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6.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pivotTables/pivotTable54.xml" ContentType="application/vnd.openxmlformats-officedocument.spreadsheetml.pivotTable+xml"/>
  <Override PartName="/xl/drawings/drawing7.xml" ContentType="application/vnd.openxmlformats-officedocument.drawing+xml"/>
  <Override PartName="/xl/slicers/slicer2.xml" ContentType="application/vnd.ms-excel.slicer+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tables/table3.xml" ContentType="application/vnd.openxmlformats-officedocument.spreadsheetml.tab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10.xml" ContentType="application/vnd.openxmlformats-officedocument.drawingml.chartshapes+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chart79.xml" ContentType="application/vnd.openxmlformats-officedocument.drawingml.chart+xml"/>
  <Override PartName="/xl/charts/style78.xml" ContentType="application/vnd.ms-office.chartstyle+xml"/>
  <Override PartName="/xl/charts/colors78.xml" ContentType="application/vnd.ms-office.chartcolorstyle+xml"/>
  <Override PartName="/xl/charts/chart80.xml" ContentType="application/vnd.openxmlformats-officedocument.drawingml.chart+xml"/>
  <Override PartName="/xl/charts/style79.xml" ContentType="application/vnd.ms-office.chartstyle+xml"/>
  <Override PartName="/xl/charts/colors79.xml" ContentType="application/vnd.ms-office.chartcolorstyle+xml"/>
  <Override PartName="/xl/charts/chart81.xml" ContentType="application/vnd.openxmlformats-officedocument.drawingml.chart+xml"/>
  <Override PartName="/xl/charts/style80.xml" ContentType="application/vnd.ms-office.chartstyle+xml"/>
  <Override PartName="/xl/charts/colors80.xml" ContentType="application/vnd.ms-office.chartcolorstyle+xml"/>
  <Override PartName="/xl/charts/chart82.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11.xml" ContentType="application/vnd.openxmlformats-officedocument.drawing+xml"/>
  <Override PartName="/xl/tables/table4.xml" ContentType="application/vnd.openxmlformats-officedocument.spreadsheetml.table+xml"/>
  <Override PartName="/xl/charts/chart83.xml" ContentType="application/vnd.openxmlformats-officedocument.drawingml.chart+xml"/>
  <Override PartName="/xl/charts/style82.xml" ContentType="application/vnd.ms-office.chartstyle+xml"/>
  <Override PartName="/xl/charts/colors82.xml" ContentType="application/vnd.ms-office.chartcolorstyle+xml"/>
  <Override PartName="/xl/charts/chart84.xml" ContentType="application/vnd.openxmlformats-officedocument.drawingml.chart+xml"/>
  <Override PartName="/xl/charts/style83.xml" ContentType="application/vnd.ms-office.chartstyle+xml"/>
  <Override PartName="/xl/charts/colors83.xml" ContentType="application/vnd.ms-office.chartcolorstyle+xml"/>
  <Override PartName="/xl/charts/chart85.xml" ContentType="application/vnd.openxmlformats-officedocument.drawingml.chart+xml"/>
  <Override PartName="/xl/charts/style84.xml" ContentType="application/vnd.ms-office.chartstyle+xml"/>
  <Override PartName="/xl/charts/colors84.xml" ContentType="application/vnd.ms-office.chartcolorstyle+xml"/>
  <Override PartName="/xl/charts/chart86.xml" ContentType="application/vnd.openxmlformats-officedocument.drawingml.chart+xml"/>
  <Override PartName="/xl/charts/style85.xml" ContentType="application/vnd.ms-office.chartstyle+xml"/>
  <Override PartName="/xl/charts/colors85.xml" ContentType="application/vnd.ms-office.chartcolorstyle+xml"/>
  <Override PartName="/xl/charts/chart87.xml" ContentType="application/vnd.openxmlformats-officedocument.drawingml.chart+xml"/>
  <Override PartName="/xl/charts/style86.xml" ContentType="application/vnd.ms-office.chartstyle+xml"/>
  <Override PartName="/xl/charts/colors86.xml" ContentType="application/vnd.ms-office.chartcolorstyle+xml"/>
  <Override PartName="/xl/charts/chart88.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2.xml" ContentType="application/vnd.openxmlformats-officedocument.drawingml.chartshapes+xml"/>
  <Override PartName="/xl/charts/chart89.xml" ContentType="application/vnd.openxmlformats-officedocument.drawingml.chart+xml"/>
  <Override PartName="/xl/charts/style88.xml" ContentType="application/vnd.ms-office.chartstyle+xml"/>
  <Override PartName="/xl/charts/colors88.xml" ContentType="application/vnd.ms-office.chartcolorstyle+xml"/>
  <Override PartName="/xl/charts/chart90.xml" ContentType="application/vnd.openxmlformats-officedocument.drawingml.chart+xml"/>
  <Override PartName="/xl/charts/style89.xml" ContentType="application/vnd.ms-office.chartstyle+xml"/>
  <Override PartName="/xl/charts/colors89.xml" ContentType="application/vnd.ms-office.chartcolorstyle+xml"/>
  <Override PartName="/xl/charts/chart91.xml" ContentType="application/vnd.openxmlformats-officedocument.drawingml.chart+xml"/>
  <Override PartName="/xl/charts/style90.xml" ContentType="application/vnd.ms-office.chartstyle+xml"/>
  <Override PartName="/xl/charts/colors90.xml" ContentType="application/vnd.ms-office.chartcolorstyle+xml"/>
  <Override PartName="/xl/charts/chart92.xml" ContentType="application/vnd.openxmlformats-officedocument.drawingml.chart+xml"/>
  <Override PartName="/xl/charts/style91.xml" ContentType="application/vnd.ms-office.chartstyle+xml"/>
  <Override PartName="/xl/charts/colors91.xml" ContentType="application/vnd.ms-office.chartcolorstyle+xml"/>
  <Override PartName="/xl/charts/chart93.xml" ContentType="application/vnd.openxmlformats-officedocument.drawingml.chart+xml"/>
  <Override PartName="/xl/charts/style92.xml" ContentType="application/vnd.ms-office.chartstyle+xml"/>
  <Override PartName="/xl/charts/colors92.xml" ContentType="application/vnd.ms-office.chartcolorstyle+xml"/>
  <Override PartName="/xl/charts/chart94.xml" ContentType="application/vnd.openxmlformats-officedocument.drawingml.chart+xml"/>
  <Override PartName="/xl/charts/style93.xml" ContentType="application/vnd.ms-office.chartstyle+xml"/>
  <Override PartName="/xl/charts/colors93.xml" ContentType="application/vnd.ms-office.chartcolorstyle+xml"/>
  <Override PartName="/xl/charts/chart95.xml" ContentType="application/vnd.openxmlformats-officedocument.drawingml.chart+xml"/>
  <Override PartName="/xl/charts/style94.xml" ContentType="application/vnd.ms-office.chartstyle+xml"/>
  <Override PartName="/xl/charts/colors94.xml" ContentType="application/vnd.ms-office.chartcolorstyle+xml"/>
  <Override PartName="/xl/charts/chart96.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1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97.xml" ContentType="application/vnd.openxmlformats-officedocument.drawingml.chart+xml"/>
  <Override PartName="/xl/charts/style96.xml" ContentType="application/vnd.ms-office.chartstyle+xml"/>
  <Override PartName="/xl/charts/colors96.xml" ContentType="application/vnd.ms-office.chartcolorstyle+xml"/>
  <Override PartName="/xl/charts/chart98.xml" ContentType="application/vnd.openxmlformats-officedocument.drawingml.chart+xml"/>
  <Override PartName="/xl/charts/style97.xml" ContentType="application/vnd.ms-office.chartstyle+xml"/>
  <Override PartName="/xl/charts/colors97.xml" ContentType="application/vnd.ms-office.chartcolorstyle+xml"/>
  <Override PartName="/xl/charts/chart99.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4.xml" ContentType="application/vnd.openxmlformats-officedocument.drawingml.chartshapes+xml"/>
  <Override PartName="/xl/charts/chart100.xml" ContentType="application/vnd.openxmlformats-officedocument.drawingml.chart+xml"/>
  <Override PartName="/xl/charts/style99.xml" ContentType="application/vnd.ms-office.chartstyle+xml"/>
  <Override PartName="/xl/charts/colors99.xml" ContentType="application/vnd.ms-office.chartcolorstyle+xml"/>
  <Override PartName="/xl/charts/chart101.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15.xml" ContentType="application/vnd.openxmlformats-officedocument.drawingml.chartshapes+xml"/>
  <Override PartName="/xl/charts/chart102.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3.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4.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5.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6.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7.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8.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9.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10.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1.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2.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16.xml" ContentType="application/vnd.openxmlformats-officedocument.drawing+xml"/>
  <Override PartName="/xl/tables/table7.xml" ContentType="application/vnd.openxmlformats-officedocument.spreadsheetml.table+xml"/>
  <Override PartName="/xl/charts/chart113.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4.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5.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6.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7.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8.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9.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20.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1.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2.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3.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4.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5.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6.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7.xml" ContentType="application/vnd.openxmlformats-officedocument.drawingml.chart+xml"/>
  <Override PartName="/xl/charts/style126.xml" ContentType="application/vnd.ms-office.chartstyle+xml"/>
  <Override PartName="/xl/charts/colors126.xml" ContentType="application/vnd.ms-office.chartcolorstyle+xml"/>
  <Override PartName="/xl/pivotTables/pivotTable55.xml" ContentType="application/vnd.openxmlformats-officedocument.spreadsheetml.pivotTable+xml"/>
  <Override PartName="/xl/drawings/drawing17.xml" ContentType="application/vnd.openxmlformats-officedocument.drawing+xml"/>
  <Override PartName="/xl/slicers/slicer3.xml" ContentType="application/vnd.ms-excel.slicer+xml"/>
  <Override PartName="/xl/charts/chart128.xml" ContentType="application/vnd.openxmlformats-officedocument.drawingml.chart+xml"/>
  <Override PartName="/xl/charts/style127.xml" ContentType="application/vnd.ms-office.chartstyle+xml"/>
  <Override PartName="/xl/charts/colors127.xml" ContentType="application/vnd.ms-office.chartcolorstyle+xml"/>
  <Override PartName="/xl/drawings/drawing18.xml" ContentType="application/vnd.openxmlformats-officedocument.drawing+xml"/>
  <Override PartName="/xl/tables/table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mthaw\Mee Mee\2. Information Management\B_ 4 W\002. 4Ws matrix\004.Yangon\Final\2018\2018_Q3\"/>
    </mc:Choice>
  </mc:AlternateContent>
  <bookViews>
    <workbookView xWindow="0" yWindow="0" windowWidth="28800" windowHeight="11790" tabRatio="787" firstSheet="2" activeTab="7"/>
  </bookViews>
  <sheets>
    <sheet name="Guide" sheetId="81" r:id="rId1"/>
    <sheet name="Sheet3" sheetId="109" state="hidden" r:id="rId2"/>
    <sheet name="DATABASE" sheetId="25" r:id="rId3"/>
    <sheet name="Site_DB" sheetId="91" r:id="rId4"/>
    <sheet name="Indicator Summary Eng" sheetId="104" r:id="rId5"/>
    <sheet name="Indicator Summary MM" sheetId="105" r:id="rId6"/>
    <sheet name="HRP Calculations" sheetId="34" r:id="rId7"/>
    <sheet name="HRP" sheetId="89" r:id="rId8"/>
    <sheet name="Analysis" sheetId="92" r:id="rId9"/>
    <sheet name="Quarterly Dashboard" sheetId="100" r:id="rId10"/>
    <sheet name="Kachin" sheetId="111" r:id="rId11"/>
    <sheet name="Rakhine_Village" sheetId="107" state="hidden" r:id="rId12"/>
    <sheet name="Rakhine" sheetId="112" r:id="rId13"/>
    <sheet name="Shan(n)" sheetId="110" r:id="rId14"/>
    <sheet name="By Camps" sheetId="102" r:id="rId15"/>
    <sheet name="Lookup" sheetId="32" state="hidden" r:id="rId16"/>
  </sheets>
  <externalReferences>
    <externalReference r:id="rId17"/>
    <externalReference r:id="rId18"/>
    <externalReference r:id="rId19"/>
    <externalReference r:id="rId20"/>
    <externalReference r:id="rId21"/>
  </externalReferences>
  <definedNames>
    <definedName name="_Fill" localSheetId="14" hidden="1">#REF!</definedName>
    <definedName name="_Fill" localSheetId="4" hidden="1">#REF!</definedName>
    <definedName name="_Fill" localSheetId="5" hidden="1">#REF!</definedName>
    <definedName name="_Fill" localSheetId="10" hidden="1">#REF!</definedName>
    <definedName name="_Fill" localSheetId="12" hidden="1">#REF!</definedName>
    <definedName name="_Fill" localSheetId="11" hidden="1">#REF!</definedName>
    <definedName name="_Fill" localSheetId="13" hidden="1">#REF!</definedName>
    <definedName name="_Fill" hidden="1">#REF!</definedName>
    <definedName name="_xlnm._FilterDatabase" localSheetId="2" hidden="1">DATABASE!#REF!</definedName>
    <definedName name="_xlnm._FilterDatabase" localSheetId="4" hidden="1">'Indicator Summary Eng'!$A$2:$H$50</definedName>
    <definedName name="_xlnm._FilterDatabase" localSheetId="15" hidden="1">Lookup!$A$3:$AA$457</definedName>
    <definedName name="_Key1" localSheetId="14" hidden="1">[1]Data!#REF!</definedName>
    <definedName name="_Key1" localSheetId="4" hidden="1">[1]Data!#REF!</definedName>
    <definedName name="_Key1" localSheetId="5" hidden="1">[1]Data!#REF!</definedName>
    <definedName name="_Key1" localSheetId="10" hidden="1">[1]Data!#REF!</definedName>
    <definedName name="_Key1" localSheetId="12" hidden="1">[1]Data!#REF!</definedName>
    <definedName name="_Key1" localSheetId="11" hidden="1">[1]Data!#REF!</definedName>
    <definedName name="_Key1" localSheetId="13" hidden="1">[1]Data!#REF!</definedName>
    <definedName name="_Key1" hidden="1">[1]Data!#REF!</definedName>
    <definedName name="_Order1" hidden="1">255</definedName>
    <definedName name="_xlnm.Print_Area" localSheetId="6">'HRP Calculations'!$A$1:$F$8</definedName>
    <definedName name="_xlnm.Print_Area" localSheetId="10">Kachin!$B$1:$S$108</definedName>
    <definedName name="_xlnm.Print_Area" localSheetId="12">Rakhine!$A$1:$U$112</definedName>
    <definedName name="_xlnm.Print_Area" localSheetId="11">Rakhine_Village!$A$1:$AC$54</definedName>
    <definedName name="_xlnm.Print_Area" localSheetId="13">'Shan(n)'!$A$1:$R$100</definedName>
    <definedName name="Sasha" localSheetId="4" hidden="1">{#N/A,#N/A,FALSE,"Truck Rent"}</definedName>
    <definedName name="Sasha" localSheetId="5" hidden="1">{#N/A,#N/A,FALSE,"Truck Rent"}</definedName>
    <definedName name="Sasha" hidden="1">{#N/A,#N/A,FALSE,"Truck Rent"}</definedName>
    <definedName name="Slicer_Location_Type">#N/A</definedName>
    <definedName name="Slicer_Location_Type_1">#N/A</definedName>
    <definedName name="Slicer_Location_Type1">#N/A</definedName>
    <definedName name="Slicer_Location_Type11">#N/A</definedName>
    <definedName name="Slicer_Reporting_Period">#N/A</definedName>
    <definedName name="Slicer_State">#N/A</definedName>
    <definedName name="Slicer_State1">#N/A</definedName>
    <definedName name="Slicer_State11">#N/A</definedName>
    <definedName name="Slicer_Township">#N/A</definedName>
    <definedName name="Slicer_Township1">#N/A</definedName>
    <definedName name="Slicer_Type_of_accommodation">#N/A</definedName>
    <definedName name="Slicer_WASH_focal_Agency">#N/A</definedName>
    <definedName name="Slicer_WASH_focal_Agency1">#N/A</definedName>
    <definedName name="State_list">Lookup!$AB$4:$AB$83</definedName>
    <definedName name="Statestart_1">Lookup!$AB$3</definedName>
    <definedName name="Township_list" localSheetId="10">SiteDB6[Township]</definedName>
    <definedName name="Township_list" localSheetId="12">SiteDB6[Township]</definedName>
    <definedName name="Township_list" localSheetId="11">SiteDB6[Township]</definedName>
    <definedName name="Township_list" localSheetId="13">SiteDB6[Township]</definedName>
    <definedName name="Township_list">SiteDB6[Township]</definedName>
    <definedName name="Township_start" localSheetId="10">SiteDB6[[#Headers],[Township]]</definedName>
    <definedName name="Township_start" localSheetId="12">SiteDB6[[#Headers],[Township]]</definedName>
    <definedName name="Township_start" localSheetId="11">SiteDB6[[#Headers],[Township]]</definedName>
    <definedName name="Township_start" localSheetId="13">SiteDB6[[#Headers],[Township]]</definedName>
    <definedName name="Township_start">SiteDB6[[#Headers],[Township]]</definedName>
    <definedName name="TSps">Lookup!$AC$3:$AC$83</definedName>
    <definedName name="wrn.MUSA._.TRUCKS." localSheetId="4" hidden="1">{#N/A,#N/A,FALSE,"Truck Rent"}</definedName>
    <definedName name="wrn.MUSA._.TRUCKS." localSheetId="5" hidden="1">{#N/A,#N/A,FALSE,"Truck Rent"}</definedName>
    <definedName name="wrn.MUSA._.TRUCKS." hidden="1">{#N/A,#N/A,FALSE,"Truck Rent"}</definedName>
  </definedNames>
  <calcPr calcId="152511"/>
  <pivotCaches>
    <pivotCache cacheId="0" r:id="rId22"/>
  </pivotCaches>
  <extLst>
    <ext xmlns:x14="http://schemas.microsoft.com/office/spreadsheetml/2009/9/main" uri="{BBE1A952-AA13-448e-AADC-164F8A28A991}">
      <x14:slicerCaches>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99" i="25" l="1"/>
  <c r="AZ517" i="25"/>
  <c r="BC517" i="25"/>
  <c r="BD517" i="25"/>
  <c r="BF517" i="25" s="1"/>
  <c r="AA294" i="25"/>
  <c r="D410" i="92"/>
  <c r="F409" i="92"/>
  <c r="E408" i="92"/>
  <c r="G36" i="89"/>
  <c r="F408" i="92"/>
  <c r="G410" i="92"/>
  <c r="H408" i="92"/>
  <c r="D408" i="92"/>
  <c r="G409" i="92"/>
  <c r="E410" i="92"/>
  <c r="E409" i="92"/>
  <c r="H130" i="89"/>
  <c r="H410" i="92"/>
  <c r="G408" i="92"/>
  <c r="F410" i="92"/>
  <c r="D409" i="92"/>
  <c r="H409" i="92"/>
  <c r="H132" i="89" l="1"/>
  <c r="BE517" i="25"/>
  <c r="BG517" i="25" s="1"/>
  <c r="G33" i="89"/>
  <c r="AC294" i="25" l="1"/>
  <c r="AC296" i="25"/>
  <c r="AW424" i="25" l="1"/>
  <c r="AX424" i="25"/>
  <c r="AZ424" i="25"/>
  <c r="BA424" i="25"/>
  <c r="BD424" i="25"/>
  <c r="BE424" i="25" s="1"/>
  <c r="BL424" i="25"/>
  <c r="BM424" i="25"/>
  <c r="BS424" i="25"/>
  <c r="BU424" i="25"/>
  <c r="CB424" i="25" s="1"/>
  <c r="BW424" i="25"/>
  <c r="CC424" i="25"/>
  <c r="BX424" i="25" s="1"/>
  <c r="CD424" i="25"/>
  <c r="BV424" i="25" s="1"/>
  <c r="CE424" i="25"/>
  <c r="CF424" i="25"/>
  <c r="CH424" i="25"/>
  <c r="CI424" i="25"/>
  <c r="CJ424" i="25"/>
  <c r="CK424" i="25"/>
  <c r="CL424" i="25"/>
  <c r="BB424" i="25" s="1"/>
  <c r="BC424" i="25" s="1"/>
  <c r="CM424" i="25"/>
  <c r="CN424" i="25"/>
  <c r="CO424" i="25"/>
  <c r="CP424" i="25"/>
  <c r="CQ424" i="25"/>
  <c r="CR424" i="25"/>
  <c r="BG424" i="25" l="1"/>
  <c r="BH424" i="25" s="1"/>
  <c r="BK424" i="25" s="1"/>
  <c r="BN424" i="25"/>
  <c r="BO424" i="25" s="1"/>
  <c r="AY424" i="25"/>
  <c r="BY424" i="25"/>
  <c r="BZ424" i="25" s="1"/>
  <c r="CA424" i="25" s="1"/>
  <c r="CG424" i="25"/>
  <c r="BT424" i="25"/>
  <c r="BR424" i="25"/>
  <c r="BQ424" i="25" s="1"/>
  <c r="BP424" i="25" s="1"/>
  <c r="BF424" i="25"/>
  <c r="BI424" i="25" s="1"/>
  <c r="BJ424" i="25" s="1"/>
  <c r="AW224" i="25" l="1"/>
  <c r="AW245" i="25"/>
  <c r="AW225" i="25"/>
  <c r="AW263" i="25"/>
  <c r="AW235" i="25"/>
  <c r="AW248" i="25"/>
  <c r="AW249" i="25"/>
  <c r="AW260" i="25"/>
  <c r="AW243" i="25"/>
  <c r="AX224" i="25"/>
  <c r="AX245" i="25"/>
  <c r="AX225" i="25"/>
  <c r="AX263" i="25"/>
  <c r="AX235" i="25"/>
  <c r="AX248" i="25"/>
  <c r="AX249" i="25"/>
  <c r="AX260" i="25"/>
  <c r="AX243" i="25"/>
  <c r="AZ224" i="25"/>
  <c r="AZ245" i="25"/>
  <c r="AZ225" i="25"/>
  <c r="AZ263" i="25"/>
  <c r="AZ235" i="25"/>
  <c r="AZ248" i="25"/>
  <c r="AZ249" i="25"/>
  <c r="AZ260" i="25"/>
  <c r="AZ243" i="25"/>
  <c r="BA224" i="25"/>
  <c r="BA245" i="25"/>
  <c r="BA225" i="25"/>
  <c r="BA263" i="25"/>
  <c r="BA235" i="25"/>
  <c r="BA248" i="25"/>
  <c r="BA249" i="25"/>
  <c r="BA260" i="25"/>
  <c r="BA243" i="25"/>
  <c r="BD224" i="25"/>
  <c r="BE224" i="25" s="1"/>
  <c r="BD245" i="25"/>
  <c r="BD225" i="25"/>
  <c r="BE225" i="25" s="1"/>
  <c r="BD263" i="25"/>
  <c r="BE263" i="25" s="1"/>
  <c r="BD235" i="25"/>
  <c r="BE235" i="25" s="1"/>
  <c r="BD248" i="25"/>
  <c r="BE248" i="25" s="1"/>
  <c r="BD249" i="25"/>
  <c r="BE249" i="25" s="1"/>
  <c r="BD260" i="25"/>
  <c r="BE260" i="25" s="1"/>
  <c r="BD243" i="25"/>
  <c r="BE243" i="25" s="1"/>
  <c r="BE245" i="25"/>
  <c r="BL224" i="25"/>
  <c r="BL245" i="25"/>
  <c r="BL225" i="25"/>
  <c r="BL263" i="25"/>
  <c r="BL235" i="25"/>
  <c r="BL248" i="25"/>
  <c r="BL249" i="25"/>
  <c r="BL260" i="25"/>
  <c r="BL243" i="25"/>
  <c r="BM224" i="25"/>
  <c r="BM245" i="25"/>
  <c r="BM225" i="25"/>
  <c r="BM263" i="25"/>
  <c r="BM235" i="25"/>
  <c r="BM248" i="25"/>
  <c r="BM249" i="25"/>
  <c r="BM260" i="25"/>
  <c r="BM243" i="25"/>
  <c r="BS224" i="25"/>
  <c r="BS245" i="25"/>
  <c r="BS225" i="25"/>
  <c r="BS263" i="25"/>
  <c r="BS235" i="25"/>
  <c r="BS248" i="25"/>
  <c r="BS249" i="25"/>
  <c r="BS260" i="25"/>
  <c r="BS243" i="25"/>
  <c r="BU224" i="25"/>
  <c r="CB224" i="25" s="1"/>
  <c r="BU245" i="25"/>
  <c r="CB245" i="25" s="1"/>
  <c r="BU225" i="25"/>
  <c r="CB225" i="25" s="1"/>
  <c r="BU263" i="25"/>
  <c r="CB263" i="25" s="1"/>
  <c r="BU235" i="25"/>
  <c r="CB235" i="25" s="1"/>
  <c r="BU248" i="25"/>
  <c r="CB248" i="25" s="1"/>
  <c r="BU249" i="25"/>
  <c r="CB249" i="25" s="1"/>
  <c r="BU260" i="25"/>
  <c r="CB260" i="25" s="1"/>
  <c r="BU243" i="25"/>
  <c r="CB243" i="25" s="1"/>
  <c r="BW224" i="25"/>
  <c r="BW245" i="25"/>
  <c r="BW225" i="25"/>
  <c r="BW263" i="25"/>
  <c r="BW235" i="25"/>
  <c r="BW248" i="25"/>
  <c r="BW249" i="25"/>
  <c r="BW260" i="25"/>
  <c r="BW243" i="25"/>
  <c r="CC224" i="25"/>
  <c r="BX224" i="25" s="1"/>
  <c r="CC245" i="25"/>
  <c r="BX245" i="25" s="1"/>
  <c r="CC225" i="25"/>
  <c r="BX225" i="25" s="1"/>
  <c r="CC263" i="25"/>
  <c r="BX263" i="25" s="1"/>
  <c r="CC235" i="25"/>
  <c r="BX235" i="25" s="1"/>
  <c r="CC248" i="25"/>
  <c r="BX248" i="25" s="1"/>
  <c r="CC249" i="25"/>
  <c r="BX249" i="25" s="1"/>
  <c r="CC260" i="25"/>
  <c r="BX260" i="25" s="1"/>
  <c r="CC243" i="25"/>
  <c r="BX243" i="25" s="1"/>
  <c r="CD224" i="25"/>
  <c r="BV224" i="25" s="1"/>
  <c r="CD245" i="25"/>
  <c r="BV245" i="25" s="1"/>
  <c r="CD225" i="25"/>
  <c r="BV225" i="25" s="1"/>
  <c r="CD263" i="25"/>
  <c r="BV263" i="25" s="1"/>
  <c r="CD235" i="25"/>
  <c r="BV235" i="25" s="1"/>
  <c r="CD248" i="25"/>
  <c r="BV248" i="25" s="1"/>
  <c r="CD249" i="25"/>
  <c r="BV249" i="25" s="1"/>
  <c r="CD260" i="25"/>
  <c r="BV260" i="25" s="1"/>
  <c r="CD243" i="25"/>
  <c r="BV243" i="25" s="1"/>
  <c r="CE224" i="25"/>
  <c r="CE245" i="25"/>
  <c r="CE225" i="25"/>
  <c r="CE263" i="25"/>
  <c r="CE235" i="25"/>
  <c r="CE248" i="25"/>
  <c r="CE249" i="25"/>
  <c r="CE260" i="25"/>
  <c r="CE243" i="25"/>
  <c r="CF224" i="25"/>
  <c r="CF245" i="25"/>
  <c r="CF225" i="25"/>
  <c r="CF263" i="25"/>
  <c r="CF235" i="25"/>
  <c r="CF248" i="25"/>
  <c r="CF249" i="25"/>
  <c r="CF260" i="25"/>
  <c r="CF243" i="25"/>
  <c r="CH224" i="25"/>
  <c r="CH245" i="25"/>
  <c r="CH225" i="25"/>
  <c r="CH263" i="25"/>
  <c r="CH235" i="25"/>
  <c r="CH248" i="25"/>
  <c r="CH249" i="25"/>
  <c r="CH260" i="25"/>
  <c r="CH243" i="25"/>
  <c r="CI224" i="25"/>
  <c r="CI245" i="25"/>
  <c r="CI225" i="25"/>
  <c r="CI263" i="25"/>
  <c r="CI235" i="25"/>
  <c r="CI248" i="25"/>
  <c r="CI249" i="25"/>
  <c r="CI260" i="25"/>
  <c r="CI243" i="25"/>
  <c r="CJ224" i="25"/>
  <c r="CJ245" i="25"/>
  <c r="CJ225" i="25"/>
  <c r="CJ263" i="25"/>
  <c r="CJ235" i="25"/>
  <c r="CJ248" i="25"/>
  <c r="CJ249" i="25"/>
  <c r="CJ260" i="25"/>
  <c r="CJ243" i="25"/>
  <c r="CK224" i="25"/>
  <c r="CK245" i="25"/>
  <c r="CK225" i="25"/>
  <c r="CK263" i="25"/>
  <c r="CK235" i="25"/>
  <c r="CK248" i="25"/>
  <c r="CK249" i="25"/>
  <c r="CK260" i="25"/>
  <c r="CK243" i="25"/>
  <c r="CL224" i="25"/>
  <c r="CL245" i="25"/>
  <c r="CL225" i="25"/>
  <c r="CL263" i="25"/>
  <c r="CL235" i="25"/>
  <c r="CL248" i="25"/>
  <c r="CL249" i="25"/>
  <c r="CL260" i="25"/>
  <c r="CL243" i="25"/>
  <c r="CM224" i="25"/>
  <c r="CM245" i="25"/>
  <c r="CM225" i="25"/>
  <c r="CM263" i="25"/>
  <c r="CM235" i="25"/>
  <c r="CM248" i="25"/>
  <c r="CM249" i="25"/>
  <c r="CM260" i="25"/>
  <c r="CM243" i="25"/>
  <c r="CN224" i="25"/>
  <c r="CN245" i="25"/>
  <c r="CN225" i="25"/>
  <c r="CN263" i="25"/>
  <c r="CN235" i="25"/>
  <c r="CN248" i="25"/>
  <c r="CN249" i="25"/>
  <c r="CN260" i="25"/>
  <c r="CN243" i="25"/>
  <c r="CO224" i="25"/>
  <c r="CO245" i="25"/>
  <c r="CO225" i="25"/>
  <c r="CO263" i="25"/>
  <c r="CO235" i="25"/>
  <c r="CO248" i="25"/>
  <c r="CO249" i="25"/>
  <c r="CO260" i="25"/>
  <c r="CO243" i="25"/>
  <c r="CP224" i="25"/>
  <c r="CP245" i="25"/>
  <c r="CP225" i="25"/>
  <c r="CP263" i="25"/>
  <c r="CP235" i="25"/>
  <c r="CP248" i="25"/>
  <c r="CP249" i="25"/>
  <c r="CP260" i="25"/>
  <c r="CP243" i="25"/>
  <c r="CQ224" i="25"/>
  <c r="CQ245" i="25"/>
  <c r="CQ225" i="25"/>
  <c r="CQ263" i="25"/>
  <c r="CQ235" i="25"/>
  <c r="CQ248" i="25"/>
  <c r="CQ249" i="25"/>
  <c r="CQ260" i="25"/>
  <c r="CQ243" i="25"/>
  <c r="CR224" i="25"/>
  <c r="CR245" i="25"/>
  <c r="CR225" i="25"/>
  <c r="CR263" i="25"/>
  <c r="CR235" i="25"/>
  <c r="CR248" i="25"/>
  <c r="CR249" i="25"/>
  <c r="CR260" i="25"/>
  <c r="CR243" i="25"/>
  <c r="AY248" i="25" l="1"/>
  <c r="AY245" i="25"/>
  <c r="AY235" i="25"/>
  <c r="AY224" i="25"/>
  <c r="AY260" i="25"/>
  <c r="AY263" i="25"/>
  <c r="AY243" i="25"/>
  <c r="AY249" i="25"/>
  <c r="AY225" i="25"/>
  <c r="BB260" i="25"/>
  <c r="BF260" i="25" s="1"/>
  <c r="BI260" i="25" s="1"/>
  <c r="BJ260" i="25" s="1"/>
  <c r="BB263" i="25"/>
  <c r="BC263" i="25" s="1"/>
  <c r="BG263" i="25" s="1"/>
  <c r="BH263" i="25" s="1"/>
  <c r="BK263" i="25" s="1"/>
  <c r="BB235" i="25"/>
  <c r="BC235" i="25" s="1"/>
  <c r="BG235" i="25" s="1"/>
  <c r="BH235" i="25" s="1"/>
  <c r="BK235" i="25" s="1"/>
  <c r="BB224" i="25"/>
  <c r="BC224" i="25" s="1"/>
  <c r="BG224" i="25" s="1"/>
  <c r="BH224" i="25" s="1"/>
  <c r="BK224" i="25" s="1"/>
  <c r="BB243" i="25"/>
  <c r="BC243" i="25" s="1"/>
  <c r="BG243" i="25" s="1"/>
  <c r="BH243" i="25" s="1"/>
  <c r="BK243" i="25" s="1"/>
  <c r="CG249" i="25"/>
  <c r="CG225" i="25"/>
  <c r="CG260" i="25"/>
  <c r="CG263" i="25"/>
  <c r="BN245" i="25"/>
  <c r="BO245" i="25" s="1"/>
  <c r="BT235" i="25"/>
  <c r="BY260" i="25"/>
  <c r="BZ260" i="25" s="1"/>
  <c r="CA260" i="25" s="1"/>
  <c r="BY263" i="25"/>
  <c r="BZ263" i="25" s="1"/>
  <c r="CA263" i="25" s="1"/>
  <c r="CG243" i="25"/>
  <c r="CG235" i="25"/>
  <c r="CG224" i="25"/>
  <c r="BY249" i="25"/>
  <c r="BZ249" i="25" s="1"/>
  <c r="CA249" i="25" s="1"/>
  <c r="BY225" i="25"/>
  <c r="BZ225" i="25" s="1"/>
  <c r="CA225" i="25" s="1"/>
  <c r="BN248" i="25"/>
  <c r="BO248" i="25" s="1"/>
  <c r="CG248" i="25"/>
  <c r="CG245" i="25"/>
  <c r="BT224" i="25"/>
  <c r="BN243" i="25"/>
  <c r="BO243" i="25" s="1"/>
  <c r="BN235" i="25"/>
  <c r="BO235" i="25" s="1"/>
  <c r="BN224" i="25"/>
  <c r="BO224" i="25" s="1"/>
  <c r="BY248" i="25"/>
  <c r="BZ248" i="25" s="1"/>
  <c r="CA248" i="25" s="1"/>
  <c r="BY245" i="25"/>
  <c r="BZ245" i="25" s="1"/>
  <c r="CA245" i="25" s="1"/>
  <c r="BN260" i="25"/>
  <c r="BO260" i="25" s="1"/>
  <c r="BN263" i="25"/>
  <c r="BO263" i="25" s="1"/>
  <c r="BY243" i="25"/>
  <c r="BZ243" i="25" s="1"/>
  <c r="CA243" i="25" s="1"/>
  <c r="BY235" i="25"/>
  <c r="BZ235" i="25" s="1"/>
  <c r="CA235" i="25" s="1"/>
  <c r="BY224" i="25"/>
  <c r="BZ224" i="25" s="1"/>
  <c r="CA224" i="25" s="1"/>
  <c r="BT243" i="25"/>
  <c r="BN249" i="25"/>
  <c r="BO249" i="25" s="1"/>
  <c r="BN225" i="25"/>
  <c r="BO225" i="25" s="1"/>
  <c r="BR249" i="25"/>
  <c r="BQ249" i="25" s="1"/>
  <c r="BP249" i="25" s="1"/>
  <c r="BB225" i="25"/>
  <c r="BT260" i="25"/>
  <c r="BT263" i="25"/>
  <c r="BR248" i="25"/>
  <c r="BQ248" i="25" s="1"/>
  <c r="BP248" i="25" s="1"/>
  <c r="BR245" i="25"/>
  <c r="BQ245" i="25" s="1"/>
  <c r="BP245" i="25" s="1"/>
  <c r="BB248" i="25"/>
  <c r="BB245" i="25"/>
  <c r="BR225" i="25"/>
  <c r="BQ225" i="25" s="1"/>
  <c r="BP225" i="25" s="1"/>
  <c r="BB249" i="25"/>
  <c r="BT249" i="25"/>
  <c r="BT225" i="25"/>
  <c r="BR243" i="25"/>
  <c r="BQ243" i="25" s="1"/>
  <c r="BP243" i="25" s="1"/>
  <c r="BR235" i="25"/>
  <c r="BQ235" i="25" s="1"/>
  <c r="BP235" i="25" s="1"/>
  <c r="BR224" i="25"/>
  <c r="BQ224" i="25" s="1"/>
  <c r="BP224" i="25" s="1"/>
  <c r="BT248" i="25"/>
  <c r="BT245" i="25"/>
  <c r="BR260" i="25"/>
  <c r="BQ260" i="25" s="1"/>
  <c r="BP260" i="25" s="1"/>
  <c r="BR263" i="25"/>
  <c r="BQ263" i="25" s="1"/>
  <c r="BP263" i="25" s="1"/>
  <c r="BC260" i="25" l="1"/>
  <c r="BG260" i="25" s="1"/>
  <c r="BH260" i="25" s="1"/>
  <c r="BK260" i="25" s="1"/>
  <c r="BF263" i="25"/>
  <c r="BI263" i="25" s="1"/>
  <c r="BJ263" i="25" s="1"/>
  <c r="BF235" i="25"/>
  <c r="BI235" i="25" s="1"/>
  <c r="BJ235" i="25" s="1"/>
  <c r="BF224" i="25"/>
  <c r="BI224" i="25" s="1"/>
  <c r="BJ224" i="25" s="1"/>
  <c r="BF243" i="25"/>
  <c r="BI243" i="25" s="1"/>
  <c r="BJ243" i="25" s="1"/>
  <c r="BF248" i="25"/>
  <c r="BI248" i="25" s="1"/>
  <c r="BJ248" i="25" s="1"/>
  <c r="BC248" i="25"/>
  <c r="BG248" i="25" s="1"/>
  <c r="BH248" i="25" s="1"/>
  <c r="BK248" i="25" s="1"/>
  <c r="BC249" i="25"/>
  <c r="BG249" i="25" s="1"/>
  <c r="BH249" i="25" s="1"/>
  <c r="BK249" i="25" s="1"/>
  <c r="BF249" i="25"/>
  <c r="BI249" i="25" s="1"/>
  <c r="BJ249" i="25" s="1"/>
  <c r="BF245" i="25"/>
  <c r="BI245" i="25" s="1"/>
  <c r="BJ245" i="25" s="1"/>
  <c r="BC245" i="25"/>
  <c r="BG245" i="25" s="1"/>
  <c r="BH245" i="25" s="1"/>
  <c r="BK245" i="25" s="1"/>
  <c r="BC225" i="25"/>
  <c r="BG225" i="25" s="1"/>
  <c r="BH225" i="25" s="1"/>
  <c r="BK225" i="25" s="1"/>
  <c r="BF225" i="25"/>
  <c r="BI225" i="25" s="1"/>
  <c r="BJ225" i="25" s="1"/>
  <c r="AN58" i="25" l="1"/>
  <c r="AN57" i="25"/>
  <c r="AN55" i="25"/>
  <c r="CR144" i="25" l="1"/>
  <c r="CQ144" i="25"/>
  <c r="CP144" i="25"/>
  <c r="CO144" i="25"/>
  <c r="CM144" i="25"/>
  <c r="CL144" i="25"/>
  <c r="BT144" i="25" s="1"/>
  <c r="CK144" i="25"/>
  <c r="CJ144" i="25"/>
  <c r="CI144" i="25"/>
  <c r="CH144" i="25"/>
  <c r="CF144" i="25"/>
  <c r="CE144" i="25"/>
  <c r="CD144" i="25"/>
  <c r="BV144" i="25" s="1"/>
  <c r="CC144" i="25"/>
  <c r="BX144" i="25" s="1"/>
  <c r="BW144" i="25"/>
  <c r="BU144" i="25"/>
  <c r="CB144" i="25" s="1"/>
  <c r="BS144" i="25"/>
  <c r="BR144" i="25"/>
  <c r="BM144" i="25"/>
  <c r="BL144" i="25"/>
  <c r="BD144" i="25"/>
  <c r="BE144" i="25" s="1"/>
  <c r="BA144" i="25"/>
  <c r="AZ144" i="25"/>
  <c r="AX144" i="25"/>
  <c r="AW144" i="25"/>
  <c r="CR143" i="25"/>
  <c r="CQ143" i="25"/>
  <c r="CP143" i="25"/>
  <c r="CO143" i="25"/>
  <c r="CM143" i="25"/>
  <c r="CL143" i="25"/>
  <c r="BT143" i="25" s="1"/>
  <c r="CK143" i="25"/>
  <c r="CJ143" i="25"/>
  <c r="CI143" i="25"/>
  <c r="CH143" i="25"/>
  <c r="CF143" i="25"/>
  <c r="CE143" i="25"/>
  <c r="CD143" i="25"/>
  <c r="BV143" i="25" s="1"/>
  <c r="CC143" i="25"/>
  <c r="BX143" i="25" s="1"/>
  <c r="BW143" i="25"/>
  <c r="BU143" i="25"/>
  <c r="CB143" i="25" s="1"/>
  <c r="BS143" i="25"/>
  <c r="BM143" i="25"/>
  <c r="BL143" i="25"/>
  <c r="BD143" i="25"/>
  <c r="BE143" i="25" s="1"/>
  <c r="BA143" i="25"/>
  <c r="AZ143" i="25"/>
  <c r="AX143" i="25"/>
  <c r="AW143" i="25"/>
  <c r="CR119" i="25"/>
  <c r="CQ119" i="25"/>
  <c r="CP119" i="25"/>
  <c r="CO119" i="25"/>
  <c r="CM119" i="25"/>
  <c r="CL119" i="25"/>
  <c r="BN119" i="25" s="1"/>
  <c r="BO119" i="25" s="1"/>
  <c r="CK119" i="25"/>
  <c r="CJ119" i="25"/>
  <c r="CI119" i="25"/>
  <c r="CH119" i="25"/>
  <c r="CF119" i="25"/>
  <c r="CE119" i="25"/>
  <c r="CD119" i="25"/>
  <c r="BV119" i="25" s="1"/>
  <c r="CC119" i="25"/>
  <c r="BX119" i="25" s="1"/>
  <c r="BW119" i="25"/>
  <c r="BU119" i="25"/>
  <c r="CB119" i="25" s="1"/>
  <c r="BS119" i="25"/>
  <c r="BM119" i="25"/>
  <c r="BL119" i="25"/>
  <c r="BD119" i="25"/>
  <c r="BA119" i="25"/>
  <c r="AZ119" i="25"/>
  <c r="AX119" i="25"/>
  <c r="AW119" i="25"/>
  <c r="CR65" i="25"/>
  <c r="CQ65" i="25"/>
  <c r="CP65" i="25"/>
  <c r="CO65" i="25"/>
  <c r="CM65" i="25"/>
  <c r="CL65" i="25"/>
  <c r="BT65" i="25" s="1"/>
  <c r="CK65" i="25"/>
  <c r="CJ65" i="25"/>
  <c r="CI65" i="25"/>
  <c r="CH65" i="25"/>
  <c r="CF65" i="25"/>
  <c r="CE65" i="25"/>
  <c r="CD65" i="25"/>
  <c r="BV65" i="25" s="1"/>
  <c r="CC65" i="25"/>
  <c r="BX65" i="25" s="1"/>
  <c r="BW65" i="25"/>
  <c r="BU65" i="25"/>
  <c r="CB65" i="25" s="1"/>
  <c r="BS65" i="25"/>
  <c r="BM65" i="25"/>
  <c r="BL65" i="25"/>
  <c r="BD65" i="25"/>
  <c r="BE65" i="25" s="1"/>
  <c r="BA65" i="25"/>
  <c r="AZ65" i="25"/>
  <c r="AX65" i="25"/>
  <c r="AW65" i="25"/>
  <c r="CR68" i="25"/>
  <c r="CQ68" i="25"/>
  <c r="CP68" i="25"/>
  <c r="CO68" i="25"/>
  <c r="CN68" i="25"/>
  <c r="CM68" i="25"/>
  <c r="CL68" i="25"/>
  <c r="BT68" i="25" s="1"/>
  <c r="CK68" i="25"/>
  <c r="CJ68" i="25"/>
  <c r="CI68" i="25"/>
  <c r="CH68" i="25"/>
  <c r="CF68" i="25"/>
  <c r="CE68" i="25"/>
  <c r="CD68" i="25"/>
  <c r="BV68" i="25" s="1"/>
  <c r="CC68" i="25"/>
  <c r="BX68" i="25" s="1"/>
  <c r="BW68" i="25"/>
  <c r="BU68" i="25"/>
  <c r="CB68" i="25" s="1"/>
  <c r="BS68" i="25"/>
  <c r="BM68" i="25"/>
  <c r="BL68" i="25"/>
  <c r="BD68" i="25"/>
  <c r="BE68" i="25" s="1"/>
  <c r="BA68" i="25"/>
  <c r="AZ68" i="25"/>
  <c r="AX68" i="25"/>
  <c r="AW68" i="25"/>
  <c r="CR34" i="25"/>
  <c r="CQ34" i="25"/>
  <c r="CP34" i="25"/>
  <c r="CO34" i="25"/>
  <c r="CN34" i="25"/>
  <c r="CM34" i="25"/>
  <c r="CL34" i="25"/>
  <c r="BN34" i="25" s="1"/>
  <c r="BO34" i="25" s="1"/>
  <c r="CK34" i="25"/>
  <c r="CJ34" i="25"/>
  <c r="CI34" i="25"/>
  <c r="CH34" i="25"/>
  <c r="CF34" i="25"/>
  <c r="CE34" i="25"/>
  <c r="CD34" i="25"/>
  <c r="BV34" i="25" s="1"/>
  <c r="CC34" i="25"/>
  <c r="BX34" i="25" s="1"/>
  <c r="BW34" i="25"/>
  <c r="BU34" i="25"/>
  <c r="CB34" i="25" s="1"/>
  <c r="BS34" i="25"/>
  <c r="BR34" i="25"/>
  <c r="BM34" i="25"/>
  <c r="BL34" i="25"/>
  <c r="BD34" i="25"/>
  <c r="BE34" i="25" s="1"/>
  <c r="BA34" i="25"/>
  <c r="AZ34" i="25"/>
  <c r="AX34" i="25"/>
  <c r="AW34" i="25"/>
  <c r="CR35" i="25"/>
  <c r="CQ35" i="25"/>
  <c r="CP35" i="25"/>
  <c r="CO35" i="25"/>
  <c r="CN35" i="25"/>
  <c r="CM35" i="25"/>
  <c r="CL35" i="25"/>
  <c r="BR35" i="25" s="1"/>
  <c r="CK35" i="25"/>
  <c r="CJ35" i="25"/>
  <c r="CI35" i="25"/>
  <c r="CH35" i="25"/>
  <c r="CF35" i="25"/>
  <c r="CE35" i="25"/>
  <c r="CD35" i="25"/>
  <c r="BV35" i="25" s="1"/>
  <c r="CC35" i="25"/>
  <c r="BX35" i="25" s="1"/>
  <c r="BW35" i="25"/>
  <c r="BU35" i="25"/>
  <c r="CB35" i="25" s="1"/>
  <c r="BS35" i="25"/>
  <c r="BM35" i="25"/>
  <c r="BL35" i="25"/>
  <c r="BD35" i="25"/>
  <c r="BE35" i="25" s="1"/>
  <c r="BA35" i="25"/>
  <c r="AZ35" i="25"/>
  <c r="AX35" i="25"/>
  <c r="AW35" i="25"/>
  <c r="CR171" i="25"/>
  <c r="CQ171" i="25"/>
  <c r="CP171" i="25"/>
  <c r="CO171" i="25"/>
  <c r="CN171" i="25"/>
  <c r="CM171" i="25"/>
  <c r="CL171" i="25"/>
  <c r="BT171" i="25" s="1"/>
  <c r="CK171" i="25"/>
  <c r="CJ171" i="25"/>
  <c r="CI171" i="25"/>
  <c r="CH171" i="25"/>
  <c r="CF171" i="25"/>
  <c r="CE171" i="25"/>
  <c r="CD171" i="25"/>
  <c r="BV171" i="25" s="1"/>
  <c r="CC171" i="25"/>
  <c r="BX171" i="25" s="1"/>
  <c r="BW171" i="25"/>
  <c r="BU171" i="25"/>
  <c r="CB171" i="25" s="1"/>
  <c r="BS171" i="25"/>
  <c r="BR171" i="25"/>
  <c r="BM171" i="25"/>
  <c r="BL171" i="25"/>
  <c r="BD171" i="25"/>
  <c r="BE171" i="25" s="1"/>
  <c r="BA171" i="25"/>
  <c r="AZ171" i="25"/>
  <c r="AX171" i="25"/>
  <c r="AW171" i="25"/>
  <c r="CR129" i="25"/>
  <c r="CQ129" i="25"/>
  <c r="CP129" i="25"/>
  <c r="CO129" i="25"/>
  <c r="CN129" i="25"/>
  <c r="CM129" i="25"/>
  <c r="CL129" i="25"/>
  <c r="BT129" i="25" s="1"/>
  <c r="CK129" i="25"/>
  <c r="CJ129" i="25"/>
  <c r="CI129" i="25"/>
  <c r="CH129" i="25"/>
  <c r="CF129" i="25"/>
  <c r="CE129" i="25"/>
  <c r="CD129" i="25"/>
  <c r="BV129" i="25" s="1"/>
  <c r="CC129" i="25"/>
  <c r="BX129" i="25" s="1"/>
  <c r="BW129" i="25"/>
  <c r="BU129" i="25"/>
  <c r="CB129" i="25" s="1"/>
  <c r="BS129" i="25"/>
  <c r="BM129" i="25"/>
  <c r="BL129" i="25"/>
  <c r="BD129" i="25"/>
  <c r="BE129" i="25" s="1"/>
  <c r="BA129" i="25"/>
  <c r="AZ129" i="25"/>
  <c r="AX129" i="25"/>
  <c r="AW129" i="25"/>
  <c r="CR105" i="25"/>
  <c r="CQ105" i="25"/>
  <c r="CP105" i="25"/>
  <c r="CO105" i="25"/>
  <c r="CN105" i="25"/>
  <c r="CM105" i="25"/>
  <c r="CL105" i="25"/>
  <c r="BN105" i="25" s="1"/>
  <c r="BO105" i="25" s="1"/>
  <c r="CK105" i="25"/>
  <c r="CJ105" i="25"/>
  <c r="CI105" i="25"/>
  <c r="CH105" i="25"/>
  <c r="CF105" i="25"/>
  <c r="CE105" i="25"/>
  <c r="CD105" i="25"/>
  <c r="BV105" i="25" s="1"/>
  <c r="CC105" i="25"/>
  <c r="BX105" i="25" s="1"/>
  <c r="BW105" i="25"/>
  <c r="BU105" i="25"/>
  <c r="CB105" i="25" s="1"/>
  <c r="BS105" i="25"/>
  <c r="BR105" i="25"/>
  <c r="BM105" i="25"/>
  <c r="BL105" i="25"/>
  <c r="BD105" i="25"/>
  <c r="BE105" i="25" s="1"/>
  <c r="BA105" i="25"/>
  <c r="AZ105" i="25"/>
  <c r="AX105" i="25"/>
  <c r="AW105" i="25"/>
  <c r="CR123" i="25"/>
  <c r="CQ123" i="25"/>
  <c r="CP123" i="25"/>
  <c r="CO123" i="25"/>
  <c r="CN123" i="25"/>
  <c r="CM123" i="25"/>
  <c r="CL123" i="25"/>
  <c r="BT123" i="25" s="1"/>
  <c r="CK123" i="25"/>
  <c r="CJ123" i="25"/>
  <c r="CI123" i="25"/>
  <c r="CH123" i="25"/>
  <c r="CF123" i="25"/>
  <c r="CE123" i="25"/>
  <c r="CD123" i="25"/>
  <c r="BV123" i="25" s="1"/>
  <c r="CC123" i="25"/>
  <c r="BX123" i="25" s="1"/>
  <c r="BW123" i="25"/>
  <c r="BU123" i="25"/>
  <c r="CB123" i="25" s="1"/>
  <c r="BS123" i="25"/>
  <c r="BM123" i="25"/>
  <c r="BL123" i="25"/>
  <c r="BD123" i="25"/>
  <c r="BE123" i="25" s="1"/>
  <c r="BA123" i="25"/>
  <c r="AZ123" i="25"/>
  <c r="AX123" i="25"/>
  <c r="AW123" i="25"/>
  <c r="CR130" i="25"/>
  <c r="CQ130" i="25"/>
  <c r="CP130" i="25"/>
  <c r="CO130" i="25"/>
  <c r="CN130" i="25"/>
  <c r="CM130" i="25"/>
  <c r="CL130" i="25"/>
  <c r="BR130" i="25" s="1"/>
  <c r="CK130" i="25"/>
  <c r="CJ130" i="25"/>
  <c r="CI130" i="25"/>
  <c r="CH130" i="25"/>
  <c r="CF130" i="25"/>
  <c r="CE130" i="25"/>
  <c r="CD130" i="25"/>
  <c r="BV130" i="25" s="1"/>
  <c r="CC130" i="25"/>
  <c r="BX130" i="25" s="1"/>
  <c r="BW130" i="25"/>
  <c r="BU130" i="25"/>
  <c r="CB130" i="25" s="1"/>
  <c r="BS130" i="25"/>
  <c r="BM130" i="25"/>
  <c r="BL130" i="25"/>
  <c r="BD130" i="25"/>
  <c r="BE130" i="25" s="1"/>
  <c r="BA130" i="25"/>
  <c r="AZ130" i="25"/>
  <c r="AX130" i="25"/>
  <c r="AW130" i="25"/>
  <c r="CR13" i="25"/>
  <c r="CQ13" i="25"/>
  <c r="CP13" i="25"/>
  <c r="CO13" i="25"/>
  <c r="CN13" i="25"/>
  <c r="CM13" i="25"/>
  <c r="CL13" i="25"/>
  <c r="BR13" i="25" s="1"/>
  <c r="CK13" i="25"/>
  <c r="CJ13" i="25"/>
  <c r="CI13" i="25"/>
  <c r="CH13" i="25"/>
  <c r="CF13" i="25"/>
  <c r="CE13" i="25"/>
  <c r="CD13" i="25"/>
  <c r="BV13" i="25" s="1"/>
  <c r="CC13" i="25"/>
  <c r="BX13" i="25" s="1"/>
  <c r="BW13" i="25"/>
  <c r="BU13" i="25"/>
  <c r="CB13" i="25" s="1"/>
  <c r="BS13" i="25"/>
  <c r="BM13" i="25"/>
  <c r="BL13" i="25"/>
  <c r="BD13" i="25"/>
  <c r="BE13" i="25" s="1"/>
  <c r="BA13" i="25"/>
  <c r="AZ13" i="25"/>
  <c r="AX13" i="25"/>
  <c r="AW13" i="25"/>
  <c r="CR70" i="25"/>
  <c r="CQ70" i="25"/>
  <c r="CP70" i="25"/>
  <c r="CO70" i="25"/>
  <c r="CN70" i="25"/>
  <c r="CM70" i="25"/>
  <c r="CL70" i="25"/>
  <c r="BT70" i="25" s="1"/>
  <c r="CK70" i="25"/>
  <c r="CJ70" i="25"/>
  <c r="CI70" i="25"/>
  <c r="CH70" i="25"/>
  <c r="CF70" i="25"/>
  <c r="CE70" i="25"/>
  <c r="CD70" i="25"/>
  <c r="BV70" i="25" s="1"/>
  <c r="CC70" i="25"/>
  <c r="BX70" i="25" s="1"/>
  <c r="BW70" i="25"/>
  <c r="BU70" i="25"/>
  <c r="CB70" i="25" s="1"/>
  <c r="BS70" i="25"/>
  <c r="BM70" i="25"/>
  <c r="BL70" i="25"/>
  <c r="BD70" i="25"/>
  <c r="BA70" i="25"/>
  <c r="AZ70" i="25"/>
  <c r="AX70" i="25"/>
  <c r="AW70" i="25"/>
  <c r="CR63" i="25"/>
  <c r="CQ63" i="25"/>
  <c r="CP63" i="25"/>
  <c r="CO63" i="25"/>
  <c r="CN63" i="25"/>
  <c r="CM63" i="25"/>
  <c r="CL63" i="25"/>
  <c r="BN63" i="25" s="1"/>
  <c r="BO63" i="25" s="1"/>
  <c r="CK63" i="25"/>
  <c r="CJ63" i="25"/>
  <c r="CI63" i="25"/>
  <c r="CH63" i="25"/>
  <c r="CF63" i="25"/>
  <c r="CE63" i="25"/>
  <c r="CD63" i="25"/>
  <c r="BV63" i="25" s="1"/>
  <c r="CC63" i="25"/>
  <c r="BX63" i="25" s="1"/>
  <c r="BU63" i="25"/>
  <c r="CB63" i="25" s="1"/>
  <c r="BS63" i="25"/>
  <c r="BM63" i="25"/>
  <c r="BL63" i="25"/>
  <c r="BD63" i="25"/>
  <c r="BA63" i="25"/>
  <c r="AZ63" i="25"/>
  <c r="AX63" i="25"/>
  <c r="AW63" i="25"/>
  <c r="CR71" i="25"/>
  <c r="CQ71" i="25"/>
  <c r="CP71" i="25"/>
  <c r="CO71" i="25"/>
  <c r="CN71" i="25"/>
  <c r="CM71" i="25"/>
  <c r="CL71" i="25"/>
  <c r="BT71" i="25" s="1"/>
  <c r="CK71" i="25"/>
  <c r="CJ71" i="25"/>
  <c r="CI71" i="25"/>
  <c r="CH71" i="25"/>
  <c r="CF71" i="25"/>
  <c r="CE71" i="25"/>
  <c r="CD71" i="25"/>
  <c r="BV71" i="25" s="1"/>
  <c r="CC71" i="25"/>
  <c r="BX71" i="25" s="1"/>
  <c r="BU71" i="25"/>
  <c r="CB71" i="25" s="1"/>
  <c r="BS71" i="25"/>
  <c r="BM71" i="25"/>
  <c r="BL71" i="25"/>
  <c r="BD71" i="25"/>
  <c r="BA71" i="25"/>
  <c r="AZ71" i="25"/>
  <c r="AX71" i="25"/>
  <c r="AW71" i="25"/>
  <c r="CR66" i="25"/>
  <c r="CQ66" i="25"/>
  <c r="CP66" i="25"/>
  <c r="CO66" i="25"/>
  <c r="CN66" i="25"/>
  <c r="CM66" i="25"/>
  <c r="CL66" i="25"/>
  <c r="BW66" i="25" s="1"/>
  <c r="CK66" i="25"/>
  <c r="CJ66" i="25"/>
  <c r="CI66" i="25"/>
  <c r="CH66" i="25"/>
  <c r="CF66" i="25"/>
  <c r="CE66" i="25"/>
  <c r="CD66" i="25"/>
  <c r="BV66" i="25" s="1"/>
  <c r="CC66" i="25"/>
  <c r="BX66" i="25" s="1"/>
  <c r="BU66" i="25"/>
  <c r="CB66" i="25" s="1"/>
  <c r="BS66" i="25"/>
  <c r="BM66" i="25"/>
  <c r="BL66" i="25"/>
  <c r="BD66" i="25"/>
  <c r="BE66" i="25" s="1"/>
  <c r="BA66" i="25"/>
  <c r="AZ66" i="25"/>
  <c r="AX66" i="25"/>
  <c r="AW66" i="25"/>
  <c r="CR69" i="25"/>
  <c r="CQ69" i="25"/>
  <c r="CP69" i="25"/>
  <c r="CO69" i="25"/>
  <c r="CN69" i="25"/>
  <c r="CM69" i="25"/>
  <c r="CL69" i="25"/>
  <c r="BT69" i="25" s="1"/>
  <c r="CK69" i="25"/>
  <c r="CJ69" i="25"/>
  <c r="CI69" i="25"/>
  <c r="CH69" i="25"/>
  <c r="CF69" i="25"/>
  <c r="CE69" i="25"/>
  <c r="CD69" i="25"/>
  <c r="BV69" i="25" s="1"/>
  <c r="CC69" i="25"/>
  <c r="BX69" i="25" s="1"/>
  <c r="BU69" i="25"/>
  <c r="CB69" i="25" s="1"/>
  <c r="BM69" i="25"/>
  <c r="BS69" i="25" s="1"/>
  <c r="BL69" i="25"/>
  <c r="BD69" i="25"/>
  <c r="BE69" i="25" s="1"/>
  <c r="BA69" i="25"/>
  <c r="AZ69" i="25"/>
  <c r="AX69" i="25"/>
  <c r="AW69" i="25"/>
  <c r="CR167" i="25"/>
  <c r="CQ167" i="25"/>
  <c r="CP167" i="25"/>
  <c r="CO167" i="25"/>
  <c r="CN167" i="25"/>
  <c r="CM167" i="25"/>
  <c r="CL167" i="25"/>
  <c r="BT167" i="25" s="1"/>
  <c r="CK167" i="25"/>
  <c r="CJ167" i="25"/>
  <c r="CI167" i="25"/>
  <c r="CH167" i="25"/>
  <c r="CF167" i="25"/>
  <c r="CE167" i="25"/>
  <c r="CD167" i="25"/>
  <c r="BV167" i="25" s="1"/>
  <c r="CC167" i="25"/>
  <c r="BX167" i="25" s="1"/>
  <c r="BW167" i="25"/>
  <c r="BU167" i="25"/>
  <c r="CB167" i="25" s="1"/>
  <c r="BS167" i="25"/>
  <c r="BN167" i="25"/>
  <c r="BO167" i="25" s="1"/>
  <c r="BM167" i="25"/>
  <c r="BL167" i="25"/>
  <c r="BD167" i="25"/>
  <c r="BE167" i="25" s="1"/>
  <c r="BA167" i="25"/>
  <c r="AZ167" i="25"/>
  <c r="AX167" i="25"/>
  <c r="AW167" i="25"/>
  <c r="CR106" i="25"/>
  <c r="CQ106" i="25"/>
  <c r="CP106" i="25"/>
  <c r="CO106" i="25"/>
  <c r="CN106" i="25"/>
  <c r="CM106" i="25"/>
  <c r="CL106" i="25"/>
  <c r="BT106" i="25" s="1"/>
  <c r="CK106" i="25"/>
  <c r="CJ106" i="25"/>
  <c r="CI106" i="25"/>
  <c r="CH106" i="25"/>
  <c r="CF106" i="25"/>
  <c r="CE106" i="25"/>
  <c r="CD106" i="25"/>
  <c r="BV106" i="25" s="1"/>
  <c r="CC106" i="25"/>
  <c r="BX106" i="25" s="1"/>
  <c r="BW106" i="25"/>
  <c r="BU106" i="25"/>
  <c r="CB106" i="25" s="1"/>
  <c r="BS106" i="25"/>
  <c r="BM106" i="25"/>
  <c r="BL106" i="25"/>
  <c r="BD106" i="25"/>
  <c r="BE106" i="25" s="1"/>
  <c r="BA106" i="25"/>
  <c r="AZ106" i="25"/>
  <c r="AX106" i="25"/>
  <c r="AW106" i="25"/>
  <c r="CR405" i="25"/>
  <c r="CQ405" i="25"/>
  <c r="CP405" i="25"/>
  <c r="CO405" i="25"/>
  <c r="CN405" i="25"/>
  <c r="CM405" i="25"/>
  <c r="CL405" i="25"/>
  <c r="BW405" i="25" s="1"/>
  <c r="CK405" i="25"/>
  <c r="CJ405" i="25"/>
  <c r="CI405" i="25"/>
  <c r="CH405" i="25"/>
  <c r="CF405" i="25"/>
  <c r="CE405" i="25"/>
  <c r="CD405" i="25"/>
  <c r="BV405" i="25" s="1"/>
  <c r="CC405" i="25"/>
  <c r="BX405" i="25" s="1"/>
  <c r="BU405" i="25"/>
  <c r="CB405" i="25" s="1"/>
  <c r="BM405" i="25"/>
  <c r="BL405" i="25"/>
  <c r="BD405" i="25"/>
  <c r="BE405" i="25" s="1"/>
  <c r="BA405" i="25"/>
  <c r="AZ405" i="25"/>
  <c r="AX405" i="25"/>
  <c r="AW405" i="25"/>
  <c r="CR389" i="25"/>
  <c r="CQ389" i="25"/>
  <c r="CP389" i="25"/>
  <c r="CO389" i="25"/>
  <c r="CN389" i="25"/>
  <c r="CM389" i="25"/>
  <c r="CL389" i="25"/>
  <c r="BW389" i="25" s="1"/>
  <c r="CK389" i="25"/>
  <c r="CJ389" i="25"/>
  <c r="CI389" i="25"/>
  <c r="CH389" i="25"/>
  <c r="CF389" i="25"/>
  <c r="CE389" i="25"/>
  <c r="CD389" i="25"/>
  <c r="BV389" i="25" s="1"/>
  <c r="CC389" i="25"/>
  <c r="BX389" i="25" s="1"/>
  <c r="BU389" i="25"/>
  <c r="CB389" i="25" s="1"/>
  <c r="BS389" i="25"/>
  <c r="BM389" i="25"/>
  <c r="BL389" i="25"/>
  <c r="BD389" i="25"/>
  <c r="BE389" i="25" s="1"/>
  <c r="BA389" i="25"/>
  <c r="AZ389" i="25"/>
  <c r="AX389" i="25"/>
  <c r="AW389" i="25"/>
  <c r="CR423" i="25"/>
  <c r="CQ423" i="25"/>
  <c r="CP423" i="25"/>
  <c r="CO423" i="25"/>
  <c r="CN423" i="25"/>
  <c r="CM423" i="25"/>
  <c r="CL423" i="25"/>
  <c r="BT423" i="25" s="1"/>
  <c r="CK423" i="25"/>
  <c r="CJ423" i="25"/>
  <c r="CI423" i="25"/>
  <c r="CH423" i="25"/>
  <c r="CF423" i="25"/>
  <c r="CE423" i="25"/>
  <c r="CD423" i="25"/>
  <c r="BV423" i="25" s="1"/>
  <c r="CC423" i="25"/>
  <c r="BX423" i="25" s="1"/>
  <c r="BU423" i="25"/>
  <c r="CB423" i="25" s="1"/>
  <c r="BS423" i="25"/>
  <c r="BM423" i="25"/>
  <c r="BL423" i="25"/>
  <c r="BD423" i="25"/>
  <c r="BE423" i="25" s="1"/>
  <c r="BA423" i="25"/>
  <c r="AZ423" i="25"/>
  <c r="AX423" i="25"/>
  <c r="AW423" i="25"/>
  <c r="CR403" i="25"/>
  <c r="CQ403" i="25"/>
  <c r="CP403" i="25"/>
  <c r="CO403" i="25"/>
  <c r="CN403" i="25"/>
  <c r="CM403" i="25"/>
  <c r="CL403" i="25"/>
  <c r="BT403" i="25" s="1"/>
  <c r="CK403" i="25"/>
  <c r="CJ403" i="25"/>
  <c r="CI403" i="25"/>
  <c r="CH403" i="25"/>
  <c r="CF403" i="25"/>
  <c r="CE403" i="25"/>
  <c r="CD403" i="25"/>
  <c r="BV403" i="25" s="1"/>
  <c r="CC403" i="25"/>
  <c r="BX403" i="25" s="1"/>
  <c r="BU403" i="25"/>
  <c r="CB403" i="25" s="1"/>
  <c r="BS403" i="25"/>
  <c r="BM403" i="25"/>
  <c r="BL403" i="25"/>
  <c r="BD403" i="25"/>
  <c r="BE403" i="25" s="1"/>
  <c r="BA403" i="25"/>
  <c r="AZ403" i="25"/>
  <c r="AX403" i="25"/>
  <c r="AW403" i="25"/>
  <c r="CR397" i="25"/>
  <c r="CQ397" i="25"/>
  <c r="CP397" i="25"/>
  <c r="CO397" i="25"/>
  <c r="CN397" i="25"/>
  <c r="CM397" i="25"/>
  <c r="CL397" i="25"/>
  <c r="BT397" i="25" s="1"/>
  <c r="CK397" i="25"/>
  <c r="CJ397" i="25"/>
  <c r="CI397" i="25"/>
  <c r="CH397" i="25"/>
  <c r="CF397" i="25"/>
  <c r="CE397" i="25"/>
  <c r="CD397" i="25"/>
  <c r="BV397" i="25" s="1"/>
  <c r="CC397" i="25"/>
  <c r="BX397" i="25" s="1"/>
  <c r="BU397" i="25"/>
  <c r="CB397" i="25" s="1"/>
  <c r="BS397" i="25"/>
  <c r="BM397" i="25"/>
  <c r="BL397" i="25"/>
  <c r="BD397" i="25"/>
  <c r="BE397" i="25" s="1"/>
  <c r="BA397" i="25"/>
  <c r="AZ397" i="25"/>
  <c r="AX397" i="25"/>
  <c r="AW397" i="25"/>
  <c r="CR395" i="25"/>
  <c r="CQ395" i="25"/>
  <c r="CP395" i="25"/>
  <c r="CO395" i="25"/>
  <c r="CN395" i="25"/>
  <c r="CM395" i="25"/>
  <c r="CL395" i="25"/>
  <c r="BT395" i="25" s="1"/>
  <c r="CK395" i="25"/>
  <c r="CJ395" i="25"/>
  <c r="CI395" i="25"/>
  <c r="CH395" i="25"/>
  <c r="CF395" i="25"/>
  <c r="CE395" i="25"/>
  <c r="CD395" i="25"/>
  <c r="BV395" i="25" s="1"/>
  <c r="CC395" i="25"/>
  <c r="BX395" i="25" s="1"/>
  <c r="BU395" i="25"/>
  <c r="CB395" i="25" s="1"/>
  <c r="BS395" i="25"/>
  <c r="BM395" i="25"/>
  <c r="BL395" i="25"/>
  <c r="BD395" i="25"/>
  <c r="BE395" i="25" s="1"/>
  <c r="BA395" i="25"/>
  <c r="AZ395" i="25"/>
  <c r="AX395" i="25"/>
  <c r="AW395" i="25"/>
  <c r="CR402" i="25"/>
  <c r="CQ402" i="25"/>
  <c r="CP402" i="25"/>
  <c r="CO402" i="25"/>
  <c r="CN402" i="25"/>
  <c r="CM402" i="25"/>
  <c r="CL402" i="25"/>
  <c r="BT402" i="25" s="1"/>
  <c r="CK402" i="25"/>
  <c r="CJ402" i="25"/>
  <c r="CI402" i="25"/>
  <c r="CH402" i="25"/>
  <c r="CF402" i="25"/>
  <c r="CE402" i="25"/>
  <c r="CD402" i="25"/>
  <c r="BV402" i="25" s="1"/>
  <c r="CC402" i="25"/>
  <c r="BX402" i="25" s="1"/>
  <c r="BU402" i="25"/>
  <c r="CB402" i="25" s="1"/>
  <c r="BS402" i="25"/>
  <c r="BM402" i="25"/>
  <c r="BL402" i="25"/>
  <c r="BD402" i="25"/>
  <c r="BE402" i="25" s="1"/>
  <c r="BA402" i="25"/>
  <c r="AZ402" i="25"/>
  <c r="AX402" i="25"/>
  <c r="AW402" i="25"/>
  <c r="CR401" i="25"/>
  <c r="CQ401" i="25"/>
  <c r="CP401" i="25"/>
  <c r="CO401" i="25"/>
  <c r="CN401" i="25"/>
  <c r="CM401" i="25"/>
  <c r="CL401" i="25"/>
  <c r="BT401" i="25" s="1"/>
  <c r="CK401" i="25"/>
  <c r="CJ401" i="25"/>
  <c r="CI401" i="25"/>
  <c r="CH401" i="25"/>
  <c r="CF401" i="25"/>
  <c r="CE401" i="25"/>
  <c r="CD401" i="25"/>
  <c r="BV401" i="25" s="1"/>
  <c r="CC401" i="25"/>
  <c r="BX401" i="25" s="1"/>
  <c r="BU401" i="25"/>
  <c r="CB401" i="25" s="1"/>
  <c r="BM401" i="25"/>
  <c r="BS401" i="25" s="1"/>
  <c r="BL401" i="25"/>
  <c r="BD401" i="25"/>
  <c r="BE401" i="25" s="1"/>
  <c r="BA401" i="25"/>
  <c r="AZ401" i="25"/>
  <c r="AX401" i="25"/>
  <c r="AW401" i="25"/>
  <c r="CR417" i="25"/>
  <c r="CQ417" i="25"/>
  <c r="CP417" i="25"/>
  <c r="CO417" i="25"/>
  <c r="CN417" i="25"/>
  <c r="CM417" i="25"/>
  <c r="CL417" i="25"/>
  <c r="BT417" i="25" s="1"/>
  <c r="CK417" i="25"/>
  <c r="CJ417" i="25"/>
  <c r="CI417" i="25"/>
  <c r="CH417" i="25"/>
  <c r="CF417" i="25"/>
  <c r="CE417" i="25"/>
  <c r="CD417" i="25"/>
  <c r="BV417" i="25" s="1"/>
  <c r="CC417" i="25"/>
  <c r="BX417" i="25" s="1"/>
  <c r="BU417" i="25"/>
  <c r="CB417" i="25" s="1"/>
  <c r="BM417" i="25"/>
  <c r="BL417" i="25"/>
  <c r="BD417" i="25"/>
  <c r="BE417" i="25" s="1"/>
  <c r="BA417" i="25"/>
  <c r="AZ417" i="25"/>
  <c r="AX417" i="25"/>
  <c r="AW417" i="25"/>
  <c r="CR414" i="25"/>
  <c r="CQ414" i="25"/>
  <c r="CP414" i="25"/>
  <c r="CO414" i="25"/>
  <c r="CN414" i="25"/>
  <c r="CM414" i="25"/>
  <c r="CL414" i="25"/>
  <c r="BT414" i="25" s="1"/>
  <c r="CK414" i="25"/>
  <c r="CJ414" i="25"/>
  <c r="CI414" i="25"/>
  <c r="CH414" i="25"/>
  <c r="CF414" i="25"/>
  <c r="CE414" i="25"/>
  <c r="CD414" i="25"/>
  <c r="BV414" i="25" s="1"/>
  <c r="CC414" i="25"/>
  <c r="BX414" i="25" s="1"/>
  <c r="BU414" i="25"/>
  <c r="CB414" i="25" s="1"/>
  <c r="BM414" i="25"/>
  <c r="BS414" i="25" s="1"/>
  <c r="BL414" i="25"/>
  <c r="BD414" i="25"/>
  <c r="BE414" i="25" s="1"/>
  <c r="BA414" i="25"/>
  <c r="AZ414" i="25"/>
  <c r="AX414" i="25"/>
  <c r="AW414" i="25"/>
  <c r="CR422" i="25"/>
  <c r="CQ422" i="25"/>
  <c r="CP422" i="25"/>
  <c r="CO422" i="25"/>
  <c r="CN422" i="25"/>
  <c r="CM422" i="25"/>
  <c r="CL422" i="25"/>
  <c r="BT422" i="25" s="1"/>
  <c r="CK422" i="25"/>
  <c r="CJ422" i="25"/>
  <c r="CI422" i="25"/>
  <c r="CH422" i="25"/>
  <c r="CF422" i="25"/>
  <c r="CE422" i="25"/>
  <c r="CD422" i="25"/>
  <c r="BV422" i="25" s="1"/>
  <c r="CC422" i="25"/>
  <c r="BX422" i="25" s="1"/>
  <c r="BU422" i="25"/>
  <c r="CB422" i="25" s="1"/>
  <c r="BS422" i="25"/>
  <c r="BM422" i="25"/>
  <c r="BL422" i="25"/>
  <c r="BD422" i="25"/>
  <c r="BE422" i="25" s="1"/>
  <c r="BA422" i="25"/>
  <c r="AZ422" i="25"/>
  <c r="AX422" i="25"/>
  <c r="AW422" i="25"/>
  <c r="CR419" i="25"/>
  <c r="CQ419" i="25"/>
  <c r="CP419" i="25"/>
  <c r="CO419" i="25"/>
  <c r="CN419" i="25"/>
  <c r="CM419" i="25"/>
  <c r="CL419" i="25"/>
  <c r="BN419" i="25" s="1"/>
  <c r="BO419" i="25" s="1"/>
  <c r="CK419" i="25"/>
  <c r="CJ419" i="25"/>
  <c r="CI419" i="25"/>
  <c r="CH419" i="25"/>
  <c r="CF419" i="25"/>
  <c r="CE419" i="25"/>
  <c r="CD419" i="25"/>
  <c r="BV419" i="25" s="1"/>
  <c r="CC419" i="25"/>
  <c r="BX419" i="25" s="1"/>
  <c r="BU419" i="25"/>
  <c r="CB419" i="25" s="1"/>
  <c r="BS419" i="25"/>
  <c r="BM419" i="25"/>
  <c r="BL419" i="25"/>
  <c r="BD419" i="25"/>
  <c r="BE419" i="25" s="1"/>
  <c r="BA419" i="25"/>
  <c r="AZ419" i="25"/>
  <c r="AX419" i="25"/>
  <c r="AW419" i="25"/>
  <c r="CR418" i="25"/>
  <c r="CQ418" i="25"/>
  <c r="CP418" i="25"/>
  <c r="CO418" i="25"/>
  <c r="CN418" i="25"/>
  <c r="CM418" i="25"/>
  <c r="CL418" i="25"/>
  <c r="BN418" i="25" s="1"/>
  <c r="BO418" i="25" s="1"/>
  <c r="CK418" i="25"/>
  <c r="CJ418" i="25"/>
  <c r="CI418" i="25"/>
  <c r="CH418" i="25"/>
  <c r="CF418" i="25"/>
  <c r="CE418" i="25"/>
  <c r="CD418" i="25"/>
  <c r="BV418" i="25" s="1"/>
  <c r="CC418" i="25"/>
  <c r="BX418" i="25" s="1"/>
  <c r="BU418" i="25"/>
  <c r="CB418" i="25" s="1"/>
  <c r="BM418" i="25"/>
  <c r="BS418" i="25" s="1"/>
  <c r="BL418" i="25"/>
  <c r="BD418" i="25"/>
  <c r="BE418" i="25" s="1"/>
  <c r="BA418" i="25"/>
  <c r="AZ418" i="25"/>
  <c r="AX418" i="25"/>
  <c r="AW418" i="25"/>
  <c r="CR412" i="25"/>
  <c r="CQ412" i="25"/>
  <c r="CP412" i="25"/>
  <c r="CO412" i="25"/>
  <c r="CN412" i="25"/>
  <c r="CM412" i="25"/>
  <c r="CL412" i="25"/>
  <c r="BT412" i="25" s="1"/>
  <c r="CK412" i="25"/>
  <c r="CJ412" i="25"/>
  <c r="CI412" i="25"/>
  <c r="CH412" i="25"/>
  <c r="CF412" i="25"/>
  <c r="CE412" i="25"/>
  <c r="CD412" i="25"/>
  <c r="BV412" i="25" s="1"/>
  <c r="CC412" i="25"/>
  <c r="BX412" i="25" s="1"/>
  <c r="BU412" i="25"/>
  <c r="CB412" i="25" s="1"/>
  <c r="BS412" i="25"/>
  <c r="BM412" i="25"/>
  <c r="BL412" i="25"/>
  <c r="BD412" i="25"/>
  <c r="BE412" i="25" s="1"/>
  <c r="BA412" i="25"/>
  <c r="AZ412" i="25"/>
  <c r="AX412" i="25"/>
  <c r="AW412" i="25"/>
  <c r="CR399" i="25"/>
  <c r="CQ399" i="25"/>
  <c r="CP399" i="25"/>
  <c r="CO399" i="25"/>
  <c r="CN399" i="25"/>
  <c r="CM399" i="25"/>
  <c r="CL399" i="25"/>
  <c r="CK399" i="25"/>
  <c r="CJ399" i="25"/>
  <c r="CI399" i="25"/>
  <c r="CH399" i="25"/>
  <c r="CF399" i="25"/>
  <c r="CE399" i="25"/>
  <c r="CD399" i="25"/>
  <c r="BV399" i="25" s="1"/>
  <c r="CC399" i="25"/>
  <c r="BX399" i="25" s="1"/>
  <c r="BU399" i="25"/>
  <c r="CB399" i="25" s="1"/>
  <c r="BS399" i="25"/>
  <c r="BM399" i="25"/>
  <c r="BL399" i="25"/>
  <c r="BD399" i="25"/>
  <c r="BE399" i="25" s="1"/>
  <c r="BA399" i="25"/>
  <c r="AZ399" i="25"/>
  <c r="AX399" i="25"/>
  <c r="AW399" i="25"/>
  <c r="CR400" i="25"/>
  <c r="CQ400" i="25"/>
  <c r="CP400" i="25"/>
  <c r="CO400" i="25"/>
  <c r="CN400" i="25"/>
  <c r="CM400" i="25"/>
  <c r="CL400" i="25"/>
  <c r="BT400" i="25" s="1"/>
  <c r="CK400" i="25"/>
  <c r="CJ400" i="25"/>
  <c r="CI400" i="25"/>
  <c r="CH400" i="25"/>
  <c r="CF400" i="25"/>
  <c r="CE400" i="25"/>
  <c r="CD400" i="25"/>
  <c r="BV400" i="25" s="1"/>
  <c r="CC400" i="25"/>
  <c r="BX400" i="25" s="1"/>
  <c r="BU400" i="25"/>
  <c r="CB400" i="25" s="1"/>
  <c r="BS400" i="25"/>
  <c r="BM400" i="25"/>
  <c r="BL400" i="25"/>
  <c r="BD400" i="25"/>
  <c r="BE400" i="25" s="1"/>
  <c r="BA400" i="25"/>
  <c r="AZ400" i="25"/>
  <c r="AX400" i="25"/>
  <c r="AW400" i="25"/>
  <c r="CR407" i="25"/>
  <c r="CQ407" i="25"/>
  <c r="CP407" i="25"/>
  <c r="CO407" i="25"/>
  <c r="CN407" i="25"/>
  <c r="CM407" i="25"/>
  <c r="CL407" i="25"/>
  <c r="BT407" i="25" s="1"/>
  <c r="CK407" i="25"/>
  <c r="CJ407" i="25"/>
  <c r="CI407" i="25"/>
  <c r="CH407" i="25"/>
  <c r="CF407" i="25"/>
  <c r="CE407" i="25"/>
  <c r="CD407" i="25"/>
  <c r="BV407" i="25" s="1"/>
  <c r="CC407" i="25"/>
  <c r="BX407" i="25" s="1"/>
  <c r="BU407" i="25"/>
  <c r="CB407" i="25" s="1"/>
  <c r="BS407" i="25"/>
  <c r="BM407" i="25"/>
  <c r="BL407" i="25"/>
  <c r="BD407" i="25"/>
  <c r="BE407" i="25" s="1"/>
  <c r="BA407" i="25"/>
  <c r="AZ407" i="25"/>
  <c r="AX407" i="25"/>
  <c r="AW407" i="25"/>
  <c r="CR416" i="25"/>
  <c r="CQ416" i="25"/>
  <c r="CP416" i="25"/>
  <c r="CO416" i="25"/>
  <c r="CN416" i="25"/>
  <c r="CM416" i="25"/>
  <c r="CL416" i="25"/>
  <c r="BN416" i="25" s="1"/>
  <c r="BO416" i="25" s="1"/>
  <c r="CK416" i="25"/>
  <c r="CJ416" i="25"/>
  <c r="CI416" i="25"/>
  <c r="CH416" i="25"/>
  <c r="CF416" i="25"/>
  <c r="CE416" i="25"/>
  <c r="CD416" i="25"/>
  <c r="BV416" i="25" s="1"/>
  <c r="CC416" i="25"/>
  <c r="BX416" i="25" s="1"/>
  <c r="BU416" i="25"/>
  <c r="CB416" i="25" s="1"/>
  <c r="BS416" i="25"/>
  <c r="BM416" i="25"/>
  <c r="BL416" i="25"/>
  <c r="BD416" i="25"/>
  <c r="BE416" i="25" s="1"/>
  <c r="BA416" i="25"/>
  <c r="AZ416" i="25"/>
  <c r="AX416" i="25"/>
  <c r="AW416" i="25"/>
  <c r="CR415" i="25"/>
  <c r="CQ415" i="25"/>
  <c r="CP415" i="25"/>
  <c r="CO415" i="25"/>
  <c r="CN415" i="25"/>
  <c r="CM415" i="25"/>
  <c r="CL415" i="25"/>
  <c r="BN415" i="25" s="1"/>
  <c r="BO415" i="25" s="1"/>
  <c r="CK415" i="25"/>
  <c r="CJ415" i="25"/>
  <c r="CI415" i="25"/>
  <c r="CH415" i="25"/>
  <c r="CF415" i="25"/>
  <c r="CE415" i="25"/>
  <c r="CD415" i="25"/>
  <c r="BV415" i="25" s="1"/>
  <c r="CC415" i="25"/>
  <c r="BX415" i="25" s="1"/>
  <c r="BU415" i="25"/>
  <c r="CB415" i="25" s="1"/>
  <c r="BS415" i="25"/>
  <c r="BM415" i="25"/>
  <c r="BL415" i="25"/>
  <c r="BD415" i="25"/>
  <c r="BE415" i="25" s="1"/>
  <c r="BA415" i="25"/>
  <c r="AZ415" i="25"/>
  <c r="AX415" i="25"/>
  <c r="AW415" i="25"/>
  <c r="CR409" i="25"/>
  <c r="CQ409" i="25"/>
  <c r="CP409" i="25"/>
  <c r="CO409" i="25"/>
  <c r="CN409" i="25"/>
  <c r="CM409" i="25"/>
  <c r="CL409" i="25"/>
  <c r="BN409" i="25" s="1"/>
  <c r="BO409" i="25" s="1"/>
  <c r="CK409" i="25"/>
  <c r="CJ409" i="25"/>
  <c r="CI409" i="25"/>
  <c r="CH409" i="25"/>
  <c r="CF409" i="25"/>
  <c r="CE409" i="25"/>
  <c r="CD409" i="25"/>
  <c r="BV409" i="25" s="1"/>
  <c r="CC409" i="25"/>
  <c r="BX409" i="25" s="1"/>
  <c r="BW409" i="25"/>
  <c r="BU409" i="25"/>
  <c r="CB409" i="25" s="1"/>
  <c r="BS409" i="25"/>
  <c r="BM409" i="25"/>
  <c r="BL409" i="25"/>
  <c r="BD409" i="25"/>
  <c r="BE409" i="25" s="1"/>
  <c r="BA409" i="25"/>
  <c r="AZ409" i="25"/>
  <c r="AX409" i="25"/>
  <c r="AW409" i="25"/>
  <c r="CR408" i="25"/>
  <c r="CQ408" i="25"/>
  <c r="CP408" i="25"/>
  <c r="CO408" i="25"/>
  <c r="CN408" i="25"/>
  <c r="CM408" i="25"/>
  <c r="CL408" i="25"/>
  <c r="BN408" i="25" s="1"/>
  <c r="BO408" i="25" s="1"/>
  <c r="CK408" i="25"/>
  <c r="CJ408" i="25"/>
  <c r="CI408" i="25"/>
  <c r="CH408" i="25"/>
  <c r="CF408" i="25"/>
  <c r="CE408" i="25"/>
  <c r="CD408" i="25"/>
  <c r="BV408" i="25" s="1"/>
  <c r="CC408" i="25"/>
  <c r="BX408" i="25" s="1"/>
  <c r="BU408" i="25"/>
  <c r="CB408" i="25" s="1"/>
  <c r="BS408" i="25"/>
  <c r="BM408" i="25"/>
  <c r="BL408" i="25"/>
  <c r="BD408" i="25"/>
  <c r="BE408" i="25" s="1"/>
  <c r="BA408" i="25"/>
  <c r="AZ408" i="25"/>
  <c r="AX408" i="25"/>
  <c r="AW408" i="25"/>
  <c r="CR388" i="25"/>
  <c r="CQ388" i="25"/>
  <c r="CP388" i="25"/>
  <c r="CO388" i="25"/>
  <c r="CN388" i="25"/>
  <c r="CM388" i="25"/>
  <c r="CL388" i="25"/>
  <c r="BN388" i="25" s="1"/>
  <c r="BO388" i="25" s="1"/>
  <c r="CK388" i="25"/>
  <c r="CJ388" i="25"/>
  <c r="CI388" i="25"/>
  <c r="CH388" i="25"/>
  <c r="CF388" i="25"/>
  <c r="CE388" i="25"/>
  <c r="CD388" i="25"/>
  <c r="BV388" i="25" s="1"/>
  <c r="CC388" i="25"/>
  <c r="BX388" i="25" s="1"/>
  <c r="BU388" i="25"/>
  <c r="CB388" i="25" s="1"/>
  <c r="BM388" i="25"/>
  <c r="BS388" i="25" s="1"/>
  <c r="BL388" i="25"/>
  <c r="BD388" i="25"/>
  <c r="BE388" i="25" s="1"/>
  <c r="BA388" i="25"/>
  <c r="AZ388" i="25"/>
  <c r="AX388" i="25"/>
  <c r="AW388" i="25"/>
  <c r="CR406" i="25"/>
  <c r="CQ406" i="25"/>
  <c r="CP406" i="25"/>
  <c r="CO406" i="25"/>
  <c r="CN406" i="25"/>
  <c r="CM406" i="25"/>
  <c r="CL406" i="25"/>
  <c r="BR406" i="25" s="1"/>
  <c r="CK406" i="25"/>
  <c r="CJ406" i="25"/>
  <c r="CI406" i="25"/>
  <c r="CH406" i="25"/>
  <c r="CF406" i="25"/>
  <c r="CE406" i="25"/>
  <c r="CD406" i="25"/>
  <c r="BV406" i="25" s="1"/>
  <c r="CC406" i="25"/>
  <c r="BX406" i="25" s="1"/>
  <c r="BU406" i="25"/>
  <c r="CB406" i="25" s="1"/>
  <c r="BS406" i="25"/>
  <c r="BM406" i="25"/>
  <c r="BL406" i="25"/>
  <c r="BD406" i="25"/>
  <c r="BE406" i="25" s="1"/>
  <c r="BA406" i="25"/>
  <c r="AZ406" i="25"/>
  <c r="AX406" i="25"/>
  <c r="AW406" i="25"/>
  <c r="CR420" i="25"/>
  <c r="CQ420" i="25"/>
  <c r="CP420" i="25"/>
  <c r="CO420" i="25"/>
  <c r="CN420" i="25"/>
  <c r="CM420" i="25"/>
  <c r="CL420" i="25"/>
  <c r="BW420" i="25" s="1"/>
  <c r="CK420" i="25"/>
  <c r="CJ420" i="25"/>
  <c r="CI420" i="25"/>
  <c r="CH420" i="25"/>
  <c r="CF420" i="25"/>
  <c r="CE420" i="25"/>
  <c r="CD420" i="25"/>
  <c r="BV420" i="25" s="1"/>
  <c r="CC420" i="25"/>
  <c r="BX420" i="25" s="1"/>
  <c r="BU420" i="25"/>
  <c r="CB420" i="25" s="1"/>
  <c r="BS420" i="25"/>
  <c r="BM420" i="25"/>
  <c r="BL420" i="25"/>
  <c r="BD420" i="25"/>
  <c r="BE420" i="25" s="1"/>
  <c r="BA420" i="25"/>
  <c r="AZ420" i="25"/>
  <c r="AX420" i="25"/>
  <c r="AW420" i="25"/>
  <c r="CR421" i="25"/>
  <c r="CQ421" i="25"/>
  <c r="CP421" i="25"/>
  <c r="CO421" i="25"/>
  <c r="CN421" i="25"/>
  <c r="CM421" i="25"/>
  <c r="CL421" i="25"/>
  <c r="BN421" i="25" s="1"/>
  <c r="BO421" i="25" s="1"/>
  <c r="CK421" i="25"/>
  <c r="CJ421" i="25"/>
  <c r="CI421" i="25"/>
  <c r="CH421" i="25"/>
  <c r="CF421" i="25"/>
  <c r="CE421" i="25"/>
  <c r="CD421" i="25"/>
  <c r="BV421" i="25" s="1"/>
  <c r="CC421" i="25"/>
  <c r="BX421" i="25" s="1"/>
  <c r="BU421" i="25"/>
  <c r="CB421" i="25" s="1"/>
  <c r="BS421" i="25"/>
  <c r="BM421" i="25"/>
  <c r="BL421" i="25"/>
  <c r="BD421" i="25"/>
  <c r="BE421" i="25" s="1"/>
  <c r="BA421" i="25"/>
  <c r="AZ421" i="25"/>
  <c r="AX421" i="25"/>
  <c r="AW421" i="25"/>
  <c r="CR398" i="25"/>
  <c r="CQ398" i="25"/>
  <c r="CP398" i="25"/>
  <c r="CO398" i="25"/>
  <c r="CN398" i="25"/>
  <c r="CM398" i="25"/>
  <c r="CL398" i="25"/>
  <c r="BN398" i="25" s="1"/>
  <c r="BO398" i="25" s="1"/>
  <c r="CK398" i="25"/>
  <c r="CJ398" i="25"/>
  <c r="CI398" i="25"/>
  <c r="CH398" i="25"/>
  <c r="CF398" i="25"/>
  <c r="CE398" i="25"/>
  <c r="CD398" i="25"/>
  <c r="BV398" i="25" s="1"/>
  <c r="CC398" i="25"/>
  <c r="BX398" i="25" s="1"/>
  <c r="BU398" i="25"/>
  <c r="CB398" i="25" s="1"/>
  <c r="BS398" i="25"/>
  <c r="BM398" i="25"/>
  <c r="BL398" i="25"/>
  <c r="BD398" i="25"/>
  <c r="BE398" i="25" s="1"/>
  <c r="BA398" i="25"/>
  <c r="AZ398" i="25"/>
  <c r="AX398" i="25"/>
  <c r="AW398" i="25"/>
  <c r="CR396" i="25"/>
  <c r="CQ396" i="25"/>
  <c r="CP396" i="25"/>
  <c r="CO396" i="25"/>
  <c r="CN396" i="25"/>
  <c r="CM396" i="25"/>
  <c r="CL396" i="25"/>
  <c r="CK396" i="25"/>
  <c r="CJ396" i="25"/>
  <c r="CI396" i="25"/>
  <c r="CH396" i="25"/>
  <c r="CF396" i="25"/>
  <c r="CE396" i="25"/>
  <c r="CD396" i="25"/>
  <c r="BV396" i="25" s="1"/>
  <c r="CC396" i="25"/>
  <c r="BX396" i="25" s="1"/>
  <c r="BU396" i="25"/>
  <c r="CB396" i="25" s="1"/>
  <c r="BS396" i="25"/>
  <c r="BM396" i="25"/>
  <c r="BL396" i="25"/>
  <c r="BD396" i="25"/>
  <c r="BE396" i="25" s="1"/>
  <c r="BA396" i="25"/>
  <c r="AZ396" i="25"/>
  <c r="AX396" i="25"/>
  <c r="AW396" i="25"/>
  <c r="CR411" i="25"/>
  <c r="CQ411" i="25"/>
  <c r="CP411" i="25"/>
  <c r="CO411" i="25"/>
  <c r="CN411" i="25"/>
  <c r="CM411" i="25"/>
  <c r="CL411" i="25"/>
  <c r="BN411" i="25" s="1"/>
  <c r="BO411" i="25" s="1"/>
  <c r="CK411" i="25"/>
  <c r="CJ411" i="25"/>
  <c r="CI411" i="25"/>
  <c r="CH411" i="25"/>
  <c r="CF411" i="25"/>
  <c r="CE411" i="25"/>
  <c r="CD411" i="25"/>
  <c r="BV411" i="25" s="1"/>
  <c r="CC411" i="25"/>
  <c r="BX411" i="25" s="1"/>
  <c r="BU411" i="25"/>
  <c r="CB411" i="25" s="1"/>
  <c r="BS411" i="25"/>
  <c r="BM411" i="25"/>
  <c r="BL411" i="25"/>
  <c r="BD411" i="25"/>
  <c r="BE411" i="25" s="1"/>
  <c r="BA411" i="25"/>
  <c r="AZ411" i="25"/>
  <c r="AX411" i="25"/>
  <c r="AW411" i="25"/>
  <c r="CR394" i="25"/>
  <c r="CQ394" i="25"/>
  <c r="CP394" i="25"/>
  <c r="CO394" i="25"/>
  <c r="CN394" i="25"/>
  <c r="CM394" i="25"/>
  <c r="CL394" i="25"/>
  <c r="BN394" i="25" s="1"/>
  <c r="BO394" i="25" s="1"/>
  <c r="CK394" i="25"/>
  <c r="CJ394" i="25"/>
  <c r="CI394" i="25"/>
  <c r="CH394" i="25"/>
  <c r="CF394" i="25"/>
  <c r="CE394" i="25"/>
  <c r="CD394" i="25"/>
  <c r="BV394" i="25" s="1"/>
  <c r="CC394" i="25"/>
  <c r="BX394" i="25" s="1"/>
  <c r="BU394" i="25"/>
  <c r="CB394" i="25" s="1"/>
  <c r="BS394" i="25"/>
  <c r="BM394" i="25"/>
  <c r="BL394" i="25"/>
  <c r="BD394" i="25"/>
  <c r="BE394" i="25" s="1"/>
  <c r="BA394" i="25"/>
  <c r="AZ394" i="25"/>
  <c r="AX394" i="25"/>
  <c r="AW394" i="25"/>
  <c r="CR393" i="25"/>
  <c r="CQ393" i="25"/>
  <c r="CP393" i="25"/>
  <c r="CO393" i="25"/>
  <c r="CN393" i="25"/>
  <c r="CM393" i="25"/>
  <c r="CL393" i="25"/>
  <c r="BN393" i="25" s="1"/>
  <c r="BO393" i="25" s="1"/>
  <c r="CK393" i="25"/>
  <c r="CJ393" i="25"/>
  <c r="CI393" i="25"/>
  <c r="CH393" i="25"/>
  <c r="CF393" i="25"/>
  <c r="CE393" i="25"/>
  <c r="CD393" i="25"/>
  <c r="BV393" i="25" s="1"/>
  <c r="CC393" i="25"/>
  <c r="BX393" i="25" s="1"/>
  <c r="BU393" i="25"/>
  <c r="CB393" i="25" s="1"/>
  <c r="BM393" i="25"/>
  <c r="BS393" i="25" s="1"/>
  <c r="BL393" i="25"/>
  <c r="BD393" i="25"/>
  <c r="BE393" i="25" s="1"/>
  <c r="BA393" i="25"/>
  <c r="AZ393" i="25"/>
  <c r="AX393" i="25"/>
  <c r="AW393" i="25"/>
  <c r="CR392" i="25"/>
  <c r="CQ392" i="25"/>
  <c r="CP392" i="25"/>
  <c r="CO392" i="25"/>
  <c r="CN392" i="25"/>
  <c r="CM392" i="25"/>
  <c r="CL392" i="25"/>
  <c r="BN392" i="25" s="1"/>
  <c r="BO392" i="25" s="1"/>
  <c r="CK392" i="25"/>
  <c r="CJ392" i="25"/>
  <c r="CI392" i="25"/>
  <c r="CH392" i="25"/>
  <c r="CF392" i="25"/>
  <c r="CE392" i="25"/>
  <c r="CD392" i="25"/>
  <c r="BV392" i="25" s="1"/>
  <c r="CC392" i="25"/>
  <c r="BX392" i="25" s="1"/>
  <c r="BU392" i="25"/>
  <c r="CB392" i="25" s="1"/>
  <c r="BS392" i="25"/>
  <c r="BM392" i="25"/>
  <c r="BL392" i="25"/>
  <c r="BD392" i="25"/>
  <c r="BE392" i="25" s="1"/>
  <c r="BA392" i="25"/>
  <c r="AZ392" i="25"/>
  <c r="AX392" i="25"/>
  <c r="AW392" i="25"/>
  <c r="CR413" i="25"/>
  <c r="CQ413" i="25"/>
  <c r="CP413" i="25"/>
  <c r="CO413" i="25"/>
  <c r="CN413" i="25"/>
  <c r="CM413" i="25"/>
  <c r="CL413" i="25"/>
  <c r="BN413" i="25" s="1"/>
  <c r="BO413" i="25" s="1"/>
  <c r="CK413" i="25"/>
  <c r="CJ413" i="25"/>
  <c r="CI413" i="25"/>
  <c r="CH413" i="25"/>
  <c r="CF413" i="25"/>
  <c r="CE413" i="25"/>
  <c r="CD413" i="25"/>
  <c r="BV413" i="25" s="1"/>
  <c r="CC413" i="25"/>
  <c r="BX413" i="25" s="1"/>
  <c r="BU413" i="25"/>
  <c r="CB413" i="25" s="1"/>
  <c r="BS413" i="25"/>
  <c r="BM413" i="25"/>
  <c r="BL413" i="25"/>
  <c r="BD413" i="25"/>
  <c r="BE413" i="25" s="1"/>
  <c r="BA413" i="25"/>
  <c r="AZ413" i="25"/>
  <c r="AX413" i="25"/>
  <c r="AW413" i="25"/>
  <c r="CR410" i="25"/>
  <c r="CQ410" i="25"/>
  <c r="CP410" i="25"/>
  <c r="CO410" i="25"/>
  <c r="CN410" i="25"/>
  <c r="CM410" i="25"/>
  <c r="CL410" i="25"/>
  <c r="BW410" i="25" s="1"/>
  <c r="CK410" i="25"/>
  <c r="CJ410" i="25"/>
  <c r="CI410" i="25"/>
  <c r="CH410" i="25"/>
  <c r="CF410" i="25"/>
  <c r="CE410" i="25"/>
  <c r="CD410" i="25"/>
  <c r="BV410" i="25" s="1"/>
  <c r="CC410" i="25"/>
  <c r="BX410" i="25" s="1"/>
  <c r="BU410" i="25"/>
  <c r="CB410" i="25" s="1"/>
  <c r="BS410" i="25"/>
  <c r="BM410" i="25"/>
  <c r="BL410" i="25"/>
  <c r="BD410" i="25"/>
  <c r="BE410" i="25" s="1"/>
  <c r="BA410" i="25"/>
  <c r="AZ410" i="25"/>
  <c r="AX410" i="25"/>
  <c r="AW410" i="25"/>
  <c r="CR390" i="25"/>
  <c r="CQ390" i="25"/>
  <c r="CP390" i="25"/>
  <c r="CO390" i="25"/>
  <c r="CN390" i="25"/>
  <c r="CM390" i="25"/>
  <c r="CL390" i="25"/>
  <c r="BT390" i="25" s="1"/>
  <c r="CK390" i="25"/>
  <c r="CJ390" i="25"/>
  <c r="CI390" i="25"/>
  <c r="CH390" i="25"/>
  <c r="CF390" i="25"/>
  <c r="CE390" i="25"/>
  <c r="CD390" i="25"/>
  <c r="BV390" i="25" s="1"/>
  <c r="CC390" i="25"/>
  <c r="BX390" i="25" s="1"/>
  <c r="BW390" i="25"/>
  <c r="BU390" i="25"/>
  <c r="CB390" i="25" s="1"/>
  <c r="BS390" i="25"/>
  <c r="BM390" i="25"/>
  <c r="BL390" i="25"/>
  <c r="BD390" i="25"/>
  <c r="BE390" i="25" s="1"/>
  <c r="BA390" i="25"/>
  <c r="AZ390" i="25"/>
  <c r="AX390" i="25"/>
  <c r="AW390" i="25"/>
  <c r="CR404" i="25"/>
  <c r="CQ404" i="25"/>
  <c r="CP404" i="25"/>
  <c r="CO404" i="25"/>
  <c r="CN404" i="25"/>
  <c r="CM404" i="25"/>
  <c r="CL404" i="25"/>
  <c r="CK404" i="25"/>
  <c r="CJ404" i="25"/>
  <c r="CI404" i="25"/>
  <c r="CH404" i="25"/>
  <c r="CF404" i="25"/>
  <c r="CE404" i="25"/>
  <c r="CD404" i="25"/>
  <c r="BV404" i="25" s="1"/>
  <c r="CC404" i="25"/>
  <c r="BX404" i="25" s="1"/>
  <c r="BW404" i="25"/>
  <c r="BU404" i="25"/>
  <c r="CB404" i="25" s="1"/>
  <c r="BS404" i="25"/>
  <c r="BM404" i="25"/>
  <c r="BL404" i="25"/>
  <c r="BD404" i="25"/>
  <c r="BE404" i="25" s="1"/>
  <c r="BA404" i="25"/>
  <c r="AZ404" i="25"/>
  <c r="AX404" i="25"/>
  <c r="AW404" i="25"/>
  <c r="CR378" i="25"/>
  <c r="CQ378" i="25"/>
  <c r="CP378" i="25"/>
  <c r="CO378" i="25"/>
  <c r="CN378" i="25"/>
  <c r="CM378" i="25"/>
  <c r="CL378" i="25"/>
  <c r="BW378" i="25" s="1"/>
  <c r="CK378" i="25"/>
  <c r="CJ378" i="25"/>
  <c r="CI378" i="25"/>
  <c r="CH378" i="25"/>
  <c r="CF378" i="25"/>
  <c r="CE378" i="25"/>
  <c r="CD378" i="25"/>
  <c r="BV378" i="25" s="1"/>
  <c r="CC378" i="25"/>
  <c r="BX378" i="25" s="1"/>
  <c r="BU378" i="25"/>
  <c r="CB378" i="25" s="1"/>
  <c r="BS378" i="25"/>
  <c r="BM378" i="25"/>
  <c r="BL378" i="25"/>
  <c r="BD378" i="25"/>
  <c r="BE378" i="25" s="1"/>
  <c r="BA378" i="25"/>
  <c r="AZ378" i="25"/>
  <c r="AX378" i="25"/>
  <c r="AW378" i="25"/>
  <c r="CR349" i="25"/>
  <c r="CQ349" i="25"/>
  <c r="CP349" i="25"/>
  <c r="CO349" i="25"/>
  <c r="CN349" i="25"/>
  <c r="CM349" i="25"/>
  <c r="CL349" i="25"/>
  <c r="BN349" i="25" s="1"/>
  <c r="BO349" i="25" s="1"/>
  <c r="CK349" i="25"/>
  <c r="CJ349" i="25"/>
  <c r="CI349" i="25"/>
  <c r="CH349" i="25"/>
  <c r="CF349" i="25"/>
  <c r="CE349" i="25"/>
  <c r="CD349" i="25"/>
  <c r="BV349" i="25" s="1"/>
  <c r="CC349" i="25"/>
  <c r="BX349" i="25" s="1"/>
  <c r="BU349" i="25"/>
  <c r="CB349" i="25" s="1"/>
  <c r="BS349" i="25"/>
  <c r="BM349" i="25"/>
  <c r="BL349" i="25"/>
  <c r="BD349" i="25"/>
  <c r="BE349" i="25" s="1"/>
  <c r="BA349" i="25"/>
  <c r="AZ349" i="25"/>
  <c r="AX349" i="25"/>
  <c r="AW349" i="25"/>
  <c r="CR303" i="25"/>
  <c r="CQ303" i="25"/>
  <c r="CP303" i="25"/>
  <c r="CO303" i="25"/>
  <c r="CN303" i="25"/>
  <c r="CM303" i="25"/>
  <c r="CL303" i="25"/>
  <c r="BN303" i="25" s="1"/>
  <c r="BO303" i="25" s="1"/>
  <c r="CK303" i="25"/>
  <c r="CJ303" i="25"/>
  <c r="CI303" i="25"/>
  <c r="CH303" i="25"/>
  <c r="CF303" i="25"/>
  <c r="CE303" i="25"/>
  <c r="CD303" i="25"/>
  <c r="BV303" i="25" s="1"/>
  <c r="CC303" i="25"/>
  <c r="BX303" i="25" s="1"/>
  <c r="BU303" i="25"/>
  <c r="CB303" i="25" s="1"/>
  <c r="BM303" i="25"/>
  <c r="BS303" i="25" s="1"/>
  <c r="BL303" i="25"/>
  <c r="BD303" i="25"/>
  <c r="BE303" i="25" s="1"/>
  <c r="BA303" i="25"/>
  <c r="AZ303" i="25"/>
  <c r="AX303" i="25"/>
  <c r="AW303" i="25"/>
  <c r="CR302" i="25"/>
  <c r="CQ302" i="25"/>
  <c r="CP302" i="25"/>
  <c r="CO302" i="25"/>
  <c r="CN302" i="25"/>
  <c r="CM302" i="25"/>
  <c r="CL302" i="25"/>
  <c r="BW302" i="25" s="1"/>
  <c r="CK302" i="25"/>
  <c r="CJ302" i="25"/>
  <c r="CI302" i="25"/>
  <c r="CH302" i="25"/>
  <c r="CF302" i="25"/>
  <c r="CE302" i="25"/>
  <c r="CD302" i="25"/>
  <c r="BV302" i="25" s="1"/>
  <c r="CC302" i="25"/>
  <c r="BX302" i="25" s="1"/>
  <c r="BU302" i="25"/>
  <c r="CB302" i="25" s="1"/>
  <c r="BM302" i="25"/>
  <c r="BS302" i="25" s="1"/>
  <c r="BL302" i="25"/>
  <c r="BD302" i="25"/>
  <c r="BE302" i="25" s="1"/>
  <c r="BA302" i="25"/>
  <c r="AZ302" i="25"/>
  <c r="AX302" i="25"/>
  <c r="AW302" i="25"/>
  <c r="CR365" i="25"/>
  <c r="CQ365" i="25"/>
  <c r="CN365" i="25"/>
  <c r="CM365" i="25"/>
  <c r="CL365" i="25"/>
  <c r="BN365" i="25" s="1"/>
  <c r="BO365" i="25" s="1"/>
  <c r="CK365" i="25"/>
  <c r="CJ365" i="25"/>
  <c r="CI365" i="25"/>
  <c r="CH365" i="25"/>
  <c r="CF365" i="25"/>
  <c r="CE365" i="25"/>
  <c r="CD365" i="25"/>
  <c r="BV365" i="25" s="1"/>
  <c r="CC365" i="25"/>
  <c r="BX365" i="25" s="1"/>
  <c r="BU365" i="25"/>
  <c r="CB365" i="25" s="1"/>
  <c r="BM365" i="25"/>
  <c r="BS365" i="25" s="1"/>
  <c r="BL365" i="25"/>
  <c r="BD365" i="25"/>
  <c r="BE365" i="25" s="1"/>
  <c r="BA365" i="25"/>
  <c r="AZ365" i="25"/>
  <c r="AX365" i="25"/>
  <c r="AW365" i="25"/>
  <c r="CR300" i="25"/>
  <c r="CQ300" i="25"/>
  <c r="CP300" i="25"/>
  <c r="CO300" i="25"/>
  <c r="CN300" i="25"/>
  <c r="CM300" i="25"/>
  <c r="CL300" i="25"/>
  <c r="BW300" i="25" s="1"/>
  <c r="CK300" i="25"/>
  <c r="CJ300" i="25"/>
  <c r="CI300" i="25"/>
  <c r="CH300" i="25"/>
  <c r="CF300" i="25"/>
  <c r="CE300" i="25"/>
  <c r="CD300" i="25"/>
  <c r="BV300" i="25" s="1"/>
  <c r="CC300" i="25"/>
  <c r="BX300" i="25" s="1"/>
  <c r="BU300" i="25"/>
  <c r="CB300" i="25" s="1"/>
  <c r="BM300" i="25"/>
  <c r="BS300" i="25" s="1"/>
  <c r="BL300" i="25"/>
  <c r="BD300" i="25"/>
  <c r="BE300" i="25" s="1"/>
  <c r="BA300" i="25"/>
  <c r="AZ300" i="25"/>
  <c r="AX300" i="25"/>
  <c r="AW300" i="25"/>
  <c r="CR379" i="25"/>
  <c r="CQ379" i="25"/>
  <c r="CP379" i="25"/>
  <c r="CO379" i="25"/>
  <c r="CN379" i="25"/>
  <c r="CM379" i="25"/>
  <c r="CL379" i="25"/>
  <c r="BR379" i="25" s="1"/>
  <c r="CK379" i="25"/>
  <c r="CJ379" i="25"/>
  <c r="CI379" i="25"/>
  <c r="CH379" i="25"/>
  <c r="CF379" i="25"/>
  <c r="CE379" i="25"/>
  <c r="CD379" i="25"/>
  <c r="BV379" i="25" s="1"/>
  <c r="CC379" i="25"/>
  <c r="BX379" i="25" s="1"/>
  <c r="BU379" i="25"/>
  <c r="CB379" i="25" s="1"/>
  <c r="BS379" i="25"/>
  <c r="BM379" i="25"/>
  <c r="BL379" i="25"/>
  <c r="BD379" i="25"/>
  <c r="BE379" i="25" s="1"/>
  <c r="BA379" i="25"/>
  <c r="AZ379" i="25"/>
  <c r="AX379" i="25"/>
  <c r="AW379" i="25"/>
  <c r="CR376" i="25"/>
  <c r="CQ376" i="25"/>
  <c r="CP376" i="25"/>
  <c r="CO376" i="25"/>
  <c r="CN376" i="25"/>
  <c r="CM376" i="25"/>
  <c r="CL376" i="25"/>
  <c r="BT376" i="25" s="1"/>
  <c r="CK376" i="25"/>
  <c r="CJ376" i="25"/>
  <c r="CI376" i="25"/>
  <c r="CH376" i="25"/>
  <c r="CF376" i="25"/>
  <c r="CE376" i="25"/>
  <c r="CD376" i="25"/>
  <c r="BV376" i="25" s="1"/>
  <c r="CC376" i="25"/>
  <c r="BX376" i="25" s="1"/>
  <c r="BU376" i="25"/>
  <c r="CB376" i="25" s="1"/>
  <c r="BS376" i="25"/>
  <c r="BM376" i="25"/>
  <c r="BL376" i="25"/>
  <c r="BD376" i="25"/>
  <c r="BA376" i="25"/>
  <c r="AZ376" i="25"/>
  <c r="AX376" i="25"/>
  <c r="AW376" i="25"/>
  <c r="CR375" i="25"/>
  <c r="CQ375" i="25"/>
  <c r="CN375" i="25"/>
  <c r="CM375" i="25"/>
  <c r="CL375" i="25"/>
  <c r="BT375" i="25" s="1"/>
  <c r="CK375" i="25"/>
  <c r="CJ375" i="25"/>
  <c r="CI375" i="25"/>
  <c r="CH375" i="25"/>
  <c r="CF375" i="25"/>
  <c r="CE375" i="25"/>
  <c r="CD375" i="25"/>
  <c r="BV375" i="25" s="1"/>
  <c r="CC375" i="25"/>
  <c r="BX375" i="25" s="1"/>
  <c r="BU375" i="25"/>
  <c r="CB375" i="25" s="1"/>
  <c r="BM375" i="25"/>
  <c r="BL375" i="25"/>
  <c r="BD375" i="25"/>
  <c r="BA375" i="25"/>
  <c r="AZ375" i="25"/>
  <c r="AX375" i="25"/>
  <c r="AW375" i="25"/>
  <c r="CR299" i="25"/>
  <c r="CQ299" i="25"/>
  <c r="CP299" i="25"/>
  <c r="CO299" i="25"/>
  <c r="CN299" i="25"/>
  <c r="CM299" i="25"/>
  <c r="CL299" i="25"/>
  <c r="BT299" i="25" s="1"/>
  <c r="CK299" i="25"/>
  <c r="CJ299" i="25"/>
  <c r="CI299" i="25"/>
  <c r="CH299" i="25"/>
  <c r="CF299" i="25"/>
  <c r="CE299" i="25"/>
  <c r="CD299" i="25"/>
  <c r="BV299" i="25" s="1"/>
  <c r="CC299" i="25"/>
  <c r="BX299" i="25" s="1"/>
  <c r="BU299" i="25"/>
  <c r="CB299" i="25" s="1"/>
  <c r="BM299" i="25"/>
  <c r="BL299" i="25"/>
  <c r="BD299" i="25"/>
  <c r="BA299" i="25"/>
  <c r="AZ299" i="25"/>
  <c r="AX299" i="25"/>
  <c r="AW299" i="25"/>
  <c r="CR298" i="25"/>
  <c r="CQ298" i="25"/>
  <c r="CN298" i="25"/>
  <c r="CM298" i="25"/>
  <c r="CL298" i="25"/>
  <c r="BT298" i="25" s="1"/>
  <c r="CK298" i="25"/>
  <c r="CJ298" i="25"/>
  <c r="CI298" i="25"/>
  <c r="CH298" i="25"/>
  <c r="CF298" i="25"/>
  <c r="CE298" i="25"/>
  <c r="CD298" i="25"/>
  <c r="BV298" i="25" s="1"/>
  <c r="CC298" i="25"/>
  <c r="BX298" i="25" s="1"/>
  <c r="BU298" i="25"/>
  <c r="CB298" i="25" s="1"/>
  <c r="BS298" i="25"/>
  <c r="BM298" i="25"/>
  <c r="BL298" i="25"/>
  <c r="BD298" i="25"/>
  <c r="BA298" i="25"/>
  <c r="AZ298" i="25"/>
  <c r="AX298" i="25"/>
  <c r="AW298" i="25"/>
  <c r="CR297" i="25"/>
  <c r="CQ297" i="25"/>
  <c r="CN297" i="25"/>
  <c r="CM297" i="25"/>
  <c r="CL297" i="25"/>
  <c r="BW297" i="25" s="1"/>
  <c r="CK297" i="25"/>
  <c r="CJ297" i="25"/>
  <c r="CI297" i="25"/>
  <c r="CH297" i="25"/>
  <c r="CF297" i="25"/>
  <c r="CE297" i="25"/>
  <c r="CD297" i="25"/>
  <c r="BV297" i="25" s="1"/>
  <c r="CC297" i="25"/>
  <c r="BX297" i="25" s="1"/>
  <c r="BU297" i="25"/>
  <c r="CB297" i="25" s="1"/>
  <c r="BM297" i="25"/>
  <c r="BL297" i="25"/>
  <c r="BD297" i="25"/>
  <c r="BA297" i="25"/>
  <c r="AZ297" i="25"/>
  <c r="AX297" i="25"/>
  <c r="AW297" i="25"/>
  <c r="CR296" i="25"/>
  <c r="CQ296" i="25"/>
  <c r="CN296" i="25"/>
  <c r="CM296" i="25"/>
  <c r="CL296" i="25"/>
  <c r="BR296" i="25" s="1"/>
  <c r="CK296" i="25"/>
  <c r="CJ296" i="25"/>
  <c r="CI296" i="25"/>
  <c r="CH296" i="25"/>
  <c r="CF296" i="25"/>
  <c r="CE296" i="25"/>
  <c r="CD296" i="25"/>
  <c r="BV296" i="25" s="1"/>
  <c r="CC296" i="25"/>
  <c r="BX296" i="25" s="1"/>
  <c r="BU296" i="25"/>
  <c r="CB296" i="25" s="1"/>
  <c r="BM296" i="25"/>
  <c r="BL296" i="25"/>
  <c r="BD296" i="25"/>
  <c r="BA296" i="25"/>
  <c r="AZ296" i="25"/>
  <c r="AX296" i="25"/>
  <c r="AW296" i="25"/>
  <c r="CR294" i="25"/>
  <c r="CQ294" i="25"/>
  <c r="CN294" i="25"/>
  <c r="CM294" i="25"/>
  <c r="CL294" i="25"/>
  <c r="BT294" i="25" s="1"/>
  <c r="CK294" i="25"/>
  <c r="CJ294" i="25"/>
  <c r="CI294" i="25"/>
  <c r="CH294" i="25"/>
  <c r="CF294" i="25"/>
  <c r="CE294" i="25"/>
  <c r="CD294" i="25"/>
  <c r="BV294" i="25" s="1"/>
  <c r="CC294" i="25"/>
  <c r="BX294" i="25" s="1"/>
  <c r="BU294" i="25"/>
  <c r="CB294" i="25" s="1"/>
  <c r="BM294" i="25"/>
  <c r="BL294" i="25"/>
  <c r="BD294" i="25"/>
  <c r="BA294" i="25"/>
  <c r="AZ294" i="25"/>
  <c r="AX294" i="25"/>
  <c r="AW294" i="25"/>
  <c r="CR237" i="25"/>
  <c r="CQ237" i="25"/>
  <c r="CN237" i="25"/>
  <c r="CM237" i="25"/>
  <c r="CL237" i="25"/>
  <c r="BW237" i="25" s="1"/>
  <c r="CK237" i="25"/>
  <c r="CJ237" i="25"/>
  <c r="CI237" i="25"/>
  <c r="CH237" i="25"/>
  <c r="CF237" i="25"/>
  <c r="CE237" i="25"/>
  <c r="CD237" i="25"/>
  <c r="BV237" i="25" s="1"/>
  <c r="CC237" i="25"/>
  <c r="BX237" i="25" s="1"/>
  <c r="BU237" i="25"/>
  <c r="CB237" i="25" s="1"/>
  <c r="BM237" i="25"/>
  <c r="BL237" i="25"/>
  <c r="BD237" i="25"/>
  <c r="BA237" i="25"/>
  <c r="AZ237" i="25"/>
  <c r="AX237" i="25"/>
  <c r="AW237" i="25"/>
  <c r="CR344" i="25"/>
  <c r="CQ344" i="25"/>
  <c r="CN344" i="25"/>
  <c r="CM344" i="25"/>
  <c r="CL344" i="25"/>
  <c r="BN344" i="25" s="1"/>
  <c r="BO344" i="25" s="1"/>
  <c r="CK344" i="25"/>
  <c r="CJ344" i="25"/>
  <c r="CI344" i="25"/>
  <c r="CH344" i="25"/>
  <c r="CF344" i="25"/>
  <c r="CE344" i="25"/>
  <c r="CD344" i="25"/>
  <c r="BV344" i="25" s="1"/>
  <c r="CC344" i="25"/>
  <c r="BX344" i="25" s="1"/>
  <c r="BU344" i="25"/>
  <c r="CB344" i="25" s="1"/>
  <c r="BM344" i="25"/>
  <c r="BL344" i="25"/>
  <c r="BD344" i="25"/>
  <c r="BA344" i="25"/>
  <c r="AZ344" i="25"/>
  <c r="AX344" i="25"/>
  <c r="AW344" i="25"/>
  <c r="CR343" i="25"/>
  <c r="CQ343" i="25"/>
  <c r="CN343" i="25"/>
  <c r="CM343" i="25"/>
  <c r="CL343" i="25"/>
  <c r="BT343" i="25" s="1"/>
  <c r="CK343" i="25"/>
  <c r="CJ343" i="25"/>
  <c r="CI343" i="25"/>
  <c r="CH343" i="25"/>
  <c r="CF343" i="25"/>
  <c r="CE343" i="25"/>
  <c r="CD343" i="25"/>
  <c r="BV343" i="25" s="1"/>
  <c r="CC343" i="25"/>
  <c r="BX343" i="25" s="1"/>
  <c r="BU343" i="25"/>
  <c r="CB343" i="25" s="1"/>
  <c r="BS343" i="25"/>
  <c r="BM343" i="25"/>
  <c r="BL343" i="25"/>
  <c r="BD343" i="25"/>
  <c r="BA343" i="25"/>
  <c r="AZ343" i="25"/>
  <c r="AX343" i="25"/>
  <c r="AW343" i="25"/>
  <c r="CR346" i="25"/>
  <c r="CQ346" i="25"/>
  <c r="CP346" i="25"/>
  <c r="CO346" i="25"/>
  <c r="CN346" i="25"/>
  <c r="CM346" i="25"/>
  <c r="CL346" i="25"/>
  <c r="BT346" i="25" s="1"/>
  <c r="CK346" i="25"/>
  <c r="CJ346" i="25"/>
  <c r="CI346" i="25"/>
  <c r="CH346" i="25"/>
  <c r="CF346" i="25"/>
  <c r="CE346" i="25"/>
  <c r="CD346" i="25"/>
  <c r="BV346" i="25" s="1"/>
  <c r="CC346" i="25"/>
  <c r="BX346" i="25" s="1"/>
  <c r="BW346" i="25"/>
  <c r="BU346" i="25"/>
  <c r="CB346" i="25" s="1"/>
  <c r="BS346" i="25"/>
  <c r="BR346" i="25"/>
  <c r="BM346" i="25"/>
  <c r="BL346" i="25"/>
  <c r="BD346" i="25"/>
  <c r="BA346" i="25"/>
  <c r="AZ346" i="25"/>
  <c r="AX346" i="25"/>
  <c r="AW346" i="25"/>
  <c r="CR387" i="25"/>
  <c r="CQ387" i="25"/>
  <c r="CP387" i="25"/>
  <c r="CO387" i="25"/>
  <c r="CN387" i="25"/>
  <c r="CM387" i="25"/>
  <c r="CL387" i="25"/>
  <c r="BN387" i="25" s="1"/>
  <c r="BO387" i="25" s="1"/>
  <c r="CK387" i="25"/>
  <c r="CJ387" i="25"/>
  <c r="CI387" i="25"/>
  <c r="CH387" i="25"/>
  <c r="CF387" i="25"/>
  <c r="CE387" i="25"/>
  <c r="CD387" i="25"/>
  <c r="BV387" i="25" s="1"/>
  <c r="CC387" i="25"/>
  <c r="BX387" i="25" s="1"/>
  <c r="BU387" i="25"/>
  <c r="CB387" i="25" s="1"/>
  <c r="BS387" i="25"/>
  <c r="BM387" i="25"/>
  <c r="BL387" i="25"/>
  <c r="BD387" i="25"/>
  <c r="BA387" i="25"/>
  <c r="AZ387" i="25"/>
  <c r="AX387" i="25"/>
  <c r="AW387" i="25"/>
  <c r="CR358" i="25"/>
  <c r="CQ358" i="25"/>
  <c r="CP358" i="25"/>
  <c r="CO358" i="25"/>
  <c r="CN358" i="25"/>
  <c r="CM358" i="25"/>
  <c r="CL358" i="25"/>
  <c r="BW358" i="25" s="1"/>
  <c r="CK358" i="25"/>
  <c r="CJ358" i="25"/>
  <c r="CI358" i="25"/>
  <c r="CH358" i="25"/>
  <c r="CF358" i="25"/>
  <c r="CE358" i="25"/>
  <c r="CD358" i="25"/>
  <c r="BV358" i="25" s="1"/>
  <c r="CC358" i="25"/>
  <c r="BX358" i="25" s="1"/>
  <c r="BU358" i="25"/>
  <c r="CB358" i="25" s="1"/>
  <c r="BS358" i="25"/>
  <c r="BM358" i="25"/>
  <c r="BL358" i="25"/>
  <c r="BD358" i="25"/>
  <c r="BA358" i="25"/>
  <c r="AZ358" i="25"/>
  <c r="AX358" i="25"/>
  <c r="AW358" i="25"/>
  <c r="CR359" i="25"/>
  <c r="CQ359" i="25"/>
  <c r="CP359" i="25"/>
  <c r="CO359" i="25"/>
  <c r="CN359" i="25"/>
  <c r="CM359" i="25"/>
  <c r="CL359" i="25"/>
  <c r="BT359" i="25" s="1"/>
  <c r="CK359" i="25"/>
  <c r="CJ359" i="25"/>
  <c r="CI359" i="25"/>
  <c r="CH359" i="25"/>
  <c r="CF359" i="25"/>
  <c r="CE359" i="25"/>
  <c r="CD359" i="25"/>
  <c r="BV359" i="25" s="1"/>
  <c r="CC359" i="25"/>
  <c r="BX359" i="25" s="1"/>
  <c r="BU359" i="25"/>
  <c r="CB359" i="25" s="1"/>
  <c r="BS359" i="25"/>
  <c r="BM359" i="25"/>
  <c r="BL359" i="25"/>
  <c r="BD359" i="25"/>
  <c r="BA359" i="25"/>
  <c r="AZ359" i="25"/>
  <c r="AX359" i="25"/>
  <c r="AW359" i="25"/>
  <c r="CR356" i="25"/>
  <c r="CQ356" i="25"/>
  <c r="CP356" i="25"/>
  <c r="CO356" i="25"/>
  <c r="CN356" i="25"/>
  <c r="CM356" i="25"/>
  <c r="CL356" i="25"/>
  <c r="BT356" i="25" s="1"/>
  <c r="CK356" i="25"/>
  <c r="CJ356" i="25"/>
  <c r="CI356" i="25"/>
  <c r="CH356" i="25"/>
  <c r="CF356" i="25"/>
  <c r="CE356" i="25"/>
  <c r="CD356" i="25"/>
  <c r="BV356" i="25" s="1"/>
  <c r="CC356" i="25"/>
  <c r="BX356" i="25" s="1"/>
  <c r="BU356" i="25"/>
  <c r="CB356" i="25" s="1"/>
  <c r="BS356" i="25"/>
  <c r="BM356" i="25"/>
  <c r="BL356" i="25"/>
  <c r="BD356" i="25"/>
  <c r="BA356" i="25"/>
  <c r="AZ356" i="25"/>
  <c r="AX356" i="25"/>
  <c r="AW356" i="25"/>
  <c r="CR350" i="25"/>
  <c r="CQ350" i="25"/>
  <c r="CP350" i="25"/>
  <c r="CO350" i="25"/>
  <c r="CN350" i="25"/>
  <c r="CM350" i="25"/>
  <c r="CL350" i="25"/>
  <c r="BW350" i="25" s="1"/>
  <c r="CK350" i="25"/>
  <c r="CJ350" i="25"/>
  <c r="CI350" i="25"/>
  <c r="CH350" i="25"/>
  <c r="CF350" i="25"/>
  <c r="CE350" i="25"/>
  <c r="CD350" i="25"/>
  <c r="BV350" i="25" s="1"/>
  <c r="CC350" i="25"/>
  <c r="BX350" i="25" s="1"/>
  <c r="BU350" i="25"/>
  <c r="CB350" i="25" s="1"/>
  <c r="BS350" i="25"/>
  <c r="BM350" i="25"/>
  <c r="BL350" i="25"/>
  <c r="BD350" i="25"/>
  <c r="BA350" i="25"/>
  <c r="AZ350" i="25"/>
  <c r="AX350" i="25"/>
  <c r="AW350" i="25"/>
  <c r="CR341" i="25"/>
  <c r="CQ341" i="25"/>
  <c r="CP341" i="25"/>
  <c r="CO341" i="25"/>
  <c r="CN341" i="25"/>
  <c r="CM341" i="25"/>
  <c r="CL341" i="25"/>
  <c r="BW341" i="25" s="1"/>
  <c r="CK341" i="25"/>
  <c r="CJ341" i="25"/>
  <c r="CI341" i="25"/>
  <c r="CH341" i="25"/>
  <c r="CF341" i="25"/>
  <c r="CE341" i="25"/>
  <c r="CD341" i="25"/>
  <c r="BV341" i="25" s="1"/>
  <c r="CC341" i="25"/>
  <c r="BX341" i="25" s="1"/>
  <c r="BU341" i="25"/>
  <c r="CB341" i="25" s="1"/>
  <c r="BS341" i="25"/>
  <c r="BM341" i="25"/>
  <c r="BL341" i="25"/>
  <c r="BD341" i="25"/>
  <c r="BA341" i="25"/>
  <c r="AZ341" i="25"/>
  <c r="AX341" i="25"/>
  <c r="AW341" i="25"/>
  <c r="CR340" i="25"/>
  <c r="CQ340" i="25"/>
  <c r="CP340" i="25"/>
  <c r="CO340" i="25"/>
  <c r="CN340" i="25"/>
  <c r="CM340" i="25"/>
  <c r="CL340" i="25"/>
  <c r="BR340" i="25" s="1"/>
  <c r="CK340" i="25"/>
  <c r="CJ340" i="25"/>
  <c r="CI340" i="25"/>
  <c r="CH340" i="25"/>
  <c r="CF340" i="25"/>
  <c r="CE340" i="25"/>
  <c r="CD340" i="25"/>
  <c r="BV340" i="25" s="1"/>
  <c r="CC340" i="25"/>
  <c r="BX340" i="25" s="1"/>
  <c r="BU340" i="25"/>
  <c r="CB340" i="25" s="1"/>
  <c r="BS340" i="25"/>
  <c r="BM340" i="25"/>
  <c r="BL340" i="25"/>
  <c r="BD340" i="25"/>
  <c r="BA340" i="25"/>
  <c r="AZ340" i="25"/>
  <c r="AX340" i="25"/>
  <c r="AW340" i="25"/>
  <c r="CR339" i="25"/>
  <c r="CQ339" i="25"/>
  <c r="CP339" i="25"/>
  <c r="CO339" i="25"/>
  <c r="CN339" i="25"/>
  <c r="CM339" i="25"/>
  <c r="CL339" i="25"/>
  <c r="BW339" i="25" s="1"/>
  <c r="CK339" i="25"/>
  <c r="CJ339" i="25"/>
  <c r="CI339" i="25"/>
  <c r="CH339" i="25"/>
  <c r="CF339" i="25"/>
  <c r="CE339" i="25"/>
  <c r="CD339" i="25"/>
  <c r="BV339" i="25" s="1"/>
  <c r="CC339" i="25"/>
  <c r="BX339" i="25" s="1"/>
  <c r="BU339" i="25"/>
  <c r="CB339" i="25" s="1"/>
  <c r="BS339" i="25"/>
  <c r="BM339" i="25"/>
  <c r="BL339" i="25"/>
  <c r="BD339" i="25"/>
  <c r="BA339" i="25"/>
  <c r="AZ339" i="25"/>
  <c r="AX339" i="25"/>
  <c r="AW339" i="25"/>
  <c r="CR386" i="25"/>
  <c r="CQ386" i="25"/>
  <c r="CP386" i="25"/>
  <c r="CO386" i="25"/>
  <c r="CN386" i="25"/>
  <c r="CM386" i="25"/>
  <c r="CL386" i="25"/>
  <c r="BW386" i="25" s="1"/>
  <c r="CK386" i="25"/>
  <c r="CJ386" i="25"/>
  <c r="CI386" i="25"/>
  <c r="CH386" i="25"/>
  <c r="CF386" i="25"/>
  <c r="CE386" i="25"/>
  <c r="CD386" i="25"/>
  <c r="BV386" i="25" s="1"/>
  <c r="CC386" i="25"/>
  <c r="BX386" i="25" s="1"/>
  <c r="BU386" i="25"/>
  <c r="CB386" i="25" s="1"/>
  <c r="BS386" i="25"/>
  <c r="BM386" i="25"/>
  <c r="BL386" i="25"/>
  <c r="BD386" i="25"/>
  <c r="BA386" i="25"/>
  <c r="AZ386" i="25"/>
  <c r="AX386" i="25"/>
  <c r="AW386" i="25"/>
  <c r="CR380" i="25"/>
  <c r="CQ380" i="25"/>
  <c r="CP380" i="25"/>
  <c r="CO380" i="25"/>
  <c r="CN380" i="25"/>
  <c r="CM380" i="25"/>
  <c r="CL380" i="25"/>
  <c r="BN380" i="25" s="1"/>
  <c r="BO380" i="25" s="1"/>
  <c r="CK380" i="25"/>
  <c r="CJ380" i="25"/>
  <c r="CI380" i="25"/>
  <c r="CH380" i="25"/>
  <c r="CF380" i="25"/>
  <c r="CE380" i="25"/>
  <c r="CD380" i="25"/>
  <c r="BV380" i="25" s="1"/>
  <c r="CC380" i="25"/>
  <c r="BX380" i="25" s="1"/>
  <c r="BU380" i="25"/>
  <c r="CB380" i="25" s="1"/>
  <c r="BS380" i="25"/>
  <c r="BM380" i="25"/>
  <c r="BL380" i="25"/>
  <c r="BD380" i="25"/>
  <c r="BA380" i="25"/>
  <c r="AZ380" i="25"/>
  <c r="AX380" i="25"/>
  <c r="AW380" i="25"/>
  <c r="CR374" i="25"/>
  <c r="CQ374" i="25"/>
  <c r="CP374" i="25"/>
  <c r="CO374" i="25"/>
  <c r="CN374" i="25"/>
  <c r="CM374" i="25"/>
  <c r="CL374" i="25"/>
  <c r="BW374" i="25" s="1"/>
  <c r="CK374" i="25"/>
  <c r="CJ374" i="25"/>
  <c r="CI374" i="25"/>
  <c r="CH374" i="25"/>
  <c r="CF374" i="25"/>
  <c r="CE374" i="25"/>
  <c r="CD374" i="25"/>
  <c r="BV374" i="25" s="1"/>
  <c r="CC374" i="25"/>
  <c r="BX374" i="25" s="1"/>
  <c r="BU374" i="25"/>
  <c r="CB374" i="25" s="1"/>
  <c r="BS374" i="25"/>
  <c r="BM374" i="25"/>
  <c r="BL374" i="25"/>
  <c r="BD374" i="25"/>
  <c r="BA374" i="25"/>
  <c r="AZ374" i="25"/>
  <c r="AX374" i="25"/>
  <c r="AW374" i="25"/>
  <c r="CR353" i="25"/>
  <c r="CQ353" i="25"/>
  <c r="CP353" i="25"/>
  <c r="CO353" i="25"/>
  <c r="CN353" i="25"/>
  <c r="CM353" i="25"/>
  <c r="CL353" i="25"/>
  <c r="BW353" i="25" s="1"/>
  <c r="CK353" i="25"/>
  <c r="CJ353" i="25"/>
  <c r="CI353" i="25"/>
  <c r="CH353" i="25"/>
  <c r="CF353" i="25"/>
  <c r="CE353" i="25"/>
  <c r="CD353" i="25"/>
  <c r="BV353" i="25" s="1"/>
  <c r="CC353" i="25"/>
  <c r="BX353" i="25" s="1"/>
  <c r="BU353" i="25"/>
  <c r="CB353" i="25" s="1"/>
  <c r="BS353" i="25"/>
  <c r="BM353" i="25"/>
  <c r="BL353" i="25"/>
  <c r="BD353" i="25"/>
  <c r="BA353" i="25"/>
  <c r="AZ353" i="25"/>
  <c r="AX353" i="25"/>
  <c r="AW353" i="25"/>
  <c r="CR366" i="25"/>
  <c r="CQ366" i="25"/>
  <c r="CP366" i="25"/>
  <c r="CO366" i="25"/>
  <c r="CN366" i="25"/>
  <c r="CM366" i="25"/>
  <c r="CL366" i="25"/>
  <c r="BR366" i="25" s="1"/>
  <c r="CK366" i="25"/>
  <c r="CJ366" i="25"/>
  <c r="CI366" i="25"/>
  <c r="CH366" i="25"/>
  <c r="CF366" i="25"/>
  <c r="CE366" i="25"/>
  <c r="CD366" i="25"/>
  <c r="BV366" i="25" s="1"/>
  <c r="CC366" i="25"/>
  <c r="BX366" i="25" s="1"/>
  <c r="BU366" i="25"/>
  <c r="CB366" i="25" s="1"/>
  <c r="BS366" i="25"/>
  <c r="BM366" i="25"/>
  <c r="BL366" i="25"/>
  <c r="BD366" i="25"/>
  <c r="BA366" i="25"/>
  <c r="AZ366" i="25"/>
  <c r="AX366" i="25"/>
  <c r="AW366" i="25"/>
  <c r="CR385" i="25"/>
  <c r="CQ385" i="25"/>
  <c r="CP385" i="25"/>
  <c r="CO385" i="25"/>
  <c r="CN385" i="25"/>
  <c r="CM385" i="25"/>
  <c r="CL385" i="25"/>
  <c r="BW385" i="25" s="1"/>
  <c r="CK385" i="25"/>
  <c r="CJ385" i="25"/>
  <c r="CI385" i="25"/>
  <c r="CH385" i="25"/>
  <c r="CF385" i="25"/>
  <c r="CE385" i="25"/>
  <c r="CD385" i="25"/>
  <c r="BV385" i="25" s="1"/>
  <c r="CC385" i="25"/>
  <c r="BX385" i="25" s="1"/>
  <c r="BU385" i="25"/>
  <c r="CB385" i="25" s="1"/>
  <c r="BS385" i="25"/>
  <c r="BM385" i="25"/>
  <c r="BL385" i="25"/>
  <c r="BD385" i="25"/>
  <c r="BA385" i="25"/>
  <c r="AZ385" i="25"/>
  <c r="AX385" i="25"/>
  <c r="AW385" i="25"/>
  <c r="CR382" i="25"/>
  <c r="CQ382" i="25"/>
  <c r="CN382" i="25"/>
  <c r="CM382" i="25"/>
  <c r="CL382" i="25"/>
  <c r="BW382" i="25" s="1"/>
  <c r="CK382" i="25"/>
  <c r="CJ382" i="25"/>
  <c r="CI382" i="25"/>
  <c r="CH382" i="25"/>
  <c r="CF382" i="25"/>
  <c r="CE382" i="25"/>
  <c r="CD382" i="25"/>
  <c r="BV382" i="25" s="1"/>
  <c r="CC382" i="25"/>
  <c r="BX382" i="25" s="1"/>
  <c r="BU382" i="25"/>
  <c r="CB382" i="25" s="1"/>
  <c r="BS382" i="25"/>
  <c r="BM382" i="25"/>
  <c r="BL382" i="25"/>
  <c r="BD382" i="25"/>
  <c r="BA382" i="25"/>
  <c r="AZ382" i="25"/>
  <c r="AX382" i="25"/>
  <c r="AW382" i="25"/>
  <c r="CR381" i="25"/>
  <c r="CQ381" i="25"/>
  <c r="CN381" i="25"/>
  <c r="CM381" i="25"/>
  <c r="CL381" i="25"/>
  <c r="BR381" i="25" s="1"/>
  <c r="CK381" i="25"/>
  <c r="CJ381" i="25"/>
  <c r="CI381" i="25"/>
  <c r="CH381" i="25"/>
  <c r="CF381" i="25"/>
  <c r="CE381" i="25"/>
  <c r="CD381" i="25"/>
  <c r="BV381" i="25" s="1"/>
  <c r="CC381" i="25"/>
  <c r="BX381" i="25" s="1"/>
  <c r="BU381" i="25"/>
  <c r="CB381" i="25" s="1"/>
  <c r="BM381" i="25"/>
  <c r="BL381" i="25"/>
  <c r="BD381" i="25"/>
  <c r="BA381" i="25"/>
  <c r="AZ381" i="25"/>
  <c r="AX381" i="25"/>
  <c r="AW381" i="25"/>
  <c r="CR373" i="25"/>
  <c r="CQ373" i="25"/>
  <c r="CP373" i="25"/>
  <c r="CO373" i="25"/>
  <c r="CN373" i="25"/>
  <c r="CM373" i="25"/>
  <c r="CL373" i="25"/>
  <c r="BR373" i="25" s="1"/>
  <c r="CK373" i="25"/>
  <c r="CJ373" i="25"/>
  <c r="CI373" i="25"/>
  <c r="CH373" i="25"/>
  <c r="CF373" i="25"/>
  <c r="CE373" i="25"/>
  <c r="CD373" i="25"/>
  <c r="BV373" i="25" s="1"/>
  <c r="CC373" i="25"/>
  <c r="BX373" i="25" s="1"/>
  <c r="BU373" i="25"/>
  <c r="CB373" i="25" s="1"/>
  <c r="BS373" i="25"/>
  <c r="BM373" i="25"/>
  <c r="BL373" i="25"/>
  <c r="BD373" i="25"/>
  <c r="BE373" i="25" s="1"/>
  <c r="BA373" i="25"/>
  <c r="AZ373" i="25"/>
  <c r="AX373" i="25"/>
  <c r="AW373" i="25"/>
  <c r="CR372" i="25"/>
  <c r="CQ372" i="25"/>
  <c r="CP372" i="25"/>
  <c r="CO372" i="25"/>
  <c r="CN372" i="25"/>
  <c r="CM372" i="25"/>
  <c r="CL372" i="25"/>
  <c r="BT372" i="25" s="1"/>
  <c r="CK372" i="25"/>
  <c r="CJ372" i="25"/>
  <c r="CI372" i="25"/>
  <c r="CH372" i="25"/>
  <c r="CF372" i="25"/>
  <c r="CE372" i="25"/>
  <c r="CD372" i="25"/>
  <c r="BV372" i="25" s="1"/>
  <c r="CC372" i="25"/>
  <c r="BX372" i="25" s="1"/>
  <c r="BU372" i="25"/>
  <c r="CB372" i="25" s="1"/>
  <c r="BS372" i="25"/>
  <c r="BM372" i="25"/>
  <c r="BL372" i="25"/>
  <c r="BD372" i="25"/>
  <c r="BE372" i="25" s="1"/>
  <c r="BA372" i="25"/>
  <c r="AZ372" i="25"/>
  <c r="AX372" i="25"/>
  <c r="AW372" i="25"/>
  <c r="CR371" i="25"/>
  <c r="CQ371" i="25"/>
  <c r="CP371" i="25"/>
  <c r="CO371" i="25"/>
  <c r="CN371" i="25"/>
  <c r="CM371" i="25"/>
  <c r="CL371" i="25"/>
  <c r="BT371" i="25" s="1"/>
  <c r="CK371" i="25"/>
  <c r="CJ371" i="25"/>
  <c r="CI371" i="25"/>
  <c r="CH371" i="25"/>
  <c r="CF371" i="25"/>
  <c r="CE371" i="25"/>
  <c r="CD371" i="25"/>
  <c r="BV371" i="25" s="1"/>
  <c r="CC371" i="25"/>
  <c r="BX371" i="25" s="1"/>
  <c r="BU371" i="25"/>
  <c r="CB371" i="25" s="1"/>
  <c r="BS371" i="25"/>
  <c r="BM371" i="25"/>
  <c r="BL371" i="25"/>
  <c r="BD371" i="25"/>
  <c r="BE371" i="25" s="1"/>
  <c r="BA371" i="25"/>
  <c r="AZ371" i="25"/>
  <c r="AX371" i="25"/>
  <c r="AW371" i="25"/>
  <c r="CR370" i="25"/>
  <c r="CQ370" i="25"/>
  <c r="CP370" i="25"/>
  <c r="CO370" i="25"/>
  <c r="CN370" i="25"/>
  <c r="CM370" i="25"/>
  <c r="CL370" i="25"/>
  <c r="BW370" i="25" s="1"/>
  <c r="CK370" i="25"/>
  <c r="CJ370" i="25"/>
  <c r="CI370" i="25"/>
  <c r="CH370" i="25"/>
  <c r="CF370" i="25"/>
  <c r="CE370" i="25"/>
  <c r="CD370" i="25"/>
  <c r="BV370" i="25" s="1"/>
  <c r="CC370" i="25"/>
  <c r="BX370" i="25" s="1"/>
  <c r="BU370" i="25"/>
  <c r="CB370" i="25" s="1"/>
  <c r="BS370" i="25"/>
  <c r="BM370" i="25"/>
  <c r="BL370" i="25"/>
  <c r="BD370" i="25"/>
  <c r="BE370" i="25" s="1"/>
  <c r="BA370" i="25"/>
  <c r="AZ370" i="25"/>
  <c r="AX370" i="25"/>
  <c r="AW370" i="25"/>
  <c r="CR363" i="25"/>
  <c r="CQ363" i="25"/>
  <c r="CN363" i="25"/>
  <c r="CM363" i="25"/>
  <c r="CL363" i="25"/>
  <c r="BN363" i="25" s="1"/>
  <c r="BO363" i="25" s="1"/>
  <c r="CK363" i="25"/>
  <c r="CJ363" i="25"/>
  <c r="CI363" i="25"/>
  <c r="CH363" i="25"/>
  <c r="CF363" i="25"/>
  <c r="CE363" i="25"/>
  <c r="CD363" i="25"/>
  <c r="BV363" i="25" s="1"/>
  <c r="CC363" i="25"/>
  <c r="BX363" i="25" s="1"/>
  <c r="BU363" i="25"/>
  <c r="CB363" i="25" s="1"/>
  <c r="BM363" i="25"/>
  <c r="BS363" i="25" s="1"/>
  <c r="BL363" i="25"/>
  <c r="BD363" i="25"/>
  <c r="BE363" i="25" s="1"/>
  <c r="BA363" i="25"/>
  <c r="AZ363" i="25"/>
  <c r="AX363" i="25"/>
  <c r="AW363" i="25"/>
  <c r="CR368" i="25"/>
  <c r="CQ368" i="25"/>
  <c r="CP368" i="25"/>
  <c r="CO368" i="25"/>
  <c r="CN368" i="25"/>
  <c r="CM368" i="25"/>
  <c r="CL368" i="25"/>
  <c r="BT368" i="25" s="1"/>
  <c r="CK368" i="25"/>
  <c r="CJ368" i="25"/>
  <c r="CI368" i="25"/>
  <c r="CH368" i="25"/>
  <c r="CF368" i="25"/>
  <c r="CE368" i="25"/>
  <c r="CD368" i="25"/>
  <c r="BV368" i="25" s="1"/>
  <c r="CC368" i="25"/>
  <c r="BX368" i="25" s="1"/>
  <c r="BU368" i="25"/>
  <c r="CB368" i="25" s="1"/>
  <c r="BS368" i="25"/>
  <c r="BM368" i="25"/>
  <c r="BL368" i="25"/>
  <c r="BD368" i="25"/>
  <c r="BE368" i="25" s="1"/>
  <c r="BA368" i="25"/>
  <c r="AZ368" i="25"/>
  <c r="AX368" i="25"/>
  <c r="AW368" i="25"/>
  <c r="CR355" i="25"/>
  <c r="CQ355" i="25"/>
  <c r="CN355" i="25"/>
  <c r="CM355" i="25"/>
  <c r="CL355" i="25"/>
  <c r="BW355" i="25" s="1"/>
  <c r="CK355" i="25"/>
  <c r="CJ355" i="25"/>
  <c r="CI355" i="25"/>
  <c r="CH355" i="25"/>
  <c r="CF355" i="25"/>
  <c r="CE355" i="25"/>
  <c r="CD355" i="25"/>
  <c r="BV355" i="25" s="1"/>
  <c r="CC355" i="25"/>
  <c r="BX355" i="25" s="1"/>
  <c r="BU355" i="25"/>
  <c r="CB355" i="25" s="1"/>
  <c r="BM355" i="25"/>
  <c r="BS355" i="25" s="1"/>
  <c r="BL355" i="25"/>
  <c r="BD355" i="25"/>
  <c r="BE355" i="25" s="1"/>
  <c r="BA355" i="25"/>
  <c r="AZ355" i="25"/>
  <c r="AX355" i="25"/>
  <c r="AW355" i="25"/>
  <c r="CR361" i="25"/>
  <c r="CQ361" i="25"/>
  <c r="CP361" i="25"/>
  <c r="CO361" i="25"/>
  <c r="CN361" i="25"/>
  <c r="CM361" i="25"/>
  <c r="CL361" i="25"/>
  <c r="BT361" i="25" s="1"/>
  <c r="CK361" i="25"/>
  <c r="CJ361" i="25"/>
  <c r="CI361" i="25"/>
  <c r="CH361" i="25"/>
  <c r="CF361" i="25"/>
  <c r="CE361" i="25"/>
  <c r="CD361" i="25"/>
  <c r="BV361" i="25" s="1"/>
  <c r="CC361" i="25"/>
  <c r="BX361" i="25" s="1"/>
  <c r="BW361" i="25"/>
  <c r="BU361" i="25"/>
  <c r="CB361" i="25" s="1"/>
  <c r="BS361" i="25"/>
  <c r="BR361" i="25"/>
  <c r="BM361" i="25"/>
  <c r="BL361" i="25"/>
  <c r="BD361" i="25"/>
  <c r="BE361" i="25" s="1"/>
  <c r="BA361" i="25"/>
  <c r="AZ361" i="25"/>
  <c r="AX361" i="25"/>
  <c r="AW361" i="25"/>
  <c r="CR345" i="25"/>
  <c r="CQ345" i="25"/>
  <c r="CN345" i="25"/>
  <c r="CM345" i="25"/>
  <c r="CL345" i="25"/>
  <c r="BN345" i="25" s="1"/>
  <c r="BO345" i="25" s="1"/>
  <c r="CK345" i="25"/>
  <c r="CJ345" i="25"/>
  <c r="CI345" i="25"/>
  <c r="CH345" i="25"/>
  <c r="CF345" i="25"/>
  <c r="CE345" i="25"/>
  <c r="CD345" i="25"/>
  <c r="BV345" i="25" s="1"/>
  <c r="CC345" i="25"/>
  <c r="BX345" i="25" s="1"/>
  <c r="BU345" i="25"/>
  <c r="CB345" i="25" s="1"/>
  <c r="BM345" i="25"/>
  <c r="BS345" i="25" s="1"/>
  <c r="BL345" i="25"/>
  <c r="BD345" i="25"/>
  <c r="BE345" i="25" s="1"/>
  <c r="BA345" i="25"/>
  <c r="AZ345" i="25"/>
  <c r="AX345" i="25"/>
  <c r="AW345" i="25"/>
  <c r="CR383" i="25"/>
  <c r="CQ383" i="25"/>
  <c r="CP383" i="25"/>
  <c r="CO383" i="25"/>
  <c r="CN383" i="25"/>
  <c r="CM383" i="25"/>
  <c r="CL383" i="25"/>
  <c r="BT383" i="25" s="1"/>
  <c r="CK383" i="25"/>
  <c r="CJ383" i="25"/>
  <c r="CI383" i="25"/>
  <c r="CH383" i="25"/>
  <c r="CF383" i="25"/>
  <c r="CE383" i="25"/>
  <c r="CD383" i="25"/>
  <c r="BV383" i="25" s="1"/>
  <c r="CC383" i="25"/>
  <c r="BX383" i="25" s="1"/>
  <c r="BW383" i="25"/>
  <c r="BU383" i="25"/>
  <c r="CB383" i="25" s="1"/>
  <c r="BS383" i="25"/>
  <c r="BM383" i="25"/>
  <c r="BL383" i="25"/>
  <c r="BD383" i="25"/>
  <c r="BE383" i="25" s="1"/>
  <c r="BA383" i="25"/>
  <c r="AZ383" i="25"/>
  <c r="AX383" i="25"/>
  <c r="AW383" i="25"/>
  <c r="CR354" i="25"/>
  <c r="CQ354" i="25"/>
  <c r="CP354" i="25"/>
  <c r="CO354" i="25"/>
  <c r="CN354" i="25"/>
  <c r="CM354" i="25"/>
  <c r="CL354" i="25"/>
  <c r="BT354" i="25" s="1"/>
  <c r="CK354" i="25"/>
  <c r="CJ354" i="25"/>
  <c r="CI354" i="25"/>
  <c r="CH354" i="25"/>
  <c r="CF354" i="25"/>
  <c r="CE354" i="25"/>
  <c r="CD354" i="25"/>
  <c r="BV354" i="25" s="1"/>
  <c r="CC354" i="25"/>
  <c r="BX354" i="25" s="1"/>
  <c r="BW354" i="25"/>
  <c r="BU354" i="25"/>
  <c r="CB354" i="25" s="1"/>
  <c r="BS354" i="25"/>
  <c r="BN354" i="25"/>
  <c r="BO354" i="25" s="1"/>
  <c r="BM354" i="25"/>
  <c r="BL354" i="25"/>
  <c r="BD354" i="25"/>
  <c r="BE354" i="25" s="1"/>
  <c r="BA354" i="25"/>
  <c r="AZ354" i="25"/>
  <c r="AX354" i="25"/>
  <c r="AW354" i="25"/>
  <c r="CR364" i="25"/>
  <c r="CQ364" i="25"/>
  <c r="CP364" i="25"/>
  <c r="CO364" i="25"/>
  <c r="CN364" i="25"/>
  <c r="CM364" i="25"/>
  <c r="CL364" i="25"/>
  <c r="BT364" i="25" s="1"/>
  <c r="CK364" i="25"/>
  <c r="CJ364" i="25"/>
  <c r="CI364" i="25"/>
  <c r="CH364" i="25"/>
  <c r="CF364" i="25"/>
  <c r="CE364" i="25"/>
  <c r="CD364" i="25"/>
  <c r="BV364" i="25" s="1"/>
  <c r="CC364" i="25"/>
  <c r="BX364" i="25" s="1"/>
  <c r="BW364" i="25"/>
  <c r="BU364" i="25"/>
  <c r="CB364" i="25" s="1"/>
  <c r="BS364" i="25"/>
  <c r="BN364" i="25"/>
  <c r="BO364" i="25" s="1"/>
  <c r="BM364" i="25"/>
  <c r="BL364" i="25"/>
  <c r="BD364" i="25"/>
  <c r="BE364" i="25" s="1"/>
  <c r="BA364" i="25"/>
  <c r="AZ364" i="25"/>
  <c r="AX364" i="25"/>
  <c r="AW364" i="25"/>
  <c r="CR295" i="25"/>
  <c r="CQ295" i="25"/>
  <c r="CP295" i="25"/>
  <c r="CO295" i="25"/>
  <c r="CN295" i="25"/>
  <c r="CM295" i="25"/>
  <c r="CL295" i="25"/>
  <c r="BT295" i="25" s="1"/>
  <c r="CK295" i="25"/>
  <c r="CJ295" i="25"/>
  <c r="CI295" i="25"/>
  <c r="CH295" i="25"/>
  <c r="CF295" i="25"/>
  <c r="CE295" i="25"/>
  <c r="CD295" i="25"/>
  <c r="BV295" i="25" s="1"/>
  <c r="CC295" i="25"/>
  <c r="BX295" i="25" s="1"/>
  <c r="BU295" i="25"/>
  <c r="CB295" i="25" s="1"/>
  <c r="BS295" i="25"/>
  <c r="BM295" i="25"/>
  <c r="BL295" i="25"/>
  <c r="BD295" i="25"/>
  <c r="BE295" i="25" s="1"/>
  <c r="BA295" i="25"/>
  <c r="AZ295" i="25"/>
  <c r="AX295" i="25"/>
  <c r="AW295" i="25"/>
  <c r="CR384" i="25"/>
  <c r="CQ384" i="25"/>
  <c r="CP384" i="25"/>
  <c r="CO384" i="25"/>
  <c r="CN384" i="25"/>
  <c r="CM384" i="25"/>
  <c r="CL384" i="25"/>
  <c r="BT384" i="25" s="1"/>
  <c r="CK384" i="25"/>
  <c r="CJ384" i="25"/>
  <c r="CI384" i="25"/>
  <c r="CH384" i="25"/>
  <c r="CF384" i="25"/>
  <c r="CE384" i="25"/>
  <c r="CD384" i="25"/>
  <c r="BV384" i="25" s="1"/>
  <c r="CC384" i="25"/>
  <c r="BX384" i="25" s="1"/>
  <c r="BU384" i="25"/>
  <c r="CB384" i="25" s="1"/>
  <c r="BS384" i="25"/>
  <c r="BM384" i="25"/>
  <c r="BL384" i="25"/>
  <c r="BD384" i="25"/>
  <c r="BE384" i="25" s="1"/>
  <c r="BA384" i="25"/>
  <c r="AZ384" i="25"/>
  <c r="AX384" i="25"/>
  <c r="AW384" i="25"/>
  <c r="CR357" i="25"/>
  <c r="CQ357" i="25"/>
  <c r="CP357" i="25"/>
  <c r="CO357" i="25"/>
  <c r="CN357" i="25"/>
  <c r="CM357" i="25"/>
  <c r="CL357" i="25"/>
  <c r="BT357" i="25" s="1"/>
  <c r="CK357" i="25"/>
  <c r="CJ357" i="25"/>
  <c r="CI357" i="25"/>
  <c r="CH357" i="25"/>
  <c r="CF357" i="25"/>
  <c r="CE357" i="25"/>
  <c r="CD357" i="25"/>
  <c r="BV357" i="25" s="1"/>
  <c r="CC357" i="25"/>
  <c r="BX357" i="25" s="1"/>
  <c r="BW357" i="25"/>
  <c r="BU357" i="25"/>
  <c r="CB357" i="25" s="1"/>
  <c r="BS357" i="25"/>
  <c r="BN357" i="25"/>
  <c r="BO357" i="25" s="1"/>
  <c r="BM357" i="25"/>
  <c r="BL357" i="25"/>
  <c r="BD357" i="25"/>
  <c r="BE357" i="25" s="1"/>
  <c r="BA357" i="25"/>
  <c r="BB357" i="25" s="1"/>
  <c r="AZ357" i="25"/>
  <c r="AX357" i="25"/>
  <c r="AW357" i="25"/>
  <c r="CR377" i="25"/>
  <c r="CQ377" i="25"/>
  <c r="CP377" i="25"/>
  <c r="CO377" i="25"/>
  <c r="CN377" i="25"/>
  <c r="CM377" i="25"/>
  <c r="CL377" i="25"/>
  <c r="BT377" i="25" s="1"/>
  <c r="CK377" i="25"/>
  <c r="CJ377" i="25"/>
  <c r="CI377" i="25"/>
  <c r="CH377" i="25"/>
  <c r="CF377" i="25"/>
  <c r="CE377" i="25"/>
  <c r="CD377" i="25"/>
  <c r="BV377" i="25" s="1"/>
  <c r="CC377" i="25"/>
  <c r="BX377" i="25" s="1"/>
  <c r="BW377" i="25"/>
  <c r="BU377" i="25"/>
  <c r="CB377" i="25" s="1"/>
  <c r="BM377" i="25"/>
  <c r="BL377" i="25"/>
  <c r="BD377" i="25"/>
  <c r="BE377" i="25" s="1"/>
  <c r="BA377" i="25"/>
  <c r="AZ377" i="25"/>
  <c r="AX377" i="25"/>
  <c r="AW377" i="25"/>
  <c r="CR360" i="25"/>
  <c r="CQ360" i="25"/>
  <c r="CN360" i="25"/>
  <c r="CM360" i="25"/>
  <c r="CL360" i="25"/>
  <c r="BT360" i="25" s="1"/>
  <c r="CK360" i="25"/>
  <c r="CJ360" i="25"/>
  <c r="CI360" i="25"/>
  <c r="CH360" i="25"/>
  <c r="CF360" i="25"/>
  <c r="CE360" i="25"/>
  <c r="CD360" i="25"/>
  <c r="BV360" i="25" s="1"/>
  <c r="CC360" i="25"/>
  <c r="BX360" i="25" s="1"/>
  <c r="BU360" i="25"/>
  <c r="CB360" i="25" s="1"/>
  <c r="BM360" i="25"/>
  <c r="BS360" i="25" s="1"/>
  <c r="BL360" i="25"/>
  <c r="BD360" i="25"/>
  <c r="BE360" i="25" s="1"/>
  <c r="BA360" i="25"/>
  <c r="AZ360" i="25"/>
  <c r="AX360" i="25"/>
  <c r="AW360" i="25"/>
  <c r="CR362" i="25"/>
  <c r="CQ362" i="25"/>
  <c r="CP362" i="25"/>
  <c r="CO362" i="25"/>
  <c r="CN362" i="25"/>
  <c r="CM362" i="25"/>
  <c r="CL362" i="25"/>
  <c r="BT362" i="25" s="1"/>
  <c r="CK362" i="25"/>
  <c r="CJ362" i="25"/>
  <c r="CI362" i="25"/>
  <c r="CH362" i="25"/>
  <c r="CF362" i="25"/>
  <c r="CE362" i="25"/>
  <c r="CD362" i="25"/>
  <c r="BV362" i="25" s="1"/>
  <c r="CC362" i="25"/>
  <c r="BX362" i="25" s="1"/>
  <c r="BU362" i="25"/>
  <c r="CB362" i="25" s="1"/>
  <c r="BM362" i="25"/>
  <c r="BL362" i="25"/>
  <c r="BD362" i="25"/>
  <c r="BE362" i="25" s="1"/>
  <c r="BA362" i="25"/>
  <c r="AZ362" i="25"/>
  <c r="AX362" i="25"/>
  <c r="AW362" i="25"/>
  <c r="CR367" i="25"/>
  <c r="CQ367" i="25"/>
  <c r="CP367" i="25"/>
  <c r="CO367" i="25"/>
  <c r="CN367" i="25"/>
  <c r="CM367" i="25"/>
  <c r="CL367" i="25"/>
  <c r="BT367" i="25" s="1"/>
  <c r="CK367" i="25"/>
  <c r="CJ367" i="25"/>
  <c r="CI367" i="25"/>
  <c r="CH367" i="25"/>
  <c r="CF367" i="25"/>
  <c r="CE367" i="25"/>
  <c r="CD367" i="25"/>
  <c r="BV367" i="25" s="1"/>
  <c r="CC367" i="25"/>
  <c r="BX367" i="25" s="1"/>
  <c r="BU367" i="25"/>
  <c r="CB367" i="25" s="1"/>
  <c r="BS367" i="25"/>
  <c r="BM367" i="25"/>
  <c r="BL367" i="25"/>
  <c r="BD367" i="25"/>
  <c r="BE367" i="25" s="1"/>
  <c r="BA367" i="25"/>
  <c r="AZ367" i="25"/>
  <c r="AX367" i="25"/>
  <c r="AW367" i="25"/>
  <c r="CR352" i="25"/>
  <c r="CQ352" i="25"/>
  <c r="CN352" i="25"/>
  <c r="CM352" i="25"/>
  <c r="CL352" i="25"/>
  <c r="BT352" i="25" s="1"/>
  <c r="CK352" i="25"/>
  <c r="CJ352" i="25"/>
  <c r="CI352" i="25"/>
  <c r="CH352" i="25"/>
  <c r="CF352" i="25"/>
  <c r="CE352" i="25"/>
  <c r="CD352" i="25"/>
  <c r="BV352" i="25" s="1"/>
  <c r="CC352" i="25"/>
  <c r="BX352" i="25" s="1"/>
  <c r="BU352" i="25"/>
  <c r="CB352" i="25" s="1"/>
  <c r="BS352" i="25"/>
  <c r="BM352" i="25"/>
  <c r="BL352" i="25"/>
  <c r="BD352" i="25"/>
  <c r="BE352" i="25" s="1"/>
  <c r="BA352" i="25"/>
  <c r="AZ352" i="25"/>
  <c r="AX352" i="25"/>
  <c r="AW352" i="25"/>
  <c r="CR301" i="25"/>
  <c r="CQ301" i="25"/>
  <c r="CN301" i="25"/>
  <c r="CM301" i="25"/>
  <c r="CL301" i="25"/>
  <c r="BT301" i="25" s="1"/>
  <c r="CK301" i="25"/>
  <c r="CJ301" i="25"/>
  <c r="CI301" i="25"/>
  <c r="CH301" i="25"/>
  <c r="CF301" i="25"/>
  <c r="CE301" i="25"/>
  <c r="CD301" i="25"/>
  <c r="BV301" i="25" s="1"/>
  <c r="CC301" i="25"/>
  <c r="BX301" i="25" s="1"/>
  <c r="BU301" i="25"/>
  <c r="CB301" i="25" s="1"/>
  <c r="BS301" i="25"/>
  <c r="BM301" i="25"/>
  <c r="BL301" i="25"/>
  <c r="BD301" i="25"/>
  <c r="BE301" i="25" s="1"/>
  <c r="BA301" i="25"/>
  <c r="AZ301" i="25"/>
  <c r="AX301" i="25"/>
  <c r="AW301" i="25"/>
  <c r="CR319" i="25"/>
  <c r="CQ319" i="25"/>
  <c r="CP319" i="25"/>
  <c r="CO319" i="25"/>
  <c r="CN319" i="25"/>
  <c r="CM319" i="25"/>
  <c r="CL319" i="25"/>
  <c r="BT319" i="25" s="1"/>
  <c r="CK319" i="25"/>
  <c r="CJ319" i="25"/>
  <c r="CI319" i="25"/>
  <c r="CH319" i="25"/>
  <c r="CF319" i="25"/>
  <c r="CE319" i="25"/>
  <c r="CD319" i="25"/>
  <c r="BV319" i="25" s="1"/>
  <c r="CC319" i="25"/>
  <c r="BX319" i="25" s="1"/>
  <c r="BW319" i="25"/>
  <c r="BU319" i="25"/>
  <c r="CB319" i="25" s="1"/>
  <c r="BS319" i="25"/>
  <c r="BM319" i="25"/>
  <c r="BL319" i="25"/>
  <c r="BD319" i="25"/>
  <c r="BE319" i="25" s="1"/>
  <c r="BA319" i="25"/>
  <c r="AZ319" i="25"/>
  <c r="AX319" i="25"/>
  <c r="AW319" i="25"/>
  <c r="CR334" i="25"/>
  <c r="CQ334" i="25"/>
  <c r="CP334" i="25"/>
  <c r="CO334" i="25"/>
  <c r="CN334" i="25"/>
  <c r="CM334" i="25"/>
  <c r="CL334" i="25"/>
  <c r="BT334" i="25" s="1"/>
  <c r="CK334" i="25"/>
  <c r="CJ334" i="25"/>
  <c r="CI334" i="25"/>
  <c r="CH334" i="25"/>
  <c r="CF334" i="25"/>
  <c r="CE334" i="25"/>
  <c r="CD334" i="25"/>
  <c r="BV334" i="25" s="1"/>
  <c r="CC334" i="25"/>
  <c r="BX334" i="25" s="1"/>
  <c r="BW334" i="25"/>
  <c r="BU334" i="25"/>
  <c r="CB334" i="25" s="1"/>
  <c r="BM334" i="25"/>
  <c r="BL334" i="25"/>
  <c r="BD334" i="25"/>
  <c r="BE334" i="25" s="1"/>
  <c r="BA334" i="25"/>
  <c r="AZ334" i="25"/>
  <c r="AX334" i="25"/>
  <c r="AW334" i="25"/>
  <c r="CR333" i="25"/>
  <c r="CQ333" i="25"/>
  <c r="CP333" i="25"/>
  <c r="CO333" i="25"/>
  <c r="CN333" i="25"/>
  <c r="CM333" i="25"/>
  <c r="CL333" i="25"/>
  <c r="BT333" i="25" s="1"/>
  <c r="CK333" i="25"/>
  <c r="CJ333" i="25"/>
  <c r="CI333" i="25"/>
  <c r="CH333" i="25"/>
  <c r="CF333" i="25"/>
  <c r="CE333" i="25"/>
  <c r="CD333" i="25"/>
  <c r="BV333" i="25" s="1"/>
  <c r="CC333" i="25"/>
  <c r="BX333" i="25" s="1"/>
  <c r="BW333" i="25"/>
  <c r="BU333" i="25"/>
  <c r="CB333" i="25" s="1"/>
  <c r="BM333" i="25"/>
  <c r="BL333" i="25"/>
  <c r="BD333" i="25"/>
  <c r="BE333" i="25" s="1"/>
  <c r="BA333" i="25"/>
  <c r="AZ333" i="25"/>
  <c r="AX333" i="25"/>
  <c r="AW333" i="25"/>
  <c r="CR335" i="25"/>
  <c r="CQ335" i="25"/>
  <c r="CP335" i="25"/>
  <c r="CO335" i="25"/>
  <c r="CN335" i="25"/>
  <c r="CM335" i="25"/>
  <c r="CL335" i="25"/>
  <c r="BT335" i="25" s="1"/>
  <c r="CK335" i="25"/>
  <c r="CJ335" i="25"/>
  <c r="CI335" i="25"/>
  <c r="CH335" i="25"/>
  <c r="CF335" i="25"/>
  <c r="CE335" i="25"/>
  <c r="CD335" i="25"/>
  <c r="BV335" i="25" s="1"/>
  <c r="CC335" i="25"/>
  <c r="BX335" i="25" s="1"/>
  <c r="BU335" i="25"/>
  <c r="CB335" i="25" s="1"/>
  <c r="BS335" i="25"/>
  <c r="BM335" i="25"/>
  <c r="BL335" i="25"/>
  <c r="BD335" i="25"/>
  <c r="BE335" i="25" s="1"/>
  <c r="BA335" i="25"/>
  <c r="AZ335" i="25"/>
  <c r="AX335" i="25"/>
  <c r="AW335" i="25"/>
  <c r="CR331" i="25"/>
  <c r="CQ331" i="25"/>
  <c r="CP331" i="25"/>
  <c r="CO331" i="25"/>
  <c r="CN331" i="25"/>
  <c r="CM331" i="25"/>
  <c r="CL331" i="25"/>
  <c r="BT331" i="25" s="1"/>
  <c r="CK331" i="25"/>
  <c r="CJ331" i="25"/>
  <c r="CI331" i="25"/>
  <c r="CH331" i="25"/>
  <c r="CF331" i="25"/>
  <c r="CE331" i="25"/>
  <c r="CD331" i="25"/>
  <c r="BV331" i="25" s="1"/>
  <c r="CC331" i="25"/>
  <c r="BX331" i="25" s="1"/>
  <c r="BU331" i="25"/>
  <c r="CB331" i="25" s="1"/>
  <c r="BS331" i="25"/>
  <c r="BM331" i="25"/>
  <c r="BL331" i="25"/>
  <c r="BD331" i="25"/>
  <c r="BE331" i="25" s="1"/>
  <c r="BA331" i="25"/>
  <c r="AZ331" i="25"/>
  <c r="AX331" i="25"/>
  <c r="AW331" i="25"/>
  <c r="CR330" i="25"/>
  <c r="CQ330" i="25"/>
  <c r="CP330" i="25"/>
  <c r="CO330" i="25"/>
  <c r="CN330" i="25"/>
  <c r="CM330" i="25"/>
  <c r="CL330" i="25"/>
  <c r="BW330" i="25" s="1"/>
  <c r="CK330" i="25"/>
  <c r="CJ330" i="25"/>
  <c r="CI330" i="25"/>
  <c r="CH330" i="25"/>
  <c r="CF330" i="25"/>
  <c r="CE330" i="25"/>
  <c r="CD330" i="25"/>
  <c r="BV330" i="25" s="1"/>
  <c r="CC330" i="25"/>
  <c r="BX330" i="25" s="1"/>
  <c r="BU330" i="25"/>
  <c r="CB330" i="25" s="1"/>
  <c r="BS330" i="25"/>
  <c r="BM330" i="25"/>
  <c r="BL330" i="25"/>
  <c r="BD330" i="25"/>
  <c r="BE330" i="25" s="1"/>
  <c r="BA330" i="25"/>
  <c r="AZ330" i="25"/>
  <c r="AX330" i="25"/>
  <c r="AW330" i="25"/>
  <c r="CR324" i="25"/>
  <c r="CQ324" i="25"/>
  <c r="CP324" i="25"/>
  <c r="CO324" i="25"/>
  <c r="CN324" i="25"/>
  <c r="CM324" i="25"/>
  <c r="CL324" i="25"/>
  <c r="BN324" i="25" s="1"/>
  <c r="BO324" i="25" s="1"/>
  <c r="CK324" i="25"/>
  <c r="CJ324" i="25"/>
  <c r="CI324" i="25"/>
  <c r="CH324" i="25"/>
  <c r="CF324" i="25"/>
  <c r="CE324" i="25"/>
  <c r="CD324" i="25"/>
  <c r="BV324" i="25" s="1"/>
  <c r="CC324" i="25"/>
  <c r="BX324" i="25" s="1"/>
  <c r="BU324" i="25"/>
  <c r="CB324" i="25" s="1"/>
  <c r="BS324" i="25"/>
  <c r="BM324" i="25"/>
  <c r="BL324" i="25"/>
  <c r="BD324" i="25"/>
  <c r="BA324" i="25"/>
  <c r="AZ324" i="25"/>
  <c r="AX324" i="25"/>
  <c r="AW324" i="25"/>
  <c r="CR325" i="25"/>
  <c r="CQ325" i="25"/>
  <c r="CP325" i="25"/>
  <c r="CO325" i="25"/>
  <c r="CN325" i="25"/>
  <c r="CM325" i="25"/>
  <c r="CL325" i="25"/>
  <c r="BW325" i="25" s="1"/>
  <c r="CK325" i="25"/>
  <c r="CJ325" i="25"/>
  <c r="CI325" i="25"/>
  <c r="CH325" i="25"/>
  <c r="CF325" i="25"/>
  <c r="CE325" i="25"/>
  <c r="CD325" i="25"/>
  <c r="BV325" i="25" s="1"/>
  <c r="CC325" i="25"/>
  <c r="BX325" i="25" s="1"/>
  <c r="BU325" i="25"/>
  <c r="CB325" i="25" s="1"/>
  <c r="BS325" i="25"/>
  <c r="BM325" i="25"/>
  <c r="BL325" i="25"/>
  <c r="BD325" i="25"/>
  <c r="BA325" i="25"/>
  <c r="AZ325" i="25"/>
  <c r="AX325" i="25"/>
  <c r="AW325" i="25"/>
  <c r="CR322" i="25"/>
  <c r="CQ322" i="25"/>
  <c r="CP322" i="25"/>
  <c r="CO322" i="25"/>
  <c r="CN322" i="25"/>
  <c r="CM322" i="25"/>
  <c r="CL322" i="25"/>
  <c r="BW322" i="25" s="1"/>
  <c r="CK322" i="25"/>
  <c r="CJ322" i="25"/>
  <c r="CI322" i="25"/>
  <c r="CH322" i="25"/>
  <c r="CF322" i="25"/>
  <c r="CE322" i="25"/>
  <c r="CD322" i="25"/>
  <c r="BV322" i="25" s="1"/>
  <c r="CC322" i="25"/>
  <c r="BX322" i="25" s="1"/>
  <c r="BU322" i="25"/>
  <c r="CB322" i="25" s="1"/>
  <c r="BS322" i="25"/>
  <c r="BM322" i="25"/>
  <c r="BL322" i="25"/>
  <c r="BD322" i="25"/>
  <c r="BA322" i="25"/>
  <c r="AZ322" i="25"/>
  <c r="AX322" i="25"/>
  <c r="AW322" i="25"/>
  <c r="CR323" i="25"/>
  <c r="CQ323" i="25"/>
  <c r="CP323" i="25"/>
  <c r="CO323" i="25"/>
  <c r="CN323" i="25"/>
  <c r="CM323" i="25"/>
  <c r="CL323" i="25"/>
  <c r="BW323" i="25" s="1"/>
  <c r="CK323" i="25"/>
  <c r="CJ323" i="25"/>
  <c r="CI323" i="25"/>
  <c r="CH323" i="25"/>
  <c r="CF323" i="25"/>
  <c r="CE323" i="25"/>
  <c r="CD323" i="25"/>
  <c r="BV323" i="25" s="1"/>
  <c r="CC323" i="25"/>
  <c r="BX323" i="25" s="1"/>
  <c r="BU323" i="25"/>
  <c r="CB323" i="25" s="1"/>
  <c r="BS323" i="25"/>
  <c r="BM323" i="25"/>
  <c r="BL323" i="25"/>
  <c r="BD323" i="25"/>
  <c r="BA323" i="25"/>
  <c r="AZ323" i="25"/>
  <c r="AX323" i="25"/>
  <c r="AW323" i="25"/>
  <c r="CR318" i="25"/>
  <c r="CQ318" i="25"/>
  <c r="CP318" i="25"/>
  <c r="CO318" i="25"/>
  <c r="CN318" i="25"/>
  <c r="CM318" i="25"/>
  <c r="CL318" i="25"/>
  <c r="BT318" i="25" s="1"/>
  <c r="CK318" i="25"/>
  <c r="CJ318" i="25"/>
  <c r="CI318" i="25"/>
  <c r="CH318" i="25"/>
  <c r="CF318" i="25"/>
  <c r="CE318" i="25"/>
  <c r="CD318" i="25"/>
  <c r="BV318" i="25" s="1"/>
  <c r="CC318" i="25"/>
  <c r="BX318" i="25" s="1"/>
  <c r="BU318" i="25"/>
  <c r="CB318" i="25" s="1"/>
  <c r="BS318" i="25"/>
  <c r="BM318" i="25"/>
  <c r="BL318" i="25"/>
  <c r="BD318" i="25"/>
  <c r="BA318" i="25"/>
  <c r="AZ318" i="25"/>
  <c r="AX318" i="25"/>
  <c r="AW318" i="25"/>
  <c r="CR327" i="25"/>
  <c r="CQ327" i="25"/>
  <c r="CP327" i="25"/>
  <c r="CO327" i="25"/>
  <c r="CN327" i="25"/>
  <c r="CM327" i="25"/>
  <c r="CL327" i="25"/>
  <c r="CK327" i="25"/>
  <c r="CJ327" i="25"/>
  <c r="CI327" i="25"/>
  <c r="CH327" i="25"/>
  <c r="CF327" i="25"/>
  <c r="CE327" i="25"/>
  <c r="CD327" i="25"/>
  <c r="BV327" i="25" s="1"/>
  <c r="CC327" i="25"/>
  <c r="BX327" i="25" s="1"/>
  <c r="BU327" i="25"/>
  <c r="CB327" i="25" s="1"/>
  <c r="BS327" i="25"/>
  <c r="BM327" i="25"/>
  <c r="BL327" i="25"/>
  <c r="BD327" i="25"/>
  <c r="BA327" i="25"/>
  <c r="AZ327" i="25"/>
  <c r="AX327" i="25"/>
  <c r="AW327" i="25"/>
  <c r="CR336" i="25"/>
  <c r="CQ336" i="25"/>
  <c r="CP336" i="25"/>
  <c r="CO336" i="25"/>
  <c r="CN336" i="25"/>
  <c r="CM336" i="25"/>
  <c r="CL336" i="25"/>
  <c r="BW336" i="25" s="1"/>
  <c r="CK336" i="25"/>
  <c r="CJ336" i="25"/>
  <c r="CI336" i="25"/>
  <c r="CH336" i="25"/>
  <c r="CF336" i="25"/>
  <c r="CE336" i="25"/>
  <c r="CD336" i="25"/>
  <c r="BV336" i="25" s="1"/>
  <c r="CC336" i="25"/>
  <c r="BX336" i="25" s="1"/>
  <c r="BU336" i="25"/>
  <c r="CB336" i="25" s="1"/>
  <c r="BS336" i="25"/>
  <c r="BM336" i="25"/>
  <c r="BL336" i="25"/>
  <c r="BD336" i="25"/>
  <c r="BA336" i="25"/>
  <c r="AZ336" i="25"/>
  <c r="AX336" i="25"/>
  <c r="AW336" i="25"/>
  <c r="CR328" i="25"/>
  <c r="CQ328" i="25"/>
  <c r="CP328" i="25"/>
  <c r="CO328" i="25"/>
  <c r="CN328" i="25"/>
  <c r="CM328" i="25"/>
  <c r="CL328" i="25"/>
  <c r="CK328" i="25"/>
  <c r="CJ328" i="25"/>
  <c r="CI328" i="25"/>
  <c r="CH328" i="25"/>
  <c r="CF328" i="25"/>
  <c r="CE328" i="25"/>
  <c r="CD328" i="25"/>
  <c r="BV328" i="25" s="1"/>
  <c r="CC328" i="25"/>
  <c r="BX328" i="25" s="1"/>
  <c r="BU328" i="25"/>
  <c r="CB328" i="25" s="1"/>
  <c r="BS328" i="25"/>
  <c r="BM328" i="25"/>
  <c r="BL328" i="25"/>
  <c r="BD328" i="25"/>
  <c r="BA328" i="25"/>
  <c r="AZ328" i="25"/>
  <c r="AX328" i="25"/>
  <c r="AW328" i="25"/>
  <c r="CR337" i="25"/>
  <c r="CQ337" i="25"/>
  <c r="CP337" i="25"/>
  <c r="CO337" i="25"/>
  <c r="CN337" i="25"/>
  <c r="CM337" i="25"/>
  <c r="CL337" i="25"/>
  <c r="BT337" i="25" s="1"/>
  <c r="CK337" i="25"/>
  <c r="CJ337" i="25"/>
  <c r="CI337" i="25"/>
  <c r="CH337" i="25"/>
  <c r="CF337" i="25"/>
  <c r="CE337" i="25"/>
  <c r="CD337" i="25"/>
  <c r="BV337" i="25" s="1"/>
  <c r="CC337" i="25"/>
  <c r="BX337" i="25" s="1"/>
  <c r="BU337" i="25"/>
  <c r="CB337" i="25" s="1"/>
  <c r="BS337" i="25"/>
  <c r="BM337" i="25"/>
  <c r="BL337" i="25"/>
  <c r="BD337" i="25"/>
  <c r="BA337" i="25"/>
  <c r="AZ337" i="25"/>
  <c r="AX337" i="25"/>
  <c r="AW337" i="25"/>
  <c r="CR321" i="25"/>
  <c r="CQ321" i="25"/>
  <c r="CP321" i="25"/>
  <c r="CO321" i="25"/>
  <c r="CN321" i="25"/>
  <c r="CM321" i="25"/>
  <c r="CL321" i="25"/>
  <c r="BT321" i="25" s="1"/>
  <c r="CK321" i="25"/>
  <c r="CJ321" i="25"/>
  <c r="CI321" i="25"/>
  <c r="CH321" i="25"/>
  <c r="CF321" i="25"/>
  <c r="CE321" i="25"/>
  <c r="CD321" i="25"/>
  <c r="BV321" i="25" s="1"/>
  <c r="CC321" i="25"/>
  <c r="BX321" i="25" s="1"/>
  <c r="BU321" i="25"/>
  <c r="CB321" i="25" s="1"/>
  <c r="BS321" i="25"/>
  <c r="BM321" i="25"/>
  <c r="BL321" i="25"/>
  <c r="BD321" i="25"/>
  <c r="BA321" i="25"/>
  <c r="AZ321" i="25"/>
  <c r="AX321" i="25"/>
  <c r="AW321" i="25"/>
  <c r="CR329" i="25"/>
  <c r="CQ329" i="25"/>
  <c r="CP329" i="25"/>
  <c r="CO329" i="25"/>
  <c r="CN329" i="25"/>
  <c r="CM329" i="25"/>
  <c r="CL329" i="25"/>
  <c r="BN329" i="25" s="1"/>
  <c r="BO329" i="25" s="1"/>
  <c r="CK329" i="25"/>
  <c r="CJ329" i="25"/>
  <c r="CI329" i="25"/>
  <c r="CH329" i="25"/>
  <c r="CF329" i="25"/>
  <c r="CE329" i="25"/>
  <c r="CD329" i="25"/>
  <c r="BV329" i="25" s="1"/>
  <c r="CC329" i="25"/>
  <c r="BX329" i="25" s="1"/>
  <c r="BU329" i="25"/>
  <c r="CB329" i="25" s="1"/>
  <c r="BS329" i="25"/>
  <c r="BM329" i="25"/>
  <c r="BL329" i="25"/>
  <c r="BD329" i="25"/>
  <c r="BA329" i="25"/>
  <c r="AZ329" i="25"/>
  <c r="AX329" i="25"/>
  <c r="AW329" i="25"/>
  <c r="CR338" i="25"/>
  <c r="CQ338" i="25"/>
  <c r="CP338" i="25"/>
  <c r="CO338" i="25"/>
  <c r="CN338" i="25"/>
  <c r="CM338" i="25"/>
  <c r="CL338" i="25"/>
  <c r="BW338" i="25" s="1"/>
  <c r="CK338" i="25"/>
  <c r="CJ338" i="25"/>
  <c r="CI338" i="25"/>
  <c r="CH338" i="25"/>
  <c r="CF338" i="25"/>
  <c r="CE338" i="25"/>
  <c r="CD338" i="25"/>
  <c r="BV338" i="25" s="1"/>
  <c r="CC338" i="25"/>
  <c r="BX338" i="25" s="1"/>
  <c r="BU338" i="25"/>
  <c r="CB338" i="25" s="1"/>
  <c r="BS338" i="25"/>
  <c r="BM338" i="25"/>
  <c r="BL338" i="25"/>
  <c r="BD338" i="25"/>
  <c r="BA338" i="25"/>
  <c r="AZ338" i="25"/>
  <c r="AX338" i="25"/>
  <c r="AW338" i="25"/>
  <c r="CR326" i="25"/>
  <c r="CQ326" i="25"/>
  <c r="CP326" i="25"/>
  <c r="CO326" i="25"/>
  <c r="CN326" i="25"/>
  <c r="CM326" i="25"/>
  <c r="CL326" i="25"/>
  <c r="CK326" i="25"/>
  <c r="CJ326" i="25"/>
  <c r="CI326" i="25"/>
  <c r="CH326" i="25"/>
  <c r="CF326" i="25"/>
  <c r="CE326" i="25"/>
  <c r="CD326" i="25"/>
  <c r="BV326" i="25" s="1"/>
  <c r="CC326" i="25"/>
  <c r="BX326" i="25" s="1"/>
  <c r="BU326" i="25"/>
  <c r="CB326" i="25" s="1"/>
  <c r="BS326" i="25"/>
  <c r="BM326" i="25"/>
  <c r="BL326" i="25"/>
  <c r="BD326" i="25"/>
  <c r="BA326" i="25"/>
  <c r="AZ326" i="25"/>
  <c r="AX326" i="25"/>
  <c r="AW326" i="25"/>
  <c r="CR332" i="25"/>
  <c r="CQ332" i="25"/>
  <c r="CP332" i="25"/>
  <c r="CO332" i="25"/>
  <c r="CN332" i="25"/>
  <c r="CM332" i="25"/>
  <c r="CL332" i="25"/>
  <c r="BT332" i="25" s="1"/>
  <c r="CK332" i="25"/>
  <c r="CJ332" i="25"/>
  <c r="CI332" i="25"/>
  <c r="CH332" i="25"/>
  <c r="CF332" i="25"/>
  <c r="CE332" i="25"/>
  <c r="CD332" i="25"/>
  <c r="BV332" i="25" s="1"/>
  <c r="CC332" i="25"/>
  <c r="BX332" i="25" s="1"/>
  <c r="BU332" i="25"/>
  <c r="CB332" i="25" s="1"/>
  <c r="BS332" i="25"/>
  <c r="BM332" i="25"/>
  <c r="BL332" i="25"/>
  <c r="BD332" i="25"/>
  <c r="BA332" i="25"/>
  <c r="AZ332" i="25"/>
  <c r="AX332" i="25"/>
  <c r="AW332" i="25"/>
  <c r="CR320" i="25"/>
  <c r="CQ320" i="25"/>
  <c r="CP320" i="25"/>
  <c r="CO320" i="25"/>
  <c r="CN320" i="25"/>
  <c r="CM320" i="25"/>
  <c r="CL320" i="25"/>
  <c r="BN320" i="25" s="1"/>
  <c r="BO320" i="25" s="1"/>
  <c r="CK320" i="25"/>
  <c r="CJ320" i="25"/>
  <c r="CI320" i="25"/>
  <c r="CH320" i="25"/>
  <c r="CF320" i="25"/>
  <c r="CE320" i="25"/>
  <c r="CD320" i="25"/>
  <c r="BV320" i="25" s="1"/>
  <c r="CC320" i="25"/>
  <c r="BX320" i="25" s="1"/>
  <c r="BU320" i="25"/>
  <c r="CB320" i="25" s="1"/>
  <c r="BS320" i="25"/>
  <c r="BM320" i="25"/>
  <c r="BL320" i="25"/>
  <c r="BD320" i="25"/>
  <c r="BA320" i="25"/>
  <c r="AZ320" i="25"/>
  <c r="AX320" i="25"/>
  <c r="AW320" i="25"/>
  <c r="CR307" i="25"/>
  <c r="CQ307" i="25"/>
  <c r="CP307" i="25"/>
  <c r="CO307" i="25"/>
  <c r="CN307" i="25"/>
  <c r="CM307" i="25"/>
  <c r="CL307" i="25"/>
  <c r="CK307" i="25"/>
  <c r="CJ307" i="25"/>
  <c r="CI307" i="25"/>
  <c r="CF307" i="25"/>
  <c r="CE307" i="25"/>
  <c r="BW307" i="25"/>
  <c r="BU307" i="25"/>
  <c r="CB307" i="25" s="1"/>
  <c r="BS307" i="25"/>
  <c r="BM307" i="25"/>
  <c r="BL307" i="25"/>
  <c r="BD307" i="25"/>
  <c r="BA307" i="25"/>
  <c r="AZ307" i="25"/>
  <c r="AX307" i="25"/>
  <c r="AW307" i="25"/>
  <c r="F307" i="25"/>
  <c r="CH307" i="25" s="1"/>
  <c r="CR309" i="25"/>
  <c r="CQ309" i="25"/>
  <c r="CP309" i="25"/>
  <c r="CO309" i="25"/>
  <c r="CN309" i="25"/>
  <c r="CM309" i="25"/>
  <c r="CL309" i="25"/>
  <c r="BR309" i="25" s="1"/>
  <c r="CK309" i="25"/>
  <c r="CJ309" i="25"/>
  <c r="CI309" i="25"/>
  <c r="CF309" i="25"/>
  <c r="CE309" i="25"/>
  <c r="BW309" i="25"/>
  <c r="BU309" i="25"/>
  <c r="CB309" i="25" s="1"/>
  <c r="BS309" i="25"/>
  <c r="BM309" i="25"/>
  <c r="BL309" i="25"/>
  <c r="BD309" i="25"/>
  <c r="BA309" i="25"/>
  <c r="AZ309" i="25"/>
  <c r="AX309" i="25"/>
  <c r="AW309" i="25"/>
  <c r="F309" i="25"/>
  <c r="CH309" i="25" s="1"/>
  <c r="CR306" i="25"/>
  <c r="CQ306" i="25"/>
  <c r="CP306" i="25"/>
  <c r="CO306" i="25"/>
  <c r="CN306" i="25"/>
  <c r="CM306" i="25"/>
  <c r="CL306" i="25"/>
  <c r="BT306" i="25" s="1"/>
  <c r="CK306" i="25"/>
  <c r="CJ306" i="25"/>
  <c r="CI306" i="25"/>
  <c r="CF306" i="25"/>
  <c r="CE306" i="25"/>
  <c r="BW306" i="25"/>
  <c r="BU306" i="25"/>
  <c r="CB306" i="25" s="1"/>
  <c r="BS306" i="25"/>
  <c r="BM306" i="25"/>
  <c r="BL306" i="25"/>
  <c r="BD306" i="25"/>
  <c r="BE306" i="25" s="1"/>
  <c r="BA306" i="25"/>
  <c r="BB306" i="25" s="1"/>
  <c r="AZ306" i="25"/>
  <c r="AX306" i="25"/>
  <c r="AW306" i="25"/>
  <c r="F306" i="25"/>
  <c r="CH306" i="25" s="1"/>
  <c r="CR305" i="25"/>
  <c r="CQ305" i="25"/>
  <c r="CP305" i="25"/>
  <c r="CO305" i="25"/>
  <c r="CN305" i="25"/>
  <c r="CM305" i="25"/>
  <c r="CL305" i="25"/>
  <c r="CK305" i="25"/>
  <c r="CJ305" i="25"/>
  <c r="CI305" i="25"/>
  <c r="CF305" i="25"/>
  <c r="CE305" i="25"/>
  <c r="BW305" i="25"/>
  <c r="BU305" i="25"/>
  <c r="CB305" i="25" s="1"/>
  <c r="BS305" i="25"/>
  <c r="BM305" i="25"/>
  <c r="BL305" i="25"/>
  <c r="BD305" i="25"/>
  <c r="BE305" i="25" s="1"/>
  <c r="BA305" i="25"/>
  <c r="AZ305" i="25"/>
  <c r="AX305" i="25"/>
  <c r="AW305" i="25"/>
  <c r="F305" i="25"/>
  <c r="CH305" i="25" s="1"/>
  <c r="CR310" i="25"/>
  <c r="CQ310" i="25"/>
  <c r="CP310" i="25"/>
  <c r="CO310" i="25"/>
  <c r="CN310" i="25"/>
  <c r="CM310" i="25"/>
  <c r="CL310" i="25"/>
  <c r="BT310" i="25" s="1"/>
  <c r="CK310" i="25"/>
  <c r="CJ310" i="25"/>
  <c r="CI310" i="25"/>
  <c r="CF310" i="25"/>
  <c r="CE310" i="25"/>
  <c r="BW310" i="25"/>
  <c r="BU310" i="25"/>
  <c r="CB310" i="25" s="1"/>
  <c r="BS310" i="25"/>
  <c r="BM310" i="25"/>
  <c r="BL310" i="25"/>
  <c r="BD310" i="25"/>
  <c r="BA310" i="25"/>
  <c r="AZ310" i="25"/>
  <c r="AX310" i="25"/>
  <c r="AW310" i="25"/>
  <c r="F310" i="25"/>
  <c r="CH310" i="25" s="1"/>
  <c r="CR316" i="25"/>
  <c r="CQ316" i="25"/>
  <c r="CP316" i="25"/>
  <c r="CO316" i="25"/>
  <c r="CN316" i="25"/>
  <c r="CM316" i="25"/>
  <c r="CL316" i="25"/>
  <c r="BT316" i="25" s="1"/>
  <c r="CK316" i="25"/>
  <c r="CJ316" i="25"/>
  <c r="CI316" i="25"/>
  <c r="CF316" i="25"/>
  <c r="CE316" i="25"/>
  <c r="BW316" i="25"/>
  <c r="BU316" i="25"/>
  <c r="CB316" i="25" s="1"/>
  <c r="BS316" i="25"/>
  <c r="BM316" i="25"/>
  <c r="BL316" i="25"/>
  <c r="BD316" i="25"/>
  <c r="BA316" i="25"/>
  <c r="AZ316" i="25"/>
  <c r="AX316" i="25"/>
  <c r="AW316" i="25"/>
  <c r="F316" i="25"/>
  <c r="CH316" i="25" s="1"/>
  <c r="CR313" i="25"/>
  <c r="CQ313" i="25"/>
  <c r="CP313" i="25"/>
  <c r="CO313" i="25"/>
  <c r="CN313" i="25"/>
  <c r="CM313" i="25"/>
  <c r="CL313" i="25"/>
  <c r="BT313" i="25" s="1"/>
  <c r="CK313" i="25"/>
  <c r="CJ313" i="25"/>
  <c r="CI313" i="25"/>
  <c r="CF313" i="25"/>
  <c r="CE313" i="25"/>
  <c r="BW313" i="25"/>
  <c r="BU313" i="25"/>
  <c r="CB313" i="25" s="1"/>
  <c r="BS313" i="25"/>
  <c r="BM313" i="25"/>
  <c r="BL313" i="25"/>
  <c r="BD313" i="25"/>
  <c r="BE313" i="25" s="1"/>
  <c r="BA313" i="25"/>
  <c r="AZ313" i="25"/>
  <c r="AX313" i="25"/>
  <c r="AW313" i="25"/>
  <c r="F313" i="25"/>
  <c r="CC313" i="25" s="1"/>
  <c r="BX313" i="25" s="1"/>
  <c r="CR315" i="25"/>
  <c r="CQ315" i="25"/>
  <c r="CP315" i="25"/>
  <c r="CO315" i="25"/>
  <c r="CN315" i="25"/>
  <c r="CM315" i="25"/>
  <c r="CL315" i="25"/>
  <c r="BT315" i="25" s="1"/>
  <c r="CK315" i="25"/>
  <c r="CJ315" i="25"/>
  <c r="CI315" i="25"/>
  <c r="CF315" i="25"/>
  <c r="CE315" i="25"/>
  <c r="BW315" i="25"/>
  <c r="BU315" i="25"/>
  <c r="CB315" i="25" s="1"/>
  <c r="BS315" i="25"/>
  <c r="BM315" i="25"/>
  <c r="BL315" i="25"/>
  <c r="BD315" i="25"/>
  <c r="BE315" i="25" s="1"/>
  <c r="BA315" i="25"/>
  <c r="AZ315" i="25"/>
  <c r="AX315" i="25"/>
  <c r="AW315" i="25"/>
  <c r="F315" i="25"/>
  <c r="CD315" i="25" s="1"/>
  <c r="BV315" i="25" s="1"/>
  <c r="CR304" i="25"/>
  <c r="CQ304" i="25"/>
  <c r="CP304" i="25"/>
  <c r="CO304" i="25"/>
  <c r="CN304" i="25"/>
  <c r="CM304" i="25"/>
  <c r="CL304" i="25"/>
  <c r="BR304" i="25" s="1"/>
  <c r="CK304" i="25"/>
  <c r="CJ304" i="25"/>
  <c r="CI304" i="25"/>
  <c r="CF304" i="25"/>
  <c r="CE304" i="25"/>
  <c r="BW304" i="25"/>
  <c r="BU304" i="25"/>
  <c r="CB304" i="25" s="1"/>
  <c r="BT304" i="25"/>
  <c r="BS304" i="25"/>
  <c r="BM304" i="25"/>
  <c r="BL304" i="25"/>
  <c r="BD304" i="25"/>
  <c r="BA304" i="25"/>
  <c r="AZ304" i="25"/>
  <c r="AX304" i="25"/>
  <c r="AW304" i="25"/>
  <c r="F304" i="25"/>
  <c r="CH304" i="25" s="1"/>
  <c r="CR308" i="25"/>
  <c r="CQ308" i="25"/>
  <c r="CP308" i="25"/>
  <c r="CO308" i="25"/>
  <c r="CN308" i="25"/>
  <c r="CM308" i="25"/>
  <c r="CL308" i="25"/>
  <c r="BT308" i="25" s="1"/>
  <c r="CK308" i="25"/>
  <c r="CJ308" i="25"/>
  <c r="CI308" i="25"/>
  <c r="CF308" i="25"/>
  <c r="CE308" i="25"/>
  <c r="BW308" i="25"/>
  <c r="BU308" i="25"/>
  <c r="CB308" i="25" s="1"/>
  <c r="BS308" i="25"/>
  <c r="BM308" i="25"/>
  <c r="BL308" i="25"/>
  <c r="BD308" i="25"/>
  <c r="BA308" i="25"/>
  <c r="AZ308" i="25"/>
  <c r="AX308" i="25"/>
  <c r="AW308" i="25"/>
  <c r="F308" i="25"/>
  <c r="CH308" i="25" s="1"/>
  <c r="CR317" i="25"/>
  <c r="CQ317" i="25"/>
  <c r="CP317" i="25"/>
  <c r="CO317" i="25"/>
  <c r="CN317" i="25"/>
  <c r="CM317" i="25"/>
  <c r="CL317" i="25"/>
  <c r="BT317" i="25" s="1"/>
  <c r="CK317" i="25"/>
  <c r="CJ317" i="25"/>
  <c r="CI317" i="25"/>
  <c r="CF317" i="25"/>
  <c r="CE317" i="25"/>
  <c r="BW317" i="25"/>
  <c r="BU317" i="25"/>
  <c r="CB317" i="25" s="1"/>
  <c r="BS317" i="25"/>
  <c r="BM317" i="25"/>
  <c r="BL317" i="25"/>
  <c r="BD317" i="25"/>
  <c r="BE317" i="25" s="1"/>
  <c r="BA317" i="25"/>
  <c r="AZ317" i="25"/>
  <c r="AX317" i="25"/>
  <c r="AW317" i="25"/>
  <c r="F317" i="25"/>
  <c r="CD317" i="25" s="1"/>
  <c r="BV317" i="25" s="1"/>
  <c r="CR314" i="25"/>
  <c r="CQ314" i="25"/>
  <c r="CP314" i="25"/>
  <c r="CO314" i="25"/>
  <c r="CN314" i="25"/>
  <c r="CM314" i="25"/>
  <c r="CL314" i="25"/>
  <c r="BR314" i="25" s="1"/>
  <c r="CK314" i="25"/>
  <c r="CJ314" i="25"/>
  <c r="CI314" i="25"/>
  <c r="CF314" i="25"/>
  <c r="CE314" i="25"/>
  <c r="BW314" i="25"/>
  <c r="BU314" i="25"/>
  <c r="CB314" i="25" s="1"/>
  <c r="BS314" i="25"/>
  <c r="BM314" i="25"/>
  <c r="BL314" i="25"/>
  <c r="BD314" i="25"/>
  <c r="BE314" i="25" s="1"/>
  <c r="BA314" i="25"/>
  <c r="AZ314" i="25"/>
  <c r="AX314" i="25"/>
  <c r="AW314" i="25"/>
  <c r="F314" i="25"/>
  <c r="CH314" i="25" s="1"/>
  <c r="CR312" i="25"/>
  <c r="CQ312" i="25"/>
  <c r="CP312" i="25"/>
  <c r="CO312" i="25"/>
  <c r="CN312" i="25"/>
  <c r="CM312" i="25"/>
  <c r="CL312" i="25"/>
  <c r="BT312" i="25" s="1"/>
  <c r="CK312" i="25"/>
  <c r="CJ312" i="25"/>
  <c r="CI312" i="25"/>
  <c r="CF312" i="25"/>
  <c r="CE312" i="25"/>
  <c r="BW312" i="25"/>
  <c r="BU312" i="25"/>
  <c r="CB312" i="25" s="1"/>
  <c r="BS312" i="25"/>
  <c r="BM312" i="25"/>
  <c r="BL312" i="25"/>
  <c r="BD312" i="25"/>
  <c r="BE312" i="25" s="1"/>
  <c r="BA312" i="25"/>
  <c r="AZ312" i="25"/>
  <c r="AX312" i="25"/>
  <c r="AW312" i="25"/>
  <c r="F312" i="25"/>
  <c r="CH312" i="25" s="1"/>
  <c r="CR311" i="25"/>
  <c r="CQ311" i="25"/>
  <c r="CP311" i="25"/>
  <c r="CO311" i="25"/>
  <c r="CN311" i="25"/>
  <c r="CM311" i="25"/>
  <c r="CL311" i="25"/>
  <c r="CK311" i="25"/>
  <c r="CJ311" i="25"/>
  <c r="CI311" i="25"/>
  <c r="CF311" i="25"/>
  <c r="CE311" i="25"/>
  <c r="BW311" i="25"/>
  <c r="BU311" i="25"/>
  <c r="CB311" i="25" s="1"/>
  <c r="BT311" i="25"/>
  <c r="BS311" i="25"/>
  <c r="BM311" i="25"/>
  <c r="BL311" i="25"/>
  <c r="BD311" i="25"/>
  <c r="BA311" i="25"/>
  <c r="AZ311" i="25"/>
  <c r="AX311" i="25"/>
  <c r="AW311" i="25"/>
  <c r="F311" i="25"/>
  <c r="CH311" i="25" s="1"/>
  <c r="CR212" i="25"/>
  <c r="CQ212" i="25"/>
  <c r="CN212" i="25"/>
  <c r="CM212" i="25"/>
  <c r="CL212" i="25"/>
  <c r="BN212" i="25" s="1"/>
  <c r="BO212" i="25" s="1"/>
  <c r="CK212" i="25"/>
  <c r="CJ212" i="25"/>
  <c r="CI212" i="25"/>
  <c r="CH212" i="25"/>
  <c r="CF212" i="25"/>
  <c r="CE212" i="25"/>
  <c r="CD212" i="25"/>
  <c r="BV212" i="25" s="1"/>
  <c r="CC212" i="25"/>
  <c r="BX212" i="25" s="1"/>
  <c r="BU212" i="25"/>
  <c r="CB212" i="25" s="1"/>
  <c r="BM212" i="25"/>
  <c r="BS212" i="25" s="1"/>
  <c r="BL212" i="25"/>
  <c r="BD212" i="25"/>
  <c r="BA212" i="25"/>
  <c r="AZ212" i="25"/>
  <c r="AX212" i="25"/>
  <c r="AW212" i="25"/>
  <c r="CR348" i="25"/>
  <c r="CQ348" i="25"/>
  <c r="CN348" i="25"/>
  <c r="CM348" i="25"/>
  <c r="CL348" i="25"/>
  <c r="BW348" i="25" s="1"/>
  <c r="CK348" i="25"/>
  <c r="CJ348" i="25"/>
  <c r="CI348" i="25"/>
  <c r="CH348" i="25"/>
  <c r="CF348" i="25"/>
  <c r="CE348" i="25"/>
  <c r="CD348" i="25"/>
  <c r="BV348" i="25" s="1"/>
  <c r="CC348" i="25"/>
  <c r="BX348" i="25" s="1"/>
  <c r="BU348" i="25"/>
  <c r="CB348" i="25" s="1"/>
  <c r="BM348" i="25"/>
  <c r="BS348" i="25" s="1"/>
  <c r="BL348" i="25"/>
  <c r="BD348" i="25"/>
  <c r="BA348" i="25"/>
  <c r="AZ348" i="25"/>
  <c r="AX348" i="25"/>
  <c r="AW348" i="25"/>
  <c r="CR347" i="25"/>
  <c r="CQ347" i="25"/>
  <c r="CN347" i="25"/>
  <c r="CM347" i="25"/>
  <c r="CL347" i="25"/>
  <c r="BN347" i="25" s="1"/>
  <c r="BO347" i="25" s="1"/>
  <c r="CK347" i="25"/>
  <c r="CJ347" i="25"/>
  <c r="CI347" i="25"/>
  <c r="CH347" i="25"/>
  <c r="CF347" i="25"/>
  <c r="CE347" i="25"/>
  <c r="CD347" i="25"/>
  <c r="BV347" i="25" s="1"/>
  <c r="CC347" i="25"/>
  <c r="BX347" i="25" s="1"/>
  <c r="BU347" i="25"/>
  <c r="CB347" i="25" s="1"/>
  <c r="BM347" i="25"/>
  <c r="BS347" i="25" s="1"/>
  <c r="BL347" i="25"/>
  <c r="BD347" i="25"/>
  <c r="BA347" i="25"/>
  <c r="AZ347" i="25"/>
  <c r="AX347" i="25"/>
  <c r="AW347" i="25"/>
  <c r="CR293" i="25"/>
  <c r="CQ293" i="25"/>
  <c r="CP293" i="25"/>
  <c r="CO293" i="25"/>
  <c r="CN293" i="25"/>
  <c r="CM293" i="25"/>
  <c r="CL293" i="25"/>
  <c r="BT293" i="25" s="1"/>
  <c r="CK293" i="25"/>
  <c r="CJ293" i="25"/>
  <c r="CI293" i="25"/>
  <c r="CH293" i="25"/>
  <c r="CF293" i="25"/>
  <c r="CE293" i="25"/>
  <c r="CD293" i="25"/>
  <c r="BV293" i="25" s="1"/>
  <c r="CC293" i="25"/>
  <c r="BX293" i="25" s="1"/>
  <c r="BU293" i="25"/>
  <c r="CB293" i="25" s="1"/>
  <c r="BS293" i="25"/>
  <c r="BM293" i="25"/>
  <c r="BL293" i="25"/>
  <c r="BD293" i="25"/>
  <c r="AX293" i="25"/>
  <c r="AW293" i="25"/>
  <c r="Q293" i="25"/>
  <c r="AZ293" i="25" s="1"/>
  <c r="CR369" i="25"/>
  <c r="CQ369" i="25"/>
  <c r="CN369" i="25"/>
  <c r="CM369" i="25"/>
  <c r="CL369" i="25"/>
  <c r="BT369" i="25" s="1"/>
  <c r="CK369" i="25"/>
  <c r="CJ369" i="25"/>
  <c r="CI369" i="25"/>
  <c r="CH369" i="25"/>
  <c r="CF369" i="25"/>
  <c r="CE369" i="25"/>
  <c r="CD369" i="25"/>
  <c r="BV369" i="25" s="1"/>
  <c r="CC369" i="25"/>
  <c r="BX369" i="25" s="1"/>
  <c r="BU369" i="25"/>
  <c r="CB369" i="25" s="1"/>
  <c r="BS369" i="25"/>
  <c r="BM369" i="25"/>
  <c r="BL369" i="25"/>
  <c r="BD369" i="25"/>
  <c r="BE369" i="25" s="1"/>
  <c r="AX369" i="25"/>
  <c r="AW369" i="25"/>
  <c r="Q369" i="25"/>
  <c r="AZ369" i="25" s="1"/>
  <c r="CR292" i="25"/>
  <c r="CQ292" i="25"/>
  <c r="CP292" i="25"/>
  <c r="CO292" i="25"/>
  <c r="CN292" i="25"/>
  <c r="CM292" i="25"/>
  <c r="CL292" i="25"/>
  <c r="BT292" i="25" s="1"/>
  <c r="CK292" i="25"/>
  <c r="CJ292" i="25"/>
  <c r="CI292" i="25"/>
  <c r="CF292" i="25"/>
  <c r="CE292" i="25"/>
  <c r="BW292" i="25"/>
  <c r="BU292" i="25"/>
  <c r="CB292" i="25" s="1"/>
  <c r="BS292" i="25"/>
  <c r="BM292" i="25"/>
  <c r="BL292" i="25"/>
  <c r="BD292" i="25"/>
  <c r="BE292" i="25" s="1"/>
  <c r="BA292" i="25"/>
  <c r="AZ292" i="25"/>
  <c r="AX292" i="25"/>
  <c r="AW292" i="25"/>
  <c r="F292" i="25"/>
  <c r="CH292" i="25" s="1"/>
  <c r="CR288" i="25"/>
  <c r="CQ288" i="25"/>
  <c r="CP288" i="25"/>
  <c r="CO288" i="25"/>
  <c r="CN288" i="25"/>
  <c r="CM288" i="25"/>
  <c r="CL288" i="25"/>
  <c r="BR288" i="25" s="1"/>
  <c r="CK288" i="25"/>
  <c r="CJ288" i="25"/>
  <c r="CI288" i="25"/>
  <c r="CF288" i="25"/>
  <c r="CE288" i="25"/>
  <c r="BW288" i="25"/>
  <c r="BU288" i="25"/>
  <c r="CB288" i="25" s="1"/>
  <c r="BS288" i="25"/>
  <c r="BM288" i="25"/>
  <c r="BL288" i="25"/>
  <c r="BD288" i="25"/>
  <c r="BA288" i="25"/>
  <c r="AZ288" i="25"/>
  <c r="AX288" i="25"/>
  <c r="AW288" i="25"/>
  <c r="F288" i="25"/>
  <c r="CH288" i="25" s="1"/>
  <c r="CR289" i="25"/>
  <c r="CQ289" i="25"/>
  <c r="CP289" i="25"/>
  <c r="CO289" i="25"/>
  <c r="CN289" i="25"/>
  <c r="CM289" i="25"/>
  <c r="CL289" i="25"/>
  <c r="BR289" i="25" s="1"/>
  <c r="CK289" i="25"/>
  <c r="CJ289" i="25"/>
  <c r="CI289" i="25"/>
  <c r="CF289" i="25"/>
  <c r="CE289" i="25"/>
  <c r="BW289" i="25"/>
  <c r="BU289" i="25"/>
  <c r="CB289" i="25" s="1"/>
  <c r="BS289" i="25"/>
  <c r="BM289" i="25"/>
  <c r="BL289" i="25"/>
  <c r="BD289" i="25"/>
  <c r="BA289" i="25"/>
  <c r="AZ289" i="25"/>
  <c r="AX289" i="25"/>
  <c r="AW289" i="25"/>
  <c r="F289" i="25"/>
  <c r="CR290" i="25"/>
  <c r="CQ290" i="25"/>
  <c r="CP290" i="25"/>
  <c r="CO290" i="25"/>
  <c r="CN290" i="25"/>
  <c r="CM290" i="25"/>
  <c r="CL290" i="25"/>
  <c r="BT290" i="25" s="1"/>
  <c r="CK290" i="25"/>
  <c r="CJ290" i="25"/>
  <c r="CI290" i="25"/>
  <c r="CF290" i="25"/>
  <c r="CE290" i="25"/>
  <c r="BW290" i="25"/>
  <c r="BU290" i="25"/>
  <c r="CB290" i="25" s="1"/>
  <c r="BS290" i="25"/>
  <c r="BM290" i="25"/>
  <c r="BL290" i="25"/>
  <c r="BD290" i="25"/>
  <c r="BE290" i="25" s="1"/>
  <c r="BA290" i="25"/>
  <c r="BB290" i="25" s="1"/>
  <c r="AZ290" i="25"/>
  <c r="AX290" i="25"/>
  <c r="AW290" i="25"/>
  <c r="F290" i="25"/>
  <c r="CH290" i="25" s="1"/>
  <c r="CR291" i="25"/>
  <c r="CQ291" i="25"/>
  <c r="CP291" i="25"/>
  <c r="CO291" i="25"/>
  <c r="CN291" i="25"/>
  <c r="CM291" i="25"/>
  <c r="CL291" i="25"/>
  <c r="CK291" i="25"/>
  <c r="CJ291" i="25"/>
  <c r="CI291" i="25"/>
  <c r="CF291" i="25"/>
  <c r="CE291" i="25"/>
  <c r="BW291" i="25"/>
  <c r="BU291" i="25"/>
  <c r="CB291" i="25" s="1"/>
  <c r="BS291" i="25"/>
  <c r="BM291" i="25"/>
  <c r="BL291" i="25"/>
  <c r="BD291" i="25"/>
  <c r="BE291" i="25" s="1"/>
  <c r="BA291" i="25"/>
  <c r="AZ291" i="25"/>
  <c r="AX291" i="25"/>
  <c r="AW291" i="25"/>
  <c r="F291" i="25"/>
  <c r="CH291" i="25" s="1"/>
  <c r="CR285" i="25"/>
  <c r="CQ285" i="25"/>
  <c r="CP285" i="25"/>
  <c r="CO285" i="25"/>
  <c r="CN285" i="25"/>
  <c r="CM285" i="25"/>
  <c r="CL285" i="25"/>
  <c r="BR285" i="25" s="1"/>
  <c r="CK285" i="25"/>
  <c r="CJ285" i="25"/>
  <c r="CI285" i="25"/>
  <c r="CH285" i="25"/>
  <c r="CF285" i="25"/>
  <c r="CE285" i="25"/>
  <c r="CD285" i="25"/>
  <c r="BV285" i="25" s="1"/>
  <c r="CC285" i="25"/>
  <c r="BX285" i="25" s="1"/>
  <c r="BW285" i="25"/>
  <c r="BU285" i="25"/>
  <c r="CB285" i="25" s="1"/>
  <c r="BS285" i="25"/>
  <c r="BM285" i="25"/>
  <c r="BL285" i="25"/>
  <c r="BD285" i="25"/>
  <c r="BA285" i="25"/>
  <c r="AZ285" i="25"/>
  <c r="AX285" i="25"/>
  <c r="AW285" i="25"/>
  <c r="CR284" i="25"/>
  <c r="CQ284" i="25"/>
  <c r="CP284" i="25"/>
  <c r="CO284" i="25"/>
  <c r="CN284" i="25"/>
  <c r="CM284" i="25"/>
  <c r="CL284" i="25"/>
  <c r="BW284" i="25" s="1"/>
  <c r="CK284" i="25"/>
  <c r="CJ284" i="25"/>
  <c r="CI284" i="25"/>
  <c r="CH284" i="25"/>
  <c r="CF284" i="25"/>
  <c r="CE284" i="25"/>
  <c r="CD284" i="25"/>
  <c r="BV284" i="25" s="1"/>
  <c r="CC284" i="25"/>
  <c r="BX284" i="25" s="1"/>
  <c r="BU284" i="25"/>
  <c r="CB284" i="25" s="1"/>
  <c r="BS284" i="25"/>
  <c r="BM284" i="25"/>
  <c r="BL284" i="25"/>
  <c r="BD284" i="25"/>
  <c r="BA284" i="25"/>
  <c r="AZ284" i="25"/>
  <c r="AX284" i="25"/>
  <c r="AW284" i="25"/>
  <c r="CR282" i="25"/>
  <c r="CQ282" i="25"/>
  <c r="CP282" i="25"/>
  <c r="CO282" i="25"/>
  <c r="CN282" i="25"/>
  <c r="CM282" i="25"/>
  <c r="CL282" i="25"/>
  <c r="BR282" i="25" s="1"/>
  <c r="CK282" i="25"/>
  <c r="CJ282" i="25"/>
  <c r="CI282" i="25"/>
  <c r="CH282" i="25"/>
  <c r="CF282" i="25"/>
  <c r="CE282" i="25"/>
  <c r="CD282" i="25"/>
  <c r="BV282" i="25" s="1"/>
  <c r="CC282" i="25"/>
  <c r="BX282" i="25" s="1"/>
  <c r="BW282" i="25"/>
  <c r="BU282" i="25"/>
  <c r="CB282" i="25" s="1"/>
  <c r="BS282" i="25"/>
  <c r="BM282" i="25"/>
  <c r="BL282" i="25"/>
  <c r="BD282" i="25"/>
  <c r="BA282" i="25"/>
  <c r="AZ282" i="25"/>
  <c r="AX282" i="25"/>
  <c r="AW282" i="25"/>
  <c r="CR286" i="25"/>
  <c r="CQ286" i="25"/>
  <c r="CP286" i="25"/>
  <c r="CO286" i="25"/>
  <c r="CN286" i="25"/>
  <c r="CM286" i="25"/>
  <c r="CL286" i="25"/>
  <c r="BR286" i="25" s="1"/>
  <c r="CK286" i="25"/>
  <c r="CJ286" i="25"/>
  <c r="CI286" i="25"/>
  <c r="CH286" i="25"/>
  <c r="CF286" i="25"/>
  <c r="CE286" i="25"/>
  <c r="CD286" i="25"/>
  <c r="BV286" i="25" s="1"/>
  <c r="CC286" i="25"/>
  <c r="BX286" i="25" s="1"/>
  <c r="BW286" i="25"/>
  <c r="BU286" i="25"/>
  <c r="CB286" i="25" s="1"/>
  <c r="BS286" i="25"/>
  <c r="BM286" i="25"/>
  <c r="BL286" i="25"/>
  <c r="BD286" i="25"/>
  <c r="BA286" i="25"/>
  <c r="AZ286" i="25"/>
  <c r="AX286" i="25"/>
  <c r="AW286" i="25"/>
  <c r="CR280" i="25"/>
  <c r="CQ280" i="25"/>
  <c r="CP280" i="25"/>
  <c r="CO280" i="25"/>
  <c r="CN280" i="25"/>
  <c r="CM280" i="25"/>
  <c r="CL280" i="25"/>
  <c r="BN280" i="25" s="1"/>
  <c r="BO280" i="25" s="1"/>
  <c r="CK280" i="25"/>
  <c r="CJ280" i="25"/>
  <c r="CI280" i="25"/>
  <c r="CH280" i="25"/>
  <c r="CF280" i="25"/>
  <c r="CE280" i="25"/>
  <c r="CD280" i="25"/>
  <c r="BV280" i="25" s="1"/>
  <c r="CC280" i="25"/>
  <c r="BX280" i="25" s="1"/>
  <c r="BW280" i="25"/>
  <c r="BU280" i="25"/>
  <c r="CB280" i="25" s="1"/>
  <c r="BS280" i="25"/>
  <c r="BM280" i="25"/>
  <c r="BL280" i="25"/>
  <c r="BD280" i="25"/>
  <c r="BA280" i="25"/>
  <c r="AZ280" i="25"/>
  <c r="AX280" i="25"/>
  <c r="AW280" i="25"/>
  <c r="CR287" i="25"/>
  <c r="CQ287" i="25"/>
  <c r="CP287" i="25"/>
  <c r="CO287" i="25"/>
  <c r="CN287" i="25"/>
  <c r="CM287" i="25"/>
  <c r="CL287" i="25"/>
  <c r="BW287" i="25" s="1"/>
  <c r="CK287" i="25"/>
  <c r="CJ287" i="25"/>
  <c r="CI287" i="25"/>
  <c r="CH287" i="25"/>
  <c r="CF287" i="25"/>
  <c r="CE287" i="25"/>
  <c r="CD287" i="25"/>
  <c r="BV287" i="25" s="1"/>
  <c r="CC287" i="25"/>
  <c r="BX287" i="25" s="1"/>
  <c r="BU287" i="25"/>
  <c r="CB287" i="25" s="1"/>
  <c r="BS287" i="25"/>
  <c r="BM287" i="25"/>
  <c r="BL287" i="25"/>
  <c r="BD287" i="25"/>
  <c r="BA287" i="25"/>
  <c r="AZ287" i="25"/>
  <c r="AX287" i="25"/>
  <c r="AW287" i="25"/>
  <c r="CR283" i="25"/>
  <c r="CQ283" i="25"/>
  <c r="CP283" i="25"/>
  <c r="CO283" i="25"/>
  <c r="CN283" i="25"/>
  <c r="CM283" i="25"/>
  <c r="CL283" i="25"/>
  <c r="BR283" i="25" s="1"/>
  <c r="CK283" i="25"/>
  <c r="CJ283" i="25"/>
  <c r="CI283" i="25"/>
  <c r="CH283" i="25"/>
  <c r="CF283" i="25"/>
  <c r="CE283" i="25"/>
  <c r="CD283" i="25"/>
  <c r="BV283" i="25" s="1"/>
  <c r="CC283" i="25"/>
  <c r="BX283" i="25" s="1"/>
  <c r="BW283" i="25"/>
  <c r="BU283" i="25"/>
  <c r="CB283" i="25" s="1"/>
  <c r="BS283" i="25"/>
  <c r="BM283" i="25"/>
  <c r="BL283" i="25"/>
  <c r="BD283" i="25"/>
  <c r="BA283" i="25"/>
  <c r="AZ283" i="25"/>
  <c r="AX283" i="25"/>
  <c r="AW283" i="25"/>
  <c r="CR281" i="25"/>
  <c r="CQ281" i="25"/>
  <c r="CP281" i="25"/>
  <c r="CO281" i="25"/>
  <c r="CN281" i="25"/>
  <c r="CM281" i="25"/>
  <c r="CL281" i="25"/>
  <c r="BR281" i="25" s="1"/>
  <c r="CK281" i="25"/>
  <c r="CJ281" i="25"/>
  <c r="CI281" i="25"/>
  <c r="CH281" i="25"/>
  <c r="CF281" i="25"/>
  <c r="CE281" i="25"/>
  <c r="CD281" i="25"/>
  <c r="BV281" i="25" s="1"/>
  <c r="CC281" i="25"/>
  <c r="BX281" i="25" s="1"/>
  <c r="BW281" i="25"/>
  <c r="BU281" i="25"/>
  <c r="CB281" i="25" s="1"/>
  <c r="BS281" i="25"/>
  <c r="BM281" i="25"/>
  <c r="BL281" i="25"/>
  <c r="BD281" i="25"/>
  <c r="BA281" i="25"/>
  <c r="AZ281" i="25"/>
  <c r="AX281" i="25"/>
  <c r="AW281" i="25"/>
  <c r="CR278" i="25"/>
  <c r="CQ278" i="25"/>
  <c r="CP278" i="25"/>
  <c r="CO278" i="25"/>
  <c r="CN278" i="25"/>
  <c r="CM278" i="25"/>
  <c r="CL278" i="25"/>
  <c r="BN278" i="25" s="1"/>
  <c r="BO278" i="25" s="1"/>
  <c r="CK278" i="25"/>
  <c r="CJ278" i="25"/>
  <c r="CI278" i="25"/>
  <c r="CH278" i="25"/>
  <c r="CF278" i="25"/>
  <c r="CE278" i="25"/>
  <c r="CD278" i="25"/>
  <c r="BV278" i="25" s="1"/>
  <c r="CC278" i="25"/>
  <c r="BX278" i="25" s="1"/>
  <c r="BU278" i="25"/>
  <c r="CB278" i="25" s="1"/>
  <c r="BS278" i="25"/>
  <c r="BM278" i="25"/>
  <c r="BL278" i="25"/>
  <c r="BD278" i="25"/>
  <c r="BA278" i="25"/>
  <c r="AZ278" i="25"/>
  <c r="AX278" i="25"/>
  <c r="AW278" i="25"/>
  <c r="CR270" i="25"/>
  <c r="CQ270" i="25"/>
  <c r="CP270" i="25"/>
  <c r="CO270" i="25"/>
  <c r="CN270" i="25"/>
  <c r="CM270" i="25"/>
  <c r="CL270" i="25"/>
  <c r="BW270" i="25" s="1"/>
  <c r="CK270" i="25"/>
  <c r="CJ270" i="25"/>
  <c r="CI270" i="25"/>
  <c r="CH270" i="25"/>
  <c r="CF270" i="25"/>
  <c r="CE270" i="25"/>
  <c r="CD270" i="25"/>
  <c r="BV270" i="25" s="1"/>
  <c r="CC270" i="25"/>
  <c r="BX270" i="25" s="1"/>
  <c r="BU270" i="25"/>
  <c r="CB270" i="25" s="1"/>
  <c r="BS270" i="25"/>
  <c r="BM270" i="25"/>
  <c r="BL270" i="25"/>
  <c r="BD270" i="25"/>
  <c r="BA270" i="25"/>
  <c r="AZ270" i="25"/>
  <c r="AX270" i="25"/>
  <c r="AW270" i="25"/>
  <c r="CR268" i="25"/>
  <c r="CQ268" i="25"/>
  <c r="CP268" i="25"/>
  <c r="CO268" i="25"/>
  <c r="CN268" i="25"/>
  <c r="CM268" i="25"/>
  <c r="CL268" i="25"/>
  <c r="BN268" i="25" s="1"/>
  <c r="BO268" i="25" s="1"/>
  <c r="CK268" i="25"/>
  <c r="CJ268" i="25"/>
  <c r="CI268" i="25"/>
  <c r="CH268" i="25"/>
  <c r="CF268" i="25"/>
  <c r="CE268" i="25"/>
  <c r="CD268" i="25"/>
  <c r="BV268" i="25" s="1"/>
  <c r="CC268" i="25"/>
  <c r="BX268" i="25" s="1"/>
  <c r="BU268" i="25"/>
  <c r="CB268" i="25" s="1"/>
  <c r="BS268" i="25"/>
  <c r="BM268" i="25"/>
  <c r="BL268" i="25"/>
  <c r="BD268" i="25"/>
  <c r="BA268" i="25"/>
  <c r="AZ268" i="25"/>
  <c r="AX268" i="25"/>
  <c r="AW268" i="25"/>
  <c r="CR274" i="25"/>
  <c r="CQ274" i="25"/>
  <c r="CP274" i="25"/>
  <c r="CO274" i="25"/>
  <c r="CN274" i="25"/>
  <c r="CM274" i="25"/>
  <c r="CL274" i="25"/>
  <c r="BW274" i="25" s="1"/>
  <c r="CK274" i="25"/>
  <c r="CJ274" i="25"/>
  <c r="CI274" i="25"/>
  <c r="CH274" i="25"/>
  <c r="CF274" i="25"/>
  <c r="CE274" i="25"/>
  <c r="CD274" i="25"/>
  <c r="BV274" i="25" s="1"/>
  <c r="CC274" i="25"/>
  <c r="BX274" i="25" s="1"/>
  <c r="BU274" i="25"/>
  <c r="CB274" i="25" s="1"/>
  <c r="BS274" i="25"/>
  <c r="BM274" i="25"/>
  <c r="BL274" i="25"/>
  <c r="BD274" i="25"/>
  <c r="BA274" i="25"/>
  <c r="AZ274" i="25"/>
  <c r="AX274" i="25"/>
  <c r="AW274" i="25"/>
  <c r="CR266" i="25"/>
  <c r="CQ266" i="25"/>
  <c r="CP266" i="25"/>
  <c r="CO266" i="25"/>
  <c r="CN266" i="25"/>
  <c r="CM266" i="25"/>
  <c r="CL266" i="25"/>
  <c r="BW266" i="25" s="1"/>
  <c r="CK266" i="25"/>
  <c r="CJ266" i="25"/>
  <c r="CI266" i="25"/>
  <c r="CH266" i="25"/>
  <c r="CF266" i="25"/>
  <c r="CE266" i="25"/>
  <c r="CD266" i="25"/>
  <c r="BV266" i="25" s="1"/>
  <c r="CC266" i="25"/>
  <c r="BX266" i="25" s="1"/>
  <c r="BU266" i="25"/>
  <c r="CB266" i="25" s="1"/>
  <c r="BS266" i="25"/>
  <c r="BM266" i="25"/>
  <c r="BL266" i="25"/>
  <c r="BD266" i="25"/>
  <c r="BA266" i="25"/>
  <c r="AZ266" i="25"/>
  <c r="AX266" i="25"/>
  <c r="AW266" i="25"/>
  <c r="CR277" i="25"/>
  <c r="CQ277" i="25"/>
  <c r="CP277" i="25"/>
  <c r="CO277" i="25"/>
  <c r="CN277" i="25"/>
  <c r="CM277" i="25"/>
  <c r="CL277" i="25"/>
  <c r="BW277" i="25" s="1"/>
  <c r="CK277" i="25"/>
  <c r="CJ277" i="25"/>
  <c r="CI277" i="25"/>
  <c r="CH277" i="25"/>
  <c r="CF277" i="25"/>
  <c r="CE277" i="25"/>
  <c r="CD277" i="25"/>
  <c r="BV277" i="25" s="1"/>
  <c r="CC277" i="25"/>
  <c r="BX277" i="25" s="1"/>
  <c r="BU277" i="25"/>
  <c r="CB277" i="25" s="1"/>
  <c r="BS277" i="25"/>
  <c r="BM277" i="25"/>
  <c r="BL277" i="25"/>
  <c r="BD277" i="25"/>
  <c r="BA277" i="25"/>
  <c r="AZ277" i="25"/>
  <c r="AX277" i="25"/>
  <c r="AW277" i="25"/>
  <c r="CR271" i="25"/>
  <c r="CQ271" i="25"/>
  <c r="CP271" i="25"/>
  <c r="CO271" i="25"/>
  <c r="CN271" i="25"/>
  <c r="CM271" i="25"/>
  <c r="CL271" i="25"/>
  <c r="BN271" i="25" s="1"/>
  <c r="BO271" i="25" s="1"/>
  <c r="CK271" i="25"/>
  <c r="CJ271" i="25"/>
  <c r="CI271" i="25"/>
  <c r="CH271" i="25"/>
  <c r="CF271" i="25"/>
  <c r="CE271" i="25"/>
  <c r="CD271" i="25"/>
  <c r="BV271" i="25" s="1"/>
  <c r="CC271" i="25"/>
  <c r="BX271" i="25" s="1"/>
  <c r="BU271" i="25"/>
  <c r="CB271" i="25" s="1"/>
  <c r="BS271" i="25"/>
  <c r="BM271" i="25"/>
  <c r="BL271" i="25"/>
  <c r="BD271" i="25"/>
  <c r="BA271" i="25"/>
  <c r="AZ271" i="25"/>
  <c r="AX271" i="25"/>
  <c r="AW271" i="25"/>
  <c r="CR279" i="25"/>
  <c r="CQ279" i="25"/>
  <c r="CP279" i="25"/>
  <c r="CO279" i="25"/>
  <c r="CN279" i="25"/>
  <c r="CM279" i="25"/>
  <c r="CL279" i="25"/>
  <c r="BW279" i="25" s="1"/>
  <c r="CK279" i="25"/>
  <c r="CJ279" i="25"/>
  <c r="CI279" i="25"/>
  <c r="CH279" i="25"/>
  <c r="CF279" i="25"/>
  <c r="CE279" i="25"/>
  <c r="CD279" i="25"/>
  <c r="BV279" i="25" s="1"/>
  <c r="CC279" i="25"/>
  <c r="BX279" i="25" s="1"/>
  <c r="BU279" i="25"/>
  <c r="CB279" i="25" s="1"/>
  <c r="BS279" i="25"/>
  <c r="BM279" i="25"/>
  <c r="BL279" i="25"/>
  <c r="BD279" i="25"/>
  <c r="BA279" i="25"/>
  <c r="AZ279" i="25"/>
  <c r="AX279" i="25"/>
  <c r="AW279" i="25"/>
  <c r="CR267" i="25"/>
  <c r="CQ267" i="25"/>
  <c r="CP267" i="25"/>
  <c r="CO267" i="25"/>
  <c r="CN267" i="25"/>
  <c r="CM267" i="25"/>
  <c r="CL267" i="25"/>
  <c r="BW267" i="25" s="1"/>
  <c r="CK267" i="25"/>
  <c r="CJ267" i="25"/>
  <c r="CI267" i="25"/>
  <c r="CH267" i="25"/>
  <c r="CF267" i="25"/>
  <c r="CE267" i="25"/>
  <c r="CD267" i="25"/>
  <c r="BV267" i="25" s="1"/>
  <c r="CC267" i="25"/>
  <c r="BX267" i="25" s="1"/>
  <c r="BU267" i="25"/>
  <c r="CB267" i="25" s="1"/>
  <c r="BS267" i="25"/>
  <c r="BM267" i="25"/>
  <c r="BL267" i="25"/>
  <c r="BD267" i="25"/>
  <c r="BA267" i="25"/>
  <c r="AZ267" i="25"/>
  <c r="AX267" i="25"/>
  <c r="AW267" i="25"/>
  <c r="CR229" i="25"/>
  <c r="CQ229" i="25"/>
  <c r="CP229" i="25"/>
  <c r="CO229" i="25"/>
  <c r="CN229" i="25"/>
  <c r="CM229" i="25"/>
  <c r="CL229" i="25"/>
  <c r="BR229" i="25" s="1"/>
  <c r="CK229" i="25"/>
  <c r="CJ229" i="25"/>
  <c r="CI229" i="25"/>
  <c r="CH229" i="25"/>
  <c r="CF229" i="25"/>
  <c r="CE229" i="25"/>
  <c r="CD229" i="25"/>
  <c r="BV229" i="25" s="1"/>
  <c r="CC229" i="25"/>
  <c r="BX229" i="25" s="1"/>
  <c r="BW229" i="25"/>
  <c r="BU229" i="25"/>
  <c r="CB229" i="25" s="1"/>
  <c r="BS229" i="25"/>
  <c r="BM229" i="25"/>
  <c r="BL229" i="25"/>
  <c r="BD229" i="25"/>
  <c r="BE229" i="25" s="1"/>
  <c r="BA229" i="25"/>
  <c r="AZ229" i="25"/>
  <c r="AX229" i="25"/>
  <c r="AW229" i="25"/>
  <c r="CR216" i="25"/>
  <c r="CQ216" i="25"/>
  <c r="CP216" i="25"/>
  <c r="CO216" i="25"/>
  <c r="CN216" i="25"/>
  <c r="CM216" i="25"/>
  <c r="CL216" i="25"/>
  <c r="CK216" i="25"/>
  <c r="CJ216" i="25"/>
  <c r="CI216" i="25"/>
  <c r="CH216" i="25"/>
  <c r="CF216" i="25"/>
  <c r="CE216" i="25"/>
  <c r="CD216" i="25"/>
  <c r="BV216" i="25" s="1"/>
  <c r="CC216" i="25"/>
  <c r="BX216" i="25" s="1"/>
  <c r="BW216" i="25"/>
  <c r="BU216" i="25"/>
  <c r="CB216" i="25" s="1"/>
  <c r="BS216" i="25"/>
  <c r="BM216" i="25"/>
  <c r="BL216" i="25"/>
  <c r="BD216" i="25"/>
  <c r="BE216" i="25" s="1"/>
  <c r="BA216" i="25"/>
  <c r="AZ216" i="25"/>
  <c r="AX216" i="25"/>
  <c r="AW216" i="25"/>
  <c r="CR230" i="25"/>
  <c r="CQ230" i="25"/>
  <c r="CP230" i="25"/>
  <c r="CO230" i="25"/>
  <c r="CN230" i="25"/>
  <c r="CM230" i="25"/>
  <c r="CL230" i="25"/>
  <c r="BR230" i="25" s="1"/>
  <c r="CK230" i="25"/>
  <c r="CJ230" i="25"/>
  <c r="CI230" i="25"/>
  <c r="CH230" i="25"/>
  <c r="CF230" i="25"/>
  <c r="CE230" i="25"/>
  <c r="CD230" i="25"/>
  <c r="BV230" i="25" s="1"/>
  <c r="CC230" i="25"/>
  <c r="BX230" i="25" s="1"/>
  <c r="BW230" i="25"/>
  <c r="BU230" i="25"/>
  <c r="CB230" i="25" s="1"/>
  <c r="BS230" i="25"/>
  <c r="BM230" i="25"/>
  <c r="BL230" i="25"/>
  <c r="BD230" i="25"/>
  <c r="BA230" i="25"/>
  <c r="AZ230" i="25"/>
  <c r="AX230" i="25"/>
  <c r="AW230" i="25"/>
  <c r="CR247" i="25"/>
  <c r="CQ247" i="25"/>
  <c r="CP247" i="25"/>
  <c r="CO247" i="25"/>
  <c r="CN247" i="25"/>
  <c r="CM247" i="25"/>
  <c r="CL247" i="25"/>
  <c r="BR247" i="25" s="1"/>
  <c r="CK247" i="25"/>
  <c r="CJ247" i="25"/>
  <c r="CI247" i="25"/>
  <c r="CH247" i="25"/>
  <c r="CF247" i="25"/>
  <c r="CE247" i="25"/>
  <c r="CD247" i="25"/>
  <c r="BV247" i="25" s="1"/>
  <c r="CC247" i="25"/>
  <c r="BX247" i="25" s="1"/>
  <c r="BW247" i="25"/>
  <c r="BU247" i="25"/>
  <c r="CB247" i="25" s="1"/>
  <c r="BS247" i="25"/>
  <c r="BM247" i="25"/>
  <c r="BL247" i="25"/>
  <c r="BD247" i="25"/>
  <c r="BE247" i="25" s="1"/>
  <c r="BA247" i="25"/>
  <c r="AZ247" i="25"/>
  <c r="AX247" i="25"/>
  <c r="AW247" i="25"/>
  <c r="CR239" i="25"/>
  <c r="CQ239" i="25"/>
  <c r="CP239" i="25"/>
  <c r="CO239" i="25"/>
  <c r="CN239" i="25"/>
  <c r="CM239" i="25"/>
  <c r="CL239" i="25"/>
  <c r="BR239" i="25" s="1"/>
  <c r="CK239" i="25"/>
  <c r="CJ239" i="25"/>
  <c r="CI239" i="25"/>
  <c r="CF239" i="25"/>
  <c r="CE239" i="25"/>
  <c r="BW239" i="25"/>
  <c r="BU239" i="25"/>
  <c r="CB239" i="25" s="1"/>
  <c r="BS239" i="25"/>
  <c r="BM239" i="25"/>
  <c r="BL239" i="25"/>
  <c r="BD239" i="25"/>
  <c r="BE239" i="25" s="1"/>
  <c r="BA239" i="25"/>
  <c r="AZ239" i="25"/>
  <c r="AX239" i="25"/>
  <c r="AW239" i="25"/>
  <c r="F239" i="25"/>
  <c r="CC239" i="25" s="1"/>
  <c r="BX239" i="25" s="1"/>
  <c r="CR226" i="25"/>
  <c r="CQ226" i="25"/>
  <c r="CP226" i="25"/>
  <c r="CO226" i="25"/>
  <c r="CN226" i="25"/>
  <c r="CM226" i="25"/>
  <c r="CL226" i="25"/>
  <c r="BN226" i="25" s="1"/>
  <c r="BO226" i="25" s="1"/>
  <c r="CK226" i="25"/>
  <c r="CJ226" i="25"/>
  <c r="CI226" i="25"/>
  <c r="CH226" i="25"/>
  <c r="CF226" i="25"/>
  <c r="CE226" i="25"/>
  <c r="CD226" i="25"/>
  <c r="BV226" i="25" s="1"/>
  <c r="CC226" i="25"/>
  <c r="BX226" i="25" s="1"/>
  <c r="BW226" i="25"/>
  <c r="BU226" i="25"/>
  <c r="CB226" i="25" s="1"/>
  <c r="BS226" i="25"/>
  <c r="BM226" i="25"/>
  <c r="BL226" i="25"/>
  <c r="BD226" i="25"/>
  <c r="BA226" i="25"/>
  <c r="AZ226" i="25"/>
  <c r="AX226" i="25"/>
  <c r="AW226" i="25"/>
  <c r="CR257" i="25"/>
  <c r="CQ257" i="25"/>
  <c r="CP257" i="25"/>
  <c r="CO257" i="25"/>
  <c r="CN257" i="25"/>
  <c r="CM257" i="25"/>
  <c r="CL257" i="25"/>
  <c r="BR257" i="25" s="1"/>
  <c r="CK257" i="25"/>
  <c r="CJ257" i="25"/>
  <c r="CI257" i="25"/>
  <c r="CF257" i="25"/>
  <c r="CE257" i="25"/>
  <c r="BW257" i="25"/>
  <c r="BU257" i="25"/>
  <c r="CB257" i="25" s="1"/>
  <c r="BT257" i="25"/>
  <c r="BS257" i="25"/>
  <c r="BM257" i="25"/>
  <c r="BL257" i="25"/>
  <c r="BD257" i="25"/>
  <c r="BA257" i="25"/>
  <c r="AZ257" i="25"/>
  <c r="AX257" i="25"/>
  <c r="AW257" i="25"/>
  <c r="F257" i="25"/>
  <c r="CR231" i="25"/>
  <c r="CQ231" i="25"/>
  <c r="CP231" i="25"/>
  <c r="CO231" i="25"/>
  <c r="CN231" i="25"/>
  <c r="CM231" i="25"/>
  <c r="CL231" i="25"/>
  <c r="BN231" i="25" s="1"/>
  <c r="BO231" i="25" s="1"/>
  <c r="CK231" i="25"/>
  <c r="CJ231" i="25"/>
  <c r="CI231" i="25"/>
  <c r="CH231" i="25"/>
  <c r="CF231" i="25"/>
  <c r="CE231" i="25"/>
  <c r="CD231" i="25"/>
  <c r="BV231" i="25" s="1"/>
  <c r="CC231" i="25"/>
  <c r="BX231" i="25" s="1"/>
  <c r="BW231" i="25"/>
  <c r="BU231" i="25"/>
  <c r="CB231" i="25" s="1"/>
  <c r="BS231" i="25"/>
  <c r="BM231" i="25"/>
  <c r="BL231" i="25"/>
  <c r="BD231" i="25"/>
  <c r="BE231" i="25" s="1"/>
  <c r="BA231" i="25"/>
  <c r="AZ231" i="25"/>
  <c r="AX231" i="25"/>
  <c r="AW231" i="25"/>
  <c r="CR253" i="25"/>
  <c r="CQ253" i="25"/>
  <c r="CP253" i="25"/>
  <c r="CO253" i="25"/>
  <c r="CN253" i="25"/>
  <c r="CM253" i="25"/>
  <c r="CL253" i="25"/>
  <c r="BR253" i="25" s="1"/>
  <c r="CK253" i="25"/>
  <c r="CJ253" i="25"/>
  <c r="CI253" i="25"/>
  <c r="CH253" i="25"/>
  <c r="CF253" i="25"/>
  <c r="CE253" i="25"/>
  <c r="CD253" i="25"/>
  <c r="BV253" i="25" s="1"/>
  <c r="CC253" i="25"/>
  <c r="BX253" i="25" s="1"/>
  <c r="BW253" i="25"/>
  <c r="BU253" i="25"/>
  <c r="CB253" i="25" s="1"/>
  <c r="BS253" i="25"/>
  <c r="BM253" i="25"/>
  <c r="BL253" i="25"/>
  <c r="BD253" i="25"/>
  <c r="BA253" i="25"/>
  <c r="AZ253" i="25"/>
  <c r="AX253" i="25"/>
  <c r="AW253" i="25"/>
  <c r="CR252" i="25"/>
  <c r="CQ252" i="25"/>
  <c r="CP252" i="25"/>
  <c r="CO252" i="25"/>
  <c r="CN252" i="25"/>
  <c r="CM252" i="25"/>
  <c r="CL252" i="25"/>
  <c r="BT252" i="25" s="1"/>
  <c r="CK252" i="25"/>
  <c r="CJ252" i="25"/>
  <c r="CI252" i="25"/>
  <c r="CH252" i="25"/>
  <c r="CF252" i="25"/>
  <c r="CE252" i="25"/>
  <c r="CD252" i="25"/>
  <c r="BV252" i="25" s="1"/>
  <c r="CC252" i="25"/>
  <c r="BX252" i="25" s="1"/>
  <c r="BW252" i="25"/>
  <c r="BU252" i="25"/>
  <c r="CB252" i="25" s="1"/>
  <c r="BS252" i="25"/>
  <c r="BM252" i="25"/>
  <c r="BL252" i="25"/>
  <c r="BD252" i="25"/>
  <c r="BE252" i="25" s="1"/>
  <c r="BA252" i="25"/>
  <c r="AZ252" i="25"/>
  <c r="AX252" i="25"/>
  <c r="AW252" i="25"/>
  <c r="CR262" i="25"/>
  <c r="CQ262" i="25"/>
  <c r="CP262" i="25"/>
  <c r="CO262" i="25"/>
  <c r="CN262" i="25"/>
  <c r="CM262" i="25"/>
  <c r="CL262" i="25"/>
  <c r="BT262" i="25" s="1"/>
  <c r="CK262" i="25"/>
  <c r="CJ262" i="25"/>
  <c r="CI262" i="25"/>
  <c r="CH262" i="25"/>
  <c r="CF262" i="25"/>
  <c r="CE262" i="25"/>
  <c r="CD262" i="25"/>
  <c r="BV262" i="25" s="1"/>
  <c r="CC262" i="25"/>
  <c r="BX262" i="25" s="1"/>
  <c r="BW262" i="25"/>
  <c r="BU262" i="25"/>
  <c r="CB262" i="25" s="1"/>
  <c r="BS262" i="25"/>
  <c r="BM262" i="25"/>
  <c r="BL262" i="25"/>
  <c r="BD262" i="25"/>
  <c r="BE262" i="25" s="1"/>
  <c r="BA262" i="25"/>
  <c r="AZ262" i="25"/>
  <c r="AX262" i="25"/>
  <c r="AW262" i="25"/>
  <c r="CR264" i="25"/>
  <c r="CQ264" i="25"/>
  <c r="CP264" i="25"/>
  <c r="CO264" i="25"/>
  <c r="CN264" i="25"/>
  <c r="CM264" i="25"/>
  <c r="CL264" i="25"/>
  <c r="BR264" i="25" s="1"/>
  <c r="CK264" i="25"/>
  <c r="CJ264" i="25"/>
  <c r="CI264" i="25"/>
  <c r="CF264" i="25"/>
  <c r="CE264" i="25"/>
  <c r="BW264" i="25"/>
  <c r="BU264" i="25"/>
  <c r="CB264" i="25" s="1"/>
  <c r="BS264" i="25"/>
  <c r="BM264" i="25"/>
  <c r="BL264" i="25"/>
  <c r="BD264" i="25"/>
  <c r="BE264" i="25" s="1"/>
  <c r="BA264" i="25"/>
  <c r="AZ264" i="25"/>
  <c r="AX264" i="25"/>
  <c r="AW264" i="25"/>
  <c r="F264" i="25"/>
  <c r="CC264" i="25" s="1"/>
  <c r="BX264" i="25" s="1"/>
  <c r="CR215" i="25"/>
  <c r="CQ215" i="25"/>
  <c r="CP215" i="25"/>
  <c r="CO215" i="25"/>
  <c r="CN215" i="25"/>
  <c r="CM215" i="25"/>
  <c r="CL215" i="25"/>
  <c r="BR215" i="25" s="1"/>
  <c r="CK215" i="25"/>
  <c r="CJ215" i="25"/>
  <c r="CI215" i="25"/>
  <c r="CH215" i="25"/>
  <c r="CF215" i="25"/>
  <c r="CE215" i="25"/>
  <c r="CD215" i="25"/>
  <c r="BV215" i="25" s="1"/>
  <c r="CC215" i="25"/>
  <c r="BX215" i="25" s="1"/>
  <c r="BW215" i="25"/>
  <c r="BU215" i="25"/>
  <c r="CB215" i="25" s="1"/>
  <c r="BS215" i="25"/>
  <c r="BM215" i="25"/>
  <c r="BL215" i="25"/>
  <c r="BD215" i="25"/>
  <c r="BE215" i="25" s="1"/>
  <c r="BA215" i="25"/>
  <c r="AZ215" i="25"/>
  <c r="AX215" i="25"/>
  <c r="AW215" i="25"/>
  <c r="CR220" i="25"/>
  <c r="CQ220" i="25"/>
  <c r="CP220" i="25"/>
  <c r="CO220" i="25"/>
  <c r="CN220" i="25"/>
  <c r="CM220" i="25"/>
  <c r="CL220" i="25"/>
  <c r="BN220" i="25" s="1"/>
  <c r="BO220" i="25" s="1"/>
  <c r="CK220" i="25"/>
  <c r="CJ220" i="25"/>
  <c r="CI220" i="25"/>
  <c r="CH220" i="25"/>
  <c r="CF220" i="25"/>
  <c r="CE220" i="25"/>
  <c r="CD220" i="25"/>
  <c r="BV220" i="25" s="1"/>
  <c r="CC220" i="25"/>
  <c r="BX220" i="25" s="1"/>
  <c r="BW220" i="25"/>
  <c r="BU220" i="25"/>
  <c r="CB220" i="25" s="1"/>
  <c r="BS220" i="25"/>
  <c r="BM220" i="25"/>
  <c r="BL220" i="25"/>
  <c r="BD220" i="25"/>
  <c r="BE220" i="25" s="1"/>
  <c r="BA220" i="25"/>
  <c r="AZ220" i="25"/>
  <c r="AX220" i="25"/>
  <c r="AW220" i="25"/>
  <c r="CR221" i="25"/>
  <c r="CQ221" i="25"/>
  <c r="CP221" i="25"/>
  <c r="CO221" i="25"/>
  <c r="CN221" i="25"/>
  <c r="CM221" i="25"/>
  <c r="CL221" i="25"/>
  <c r="BR221" i="25" s="1"/>
  <c r="CK221" i="25"/>
  <c r="CJ221" i="25"/>
  <c r="CI221" i="25"/>
  <c r="CF221" i="25"/>
  <c r="CE221" i="25"/>
  <c r="BW221" i="25"/>
  <c r="BU221" i="25"/>
  <c r="CB221" i="25" s="1"/>
  <c r="BS221" i="25"/>
  <c r="BM221" i="25"/>
  <c r="BL221" i="25"/>
  <c r="BD221" i="25"/>
  <c r="BE221" i="25" s="1"/>
  <c r="BA221" i="25"/>
  <c r="AZ221" i="25"/>
  <c r="AX221" i="25"/>
  <c r="AW221" i="25"/>
  <c r="F221" i="25"/>
  <c r="CH221" i="25" s="1"/>
  <c r="CR219" i="25"/>
  <c r="CQ219" i="25"/>
  <c r="CP219" i="25"/>
  <c r="CO219" i="25"/>
  <c r="CN219" i="25"/>
  <c r="CM219" i="25"/>
  <c r="CL219" i="25"/>
  <c r="BN219" i="25" s="1"/>
  <c r="BO219" i="25" s="1"/>
  <c r="CK219" i="25"/>
  <c r="CJ219" i="25"/>
  <c r="CI219" i="25"/>
  <c r="CH219" i="25"/>
  <c r="CF219" i="25"/>
  <c r="CE219" i="25"/>
  <c r="CD219" i="25"/>
  <c r="BV219" i="25" s="1"/>
  <c r="CC219" i="25"/>
  <c r="BX219" i="25" s="1"/>
  <c r="BW219" i="25"/>
  <c r="BU219" i="25"/>
  <c r="CB219" i="25" s="1"/>
  <c r="BS219" i="25"/>
  <c r="BM219" i="25"/>
  <c r="BL219" i="25"/>
  <c r="BD219" i="25"/>
  <c r="BE219" i="25" s="1"/>
  <c r="BA219" i="25"/>
  <c r="AZ219" i="25"/>
  <c r="AX219" i="25"/>
  <c r="AW219" i="25"/>
  <c r="CR250" i="25"/>
  <c r="CQ250" i="25"/>
  <c r="CP250" i="25"/>
  <c r="CO250" i="25"/>
  <c r="CN250" i="25"/>
  <c r="CM250" i="25"/>
  <c r="CL250" i="25"/>
  <c r="CK250" i="25"/>
  <c r="CJ250" i="25"/>
  <c r="CI250" i="25"/>
  <c r="CH250" i="25"/>
  <c r="CF250" i="25"/>
  <c r="CE250" i="25"/>
  <c r="CD250" i="25"/>
  <c r="BV250" i="25" s="1"/>
  <c r="CC250" i="25"/>
  <c r="BX250" i="25" s="1"/>
  <c r="BW250" i="25"/>
  <c r="BU250" i="25"/>
  <c r="CB250" i="25" s="1"/>
  <c r="BS250" i="25"/>
  <c r="BM250" i="25"/>
  <c r="BL250" i="25"/>
  <c r="BD250" i="25"/>
  <c r="BE250" i="25" s="1"/>
  <c r="BA250" i="25"/>
  <c r="AZ250" i="25"/>
  <c r="AX250" i="25"/>
  <c r="AW250" i="25"/>
  <c r="CR214" i="25"/>
  <c r="CQ214" i="25"/>
  <c r="CP214" i="25"/>
  <c r="CO214" i="25"/>
  <c r="CN214" i="25"/>
  <c r="CM214" i="25"/>
  <c r="CL214" i="25"/>
  <c r="BR214" i="25" s="1"/>
  <c r="CK214" i="25"/>
  <c r="CJ214" i="25"/>
  <c r="CI214" i="25"/>
  <c r="CF214" i="25"/>
  <c r="CE214" i="25"/>
  <c r="BW214" i="25"/>
  <c r="BU214" i="25"/>
  <c r="CB214" i="25" s="1"/>
  <c r="BS214" i="25"/>
  <c r="BM214" i="25"/>
  <c r="BL214" i="25"/>
  <c r="BD214" i="25"/>
  <c r="BE214" i="25" s="1"/>
  <c r="BA214" i="25"/>
  <c r="AZ214" i="25"/>
  <c r="AX214" i="25"/>
  <c r="AW214" i="25"/>
  <c r="F214" i="25"/>
  <c r="CC214" i="25" s="1"/>
  <c r="BX214" i="25" s="1"/>
  <c r="CR351" i="25"/>
  <c r="CQ351" i="25"/>
  <c r="CN351" i="25"/>
  <c r="CM351" i="25"/>
  <c r="CL351" i="25"/>
  <c r="BR351" i="25" s="1"/>
  <c r="CK351" i="25"/>
  <c r="CJ351" i="25"/>
  <c r="CI351" i="25"/>
  <c r="CH351" i="25"/>
  <c r="CF351" i="25"/>
  <c r="CE351" i="25"/>
  <c r="CD351" i="25"/>
  <c r="BV351" i="25" s="1"/>
  <c r="CC351" i="25"/>
  <c r="BX351" i="25" s="1"/>
  <c r="BW351" i="25"/>
  <c r="BU351" i="25"/>
  <c r="CB351" i="25" s="1"/>
  <c r="BS351" i="25"/>
  <c r="BM351" i="25"/>
  <c r="BL351" i="25"/>
  <c r="BD351" i="25"/>
  <c r="BA351" i="25"/>
  <c r="AZ351" i="25"/>
  <c r="AX351" i="25"/>
  <c r="AW351" i="25"/>
  <c r="CR246" i="25"/>
  <c r="CQ246" i="25"/>
  <c r="CP246" i="25"/>
  <c r="CO246" i="25"/>
  <c r="CN246" i="25"/>
  <c r="CM246" i="25"/>
  <c r="CL246" i="25"/>
  <c r="BT246" i="25" s="1"/>
  <c r="CK246" i="25"/>
  <c r="CJ246" i="25"/>
  <c r="CI246" i="25"/>
  <c r="CH246" i="25"/>
  <c r="CF246" i="25"/>
  <c r="CE246" i="25"/>
  <c r="CD246" i="25"/>
  <c r="BV246" i="25" s="1"/>
  <c r="CC246" i="25"/>
  <c r="BX246" i="25" s="1"/>
  <c r="BW246" i="25"/>
  <c r="BU246" i="25"/>
  <c r="CB246" i="25" s="1"/>
  <c r="BS246" i="25"/>
  <c r="BM246" i="25"/>
  <c r="BL246" i="25"/>
  <c r="BD246" i="25"/>
  <c r="BA246" i="25"/>
  <c r="AZ246" i="25"/>
  <c r="AX246" i="25"/>
  <c r="AW246" i="25"/>
  <c r="CR259" i="25"/>
  <c r="CQ259" i="25"/>
  <c r="CP259" i="25"/>
  <c r="CO259" i="25"/>
  <c r="CN259" i="25"/>
  <c r="CM259" i="25"/>
  <c r="CL259" i="25"/>
  <c r="BR259" i="25" s="1"/>
  <c r="CK259" i="25"/>
  <c r="CJ259" i="25"/>
  <c r="CI259" i="25"/>
  <c r="CH259" i="25"/>
  <c r="CF259" i="25"/>
  <c r="CE259" i="25"/>
  <c r="CD259" i="25"/>
  <c r="BV259" i="25" s="1"/>
  <c r="CC259" i="25"/>
  <c r="BX259" i="25" s="1"/>
  <c r="BW259" i="25"/>
  <c r="BU259" i="25"/>
  <c r="CB259" i="25" s="1"/>
  <c r="BS259" i="25"/>
  <c r="BM259" i="25"/>
  <c r="BL259" i="25"/>
  <c r="BD259" i="25"/>
  <c r="BA259" i="25"/>
  <c r="AZ259" i="25"/>
  <c r="AX259" i="25"/>
  <c r="AW259" i="25"/>
  <c r="CR234" i="25"/>
  <c r="CQ234" i="25"/>
  <c r="CP234" i="25"/>
  <c r="CO234" i="25"/>
  <c r="CN234" i="25"/>
  <c r="CM234" i="25"/>
  <c r="CL234" i="25"/>
  <c r="BT234" i="25" s="1"/>
  <c r="CK234" i="25"/>
  <c r="CJ234" i="25"/>
  <c r="CI234" i="25"/>
  <c r="CH234" i="25"/>
  <c r="CF234" i="25"/>
  <c r="CE234" i="25"/>
  <c r="CD234" i="25"/>
  <c r="BV234" i="25" s="1"/>
  <c r="CC234" i="25"/>
  <c r="BX234" i="25" s="1"/>
  <c r="BW234" i="25"/>
  <c r="BU234" i="25"/>
  <c r="CB234" i="25" s="1"/>
  <c r="BS234" i="25"/>
  <c r="BM234" i="25"/>
  <c r="BL234" i="25"/>
  <c r="BD234" i="25"/>
  <c r="BA234" i="25"/>
  <c r="AZ234" i="25"/>
  <c r="AX234" i="25"/>
  <c r="AW234" i="25"/>
  <c r="CR254" i="25"/>
  <c r="CQ254" i="25"/>
  <c r="CP254" i="25"/>
  <c r="CO254" i="25"/>
  <c r="CN254" i="25"/>
  <c r="CM254" i="25"/>
  <c r="CL254" i="25"/>
  <c r="BR254" i="25" s="1"/>
  <c r="CK254" i="25"/>
  <c r="CJ254" i="25"/>
  <c r="CI254" i="25"/>
  <c r="CH254" i="25"/>
  <c r="CF254" i="25"/>
  <c r="CE254" i="25"/>
  <c r="CD254" i="25"/>
  <c r="BV254" i="25" s="1"/>
  <c r="CC254" i="25"/>
  <c r="BX254" i="25" s="1"/>
  <c r="BW254" i="25"/>
  <c r="BU254" i="25"/>
  <c r="CB254" i="25" s="1"/>
  <c r="BS254" i="25"/>
  <c r="BM254" i="25"/>
  <c r="BL254" i="25"/>
  <c r="BD254" i="25"/>
  <c r="BA254" i="25"/>
  <c r="AZ254" i="25"/>
  <c r="AX254" i="25"/>
  <c r="AW254" i="25"/>
  <c r="CR227" i="25"/>
  <c r="CQ227" i="25"/>
  <c r="CP227" i="25"/>
  <c r="CO227" i="25"/>
  <c r="CN227" i="25"/>
  <c r="CM227" i="25"/>
  <c r="CL227" i="25"/>
  <c r="BT227" i="25" s="1"/>
  <c r="CK227" i="25"/>
  <c r="CJ227" i="25"/>
  <c r="CI227" i="25"/>
  <c r="CH227" i="25"/>
  <c r="CF227" i="25"/>
  <c r="CE227" i="25"/>
  <c r="CD227" i="25"/>
  <c r="BV227" i="25" s="1"/>
  <c r="CC227" i="25"/>
  <c r="BX227" i="25" s="1"/>
  <c r="BW227" i="25"/>
  <c r="BU227" i="25"/>
  <c r="CB227" i="25" s="1"/>
  <c r="BS227" i="25"/>
  <c r="BM227" i="25"/>
  <c r="BL227" i="25"/>
  <c r="BD227" i="25"/>
  <c r="BA227" i="25"/>
  <c r="AZ227" i="25"/>
  <c r="AX227" i="25"/>
  <c r="AW227" i="25"/>
  <c r="CR244" i="25"/>
  <c r="CQ244" i="25"/>
  <c r="CP244" i="25"/>
  <c r="CO244" i="25"/>
  <c r="CN244" i="25"/>
  <c r="CM244" i="25"/>
  <c r="CL244" i="25"/>
  <c r="BR244" i="25" s="1"/>
  <c r="CK244" i="25"/>
  <c r="CJ244" i="25"/>
  <c r="CI244" i="25"/>
  <c r="CH244" i="25"/>
  <c r="CF244" i="25"/>
  <c r="CE244" i="25"/>
  <c r="CD244" i="25"/>
  <c r="BV244" i="25" s="1"/>
  <c r="CC244" i="25"/>
  <c r="BX244" i="25" s="1"/>
  <c r="BW244" i="25"/>
  <c r="BU244" i="25"/>
  <c r="CB244" i="25" s="1"/>
  <c r="BS244" i="25"/>
  <c r="BM244" i="25"/>
  <c r="BL244" i="25"/>
  <c r="BD244" i="25"/>
  <c r="BA244" i="25"/>
  <c r="AZ244" i="25"/>
  <c r="AX244" i="25"/>
  <c r="AW244" i="25"/>
  <c r="CR255" i="25"/>
  <c r="CQ255" i="25"/>
  <c r="CP255" i="25"/>
  <c r="CO255" i="25"/>
  <c r="CN255" i="25"/>
  <c r="CM255" i="25"/>
  <c r="CL255" i="25"/>
  <c r="BT255" i="25" s="1"/>
  <c r="CK255" i="25"/>
  <c r="CJ255" i="25"/>
  <c r="CI255" i="25"/>
  <c r="CH255" i="25"/>
  <c r="CF255" i="25"/>
  <c r="CE255" i="25"/>
  <c r="CD255" i="25"/>
  <c r="BV255" i="25" s="1"/>
  <c r="CC255" i="25"/>
  <c r="BX255" i="25" s="1"/>
  <c r="BW255" i="25"/>
  <c r="BU255" i="25"/>
  <c r="CB255" i="25" s="1"/>
  <c r="BS255" i="25"/>
  <c r="BM255" i="25"/>
  <c r="BL255" i="25"/>
  <c r="BD255" i="25"/>
  <c r="BA255" i="25"/>
  <c r="AZ255" i="25"/>
  <c r="AX255" i="25"/>
  <c r="AW255" i="25"/>
  <c r="CR213" i="25"/>
  <c r="CQ213" i="25"/>
  <c r="CP213" i="25"/>
  <c r="CO213" i="25"/>
  <c r="CN213" i="25"/>
  <c r="CM213" i="25"/>
  <c r="CL213" i="25"/>
  <c r="BR213" i="25" s="1"/>
  <c r="CK213" i="25"/>
  <c r="CJ213" i="25"/>
  <c r="CI213" i="25"/>
  <c r="CH213" i="25"/>
  <c r="CF213" i="25"/>
  <c r="CE213" i="25"/>
  <c r="CD213" i="25"/>
  <c r="BV213" i="25" s="1"/>
  <c r="CC213" i="25"/>
  <c r="BX213" i="25" s="1"/>
  <c r="BW213" i="25"/>
  <c r="BU213" i="25"/>
  <c r="CB213" i="25" s="1"/>
  <c r="BS213" i="25"/>
  <c r="BM213" i="25"/>
  <c r="BL213" i="25"/>
  <c r="BD213" i="25"/>
  <c r="BA213" i="25"/>
  <c r="AZ213" i="25"/>
  <c r="AX213" i="25"/>
  <c r="AW213" i="25"/>
  <c r="CR218" i="25"/>
  <c r="CQ218" i="25"/>
  <c r="CP218" i="25"/>
  <c r="CO218" i="25"/>
  <c r="CN218" i="25"/>
  <c r="CM218" i="25"/>
  <c r="CL218" i="25"/>
  <c r="BR218" i="25" s="1"/>
  <c r="CK218" i="25"/>
  <c r="CJ218" i="25"/>
  <c r="CI218" i="25"/>
  <c r="CH218" i="25"/>
  <c r="CF218" i="25"/>
  <c r="CE218" i="25"/>
  <c r="CD218" i="25"/>
  <c r="BV218" i="25" s="1"/>
  <c r="CC218" i="25"/>
  <c r="BX218" i="25" s="1"/>
  <c r="BW218" i="25"/>
  <c r="BU218" i="25"/>
  <c r="CB218" i="25" s="1"/>
  <c r="BS218" i="25"/>
  <c r="BM218" i="25"/>
  <c r="BL218" i="25"/>
  <c r="BD218" i="25"/>
  <c r="BA218" i="25"/>
  <c r="AZ218" i="25"/>
  <c r="AX218" i="25"/>
  <c r="AW218" i="25"/>
  <c r="CR251" i="25"/>
  <c r="CQ251" i="25"/>
  <c r="CP251" i="25"/>
  <c r="CO251" i="25"/>
  <c r="CN251" i="25"/>
  <c r="CM251" i="25"/>
  <c r="CL251" i="25"/>
  <c r="BT251" i="25" s="1"/>
  <c r="CK251" i="25"/>
  <c r="CJ251" i="25"/>
  <c r="CI251" i="25"/>
  <c r="CH251" i="25"/>
  <c r="CF251" i="25"/>
  <c r="CE251" i="25"/>
  <c r="CD251" i="25"/>
  <c r="BV251" i="25" s="1"/>
  <c r="CC251" i="25"/>
  <c r="BX251" i="25" s="1"/>
  <c r="BW251" i="25"/>
  <c r="BU251" i="25"/>
  <c r="CB251" i="25" s="1"/>
  <c r="BS251" i="25"/>
  <c r="BM251" i="25"/>
  <c r="BL251" i="25"/>
  <c r="BD251" i="25"/>
  <c r="BA251" i="25"/>
  <c r="AZ251" i="25"/>
  <c r="AX251" i="25"/>
  <c r="AW251" i="25"/>
  <c r="CR236" i="25"/>
  <c r="CQ236" i="25"/>
  <c r="CP236" i="25"/>
  <c r="CO236" i="25"/>
  <c r="CN236" i="25"/>
  <c r="CM236" i="25"/>
  <c r="CL236" i="25"/>
  <c r="BT236" i="25" s="1"/>
  <c r="CK236" i="25"/>
  <c r="CJ236" i="25"/>
  <c r="CI236" i="25"/>
  <c r="CH236" i="25"/>
  <c r="CF236" i="25"/>
  <c r="CE236" i="25"/>
  <c r="CD236" i="25"/>
  <c r="BV236" i="25" s="1"/>
  <c r="CC236" i="25"/>
  <c r="BX236" i="25" s="1"/>
  <c r="BW236" i="25"/>
  <c r="BU236" i="25"/>
  <c r="CB236" i="25" s="1"/>
  <c r="BS236" i="25"/>
  <c r="BM236" i="25"/>
  <c r="BL236" i="25"/>
  <c r="BD236" i="25"/>
  <c r="BE236" i="25" s="1"/>
  <c r="BA236" i="25"/>
  <c r="AZ236" i="25"/>
  <c r="AX236" i="25"/>
  <c r="AW236" i="25"/>
  <c r="CR228" i="25"/>
  <c r="CQ228" i="25"/>
  <c r="CP228" i="25"/>
  <c r="CO228" i="25"/>
  <c r="CN228" i="25"/>
  <c r="CM228" i="25"/>
  <c r="CL228" i="25"/>
  <c r="BT228" i="25" s="1"/>
  <c r="CK228" i="25"/>
  <c r="CJ228" i="25"/>
  <c r="CI228" i="25"/>
  <c r="CH228" i="25"/>
  <c r="CF228" i="25"/>
  <c r="CE228" i="25"/>
  <c r="CD228" i="25"/>
  <c r="BV228" i="25" s="1"/>
  <c r="CC228" i="25"/>
  <c r="BX228" i="25" s="1"/>
  <c r="BW228" i="25"/>
  <c r="BU228" i="25"/>
  <c r="CB228" i="25" s="1"/>
  <c r="BS228" i="25"/>
  <c r="BM228" i="25"/>
  <c r="BL228" i="25"/>
  <c r="BD228" i="25"/>
  <c r="BE228" i="25" s="1"/>
  <c r="BA228" i="25"/>
  <c r="AZ228" i="25"/>
  <c r="AX228" i="25"/>
  <c r="AW228" i="25"/>
  <c r="CR222" i="25"/>
  <c r="CQ222" i="25"/>
  <c r="CP222" i="25"/>
  <c r="CO222" i="25"/>
  <c r="CN222" i="25"/>
  <c r="CM222" i="25"/>
  <c r="CL222" i="25"/>
  <c r="CK222" i="25"/>
  <c r="CJ222" i="25"/>
  <c r="CI222" i="25"/>
  <c r="CH222" i="25"/>
  <c r="CF222" i="25"/>
  <c r="CE222" i="25"/>
  <c r="CD222" i="25"/>
  <c r="BV222" i="25" s="1"/>
  <c r="CC222" i="25"/>
  <c r="BX222" i="25" s="1"/>
  <c r="BW222" i="25"/>
  <c r="BU222" i="25"/>
  <c r="CB222" i="25" s="1"/>
  <c r="BS222" i="25"/>
  <c r="BM222" i="25"/>
  <c r="BL222" i="25"/>
  <c r="BD222" i="25"/>
  <c r="BE222" i="25" s="1"/>
  <c r="BA222" i="25"/>
  <c r="AZ222" i="25"/>
  <c r="AX222" i="25"/>
  <c r="AW222" i="25"/>
  <c r="CR232" i="25"/>
  <c r="CQ232" i="25"/>
  <c r="CP232" i="25"/>
  <c r="CO232" i="25"/>
  <c r="CN232" i="25"/>
  <c r="CM232" i="25"/>
  <c r="CL232" i="25"/>
  <c r="CK232" i="25"/>
  <c r="CJ232" i="25"/>
  <c r="CI232" i="25"/>
  <c r="CH232" i="25"/>
  <c r="CF232" i="25"/>
  <c r="CE232" i="25"/>
  <c r="CD232" i="25"/>
  <c r="BV232" i="25" s="1"/>
  <c r="CC232" i="25"/>
  <c r="BX232" i="25" s="1"/>
  <c r="BW232" i="25"/>
  <c r="BU232" i="25"/>
  <c r="CB232" i="25" s="1"/>
  <c r="BS232" i="25"/>
  <c r="BM232" i="25"/>
  <c r="BL232" i="25"/>
  <c r="BD232" i="25"/>
  <c r="BE232" i="25" s="1"/>
  <c r="BA232" i="25"/>
  <c r="AZ232" i="25"/>
  <c r="AX232" i="25"/>
  <c r="AW232" i="25"/>
  <c r="CR233" i="25"/>
  <c r="CQ233" i="25"/>
  <c r="CP233" i="25"/>
  <c r="CO233" i="25"/>
  <c r="CN233" i="25"/>
  <c r="CM233" i="25"/>
  <c r="CL233" i="25"/>
  <c r="BT233" i="25" s="1"/>
  <c r="CK233" i="25"/>
  <c r="CJ233" i="25"/>
  <c r="CI233" i="25"/>
  <c r="CH233" i="25"/>
  <c r="CF233" i="25"/>
  <c r="CE233" i="25"/>
  <c r="CD233" i="25"/>
  <c r="BV233" i="25" s="1"/>
  <c r="CC233" i="25"/>
  <c r="BX233" i="25" s="1"/>
  <c r="BW233" i="25"/>
  <c r="BU233" i="25"/>
  <c r="CB233" i="25" s="1"/>
  <c r="BS233" i="25"/>
  <c r="BM233" i="25"/>
  <c r="BL233" i="25"/>
  <c r="BD233" i="25"/>
  <c r="BE233" i="25" s="1"/>
  <c r="BA233" i="25"/>
  <c r="AZ233" i="25"/>
  <c r="AX233" i="25"/>
  <c r="AW233" i="25"/>
  <c r="CR217" i="25"/>
  <c r="CQ217" i="25"/>
  <c r="CP217" i="25"/>
  <c r="CO217" i="25"/>
  <c r="CN217" i="25"/>
  <c r="CM217" i="25"/>
  <c r="CL217" i="25"/>
  <c r="BT217" i="25" s="1"/>
  <c r="CK217" i="25"/>
  <c r="CJ217" i="25"/>
  <c r="CI217" i="25"/>
  <c r="CH217" i="25"/>
  <c r="CF217" i="25"/>
  <c r="CE217" i="25"/>
  <c r="CD217" i="25"/>
  <c r="BV217" i="25" s="1"/>
  <c r="CC217" i="25"/>
  <c r="BX217" i="25" s="1"/>
  <c r="BW217" i="25"/>
  <c r="BU217" i="25"/>
  <c r="CB217" i="25" s="1"/>
  <c r="BS217" i="25"/>
  <c r="BM217" i="25"/>
  <c r="BL217" i="25"/>
  <c r="BD217" i="25"/>
  <c r="BE217" i="25" s="1"/>
  <c r="BA217" i="25"/>
  <c r="AZ217" i="25"/>
  <c r="AX217" i="25"/>
  <c r="AW217" i="25"/>
  <c r="CR223" i="25"/>
  <c r="CQ223" i="25"/>
  <c r="CP223" i="25"/>
  <c r="CO223" i="25"/>
  <c r="CN223" i="25"/>
  <c r="CM223" i="25"/>
  <c r="CL223" i="25"/>
  <c r="CK223" i="25"/>
  <c r="CJ223" i="25"/>
  <c r="CI223" i="25"/>
  <c r="CH223" i="25"/>
  <c r="CF223" i="25"/>
  <c r="CE223" i="25"/>
  <c r="CD223" i="25"/>
  <c r="BV223" i="25" s="1"/>
  <c r="CC223" i="25"/>
  <c r="BX223" i="25" s="1"/>
  <c r="BW223" i="25"/>
  <c r="BU223" i="25"/>
  <c r="CB223" i="25" s="1"/>
  <c r="BS223" i="25"/>
  <c r="BM223" i="25"/>
  <c r="BL223" i="25"/>
  <c r="BD223" i="25"/>
  <c r="BE223" i="25" s="1"/>
  <c r="BA223" i="25"/>
  <c r="AZ223" i="25"/>
  <c r="AX223" i="25"/>
  <c r="AW223" i="25"/>
  <c r="CR238" i="25"/>
  <c r="CQ238" i="25"/>
  <c r="CP238" i="25"/>
  <c r="CO238" i="25"/>
  <c r="CN238" i="25"/>
  <c r="CM238" i="25"/>
  <c r="CL238" i="25"/>
  <c r="CK238" i="25"/>
  <c r="CJ238" i="25"/>
  <c r="CI238" i="25"/>
  <c r="CH238" i="25"/>
  <c r="CF238" i="25"/>
  <c r="CE238" i="25"/>
  <c r="CD238" i="25"/>
  <c r="BV238" i="25" s="1"/>
  <c r="CC238" i="25"/>
  <c r="BX238" i="25" s="1"/>
  <c r="BW238" i="25"/>
  <c r="BU238" i="25"/>
  <c r="CB238" i="25" s="1"/>
  <c r="BS238" i="25"/>
  <c r="BM238" i="25"/>
  <c r="BL238" i="25"/>
  <c r="BD238" i="25"/>
  <c r="BE238" i="25" s="1"/>
  <c r="BA238" i="25"/>
  <c r="AZ238" i="25"/>
  <c r="AX238" i="25"/>
  <c r="AW238" i="25"/>
  <c r="CR258" i="25"/>
  <c r="CQ258" i="25"/>
  <c r="CP258" i="25"/>
  <c r="CO258" i="25"/>
  <c r="CN258" i="25"/>
  <c r="CM258" i="25"/>
  <c r="CL258" i="25"/>
  <c r="BT258" i="25" s="1"/>
  <c r="CK258" i="25"/>
  <c r="CJ258" i="25"/>
  <c r="CI258" i="25"/>
  <c r="CH258" i="25"/>
  <c r="CF258" i="25"/>
  <c r="CE258" i="25"/>
  <c r="CD258" i="25"/>
  <c r="BV258" i="25" s="1"/>
  <c r="CC258" i="25"/>
  <c r="BX258" i="25" s="1"/>
  <c r="BW258" i="25"/>
  <c r="BU258" i="25"/>
  <c r="CB258" i="25" s="1"/>
  <c r="BS258" i="25"/>
  <c r="BM258" i="25"/>
  <c r="BL258" i="25"/>
  <c r="BD258" i="25"/>
  <c r="BE258" i="25" s="1"/>
  <c r="BA258" i="25"/>
  <c r="AZ258" i="25"/>
  <c r="AX258" i="25"/>
  <c r="AW258" i="25"/>
  <c r="CR256" i="25"/>
  <c r="CQ256" i="25"/>
  <c r="CP256" i="25"/>
  <c r="CO256" i="25"/>
  <c r="CN256" i="25"/>
  <c r="CM256" i="25"/>
  <c r="CL256" i="25"/>
  <c r="BT256" i="25" s="1"/>
  <c r="CK256" i="25"/>
  <c r="CJ256" i="25"/>
  <c r="CI256" i="25"/>
  <c r="CH256" i="25"/>
  <c r="CF256" i="25"/>
  <c r="CE256" i="25"/>
  <c r="CD256" i="25"/>
  <c r="BV256" i="25" s="1"/>
  <c r="CC256" i="25"/>
  <c r="BX256" i="25" s="1"/>
  <c r="BW256" i="25"/>
  <c r="BU256" i="25"/>
  <c r="CB256" i="25" s="1"/>
  <c r="BS256" i="25"/>
  <c r="BM256" i="25"/>
  <c r="BL256" i="25"/>
  <c r="BD256" i="25"/>
  <c r="BE256" i="25" s="1"/>
  <c r="BA256" i="25"/>
  <c r="AZ256" i="25"/>
  <c r="AX256" i="25"/>
  <c r="AW256" i="25"/>
  <c r="CR241" i="25"/>
  <c r="CQ241" i="25"/>
  <c r="CP241" i="25"/>
  <c r="CO241" i="25"/>
  <c r="CN241" i="25"/>
  <c r="CM241" i="25"/>
  <c r="CL241" i="25"/>
  <c r="BT241" i="25" s="1"/>
  <c r="CK241" i="25"/>
  <c r="CJ241" i="25"/>
  <c r="CI241" i="25"/>
  <c r="CH241" i="25"/>
  <c r="CF241" i="25"/>
  <c r="CE241" i="25"/>
  <c r="CD241" i="25"/>
  <c r="BV241" i="25" s="1"/>
  <c r="CC241" i="25"/>
  <c r="BX241" i="25" s="1"/>
  <c r="BW241" i="25"/>
  <c r="BU241" i="25"/>
  <c r="CB241" i="25" s="1"/>
  <c r="BS241" i="25"/>
  <c r="BM241" i="25"/>
  <c r="BL241" i="25"/>
  <c r="BD241" i="25"/>
  <c r="BE241" i="25" s="1"/>
  <c r="BA241" i="25"/>
  <c r="AZ241" i="25"/>
  <c r="AX241" i="25"/>
  <c r="AW241" i="25"/>
  <c r="CR261" i="25"/>
  <c r="CQ261" i="25"/>
  <c r="CP261" i="25"/>
  <c r="CO261" i="25"/>
  <c r="CN261" i="25"/>
  <c r="CM261" i="25"/>
  <c r="CL261" i="25"/>
  <c r="CK261" i="25"/>
  <c r="CJ261" i="25"/>
  <c r="CI261" i="25"/>
  <c r="CH261" i="25"/>
  <c r="CF261" i="25"/>
  <c r="CE261" i="25"/>
  <c r="CD261" i="25"/>
  <c r="BV261" i="25" s="1"/>
  <c r="CC261" i="25"/>
  <c r="BX261" i="25" s="1"/>
  <c r="BW261" i="25"/>
  <c r="BU261" i="25"/>
  <c r="CB261" i="25" s="1"/>
  <c r="BS261" i="25"/>
  <c r="BM261" i="25"/>
  <c r="BL261" i="25"/>
  <c r="BD261" i="25"/>
  <c r="BE261" i="25" s="1"/>
  <c r="BA261" i="25"/>
  <c r="AZ261" i="25"/>
  <c r="AX261" i="25"/>
  <c r="AW261" i="25"/>
  <c r="CR242" i="25"/>
  <c r="CQ242" i="25"/>
  <c r="CP242" i="25"/>
  <c r="CO242" i="25"/>
  <c r="CN242" i="25"/>
  <c r="CM242" i="25"/>
  <c r="CL242" i="25"/>
  <c r="BT242" i="25" s="1"/>
  <c r="CK242" i="25"/>
  <c r="CJ242" i="25"/>
  <c r="CI242" i="25"/>
  <c r="CH242" i="25"/>
  <c r="CF242" i="25"/>
  <c r="CE242" i="25"/>
  <c r="CD242" i="25"/>
  <c r="BV242" i="25" s="1"/>
  <c r="CC242" i="25"/>
  <c r="BX242" i="25" s="1"/>
  <c r="BW242" i="25"/>
  <c r="BU242" i="25"/>
  <c r="CB242" i="25" s="1"/>
  <c r="BS242" i="25"/>
  <c r="BM242" i="25"/>
  <c r="BL242" i="25"/>
  <c r="BD242" i="25"/>
  <c r="BE242" i="25" s="1"/>
  <c r="BA242" i="25"/>
  <c r="AZ242" i="25"/>
  <c r="AX242" i="25"/>
  <c r="AW242" i="25"/>
  <c r="CR240" i="25"/>
  <c r="CQ240" i="25"/>
  <c r="CP240" i="25"/>
  <c r="CO240" i="25"/>
  <c r="CN240" i="25"/>
  <c r="CM240" i="25"/>
  <c r="CL240" i="25"/>
  <c r="BT240" i="25" s="1"/>
  <c r="CK240" i="25"/>
  <c r="CJ240" i="25"/>
  <c r="CI240" i="25"/>
  <c r="CH240" i="25"/>
  <c r="CF240" i="25"/>
  <c r="CE240" i="25"/>
  <c r="CD240" i="25"/>
  <c r="BV240" i="25" s="1"/>
  <c r="CC240" i="25"/>
  <c r="BX240" i="25" s="1"/>
  <c r="BW240" i="25"/>
  <c r="BU240" i="25"/>
  <c r="CB240" i="25" s="1"/>
  <c r="BS240" i="25"/>
  <c r="BM240" i="25"/>
  <c r="BL240" i="25"/>
  <c r="BD240" i="25"/>
  <c r="BE240" i="25" s="1"/>
  <c r="BA240" i="25"/>
  <c r="AZ240" i="25"/>
  <c r="AX240" i="25"/>
  <c r="AW240" i="25"/>
  <c r="CR211" i="25"/>
  <c r="CQ211" i="25"/>
  <c r="CP211" i="25"/>
  <c r="CO211" i="25"/>
  <c r="CN211" i="25"/>
  <c r="CM211" i="25"/>
  <c r="CL211" i="25"/>
  <c r="BT211" i="25" s="1"/>
  <c r="CK211" i="25"/>
  <c r="CJ211" i="25"/>
  <c r="CI211" i="25"/>
  <c r="CH211" i="25"/>
  <c r="CF211" i="25"/>
  <c r="CE211" i="25"/>
  <c r="CD211" i="25"/>
  <c r="BV211" i="25" s="1"/>
  <c r="CC211" i="25"/>
  <c r="BX211" i="25" s="1"/>
  <c r="BU211" i="25"/>
  <c r="CB211" i="25" s="1"/>
  <c r="BM211" i="25"/>
  <c r="BS211" i="25" s="1"/>
  <c r="BL211" i="25"/>
  <c r="BD211" i="25"/>
  <c r="BE211" i="25" s="1"/>
  <c r="BA211" i="25"/>
  <c r="AZ211" i="25"/>
  <c r="AX211" i="25"/>
  <c r="AW211" i="25"/>
  <c r="CR342" i="25"/>
  <c r="CQ342" i="25"/>
  <c r="CN342" i="25"/>
  <c r="CM342" i="25"/>
  <c r="CL342" i="25"/>
  <c r="BT342" i="25" s="1"/>
  <c r="CK342" i="25"/>
  <c r="CJ342" i="25"/>
  <c r="CI342" i="25"/>
  <c r="CH342" i="25"/>
  <c r="CF342" i="25"/>
  <c r="CE342" i="25"/>
  <c r="CD342" i="25"/>
  <c r="BV342" i="25" s="1"/>
  <c r="CC342" i="25"/>
  <c r="BX342" i="25" s="1"/>
  <c r="BU342" i="25"/>
  <c r="CB342" i="25" s="1"/>
  <c r="BM342" i="25"/>
  <c r="BS342" i="25" s="1"/>
  <c r="BL342" i="25"/>
  <c r="BD342" i="25"/>
  <c r="BE342" i="25" s="1"/>
  <c r="BA342" i="25"/>
  <c r="AZ342" i="25"/>
  <c r="AX342" i="25"/>
  <c r="AW342" i="25"/>
  <c r="CR208" i="25"/>
  <c r="CQ208" i="25"/>
  <c r="CP208" i="25"/>
  <c r="CO208" i="25"/>
  <c r="CN208" i="25"/>
  <c r="CM208" i="25"/>
  <c r="CL208" i="25"/>
  <c r="BT208" i="25" s="1"/>
  <c r="CK208" i="25"/>
  <c r="CJ208" i="25"/>
  <c r="CI208" i="25"/>
  <c r="CH208" i="25"/>
  <c r="CF208" i="25"/>
  <c r="CE208" i="25"/>
  <c r="CD208" i="25"/>
  <c r="BV208" i="25" s="1"/>
  <c r="CC208" i="25"/>
  <c r="BX208" i="25" s="1"/>
  <c r="BU208" i="25"/>
  <c r="CB208" i="25" s="1"/>
  <c r="BS208" i="25"/>
  <c r="BM208" i="25"/>
  <c r="BL208" i="25"/>
  <c r="BD208" i="25"/>
  <c r="BE208" i="25" s="1"/>
  <c r="BA208" i="25"/>
  <c r="AZ208" i="25"/>
  <c r="AX208" i="25"/>
  <c r="AW208" i="25"/>
  <c r="CR204" i="25"/>
  <c r="CQ204" i="25"/>
  <c r="CP204" i="25"/>
  <c r="CO204" i="25"/>
  <c r="CN204" i="25"/>
  <c r="CM204" i="25"/>
  <c r="CL204" i="25"/>
  <c r="BT204" i="25" s="1"/>
  <c r="CK204" i="25"/>
  <c r="CJ204" i="25"/>
  <c r="CI204" i="25"/>
  <c r="CH204" i="25"/>
  <c r="CF204" i="25"/>
  <c r="CE204" i="25"/>
  <c r="CD204" i="25"/>
  <c r="BV204" i="25" s="1"/>
  <c r="CC204" i="25"/>
  <c r="BX204" i="25" s="1"/>
  <c r="BU204" i="25"/>
  <c r="CB204" i="25" s="1"/>
  <c r="BS204" i="25"/>
  <c r="BM204" i="25"/>
  <c r="BL204" i="25"/>
  <c r="BD204" i="25"/>
  <c r="BE204" i="25" s="1"/>
  <c r="BA204" i="25"/>
  <c r="AZ204" i="25"/>
  <c r="AX204" i="25"/>
  <c r="AW204" i="25"/>
  <c r="CR206" i="25"/>
  <c r="CQ206" i="25"/>
  <c r="CP206" i="25"/>
  <c r="CO206" i="25"/>
  <c r="CN206" i="25"/>
  <c r="CM206" i="25"/>
  <c r="CL206" i="25"/>
  <c r="BT206" i="25" s="1"/>
  <c r="CK206" i="25"/>
  <c r="CJ206" i="25"/>
  <c r="CI206" i="25"/>
  <c r="CH206" i="25"/>
  <c r="CF206" i="25"/>
  <c r="CE206" i="25"/>
  <c r="CD206" i="25"/>
  <c r="BV206" i="25" s="1"/>
  <c r="CC206" i="25"/>
  <c r="BX206" i="25" s="1"/>
  <c r="BU206" i="25"/>
  <c r="CB206" i="25" s="1"/>
  <c r="BS206" i="25"/>
  <c r="BM206" i="25"/>
  <c r="BL206" i="25"/>
  <c r="BD206" i="25"/>
  <c r="BE206" i="25" s="1"/>
  <c r="BA206" i="25"/>
  <c r="AZ206" i="25"/>
  <c r="AX206" i="25"/>
  <c r="AW206" i="25"/>
  <c r="CR207" i="25"/>
  <c r="CQ207" i="25"/>
  <c r="CP207" i="25"/>
  <c r="CO207" i="25"/>
  <c r="CN207" i="25"/>
  <c r="CM207" i="25"/>
  <c r="CL207" i="25"/>
  <c r="CK207" i="25"/>
  <c r="CJ207" i="25"/>
  <c r="CI207" i="25"/>
  <c r="CH207" i="25"/>
  <c r="CF207" i="25"/>
  <c r="CE207" i="25"/>
  <c r="CD207" i="25"/>
  <c r="BV207" i="25" s="1"/>
  <c r="CC207" i="25"/>
  <c r="BX207" i="25" s="1"/>
  <c r="BU207" i="25"/>
  <c r="CB207" i="25" s="1"/>
  <c r="BS207" i="25"/>
  <c r="BM207" i="25"/>
  <c r="BL207" i="25"/>
  <c r="BD207" i="25"/>
  <c r="BE207" i="25" s="1"/>
  <c r="BA207" i="25"/>
  <c r="AZ207" i="25"/>
  <c r="AX207" i="25"/>
  <c r="AW207" i="25"/>
  <c r="CR209" i="25"/>
  <c r="CQ209" i="25"/>
  <c r="CP209" i="25"/>
  <c r="CO209" i="25"/>
  <c r="CN209" i="25"/>
  <c r="CM209" i="25"/>
  <c r="CL209" i="25"/>
  <c r="CK209" i="25"/>
  <c r="CJ209" i="25"/>
  <c r="CI209" i="25"/>
  <c r="CH209" i="25"/>
  <c r="CF209" i="25"/>
  <c r="CE209" i="25"/>
  <c r="CD209" i="25"/>
  <c r="BV209" i="25" s="1"/>
  <c r="CC209" i="25"/>
  <c r="BX209" i="25" s="1"/>
  <c r="BU209" i="25"/>
  <c r="CB209" i="25" s="1"/>
  <c r="BS209" i="25"/>
  <c r="BM209" i="25"/>
  <c r="BL209" i="25"/>
  <c r="BD209" i="25"/>
  <c r="BE209" i="25" s="1"/>
  <c r="BA209" i="25"/>
  <c r="AZ209" i="25"/>
  <c r="AX209" i="25"/>
  <c r="AW209" i="25"/>
  <c r="CR205" i="25"/>
  <c r="CQ205" i="25"/>
  <c r="CP205" i="25"/>
  <c r="CO205" i="25"/>
  <c r="CN205" i="25"/>
  <c r="CM205" i="25"/>
  <c r="CL205" i="25"/>
  <c r="BT205" i="25" s="1"/>
  <c r="CK205" i="25"/>
  <c r="CJ205" i="25"/>
  <c r="CI205" i="25"/>
  <c r="CH205" i="25"/>
  <c r="CF205" i="25"/>
  <c r="CE205" i="25"/>
  <c r="CD205" i="25"/>
  <c r="BV205" i="25" s="1"/>
  <c r="CC205" i="25"/>
  <c r="BX205" i="25" s="1"/>
  <c r="BU205" i="25"/>
  <c r="CB205" i="25" s="1"/>
  <c r="BS205" i="25"/>
  <c r="BM205" i="25"/>
  <c r="BL205" i="25"/>
  <c r="BD205" i="25"/>
  <c r="BE205" i="25" s="1"/>
  <c r="BA205" i="25"/>
  <c r="AZ205" i="25"/>
  <c r="AX205" i="25"/>
  <c r="AW205" i="25"/>
  <c r="CR210" i="25"/>
  <c r="CQ210" i="25"/>
  <c r="CP210" i="25"/>
  <c r="CO210" i="25"/>
  <c r="CN210" i="25"/>
  <c r="CM210" i="25"/>
  <c r="CL210" i="25"/>
  <c r="BR210" i="25" s="1"/>
  <c r="CK210" i="25"/>
  <c r="CJ210" i="25"/>
  <c r="CI210" i="25"/>
  <c r="CH210" i="25"/>
  <c r="CF210" i="25"/>
  <c r="CE210" i="25"/>
  <c r="CD210" i="25"/>
  <c r="BV210" i="25" s="1"/>
  <c r="CC210" i="25"/>
  <c r="BX210" i="25" s="1"/>
  <c r="BU210" i="25"/>
  <c r="CB210" i="25" s="1"/>
  <c r="BS210" i="25"/>
  <c r="BM210" i="25"/>
  <c r="BL210" i="25"/>
  <c r="BD210" i="25"/>
  <c r="BE210" i="25" s="1"/>
  <c r="BA210" i="25"/>
  <c r="AZ210" i="25"/>
  <c r="AX210" i="25"/>
  <c r="AW210" i="25"/>
  <c r="CR182" i="25"/>
  <c r="CQ182" i="25"/>
  <c r="CP182" i="25"/>
  <c r="CO182" i="25"/>
  <c r="CN182" i="25"/>
  <c r="CM182" i="25"/>
  <c r="CL182" i="25"/>
  <c r="BT182" i="25" s="1"/>
  <c r="CK182" i="25"/>
  <c r="CJ182" i="25"/>
  <c r="CI182" i="25"/>
  <c r="CF182" i="25"/>
  <c r="CE182" i="25"/>
  <c r="BW182" i="25"/>
  <c r="BU182" i="25"/>
  <c r="CB182" i="25" s="1"/>
  <c r="BS182" i="25"/>
  <c r="BM182" i="25"/>
  <c r="BL182" i="25"/>
  <c r="BD182" i="25"/>
  <c r="BE182" i="25" s="1"/>
  <c r="BA182" i="25"/>
  <c r="AZ182" i="25"/>
  <c r="AX182" i="25"/>
  <c r="AW182" i="25"/>
  <c r="F182" i="25"/>
  <c r="CD182" i="25" s="1"/>
  <c r="BV182" i="25" s="1"/>
  <c r="CR177" i="25"/>
  <c r="CQ177" i="25"/>
  <c r="CP177" i="25"/>
  <c r="CO177" i="25"/>
  <c r="CN177" i="25"/>
  <c r="CM177" i="25"/>
  <c r="CL177" i="25"/>
  <c r="BT177" i="25" s="1"/>
  <c r="CK177" i="25"/>
  <c r="CJ177" i="25"/>
  <c r="CI177" i="25"/>
  <c r="CF177" i="25"/>
  <c r="CE177" i="25"/>
  <c r="BW177" i="25"/>
  <c r="BU177" i="25"/>
  <c r="CB177" i="25" s="1"/>
  <c r="BS177" i="25"/>
  <c r="BM177" i="25"/>
  <c r="BL177" i="25"/>
  <c r="BD177" i="25"/>
  <c r="BE177" i="25" s="1"/>
  <c r="BA177" i="25"/>
  <c r="AZ177" i="25"/>
  <c r="AX177" i="25"/>
  <c r="AW177" i="25"/>
  <c r="F177" i="25"/>
  <c r="CC177" i="25" s="1"/>
  <c r="BX177" i="25" s="1"/>
  <c r="CR194" i="25"/>
  <c r="CQ194" i="25"/>
  <c r="CP194" i="25"/>
  <c r="CO194" i="25"/>
  <c r="CN194" i="25"/>
  <c r="CM194" i="25"/>
  <c r="CL194" i="25"/>
  <c r="BT194" i="25" s="1"/>
  <c r="CK194" i="25"/>
  <c r="CJ194" i="25"/>
  <c r="CI194" i="25"/>
  <c r="CF194" i="25"/>
  <c r="CE194" i="25"/>
  <c r="BW194" i="25"/>
  <c r="BU194" i="25"/>
  <c r="CB194" i="25" s="1"/>
  <c r="BS194" i="25"/>
  <c r="BM194" i="25"/>
  <c r="BL194" i="25"/>
  <c r="BD194" i="25"/>
  <c r="BE194" i="25" s="1"/>
  <c r="BA194" i="25"/>
  <c r="AZ194" i="25"/>
  <c r="AX194" i="25"/>
  <c r="AW194" i="25"/>
  <c r="F194" i="25"/>
  <c r="CH194" i="25" s="1"/>
  <c r="CR188" i="25"/>
  <c r="CQ188" i="25"/>
  <c r="CP188" i="25"/>
  <c r="CO188" i="25"/>
  <c r="CN188" i="25"/>
  <c r="CM188" i="25"/>
  <c r="CL188" i="25"/>
  <c r="BN188" i="25" s="1"/>
  <c r="BO188" i="25" s="1"/>
  <c r="CK188" i="25"/>
  <c r="CJ188" i="25"/>
  <c r="CI188" i="25"/>
  <c r="CF188" i="25"/>
  <c r="CE188" i="25"/>
  <c r="BW188" i="25"/>
  <c r="BU188" i="25"/>
  <c r="CB188" i="25" s="1"/>
  <c r="BS188" i="25"/>
  <c r="BM188" i="25"/>
  <c r="BL188" i="25"/>
  <c r="BD188" i="25"/>
  <c r="BE188" i="25" s="1"/>
  <c r="BA188" i="25"/>
  <c r="AZ188" i="25"/>
  <c r="AX188" i="25"/>
  <c r="AW188" i="25"/>
  <c r="F188" i="25"/>
  <c r="CH188" i="25" s="1"/>
  <c r="CR179" i="25"/>
  <c r="CQ179" i="25"/>
  <c r="CP179" i="25"/>
  <c r="CO179" i="25"/>
  <c r="CN179" i="25"/>
  <c r="CM179" i="25"/>
  <c r="CL179" i="25"/>
  <c r="BT179" i="25" s="1"/>
  <c r="CK179" i="25"/>
  <c r="CJ179" i="25"/>
  <c r="CI179" i="25"/>
  <c r="CF179" i="25"/>
  <c r="CE179" i="25"/>
  <c r="BW179" i="25"/>
  <c r="BU179" i="25"/>
  <c r="CB179" i="25" s="1"/>
  <c r="BS179" i="25"/>
  <c r="BM179" i="25"/>
  <c r="BL179" i="25"/>
  <c r="BD179" i="25"/>
  <c r="BE179" i="25" s="1"/>
  <c r="BA179" i="25"/>
  <c r="AZ179" i="25"/>
  <c r="AX179" i="25"/>
  <c r="AW179" i="25"/>
  <c r="F179" i="25"/>
  <c r="CD179" i="25" s="1"/>
  <c r="BV179" i="25" s="1"/>
  <c r="CR201" i="25"/>
  <c r="CQ201" i="25"/>
  <c r="CP201" i="25"/>
  <c r="CO201" i="25"/>
  <c r="CN201" i="25"/>
  <c r="CM201" i="25"/>
  <c r="CL201" i="25"/>
  <c r="BN201" i="25" s="1"/>
  <c r="BO201" i="25" s="1"/>
  <c r="CK201" i="25"/>
  <c r="CJ201" i="25"/>
  <c r="CI201" i="25"/>
  <c r="CF201" i="25"/>
  <c r="CE201" i="25"/>
  <c r="BW201" i="25"/>
  <c r="BU201" i="25"/>
  <c r="CB201" i="25" s="1"/>
  <c r="BS201" i="25"/>
  <c r="BM201" i="25"/>
  <c r="BL201" i="25"/>
  <c r="BD201" i="25"/>
  <c r="BA201" i="25"/>
  <c r="AZ201" i="25"/>
  <c r="AX201" i="25"/>
  <c r="AW201" i="25"/>
  <c r="F201" i="25"/>
  <c r="CR178" i="25"/>
  <c r="CQ178" i="25"/>
  <c r="CP178" i="25"/>
  <c r="CO178" i="25"/>
  <c r="CN178" i="25"/>
  <c r="CM178" i="25"/>
  <c r="CL178" i="25"/>
  <c r="BR178" i="25" s="1"/>
  <c r="CK178" i="25"/>
  <c r="CJ178" i="25"/>
  <c r="CI178" i="25"/>
  <c r="CF178" i="25"/>
  <c r="CE178" i="25"/>
  <c r="BW178" i="25"/>
  <c r="BU178" i="25"/>
  <c r="CB178" i="25" s="1"/>
  <c r="BS178" i="25"/>
  <c r="BM178" i="25"/>
  <c r="BL178" i="25"/>
  <c r="BD178" i="25"/>
  <c r="BE178" i="25" s="1"/>
  <c r="BA178" i="25"/>
  <c r="AZ178" i="25"/>
  <c r="AX178" i="25"/>
  <c r="AW178" i="25"/>
  <c r="F178" i="25"/>
  <c r="CH178" i="25" s="1"/>
  <c r="CR202" i="25"/>
  <c r="CQ202" i="25"/>
  <c r="CP202" i="25"/>
  <c r="CO202" i="25"/>
  <c r="CN202" i="25"/>
  <c r="CM202" i="25"/>
  <c r="CL202" i="25"/>
  <c r="BN202" i="25" s="1"/>
  <c r="BO202" i="25" s="1"/>
  <c r="CK202" i="25"/>
  <c r="CJ202" i="25"/>
  <c r="CI202" i="25"/>
  <c r="CF202" i="25"/>
  <c r="CE202" i="25"/>
  <c r="BW202" i="25"/>
  <c r="BU202" i="25"/>
  <c r="CB202" i="25" s="1"/>
  <c r="BS202" i="25"/>
  <c r="BM202" i="25"/>
  <c r="BL202" i="25"/>
  <c r="BD202" i="25"/>
  <c r="BE202" i="25" s="1"/>
  <c r="BA202" i="25"/>
  <c r="AZ202" i="25"/>
  <c r="AX202" i="25"/>
  <c r="AW202" i="25"/>
  <c r="F202" i="25"/>
  <c r="CC202" i="25" s="1"/>
  <c r="BX202" i="25" s="1"/>
  <c r="CR183" i="25"/>
  <c r="CQ183" i="25"/>
  <c r="CP183" i="25"/>
  <c r="CO183" i="25"/>
  <c r="CN183" i="25"/>
  <c r="CM183" i="25"/>
  <c r="CL183" i="25"/>
  <c r="BR183" i="25" s="1"/>
  <c r="CK183" i="25"/>
  <c r="CJ183" i="25"/>
  <c r="CI183" i="25"/>
  <c r="CF183" i="25"/>
  <c r="CE183" i="25"/>
  <c r="BW183" i="25"/>
  <c r="BU183" i="25"/>
  <c r="CB183" i="25" s="1"/>
  <c r="BS183" i="25"/>
  <c r="BM183" i="25"/>
  <c r="BL183" i="25"/>
  <c r="BD183" i="25"/>
  <c r="BE183" i="25" s="1"/>
  <c r="BA183" i="25"/>
  <c r="AZ183" i="25"/>
  <c r="AX183" i="25"/>
  <c r="AW183" i="25"/>
  <c r="F183" i="25"/>
  <c r="CH183" i="25" s="1"/>
  <c r="CR196" i="25"/>
  <c r="CQ196" i="25"/>
  <c r="CP196" i="25"/>
  <c r="CO196" i="25"/>
  <c r="CN196" i="25"/>
  <c r="CM196" i="25"/>
  <c r="CL196" i="25"/>
  <c r="BR196" i="25" s="1"/>
  <c r="CK196" i="25"/>
  <c r="CJ196" i="25"/>
  <c r="CI196" i="25"/>
  <c r="CF196" i="25"/>
  <c r="CE196" i="25"/>
  <c r="BW196" i="25"/>
  <c r="BU196" i="25"/>
  <c r="CB196" i="25" s="1"/>
  <c r="BS196" i="25"/>
  <c r="BM196" i="25"/>
  <c r="BL196" i="25"/>
  <c r="BD196" i="25"/>
  <c r="BE196" i="25" s="1"/>
  <c r="BA196" i="25"/>
  <c r="AZ196" i="25"/>
  <c r="AX196" i="25"/>
  <c r="AW196" i="25"/>
  <c r="F196" i="25"/>
  <c r="CC196" i="25" s="1"/>
  <c r="BX196" i="25" s="1"/>
  <c r="CR203" i="25"/>
  <c r="CQ203" i="25"/>
  <c r="CP203" i="25"/>
  <c r="CO203" i="25"/>
  <c r="CN203" i="25"/>
  <c r="CM203" i="25"/>
  <c r="CL203" i="25"/>
  <c r="BR203" i="25" s="1"/>
  <c r="CK203" i="25"/>
  <c r="CJ203" i="25"/>
  <c r="CI203" i="25"/>
  <c r="CF203" i="25"/>
  <c r="CE203" i="25"/>
  <c r="BW203" i="25"/>
  <c r="BU203" i="25"/>
  <c r="CB203" i="25" s="1"/>
  <c r="BS203" i="25"/>
  <c r="BM203" i="25"/>
  <c r="BL203" i="25"/>
  <c r="BD203" i="25"/>
  <c r="BE203" i="25" s="1"/>
  <c r="BA203" i="25"/>
  <c r="AZ203" i="25"/>
  <c r="AX203" i="25"/>
  <c r="AW203" i="25"/>
  <c r="F203" i="25"/>
  <c r="CR195" i="25"/>
  <c r="CQ195" i="25"/>
  <c r="CP195" i="25"/>
  <c r="CO195" i="25"/>
  <c r="CN195" i="25"/>
  <c r="CM195" i="25"/>
  <c r="CL195" i="25"/>
  <c r="BT195" i="25" s="1"/>
  <c r="CK195" i="25"/>
  <c r="CJ195" i="25"/>
  <c r="CI195" i="25"/>
  <c r="CF195" i="25"/>
  <c r="CE195" i="25"/>
  <c r="BW195" i="25"/>
  <c r="BU195" i="25"/>
  <c r="CB195" i="25" s="1"/>
  <c r="BS195" i="25"/>
  <c r="BM195" i="25"/>
  <c r="BL195" i="25"/>
  <c r="BD195" i="25"/>
  <c r="BE195" i="25" s="1"/>
  <c r="BA195" i="25"/>
  <c r="AZ195" i="25"/>
  <c r="AX195" i="25"/>
  <c r="AW195" i="25"/>
  <c r="F195" i="25"/>
  <c r="CC195" i="25" s="1"/>
  <c r="BX195" i="25" s="1"/>
  <c r="CR192" i="25"/>
  <c r="CQ192" i="25"/>
  <c r="CP192" i="25"/>
  <c r="CO192" i="25"/>
  <c r="CN192" i="25"/>
  <c r="CM192" i="25"/>
  <c r="CL192" i="25"/>
  <c r="BT192" i="25" s="1"/>
  <c r="CK192" i="25"/>
  <c r="CJ192" i="25"/>
  <c r="CI192" i="25"/>
  <c r="CF192" i="25"/>
  <c r="CE192" i="25"/>
  <c r="BW192" i="25"/>
  <c r="BU192" i="25"/>
  <c r="CB192" i="25" s="1"/>
  <c r="BS192" i="25"/>
  <c r="BM192" i="25"/>
  <c r="BL192" i="25"/>
  <c r="BD192" i="25"/>
  <c r="BE192" i="25" s="1"/>
  <c r="BA192" i="25"/>
  <c r="AZ192" i="25"/>
  <c r="AX192" i="25"/>
  <c r="AW192" i="25"/>
  <c r="F192" i="25"/>
  <c r="CC192" i="25" s="1"/>
  <c r="BX192" i="25" s="1"/>
  <c r="CR176" i="25"/>
  <c r="CQ176" i="25"/>
  <c r="CP176" i="25"/>
  <c r="CO176" i="25"/>
  <c r="CN176" i="25"/>
  <c r="CM176" i="25"/>
  <c r="CL176" i="25"/>
  <c r="BR176" i="25" s="1"/>
  <c r="CK176" i="25"/>
  <c r="CJ176" i="25"/>
  <c r="CI176" i="25"/>
  <c r="CF176" i="25"/>
  <c r="CE176" i="25"/>
  <c r="BW176" i="25"/>
  <c r="BU176" i="25"/>
  <c r="CB176" i="25" s="1"/>
  <c r="BS176" i="25"/>
  <c r="BM176" i="25"/>
  <c r="BL176" i="25"/>
  <c r="BD176" i="25"/>
  <c r="BA176" i="25"/>
  <c r="AZ176" i="25"/>
  <c r="AX176" i="25"/>
  <c r="AW176" i="25"/>
  <c r="F176" i="25"/>
  <c r="CH176" i="25" s="1"/>
  <c r="CR189" i="25"/>
  <c r="CQ189" i="25"/>
  <c r="CP189" i="25"/>
  <c r="CO189" i="25"/>
  <c r="CN189" i="25"/>
  <c r="CM189" i="25"/>
  <c r="CL189" i="25"/>
  <c r="BR189" i="25" s="1"/>
  <c r="CK189" i="25"/>
  <c r="CJ189" i="25"/>
  <c r="CI189" i="25"/>
  <c r="CF189" i="25"/>
  <c r="CE189" i="25"/>
  <c r="BW189" i="25"/>
  <c r="BU189" i="25"/>
  <c r="CB189" i="25" s="1"/>
  <c r="BS189" i="25"/>
  <c r="BM189" i="25"/>
  <c r="BL189" i="25"/>
  <c r="BD189" i="25"/>
  <c r="BE189" i="25" s="1"/>
  <c r="BA189" i="25"/>
  <c r="AZ189" i="25"/>
  <c r="AX189" i="25"/>
  <c r="AW189" i="25"/>
  <c r="F189" i="25"/>
  <c r="CC189" i="25" s="1"/>
  <c r="BX189" i="25" s="1"/>
  <c r="CR181" i="25"/>
  <c r="CQ181" i="25"/>
  <c r="CP181" i="25"/>
  <c r="CO181" i="25"/>
  <c r="CN181" i="25"/>
  <c r="CM181" i="25"/>
  <c r="CL181" i="25"/>
  <c r="BT181" i="25" s="1"/>
  <c r="CK181" i="25"/>
  <c r="CJ181" i="25"/>
  <c r="CI181" i="25"/>
  <c r="CF181" i="25"/>
  <c r="CE181" i="25"/>
  <c r="BW181" i="25"/>
  <c r="BU181" i="25"/>
  <c r="CB181" i="25" s="1"/>
  <c r="BS181" i="25"/>
  <c r="BM181" i="25"/>
  <c r="BL181" i="25"/>
  <c r="BD181" i="25"/>
  <c r="BE181" i="25" s="1"/>
  <c r="BA181" i="25"/>
  <c r="AZ181" i="25"/>
  <c r="AX181" i="25"/>
  <c r="AW181" i="25"/>
  <c r="F181" i="25"/>
  <c r="CH181" i="25" s="1"/>
  <c r="CR184" i="25"/>
  <c r="CQ184" i="25"/>
  <c r="CP184" i="25"/>
  <c r="CO184" i="25"/>
  <c r="CN184" i="25"/>
  <c r="CM184" i="25"/>
  <c r="CL184" i="25"/>
  <c r="BT184" i="25" s="1"/>
  <c r="CK184" i="25"/>
  <c r="CJ184" i="25"/>
  <c r="CI184" i="25"/>
  <c r="CF184" i="25"/>
  <c r="CE184" i="25"/>
  <c r="BW184" i="25"/>
  <c r="BU184" i="25"/>
  <c r="CB184" i="25" s="1"/>
  <c r="BS184" i="25"/>
  <c r="BM184" i="25"/>
  <c r="BL184" i="25"/>
  <c r="BD184" i="25"/>
  <c r="BE184" i="25" s="1"/>
  <c r="BA184" i="25"/>
  <c r="AZ184" i="25"/>
  <c r="AX184" i="25"/>
  <c r="AW184" i="25"/>
  <c r="F184" i="25"/>
  <c r="CC184" i="25" s="1"/>
  <c r="BX184" i="25" s="1"/>
  <c r="CR198" i="25"/>
  <c r="CQ198" i="25"/>
  <c r="CP198" i="25"/>
  <c r="CO198" i="25"/>
  <c r="CN198" i="25"/>
  <c r="CM198" i="25"/>
  <c r="CL198" i="25"/>
  <c r="BT198" i="25" s="1"/>
  <c r="CK198" i="25"/>
  <c r="CJ198" i="25"/>
  <c r="CI198" i="25"/>
  <c r="CF198" i="25"/>
  <c r="CE198" i="25"/>
  <c r="BW198" i="25"/>
  <c r="BU198" i="25"/>
  <c r="CB198" i="25" s="1"/>
  <c r="BS198" i="25"/>
  <c r="BM198" i="25"/>
  <c r="BL198" i="25"/>
  <c r="BD198" i="25"/>
  <c r="BA198" i="25"/>
  <c r="AZ198" i="25"/>
  <c r="AX198" i="25"/>
  <c r="AW198" i="25"/>
  <c r="F198" i="25"/>
  <c r="CH198" i="25" s="1"/>
  <c r="CR193" i="25"/>
  <c r="CQ193" i="25"/>
  <c r="CP193" i="25"/>
  <c r="CO193" i="25"/>
  <c r="CN193" i="25"/>
  <c r="CM193" i="25"/>
  <c r="CL193" i="25"/>
  <c r="BR193" i="25" s="1"/>
  <c r="CK193" i="25"/>
  <c r="CJ193" i="25"/>
  <c r="CI193" i="25"/>
  <c r="CF193" i="25"/>
  <c r="CE193" i="25"/>
  <c r="BW193" i="25"/>
  <c r="BU193" i="25"/>
  <c r="CB193" i="25" s="1"/>
  <c r="BS193" i="25"/>
  <c r="BM193" i="25"/>
  <c r="BL193" i="25"/>
  <c r="BD193" i="25"/>
  <c r="BE193" i="25" s="1"/>
  <c r="BA193" i="25"/>
  <c r="AZ193" i="25"/>
  <c r="AX193" i="25"/>
  <c r="AW193" i="25"/>
  <c r="F193" i="25"/>
  <c r="CC193" i="25" s="1"/>
  <c r="BX193" i="25" s="1"/>
  <c r="CR191" i="25"/>
  <c r="CQ191" i="25"/>
  <c r="CP191" i="25"/>
  <c r="CO191" i="25"/>
  <c r="CN191" i="25"/>
  <c r="CM191" i="25"/>
  <c r="CL191" i="25"/>
  <c r="BT191" i="25" s="1"/>
  <c r="CK191" i="25"/>
  <c r="CJ191" i="25"/>
  <c r="CI191" i="25"/>
  <c r="CF191" i="25"/>
  <c r="CE191" i="25"/>
  <c r="BW191" i="25"/>
  <c r="BU191" i="25"/>
  <c r="CB191" i="25" s="1"/>
  <c r="BS191" i="25"/>
  <c r="BM191" i="25"/>
  <c r="BL191" i="25"/>
  <c r="BD191" i="25"/>
  <c r="BE191" i="25" s="1"/>
  <c r="BA191" i="25"/>
  <c r="AZ191" i="25"/>
  <c r="AX191" i="25"/>
  <c r="AW191" i="25"/>
  <c r="F191" i="25"/>
  <c r="CH191" i="25" s="1"/>
  <c r="CR199" i="25"/>
  <c r="CQ199" i="25"/>
  <c r="CP199" i="25"/>
  <c r="CO199" i="25"/>
  <c r="CN199" i="25"/>
  <c r="CM199" i="25"/>
  <c r="CL199" i="25"/>
  <c r="BT199" i="25" s="1"/>
  <c r="CK199" i="25"/>
  <c r="CJ199" i="25"/>
  <c r="CI199" i="25"/>
  <c r="CF199" i="25"/>
  <c r="CE199" i="25"/>
  <c r="BW199" i="25"/>
  <c r="BU199" i="25"/>
  <c r="CB199" i="25" s="1"/>
  <c r="BS199" i="25"/>
  <c r="BM199" i="25"/>
  <c r="BL199" i="25"/>
  <c r="BD199" i="25"/>
  <c r="BE199" i="25" s="1"/>
  <c r="BA199" i="25"/>
  <c r="AZ199" i="25"/>
  <c r="AX199" i="25"/>
  <c r="AW199" i="25"/>
  <c r="F199" i="25"/>
  <c r="CH199" i="25" s="1"/>
  <c r="CR185" i="25"/>
  <c r="CQ185" i="25"/>
  <c r="CP185" i="25"/>
  <c r="CO185" i="25"/>
  <c r="CN185" i="25"/>
  <c r="CM185" i="25"/>
  <c r="CL185" i="25"/>
  <c r="BT185" i="25" s="1"/>
  <c r="CK185" i="25"/>
  <c r="CJ185" i="25"/>
  <c r="CI185" i="25"/>
  <c r="CF185" i="25"/>
  <c r="CE185" i="25"/>
  <c r="BW185" i="25"/>
  <c r="BU185" i="25"/>
  <c r="CB185" i="25" s="1"/>
  <c r="BS185" i="25"/>
  <c r="BM185" i="25"/>
  <c r="BL185" i="25"/>
  <c r="BD185" i="25"/>
  <c r="BA185" i="25"/>
  <c r="AZ185" i="25"/>
  <c r="AX185" i="25"/>
  <c r="AW185" i="25"/>
  <c r="F185" i="25"/>
  <c r="CH185" i="25" s="1"/>
  <c r="CR200" i="25"/>
  <c r="CQ200" i="25"/>
  <c r="CP200" i="25"/>
  <c r="CO200" i="25"/>
  <c r="CN200" i="25"/>
  <c r="CM200" i="25"/>
  <c r="CL200" i="25"/>
  <c r="BR200" i="25" s="1"/>
  <c r="CK200" i="25"/>
  <c r="CJ200" i="25"/>
  <c r="CI200" i="25"/>
  <c r="CF200" i="25"/>
  <c r="CE200" i="25"/>
  <c r="BW200" i="25"/>
  <c r="BU200" i="25"/>
  <c r="CB200" i="25" s="1"/>
  <c r="BS200" i="25"/>
  <c r="BM200" i="25"/>
  <c r="BL200" i="25"/>
  <c r="BD200" i="25"/>
  <c r="BE200" i="25" s="1"/>
  <c r="BA200" i="25"/>
  <c r="AZ200" i="25"/>
  <c r="AX200" i="25"/>
  <c r="AW200" i="25"/>
  <c r="F200" i="25"/>
  <c r="CC200" i="25" s="1"/>
  <c r="BX200" i="25" s="1"/>
  <c r="CR197" i="25"/>
  <c r="CQ197" i="25"/>
  <c r="CP197" i="25"/>
  <c r="CO197" i="25"/>
  <c r="CN197" i="25"/>
  <c r="CM197" i="25"/>
  <c r="CL197" i="25"/>
  <c r="BT197" i="25" s="1"/>
  <c r="CK197" i="25"/>
  <c r="CJ197" i="25"/>
  <c r="CI197" i="25"/>
  <c r="CF197" i="25"/>
  <c r="CE197" i="25"/>
  <c r="BW197" i="25"/>
  <c r="BU197" i="25"/>
  <c r="CB197" i="25" s="1"/>
  <c r="BS197" i="25"/>
  <c r="BM197" i="25"/>
  <c r="BL197" i="25"/>
  <c r="BD197" i="25"/>
  <c r="BE197" i="25" s="1"/>
  <c r="BA197" i="25"/>
  <c r="AZ197" i="25"/>
  <c r="AX197" i="25"/>
  <c r="AW197" i="25"/>
  <c r="F197" i="25"/>
  <c r="CH197" i="25" s="1"/>
  <c r="CR180" i="25"/>
  <c r="CQ180" i="25"/>
  <c r="CP180" i="25"/>
  <c r="CO180" i="25"/>
  <c r="CN180" i="25"/>
  <c r="CM180" i="25"/>
  <c r="CL180" i="25"/>
  <c r="BT180" i="25" s="1"/>
  <c r="CK180" i="25"/>
  <c r="CJ180" i="25"/>
  <c r="CI180" i="25"/>
  <c r="CF180" i="25"/>
  <c r="CE180" i="25"/>
  <c r="BW180" i="25"/>
  <c r="BU180" i="25"/>
  <c r="CB180" i="25" s="1"/>
  <c r="BS180" i="25"/>
  <c r="BM180" i="25"/>
  <c r="BL180" i="25"/>
  <c r="BD180" i="25"/>
  <c r="BE180" i="25" s="1"/>
  <c r="BA180" i="25"/>
  <c r="AZ180" i="25"/>
  <c r="AX180" i="25"/>
  <c r="AW180" i="25"/>
  <c r="F180" i="25"/>
  <c r="CD180" i="25" s="1"/>
  <c r="BV180" i="25" s="1"/>
  <c r="CR190" i="25"/>
  <c r="CQ190" i="25"/>
  <c r="CP190" i="25"/>
  <c r="CO190" i="25"/>
  <c r="CN190" i="25"/>
  <c r="CM190" i="25"/>
  <c r="CL190" i="25"/>
  <c r="BT190" i="25" s="1"/>
  <c r="CK190" i="25"/>
  <c r="CJ190" i="25"/>
  <c r="CI190" i="25"/>
  <c r="CF190" i="25"/>
  <c r="CE190" i="25"/>
  <c r="BW190" i="25"/>
  <c r="BU190" i="25"/>
  <c r="CB190" i="25" s="1"/>
  <c r="BS190" i="25"/>
  <c r="BM190" i="25"/>
  <c r="BL190" i="25"/>
  <c r="BD190" i="25"/>
  <c r="BA190" i="25"/>
  <c r="AZ190" i="25"/>
  <c r="AX190" i="25"/>
  <c r="AW190" i="25"/>
  <c r="F190" i="25"/>
  <c r="CH190" i="25" s="1"/>
  <c r="CR186" i="25"/>
  <c r="CQ186" i="25"/>
  <c r="CP186" i="25"/>
  <c r="CO186" i="25"/>
  <c r="CN186" i="25"/>
  <c r="CM186" i="25"/>
  <c r="CL186" i="25"/>
  <c r="BT186" i="25" s="1"/>
  <c r="CK186" i="25"/>
  <c r="CJ186" i="25"/>
  <c r="CI186" i="25"/>
  <c r="CF186" i="25"/>
  <c r="CE186" i="25"/>
  <c r="BW186" i="25"/>
  <c r="BU186" i="25"/>
  <c r="CB186" i="25" s="1"/>
  <c r="BS186" i="25"/>
  <c r="BM186" i="25"/>
  <c r="BL186" i="25"/>
  <c r="BD186" i="25"/>
  <c r="BE186" i="25" s="1"/>
  <c r="BA186" i="25"/>
  <c r="AZ186" i="25"/>
  <c r="AX186" i="25"/>
  <c r="AW186" i="25"/>
  <c r="F186" i="25"/>
  <c r="CC186" i="25" s="1"/>
  <c r="BX186" i="25" s="1"/>
  <c r="CR187" i="25"/>
  <c r="CQ187" i="25"/>
  <c r="CP187" i="25"/>
  <c r="CO187" i="25"/>
  <c r="CN187" i="25"/>
  <c r="CM187" i="25"/>
  <c r="CL187" i="25"/>
  <c r="BT187" i="25" s="1"/>
  <c r="CK187" i="25"/>
  <c r="CJ187" i="25"/>
  <c r="CI187" i="25"/>
  <c r="CF187" i="25"/>
  <c r="CE187" i="25"/>
  <c r="BW187" i="25"/>
  <c r="BU187" i="25"/>
  <c r="CB187" i="25" s="1"/>
  <c r="BS187" i="25"/>
  <c r="BM187" i="25"/>
  <c r="BL187" i="25"/>
  <c r="BD187" i="25"/>
  <c r="BE187" i="25" s="1"/>
  <c r="BA187" i="25"/>
  <c r="AZ187" i="25"/>
  <c r="AX187" i="25"/>
  <c r="AW187" i="25"/>
  <c r="F187" i="25"/>
  <c r="CH187" i="25" s="1"/>
  <c r="CR276" i="25"/>
  <c r="CQ276" i="25"/>
  <c r="CP276" i="25"/>
  <c r="CO276" i="25"/>
  <c r="CN276" i="25"/>
  <c r="CM276" i="25"/>
  <c r="CL276" i="25"/>
  <c r="BT276" i="25" s="1"/>
  <c r="CK276" i="25"/>
  <c r="CJ276" i="25"/>
  <c r="CI276" i="25"/>
  <c r="CH276" i="25"/>
  <c r="CF276" i="25"/>
  <c r="CE276" i="25"/>
  <c r="CD276" i="25"/>
  <c r="BV276" i="25" s="1"/>
  <c r="CC276" i="25"/>
  <c r="BX276" i="25" s="1"/>
  <c r="BW276" i="25"/>
  <c r="BU276" i="25"/>
  <c r="CB276" i="25" s="1"/>
  <c r="BS276" i="25"/>
  <c r="BM276" i="25"/>
  <c r="BL276" i="25"/>
  <c r="BD276" i="25"/>
  <c r="BE276" i="25" s="1"/>
  <c r="BA276" i="25"/>
  <c r="AZ276" i="25"/>
  <c r="AX276" i="25"/>
  <c r="AW276" i="25"/>
  <c r="CR275" i="25"/>
  <c r="CQ275" i="25"/>
  <c r="CP275" i="25"/>
  <c r="CO275" i="25"/>
  <c r="CN275" i="25"/>
  <c r="CM275" i="25"/>
  <c r="CL275" i="25"/>
  <c r="BT275" i="25" s="1"/>
  <c r="CK275" i="25"/>
  <c r="CJ275" i="25"/>
  <c r="CI275" i="25"/>
  <c r="CH275" i="25"/>
  <c r="CF275" i="25"/>
  <c r="CE275" i="25"/>
  <c r="CD275" i="25"/>
  <c r="BV275" i="25" s="1"/>
  <c r="CC275" i="25"/>
  <c r="BX275" i="25" s="1"/>
  <c r="BW275" i="25"/>
  <c r="BU275" i="25"/>
  <c r="CB275" i="25" s="1"/>
  <c r="BS275" i="25"/>
  <c r="BM275" i="25"/>
  <c r="BL275" i="25"/>
  <c r="BD275" i="25"/>
  <c r="BE275" i="25" s="1"/>
  <c r="BA275" i="25"/>
  <c r="AZ275" i="25"/>
  <c r="AX275" i="25"/>
  <c r="AW275" i="25"/>
  <c r="CR269" i="25"/>
  <c r="CQ269" i="25"/>
  <c r="CP269" i="25"/>
  <c r="CO269" i="25"/>
  <c r="CN269" i="25"/>
  <c r="CM269" i="25"/>
  <c r="CL269" i="25"/>
  <c r="BT269" i="25" s="1"/>
  <c r="CK269" i="25"/>
  <c r="CJ269" i="25"/>
  <c r="CI269" i="25"/>
  <c r="CH269" i="25"/>
  <c r="CF269" i="25"/>
  <c r="CE269" i="25"/>
  <c r="CD269" i="25"/>
  <c r="BV269" i="25" s="1"/>
  <c r="CC269" i="25"/>
  <c r="BX269" i="25" s="1"/>
  <c r="BW269" i="25"/>
  <c r="BU269" i="25"/>
  <c r="CB269" i="25" s="1"/>
  <c r="BS269" i="25"/>
  <c r="BM269" i="25"/>
  <c r="BL269" i="25"/>
  <c r="BD269" i="25"/>
  <c r="BE269" i="25" s="1"/>
  <c r="BA269" i="25"/>
  <c r="AZ269" i="25"/>
  <c r="AX269" i="25"/>
  <c r="AW269" i="25"/>
  <c r="CR272" i="25"/>
  <c r="CQ272" i="25"/>
  <c r="CP272" i="25"/>
  <c r="CO272" i="25"/>
  <c r="CN272" i="25"/>
  <c r="CM272" i="25"/>
  <c r="CL272" i="25"/>
  <c r="BT272" i="25" s="1"/>
  <c r="CK272" i="25"/>
  <c r="CJ272" i="25"/>
  <c r="CI272" i="25"/>
  <c r="CH272" i="25"/>
  <c r="CF272" i="25"/>
  <c r="CE272" i="25"/>
  <c r="CD272" i="25"/>
  <c r="BV272" i="25" s="1"/>
  <c r="CC272" i="25"/>
  <c r="BX272" i="25" s="1"/>
  <c r="BU272" i="25"/>
  <c r="CB272" i="25" s="1"/>
  <c r="BS272" i="25"/>
  <c r="BM272" i="25"/>
  <c r="BL272" i="25"/>
  <c r="BD272" i="25"/>
  <c r="BE272" i="25" s="1"/>
  <c r="BA272" i="25"/>
  <c r="AZ272" i="25"/>
  <c r="AX272" i="25"/>
  <c r="AW272" i="25"/>
  <c r="CR265" i="25"/>
  <c r="CQ265" i="25"/>
  <c r="CP265" i="25"/>
  <c r="CO265" i="25"/>
  <c r="CN265" i="25"/>
  <c r="CM265" i="25"/>
  <c r="CL265" i="25"/>
  <c r="BT265" i="25" s="1"/>
  <c r="CK265" i="25"/>
  <c r="CJ265" i="25"/>
  <c r="CI265" i="25"/>
  <c r="CH265" i="25"/>
  <c r="CF265" i="25"/>
  <c r="CE265" i="25"/>
  <c r="CD265" i="25"/>
  <c r="BV265" i="25" s="1"/>
  <c r="CC265" i="25"/>
  <c r="BX265" i="25" s="1"/>
  <c r="BU265" i="25"/>
  <c r="CB265" i="25" s="1"/>
  <c r="BS265" i="25"/>
  <c r="BM265" i="25"/>
  <c r="BL265" i="25"/>
  <c r="BD265" i="25"/>
  <c r="BE265" i="25" s="1"/>
  <c r="BA265" i="25"/>
  <c r="AZ265" i="25"/>
  <c r="AX265" i="25"/>
  <c r="AW265" i="25"/>
  <c r="CR273" i="25"/>
  <c r="CQ273" i="25"/>
  <c r="CP273" i="25"/>
  <c r="CO273" i="25"/>
  <c r="CN273" i="25"/>
  <c r="CM273" i="25"/>
  <c r="CL273" i="25"/>
  <c r="BT273" i="25" s="1"/>
  <c r="CK273" i="25"/>
  <c r="CJ273" i="25"/>
  <c r="CI273" i="25"/>
  <c r="CH273" i="25"/>
  <c r="CF273" i="25"/>
  <c r="CE273" i="25"/>
  <c r="CD273" i="25"/>
  <c r="BV273" i="25" s="1"/>
  <c r="CC273" i="25"/>
  <c r="BX273" i="25" s="1"/>
  <c r="BW273" i="25"/>
  <c r="BU273" i="25"/>
  <c r="CB273" i="25" s="1"/>
  <c r="BS273" i="25"/>
  <c r="BM273" i="25"/>
  <c r="BL273" i="25"/>
  <c r="BD273" i="25"/>
  <c r="BE273" i="25" s="1"/>
  <c r="BA273" i="25"/>
  <c r="AZ273" i="25"/>
  <c r="AX273" i="25"/>
  <c r="AW273" i="25"/>
  <c r="CR48" i="25"/>
  <c r="CQ48" i="25"/>
  <c r="CP48" i="25"/>
  <c r="CO48" i="25"/>
  <c r="CN48" i="25"/>
  <c r="CM48" i="25"/>
  <c r="CL48" i="25"/>
  <c r="BT48" i="25" s="1"/>
  <c r="CK48" i="25"/>
  <c r="CJ48" i="25"/>
  <c r="CI48" i="25"/>
  <c r="CH48" i="25"/>
  <c r="CF48" i="25"/>
  <c r="CE48" i="25"/>
  <c r="CD48" i="25"/>
  <c r="BV48" i="25" s="1"/>
  <c r="CC48" i="25"/>
  <c r="BX48" i="25" s="1"/>
  <c r="BU48" i="25"/>
  <c r="CB48" i="25" s="1"/>
  <c r="BS48" i="25"/>
  <c r="BM48" i="25"/>
  <c r="BL48" i="25"/>
  <c r="BD48" i="25"/>
  <c r="BE48" i="25" s="1"/>
  <c r="BA48" i="25"/>
  <c r="AZ48" i="25"/>
  <c r="AX48" i="25"/>
  <c r="AW48" i="25"/>
  <c r="CR39" i="25"/>
  <c r="CQ39" i="25"/>
  <c r="CP39" i="25"/>
  <c r="CO39" i="25"/>
  <c r="CM39" i="25"/>
  <c r="CL39" i="25"/>
  <c r="BT39" i="25" s="1"/>
  <c r="CK39" i="25"/>
  <c r="CJ39" i="25"/>
  <c r="CI39" i="25"/>
  <c r="CH39" i="25"/>
  <c r="CF39" i="25"/>
  <c r="CE39" i="25"/>
  <c r="CD39" i="25"/>
  <c r="BV39" i="25" s="1"/>
  <c r="CC39" i="25"/>
  <c r="BX39" i="25" s="1"/>
  <c r="BU39" i="25"/>
  <c r="CB39" i="25" s="1"/>
  <c r="BS39" i="25"/>
  <c r="BM39" i="25"/>
  <c r="BL39" i="25"/>
  <c r="BD39" i="25"/>
  <c r="BE39" i="25" s="1"/>
  <c r="BA39" i="25"/>
  <c r="AZ39" i="25"/>
  <c r="AX39" i="25"/>
  <c r="AW39" i="25"/>
  <c r="CR18" i="25"/>
  <c r="CQ18" i="25"/>
  <c r="CP18" i="25"/>
  <c r="CO18" i="25"/>
  <c r="CN18" i="25"/>
  <c r="CM18" i="25"/>
  <c r="CL18" i="25"/>
  <c r="BT18" i="25" s="1"/>
  <c r="CK18" i="25"/>
  <c r="CJ18" i="25"/>
  <c r="CI18" i="25"/>
  <c r="CH18" i="25"/>
  <c r="CF18" i="25"/>
  <c r="CE18" i="25"/>
  <c r="CD18" i="25"/>
  <c r="BV18" i="25" s="1"/>
  <c r="CC18" i="25"/>
  <c r="BX18" i="25" s="1"/>
  <c r="BW18" i="25"/>
  <c r="BU18" i="25"/>
  <c r="CB18" i="25" s="1"/>
  <c r="BS18" i="25"/>
  <c r="BM18" i="25"/>
  <c r="BL18" i="25"/>
  <c r="BD18" i="25"/>
  <c r="BE18" i="25" s="1"/>
  <c r="BA18" i="25"/>
  <c r="AZ18" i="25"/>
  <c r="AX18" i="25"/>
  <c r="AW18" i="25"/>
  <c r="CR86" i="25"/>
  <c r="CQ86" i="25"/>
  <c r="CP86" i="25"/>
  <c r="CO86" i="25"/>
  <c r="CN86" i="25"/>
  <c r="CM86" i="25"/>
  <c r="CL86" i="25"/>
  <c r="BT86" i="25" s="1"/>
  <c r="CK86" i="25"/>
  <c r="CJ86" i="25"/>
  <c r="CI86" i="25"/>
  <c r="CH86" i="25"/>
  <c r="CF86" i="25"/>
  <c r="CE86" i="25"/>
  <c r="CD86" i="25"/>
  <c r="BV86" i="25" s="1"/>
  <c r="CC86" i="25"/>
  <c r="BX86" i="25" s="1"/>
  <c r="BW86" i="25"/>
  <c r="BU86" i="25"/>
  <c r="CB86" i="25" s="1"/>
  <c r="BS86" i="25"/>
  <c r="BM86" i="25"/>
  <c r="BL86" i="25"/>
  <c r="BD86" i="25"/>
  <c r="BE86" i="25" s="1"/>
  <c r="BA86" i="25"/>
  <c r="AZ86" i="25"/>
  <c r="AX86" i="25"/>
  <c r="AW86" i="25"/>
  <c r="CR82" i="25"/>
  <c r="CQ82" i="25"/>
  <c r="CP82" i="25"/>
  <c r="CO82" i="25"/>
  <c r="CN82" i="25"/>
  <c r="CM82" i="25"/>
  <c r="CL82" i="25"/>
  <c r="BT82" i="25" s="1"/>
  <c r="CK82" i="25"/>
  <c r="CJ82" i="25"/>
  <c r="CI82" i="25"/>
  <c r="CH82" i="25"/>
  <c r="CF82" i="25"/>
  <c r="CE82" i="25"/>
  <c r="CD82" i="25"/>
  <c r="BV82" i="25" s="1"/>
  <c r="CC82" i="25"/>
  <c r="BX82" i="25" s="1"/>
  <c r="BU82" i="25"/>
  <c r="CB82" i="25" s="1"/>
  <c r="BM82" i="25"/>
  <c r="BS82" i="25" s="1"/>
  <c r="BL82" i="25"/>
  <c r="BD82" i="25"/>
  <c r="BE82" i="25" s="1"/>
  <c r="BA82" i="25"/>
  <c r="AZ82" i="25"/>
  <c r="AX82" i="25"/>
  <c r="AW82" i="25"/>
  <c r="CR92" i="25"/>
  <c r="CQ92" i="25"/>
  <c r="CP92" i="25"/>
  <c r="CO92" i="25"/>
  <c r="CN92" i="25"/>
  <c r="CM92" i="25"/>
  <c r="CL92" i="25"/>
  <c r="BT92" i="25" s="1"/>
  <c r="CK92" i="25"/>
  <c r="CJ92" i="25"/>
  <c r="CI92" i="25"/>
  <c r="CH92" i="25"/>
  <c r="CF92" i="25"/>
  <c r="CE92" i="25"/>
  <c r="CD92" i="25"/>
  <c r="BV92" i="25" s="1"/>
  <c r="CC92" i="25"/>
  <c r="BX92" i="25" s="1"/>
  <c r="BU92" i="25"/>
  <c r="CB92" i="25" s="1"/>
  <c r="BS92" i="25"/>
  <c r="BM92" i="25"/>
  <c r="BL92" i="25"/>
  <c r="BD92" i="25"/>
  <c r="BE92" i="25" s="1"/>
  <c r="BA92" i="25"/>
  <c r="AZ92" i="25"/>
  <c r="AX92" i="25"/>
  <c r="AW92" i="25"/>
  <c r="CR90" i="25"/>
  <c r="CQ90" i="25"/>
  <c r="CP90" i="25"/>
  <c r="CO90" i="25"/>
  <c r="CN90" i="25"/>
  <c r="CM90" i="25"/>
  <c r="CL90" i="25"/>
  <c r="BT90" i="25" s="1"/>
  <c r="CK90" i="25"/>
  <c r="CJ90" i="25"/>
  <c r="CI90" i="25"/>
  <c r="CH90" i="25"/>
  <c r="CF90" i="25"/>
  <c r="CE90" i="25"/>
  <c r="CD90" i="25"/>
  <c r="BV90" i="25" s="1"/>
  <c r="CC90" i="25"/>
  <c r="BX90" i="25" s="1"/>
  <c r="BW90" i="25"/>
  <c r="BU90" i="25"/>
  <c r="CB90" i="25" s="1"/>
  <c r="BS90" i="25"/>
  <c r="BM90" i="25"/>
  <c r="BL90" i="25"/>
  <c r="BD90" i="25"/>
  <c r="BE90" i="25" s="1"/>
  <c r="BA90" i="25"/>
  <c r="AZ90" i="25"/>
  <c r="AX90" i="25"/>
  <c r="AW90" i="25"/>
  <c r="CR135" i="25"/>
  <c r="CQ135" i="25"/>
  <c r="CP135" i="25"/>
  <c r="CO135" i="25"/>
  <c r="CM135" i="25"/>
  <c r="CL135" i="25"/>
  <c r="BT135" i="25" s="1"/>
  <c r="CK135" i="25"/>
  <c r="CJ135" i="25"/>
  <c r="CI135" i="25"/>
  <c r="CH135" i="25"/>
  <c r="CF135" i="25"/>
  <c r="CE135" i="25"/>
  <c r="CD135" i="25"/>
  <c r="BV135" i="25" s="1"/>
  <c r="CC135" i="25"/>
  <c r="BX135" i="25" s="1"/>
  <c r="BW135" i="25"/>
  <c r="BU135" i="25"/>
  <c r="CB135" i="25" s="1"/>
  <c r="BS135" i="25"/>
  <c r="BM135" i="25"/>
  <c r="BL135" i="25"/>
  <c r="BD135" i="25"/>
  <c r="BE135" i="25" s="1"/>
  <c r="BA135" i="25"/>
  <c r="AZ135" i="25"/>
  <c r="AX135" i="25"/>
  <c r="AW135" i="25"/>
  <c r="CR84" i="25"/>
  <c r="CQ84" i="25"/>
  <c r="CP84" i="25"/>
  <c r="CO84" i="25"/>
  <c r="CN84" i="25"/>
  <c r="CM84" i="25"/>
  <c r="CL84" i="25"/>
  <c r="BW84" i="25" s="1"/>
  <c r="CK84" i="25"/>
  <c r="CJ84" i="25"/>
  <c r="CI84" i="25"/>
  <c r="CH84" i="25"/>
  <c r="CF84" i="25"/>
  <c r="CE84" i="25"/>
  <c r="CD84" i="25"/>
  <c r="BV84" i="25" s="1"/>
  <c r="CC84" i="25"/>
  <c r="BX84" i="25" s="1"/>
  <c r="BU84" i="25"/>
  <c r="CB84" i="25" s="1"/>
  <c r="BS84" i="25"/>
  <c r="BM84" i="25"/>
  <c r="BL84" i="25"/>
  <c r="BD84" i="25"/>
  <c r="BE84" i="25" s="1"/>
  <c r="BA84" i="25"/>
  <c r="AZ84" i="25"/>
  <c r="AX84" i="25"/>
  <c r="AW84" i="25"/>
  <c r="CR83" i="25"/>
  <c r="CQ83" i="25"/>
  <c r="CP83" i="25"/>
  <c r="CO83" i="25"/>
  <c r="CN83" i="25"/>
  <c r="CM83" i="25"/>
  <c r="CL83" i="25"/>
  <c r="BW83" i="25" s="1"/>
  <c r="CK83" i="25"/>
  <c r="CJ83" i="25"/>
  <c r="CI83" i="25"/>
  <c r="CH83" i="25"/>
  <c r="CF83" i="25"/>
  <c r="CE83" i="25"/>
  <c r="CD83" i="25"/>
  <c r="BV83" i="25" s="1"/>
  <c r="CC83" i="25"/>
  <c r="BX83" i="25" s="1"/>
  <c r="BU83" i="25"/>
  <c r="CB83" i="25" s="1"/>
  <c r="BS83" i="25"/>
  <c r="BM83" i="25"/>
  <c r="BL83" i="25"/>
  <c r="BD83" i="25"/>
  <c r="BA83" i="25"/>
  <c r="AZ83" i="25"/>
  <c r="AX83" i="25"/>
  <c r="AW83" i="25"/>
  <c r="CR79" i="25"/>
  <c r="CQ79" i="25"/>
  <c r="CP79" i="25"/>
  <c r="CO79" i="25"/>
  <c r="CN79" i="25"/>
  <c r="CM79" i="25"/>
  <c r="CL79" i="25"/>
  <c r="BW79" i="25" s="1"/>
  <c r="CK79" i="25"/>
  <c r="CJ79" i="25"/>
  <c r="CI79" i="25"/>
  <c r="CH79" i="25"/>
  <c r="CF79" i="25"/>
  <c r="CE79" i="25"/>
  <c r="CD79" i="25"/>
  <c r="BV79" i="25" s="1"/>
  <c r="CC79" i="25"/>
  <c r="BX79" i="25" s="1"/>
  <c r="BU79" i="25"/>
  <c r="CB79" i="25" s="1"/>
  <c r="BS79" i="25"/>
  <c r="BM79" i="25"/>
  <c r="BL79" i="25"/>
  <c r="BD79" i="25"/>
  <c r="BE79" i="25" s="1"/>
  <c r="BA79" i="25"/>
  <c r="AZ79" i="25"/>
  <c r="AX79" i="25"/>
  <c r="AW79" i="25"/>
  <c r="CR7" i="25"/>
  <c r="CQ7" i="25"/>
  <c r="CP7" i="25"/>
  <c r="CO7" i="25"/>
  <c r="CN7" i="25"/>
  <c r="CM7" i="25"/>
  <c r="CL7" i="25"/>
  <c r="BW7" i="25" s="1"/>
  <c r="CK7" i="25"/>
  <c r="CJ7" i="25"/>
  <c r="CI7" i="25"/>
  <c r="CH7" i="25"/>
  <c r="CF7" i="25"/>
  <c r="CE7" i="25"/>
  <c r="CD7" i="25"/>
  <c r="BV7" i="25" s="1"/>
  <c r="CC7" i="25"/>
  <c r="BX7" i="25" s="1"/>
  <c r="BU7" i="25"/>
  <c r="CB7" i="25" s="1"/>
  <c r="BS7" i="25"/>
  <c r="BM7" i="25"/>
  <c r="BL7" i="25"/>
  <c r="BD7" i="25"/>
  <c r="BA7" i="25"/>
  <c r="AZ7" i="25"/>
  <c r="AX7" i="25"/>
  <c r="AW7" i="25"/>
  <c r="CR174" i="25"/>
  <c r="CQ174" i="25"/>
  <c r="CP174" i="25"/>
  <c r="CO174" i="25"/>
  <c r="CN174" i="25"/>
  <c r="CM174" i="25"/>
  <c r="CL174" i="25"/>
  <c r="BR174" i="25" s="1"/>
  <c r="CK174" i="25"/>
  <c r="CJ174" i="25"/>
  <c r="CI174" i="25"/>
  <c r="CH174" i="25"/>
  <c r="CF174" i="25"/>
  <c r="CE174" i="25"/>
  <c r="CD174" i="25"/>
  <c r="BV174" i="25" s="1"/>
  <c r="CC174" i="25"/>
  <c r="BX174" i="25" s="1"/>
  <c r="BW174" i="25"/>
  <c r="BU174" i="25"/>
  <c r="CB174" i="25" s="1"/>
  <c r="BS174" i="25"/>
  <c r="BM174" i="25"/>
  <c r="BL174" i="25"/>
  <c r="BD174" i="25"/>
  <c r="BA174" i="25"/>
  <c r="AZ174" i="25"/>
  <c r="AX174" i="25"/>
  <c r="AW174" i="25"/>
  <c r="CR175" i="25"/>
  <c r="CQ175" i="25"/>
  <c r="CP175" i="25"/>
  <c r="CO175" i="25"/>
  <c r="CN175" i="25"/>
  <c r="CM175" i="25"/>
  <c r="CL175" i="25"/>
  <c r="BR175" i="25" s="1"/>
  <c r="CK175" i="25"/>
  <c r="CJ175" i="25"/>
  <c r="CI175" i="25"/>
  <c r="CH175" i="25"/>
  <c r="CF175" i="25"/>
  <c r="CE175" i="25"/>
  <c r="CD175" i="25"/>
  <c r="BV175" i="25" s="1"/>
  <c r="CC175" i="25"/>
  <c r="BX175" i="25" s="1"/>
  <c r="BW175" i="25"/>
  <c r="BU175" i="25"/>
  <c r="CB175" i="25" s="1"/>
  <c r="BS175" i="25"/>
  <c r="BM175" i="25"/>
  <c r="BL175" i="25"/>
  <c r="BD175" i="25"/>
  <c r="BA175" i="25"/>
  <c r="AZ175" i="25"/>
  <c r="AX175" i="25"/>
  <c r="AW175" i="25"/>
  <c r="CR62" i="25"/>
  <c r="CQ62" i="25"/>
  <c r="CP62" i="25"/>
  <c r="CO62" i="25"/>
  <c r="CN62" i="25"/>
  <c r="CM62" i="25"/>
  <c r="CL62" i="25"/>
  <c r="BN62" i="25" s="1"/>
  <c r="BO62" i="25" s="1"/>
  <c r="CK62" i="25"/>
  <c r="CJ62" i="25"/>
  <c r="CI62" i="25"/>
  <c r="CH62" i="25"/>
  <c r="CF62" i="25"/>
  <c r="CE62" i="25"/>
  <c r="CD62" i="25"/>
  <c r="BV62" i="25" s="1"/>
  <c r="CC62" i="25"/>
  <c r="BX62" i="25" s="1"/>
  <c r="BU62" i="25"/>
  <c r="CB62" i="25" s="1"/>
  <c r="BS62" i="25"/>
  <c r="BM62" i="25"/>
  <c r="BL62" i="25"/>
  <c r="BD62" i="25"/>
  <c r="BA62" i="25"/>
  <c r="AZ62" i="25"/>
  <c r="AX62" i="25"/>
  <c r="AW62" i="25"/>
  <c r="CR50" i="25"/>
  <c r="CQ50" i="25"/>
  <c r="CP50" i="25"/>
  <c r="CO50" i="25"/>
  <c r="CN50" i="25"/>
  <c r="CM50" i="25"/>
  <c r="CL50" i="25"/>
  <c r="BN50" i="25" s="1"/>
  <c r="BO50" i="25" s="1"/>
  <c r="CK50" i="25"/>
  <c r="CJ50" i="25"/>
  <c r="CI50" i="25"/>
  <c r="CH50" i="25"/>
  <c r="CF50" i="25"/>
  <c r="CE50" i="25"/>
  <c r="CD50" i="25"/>
  <c r="BV50" i="25" s="1"/>
  <c r="CC50" i="25"/>
  <c r="BX50" i="25" s="1"/>
  <c r="BW50" i="25"/>
  <c r="BU50" i="25"/>
  <c r="CB50" i="25" s="1"/>
  <c r="BS50" i="25"/>
  <c r="BM50" i="25"/>
  <c r="BL50" i="25"/>
  <c r="BD50" i="25"/>
  <c r="BA50" i="25"/>
  <c r="AZ50" i="25"/>
  <c r="AX50" i="25"/>
  <c r="AW50" i="25"/>
  <c r="CR19" i="25"/>
  <c r="CQ19" i="25"/>
  <c r="CP19" i="25"/>
  <c r="CO19" i="25"/>
  <c r="CN19" i="25"/>
  <c r="CM19" i="25"/>
  <c r="CL19" i="25"/>
  <c r="BW19" i="25" s="1"/>
  <c r="CK19" i="25"/>
  <c r="CJ19" i="25"/>
  <c r="CI19" i="25"/>
  <c r="CH19" i="25"/>
  <c r="CF19" i="25"/>
  <c r="CE19" i="25"/>
  <c r="CD19" i="25"/>
  <c r="BV19" i="25" s="1"/>
  <c r="CC19" i="25"/>
  <c r="BX19" i="25" s="1"/>
  <c r="BU19" i="25"/>
  <c r="CB19" i="25" s="1"/>
  <c r="BS19" i="25"/>
  <c r="BM19" i="25"/>
  <c r="BL19" i="25"/>
  <c r="BD19" i="25"/>
  <c r="BE19" i="25" s="1"/>
  <c r="BA19" i="25"/>
  <c r="AZ19" i="25"/>
  <c r="AX19" i="25"/>
  <c r="AW19" i="25"/>
  <c r="CR49" i="25"/>
  <c r="CQ49" i="25"/>
  <c r="CP49" i="25"/>
  <c r="CO49" i="25"/>
  <c r="CN49" i="25"/>
  <c r="CM49" i="25"/>
  <c r="CL49" i="25"/>
  <c r="BR49" i="25" s="1"/>
  <c r="CK49" i="25"/>
  <c r="CJ49" i="25"/>
  <c r="CI49" i="25"/>
  <c r="CH49" i="25"/>
  <c r="CF49" i="25"/>
  <c r="CE49" i="25"/>
  <c r="CD49" i="25"/>
  <c r="BV49" i="25" s="1"/>
  <c r="CC49" i="25"/>
  <c r="BX49" i="25" s="1"/>
  <c r="BW49" i="25"/>
  <c r="BU49" i="25"/>
  <c r="CB49" i="25" s="1"/>
  <c r="BM49" i="25"/>
  <c r="BL49" i="25"/>
  <c r="BD49" i="25"/>
  <c r="BE49" i="25" s="1"/>
  <c r="BA49" i="25"/>
  <c r="AZ49" i="25"/>
  <c r="AX49" i="25"/>
  <c r="AW49" i="25"/>
  <c r="CR172" i="25"/>
  <c r="CQ172" i="25"/>
  <c r="CP172" i="25"/>
  <c r="CO172" i="25"/>
  <c r="CN172" i="25"/>
  <c r="CM172" i="25"/>
  <c r="CL172" i="25"/>
  <c r="BR172" i="25" s="1"/>
  <c r="CK172" i="25"/>
  <c r="CJ172" i="25"/>
  <c r="CI172" i="25"/>
  <c r="CH172" i="25"/>
  <c r="CF172" i="25"/>
  <c r="CE172" i="25"/>
  <c r="CD172" i="25"/>
  <c r="BV172" i="25" s="1"/>
  <c r="CC172" i="25"/>
  <c r="BX172" i="25" s="1"/>
  <c r="BW172" i="25"/>
  <c r="BU172" i="25"/>
  <c r="CB172" i="25" s="1"/>
  <c r="BM172" i="25"/>
  <c r="BL172" i="25"/>
  <c r="BD172" i="25"/>
  <c r="BE172" i="25" s="1"/>
  <c r="BA172" i="25"/>
  <c r="AZ172" i="25"/>
  <c r="AX172" i="25"/>
  <c r="AW172" i="25"/>
  <c r="CR170" i="25"/>
  <c r="CQ170" i="25"/>
  <c r="CP170" i="25"/>
  <c r="CO170" i="25"/>
  <c r="CN170" i="25"/>
  <c r="CM170" i="25"/>
  <c r="CL170" i="25"/>
  <c r="BR170" i="25" s="1"/>
  <c r="CK170" i="25"/>
  <c r="CJ170" i="25"/>
  <c r="CI170" i="25"/>
  <c r="CH170" i="25"/>
  <c r="CF170" i="25"/>
  <c r="CE170" i="25"/>
  <c r="CD170" i="25"/>
  <c r="BV170" i="25" s="1"/>
  <c r="CC170" i="25"/>
  <c r="BX170" i="25" s="1"/>
  <c r="BW170" i="25"/>
  <c r="BU170" i="25"/>
  <c r="CB170" i="25" s="1"/>
  <c r="BM170" i="25"/>
  <c r="BL170" i="25"/>
  <c r="BD170" i="25"/>
  <c r="BE170" i="25" s="1"/>
  <c r="BA170" i="25"/>
  <c r="AZ170" i="25"/>
  <c r="AX170" i="25"/>
  <c r="AW170" i="25"/>
  <c r="CR128" i="25"/>
  <c r="CQ128" i="25"/>
  <c r="CP128" i="25"/>
  <c r="CO128" i="25"/>
  <c r="CN128" i="25"/>
  <c r="CM128" i="25"/>
  <c r="CL128" i="25"/>
  <c r="BW128" i="25" s="1"/>
  <c r="CK128" i="25"/>
  <c r="CJ128" i="25"/>
  <c r="CI128" i="25"/>
  <c r="CH128" i="25"/>
  <c r="CF128" i="25"/>
  <c r="CE128" i="25"/>
  <c r="CD128" i="25"/>
  <c r="BV128" i="25" s="1"/>
  <c r="CC128" i="25"/>
  <c r="BX128" i="25" s="1"/>
  <c r="BU128" i="25"/>
  <c r="CB128" i="25" s="1"/>
  <c r="BS128" i="25"/>
  <c r="BM128" i="25"/>
  <c r="BL128" i="25"/>
  <c r="BD128" i="25"/>
  <c r="BA128" i="25"/>
  <c r="AZ128" i="25"/>
  <c r="AX128" i="25"/>
  <c r="AW128" i="25"/>
  <c r="CR127" i="25"/>
  <c r="CQ127" i="25"/>
  <c r="CP127" i="25"/>
  <c r="CO127" i="25"/>
  <c r="CN127" i="25"/>
  <c r="CM127" i="25"/>
  <c r="CL127" i="25"/>
  <c r="BN127" i="25" s="1"/>
  <c r="BO127" i="25" s="1"/>
  <c r="CK127" i="25"/>
  <c r="CJ127" i="25"/>
  <c r="CI127" i="25"/>
  <c r="CH127" i="25"/>
  <c r="CF127" i="25"/>
  <c r="CE127" i="25"/>
  <c r="CD127" i="25"/>
  <c r="BV127" i="25" s="1"/>
  <c r="CC127" i="25"/>
  <c r="BX127" i="25" s="1"/>
  <c r="BU127" i="25"/>
  <c r="CB127" i="25" s="1"/>
  <c r="BS127" i="25"/>
  <c r="BM127" i="25"/>
  <c r="BL127" i="25"/>
  <c r="BD127" i="25"/>
  <c r="BA127" i="25"/>
  <c r="AZ127" i="25"/>
  <c r="AX127" i="25"/>
  <c r="AW127" i="25"/>
  <c r="CR126" i="25"/>
  <c r="CQ126" i="25"/>
  <c r="CP126" i="25"/>
  <c r="CO126" i="25"/>
  <c r="CN126" i="25"/>
  <c r="CM126" i="25"/>
  <c r="CL126" i="25"/>
  <c r="CK126" i="25"/>
  <c r="CJ126" i="25"/>
  <c r="CI126" i="25"/>
  <c r="CH126" i="25"/>
  <c r="CF126" i="25"/>
  <c r="CE126" i="25"/>
  <c r="CD126" i="25"/>
  <c r="BV126" i="25" s="1"/>
  <c r="CC126" i="25"/>
  <c r="BX126" i="25" s="1"/>
  <c r="BW126" i="25"/>
  <c r="BU126" i="25"/>
  <c r="CB126" i="25" s="1"/>
  <c r="BS126" i="25"/>
  <c r="BM126" i="25"/>
  <c r="BL126" i="25"/>
  <c r="BD126" i="25"/>
  <c r="BA126" i="25"/>
  <c r="AZ126" i="25"/>
  <c r="AX126" i="25"/>
  <c r="AW126" i="25"/>
  <c r="CR125" i="25"/>
  <c r="CQ125" i="25"/>
  <c r="CP125" i="25"/>
  <c r="CO125" i="25"/>
  <c r="CN125" i="25"/>
  <c r="CM125" i="25"/>
  <c r="CL125" i="25"/>
  <c r="BR125" i="25" s="1"/>
  <c r="CK125" i="25"/>
  <c r="CJ125" i="25"/>
  <c r="CI125" i="25"/>
  <c r="CH125" i="25"/>
  <c r="CF125" i="25"/>
  <c r="CE125" i="25"/>
  <c r="CD125" i="25"/>
  <c r="BV125" i="25" s="1"/>
  <c r="CC125" i="25"/>
  <c r="BX125" i="25" s="1"/>
  <c r="BW125" i="25"/>
  <c r="BU125" i="25"/>
  <c r="CB125" i="25" s="1"/>
  <c r="BM125" i="25"/>
  <c r="BL125" i="25"/>
  <c r="BD125" i="25"/>
  <c r="BE125" i="25" s="1"/>
  <c r="BA125" i="25"/>
  <c r="AZ125" i="25"/>
  <c r="AX125" i="25"/>
  <c r="AW125" i="25"/>
  <c r="CR124" i="25"/>
  <c r="CQ124" i="25"/>
  <c r="CP124" i="25"/>
  <c r="CO124" i="25"/>
  <c r="CN124" i="25"/>
  <c r="CM124" i="25"/>
  <c r="CL124" i="25"/>
  <c r="BT124" i="25" s="1"/>
  <c r="CK124" i="25"/>
  <c r="CJ124" i="25"/>
  <c r="CI124" i="25"/>
  <c r="CH124" i="25"/>
  <c r="CF124" i="25"/>
  <c r="CE124" i="25"/>
  <c r="CD124" i="25"/>
  <c r="BV124" i="25" s="1"/>
  <c r="CC124" i="25"/>
  <c r="BX124" i="25" s="1"/>
  <c r="BU124" i="25"/>
  <c r="CB124" i="25" s="1"/>
  <c r="BM124" i="25"/>
  <c r="BL124" i="25"/>
  <c r="BD124" i="25"/>
  <c r="BE124" i="25" s="1"/>
  <c r="BA124" i="25"/>
  <c r="AZ124" i="25"/>
  <c r="AX124" i="25"/>
  <c r="AW124" i="25"/>
  <c r="CR148" i="25"/>
  <c r="CQ148" i="25"/>
  <c r="CP148" i="25"/>
  <c r="CO148" i="25"/>
  <c r="CN148" i="25"/>
  <c r="CM148" i="25"/>
  <c r="CL148" i="25"/>
  <c r="BT148" i="25" s="1"/>
  <c r="CK148" i="25"/>
  <c r="CJ148" i="25"/>
  <c r="CI148" i="25"/>
  <c r="CH148" i="25"/>
  <c r="CF148" i="25"/>
  <c r="CE148" i="25"/>
  <c r="CD148" i="25"/>
  <c r="BV148" i="25" s="1"/>
  <c r="CC148" i="25"/>
  <c r="BX148" i="25" s="1"/>
  <c r="BU148" i="25"/>
  <c r="CB148" i="25" s="1"/>
  <c r="BS148" i="25"/>
  <c r="BM148" i="25"/>
  <c r="BL148" i="25"/>
  <c r="BD148" i="25"/>
  <c r="BE148" i="25" s="1"/>
  <c r="BA148" i="25"/>
  <c r="AZ148" i="25"/>
  <c r="AX148" i="25"/>
  <c r="AW148" i="25"/>
  <c r="CR147" i="25"/>
  <c r="CQ147" i="25"/>
  <c r="CP147" i="25"/>
  <c r="CO147" i="25"/>
  <c r="CN147" i="25"/>
  <c r="CM147" i="25"/>
  <c r="CL147" i="25"/>
  <c r="BT147" i="25" s="1"/>
  <c r="CK147" i="25"/>
  <c r="CJ147" i="25"/>
  <c r="CI147" i="25"/>
  <c r="CH147" i="25"/>
  <c r="CF147" i="25"/>
  <c r="CE147" i="25"/>
  <c r="CD147" i="25"/>
  <c r="BV147" i="25" s="1"/>
  <c r="CC147" i="25"/>
  <c r="BX147" i="25" s="1"/>
  <c r="BU147" i="25"/>
  <c r="CB147" i="25" s="1"/>
  <c r="BS147" i="25"/>
  <c r="BM147" i="25"/>
  <c r="BL147" i="25"/>
  <c r="BD147" i="25"/>
  <c r="BE147" i="25" s="1"/>
  <c r="BA147" i="25"/>
  <c r="AZ147" i="25"/>
  <c r="AX147" i="25"/>
  <c r="AW147" i="25"/>
  <c r="CR146" i="25"/>
  <c r="CQ146" i="25"/>
  <c r="CP146" i="25"/>
  <c r="CO146" i="25"/>
  <c r="CN146" i="25"/>
  <c r="CM146" i="25"/>
  <c r="CL146" i="25"/>
  <c r="BT146" i="25" s="1"/>
  <c r="CK146" i="25"/>
  <c r="CJ146" i="25"/>
  <c r="CI146" i="25"/>
  <c r="CH146" i="25"/>
  <c r="CF146" i="25"/>
  <c r="CE146" i="25"/>
  <c r="CD146" i="25"/>
  <c r="BV146" i="25" s="1"/>
  <c r="CC146" i="25"/>
  <c r="BX146" i="25" s="1"/>
  <c r="BU146" i="25"/>
  <c r="CB146" i="25" s="1"/>
  <c r="BS146" i="25"/>
  <c r="BM146" i="25"/>
  <c r="BL146" i="25"/>
  <c r="BD146" i="25"/>
  <c r="BE146" i="25" s="1"/>
  <c r="BA146" i="25"/>
  <c r="AZ146" i="25"/>
  <c r="AX146" i="25"/>
  <c r="AW146" i="25"/>
  <c r="CR145" i="25"/>
  <c r="CQ145" i="25"/>
  <c r="CP145" i="25"/>
  <c r="CO145" i="25"/>
  <c r="CN145" i="25"/>
  <c r="CM145" i="25"/>
  <c r="CL145" i="25"/>
  <c r="BT145" i="25" s="1"/>
  <c r="CK145" i="25"/>
  <c r="CJ145" i="25"/>
  <c r="CI145" i="25"/>
  <c r="CH145" i="25"/>
  <c r="CF145" i="25"/>
  <c r="CE145" i="25"/>
  <c r="CD145" i="25"/>
  <c r="BV145" i="25" s="1"/>
  <c r="CC145" i="25"/>
  <c r="BX145" i="25" s="1"/>
  <c r="BU145" i="25"/>
  <c r="CB145" i="25" s="1"/>
  <c r="BS145" i="25"/>
  <c r="BM145" i="25"/>
  <c r="BL145" i="25"/>
  <c r="BD145" i="25"/>
  <c r="BE145" i="25" s="1"/>
  <c r="BA145" i="25"/>
  <c r="AZ145" i="25"/>
  <c r="AX145" i="25"/>
  <c r="AW145" i="25"/>
  <c r="CR78" i="25"/>
  <c r="CQ78" i="25"/>
  <c r="CP78" i="25"/>
  <c r="CO78" i="25"/>
  <c r="CN78" i="25"/>
  <c r="CM78" i="25"/>
  <c r="CL78" i="25"/>
  <c r="BT78" i="25" s="1"/>
  <c r="CK78" i="25"/>
  <c r="CJ78" i="25"/>
  <c r="CI78" i="25"/>
  <c r="CH78" i="25"/>
  <c r="CF78" i="25"/>
  <c r="CE78" i="25"/>
  <c r="CD78" i="25"/>
  <c r="BV78" i="25" s="1"/>
  <c r="CC78" i="25"/>
  <c r="BX78" i="25" s="1"/>
  <c r="BU78" i="25"/>
  <c r="CB78" i="25" s="1"/>
  <c r="BM78" i="25"/>
  <c r="BS78" i="25" s="1"/>
  <c r="BL78" i="25"/>
  <c r="BD78" i="25"/>
  <c r="BE78" i="25" s="1"/>
  <c r="BA78" i="25"/>
  <c r="AZ78" i="25"/>
  <c r="AX78" i="25"/>
  <c r="AW78" i="25"/>
  <c r="CR122" i="25"/>
  <c r="CQ122" i="25"/>
  <c r="CP122" i="25"/>
  <c r="CO122" i="25"/>
  <c r="CN122" i="25"/>
  <c r="CM122" i="25"/>
  <c r="CL122" i="25"/>
  <c r="BW122" i="25" s="1"/>
  <c r="CK122" i="25"/>
  <c r="CJ122" i="25"/>
  <c r="CI122" i="25"/>
  <c r="CH122" i="25"/>
  <c r="CF122" i="25"/>
  <c r="CE122" i="25"/>
  <c r="CD122" i="25"/>
  <c r="BV122" i="25" s="1"/>
  <c r="CC122" i="25"/>
  <c r="BX122" i="25" s="1"/>
  <c r="BU122" i="25"/>
  <c r="CB122" i="25" s="1"/>
  <c r="BS122" i="25"/>
  <c r="BM122" i="25"/>
  <c r="BL122" i="25"/>
  <c r="BD122" i="25"/>
  <c r="BE122" i="25" s="1"/>
  <c r="BA122" i="25"/>
  <c r="AZ122" i="25"/>
  <c r="AX122" i="25"/>
  <c r="AW122" i="25"/>
  <c r="CR137" i="25"/>
  <c r="CQ137" i="25"/>
  <c r="CP137" i="25"/>
  <c r="CO137" i="25"/>
  <c r="CN137" i="25"/>
  <c r="CM137" i="25"/>
  <c r="CL137" i="25"/>
  <c r="CK137" i="25"/>
  <c r="CJ137" i="25"/>
  <c r="CI137" i="25"/>
  <c r="CH137" i="25"/>
  <c r="CF137" i="25"/>
  <c r="CE137" i="25"/>
  <c r="CD137" i="25"/>
  <c r="BV137" i="25" s="1"/>
  <c r="CC137" i="25"/>
  <c r="BX137" i="25" s="1"/>
  <c r="BU137" i="25"/>
  <c r="CB137" i="25" s="1"/>
  <c r="BS137" i="25"/>
  <c r="BM137" i="25"/>
  <c r="BL137" i="25"/>
  <c r="BD137" i="25"/>
  <c r="BE137" i="25" s="1"/>
  <c r="BA137" i="25"/>
  <c r="AZ137" i="25"/>
  <c r="AX137" i="25"/>
  <c r="AW137" i="25"/>
  <c r="CR136" i="25"/>
  <c r="CQ136" i="25"/>
  <c r="CP136" i="25"/>
  <c r="CO136" i="25"/>
  <c r="CN136" i="25"/>
  <c r="CM136" i="25"/>
  <c r="CL136" i="25"/>
  <c r="BN136" i="25" s="1"/>
  <c r="BO136" i="25" s="1"/>
  <c r="CK136" i="25"/>
  <c r="CJ136" i="25"/>
  <c r="CI136" i="25"/>
  <c r="CH136" i="25"/>
  <c r="CF136" i="25"/>
  <c r="CE136" i="25"/>
  <c r="CD136" i="25"/>
  <c r="BV136" i="25" s="1"/>
  <c r="CC136" i="25"/>
  <c r="BX136" i="25" s="1"/>
  <c r="BU136" i="25"/>
  <c r="CB136" i="25" s="1"/>
  <c r="BS136" i="25"/>
  <c r="BM136" i="25"/>
  <c r="BL136" i="25"/>
  <c r="BD136" i="25"/>
  <c r="BE136" i="25" s="1"/>
  <c r="BA136" i="25"/>
  <c r="AZ136" i="25"/>
  <c r="AX136" i="25"/>
  <c r="AW136" i="25"/>
  <c r="CR169" i="25"/>
  <c r="CQ169" i="25"/>
  <c r="CP169" i="25"/>
  <c r="CO169" i="25"/>
  <c r="CN169" i="25"/>
  <c r="CM169" i="25"/>
  <c r="CL169" i="25"/>
  <c r="BW169" i="25" s="1"/>
  <c r="CK169" i="25"/>
  <c r="CJ169" i="25"/>
  <c r="CI169" i="25"/>
  <c r="CH169" i="25"/>
  <c r="CF169" i="25"/>
  <c r="CE169" i="25"/>
  <c r="CD169" i="25"/>
  <c r="BV169" i="25" s="1"/>
  <c r="CC169" i="25"/>
  <c r="BX169" i="25" s="1"/>
  <c r="BU169" i="25"/>
  <c r="CB169" i="25" s="1"/>
  <c r="BS169" i="25"/>
  <c r="BM169" i="25"/>
  <c r="BL169" i="25"/>
  <c r="BD169" i="25"/>
  <c r="BA169" i="25"/>
  <c r="AZ169" i="25"/>
  <c r="AX169" i="25"/>
  <c r="AW169" i="25"/>
  <c r="CR121" i="25"/>
  <c r="CQ121" i="25"/>
  <c r="CP121" i="25"/>
  <c r="CO121" i="25"/>
  <c r="CN121" i="25"/>
  <c r="CM121" i="25"/>
  <c r="CL121" i="25"/>
  <c r="BT121" i="25" s="1"/>
  <c r="CK121" i="25"/>
  <c r="CJ121" i="25"/>
  <c r="CI121" i="25"/>
  <c r="CH121" i="25"/>
  <c r="CF121" i="25"/>
  <c r="CE121" i="25"/>
  <c r="CD121" i="25"/>
  <c r="BV121" i="25" s="1"/>
  <c r="CC121" i="25"/>
  <c r="BX121" i="25" s="1"/>
  <c r="BW121" i="25"/>
  <c r="BU121" i="25"/>
  <c r="CB121" i="25" s="1"/>
  <c r="BS121" i="25"/>
  <c r="BM121" i="25"/>
  <c r="BL121" i="25"/>
  <c r="BD121" i="25"/>
  <c r="BE121" i="25" s="1"/>
  <c r="BA121" i="25"/>
  <c r="AZ121" i="25"/>
  <c r="AX121" i="25"/>
  <c r="AW121" i="25"/>
  <c r="CR120" i="25"/>
  <c r="CQ120" i="25"/>
  <c r="CP120" i="25"/>
  <c r="CO120" i="25"/>
  <c r="CN120" i="25"/>
  <c r="CM120" i="25"/>
  <c r="CL120" i="25"/>
  <c r="BN120" i="25" s="1"/>
  <c r="BO120" i="25" s="1"/>
  <c r="CK120" i="25"/>
  <c r="CJ120" i="25"/>
  <c r="CI120" i="25"/>
  <c r="CH120" i="25"/>
  <c r="CF120" i="25"/>
  <c r="CE120" i="25"/>
  <c r="CD120" i="25"/>
  <c r="BV120" i="25" s="1"/>
  <c r="CC120" i="25"/>
  <c r="BX120" i="25" s="1"/>
  <c r="BU120" i="25"/>
  <c r="CB120" i="25" s="1"/>
  <c r="BS120" i="25"/>
  <c r="BM120" i="25"/>
  <c r="BL120" i="25"/>
  <c r="BD120" i="25"/>
  <c r="BA120" i="25"/>
  <c r="AZ120" i="25"/>
  <c r="AX120" i="25"/>
  <c r="AW120" i="25"/>
  <c r="CR47" i="25"/>
  <c r="CQ47" i="25"/>
  <c r="CP47" i="25"/>
  <c r="CO47" i="25"/>
  <c r="CN47" i="25"/>
  <c r="CM47" i="25"/>
  <c r="CL47" i="25"/>
  <c r="BT47" i="25" s="1"/>
  <c r="CK47" i="25"/>
  <c r="CJ47" i="25"/>
  <c r="CI47" i="25"/>
  <c r="CH47" i="25"/>
  <c r="CF47" i="25"/>
  <c r="CE47" i="25"/>
  <c r="CD47" i="25"/>
  <c r="BV47" i="25" s="1"/>
  <c r="CC47" i="25"/>
  <c r="BX47" i="25" s="1"/>
  <c r="BU47" i="25"/>
  <c r="CB47" i="25" s="1"/>
  <c r="BS47" i="25"/>
  <c r="BM47" i="25"/>
  <c r="BL47" i="25"/>
  <c r="BD47" i="25"/>
  <c r="BA47" i="25"/>
  <c r="AZ47" i="25"/>
  <c r="AX47" i="25"/>
  <c r="AW47" i="25"/>
  <c r="CR46" i="25"/>
  <c r="CQ46" i="25"/>
  <c r="CP46" i="25"/>
  <c r="CO46" i="25"/>
  <c r="CN46" i="25"/>
  <c r="CM46" i="25"/>
  <c r="CL46" i="25"/>
  <c r="BT46" i="25" s="1"/>
  <c r="CK46" i="25"/>
  <c r="CJ46" i="25"/>
  <c r="CI46" i="25"/>
  <c r="CH46" i="25"/>
  <c r="CF46" i="25"/>
  <c r="CE46" i="25"/>
  <c r="CD46" i="25"/>
  <c r="BV46" i="25" s="1"/>
  <c r="CC46" i="25"/>
  <c r="BX46" i="25" s="1"/>
  <c r="BU46" i="25"/>
  <c r="CB46" i="25" s="1"/>
  <c r="BS46" i="25"/>
  <c r="BM46" i="25"/>
  <c r="BL46" i="25"/>
  <c r="BD46" i="25"/>
  <c r="BE46" i="25" s="1"/>
  <c r="BA46" i="25"/>
  <c r="AZ46" i="25"/>
  <c r="AX46" i="25"/>
  <c r="AW46" i="25"/>
  <c r="CR168" i="25"/>
  <c r="CQ168" i="25"/>
  <c r="CP168" i="25"/>
  <c r="CO168" i="25"/>
  <c r="CN168" i="25"/>
  <c r="CM168" i="25"/>
  <c r="CL168" i="25"/>
  <c r="BT168" i="25" s="1"/>
  <c r="CK168" i="25"/>
  <c r="CJ168" i="25"/>
  <c r="CI168" i="25"/>
  <c r="CH168" i="25"/>
  <c r="CF168" i="25"/>
  <c r="CE168" i="25"/>
  <c r="CD168" i="25"/>
  <c r="BV168" i="25" s="1"/>
  <c r="CC168" i="25"/>
  <c r="BX168" i="25" s="1"/>
  <c r="BU168" i="25"/>
  <c r="CB168" i="25" s="1"/>
  <c r="BS168" i="25"/>
  <c r="BM168" i="25"/>
  <c r="BL168" i="25"/>
  <c r="BD168" i="25"/>
  <c r="BE168" i="25" s="1"/>
  <c r="BA168" i="25"/>
  <c r="AZ168" i="25"/>
  <c r="AX168" i="25"/>
  <c r="AW168" i="25"/>
  <c r="CR100" i="25"/>
  <c r="CQ100" i="25"/>
  <c r="CP100" i="25"/>
  <c r="CO100" i="25"/>
  <c r="CN100" i="25"/>
  <c r="CM100" i="25"/>
  <c r="CL100" i="25"/>
  <c r="BR100" i="25" s="1"/>
  <c r="CK100" i="25"/>
  <c r="CJ100" i="25"/>
  <c r="CI100" i="25"/>
  <c r="CH100" i="25"/>
  <c r="CF100" i="25"/>
  <c r="CE100" i="25"/>
  <c r="CD100" i="25"/>
  <c r="BV100" i="25" s="1"/>
  <c r="CC100" i="25"/>
  <c r="BX100" i="25" s="1"/>
  <c r="BU100" i="25"/>
  <c r="CB100" i="25" s="1"/>
  <c r="BS100" i="25"/>
  <c r="BM100" i="25"/>
  <c r="BL100" i="25"/>
  <c r="BD100" i="25"/>
  <c r="BA100" i="25"/>
  <c r="AZ100" i="25"/>
  <c r="AX100" i="25"/>
  <c r="AW100" i="25"/>
  <c r="CR24" i="25"/>
  <c r="CQ24" i="25"/>
  <c r="CP24" i="25"/>
  <c r="CO24" i="25"/>
  <c r="CN24" i="25"/>
  <c r="CM24" i="25"/>
  <c r="CL24" i="25"/>
  <c r="BW24" i="25" s="1"/>
  <c r="CK24" i="25"/>
  <c r="CJ24" i="25"/>
  <c r="CI24" i="25"/>
  <c r="CH24" i="25"/>
  <c r="CF24" i="25"/>
  <c r="CE24" i="25"/>
  <c r="CD24" i="25"/>
  <c r="BV24" i="25" s="1"/>
  <c r="CC24" i="25"/>
  <c r="BX24" i="25" s="1"/>
  <c r="BU24" i="25"/>
  <c r="CB24" i="25" s="1"/>
  <c r="BS24" i="25"/>
  <c r="BM24" i="25"/>
  <c r="BL24" i="25"/>
  <c r="BD24" i="25"/>
  <c r="BA24" i="25"/>
  <c r="AZ24" i="25"/>
  <c r="AX24" i="25"/>
  <c r="AW24" i="25"/>
  <c r="CR73" i="25"/>
  <c r="CQ73" i="25"/>
  <c r="CP73" i="25"/>
  <c r="CO73" i="25"/>
  <c r="CN73" i="25"/>
  <c r="CM73" i="25"/>
  <c r="CL73" i="25"/>
  <c r="BT73" i="25" s="1"/>
  <c r="CK73" i="25"/>
  <c r="CJ73" i="25"/>
  <c r="CI73" i="25"/>
  <c r="CH73" i="25"/>
  <c r="CF73" i="25"/>
  <c r="CE73" i="25"/>
  <c r="CD73" i="25"/>
  <c r="BV73" i="25" s="1"/>
  <c r="CC73" i="25"/>
  <c r="BX73" i="25" s="1"/>
  <c r="BU73" i="25"/>
  <c r="CB73" i="25" s="1"/>
  <c r="BS73" i="25"/>
  <c r="BM73" i="25"/>
  <c r="BL73" i="25"/>
  <c r="BD73" i="25"/>
  <c r="BE73" i="25" s="1"/>
  <c r="BA73" i="25"/>
  <c r="AZ73" i="25"/>
  <c r="AX73" i="25"/>
  <c r="AW73" i="25"/>
  <c r="CR141" i="25"/>
  <c r="CQ141" i="25"/>
  <c r="CP141" i="25"/>
  <c r="CO141" i="25"/>
  <c r="CN141" i="25"/>
  <c r="CM141" i="25"/>
  <c r="CL141" i="25"/>
  <c r="BW141" i="25" s="1"/>
  <c r="CK141" i="25"/>
  <c r="CJ141" i="25"/>
  <c r="CI141" i="25"/>
  <c r="CH141" i="25"/>
  <c r="CF141" i="25"/>
  <c r="CE141" i="25"/>
  <c r="CD141" i="25"/>
  <c r="BV141" i="25" s="1"/>
  <c r="CC141" i="25"/>
  <c r="BX141" i="25" s="1"/>
  <c r="BU141" i="25"/>
  <c r="CB141" i="25" s="1"/>
  <c r="BS141" i="25"/>
  <c r="BM141" i="25"/>
  <c r="BL141" i="25"/>
  <c r="BD141" i="25"/>
  <c r="BA141" i="25"/>
  <c r="AZ141" i="25"/>
  <c r="AX141" i="25"/>
  <c r="AW141" i="25"/>
  <c r="CR45" i="25"/>
  <c r="CQ45" i="25"/>
  <c r="CP45" i="25"/>
  <c r="CO45" i="25"/>
  <c r="CN45" i="25"/>
  <c r="CM45" i="25"/>
  <c r="CL45" i="25"/>
  <c r="BR45" i="25" s="1"/>
  <c r="CK45" i="25"/>
  <c r="CJ45" i="25"/>
  <c r="CI45" i="25"/>
  <c r="CH45" i="25"/>
  <c r="CF45" i="25"/>
  <c r="CE45" i="25"/>
  <c r="CD45" i="25"/>
  <c r="BV45" i="25" s="1"/>
  <c r="CC45" i="25"/>
  <c r="BX45" i="25" s="1"/>
  <c r="BW45" i="25"/>
  <c r="BU45" i="25"/>
  <c r="CB45" i="25" s="1"/>
  <c r="BS45" i="25"/>
  <c r="BM45" i="25"/>
  <c r="BL45" i="25"/>
  <c r="BD45" i="25"/>
  <c r="BA45" i="25"/>
  <c r="AZ45" i="25"/>
  <c r="AX45" i="25"/>
  <c r="AW45" i="25"/>
  <c r="CR17" i="25"/>
  <c r="CQ17" i="25"/>
  <c r="CP17" i="25"/>
  <c r="CO17" i="25"/>
  <c r="CN17" i="25"/>
  <c r="CM17" i="25"/>
  <c r="CL17" i="25"/>
  <c r="BT17" i="25" s="1"/>
  <c r="CK17" i="25"/>
  <c r="CJ17" i="25"/>
  <c r="CI17" i="25"/>
  <c r="CH17" i="25"/>
  <c r="CF17" i="25"/>
  <c r="CE17" i="25"/>
  <c r="CD17" i="25"/>
  <c r="BV17" i="25" s="1"/>
  <c r="CC17" i="25"/>
  <c r="BX17" i="25" s="1"/>
  <c r="BU17" i="25"/>
  <c r="CB17" i="25" s="1"/>
  <c r="BS17" i="25"/>
  <c r="BM17" i="25"/>
  <c r="BL17" i="25"/>
  <c r="BD17" i="25"/>
  <c r="BA17" i="25"/>
  <c r="AZ17" i="25"/>
  <c r="AX17" i="25"/>
  <c r="AW17" i="25"/>
  <c r="CR44" i="25"/>
  <c r="CQ44" i="25"/>
  <c r="CP44" i="25"/>
  <c r="CO44" i="25"/>
  <c r="CN44" i="25"/>
  <c r="CM44" i="25"/>
  <c r="CL44" i="25"/>
  <c r="BN44" i="25" s="1"/>
  <c r="BO44" i="25" s="1"/>
  <c r="CK44" i="25"/>
  <c r="CJ44" i="25"/>
  <c r="CI44" i="25"/>
  <c r="CH44" i="25"/>
  <c r="CF44" i="25"/>
  <c r="CE44" i="25"/>
  <c r="CD44" i="25"/>
  <c r="BV44" i="25" s="1"/>
  <c r="CC44" i="25"/>
  <c r="BX44" i="25" s="1"/>
  <c r="BW44" i="25"/>
  <c r="BU44" i="25"/>
  <c r="CB44" i="25" s="1"/>
  <c r="BM44" i="25"/>
  <c r="BS44" i="25" s="1"/>
  <c r="BL44" i="25"/>
  <c r="BD44" i="25"/>
  <c r="BE44" i="25" s="1"/>
  <c r="BA44" i="25"/>
  <c r="AZ44" i="25"/>
  <c r="AX44" i="25"/>
  <c r="AW44" i="25"/>
  <c r="CR166" i="25"/>
  <c r="CQ166" i="25"/>
  <c r="CP166" i="25"/>
  <c r="CO166" i="25"/>
  <c r="CN166" i="25"/>
  <c r="CM166" i="25"/>
  <c r="CL166" i="25"/>
  <c r="BT166" i="25" s="1"/>
  <c r="CK166" i="25"/>
  <c r="CJ166" i="25"/>
  <c r="CI166" i="25"/>
  <c r="CH166" i="25"/>
  <c r="CF166" i="25"/>
  <c r="CE166" i="25"/>
  <c r="CD166" i="25"/>
  <c r="BV166" i="25" s="1"/>
  <c r="CC166" i="25"/>
  <c r="BX166" i="25" s="1"/>
  <c r="BW166" i="25"/>
  <c r="BU166" i="25"/>
  <c r="CB166" i="25" s="1"/>
  <c r="BM166" i="25"/>
  <c r="BS166" i="25" s="1"/>
  <c r="BL166" i="25"/>
  <c r="BD166" i="25"/>
  <c r="BE166" i="25" s="1"/>
  <c r="BA166" i="25"/>
  <c r="AZ166" i="25"/>
  <c r="AX166" i="25"/>
  <c r="AW166" i="25"/>
  <c r="CR165" i="25"/>
  <c r="CQ165" i="25"/>
  <c r="CP165" i="25"/>
  <c r="CO165" i="25"/>
  <c r="CN165" i="25"/>
  <c r="CM165" i="25"/>
  <c r="CL165" i="25"/>
  <c r="BT165" i="25" s="1"/>
  <c r="CK165" i="25"/>
  <c r="CJ165" i="25"/>
  <c r="CI165" i="25"/>
  <c r="CH165" i="25"/>
  <c r="CF165" i="25"/>
  <c r="CE165" i="25"/>
  <c r="CD165" i="25"/>
  <c r="BV165" i="25" s="1"/>
  <c r="CC165" i="25"/>
  <c r="BX165" i="25" s="1"/>
  <c r="BW165" i="25"/>
  <c r="BU165" i="25"/>
  <c r="CB165" i="25" s="1"/>
  <c r="BM165" i="25"/>
  <c r="BS165" i="25" s="1"/>
  <c r="BL165" i="25"/>
  <c r="BD165" i="25"/>
  <c r="BE165" i="25" s="1"/>
  <c r="BA165" i="25"/>
  <c r="AZ165" i="25"/>
  <c r="AX165" i="25"/>
  <c r="AW165" i="25"/>
  <c r="CR164" i="25"/>
  <c r="CQ164" i="25"/>
  <c r="CP164" i="25"/>
  <c r="CO164" i="25"/>
  <c r="CN164" i="25"/>
  <c r="CM164" i="25"/>
  <c r="CL164" i="25"/>
  <c r="BT164" i="25" s="1"/>
  <c r="CK164" i="25"/>
  <c r="CJ164" i="25"/>
  <c r="CI164" i="25"/>
  <c r="CH164" i="25"/>
  <c r="CF164" i="25"/>
  <c r="CE164" i="25"/>
  <c r="CD164" i="25"/>
  <c r="BV164" i="25" s="1"/>
  <c r="CC164" i="25"/>
  <c r="BX164" i="25" s="1"/>
  <c r="BU164" i="25"/>
  <c r="CB164" i="25" s="1"/>
  <c r="BS164" i="25"/>
  <c r="BM164" i="25"/>
  <c r="BL164" i="25"/>
  <c r="BD164" i="25"/>
  <c r="BE164" i="25" s="1"/>
  <c r="BA164" i="25"/>
  <c r="AZ164" i="25"/>
  <c r="AX164" i="25"/>
  <c r="AW164" i="25"/>
  <c r="CR163" i="25"/>
  <c r="CQ163" i="25"/>
  <c r="CP163" i="25"/>
  <c r="CO163" i="25"/>
  <c r="CN163" i="25"/>
  <c r="CM163" i="25"/>
  <c r="CL163" i="25"/>
  <c r="BT163" i="25" s="1"/>
  <c r="CK163" i="25"/>
  <c r="CJ163" i="25"/>
  <c r="CI163" i="25"/>
  <c r="CH163" i="25"/>
  <c r="CF163" i="25"/>
  <c r="CE163" i="25"/>
  <c r="CD163" i="25"/>
  <c r="BV163" i="25" s="1"/>
  <c r="CC163" i="25"/>
  <c r="BX163" i="25" s="1"/>
  <c r="BW163" i="25"/>
  <c r="BU163" i="25"/>
  <c r="CB163" i="25" s="1"/>
  <c r="BS163" i="25"/>
  <c r="BM163" i="25"/>
  <c r="BL163" i="25"/>
  <c r="BD163" i="25"/>
  <c r="BE163" i="25" s="1"/>
  <c r="BA163" i="25"/>
  <c r="AZ163" i="25"/>
  <c r="AX163" i="25"/>
  <c r="AW163" i="25"/>
  <c r="CR162" i="25"/>
  <c r="CQ162" i="25"/>
  <c r="CP162" i="25"/>
  <c r="CO162" i="25"/>
  <c r="CN162" i="25"/>
  <c r="CM162" i="25"/>
  <c r="CL162" i="25"/>
  <c r="BT162" i="25" s="1"/>
  <c r="CK162" i="25"/>
  <c r="CJ162" i="25"/>
  <c r="CI162" i="25"/>
  <c r="CH162" i="25"/>
  <c r="CF162" i="25"/>
  <c r="CE162" i="25"/>
  <c r="CD162" i="25"/>
  <c r="BV162" i="25" s="1"/>
  <c r="CC162" i="25"/>
  <c r="BX162" i="25" s="1"/>
  <c r="BU162" i="25"/>
  <c r="CB162" i="25" s="1"/>
  <c r="BS162" i="25"/>
  <c r="BM162" i="25"/>
  <c r="BL162" i="25"/>
  <c r="BD162" i="25"/>
  <c r="BE162" i="25" s="1"/>
  <c r="BA162" i="25"/>
  <c r="AZ162" i="25"/>
  <c r="AX162" i="25"/>
  <c r="AW162" i="25"/>
  <c r="CR16" i="25"/>
  <c r="CQ16" i="25"/>
  <c r="CP16" i="25"/>
  <c r="CO16" i="25"/>
  <c r="CN16" i="25"/>
  <c r="CM16" i="25"/>
  <c r="CL16" i="25"/>
  <c r="BT16" i="25" s="1"/>
  <c r="CK16" i="25"/>
  <c r="CJ16" i="25"/>
  <c r="CI16" i="25"/>
  <c r="CH16" i="25"/>
  <c r="CF16" i="25"/>
  <c r="CE16" i="25"/>
  <c r="CD16" i="25"/>
  <c r="BV16" i="25" s="1"/>
  <c r="CC16" i="25"/>
  <c r="BX16" i="25" s="1"/>
  <c r="BU16" i="25"/>
  <c r="CB16" i="25" s="1"/>
  <c r="BS16" i="25"/>
  <c r="BM16" i="25"/>
  <c r="BL16" i="25"/>
  <c r="BD16" i="25"/>
  <c r="BE16" i="25" s="1"/>
  <c r="BA16" i="25"/>
  <c r="AZ16" i="25"/>
  <c r="AX16" i="25"/>
  <c r="AW16" i="25"/>
  <c r="CR23" i="25"/>
  <c r="CQ23" i="25"/>
  <c r="CP23" i="25"/>
  <c r="CO23" i="25"/>
  <c r="CN23" i="25"/>
  <c r="CM23" i="25"/>
  <c r="CL23" i="25"/>
  <c r="BT23" i="25" s="1"/>
  <c r="CK23" i="25"/>
  <c r="CJ23" i="25"/>
  <c r="CI23" i="25"/>
  <c r="CH23" i="25"/>
  <c r="CF23" i="25"/>
  <c r="CE23" i="25"/>
  <c r="CD23" i="25"/>
  <c r="BV23" i="25" s="1"/>
  <c r="CC23" i="25"/>
  <c r="BX23" i="25" s="1"/>
  <c r="BU23" i="25"/>
  <c r="CB23" i="25" s="1"/>
  <c r="BS23" i="25"/>
  <c r="BM23" i="25"/>
  <c r="BL23" i="25"/>
  <c r="BD23" i="25"/>
  <c r="BE23" i="25" s="1"/>
  <c r="BA23" i="25"/>
  <c r="AZ23" i="25"/>
  <c r="AX23" i="25"/>
  <c r="AW23" i="25"/>
  <c r="CR161" i="25"/>
  <c r="CQ161" i="25"/>
  <c r="CP161" i="25"/>
  <c r="CO161" i="25"/>
  <c r="CN161" i="25"/>
  <c r="CM161" i="25"/>
  <c r="CL161" i="25"/>
  <c r="BT161" i="25" s="1"/>
  <c r="CK161" i="25"/>
  <c r="CJ161" i="25"/>
  <c r="CI161" i="25"/>
  <c r="CH161" i="25"/>
  <c r="CF161" i="25"/>
  <c r="CE161" i="25"/>
  <c r="CD161" i="25"/>
  <c r="BV161" i="25" s="1"/>
  <c r="CC161" i="25"/>
  <c r="BX161" i="25" s="1"/>
  <c r="BU161" i="25"/>
  <c r="CB161" i="25" s="1"/>
  <c r="BS161" i="25"/>
  <c r="BM161" i="25"/>
  <c r="BL161" i="25"/>
  <c r="BD161" i="25"/>
  <c r="BE161" i="25" s="1"/>
  <c r="BA161" i="25"/>
  <c r="AZ161" i="25"/>
  <c r="AX161" i="25"/>
  <c r="AW161" i="25"/>
  <c r="CR99" i="25"/>
  <c r="CQ99" i="25"/>
  <c r="CP99" i="25"/>
  <c r="CO99" i="25"/>
  <c r="CN99" i="25"/>
  <c r="CM99" i="25"/>
  <c r="CL99" i="25"/>
  <c r="BT99" i="25" s="1"/>
  <c r="CK99" i="25"/>
  <c r="CJ99" i="25"/>
  <c r="CI99" i="25"/>
  <c r="CH99" i="25"/>
  <c r="CF99" i="25"/>
  <c r="CE99" i="25"/>
  <c r="CD99" i="25"/>
  <c r="BV99" i="25" s="1"/>
  <c r="CC99" i="25"/>
  <c r="BX99" i="25" s="1"/>
  <c r="BW99" i="25"/>
  <c r="BU99" i="25"/>
  <c r="CB99" i="25" s="1"/>
  <c r="BM99" i="25"/>
  <c r="BS99" i="25" s="1"/>
  <c r="BL99" i="25"/>
  <c r="BD99" i="25"/>
  <c r="BE99" i="25" s="1"/>
  <c r="BA99" i="25"/>
  <c r="AX99" i="25"/>
  <c r="AW99" i="25"/>
  <c r="CR97" i="25"/>
  <c r="CQ97" i="25"/>
  <c r="CP97" i="25"/>
  <c r="CO97" i="25"/>
  <c r="CN97" i="25"/>
  <c r="CM97" i="25"/>
  <c r="CL97" i="25"/>
  <c r="BT97" i="25" s="1"/>
  <c r="CK97" i="25"/>
  <c r="CJ97" i="25"/>
  <c r="CI97" i="25"/>
  <c r="CH97" i="25"/>
  <c r="CF97" i="25"/>
  <c r="CE97" i="25"/>
  <c r="CD97" i="25"/>
  <c r="BV97" i="25" s="1"/>
  <c r="CC97" i="25"/>
  <c r="BX97" i="25" s="1"/>
  <c r="BW97" i="25"/>
  <c r="BU97" i="25"/>
  <c r="CB97" i="25" s="1"/>
  <c r="BM97" i="25"/>
  <c r="BS97" i="25" s="1"/>
  <c r="BL97" i="25"/>
  <c r="BD97" i="25"/>
  <c r="BE97" i="25" s="1"/>
  <c r="BA97" i="25"/>
  <c r="AZ97" i="25"/>
  <c r="AX97" i="25"/>
  <c r="AW97" i="25"/>
  <c r="CR118" i="25"/>
  <c r="CQ118" i="25"/>
  <c r="CP118" i="25"/>
  <c r="CO118" i="25"/>
  <c r="CN118" i="25"/>
  <c r="CM118" i="25"/>
  <c r="CL118" i="25"/>
  <c r="BT118" i="25" s="1"/>
  <c r="CK118" i="25"/>
  <c r="CJ118" i="25"/>
  <c r="CI118" i="25"/>
  <c r="CH118" i="25"/>
  <c r="CF118" i="25"/>
  <c r="CE118" i="25"/>
  <c r="CD118" i="25"/>
  <c r="BV118" i="25" s="1"/>
  <c r="CC118" i="25"/>
  <c r="BX118" i="25" s="1"/>
  <c r="BU118" i="25"/>
  <c r="CB118" i="25" s="1"/>
  <c r="BS118" i="25"/>
  <c r="BM118" i="25"/>
  <c r="BL118" i="25"/>
  <c r="BD118" i="25"/>
  <c r="BE118" i="25" s="1"/>
  <c r="BA118" i="25"/>
  <c r="AZ118" i="25"/>
  <c r="AX118" i="25"/>
  <c r="AW118" i="25"/>
  <c r="CR98" i="25"/>
  <c r="CQ98" i="25"/>
  <c r="CP98" i="25"/>
  <c r="CO98" i="25"/>
  <c r="CN98" i="25"/>
  <c r="CM98" i="25"/>
  <c r="CL98" i="25"/>
  <c r="BT98" i="25" s="1"/>
  <c r="CK98" i="25"/>
  <c r="CJ98" i="25"/>
  <c r="CI98" i="25"/>
  <c r="CH98" i="25"/>
  <c r="CF98" i="25"/>
  <c r="CE98" i="25"/>
  <c r="CD98" i="25"/>
  <c r="BV98" i="25" s="1"/>
  <c r="CC98" i="25"/>
  <c r="BX98" i="25" s="1"/>
  <c r="BU98" i="25"/>
  <c r="CB98" i="25" s="1"/>
  <c r="BS98" i="25"/>
  <c r="BM98" i="25"/>
  <c r="BL98" i="25"/>
  <c r="BD98" i="25"/>
  <c r="BE98" i="25" s="1"/>
  <c r="BA98" i="25"/>
  <c r="AZ98" i="25"/>
  <c r="AX98" i="25"/>
  <c r="AW98" i="25"/>
  <c r="CR117" i="25"/>
  <c r="CQ117" i="25"/>
  <c r="CP117" i="25"/>
  <c r="CO117" i="25"/>
  <c r="CN117" i="25"/>
  <c r="CM117" i="25"/>
  <c r="CL117" i="25"/>
  <c r="BT117" i="25" s="1"/>
  <c r="CK117" i="25"/>
  <c r="CJ117" i="25"/>
  <c r="CI117" i="25"/>
  <c r="CH117" i="25"/>
  <c r="CF117" i="25"/>
  <c r="CE117" i="25"/>
  <c r="CD117" i="25"/>
  <c r="BV117" i="25" s="1"/>
  <c r="CC117" i="25"/>
  <c r="BX117" i="25" s="1"/>
  <c r="BU117" i="25"/>
  <c r="CB117" i="25" s="1"/>
  <c r="BS117" i="25"/>
  <c r="BM117" i="25"/>
  <c r="BL117" i="25"/>
  <c r="BD117" i="25"/>
  <c r="BE117" i="25" s="1"/>
  <c r="BA117" i="25"/>
  <c r="AZ117" i="25"/>
  <c r="AX117" i="25"/>
  <c r="AW117" i="25"/>
  <c r="CR140" i="25"/>
  <c r="CQ140" i="25"/>
  <c r="CP140" i="25"/>
  <c r="CO140" i="25"/>
  <c r="CN140" i="25"/>
  <c r="CM140" i="25"/>
  <c r="CL140" i="25"/>
  <c r="BT140" i="25" s="1"/>
  <c r="CK140" i="25"/>
  <c r="CJ140" i="25"/>
  <c r="CI140" i="25"/>
  <c r="CH140" i="25"/>
  <c r="CF140" i="25"/>
  <c r="CE140" i="25"/>
  <c r="CD140" i="25"/>
  <c r="BV140" i="25" s="1"/>
  <c r="CC140" i="25"/>
  <c r="BX140" i="25" s="1"/>
  <c r="BU140" i="25"/>
  <c r="CB140" i="25" s="1"/>
  <c r="BS140" i="25"/>
  <c r="BM140" i="25"/>
  <c r="BL140" i="25"/>
  <c r="BD140" i="25"/>
  <c r="BE140" i="25" s="1"/>
  <c r="BA140" i="25"/>
  <c r="AZ140" i="25"/>
  <c r="AX140" i="25"/>
  <c r="AW140" i="25"/>
  <c r="CR77" i="25"/>
  <c r="CQ77" i="25"/>
  <c r="CP77" i="25"/>
  <c r="CO77" i="25"/>
  <c r="CN77" i="25"/>
  <c r="CM77" i="25"/>
  <c r="CL77" i="25"/>
  <c r="BT77" i="25" s="1"/>
  <c r="CK77" i="25"/>
  <c r="CJ77" i="25"/>
  <c r="CI77" i="25"/>
  <c r="CH77" i="25"/>
  <c r="CF77" i="25"/>
  <c r="CE77" i="25"/>
  <c r="CD77" i="25"/>
  <c r="BV77" i="25" s="1"/>
  <c r="CC77" i="25"/>
  <c r="BX77" i="25" s="1"/>
  <c r="BU77" i="25"/>
  <c r="CB77" i="25" s="1"/>
  <c r="BS77" i="25"/>
  <c r="BM77" i="25"/>
  <c r="BL77" i="25"/>
  <c r="BD77" i="25"/>
  <c r="BE77" i="25" s="1"/>
  <c r="BA77" i="25"/>
  <c r="AZ77" i="25"/>
  <c r="AX77" i="25"/>
  <c r="AW77" i="25"/>
  <c r="CR160" i="25"/>
  <c r="CQ160" i="25"/>
  <c r="CP160" i="25"/>
  <c r="CO160" i="25"/>
  <c r="CN160" i="25"/>
  <c r="CM160" i="25"/>
  <c r="CL160" i="25"/>
  <c r="BT160" i="25" s="1"/>
  <c r="CK160" i="25"/>
  <c r="CJ160" i="25"/>
  <c r="CI160" i="25"/>
  <c r="CH160" i="25"/>
  <c r="CF160" i="25"/>
  <c r="CE160" i="25"/>
  <c r="CD160" i="25"/>
  <c r="BV160" i="25" s="1"/>
  <c r="CC160" i="25"/>
  <c r="BX160" i="25" s="1"/>
  <c r="BW160" i="25"/>
  <c r="BU160" i="25"/>
  <c r="CB160" i="25" s="1"/>
  <c r="BM160" i="25"/>
  <c r="BS160" i="25" s="1"/>
  <c r="BL160" i="25"/>
  <c r="BD160" i="25"/>
  <c r="BE160" i="25" s="1"/>
  <c r="BA160" i="25"/>
  <c r="AZ160" i="25"/>
  <c r="AX160" i="25"/>
  <c r="AW160" i="25"/>
  <c r="CR72" i="25"/>
  <c r="CQ72" i="25"/>
  <c r="CP72" i="25"/>
  <c r="CO72" i="25"/>
  <c r="CN72" i="25"/>
  <c r="CM72" i="25"/>
  <c r="CL72" i="25"/>
  <c r="BT72" i="25" s="1"/>
  <c r="CK72" i="25"/>
  <c r="CJ72" i="25"/>
  <c r="CI72" i="25"/>
  <c r="CH72" i="25"/>
  <c r="CF72" i="25"/>
  <c r="CE72" i="25"/>
  <c r="CD72" i="25"/>
  <c r="BV72" i="25" s="1"/>
  <c r="CC72" i="25"/>
  <c r="BX72" i="25" s="1"/>
  <c r="BU72" i="25"/>
  <c r="CB72" i="25" s="1"/>
  <c r="BS72" i="25"/>
  <c r="BM72" i="25"/>
  <c r="BL72" i="25"/>
  <c r="BD72" i="25"/>
  <c r="BE72" i="25" s="1"/>
  <c r="BA72" i="25"/>
  <c r="AZ72" i="25"/>
  <c r="AX72" i="25"/>
  <c r="AW72" i="25"/>
  <c r="CR43" i="25"/>
  <c r="CQ43" i="25"/>
  <c r="CP43" i="25"/>
  <c r="CO43" i="25"/>
  <c r="CN43" i="25"/>
  <c r="CM43" i="25"/>
  <c r="CL43" i="25"/>
  <c r="BT43" i="25" s="1"/>
  <c r="CK43" i="25"/>
  <c r="CJ43" i="25"/>
  <c r="CI43" i="25"/>
  <c r="CH43" i="25"/>
  <c r="CF43" i="25"/>
  <c r="CE43" i="25"/>
  <c r="CD43" i="25"/>
  <c r="BV43" i="25" s="1"/>
  <c r="CC43" i="25"/>
  <c r="BX43" i="25" s="1"/>
  <c r="BU43" i="25"/>
  <c r="CB43" i="25" s="1"/>
  <c r="BS43" i="25"/>
  <c r="BM43" i="25"/>
  <c r="BL43" i="25"/>
  <c r="BD43" i="25"/>
  <c r="BE43" i="25" s="1"/>
  <c r="BA43" i="25"/>
  <c r="AZ43" i="25"/>
  <c r="AX43" i="25"/>
  <c r="AW43" i="25"/>
  <c r="CR15" i="25"/>
  <c r="CQ15" i="25"/>
  <c r="CP15" i="25"/>
  <c r="CO15" i="25"/>
  <c r="CN15" i="25"/>
  <c r="CM15" i="25"/>
  <c r="CL15" i="25"/>
  <c r="BT15" i="25" s="1"/>
  <c r="CK15" i="25"/>
  <c r="CJ15" i="25"/>
  <c r="CI15" i="25"/>
  <c r="CH15" i="25"/>
  <c r="CF15" i="25"/>
  <c r="CE15" i="25"/>
  <c r="CD15" i="25"/>
  <c r="BV15" i="25" s="1"/>
  <c r="CC15" i="25"/>
  <c r="BX15" i="25" s="1"/>
  <c r="BU15" i="25"/>
  <c r="CB15" i="25" s="1"/>
  <c r="BS15" i="25"/>
  <c r="BM15" i="25"/>
  <c r="BL15" i="25"/>
  <c r="BD15" i="25"/>
  <c r="BE15" i="25" s="1"/>
  <c r="BA15" i="25"/>
  <c r="AZ15" i="25"/>
  <c r="AX15" i="25"/>
  <c r="AW15" i="25"/>
  <c r="CR116" i="25"/>
  <c r="CQ116" i="25"/>
  <c r="CP116" i="25"/>
  <c r="CO116" i="25"/>
  <c r="CN116" i="25"/>
  <c r="CM116" i="25"/>
  <c r="CL116" i="25"/>
  <c r="BT116" i="25" s="1"/>
  <c r="CK116" i="25"/>
  <c r="CJ116" i="25"/>
  <c r="CI116" i="25"/>
  <c r="CH116" i="25"/>
  <c r="CF116" i="25"/>
  <c r="CE116" i="25"/>
  <c r="CD116" i="25"/>
  <c r="BV116" i="25" s="1"/>
  <c r="CC116" i="25"/>
  <c r="BX116" i="25" s="1"/>
  <c r="BU116" i="25"/>
  <c r="CB116" i="25" s="1"/>
  <c r="BS116" i="25"/>
  <c r="BM116" i="25"/>
  <c r="BL116" i="25"/>
  <c r="BD116" i="25"/>
  <c r="BE116" i="25" s="1"/>
  <c r="BA116" i="25"/>
  <c r="AZ116" i="25"/>
  <c r="AX116" i="25"/>
  <c r="AW116" i="25"/>
  <c r="CR42" i="25"/>
  <c r="CQ42" i="25"/>
  <c r="CP42" i="25"/>
  <c r="CO42" i="25"/>
  <c r="CN42" i="25"/>
  <c r="CM42" i="25"/>
  <c r="CL42" i="25"/>
  <c r="BT42" i="25" s="1"/>
  <c r="CK42" i="25"/>
  <c r="CJ42" i="25"/>
  <c r="CI42" i="25"/>
  <c r="CH42" i="25"/>
  <c r="CF42" i="25"/>
  <c r="CE42" i="25"/>
  <c r="CD42" i="25"/>
  <c r="BV42" i="25" s="1"/>
  <c r="CC42" i="25"/>
  <c r="BX42" i="25" s="1"/>
  <c r="BW42" i="25"/>
  <c r="BU42" i="25"/>
  <c r="CB42" i="25" s="1"/>
  <c r="BS42" i="25"/>
  <c r="BM42" i="25"/>
  <c r="BL42" i="25"/>
  <c r="BD42" i="25"/>
  <c r="BE42" i="25" s="1"/>
  <c r="BA42" i="25"/>
  <c r="AZ42" i="25"/>
  <c r="AX42" i="25"/>
  <c r="AW42" i="25"/>
  <c r="CR41" i="25"/>
  <c r="CQ41" i="25"/>
  <c r="CP41" i="25"/>
  <c r="CO41" i="25"/>
  <c r="CN41" i="25"/>
  <c r="CM41" i="25"/>
  <c r="CL41" i="25"/>
  <c r="BT41" i="25" s="1"/>
  <c r="CK41" i="25"/>
  <c r="CJ41" i="25"/>
  <c r="CI41" i="25"/>
  <c r="CH41" i="25"/>
  <c r="CF41" i="25"/>
  <c r="CE41" i="25"/>
  <c r="CD41" i="25"/>
  <c r="BV41" i="25" s="1"/>
  <c r="CC41" i="25"/>
  <c r="BX41" i="25" s="1"/>
  <c r="BU41" i="25"/>
  <c r="CB41" i="25" s="1"/>
  <c r="BS41" i="25"/>
  <c r="BM41" i="25"/>
  <c r="BL41" i="25"/>
  <c r="BD41" i="25"/>
  <c r="BE41" i="25" s="1"/>
  <c r="BA41" i="25"/>
  <c r="AZ41" i="25"/>
  <c r="AX41" i="25"/>
  <c r="AW41" i="25"/>
  <c r="CR14" i="25"/>
  <c r="CQ14" i="25"/>
  <c r="CP14" i="25"/>
  <c r="CO14" i="25"/>
  <c r="CN14" i="25"/>
  <c r="CM14" i="25"/>
  <c r="CL14" i="25"/>
  <c r="BT14" i="25" s="1"/>
  <c r="CK14" i="25"/>
  <c r="CJ14" i="25"/>
  <c r="CI14" i="25"/>
  <c r="CH14" i="25"/>
  <c r="CF14" i="25"/>
  <c r="CE14" i="25"/>
  <c r="CD14" i="25"/>
  <c r="BV14" i="25" s="1"/>
  <c r="CC14" i="25"/>
  <c r="BX14" i="25" s="1"/>
  <c r="BU14" i="25"/>
  <c r="CB14" i="25" s="1"/>
  <c r="BS14" i="25"/>
  <c r="BM14" i="25"/>
  <c r="BL14" i="25"/>
  <c r="BD14" i="25"/>
  <c r="BE14" i="25" s="1"/>
  <c r="BA14" i="25"/>
  <c r="AZ14" i="25"/>
  <c r="AX14" i="25"/>
  <c r="AW14" i="25"/>
  <c r="CR94" i="25"/>
  <c r="CQ94" i="25"/>
  <c r="CP94" i="25"/>
  <c r="CO94" i="25"/>
  <c r="CN94" i="25"/>
  <c r="CM94" i="25"/>
  <c r="CL94" i="25"/>
  <c r="BT94" i="25" s="1"/>
  <c r="CK94" i="25"/>
  <c r="CJ94" i="25"/>
  <c r="CI94" i="25"/>
  <c r="CH94" i="25"/>
  <c r="CF94" i="25"/>
  <c r="CE94" i="25"/>
  <c r="CD94" i="25"/>
  <c r="BV94" i="25" s="1"/>
  <c r="CC94" i="25"/>
  <c r="BX94" i="25" s="1"/>
  <c r="BU94" i="25"/>
  <c r="CB94" i="25" s="1"/>
  <c r="BS94" i="25"/>
  <c r="BM94" i="25"/>
  <c r="BL94" i="25"/>
  <c r="BD94" i="25"/>
  <c r="BE94" i="25" s="1"/>
  <c r="BA94" i="25"/>
  <c r="AZ94" i="25"/>
  <c r="AX94" i="25"/>
  <c r="AW94" i="25"/>
  <c r="CR40" i="25"/>
  <c r="CQ40" i="25"/>
  <c r="CP40" i="25"/>
  <c r="CO40" i="25"/>
  <c r="CN40" i="25"/>
  <c r="CM40" i="25"/>
  <c r="CL40" i="25"/>
  <c r="BT40" i="25" s="1"/>
  <c r="CK40" i="25"/>
  <c r="CJ40" i="25"/>
  <c r="CI40" i="25"/>
  <c r="CH40" i="25"/>
  <c r="CF40" i="25"/>
  <c r="CE40" i="25"/>
  <c r="CD40" i="25"/>
  <c r="BV40" i="25" s="1"/>
  <c r="CC40" i="25"/>
  <c r="BX40" i="25" s="1"/>
  <c r="BW40" i="25"/>
  <c r="BU40" i="25"/>
  <c r="CB40" i="25" s="1"/>
  <c r="BS40" i="25"/>
  <c r="BM40" i="25"/>
  <c r="BL40" i="25"/>
  <c r="BD40" i="25"/>
  <c r="BE40" i="25" s="1"/>
  <c r="BA40" i="25"/>
  <c r="AZ40" i="25"/>
  <c r="AX40" i="25"/>
  <c r="AW40" i="25"/>
  <c r="CR115" i="25"/>
  <c r="CQ115" i="25"/>
  <c r="CP115" i="25"/>
  <c r="CO115" i="25"/>
  <c r="CN115" i="25"/>
  <c r="CM115" i="25"/>
  <c r="CL115" i="25"/>
  <c r="BT115" i="25" s="1"/>
  <c r="CK115" i="25"/>
  <c r="CJ115" i="25"/>
  <c r="CI115" i="25"/>
  <c r="CH115" i="25"/>
  <c r="CF115" i="25"/>
  <c r="CE115" i="25"/>
  <c r="CD115" i="25"/>
  <c r="BV115" i="25" s="1"/>
  <c r="CC115" i="25"/>
  <c r="BX115" i="25" s="1"/>
  <c r="BW115" i="25"/>
  <c r="BU115" i="25"/>
  <c r="CB115" i="25" s="1"/>
  <c r="BS115" i="25"/>
  <c r="BM115" i="25"/>
  <c r="BL115" i="25"/>
  <c r="BD115" i="25"/>
  <c r="BE115" i="25" s="1"/>
  <c r="BA115" i="25"/>
  <c r="AZ115" i="25"/>
  <c r="AX115" i="25"/>
  <c r="AW115" i="25"/>
  <c r="CR114" i="25"/>
  <c r="CQ114" i="25"/>
  <c r="CP114" i="25"/>
  <c r="CO114" i="25"/>
  <c r="CN114" i="25"/>
  <c r="CM114" i="25"/>
  <c r="CL114" i="25"/>
  <c r="BT114" i="25" s="1"/>
  <c r="CK114" i="25"/>
  <c r="CJ114" i="25"/>
  <c r="CI114" i="25"/>
  <c r="CH114" i="25"/>
  <c r="CF114" i="25"/>
  <c r="CE114" i="25"/>
  <c r="CD114" i="25"/>
  <c r="BV114" i="25" s="1"/>
  <c r="CC114" i="25"/>
  <c r="BX114" i="25" s="1"/>
  <c r="BW114" i="25"/>
  <c r="BU114" i="25"/>
  <c r="CB114" i="25" s="1"/>
  <c r="BS114" i="25"/>
  <c r="BM114" i="25"/>
  <c r="BL114" i="25"/>
  <c r="BD114" i="25"/>
  <c r="BE114" i="25" s="1"/>
  <c r="BA114" i="25"/>
  <c r="AZ114" i="25"/>
  <c r="AX114" i="25"/>
  <c r="AW114" i="25"/>
  <c r="CR60" i="25"/>
  <c r="CQ60" i="25"/>
  <c r="CP60" i="25"/>
  <c r="CO60" i="25"/>
  <c r="CN60" i="25"/>
  <c r="CM60" i="25"/>
  <c r="CL60" i="25"/>
  <c r="BT60" i="25" s="1"/>
  <c r="CK60" i="25"/>
  <c r="CJ60" i="25"/>
  <c r="CI60" i="25"/>
  <c r="CH60" i="25"/>
  <c r="CF60" i="25"/>
  <c r="CE60" i="25"/>
  <c r="CD60" i="25"/>
  <c r="BV60" i="25" s="1"/>
  <c r="CC60" i="25"/>
  <c r="BX60" i="25" s="1"/>
  <c r="BU60" i="25"/>
  <c r="CB60" i="25" s="1"/>
  <c r="BS60" i="25"/>
  <c r="BM60" i="25"/>
  <c r="BL60" i="25"/>
  <c r="BD60" i="25"/>
  <c r="BE60" i="25" s="1"/>
  <c r="BA60" i="25"/>
  <c r="AZ60" i="25"/>
  <c r="AX60" i="25"/>
  <c r="AW60" i="25"/>
  <c r="CR67" i="25"/>
  <c r="CQ67" i="25"/>
  <c r="CP67" i="25"/>
  <c r="CO67" i="25"/>
  <c r="CN67" i="25"/>
  <c r="CM67" i="25"/>
  <c r="CL67" i="25"/>
  <c r="BT67" i="25" s="1"/>
  <c r="CK67" i="25"/>
  <c r="CJ67" i="25"/>
  <c r="CI67" i="25"/>
  <c r="CH67" i="25"/>
  <c r="CF67" i="25"/>
  <c r="CE67" i="25"/>
  <c r="CD67" i="25"/>
  <c r="BV67" i="25" s="1"/>
  <c r="CC67" i="25"/>
  <c r="BX67" i="25" s="1"/>
  <c r="BU67" i="25"/>
  <c r="CB67" i="25" s="1"/>
  <c r="BS67" i="25"/>
  <c r="BM67" i="25"/>
  <c r="BL67" i="25"/>
  <c r="BD67" i="25"/>
  <c r="BE67" i="25" s="1"/>
  <c r="BA67" i="25"/>
  <c r="AZ67" i="25"/>
  <c r="AX67" i="25"/>
  <c r="AW67" i="25"/>
  <c r="CR93" i="25"/>
  <c r="CQ93" i="25"/>
  <c r="CP93" i="25"/>
  <c r="CO93" i="25"/>
  <c r="CN93" i="25"/>
  <c r="CM93" i="25"/>
  <c r="CL93" i="25"/>
  <c r="BT93" i="25" s="1"/>
  <c r="CK93" i="25"/>
  <c r="CJ93" i="25"/>
  <c r="CI93" i="25"/>
  <c r="CH93" i="25"/>
  <c r="CF93" i="25"/>
  <c r="CE93" i="25"/>
  <c r="CD93" i="25"/>
  <c r="BV93" i="25" s="1"/>
  <c r="CC93" i="25"/>
  <c r="BX93" i="25" s="1"/>
  <c r="BW93" i="25"/>
  <c r="BU93" i="25"/>
  <c r="CB93" i="25" s="1"/>
  <c r="BS93" i="25"/>
  <c r="BM93" i="25"/>
  <c r="BL93" i="25"/>
  <c r="BD93" i="25"/>
  <c r="BE93" i="25" s="1"/>
  <c r="BA93" i="25"/>
  <c r="AZ93" i="25"/>
  <c r="AX93" i="25"/>
  <c r="AW93" i="25"/>
  <c r="CR58" i="25"/>
  <c r="CQ58" i="25"/>
  <c r="CP58" i="25"/>
  <c r="CO58" i="25"/>
  <c r="CN58" i="25"/>
  <c r="CM58" i="25"/>
  <c r="CL58" i="25"/>
  <c r="BT58" i="25" s="1"/>
  <c r="CK58" i="25"/>
  <c r="CJ58" i="25"/>
  <c r="CI58" i="25"/>
  <c r="CH58" i="25"/>
  <c r="CF58" i="25"/>
  <c r="CE58" i="25"/>
  <c r="CD58" i="25"/>
  <c r="BV58" i="25" s="1"/>
  <c r="CC58" i="25"/>
  <c r="BX58" i="25" s="1"/>
  <c r="BU58" i="25"/>
  <c r="CB58" i="25" s="1"/>
  <c r="BS58" i="25"/>
  <c r="BM58" i="25"/>
  <c r="BL58" i="25"/>
  <c r="BD58" i="25"/>
  <c r="BE58" i="25" s="1"/>
  <c r="BA58" i="25"/>
  <c r="AZ58" i="25"/>
  <c r="AX58" i="25"/>
  <c r="AW58" i="25"/>
  <c r="CR57" i="25"/>
  <c r="CQ57" i="25"/>
  <c r="CP57" i="25"/>
  <c r="CO57" i="25"/>
  <c r="CN57" i="25"/>
  <c r="CM57" i="25"/>
  <c r="CL57" i="25"/>
  <c r="BT57" i="25" s="1"/>
  <c r="CK57" i="25"/>
  <c r="CJ57" i="25"/>
  <c r="CI57" i="25"/>
  <c r="CH57" i="25"/>
  <c r="CF57" i="25"/>
  <c r="CE57" i="25"/>
  <c r="CD57" i="25"/>
  <c r="BV57" i="25" s="1"/>
  <c r="CC57" i="25"/>
  <c r="BX57" i="25" s="1"/>
  <c r="BU57" i="25"/>
  <c r="CB57" i="25" s="1"/>
  <c r="BM57" i="25"/>
  <c r="BS57" i="25" s="1"/>
  <c r="BL57" i="25"/>
  <c r="BD57" i="25"/>
  <c r="BE57" i="25" s="1"/>
  <c r="BA57" i="25"/>
  <c r="AZ57" i="25"/>
  <c r="AX57" i="25"/>
  <c r="AW57" i="25"/>
  <c r="CR56" i="25"/>
  <c r="CQ56" i="25"/>
  <c r="CP56" i="25"/>
  <c r="CO56" i="25"/>
  <c r="CN56" i="25"/>
  <c r="CM56" i="25"/>
  <c r="CL56" i="25"/>
  <c r="BT56" i="25" s="1"/>
  <c r="CK56" i="25"/>
  <c r="CJ56" i="25"/>
  <c r="CI56" i="25"/>
  <c r="CH56" i="25"/>
  <c r="CF56" i="25"/>
  <c r="CE56" i="25"/>
  <c r="CD56" i="25"/>
  <c r="BV56" i="25" s="1"/>
  <c r="CC56" i="25"/>
  <c r="BX56" i="25" s="1"/>
  <c r="BU56" i="25"/>
  <c r="CB56" i="25" s="1"/>
  <c r="BM56" i="25"/>
  <c r="BS56" i="25" s="1"/>
  <c r="BL56" i="25"/>
  <c r="BD56" i="25"/>
  <c r="BE56" i="25" s="1"/>
  <c r="BA56" i="25"/>
  <c r="AZ56" i="25"/>
  <c r="AX56" i="25"/>
  <c r="AW56" i="25"/>
  <c r="CR55" i="25"/>
  <c r="CQ55" i="25"/>
  <c r="CP55" i="25"/>
  <c r="CO55" i="25"/>
  <c r="CN55" i="25"/>
  <c r="CM55" i="25"/>
  <c r="CL55" i="25"/>
  <c r="BT55" i="25" s="1"/>
  <c r="CK55" i="25"/>
  <c r="CJ55" i="25"/>
  <c r="CI55" i="25"/>
  <c r="CH55" i="25"/>
  <c r="CF55" i="25"/>
  <c r="CE55" i="25"/>
  <c r="CD55" i="25"/>
  <c r="BV55" i="25" s="1"/>
  <c r="CC55" i="25"/>
  <c r="BX55" i="25" s="1"/>
  <c r="BU55" i="25"/>
  <c r="CB55" i="25" s="1"/>
  <c r="BM55" i="25"/>
  <c r="BS55" i="25" s="1"/>
  <c r="BL55" i="25"/>
  <c r="BD55" i="25"/>
  <c r="BE55" i="25" s="1"/>
  <c r="BA55" i="25"/>
  <c r="AZ55" i="25"/>
  <c r="AX55" i="25"/>
  <c r="AW55" i="25"/>
  <c r="CR113" i="25"/>
  <c r="CQ113" i="25"/>
  <c r="CP113" i="25"/>
  <c r="CO113" i="25"/>
  <c r="CN113" i="25"/>
  <c r="CM113" i="25"/>
  <c r="CL113" i="25"/>
  <c r="BT113" i="25" s="1"/>
  <c r="CK113" i="25"/>
  <c r="CJ113" i="25"/>
  <c r="CI113" i="25"/>
  <c r="CH113" i="25"/>
  <c r="CF113" i="25"/>
  <c r="CE113" i="25"/>
  <c r="CD113" i="25"/>
  <c r="BV113" i="25" s="1"/>
  <c r="CC113" i="25"/>
  <c r="BX113" i="25" s="1"/>
  <c r="BU113" i="25"/>
  <c r="CB113" i="25" s="1"/>
  <c r="BS113" i="25"/>
  <c r="BM113" i="25"/>
  <c r="BL113" i="25"/>
  <c r="BD113" i="25"/>
  <c r="BE113" i="25" s="1"/>
  <c r="BA113" i="25"/>
  <c r="AZ113" i="25"/>
  <c r="AX113" i="25"/>
  <c r="AW113" i="25"/>
  <c r="CR91" i="25"/>
  <c r="CQ91" i="25"/>
  <c r="CP91" i="25"/>
  <c r="CO91" i="25"/>
  <c r="CN91" i="25"/>
  <c r="CM91" i="25"/>
  <c r="CL91" i="25"/>
  <c r="BT91" i="25" s="1"/>
  <c r="CK91" i="25"/>
  <c r="CJ91" i="25"/>
  <c r="CI91" i="25"/>
  <c r="CH91" i="25"/>
  <c r="CF91" i="25"/>
  <c r="CE91" i="25"/>
  <c r="CD91" i="25"/>
  <c r="BV91" i="25" s="1"/>
  <c r="CC91" i="25"/>
  <c r="BX91" i="25" s="1"/>
  <c r="BU91" i="25"/>
  <c r="CB91" i="25" s="1"/>
  <c r="BS91" i="25"/>
  <c r="BM91" i="25"/>
  <c r="BL91" i="25"/>
  <c r="BD91" i="25"/>
  <c r="BE91" i="25" s="1"/>
  <c r="BA91" i="25"/>
  <c r="AZ91" i="25"/>
  <c r="AX91" i="25"/>
  <c r="AW91" i="25"/>
  <c r="CR112" i="25"/>
  <c r="CQ112" i="25"/>
  <c r="CP112" i="25"/>
  <c r="CO112" i="25"/>
  <c r="CN112" i="25"/>
  <c r="CM112" i="25"/>
  <c r="CL112" i="25"/>
  <c r="BT112" i="25" s="1"/>
  <c r="CK112" i="25"/>
  <c r="CJ112" i="25"/>
  <c r="CI112" i="25"/>
  <c r="CH112" i="25"/>
  <c r="CF112" i="25"/>
  <c r="CE112" i="25"/>
  <c r="CD112" i="25"/>
  <c r="BV112" i="25" s="1"/>
  <c r="CC112" i="25"/>
  <c r="BX112" i="25" s="1"/>
  <c r="BU112" i="25"/>
  <c r="CB112" i="25" s="1"/>
  <c r="BS112" i="25"/>
  <c r="BM112" i="25"/>
  <c r="BL112" i="25"/>
  <c r="BD112" i="25"/>
  <c r="BE112" i="25" s="1"/>
  <c r="BA112" i="25"/>
  <c r="AZ112" i="25"/>
  <c r="AX112" i="25"/>
  <c r="AW112" i="25"/>
  <c r="CR53" i="25"/>
  <c r="CQ53" i="25"/>
  <c r="CP53" i="25"/>
  <c r="CO53" i="25"/>
  <c r="CN53" i="25"/>
  <c r="CM53" i="25"/>
  <c r="CL53" i="25"/>
  <c r="BT53" i="25" s="1"/>
  <c r="CK53" i="25"/>
  <c r="CJ53" i="25"/>
  <c r="CI53" i="25"/>
  <c r="CH53" i="25"/>
  <c r="CF53" i="25"/>
  <c r="CE53" i="25"/>
  <c r="CD53" i="25"/>
  <c r="BV53" i="25" s="1"/>
  <c r="CC53" i="25"/>
  <c r="BX53" i="25" s="1"/>
  <c r="BU53" i="25"/>
  <c r="CB53" i="25" s="1"/>
  <c r="BM53" i="25"/>
  <c r="BS53" i="25" s="1"/>
  <c r="BL53" i="25"/>
  <c r="BD53" i="25"/>
  <c r="BE53" i="25" s="1"/>
  <c r="BA53" i="25"/>
  <c r="AZ53" i="25"/>
  <c r="AX53" i="25"/>
  <c r="AW53" i="25"/>
  <c r="CR159" i="25"/>
  <c r="CQ159" i="25"/>
  <c r="CP159" i="25"/>
  <c r="CO159" i="25"/>
  <c r="CN159" i="25"/>
  <c r="CM159" i="25"/>
  <c r="CL159" i="25"/>
  <c r="BT159" i="25" s="1"/>
  <c r="CK159" i="25"/>
  <c r="CJ159" i="25"/>
  <c r="CI159" i="25"/>
  <c r="CH159" i="25"/>
  <c r="CF159" i="25"/>
  <c r="CE159" i="25"/>
  <c r="CD159" i="25"/>
  <c r="BV159" i="25" s="1"/>
  <c r="CC159" i="25"/>
  <c r="BX159" i="25" s="1"/>
  <c r="BU159" i="25"/>
  <c r="CB159" i="25" s="1"/>
  <c r="BS159" i="25"/>
  <c r="BM159" i="25"/>
  <c r="BL159" i="25"/>
  <c r="BD159" i="25"/>
  <c r="BE159" i="25" s="1"/>
  <c r="BA159" i="25"/>
  <c r="AZ159" i="25"/>
  <c r="AX159" i="25"/>
  <c r="AW159" i="25"/>
  <c r="CR158" i="25"/>
  <c r="CQ158" i="25"/>
  <c r="CP158" i="25"/>
  <c r="CO158" i="25"/>
  <c r="CN158" i="25"/>
  <c r="CM158" i="25"/>
  <c r="CL158" i="25"/>
  <c r="BT158" i="25" s="1"/>
  <c r="CK158" i="25"/>
  <c r="CJ158" i="25"/>
  <c r="CI158" i="25"/>
  <c r="CH158" i="25"/>
  <c r="CF158" i="25"/>
  <c r="CE158" i="25"/>
  <c r="CD158" i="25"/>
  <c r="BV158" i="25" s="1"/>
  <c r="CC158" i="25"/>
  <c r="BX158" i="25" s="1"/>
  <c r="BU158" i="25"/>
  <c r="CB158" i="25" s="1"/>
  <c r="BS158" i="25"/>
  <c r="BM158" i="25"/>
  <c r="BL158" i="25"/>
  <c r="BD158" i="25"/>
  <c r="BE158" i="25" s="1"/>
  <c r="BA158" i="25"/>
  <c r="AZ158" i="25"/>
  <c r="AX158" i="25"/>
  <c r="AW158" i="25"/>
  <c r="CR157" i="25"/>
  <c r="CQ157" i="25"/>
  <c r="CP157" i="25"/>
  <c r="CO157" i="25"/>
  <c r="CN157" i="25"/>
  <c r="CM157" i="25"/>
  <c r="CL157" i="25"/>
  <c r="BT157" i="25" s="1"/>
  <c r="CK157" i="25"/>
  <c r="CJ157" i="25"/>
  <c r="CI157" i="25"/>
  <c r="CH157" i="25"/>
  <c r="CF157" i="25"/>
  <c r="CE157" i="25"/>
  <c r="CD157" i="25"/>
  <c r="BV157" i="25" s="1"/>
  <c r="CC157" i="25"/>
  <c r="BX157" i="25" s="1"/>
  <c r="BU157" i="25"/>
  <c r="CB157" i="25" s="1"/>
  <c r="BM157" i="25"/>
  <c r="BS157" i="25" s="1"/>
  <c r="BL157" i="25"/>
  <c r="BD157" i="25"/>
  <c r="BE157" i="25" s="1"/>
  <c r="BA157" i="25"/>
  <c r="AZ157" i="25"/>
  <c r="AX157" i="25"/>
  <c r="AW157" i="25"/>
  <c r="CR156" i="25"/>
  <c r="CQ156" i="25"/>
  <c r="CP156" i="25"/>
  <c r="CO156" i="25"/>
  <c r="CN156" i="25"/>
  <c r="CM156" i="25"/>
  <c r="CL156" i="25"/>
  <c r="BT156" i="25" s="1"/>
  <c r="CK156" i="25"/>
  <c r="CJ156" i="25"/>
  <c r="CI156" i="25"/>
  <c r="CH156" i="25"/>
  <c r="CF156" i="25"/>
  <c r="CE156" i="25"/>
  <c r="CD156" i="25"/>
  <c r="BV156" i="25" s="1"/>
  <c r="CC156" i="25"/>
  <c r="BX156" i="25" s="1"/>
  <c r="BW156" i="25"/>
  <c r="BU156" i="25"/>
  <c r="CB156" i="25" s="1"/>
  <c r="BM156" i="25"/>
  <c r="BS156" i="25" s="1"/>
  <c r="BL156" i="25"/>
  <c r="BD156" i="25"/>
  <c r="BE156" i="25" s="1"/>
  <c r="BA156" i="25"/>
  <c r="AZ156" i="25"/>
  <c r="AX156" i="25"/>
  <c r="AW156" i="25"/>
  <c r="CR155" i="25"/>
  <c r="CQ155" i="25"/>
  <c r="CP155" i="25"/>
  <c r="CO155" i="25"/>
  <c r="CN155" i="25"/>
  <c r="CM155" i="25"/>
  <c r="CL155" i="25"/>
  <c r="BT155" i="25" s="1"/>
  <c r="CK155" i="25"/>
  <c r="CJ155" i="25"/>
  <c r="CI155" i="25"/>
  <c r="CH155" i="25"/>
  <c r="CF155" i="25"/>
  <c r="CE155" i="25"/>
  <c r="CD155" i="25"/>
  <c r="BV155" i="25" s="1"/>
  <c r="CC155" i="25"/>
  <c r="BX155" i="25" s="1"/>
  <c r="BU155" i="25"/>
  <c r="CB155" i="25" s="1"/>
  <c r="BS155" i="25"/>
  <c r="BM155" i="25"/>
  <c r="BL155" i="25"/>
  <c r="BD155" i="25"/>
  <c r="BE155" i="25" s="1"/>
  <c r="BA155" i="25"/>
  <c r="AZ155" i="25"/>
  <c r="AX155" i="25"/>
  <c r="AW155" i="25"/>
  <c r="CR154" i="25"/>
  <c r="CQ154" i="25"/>
  <c r="CP154" i="25"/>
  <c r="CO154" i="25"/>
  <c r="CN154" i="25"/>
  <c r="CM154" i="25"/>
  <c r="CL154" i="25"/>
  <c r="BT154" i="25" s="1"/>
  <c r="CK154" i="25"/>
  <c r="CJ154" i="25"/>
  <c r="CI154" i="25"/>
  <c r="CH154" i="25"/>
  <c r="CF154" i="25"/>
  <c r="CE154" i="25"/>
  <c r="CD154" i="25"/>
  <c r="BV154" i="25" s="1"/>
  <c r="CC154" i="25"/>
  <c r="BX154" i="25" s="1"/>
  <c r="BU154" i="25"/>
  <c r="CB154" i="25" s="1"/>
  <c r="BS154" i="25"/>
  <c r="BM154" i="25"/>
  <c r="BL154" i="25"/>
  <c r="BD154" i="25"/>
  <c r="BE154" i="25" s="1"/>
  <c r="BA154" i="25"/>
  <c r="AZ154" i="25"/>
  <c r="AX154" i="25"/>
  <c r="AW154" i="25"/>
  <c r="CR132" i="25"/>
  <c r="CQ132" i="25"/>
  <c r="CP132" i="25"/>
  <c r="CO132" i="25"/>
  <c r="CN132" i="25"/>
  <c r="CM132" i="25"/>
  <c r="CL132" i="25"/>
  <c r="BT132" i="25" s="1"/>
  <c r="CK132" i="25"/>
  <c r="CJ132" i="25"/>
  <c r="CI132" i="25"/>
  <c r="CH132" i="25"/>
  <c r="CF132" i="25"/>
  <c r="CE132" i="25"/>
  <c r="CD132" i="25"/>
  <c r="BV132" i="25" s="1"/>
  <c r="CC132" i="25"/>
  <c r="BX132" i="25" s="1"/>
  <c r="BU132" i="25"/>
  <c r="CB132" i="25" s="1"/>
  <c r="BS132" i="25"/>
  <c r="BM132" i="25"/>
  <c r="BL132" i="25"/>
  <c r="BD132" i="25"/>
  <c r="BE132" i="25" s="1"/>
  <c r="BA132" i="25"/>
  <c r="AZ132" i="25"/>
  <c r="AX132" i="25"/>
  <c r="AW132" i="25"/>
  <c r="CR89" i="25"/>
  <c r="CQ89" i="25"/>
  <c r="CP89" i="25"/>
  <c r="CO89" i="25"/>
  <c r="CN89" i="25"/>
  <c r="CM89" i="25"/>
  <c r="CL89" i="25"/>
  <c r="BT89" i="25" s="1"/>
  <c r="CK89" i="25"/>
  <c r="CJ89" i="25"/>
  <c r="CI89" i="25"/>
  <c r="CH89" i="25"/>
  <c r="CF89" i="25"/>
  <c r="CE89" i="25"/>
  <c r="CD89" i="25"/>
  <c r="BV89" i="25" s="1"/>
  <c r="CC89" i="25"/>
  <c r="BX89" i="25" s="1"/>
  <c r="BU89" i="25"/>
  <c r="CB89" i="25" s="1"/>
  <c r="BS89" i="25"/>
  <c r="BM89" i="25"/>
  <c r="BL89" i="25"/>
  <c r="BD89" i="25"/>
  <c r="BE89" i="25" s="1"/>
  <c r="BA89" i="25"/>
  <c r="AZ89" i="25"/>
  <c r="AX89" i="25"/>
  <c r="AW89" i="25"/>
  <c r="CR12" i="25"/>
  <c r="CQ12" i="25"/>
  <c r="CP12" i="25"/>
  <c r="CO12" i="25"/>
  <c r="CN12" i="25"/>
  <c r="CM12" i="25"/>
  <c r="CL12" i="25"/>
  <c r="BT12" i="25" s="1"/>
  <c r="CK12" i="25"/>
  <c r="CJ12" i="25"/>
  <c r="CI12" i="25"/>
  <c r="CH12" i="25"/>
  <c r="CF12" i="25"/>
  <c r="CE12" i="25"/>
  <c r="CD12" i="25"/>
  <c r="BV12" i="25" s="1"/>
  <c r="CC12" i="25"/>
  <c r="BX12" i="25" s="1"/>
  <c r="BU12" i="25"/>
  <c r="CB12" i="25" s="1"/>
  <c r="BS12" i="25"/>
  <c r="BM12" i="25"/>
  <c r="BL12" i="25"/>
  <c r="BD12" i="25"/>
  <c r="BE12" i="25" s="1"/>
  <c r="BA12" i="25"/>
  <c r="AZ12" i="25"/>
  <c r="AX12" i="25"/>
  <c r="AW12" i="25"/>
  <c r="CR38" i="25"/>
  <c r="CQ38" i="25"/>
  <c r="CP38" i="25"/>
  <c r="CO38" i="25"/>
  <c r="CN38" i="25"/>
  <c r="CM38" i="25"/>
  <c r="CL38" i="25"/>
  <c r="CK38" i="25"/>
  <c r="CJ38" i="25"/>
  <c r="CI38" i="25"/>
  <c r="CH38" i="25"/>
  <c r="CF38" i="25"/>
  <c r="CE38" i="25"/>
  <c r="CD38" i="25"/>
  <c r="BV38" i="25" s="1"/>
  <c r="CC38" i="25"/>
  <c r="BX38" i="25" s="1"/>
  <c r="BW38" i="25"/>
  <c r="BU38" i="25"/>
  <c r="CB38" i="25" s="1"/>
  <c r="BS38" i="25"/>
  <c r="BM38" i="25"/>
  <c r="BL38" i="25"/>
  <c r="BD38" i="25"/>
  <c r="BE38" i="25" s="1"/>
  <c r="BA38" i="25"/>
  <c r="AZ38" i="25"/>
  <c r="AX38" i="25"/>
  <c r="AW38" i="25"/>
  <c r="CR37" i="25"/>
  <c r="CQ37" i="25"/>
  <c r="CP37" i="25"/>
  <c r="CO37" i="25"/>
  <c r="CN37" i="25"/>
  <c r="CM37" i="25"/>
  <c r="CL37" i="25"/>
  <c r="BT37" i="25" s="1"/>
  <c r="CK37" i="25"/>
  <c r="CJ37" i="25"/>
  <c r="CI37" i="25"/>
  <c r="CH37" i="25"/>
  <c r="CF37" i="25"/>
  <c r="CE37" i="25"/>
  <c r="CD37" i="25"/>
  <c r="BV37" i="25" s="1"/>
  <c r="CC37" i="25"/>
  <c r="BX37" i="25" s="1"/>
  <c r="BW37" i="25"/>
  <c r="BU37" i="25"/>
  <c r="CB37" i="25" s="1"/>
  <c r="BS37" i="25"/>
  <c r="BM37" i="25"/>
  <c r="BL37" i="25"/>
  <c r="BD37" i="25"/>
  <c r="BE37" i="25" s="1"/>
  <c r="BA37" i="25"/>
  <c r="AZ37" i="25"/>
  <c r="AX37" i="25"/>
  <c r="AW37" i="25"/>
  <c r="CR22" i="25"/>
  <c r="CQ22" i="25"/>
  <c r="CP22" i="25"/>
  <c r="CO22" i="25"/>
  <c r="CN22" i="25"/>
  <c r="CM22" i="25"/>
  <c r="CL22" i="25"/>
  <c r="BT22" i="25" s="1"/>
  <c r="CK22" i="25"/>
  <c r="CJ22" i="25"/>
  <c r="CI22" i="25"/>
  <c r="CH22" i="25"/>
  <c r="CF22" i="25"/>
  <c r="CE22" i="25"/>
  <c r="CD22" i="25"/>
  <c r="BV22" i="25" s="1"/>
  <c r="CC22" i="25"/>
  <c r="BX22" i="25" s="1"/>
  <c r="BW22" i="25"/>
  <c r="BU22" i="25"/>
  <c r="CB22" i="25" s="1"/>
  <c r="BM22" i="25"/>
  <c r="BS22" i="25" s="1"/>
  <c r="BL22" i="25"/>
  <c r="BD22" i="25"/>
  <c r="BE22" i="25" s="1"/>
  <c r="BA22" i="25"/>
  <c r="AZ22" i="25"/>
  <c r="AX22" i="25"/>
  <c r="AW22" i="25"/>
  <c r="CR111" i="25"/>
  <c r="CQ111" i="25"/>
  <c r="CP111" i="25"/>
  <c r="CO111" i="25"/>
  <c r="CN111" i="25"/>
  <c r="CM111" i="25"/>
  <c r="CL111" i="25"/>
  <c r="BT111" i="25" s="1"/>
  <c r="CK111" i="25"/>
  <c r="CJ111" i="25"/>
  <c r="CI111" i="25"/>
  <c r="CH111" i="25"/>
  <c r="CF111" i="25"/>
  <c r="CE111" i="25"/>
  <c r="CD111" i="25"/>
  <c r="BV111" i="25" s="1"/>
  <c r="CC111" i="25"/>
  <c r="BX111" i="25" s="1"/>
  <c r="BU111" i="25"/>
  <c r="CB111" i="25" s="1"/>
  <c r="BS111" i="25"/>
  <c r="BM111" i="25"/>
  <c r="BL111" i="25"/>
  <c r="BD111" i="25"/>
  <c r="BE111" i="25" s="1"/>
  <c r="BA111" i="25"/>
  <c r="AZ111" i="25"/>
  <c r="AX111" i="25"/>
  <c r="AW111" i="25"/>
  <c r="CR110" i="25"/>
  <c r="CQ110" i="25"/>
  <c r="CP110" i="25"/>
  <c r="CO110" i="25"/>
  <c r="CN110" i="25"/>
  <c r="CM110" i="25"/>
  <c r="CL110" i="25"/>
  <c r="BT110" i="25" s="1"/>
  <c r="CK110" i="25"/>
  <c r="CJ110" i="25"/>
  <c r="CI110" i="25"/>
  <c r="CH110" i="25"/>
  <c r="CF110" i="25"/>
  <c r="CE110" i="25"/>
  <c r="CD110" i="25"/>
  <c r="BV110" i="25" s="1"/>
  <c r="CC110" i="25"/>
  <c r="BX110" i="25" s="1"/>
  <c r="BU110" i="25"/>
  <c r="CB110" i="25" s="1"/>
  <c r="BS110" i="25"/>
  <c r="BM110" i="25"/>
  <c r="BL110" i="25"/>
  <c r="BD110" i="25"/>
  <c r="BE110" i="25" s="1"/>
  <c r="BA110" i="25"/>
  <c r="AZ110" i="25"/>
  <c r="AX110" i="25"/>
  <c r="AW110" i="25"/>
  <c r="CR36" i="25"/>
  <c r="CQ36" i="25"/>
  <c r="CP36" i="25"/>
  <c r="CO36" i="25"/>
  <c r="CN36" i="25"/>
  <c r="CM36" i="25"/>
  <c r="CL36" i="25"/>
  <c r="BT36" i="25" s="1"/>
  <c r="CK36" i="25"/>
  <c r="CJ36" i="25"/>
  <c r="CI36" i="25"/>
  <c r="CH36" i="25"/>
  <c r="CF36" i="25"/>
  <c r="CE36" i="25"/>
  <c r="CD36" i="25"/>
  <c r="BV36" i="25" s="1"/>
  <c r="CC36" i="25"/>
  <c r="BX36" i="25" s="1"/>
  <c r="BW36" i="25"/>
  <c r="BU36" i="25"/>
  <c r="CB36" i="25" s="1"/>
  <c r="BM36" i="25"/>
  <c r="BS36" i="25" s="1"/>
  <c r="BL36" i="25"/>
  <c r="BD36" i="25"/>
  <c r="BE36" i="25" s="1"/>
  <c r="BA36" i="25"/>
  <c r="AZ36" i="25"/>
  <c r="AX36" i="25"/>
  <c r="AW36" i="25"/>
  <c r="CR52" i="25"/>
  <c r="CQ52" i="25"/>
  <c r="CP52" i="25"/>
  <c r="CO52" i="25"/>
  <c r="CN52" i="25"/>
  <c r="CM52" i="25"/>
  <c r="CL52" i="25"/>
  <c r="BT52" i="25" s="1"/>
  <c r="CK52" i="25"/>
  <c r="CJ52" i="25"/>
  <c r="CI52" i="25"/>
  <c r="CH52" i="25"/>
  <c r="CF52" i="25"/>
  <c r="CE52" i="25"/>
  <c r="CD52" i="25"/>
  <c r="BV52" i="25" s="1"/>
  <c r="CC52" i="25"/>
  <c r="BX52" i="25" s="1"/>
  <c r="BW52" i="25"/>
  <c r="BU52" i="25"/>
  <c r="CB52" i="25" s="1"/>
  <c r="BM52" i="25"/>
  <c r="BS52" i="25" s="1"/>
  <c r="BL52" i="25"/>
  <c r="BD52" i="25"/>
  <c r="BE52" i="25" s="1"/>
  <c r="BA52" i="25"/>
  <c r="AZ52" i="25"/>
  <c r="AX52" i="25"/>
  <c r="AW52" i="25"/>
  <c r="CR64" i="25"/>
  <c r="CQ64" i="25"/>
  <c r="CP64" i="25"/>
  <c r="CO64" i="25"/>
  <c r="CN64" i="25"/>
  <c r="CM64" i="25"/>
  <c r="CL64" i="25"/>
  <c r="BT64" i="25" s="1"/>
  <c r="CK64" i="25"/>
  <c r="CJ64" i="25"/>
  <c r="CI64" i="25"/>
  <c r="CH64" i="25"/>
  <c r="CF64" i="25"/>
  <c r="CE64" i="25"/>
  <c r="CD64" i="25"/>
  <c r="BV64" i="25" s="1"/>
  <c r="CC64" i="25"/>
  <c r="BX64" i="25" s="1"/>
  <c r="BU64" i="25"/>
  <c r="CB64" i="25" s="1"/>
  <c r="BS64" i="25"/>
  <c r="BM64" i="25"/>
  <c r="BL64" i="25"/>
  <c r="BD64" i="25"/>
  <c r="BE64" i="25" s="1"/>
  <c r="BA64" i="25"/>
  <c r="AZ64" i="25"/>
  <c r="AX64" i="25"/>
  <c r="AW64" i="25"/>
  <c r="CR107" i="25"/>
  <c r="CQ107" i="25"/>
  <c r="CP107" i="25"/>
  <c r="CO107" i="25"/>
  <c r="CN107" i="25"/>
  <c r="CM107" i="25"/>
  <c r="CL107" i="25"/>
  <c r="BN107" i="25" s="1"/>
  <c r="BO107" i="25" s="1"/>
  <c r="CK107" i="25"/>
  <c r="CJ107" i="25"/>
  <c r="CI107" i="25"/>
  <c r="CH107" i="25"/>
  <c r="CF107" i="25"/>
  <c r="CE107" i="25"/>
  <c r="CD107" i="25"/>
  <c r="BV107" i="25" s="1"/>
  <c r="CC107" i="25"/>
  <c r="BX107" i="25" s="1"/>
  <c r="BU107" i="25"/>
  <c r="CB107" i="25" s="1"/>
  <c r="BS107" i="25"/>
  <c r="BM107" i="25"/>
  <c r="BL107" i="25"/>
  <c r="BD107" i="25"/>
  <c r="BE107" i="25" s="1"/>
  <c r="BA107" i="25"/>
  <c r="AZ107" i="25"/>
  <c r="AX107" i="25"/>
  <c r="AW107" i="25"/>
  <c r="CR104" i="25"/>
  <c r="CQ104" i="25"/>
  <c r="CP104" i="25"/>
  <c r="CO104" i="25"/>
  <c r="CN104" i="25"/>
  <c r="CM104" i="25"/>
  <c r="CL104" i="25"/>
  <c r="BN104" i="25" s="1"/>
  <c r="BO104" i="25" s="1"/>
  <c r="CK104" i="25"/>
  <c r="CJ104" i="25"/>
  <c r="CI104" i="25"/>
  <c r="CH104" i="25"/>
  <c r="CF104" i="25"/>
  <c r="CE104" i="25"/>
  <c r="CD104" i="25"/>
  <c r="BV104" i="25" s="1"/>
  <c r="CC104" i="25"/>
  <c r="BX104" i="25" s="1"/>
  <c r="BU104" i="25"/>
  <c r="CB104" i="25" s="1"/>
  <c r="BS104" i="25"/>
  <c r="BM104" i="25"/>
  <c r="BL104" i="25"/>
  <c r="BD104" i="25"/>
  <c r="BE104" i="25" s="1"/>
  <c r="BA104" i="25"/>
  <c r="AZ104" i="25"/>
  <c r="AX104" i="25"/>
  <c r="AW104" i="25"/>
  <c r="CR103" i="25"/>
  <c r="CQ103" i="25"/>
  <c r="CP103" i="25"/>
  <c r="CO103" i="25"/>
  <c r="CN103" i="25"/>
  <c r="CM103" i="25"/>
  <c r="CL103" i="25"/>
  <c r="BN103" i="25" s="1"/>
  <c r="BO103" i="25" s="1"/>
  <c r="CK103" i="25"/>
  <c r="CJ103" i="25"/>
  <c r="CI103" i="25"/>
  <c r="CH103" i="25"/>
  <c r="CF103" i="25"/>
  <c r="CE103" i="25"/>
  <c r="CD103" i="25"/>
  <c r="BV103" i="25" s="1"/>
  <c r="CC103" i="25"/>
  <c r="BX103" i="25" s="1"/>
  <c r="BU103" i="25"/>
  <c r="CB103" i="25" s="1"/>
  <c r="BS103" i="25"/>
  <c r="BM103" i="25"/>
  <c r="BL103" i="25"/>
  <c r="BD103" i="25"/>
  <c r="BE103" i="25" s="1"/>
  <c r="BA103" i="25"/>
  <c r="AZ103" i="25"/>
  <c r="AX103" i="25"/>
  <c r="AW103" i="25"/>
  <c r="CR11" i="25"/>
  <c r="CQ11" i="25"/>
  <c r="CP11" i="25"/>
  <c r="CO11" i="25"/>
  <c r="CN11" i="25"/>
  <c r="CM11" i="25"/>
  <c r="CL11" i="25"/>
  <c r="CK11" i="25"/>
  <c r="CJ11" i="25"/>
  <c r="CI11" i="25"/>
  <c r="CH11" i="25"/>
  <c r="CF11" i="25"/>
  <c r="CE11" i="25"/>
  <c r="CD11" i="25"/>
  <c r="BV11" i="25" s="1"/>
  <c r="CC11" i="25"/>
  <c r="BX11" i="25" s="1"/>
  <c r="BU11" i="25"/>
  <c r="CB11" i="25" s="1"/>
  <c r="BS11" i="25"/>
  <c r="BM11" i="25"/>
  <c r="BL11" i="25"/>
  <c r="BD11" i="25"/>
  <c r="BE11" i="25" s="1"/>
  <c r="BA11" i="25"/>
  <c r="AZ11" i="25"/>
  <c r="AX11" i="25"/>
  <c r="AW11" i="25"/>
  <c r="CR21" i="25"/>
  <c r="CQ21" i="25"/>
  <c r="CP21" i="25"/>
  <c r="CO21" i="25"/>
  <c r="CN21" i="25"/>
  <c r="CM21" i="25"/>
  <c r="CL21" i="25"/>
  <c r="BW21" i="25" s="1"/>
  <c r="CK21" i="25"/>
  <c r="CJ21" i="25"/>
  <c r="CI21" i="25"/>
  <c r="CH21" i="25"/>
  <c r="CF21" i="25"/>
  <c r="CE21" i="25"/>
  <c r="CD21" i="25"/>
  <c r="BV21" i="25" s="1"/>
  <c r="CC21" i="25"/>
  <c r="BX21" i="25" s="1"/>
  <c r="BU21" i="25"/>
  <c r="CB21" i="25" s="1"/>
  <c r="BS21" i="25"/>
  <c r="BM21" i="25"/>
  <c r="BL21" i="25"/>
  <c r="BD21" i="25"/>
  <c r="BE21" i="25" s="1"/>
  <c r="BA21" i="25"/>
  <c r="AZ21" i="25"/>
  <c r="AX21" i="25"/>
  <c r="AW21" i="25"/>
  <c r="CR33" i="25"/>
  <c r="CQ33" i="25"/>
  <c r="CP33" i="25"/>
  <c r="CO33" i="25"/>
  <c r="CN33" i="25"/>
  <c r="CM33" i="25"/>
  <c r="CL33" i="25"/>
  <c r="BN33" i="25" s="1"/>
  <c r="BO33" i="25" s="1"/>
  <c r="CK33" i="25"/>
  <c r="CJ33" i="25"/>
  <c r="CI33" i="25"/>
  <c r="CH33" i="25"/>
  <c r="CF33" i="25"/>
  <c r="CE33" i="25"/>
  <c r="CD33" i="25"/>
  <c r="BV33" i="25" s="1"/>
  <c r="CC33" i="25"/>
  <c r="BX33" i="25" s="1"/>
  <c r="BW33" i="25"/>
  <c r="BU33" i="25"/>
  <c r="CB33" i="25" s="1"/>
  <c r="BM33" i="25"/>
  <c r="BS33" i="25" s="1"/>
  <c r="BL33" i="25"/>
  <c r="BD33" i="25"/>
  <c r="BE33" i="25" s="1"/>
  <c r="BA33" i="25"/>
  <c r="AZ33" i="25"/>
  <c r="AX33" i="25"/>
  <c r="AW33" i="25"/>
  <c r="CR32" i="25"/>
  <c r="CQ32" i="25"/>
  <c r="CP32" i="25"/>
  <c r="CO32" i="25"/>
  <c r="CN32" i="25"/>
  <c r="CM32" i="25"/>
  <c r="CL32" i="25"/>
  <c r="BR32" i="25" s="1"/>
  <c r="CK32" i="25"/>
  <c r="CJ32" i="25"/>
  <c r="CI32" i="25"/>
  <c r="CH32" i="25"/>
  <c r="CF32" i="25"/>
  <c r="CE32" i="25"/>
  <c r="CD32" i="25"/>
  <c r="BV32" i="25" s="1"/>
  <c r="CC32" i="25"/>
  <c r="BX32" i="25" s="1"/>
  <c r="BW32" i="25"/>
  <c r="BU32" i="25"/>
  <c r="CB32" i="25" s="1"/>
  <c r="BS32" i="25"/>
  <c r="BM32" i="25"/>
  <c r="BL32" i="25"/>
  <c r="BD32" i="25"/>
  <c r="BE32" i="25" s="1"/>
  <c r="BA32" i="25"/>
  <c r="AZ32" i="25"/>
  <c r="AX32" i="25"/>
  <c r="AW32" i="25"/>
  <c r="CR31" i="25"/>
  <c r="CQ31" i="25"/>
  <c r="CP31" i="25"/>
  <c r="CO31" i="25"/>
  <c r="CN31" i="25"/>
  <c r="CM31" i="25"/>
  <c r="CL31" i="25"/>
  <c r="BW31" i="25" s="1"/>
  <c r="CK31" i="25"/>
  <c r="CJ31" i="25"/>
  <c r="CI31" i="25"/>
  <c r="CH31" i="25"/>
  <c r="CF31" i="25"/>
  <c r="CE31" i="25"/>
  <c r="CD31" i="25"/>
  <c r="BV31" i="25" s="1"/>
  <c r="CC31" i="25"/>
  <c r="BX31" i="25" s="1"/>
  <c r="BU31" i="25"/>
  <c r="CB31" i="25" s="1"/>
  <c r="BS31" i="25"/>
  <c r="BM31" i="25"/>
  <c r="BL31" i="25"/>
  <c r="BD31" i="25"/>
  <c r="BE31" i="25" s="1"/>
  <c r="BA31" i="25"/>
  <c r="AZ31" i="25"/>
  <c r="AX31" i="25"/>
  <c r="AW31" i="25"/>
  <c r="CR152" i="25"/>
  <c r="CQ152" i="25"/>
  <c r="CP152" i="25"/>
  <c r="CO152" i="25"/>
  <c r="CN152" i="25"/>
  <c r="CM152" i="25"/>
  <c r="CL152" i="25"/>
  <c r="BW152" i="25" s="1"/>
  <c r="CK152" i="25"/>
  <c r="CJ152" i="25"/>
  <c r="CI152" i="25"/>
  <c r="CH152" i="25"/>
  <c r="CF152" i="25"/>
  <c r="CE152" i="25"/>
  <c r="CD152" i="25"/>
  <c r="BV152" i="25" s="1"/>
  <c r="CC152" i="25"/>
  <c r="BX152" i="25" s="1"/>
  <c r="BU152" i="25"/>
  <c r="CB152" i="25" s="1"/>
  <c r="BS152" i="25"/>
  <c r="BM152" i="25"/>
  <c r="BL152" i="25"/>
  <c r="BD152" i="25"/>
  <c r="BE152" i="25" s="1"/>
  <c r="BA152" i="25"/>
  <c r="AZ152" i="25"/>
  <c r="AX152" i="25"/>
  <c r="AW152" i="25"/>
  <c r="CR151" i="25"/>
  <c r="CQ151" i="25"/>
  <c r="CP151" i="25"/>
  <c r="CO151" i="25"/>
  <c r="CN151" i="25"/>
  <c r="CM151" i="25"/>
  <c r="CL151" i="25"/>
  <c r="BR151" i="25" s="1"/>
  <c r="CK151" i="25"/>
  <c r="CJ151" i="25"/>
  <c r="CI151" i="25"/>
  <c r="CH151" i="25"/>
  <c r="CF151" i="25"/>
  <c r="CE151" i="25"/>
  <c r="CD151" i="25"/>
  <c r="BV151" i="25" s="1"/>
  <c r="CC151" i="25"/>
  <c r="BX151" i="25" s="1"/>
  <c r="BW151" i="25"/>
  <c r="BU151" i="25"/>
  <c r="CB151" i="25" s="1"/>
  <c r="BM151" i="25"/>
  <c r="BS151" i="25" s="1"/>
  <c r="BL151" i="25"/>
  <c r="BD151" i="25"/>
  <c r="BE151" i="25" s="1"/>
  <c r="BA151" i="25"/>
  <c r="AZ151" i="25"/>
  <c r="AX151" i="25"/>
  <c r="AW151" i="25"/>
  <c r="CR80" i="25"/>
  <c r="CQ80" i="25"/>
  <c r="CP80" i="25"/>
  <c r="CO80" i="25"/>
  <c r="CN80" i="25"/>
  <c r="CM80" i="25"/>
  <c r="CL80" i="25"/>
  <c r="BN80" i="25" s="1"/>
  <c r="BO80" i="25" s="1"/>
  <c r="CK80" i="25"/>
  <c r="CJ80" i="25"/>
  <c r="CI80" i="25"/>
  <c r="CH80" i="25"/>
  <c r="CF80" i="25"/>
  <c r="CE80" i="25"/>
  <c r="CD80" i="25"/>
  <c r="BV80" i="25" s="1"/>
  <c r="CC80" i="25"/>
  <c r="BX80" i="25" s="1"/>
  <c r="BU80" i="25"/>
  <c r="CB80" i="25" s="1"/>
  <c r="BS80" i="25"/>
  <c r="BM80" i="25"/>
  <c r="BL80" i="25"/>
  <c r="BD80" i="25"/>
  <c r="BE80" i="25" s="1"/>
  <c r="BA80" i="25"/>
  <c r="AZ80" i="25"/>
  <c r="AX80" i="25"/>
  <c r="AW80" i="25"/>
  <c r="CR102" i="25"/>
  <c r="CQ102" i="25"/>
  <c r="CP102" i="25"/>
  <c r="CO102" i="25"/>
  <c r="CN102" i="25"/>
  <c r="CM102" i="25"/>
  <c r="CL102" i="25"/>
  <c r="BR102" i="25" s="1"/>
  <c r="CK102" i="25"/>
  <c r="CJ102" i="25"/>
  <c r="CI102" i="25"/>
  <c r="CH102" i="25"/>
  <c r="CF102" i="25"/>
  <c r="CE102" i="25"/>
  <c r="CD102" i="25"/>
  <c r="BV102" i="25" s="1"/>
  <c r="CC102" i="25"/>
  <c r="BX102" i="25" s="1"/>
  <c r="BU102" i="25"/>
  <c r="CB102" i="25" s="1"/>
  <c r="BS102" i="25"/>
  <c r="BM102" i="25"/>
  <c r="BL102" i="25"/>
  <c r="BD102" i="25"/>
  <c r="BE102" i="25" s="1"/>
  <c r="BA102" i="25"/>
  <c r="AZ102" i="25"/>
  <c r="AX102" i="25"/>
  <c r="AW102" i="25"/>
  <c r="CR75" i="25"/>
  <c r="CQ75" i="25"/>
  <c r="CP75" i="25"/>
  <c r="CO75" i="25"/>
  <c r="CM75" i="25"/>
  <c r="CL75" i="25"/>
  <c r="BR75" i="25" s="1"/>
  <c r="CK75" i="25"/>
  <c r="CJ75" i="25"/>
  <c r="CI75" i="25"/>
  <c r="CH75" i="25"/>
  <c r="CF75" i="25"/>
  <c r="CE75" i="25"/>
  <c r="CD75" i="25"/>
  <c r="BV75" i="25" s="1"/>
  <c r="CC75" i="25"/>
  <c r="BX75" i="25" s="1"/>
  <c r="BW75" i="25"/>
  <c r="BU75" i="25"/>
  <c r="CB75" i="25" s="1"/>
  <c r="BS75" i="25"/>
  <c r="BM75" i="25"/>
  <c r="BL75" i="25"/>
  <c r="BD75" i="25"/>
  <c r="BE75" i="25" s="1"/>
  <c r="BA75" i="25"/>
  <c r="AZ75" i="25"/>
  <c r="AX75" i="25"/>
  <c r="AW75" i="25"/>
  <c r="CR134" i="25"/>
  <c r="CQ134" i="25"/>
  <c r="CP134" i="25"/>
  <c r="CO134" i="25"/>
  <c r="CM134" i="25"/>
  <c r="CL134" i="25"/>
  <c r="BN134" i="25" s="1"/>
  <c r="BO134" i="25" s="1"/>
  <c r="CK134" i="25"/>
  <c r="CJ134" i="25"/>
  <c r="CI134" i="25"/>
  <c r="CH134" i="25"/>
  <c r="CF134" i="25"/>
  <c r="CE134" i="25"/>
  <c r="CD134" i="25"/>
  <c r="BV134" i="25" s="1"/>
  <c r="CC134" i="25"/>
  <c r="BX134" i="25" s="1"/>
  <c r="BW134" i="25"/>
  <c r="BU134" i="25"/>
  <c r="CB134" i="25" s="1"/>
  <c r="BS134" i="25"/>
  <c r="BM134" i="25"/>
  <c r="BL134" i="25"/>
  <c r="BD134" i="25"/>
  <c r="BA134" i="25"/>
  <c r="AZ134" i="25"/>
  <c r="AX134" i="25"/>
  <c r="AW134" i="25"/>
  <c r="CR138" i="25"/>
  <c r="CQ138" i="25"/>
  <c r="CP138" i="25"/>
  <c r="CO138" i="25"/>
  <c r="CM138" i="25"/>
  <c r="CL138" i="25"/>
  <c r="BT138" i="25" s="1"/>
  <c r="CK138" i="25"/>
  <c r="CJ138" i="25"/>
  <c r="CI138" i="25"/>
  <c r="CH138" i="25"/>
  <c r="CF138" i="25"/>
  <c r="CE138" i="25"/>
  <c r="CD138" i="25"/>
  <c r="BV138" i="25" s="1"/>
  <c r="CC138" i="25"/>
  <c r="BX138" i="25" s="1"/>
  <c r="BW138" i="25"/>
  <c r="BU138" i="25"/>
  <c r="CB138" i="25" s="1"/>
  <c r="BS138" i="25"/>
  <c r="BM138" i="25"/>
  <c r="BL138" i="25"/>
  <c r="BD138" i="25"/>
  <c r="BE138" i="25" s="1"/>
  <c r="BA138" i="25"/>
  <c r="AZ138" i="25"/>
  <c r="AX138" i="25"/>
  <c r="AW138" i="25"/>
  <c r="CR101" i="25"/>
  <c r="CQ101" i="25"/>
  <c r="CP101" i="25"/>
  <c r="CO101" i="25"/>
  <c r="CM101" i="25"/>
  <c r="CL101" i="25"/>
  <c r="BN101" i="25" s="1"/>
  <c r="BO101" i="25" s="1"/>
  <c r="CK101" i="25"/>
  <c r="CJ101" i="25"/>
  <c r="CI101" i="25"/>
  <c r="CH101" i="25"/>
  <c r="CF101" i="25"/>
  <c r="CE101" i="25"/>
  <c r="CD101" i="25"/>
  <c r="BV101" i="25" s="1"/>
  <c r="CC101" i="25"/>
  <c r="BX101" i="25" s="1"/>
  <c r="BW101" i="25"/>
  <c r="BU101" i="25"/>
  <c r="CB101" i="25" s="1"/>
  <c r="BS101" i="25"/>
  <c r="BM101" i="25"/>
  <c r="BL101" i="25"/>
  <c r="BD101" i="25"/>
  <c r="BE101" i="25" s="1"/>
  <c r="BA101" i="25"/>
  <c r="AZ101" i="25"/>
  <c r="AX101" i="25"/>
  <c r="AW101" i="25"/>
  <c r="CR109" i="25"/>
  <c r="CQ109" i="25"/>
  <c r="CP109" i="25"/>
  <c r="CO109" i="25"/>
  <c r="CM109" i="25"/>
  <c r="CL109" i="25"/>
  <c r="BT109" i="25" s="1"/>
  <c r="CK109" i="25"/>
  <c r="CJ109" i="25"/>
  <c r="CI109" i="25"/>
  <c r="CH109" i="25"/>
  <c r="CF109" i="25"/>
  <c r="CE109" i="25"/>
  <c r="CD109" i="25"/>
  <c r="BV109" i="25" s="1"/>
  <c r="CC109" i="25"/>
  <c r="BX109" i="25" s="1"/>
  <c r="BW109" i="25"/>
  <c r="BU109" i="25"/>
  <c r="CB109" i="25" s="1"/>
  <c r="BS109" i="25"/>
  <c r="BM109" i="25"/>
  <c r="BL109" i="25"/>
  <c r="BD109" i="25"/>
  <c r="BE109" i="25" s="1"/>
  <c r="BA109" i="25"/>
  <c r="AZ109" i="25"/>
  <c r="AX109" i="25"/>
  <c r="AW109" i="25"/>
  <c r="CR139" i="25"/>
  <c r="CQ139" i="25"/>
  <c r="CP139" i="25"/>
  <c r="CO139" i="25"/>
  <c r="CM139" i="25"/>
  <c r="CL139" i="25"/>
  <c r="BR139" i="25" s="1"/>
  <c r="CK139" i="25"/>
  <c r="CJ139" i="25"/>
  <c r="CI139" i="25"/>
  <c r="CH139" i="25"/>
  <c r="CF139" i="25"/>
  <c r="CE139" i="25"/>
  <c r="CD139" i="25"/>
  <c r="BV139" i="25" s="1"/>
  <c r="CC139" i="25"/>
  <c r="BX139" i="25" s="1"/>
  <c r="BW139" i="25"/>
  <c r="BU139" i="25"/>
  <c r="CB139" i="25" s="1"/>
  <c r="BS139" i="25"/>
  <c r="BM139" i="25"/>
  <c r="BL139" i="25"/>
  <c r="BD139" i="25"/>
  <c r="BA139" i="25"/>
  <c r="AZ139" i="25"/>
  <c r="AX139" i="25"/>
  <c r="AW139" i="25"/>
  <c r="CR30" i="25"/>
  <c r="CQ30" i="25"/>
  <c r="CP30" i="25"/>
  <c r="CO30" i="25"/>
  <c r="CN30" i="25"/>
  <c r="CM30" i="25"/>
  <c r="CL30" i="25"/>
  <c r="BT30" i="25" s="1"/>
  <c r="CK30" i="25"/>
  <c r="CJ30" i="25"/>
  <c r="CI30" i="25"/>
  <c r="CH30" i="25"/>
  <c r="CF30" i="25"/>
  <c r="CE30" i="25"/>
  <c r="CD30" i="25"/>
  <c r="BV30" i="25" s="1"/>
  <c r="CC30" i="25"/>
  <c r="BX30" i="25" s="1"/>
  <c r="BW30" i="25"/>
  <c r="BU30" i="25"/>
  <c r="CB30" i="25" s="1"/>
  <c r="BM30" i="25"/>
  <c r="BL30" i="25"/>
  <c r="BD30" i="25"/>
  <c r="BA30" i="25"/>
  <c r="AZ30" i="25"/>
  <c r="AX30" i="25"/>
  <c r="AW30" i="25"/>
  <c r="CR20" i="25"/>
  <c r="CQ20" i="25"/>
  <c r="CP20" i="25"/>
  <c r="CO20" i="25"/>
  <c r="CN20" i="25"/>
  <c r="CM20" i="25"/>
  <c r="CL20" i="25"/>
  <c r="BT20" i="25" s="1"/>
  <c r="CK20" i="25"/>
  <c r="CJ20" i="25"/>
  <c r="CI20" i="25"/>
  <c r="CH20" i="25"/>
  <c r="CF20" i="25"/>
  <c r="CE20" i="25"/>
  <c r="CD20" i="25"/>
  <c r="BV20" i="25" s="1"/>
  <c r="CC20" i="25"/>
  <c r="BX20" i="25" s="1"/>
  <c r="BW20" i="25"/>
  <c r="BU20" i="25"/>
  <c r="CB20" i="25" s="1"/>
  <c r="BM20" i="25"/>
  <c r="BL20" i="25"/>
  <c r="BD20" i="25"/>
  <c r="BA20" i="25"/>
  <c r="AZ20" i="25"/>
  <c r="AX20" i="25"/>
  <c r="AW20" i="25"/>
  <c r="CR29" i="25"/>
  <c r="CQ29" i="25"/>
  <c r="CP29" i="25"/>
  <c r="CO29" i="25"/>
  <c r="CN29" i="25"/>
  <c r="CM29" i="25"/>
  <c r="CL29" i="25"/>
  <c r="BN29" i="25" s="1"/>
  <c r="BO29" i="25" s="1"/>
  <c r="CK29" i="25"/>
  <c r="CJ29" i="25"/>
  <c r="CI29" i="25"/>
  <c r="CH29" i="25"/>
  <c r="CF29" i="25"/>
  <c r="CE29" i="25"/>
  <c r="CD29" i="25"/>
  <c r="BV29" i="25" s="1"/>
  <c r="CC29" i="25"/>
  <c r="BX29" i="25" s="1"/>
  <c r="BW29" i="25"/>
  <c r="BU29" i="25"/>
  <c r="CB29" i="25" s="1"/>
  <c r="BS29" i="25"/>
  <c r="BM29" i="25"/>
  <c r="BL29" i="25"/>
  <c r="BD29" i="25"/>
  <c r="BA29" i="25"/>
  <c r="AZ29" i="25"/>
  <c r="AX29" i="25"/>
  <c r="AW29" i="25"/>
  <c r="CR51" i="25"/>
  <c r="CQ51" i="25"/>
  <c r="CP51" i="25"/>
  <c r="CO51" i="25"/>
  <c r="CN51" i="25"/>
  <c r="CM51" i="25"/>
  <c r="CL51" i="25"/>
  <c r="BR51" i="25" s="1"/>
  <c r="CK51" i="25"/>
  <c r="CJ51" i="25"/>
  <c r="CI51" i="25"/>
  <c r="CH51" i="25"/>
  <c r="CF51" i="25"/>
  <c r="CE51" i="25"/>
  <c r="CD51" i="25"/>
  <c r="BV51" i="25" s="1"/>
  <c r="CC51" i="25"/>
  <c r="BX51" i="25" s="1"/>
  <c r="BU51" i="25"/>
  <c r="CB51" i="25" s="1"/>
  <c r="BM51" i="25"/>
  <c r="BL51" i="25"/>
  <c r="BD51" i="25"/>
  <c r="BA51" i="25"/>
  <c r="AZ51" i="25"/>
  <c r="AX51" i="25"/>
  <c r="AW51" i="25"/>
  <c r="CR149" i="25"/>
  <c r="CQ149" i="25"/>
  <c r="CP149" i="25"/>
  <c r="CO149" i="25"/>
  <c r="CN149" i="25"/>
  <c r="CM149" i="25"/>
  <c r="CL149" i="25"/>
  <c r="BT149" i="25" s="1"/>
  <c r="CK149" i="25"/>
  <c r="CJ149" i="25"/>
  <c r="CI149" i="25"/>
  <c r="CH149" i="25"/>
  <c r="CF149" i="25"/>
  <c r="CE149" i="25"/>
  <c r="CD149" i="25"/>
  <c r="BV149" i="25" s="1"/>
  <c r="CC149" i="25"/>
  <c r="BX149" i="25" s="1"/>
  <c r="BU149" i="25"/>
  <c r="CB149" i="25" s="1"/>
  <c r="BS149" i="25"/>
  <c r="BM149" i="25"/>
  <c r="BL149" i="25"/>
  <c r="BD149" i="25"/>
  <c r="BA149" i="25"/>
  <c r="AZ149" i="25"/>
  <c r="AX149" i="25"/>
  <c r="AW149" i="25"/>
  <c r="CR28" i="25"/>
  <c r="CQ28" i="25"/>
  <c r="CP28" i="25"/>
  <c r="CO28" i="25"/>
  <c r="CN28" i="25"/>
  <c r="CM28" i="25"/>
  <c r="CL28" i="25"/>
  <c r="BT28" i="25" s="1"/>
  <c r="CK28" i="25"/>
  <c r="CJ28" i="25"/>
  <c r="CI28" i="25"/>
  <c r="CH28" i="25"/>
  <c r="CF28" i="25"/>
  <c r="CE28" i="25"/>
  <c r="CD28" i="25"/>
  <c r="BV28" i="25" s="1"/>
  <c r="CC28" i="25"/>
  <c r="BX28" i="25" s="1"/>
  <c r="BW28" i="25"/>
  <c r="BU28" i="25"/>
  <c r="CB28" i="25" s="1"/>
  <c r="BM28" i="25"/>
  <c r="BL28" i="25"/>
  <c r="BD28" i="25"/>
  <c r="BA28" i="25"/>
  <c r="AZ28" i="25"/>
  <c r="AX28" i="25"/>
  <c r="AW28" i="25"/>
  <c r="CR9" i="25"/>
  <c r="CQ9" i="25"/>
  <c r="CP9" i="25"/>
  <c r="CO9" i="25"/>
  <c r="CN9" i="25"/>
  <c r="CM9" i="25"/>
  <c r="CL9" i="25"/>
  <c r="BN9" i="25" s="1"/>
  <c r="BO9" i="25" s="1"/>
  <c r="CK9" i="25"/>
  <c r="CJ9" i="25"/>
  <c r="CI9" i="25"/>
  <c r="CH9" i="25"/>
  <c r="CF9" i="25"/>
  <c r="CE9" i="25"/>
  <c r="CD9" i="25"/>
  <c r="BV9" i="25" s="1"/>
  <c r="CC9" i="25"/>
  <c r="BX9" i="25" s="1"/>
  <c r="BW9" i="25"/>
  <c r="BU9" i="25"/>
  <c r="CB9" i="25" s="1"/>
  <c r="BS9" i="25"/>
  <c r="BM9" i="25"/>
  <c r="BL9" i="25"/>
  <c r="BD9" i="25"/>
  <c r="BA9" i="25"/>
  <c r="AZ9" i="25"/>
  <c r="AX9" i="25"/>
  <c r="AW9" i="25"/>
  <c r="CR27" i="25"/>
  <c r="CQ27" i="25"/>
  <c r="CP27" i="25"/>
  <c r="CO27" i="25"/>
  <c r="CN27" i="25"/>
  <c r="CM27" i="25"/>
  <c r="CL27" i="25"/>
  <c r="BR27" i="25" s="1"/>
  <c r="CK27" i="25"/>
  <c r="CJ27" i="25"/>
  <c r="CI27" i="25"/>
  <c r="CH27" i="25"/>
  <c r="CF27" i="25"/>
  <c r="CE27" i="25"/>
  <c r="CD27" i="25"/>
  <c r="BV27" i="25" s="1"/>
  <c r="CC27" i="25"/>
  <c r="BX27" i="25" s="1"/>
  <c r="BW27" i="25"/>
  <c r="BU27" i="25"/>
  <c r="CB27" i="25" s="1"/>
  <c r="BS27" i="25"/>
  <c r="BM27" i="25"/>
  <c r="BL27" i="25"/>
  <c r="BD27" i="25"/>
  <c r="BA27" i="25"/>
  <c r="AZ27" i="25"/>
  <c r="AX27" i="25"/>
  <c r="AW27" i="25"/>
  <c r="CR26" i="25"/>
  <c r="CQ26" i="25"/>
  <c r="CP26" i="25"/>
  <c r="CO26" i="25"/>
  <c r="CN26" i="25"/>
  <c r="CM26" i="25"/>
  <c r="CL26" i="25"/>
  <c r="BT26" i="25" s="1"/>
  <c r="CK26" i="25"/>
  <c r="CJ26" i="25"/>
  <c r="CI26" i="25"/>
  <c r="CH26" i="25"/>
  <c r="CF26" i="25"/>
  <c r="CE26" i="25"/>
  <c r="CD26" i="25"/>
  <c r="BV26" i="25" s="1"/>
  <c r="CC26" i="25"/>
  <c r="BX26" i="25" s="1"/>
  <c r="BW26" i="25"/>
  <c r="BU26" i="25"/>
  <c r="CB26" i="25" s="1"/>
  <c r="BM26" i="25"/>
  <c r="BL26" i="25"/>
  <c r="BD26" i="25"/>
  <c r="BA26" i="25"/>
  <c r="AZ26" i="25"/>
  <c r="AX26" i="25"/>
  <c r="AW26" i="25"/>
  <c r="CR8" i="25"/>
  <c r="CQ8" i="25"/>
  <c r="CP8" i="25"/>
  <c r="CO8" i="25"/>
  <c r="CN8" i="25"/>
  <c r="CM8" i="25"/>
  <c r="CL8" i="25"/>
  <c r="BT8" i="25" s="1"/>
  <c r="CK8" i="25"/>
  <c r="CJ8" i="25"/>
  <c r="CI8" i="25"/>
  <c r="CH8" i="25"/>
  <c r="CF8" i="25"/>
  <c r="CE8" i="25"/>
  <c r="CD8" i="25"/>
  <c r="BV8" i="25" s="1"/>
  <c r="CC8" i="25"/>
  <c r="BX8" i="25" s="1"/>
  <c r="BU8" i="25"/>
  <c r="CB8" i="25" s="1"/>
  <c r="BS8" i="25"/>
  <c r="BM8" i="25"/>
  <c r="BL8" i="25"/>
  <c r="BD8" i="25"/>
  <c r="BA8" i="25"/>
  <c r="AZ8" i="25"/>
  <c r="AX8" i="25"/>
  <c r="AW8" i="25"/>
  <c r="CR25" i="25"/>
  <c r="CQ25" i="25"/>
  <c r="CP25" i="25"/>
  <c r="CO25" i="25"/>
  <c r="CN25" i="25"/>
  <c r="CM25" i="25"/>
  <c r="CL25" i="25"/>
  <c r="BW25" i="25" s="1"/>
  <c r="CK25" i="25"/>
  <c r="CJ25" i="25"/>
  <c r="CI25" i="25"/>
  <c r="CH25" i="25"/>
  <c r="CF25" i="25"/>
  <c r="CE25" i="25"/>
  <c r="CD25" i="25"/>
  <c r="BV25" i="25" s="1"/>
  <c r="CC25" i="25"/>
  <c r="BX25" i="25" s="1"/>
  <c r="BU25" i="25"/>
  <c r="CB25" i="25" s="1"/>
  <c r="BS25" i="25"/>
  <c r="BM25" i="25"/>
  <c r="BL25" i="25"/>
  <c r="BD25" i="25"/>
  <c r="BA25" i="25"/>
  <c r="AZ25" i="25"/>
  <c r="AX25" i="25"/>
  <c r="AW25" i="25"/>
  <c r="CR142" i="25"/>
  <c r="CQ142" i="25"/>
  <c r="CP142" i="25"/>
  <c r="CO142" i="25"/>
  <c r="CN142" i="25"/>
  <c r="CM142" i="25"/>
  <c r="CL142" i="25"/>
  <c r="BN142" i="25" s="1"/>
  <c r="BO142" i="25" s="1"/>
  <c r="CK142" i="25"/>
  <c r="CJ142" i="25"/>
  <c r="CI142" i="25"/>
  <c r="CH142" i="25"/>
  <c r="CF142" i="25"/>
  <c r="CE142" i="25"/>
  <c r="CD142" i="25"/>
  <c r="BV142" i="25" s="1"/>
  <c r="CC142" i="25"/>
  <c r="BX142" i="25" s="1"/>
  <c r="BW142" i="25"/>
  <c r="BU142" i="25"/>
  <c r="CB142" i="25" s="1"/>
  <c r="BS142" i="25"/>
  <c r="BM142" i="25"/>
  <c r="BL142" i="25"/>
  <c r="BD142" i="25"/>
  <c r="BA142" i="25"/>
  <c r="AZ142" i="25"/>
  <c r="AX142" i="25"/>
  <c r="AW142" i="25"/>
  <c r="CR108" i="25"/>
  <c r="CQ108" i="25"/>
  <c r="CP108" i="25"/>
  <c r="CO108" i="25"/>
  <c r="CN108" i="25"/>
  <c r="CM108" i="25"/>
  <c r="CL108" i="25"/>
  <c r="BT108" i="25" s="1"/>
  <c r="CK108" i="25"/>
  <c r="CJ108" i="25"/>
  <c r="CI108" i="25"/>
  <c r="CH108" i="25"/>
  <c r="CF108" i="25"/>
  <c r="CE108" i="25"/>
  <c r="CD108" i="25"/>
  <c r="BV108" i="25" s="1"/>
  <c r="CC108" i="25"/>
  <c r="BX108" i="25" s="1"/>
  <c r="BW108" i="25"/>
  <c r="BU108" i="25"/>
  <c r="CB108" i="25" s="1"/>
  <c r="BS108" i="25"/>
  <c r="BM108" i="25"/>
  <c r="BL108" i="25"/>
  <c r="BD108" i="25"/>
  <c r="BA108" i="25"/>
  <c r="AZ108" i="25"/>
  <c r="AX108" i="25"/>
  <c r="AW108" i="25"/>
  <c r="CR131" i="25"/>
  <c r="CQ131" i="25"/>
  <c r="CP131" i="25"/>
  <c r="CO131" i="25"/>
  <c r="CN131" i="25"/>
  <c r="CM131" i="25"/>
  <c r="CL131" i="25"/>
  <c r="BT131" i="25" s="1"/>
  <c r="CK131" i="25"/>
  <c r="CJ131" i="25"/>
  <c r="CI131" i="25"/>
  <c r="CH131" i="25"/>
  <c r="CF131" i="25"/>
  <c r="CE131" i="25"/>
  <c r="CD131" i="25"/>
  <c r="BV131" i="25" s="1"/>
  <c r="CC131" i="25"/>
  <c r="BX131" i="25" s="1"/>
  <c r="BW131" i="25"/>
  <c r="BU131" i="25"/>
  <c r="CB131" i="25" s="1"/>
  <c r="BS131" i="25"/>
  <c r="BM131" i="25"/>
  <c r="BL131" i="25"/>
  <c r="BD131" i="25"/>
  <c r="BA131" i="25"/>
  <c r="AZ131" i="25"/>
  <c r="AX131" i="25"/>
  <c r="AW131" i="25"/>
  <c r="CR133" i="25"/>
  <c r="CQ133" i="25"/>
  <c r="CP133" i="25"/>
  <c r="CO133" i="25"/>
  <c r="CN133" i="25"/>
  <c r="CM133" i="25"/>
  <c r="CL133" i="25"/>
  <c r="BR133" i="25" s="1"/>
  <c r="CK133" i="25"/>
  <c r="CJ133" i="25"/>
  <c r="CI133" i="25"/>
  <c r="CH133" i="25"/>
  <c r="CF133" i="25"/>
  <c r="CE133" i="25"/>
  <c r="CD133" i="25"/>
  <c r="BV133" i="25" s="1"/>
  <c r="CC133" i="25"/>
  <c r="BX133" i="25" s="1"/>
  <c r="BW133" i="25"/>
  <c r="BU133" i="25"/>
  <c r="CB133" i="25" s="1"/>
  <c r="BS133" i="25"/>
  <c r="BM133" i="25"/>
  <c r="BL133" i="25"/>
  <c r="BD133" i="25"/>
  <c r="BA133" i="25"/>
  <c r="AZ133" i="25"/>
  <c r="AX133" i="25"/>
  <c r="AW133" i="25"/>
  <c r="CR95" i="25"/>
  <c r="CQ95" i="25"/>
  <c r="CP95" i="25"/>
  <c r="CO95" i="25"/>
  <c r="CN95" i="25"/>
  <c r="CM95" i="25"/>
  <c r="CL95" i="25"/>
  <c r="BN95" i="25" s="1"/>
  <c r="BO95" i="25" s="1"/>
  <c r="CK95" i="25"/>
  <c r="CJ95" i="25"/>
  <c r="CI95" i="25"/>
  <c r="CH95" i="25"/>
  <c r="CF95" i="25"/>
  <c r="CE95" i="25"/>
  <c r="CD95" i="25"/>
  <c r="BV95" i="25" s="1"/>
  <c r="CC95" i="25"/>
  <c r="BX95" i="25" s="1"/>
  <c r="BW95" i="25"/>
  <c r="BU95" i="25"/>
  <c r="CB95" i="25" s="1"/>
  <c r="BS95" i="25"/>
  <c r="BM95" i="25"/>
  <c r="BL95" i="25"/>
  <c r="BD95" i="25"/>
  <c r="BA95" i="25"/>
  <c r="AZ95" i="25"/>
  <c r="AX95" i="25"/>
  <c r="AW95" i="25"/>
  <c r="CR96" i="25"/>
  <c r="CQ96" i="25"/>
  <c r="CP96" i="25"/>
  <c r="CO96" i="25"/>
  <c r="CN96" i="25"/>
  <c r="CM96" i="25"/>
  <c r="CL96" i="25"/>
  <c r="BT96" i="25" s="1"/>
  <c r="CK96" i="25"/>
  <c r="CJ96" i="25"/>
  <c r="CI96" i="25"/>
  <c r="CH96" i="25"/>
  <c r="CF96" i="25"/>
  <c r="CE96" i="25"/>
  <c r="CD96" i="25"/>
  <c r="BV96" i="25" s="1"/>
  <c r="CC96" i="25"/>
  <c r="BX96" i="25" s="1"/>
  <c r="BW96" i="25"/>
  <c r="BU96" i="25"/>
  <c r="CB96" i="25" s="1"/>
  <c r="BS96" i="25"/>
  <c r="BM96" i="25"/>
  <c r="BL96" i="25"/>
  <c r="BD96" i="25"/>
  <c r="BA96" i="25"/>
  <c r="AZ96" i="25"/>
  <c r="AX96" i="25"/>
  <c r="AW96" i="25"/>
  <c r="CR85" i="25"/>
  <c r="CQ85" i="25"/>
  <c r="CP85" i="25"/>
  <c r="CO85" i="25"/>
  <c r="CN85" i="25"/>
  <c r="CM85" i="25"/>
  <c r="CL85" i="25"/>
  <c r="BR85" i="25" s="1"/>
  <c r="CK85" i="25"/>
  <c r="CJ85" i="25"/>
  <c r="CI85" i="25"/>
  <c r="CH85" i="25"/>
  <c r="CF85" i="25"/>
  <c r="CE85" i="25"/>
  <c r="CD85" i="25"/>
  <c r="BV85" i="25" s="1"/>
  <c r="CC85" i="25"/>
  <c r="BX85" i="25" s="1"/>
  <c r="BW85" i="25"/>
  <c r="BU85" i="25"/>
  <c r="CB85" i="25" s="1"/>
  <c r="BS85" i="25"/>
  <c r="BM85" i="25"/>
  <c r="BL85" i="25"/>
  <c r="BD85" i="25"/>
  <c r="BA85" i="25"/>
  <c r="AZ85" i="25"/>
  <c r="AX85" i="25"/>
  <c r="AW85" i="25"/>
  <c r="CR76" i="25"/>
  <c r="CQ76" i="25"/>
  <c r="CP76" i="25"/>
  <c r="CO76" i="25"/>
  <c r="CN76" i="25"/>
  <c r="CM76" i="25"/>
  <c r="CL76" i="25"/>
  <c r="BN76" i="25" s="1"/>
  <c r="BO76" i="25" s="1"/>
  <c r="CK76" i="25"/>
  <c r="CJ76" i="25"/>
  <c r="CI76" i="25"/>
  <c r="CH76" i="25"/>
  <c r="CF76" i="25"/>
  <c r="CE76" i="25"/>
  <c r="CD76" i="25"/>
  <c r="BV76" i="25" s="1"/>
  <c r="CC76" i="25"/>
  <c r="BX76" i="25" s="1"/>
  <c r="BW76" i="25"/>
  <c r="BU76" i="25"/>
  <c r="CB76" i="25" s="1"/>
  <c r="BS76" i="25"/>
  <c r="BM76" i="25"/>
  <c r="BL76" i="25"/>
  <c r="BD76" i="25"/>
  <c r="BA76" i="25"/>
  <c r="AZ76" i="25"/>
  <c r="AX76" i="25"/>
  <c r="AW76" i="25"/>
  <c r="CR74" i="25"/>
  <c r="CQ74" i="25"/>
  <c r="CP74" i="25"/>
  <c r="CO74" i="25"/>
  <c r="CN74" i="25"/>
  <c r="CM74" i="25"/>
  <c r="CL74" i="25"/>
  <c r="BR74" i="25" s="1"/>
  <c r="CK74" i="25"/>
  <c r="CJ74" i="25"/>
  <c r="CI74" i="25"/>
  <c r="CH74" i="25"/>
  <c r="CF74" i="25"/>
  <c r="CE74" i="25"/>
  <c r="CD74" i="25"/>
  <c r="BV74" i="25" s="1"/>
  <c r="CC74" i="25"/>
  <c r="BX74" i="25" s="1"/>
  <c r="BW74" i="25"/>
  <c r="BU74" i="25"/>
  <c r="CB74" i="25" s="1"/>
  <c r="BS74" i="25"/>
  <c r="BM74" i="25"/>
  <c r="BL74" i="25"/>
  <c r="BD74" i="25"/>
  <c r="BA74" i="25"/>
  <c r="AZ74" i="25"/>
  <c r="AX74" i="25"/>
  <c r="AW74" i="25"/>
  <c r="CR61" i="25"/>
  <c r="CQ61" i="25"/>
  <c r="CP61" i="25"/>
  <c r="CO61" i="25"/>
  <c r="CN61" i="25"/>
  <c r="CM61" i="25"/>
  <c r="CL61" i="25"/>
  <c r="BT61" i="25" s="1"/>
  <c r="CK61" i="25"/>
  <c r="CJ61" i="25"/>
  <c r="CI61" i="25"/>
  <c r="CH61" i="25"/>
  <c r="CF61" i="25"/>
  <c r="CE61" i="25"/>
  <c r="CD61" i="25"/>
  <c r="BV61" i="25" s="1"/>
  <c r="CC61" i="25"/>
  <c r="BX61" i="25" s="1"/>
  <c r="BW61" i="25"/>
  <c r="BU61" i="25"/>
  <c r="CB61" i="25" s="1"/>
  <c r="BS61" i="25"/>
  <c r="BM61" i="25"/>
  <c r="BL61" i="25"/>
  <c r="BD61" i="25"/>
  <c r="BA61" i="25"/>
  <c r="AZ61" i="25"/>
  <c r="AX61" i="25"/>
  <c r="AW61" i="25"/>
  <c r="CR10" i="25"/>
  <c r="CQ10" i="25"/>
  <c r="CP10" i="25"/>
  <c r="CO10" i="25"/>
  <c r="CN10" i="25"/>
  <c r="CM10" i="25"/>
  <c r="CL10" i="25"/>
  <c r="BR10" i="25" s="1"/>
  <c r="CK10" i="25"/>
  <c r="CJ10" i="25"/>
  <c r="CI10" i="25"/>
  <c r="CH10" i="25"/>
  <c r="CF10" i="25"/>
  <c r="CE10" i="25"/>
  <c r="CD10" i="25"/>
  <c r="BV10" i="25" s="1"/>
  <c r="CC10" i="25"/>
  <c r="BX10" i="25" s="1"/>
  <c r="BW10" i="25"/>
  <c r="BU10" i="25"/>
  <c r="CB10" i="25" s="1"/>
  <c r="BS10" i="25"/>
  <c r="BM10" i="25"/>
  <c r="BL10" i="25"/>
  <c r="BD10" i="25"/>
  <c r="BA10" i="25"/>
  <c r="AZ10" i="25"/>
  <c r="AX10" i="25"/>
  <c r="AW10" i="25"/>
  <c r="CR59" i="25"/>
  <c r="CQ59" i="25"/>
  <c r="CP59" i="25"/>
  <c r="CO59" i="25"/>
  <c r="CN59" i="25"/>
  <c r="CM59" i="25"/>
  <c r="CL59" i="25"/>
  <c r="BT59" i="25" s="1"/>
  <c r="CK59" i="25"/>
  <c r="CJ59" i="25"/>
  <c r="CI59" i="25"/>
  <c r="CH59" i="25"/>
  <c r="CF59" i="25"/>
  <c r="CE59" i="25"/>
  <c r="CD59" i="25"/>
  <c r="BV59" i="25" s="1"/>
  <c r="CC59" i="25"/>
  <c r="BX59" i="25" s="1"/>
  <c r="BW59" i="25"/>
  <c r="BU59" i="25"/>
  <c r="CB59" i="25" s="1"/>
  <c r="BS59" i="25"/>
  <c r="BM59" i="25"/>
  <c r="BL59" i="25"/>
  <c r="BD59" i="25"/>
  <c r="BA59" i="25"/>
  <c r="AZ59" i="25"/>
  <c r="AX59" i="25"/>
  <c r="AW59" i="25"/>
  <c r="CR150" i="25"/>
  <c r="CQ150" i="25"/>
  <c r="CP150" i="25"/>
  <c r="CO150" i="25"/>
  <c r="CN150" i="25"/>
  <c r="CM150" i="25"/>
  <c r="CL150" i="25"/>
  <c r="BW150" i="25" s="1"/>
  <c r="CK150" i="25"/>
  <c r="CJ150" i="25"/>
  <c r="CI150" i="25"/>
  <c r="CH150" i="25"/>
  <c r="CF150" i="25"/>
  <c r="CE150" i="25"/>
  <c r="CD150" i="25"/>
  <c r="BV150" i="25" s="1"/>
  <c r="CC150" i="25"/>
  <c r="BX150" i="25" s="1"/>
  <c r="BU150" i="25"/>
  <c r="CB150" i="25" s="1"/>
  <c r="BS150" i="25"/>
  <c r="BM150" i="25"/>
  <c r="BL150" i="25"/>
  <c r="BD150" i="25"/>
  <c r="BA150" i="25"/>
  <c r="AZ150" i="25"/>
  <c r="AX150" i="25"/>
  <c r="AW150" i="25"/>
  <c r="CR153" i="25"/>
  <c r="CQ153" i="25"/>
  <c r="CP153" i="25"/>
  <c r="CO153" i="25"/>
  <c r="CN153" i="25"/>
  <c r="CM153" i="25"/>
  <c r="CL153" i="25"/>
  <c r="BT153" i="25" s="1"/>
  <c r="CK153" i="25"/>
  <c r="CJ153" i="25"/>
  <c r="CI153" i="25"/>
  <c r="CH153" i="25"/>
  <c r="CF153" i="25"/>
  <c r="CE153" i="25"/>
  <c r="CD153" i="25"/>
  <c r="BV153" i="25" s="1"/>
  <c r="CC153" i="25"/>
  <c r="BX153" i="25" s="1"/>
  <c r="BW153" i="25"/>
  <c r="BU153" i="25"/>
  <c r="CB153" i="25" s="1"/>
  <c r="BS153" i="25"/>
  <c r="BM153" i="25"/>
  <c r="BL153" i="25"/>
  <c r="BD153" i="25"/>
  <c r="BA153" i="25"/>
  <c r="AZ153" i="25"/>
  <c r="AX153" i="25"/>
  <c r="AW153" i="25"/>
  <c r="CR173" i="25"/>
  <c r="CQ173" i="25"/>
  <c r="CP173" i="25"/>
  <c r="CO173" i="25"/>
  <c r="CN173" i="25"/>
  <c r="CM173" i="25"/>
  <c r="CL173" i="25"/>
  <c r="BT173" i="25" s="1"/>
  <c r="CK173" i="25"/>
  <c r="CJ173" i="25"/>
  <c r="CI173" i="25"/>
  <c r="CH173" i="25"/>
  <c r="CF173" i="25"/>
  <c r="CE173" i="25"/>
  <c r="CD173" i="25"/>
  <c r="BV173" i="25" s="1"/>
  <c r="CC173" i="25"/>
  <c r="BX173" i="25" s="1"/>
  <c r="BU173" i="25"/>
  <c r="CB173" i="25" s="1"/>
  <c r="BM173" i="25"/>
  <c r="BL173" i="25"/>
  <c r="BD173" i="25"/>
  <c r="BA173" i="25"/>
  <c r="AZ173" i="25"/>
  <c r="AX173" i="25"/>
  <c r="AW173" i="25"/>
  <c r="CR88" i="25"/>
  <c r="CQ88" i="25"/>
  <c r="CP88" i="25"/>
  <c r="CO88" i="25"/>
  <c r="CN88" i="25"/>
  <c r="CM88" i="25"/>
  <c r="CL88" i="25"/>
  <c r="BN88" i="25" s="1"/>
  <c r="BO88" i="25" s="1"/>
  <c r="CK88" i="25"/>
  <c r="CJ88" i="25"/>
  <c r="CI88" i="25"/>
  <c r="CH88" i="25"/>
  <c r="CF88" i="25"/>
  <c r="CE88" i="25"/>
  <c r="CD88" i="25"/>
  <c r="BV88" i="25" s="1"/>
  <c r="CC88" i="25"/>
  <c r="BX88" i="25" s="1"/>
  <c r="BU88" i="25"/>
  <c r="CB88" i="25" s="1"/>
  <c r="BS88" i="25"/>
  <c r="BM88" i="25"/>
  <c r="BL88" i="25"/>
  <c r="BD88" i="25"/>
  <c r="BA88" i="25"/>
  <c r="BB88" i="25" s="1"/>
  <c r="BC88" i="25" s="1"/>
  <c r="AZ88" i="25"/>
  <c r="AX88" i="25"/>
  <c r="AW88" i="25"/>
  <c r="CR87" i="25"/>
  <c r="CQ87" i="25"/>
  <c r="CP87" i="25"/>
  <c r="CO87" i="25"/>
  <c r="CN87" i="25"/>
  <c r="CM87" i="25"/>
  <c r="CL87" i="25"/>
  <c r="BW87" i="25" s="1"/>
  <c r="CK87" i="25"/>
  <c r="CJ87" i="25"/>
  <c r="CI87" i="25"/>
  <c r="CH87" i="25"/>
  <c r="CF87" i="25"/>
  <c r="CE87" i="25"/>
  <c r="CD87" i="25"/>
  <c r="BV87" i="25" s="1"/>
  <c r="CC87" i="25"/>
  <c r="BX87" i="25" s="1"/>
  <c r="BU87" i="25"/>
  <c r="CB87" i="25" s="1"/>
  <c r="BS87" i="25"/>
  <c r="BM87" i="25"/>
  <c r="BL87" i="25"/>
  <c r="BD87" i="25"/>
  <c r="BA87" i="25"/>
  <c r="BB87" i="25" s="1"/>
  <c r="BC87" i="25" s="1"/>
  <c r="AZ87" i="25"/>
  <c r="AX87" i="25"/>
  <c r="AW87" i="25"/>
  <c r="CR81" i="25"/>
  <c r="CQ81" i="25"/>
  <c r="CP81" i="25"/>
  <c r="CO81" i="25"/>
  <c r="CN81" i="25"/>
  <c r="CM81" i="25"/>
  <c r="CL81" i="25"/>
  <c r="BT81" i="25" s="1"/>
  <c r="CK81" i="25"/>
  <c r="CJ81" i="25"/>
  <c r="CI81" i="25"/>
  <c r="CH81" i="25"/>
  <c r="CF81" i="25"/>
  <c r="CE81" i="25"/>
  <c r="CD81" i="25"/>
  <c r="BV81" i="25" s="1"/>
  <c r="CC81" i="25"/>
  <c r="BX81" i="25" s="1"/>
  <c r="BU81" i="25"/>
  <c r="CB81" i="25" s="1"/>
  <c r="BM81" i="25"/>
  <c r="BL81" i="25"/>
  <c r="BD81" i="25"/>
  <c r="BA81" i="25"/>
  <c r="AZ81" i="25"/>
  <c r="AX81" i="25"/>
  <c r="AW81" i="25"/>
  <c r="CR54" i="25"/>
  <c r="CQ54" i="25"/>
  <c r="CP54" i="25"/>
  <c r="CO54" i="25"/>
  <c r="CN54" i="25"/>
  <c r="CM54" i="25"/>
  <c r="CL54" i="25"/>
  <c r="BT54" i="25" s="1"/>
  <c r="CK54" i="25"/>
  <c r="CJ54" i="25"/>
  <c r="CI54" i="25"/>
  <c r="CH54" i="25"/>
  <c r="CF54" i="25"/>
  <c r="CE54" i="25"/>
  <c r="CD54" i="25"/>
  <c r="BV54" i="25" s="1"/>
  <c r="CC54" i="25"/>
  <c r="BX54" i="25" s="1"/>
  <c r="BU54" i="25"/>
  <c r="CB54" i="25" s="1"/>
  <c r="BS54" i="25"/>
  <c r="BM54" i="25"/>
  <c r="BL54" i="25"/>
  <c r="BD54" i="25"/>
  <c r="BA54" i="25"/>
  <c r="AZ54" i="25"/>
  <c r="AX54" i="25"/>
  <c r="AW54" i="25"/>
  <c r="BR70" i="25" l="1"/>
  <c r="BT309" i="25"/>
  <c r="BB351" i="25"/>
  <c r="BC351" i="25" s="1"/>
  <c r="BB244" i="25"/>
  <c r="BC244" i="25" s="1"/>
  <c r="BB234" i="25"/>
  <c r="BC234" i="25" s="1"/>
  <c r="BR234" i="25"/>
  <c r="BB233" i="25"/>
  <c r="BC233" i="25" s="1"/>
  <c r="BG233" i="25" s="1"/>
  <c r="BH233" i="25" s="1"/>
  <c r="BK233" i="25" s="1"/>
  <c r="BR233" i="25"/>
  <c r="BQ233" i="25" s="1"/>
  <c r="BP233" i="25" s="1"/>
  <c r="BB255" i="25"/>
  <c r="BC255" i="25" s="1"/>
  <c r="BR255" i="25"/>
  <c r="BQ255" i="25" s="1"/>
  <c r="BP255" i="25" s="1"/>
  <c r="BB259" i="25"/>
  <c r="BC259" i="25" s="1"/>
  <c r="BR217" i="25"/>
  <c r="BQ217" i="25" s="1"/>
  <c r="BP217" i="25" s="1"/>
  <c r="BB251" i="25"/>
  <c r="BC251" i="25" s="1"/>
  <c r="BR251" i="25"/>
  <c r="BB99" i="25"/>
  <c r="BB413" i="25"/>
  <c r="BF413" i="25" s="1"/>
  <c r="BI413" i="25" s="1"/>
  <c r="BJ413" i="25" s="1"/>
  <c r="BW416" i="25"/>
  <c r="BY416" i="25" s="1"/>
  <c r="BZ416" i="25" s="1"/>
  <c r="CA416" i="25" s="1"/>
  <c r="BW413" i="25"/>
  <c r="BY413" i="25" s="1"/>
  <c r="BZ413" i="25" s="1"/>
  <c r="CA413" i="25" s="1"/>
  <c r="BW62" i="25"/>
  <c r="BY62" i="25" s="1"/>
  <c r="BZ62" i="25" s="1"/>
  <c r="CA62" i="25" s="1"/>
  <c r="BW296" i="25"/>
  <c r="BB197" i="25"/>
  <c r="BC197" i="25" s="1"/>
  <c r="BG197" i="25" s="1"/>
  <c r="BH197" i="25" s="1"/>
  <c r="BK197" i="25" s="1"/>
  <c r="BR18" i="25"/>
  <c r="BQ18" i="25" s="1"/>
  <c r="BP18" i="25" s="1"/>
  <c r="BR275" i="25"/>
  <c r="BQ275" i="25" s="1"/>
  <c r="BP275" i="25" s="1"/>
  <c r="BT200" i="25"/>
  <c r="BN135" i="25"/>
  <c r="BO135" i="25" s="1"/>
  <c r="BR50" i="25"/>
  <c r="BQ50" i="25" s="1"/>
  <c r="BP50" i="25" s="1"/>
  <c r="BT189" i="25"/>
  <c r="BR273" i="25"/>
  <c r="BQ273" i="25" s="1"/>
  <c r="BP273" i="25" s="1"/>
  <c r="BT176" i="25"/>
  <c r="BT201" i="25"/>
  <c r="BT178" i="25"/>
  <c r="BB350" i="25"/>
  <c r="BC350" i="25" s="1"/>
  <c r="BN350" i="25"/>
  <c r="BO350" i="25" s="1"/>
  <c r="BQ70" i="25"/>
  <c r="BP70" i="25" s="1"/>
  <c r="BB187" i="25"/>
  <c r="BF187" i="25" s="1"/>
  <c r="BI187" i="25" s="1"/>
  <c r="BJ187" i="25" s="1"/>
  <c r="BR90" i="25"/>
  <c r="BQ90" i="25" s="1"/>
  <c r="BP90" i="25" s="1"/>
  <c r="BN42" i="25"/>
  <c r="BO42" i="25" s="1"/>
  <c r="BR240" i="25"/>
  <c r="BR228" i="25"/>
  <c r="BQ228" i="25" s="1"/>
  <c r="BP228" i="25" s="1"/>
  <c r="BB276" i="25"/>
  <c r="BC276" i="25" s="1"/>
  <c r="BG276" i="25" s="1"/>
  <c r="BH276" i="25" s="1"/>
  <c r="BK276" i="25" s="1"/>
  <c r="BR276" i="25"/>
  <c r="BR241" i="25"/>
  <c r="BQ241" i="25" s="1"/>
  <c r="BP241" i="25" s="1"/>
  <c r="BB121" i="25"/>
  <c r="BC121" i="25" s="1"/>
  <c r="BG121" i="25" s="1"/>
  <c r="BH121" i="25" s="1"/>
  <c r="BK121" i="25" s="1"/>
  <c r="BB191" i="25"/>
  <c r="BF191" i="25" s="1"/>
  <c r="BI191" i="25" s="1"/>
  <c r="BJ191" i="25" s="1"/>
  <c r="BR269" i="25"/>
  <c r="BQ269" i="25" s="1"/>
  <c r="BP269" i="25" s="1"/>
  <c r="BT193" i="25"/>
  <c r="BT203" i="25"/>
  <c r="BB367" i="25"/>
  <c r="BF367" i="25" s="1"/>
  <c r="BI367" i="25" s="1"/>
  <c r="BJ367" i="25" s="1"/>
  <c r="BR108" i="25"/>
  <c r="BQ108" i="25" s="1"/>
  <c r="BP108" i="25" s="1"/>
  <c r="BN109" i="25"/>
  <c r="BO109" i="25" s="1"/>
  <c r="AY8" i="25"/>
  <c r="BN25" i="25"/>
  <c r="BO25" i="25" s="1"/>
  <c r="BN111" i="25"/>
  <c r="BO111" i="25" s="1"/>
  <c r="AY73" i="25"/>
  <c r="AY46" i="25"/>
  <c r="CG363" i="25"/>
  <c r="BT285" i="25"/>
  <c r="BR320" i="25"/>
  <c r="BQ320" i="25" s="1"/>
  <c r="BP320" i="25" s="1"/>
  <c r="BN422" i="25"/>
  <c r="BO422" i="25" s="1"/>
  <c r="BB52" i="25"/>
  <c r="BF52" i="25" s="1"/>
  <c r="BI52" i="25" s="1"/>
  <c r="BJ52" i="25" s="1"/>
  <c r="BB111" i="25"/>
  <c r="BF111" i="25" s="1"/>
  <c r="BI111" i="25" s="1"/>
  <c r="BJ111" i="25" s="1"/>
  <c r="BW111" i="25"/>
  <c r="BY111" i="25" s="1"/>
  <c r="BZ111" i="25" s="1"/>
  <c r="CA111" i="25" s="1"/>
  <c r="BR55" i="25"/>
  <c r="BQ55" i="25" s="1"/>
  <c r="BP55" i="25" s="1"/>
  <c r="BN7" i="25"/>
  <c r="BO7" i="25" s="1"/>
  <c r="BT25" i="25"/>
  <c r="BR412" i="25"/>
  <c r="BQ412" i="25" s="1"/>
  <c r="BP412" i="25" s="1"/>
  <c r="CG418" i="25"/>
  <c r="BN99" i="25"/>
  <c r="BO99" i="25" s="1"/>
  <c r="BN122" i="25"/>
  <c r="BO122" i="25" s="1"/>
  <c r="BT213" i="25"/>
  <c r="BT338" i="25"/>
  <c r="BN115" i="25"/>
  <c r="BO115" i="25" s="1"/>
  <c r="BR138" i="25"/>
  <c r="BQ138" i="25" s="1"/>
  <c r="BP138" i="25" s="1"/>
  <c r="BB67" i="25"/>
  <c r="BF67" i="25" s="1"/>
  <c r="BI67" i="25" s="1"/>
  <c r="BJ67" i="25" s="1"/>
  <c r="BT350" i="25"/>
  <c r="BR356" i="25"/>
  <c r="BQ356" i="25" s="1"/>
  <c r="BP356" i="25" s="1"/>
  <c r="BB394" i="25"/>
  <c r="BF394" i="25" s="1"/>
  <c r="BI394" i="25" s="1"/>
  <c r="BJ394" i="25" s="1"/>
  <c r="BR422" i="25"/>
  <c r="BQ422" i="25" s="1"/>
  <c r="BP422" i="25" s="1"/>
  <c r="AY92" i="25"/>
  <c r="CG238" i="25"/>
  <c r="BN389" i="25"/>
  <c r="BO389" i="25" s="1"/>
  <c r="BN114" i="25"/>
  <c r="BO114" i="25" s="1"/>
  <c r="CG54" i="25"/>
  <c r="AY87" i="25"/>
  <c r="CG133" i="25"/>
  <c r="CG9" i="25"/>
  <c r="BR94" i="25"/>
  <c r="BQ94" i="25" s="1"/>
  <c r="BP94" i="25" s="1"/>
  <c r="BB41" i="25"/>
  <c r="BF41" i="25" s="1"/>
  <c r="BI41" i="25" s="1"/>
  <c r="BJ41" i="25" s="1"/>
  <c r="CG272" i="25"/>
  <c r="CG192" i="25"/>
  <c r="AY203" i="25"/>
  <c r="BW320" i="25"/>
  <c r="BY320" i="25" s="1"/>
  <c r="BZ320" i="25" s="1"/>
  <c r="CA320" i="25" s="1"/>
  <c r="BB371" i="25"/>
  <c r="BC371" i="25" s="1"/>
  <c r="BG371" i="25" s="1"/>
  <c r="BH371" i="25" s="1"/>
  <c r="BK371" i="25" s="1"/>
  <c r="BR371" i="25"/>
  <c r="BQ371" i="25" s="1"/>
  <c r="BP371" i="25" s="1"/>
  <c r="BR339" i="25"/>
  <c r="BQ339" i="25" s="1"/>
  <c r="BP339" i="25" s="1"/>
  <c r="BF87" i="25"/>
  <c r="BI87" i="25" s="1"/>
  <c r="BJ87" i="25" s="1"/>
  <c r="AY97" i="25"/>
  <c r="BR127" i="25"/>
  <c r="BQ127" i="25" s="1"/>
  <c r="BP127" i="25" s="1"/>
  <c r="BB39" i="25"/>
  <c r="BF39" i="25" s="1"/>
  <c r="BI39" i="25" s="1"/>
  <c r="BJ39" i="25" s="1"/>
  <c r="BR48" i="25"/>
  <c r="BQ48" i="25" s="1"/>
  <c r="BP48" i="25" s="1"/>
  <c r="BB219" i="25"/>
  <c r="BC219" i="25" s="1"/>
  <c r="BG219" i="25" s="1"/>
  <c r="BH219" i="25" s="1"/>
  <c r="BK219" i="25" s="1"/>
  <c r="BB262" i="25"/>
  <c r="BC262" i="25" s="1"/>
  <c r="BG262" i="25" s="1"/>
  <c r="BH262" i="25" s="1"/>
  <c r="BK262" i="25" s="1"/>
  <c r="BT231" i="25"/>
  <c r="BT278" i="25"/>
  <c r="BB407" i="25"/>
  <c r="BC407" i="25" s="1"/>
  <c r="BG407" i="25" s="1"/>
  <c r="BH407" i="25" s="1"/>
  <c r="BK407" i="25" s="1"/>
  <c r="BB167" i="25"/>
  <c r="BF167" i="25" s="1"/>
  <c r="BI167" i="25" s="1"/>
  <c r="BJ167" i="25" s="1"/>
  <c r="BB144" i="25"/>
  <c r="BC144" i="25" s="1"/>
  <c r="BG144" i="25" s="1"/>
  <c r="BH144" i="25" s="1"/>
  <c r="BK144" i="25" s="1"/>
  <c r="BR163" i="25"/>
  <c r="BQ163" i="25" s="1"/>
  <c r="BP163" i="25" s="1"/>
  <c r="BN51" i="25"/>
  <c r="BO51" i="25" s="1"/>
  <c r="BN31" i="25"/>
  <c r="BO31" i="25" s="1"/>
  <c r="BY31" i="25"/>
  <c r="BZ31" i="25" s="1"/>
  <c r="CA31" i="25" s="1"/>
  <c r="BR156" i="25"/>
  <c r="BQ156" i="25" s="1"/>
  <c r="BP156" i="25" s="1"/>
  <c r="BN112" i="25"/>
  <c r="BO112" i="25" s="1"/>
  <c r="BB15" i="25"/>
  <c r="BF15" i="25" s="1"/>
  <c r="BI15" i="25" s="1"/>
  <c r="BJ15" i="25" s="1"/>
  <c r="BB72" i="25"/>
  <c r="BF72" i="25" s="1"/>
  <c r="BI72" i="25" s="1"/>
  <c r="BJ72" i="25" s="1"/>
  <c r="BB160" i="25"/>
  <c r="BF160" i="25" s="1"/>
  <c r="BI160" i="25" s="1"/>
  <c r="BJ160" i="25" s="1"/>
  <c r="BB77" i="25"/>
  <c r="BF77" i="25" s="1"/>
  <c r="BI77" i="25" s="1"/>
  <c r="BJ77" i="25" s="1"/>
  <c r="BB141" i="25"/>
  <c r="BC141" i="25" s="1"/>
  <c r="CG147" i="25"/>
  <c r="BT170" i="25"/>
  <c r="CG197" i="25"/>
  <c r="BB208" i="25"/>
  <c r="BF208" i="25" s="1"/>
  <c r="BI208" i="25" s="1"/>
  <c r="BJ208" i="25" s="1"/>
  <c r="BR208" i="25"/>
  <c r="BQ208" i="25" s="1"/>
  <c r="BP208" i="25" s="1"/>
  <c r="BB342" i="25"/>
  <c r="BF342" i="25" s="1"/>
  <c r="BI342" i="25" s="1"/>
  <c r="BJ342" i="25" s="1"/>
  <c r="BR211" i="25"/>
  <c r="BQ211" i="25" s="1"/>
  <c r="BP211" i="25" s="1"/>
  <c r="BQ240" i="25"/>
  <c r="BB213" i="25"/>
  <c r="BC213" i="25" s="1"/>
  <c r="BN213" i="25"/>
  <c r="BO213" i="25" s="1"/>
  <c r="BB270" i="25"/>
  <c r="BC270" i="25" s="1"/>
  <c r="BN270" i="25"/>
  <c r="BO270" i="25" s="1"/>
  <c r="BT320" i="25"/>
  <c r="BB302" i="25"/>
  <c r="BC302" i="25" s="1"/>
  <c r="BG302" i="25" s="1"/>
  <c r="BH302" i="25" s="1"/>
  <c r="BK302" i="25" s="1"/>
  <c r="BN302" i="25"/>
  <c r="BO302" i="25" s="1"/>
  <c r="AY394" i="25"/>
  <c r="BR142" i="25"/>
  <c r="BQ142" i="25" s="1"/>
  <c r="BP142" i="25" s="1"/>
  <c r="CG82" i="25"/>
  <c r="BB18" i="25"/>
  <c r="BF18" i="25" s="1"/>
  <c r="BI18" i="25" s="1"/>
  <c r="BJ18" i="25" s="1"/>
  <c r="AY39" i="25"/>
  <c r="BB250" i="25"/>
  <c r="BC250" i="25" s="1"/>
  <c r="BG250" i="25" s="1"/>
  <c r="BH250" i="25" s="1"/>
  <c r="BK250" i="25" s="1"/>
  <c r="AY279" i="25"/>
  <c r="AY277" i="25"/>
  <c r="BR278" i="25"/>
  <c r="BW278" i="25"/>
  <c r="BY278" i="25" s="1"/>
  <c r="BZ278" i="25" s="1"/>
  <c r="CA278" i="25" s="1"/>
  <c r="AY281" i="25"/>
  <c r="BR402" i="25"/>
  <c r="BQ402" i="25" s="1"/>
  <c r="BP402" i="25" s="1"/>
  <c r="BR71" i="25"/>
  <c r="BQ71" i="25" s="1"/>
  <c r="BP71" i="25" s="1"/>
  <c r="BT268" i="25"/>
  <c r="BB323" i="25"/>
  <c r="BC323" i="25" s="1"/>
  <c r="BN323" i="25"/>
  <c r="BO323" i="25" s="1"/>
  <c r="BR333" i="25"/>
  <c r="BQ333" i="25" s="1"/>
  <c r="BP333" i="25" s="1"/>
  <c r="BB414" i="25"/>
  <c r="BF414" i="25" s="1"/>
  <c r="BI414" i="25" s="1"/>
  <c r="BJ414" i="25" s="1"/>
  <c r="BT150" i="25"/>
  <c r="BN59" i="25"/>
  <c r="BO59" i="25" s="1"/>
  <c r="AY54" i="25"/>
  <c r="BR26" i="25"/>
  <c r="BQ26" i="25" s="1"/>
  <c r="BP26" i="25" s="1"/>
  <c r="BT51" i="25"/>
  <c r="BB102" i="25"/>
  <c r="BF102" i="25" s="1"/>
  <c r="BI102" i="25" s="1"/>
  <c r="BJ102" i="25" s="1"/>
  <c r="BR33" i="25"/>
  <c r="BQ33" i="25" s="1"/>
  <c r="BP33" i="25" s="1"/>
  <c r="CG89" i="25"/>
  <c r="BR154" i="25"/>
  <c r="BQ154" i="25" s="1"/>
  <c r="BP154" i="25" s="1"/>
  <c r="AY53" i="25"/>
  <c r="CG55" i="25"/>
  <c r="BN77" i="25"/>
  <c r="BO77" i="25" s="1"/>
  <c r="BB164" i="25"/>
  <c r="BF164" i="25" s="1"/>
  <c r="BI164" i="25" s="1"/>
  <c r="BJ164" i="25" s="1"/>
  <c r="BB166" i="25"/>
  <c r="BC166" i="25" s="1"/>
  <c r="BG166" i="25" s="1"/>
  <c r="BH166" i="25" s="1"/>
  <c r="BK166" i="25" s="1"/>
  <c r="BN172" i="25"/>
  <c r="BO172" i="25" s="1"/>
  <c r="AY62" i="25"/>
  <c r="BT62" i="25"/>
  <c r="BR7" i="25"/>
  <c r="CG203" i="25"/>
  <c r="CH202" i="25"/>
  <c r="AY179" i="25"/>
  <c r="CG256" i="25"/>
  <c r="AY284" i="25"/>
  <c r="BR332" i="25"/>
  <c r="BQ332" i="25" s="1"/>
  <c r="BP332" i="25" s="1"/>
  <c r="BB322" i="25"/>
  <c r="BC322" i="25" s="1"/>
  <c r="BN322" i="25"/>
  <c r="BO322" i="25" s="1"/>
  <c r="AY352" i="25"/>
  <c r="BB355" i="25"/>
  <c r="BF355" i="25" s="1"/>
  <c r="BI355" i="25" s="1"/>
  <c r="BJ355" i="25" s="1"/>
  <c r="BN373" i="25"/>
  <c r="BO373" i="25" s="1"/>
  <c r="BB339" i="25"/>
  <c r="BC339" i="25" s="1"/>
  <c r="BN339" i="25"/>
  <c r="BO339" i="25" s="1"/>
  <c r="AY340" i="25"/>
  <c r="CG297" i="25"/>
  <c r="BR298" i="25"/>
  <c r="BQ298" i="25" s="1"/>
  <c r="BP298" i="25" s="1"/>
  <c r="AY392" i="25"/>
  <c r="BT63" i="25"/>
  <c r="BT35" i="25"/>
  <c r="BN144" i="25"/>
  <c r="BO144" i="25" s="1"/>
  <c r="BW51" i="25"/>
  <c r="BY51" i="25" s="1"/>
  <c r="BZ51" i="25" s="1"/>
  <c r="CA51" i="25" s="1"/>
  <c r="BN157" i="25"/>
  <c r="BO157" i="25" s="1"/>
  <c r="BB53" i="25"/>
  <c r="BF53" i="25" s="1"/>
  <c r="BI53" i="25" s="1"/>
  <c r="BJ53" i="25" s="1"/>
  <c r="BR16" i="25"/>
  <c r="BQ16" i="25" s="1"/>
  <c r="BP16" i="25" s="1"/>
  <c r="BT127" i="25"/>
  <c r="CG127" i="25"/>
  <c r="CG128" i="25"/>
  <c r="AY79" i="25"/>
  <c r="CD183" i="25"/>
  <c r="BV183" i="25" s="1"/>
  <c r="CG202" i="25"/>
  <c r="AY255" i="25"/>
  <c r="AY278" i="25"/>
  <c r="BR369" i="25"/>
  <c r="BQ369" i="25" s="1"/>
  <c r="BP369" i="25" s="1"/>
  <c r="BR293" i="25"/>
  <c r="BQ293" i="25" s="1"/>
  <c r="BP293" i="25" s="1"/>
  <c r="BR321" i="25"/>
  <c r="BQ321" i="25" s="1"/>
  <c r="BP321" i="25" s="1"/>
  <c r="BR331" i="25"/>
  <c r="BN301" i="25"/>
  <c r="BO301" i="25" s="1"/>
  <c r="AY353" i="25"/>
  <c r="AY298" i="25"/>
  <c r="CG417" i="25"/>
  <c r="BN401" i="25"/>
  <c r="BO401" i="25" s="1"/>
  <c r="BW402" i="25"/>
  <c r="BY402" i="25" s="1"/>
  <c r="BZ402" i="25" s="1"/>
  <c r="CA402" i="25" s="1"/>
  <c r="AY395" i="25"/>
  <c r="BR63" i="25"/>
  <c r="BW63" i="25"/>
  <c r="BY63" i="25" s="1"/>
  <c r="BZ63" i="25" s="1"/>
  <c r="CA63" i="25" s="1"/>
  <c r="BN110" i="25"/>
  <c r="BO110" i="25" s="1"/>
  <c r="AY81" i="25"/>
  <c r="AY85" i="25"/>
  <c r="AY51" i="25"/>
  <c r="AY29" i="25"/>
  <c r="BT134" i="25"/>
  <c r="BR53" i="25"/>
  <c r="BQ53" i="25" s="1"/>
  <c r="BP53" i="25" s="1"/>
  <c r="CG53" i="25"/>
  <c r="BR117" i="25"/>
  <c r="BQ117" i="25" s="1"/>
  <c r="BP117" i="25" s="1"/>
  <c r="AY166" i="25"/>
  <c r="BR168" i="25"/>
  <c r="BQ168" i="25" s="1"/>
  <c r="BP168" i="25" s="1"/>
  <c r="BR120" i="25"/>
  <c r="BQ120" i="25" s="1"/>
  <c r="BP120" i="25" s="1"/>
  <c r="BT174" i="25"/>
  <c r="CG83" i="25"/>
  <c r="BN84" i="25"/>
  <c r="BO84" i="25" s="1"/>
  <c r="BN82" i="25"/>
  <c r="BO82" i="25" s="1"/>
  <c r="CG39" i="25"/>
  <c r="AY186" i="25"/>
  <c r="BN203" i="25"/>
  <c r="BO203" i="25" s="1"/>
  <c r="BB207" i="25"/>
  <c r="BC207" i="25" s="1"/>
  <c r="BG207" i="25" s="1"/>
  <c r="BH207" i="25" s="1"/>
  <c r="BK207" i="25" s="1"/>
  <c r="BR206" i="25"/>
  <c r="BQ206" i="25" s="1"/>
  <c r="BP206" i="25" s="1"/>
  <c r="AY258" i="25"/>
  <c r="BB258" i="25"/>
  <c r="BC258" i="25" s="1"/>
  <c r="BG258" i="25" s="1"/>
  <c r="BH258" i="25" s="1"/>
  <c r="BK258" i="25" s="1"/>
  <c r="BT254" i="25"/>
  <c r="BT267" i="25"/>
  <c r="BB278" i="25"/>
  <c r="BC278" i="25" s="1"/>
  <c r="BT283" i="25"/>
  <c r="BT286" i="25"/>
  <c r="BB285" i="25"/>
  <c r="BC285" i="25" s="1"/>
  <c r="BN285" i="25"/>
  <c r="BO285" i="25" s="1"/>
  <c r="AY288" i="25"/>
  <c r="CG369" i="25"/>
  <c r="BT347" i="25"/>
  <c r="BT348" i="25"/>
  <c r="CG306" i="25"/>
  <c r="AY332" i="25"/>
  <c r="BT329" i="25"/>
  <c r="BT336" i="25"/>
  <c r="BT322" i="25"/>
  <c r="CG322" i="25"/>
  <c r="BB325" i="25"/>
  <c r="BC325" i="25" s="1"/>
  <c r="BN325" i="25"/>
  <c r="BO325" i="25" s="1"/>
  <c r="BB295" i="25"/>
  <c r="BF295" i="25" s="1"/>
  <c r="BI295" i="25" s="1"/>
  <c r="BJ295" i="25" s="1"/>
  <c r="BR295" i="25"/>
  <c r="BQ295" i="25" s="1"/>
  <c r="BP295" i="25" s="1"/>
  <c r="AY363" i="25"/>
  <c r="BW371" i="25"/>
  <c r="BY371" i="25" s="1"/>
  <c r="BZ371" i="25" s="1"/>
  <c r="CA371" i="25" s="1"/>
  <c r="AY372" i="25"/>
  <c r="AY373" i="25"/>
  <c r="BR341" i="25"/>
  <c r="BQ341" i="25" s="1"/>
  <c r="BP341" i="25" s="1"/>
  <c r="AY356" i="25"/>
  <c r="CG356" i="25"/>
  <c r="AY302" i="25"/>
  <c r="AY413" i="25"/>
  <c r="BR397" i="25"/>
  <c r="BQ397" i="25" s="1"/>
  <c r="BP397" i="25" s="1"/>
  <c r="BB423" i="25"/>
  <c r="BC423" i="25" s="1"/>
  <c r="BG423" i="25" s="1"/>
  <c r="BH423" i="25" s="1"/>
  <c r="BK423" i="25" s="1"/>
  <c r="BB71" i="25"/>
  <c r="BC71" i="25" s="1"/>
  <c r="AY63" i="25"/>
  <c r="AY70" i="25"/>
  <c r="BB13" i="25"/>
  <c r="BC13" i="25" s="1"/>
  <c r="BG13" i="25" s="1"/>
  <c r="BH13" i="25" s="1"/>
  <c r="BK13" i="25" s="1"/>
  <c r="BB105" i="25"/>
  <c r="BC105" i="25" s="1"/>
  <c r="BG105" i="25" s="1"/>
  <c r="BH105" i="25" s="1"/>
  <c r="BK105" i="25" s="1"/>
  <c r="BR82" i="25"/>
  <c r="BQ82" i="25" s="1"/>
  <c r="BP82" i="25" s="1"/>
  <c r="BN196" i="25"/>
  <c r="BO196" i="25" s="1"/>
  <c r="BT277" i="25"/>
  <c r="BR308" i="25"/>
  <c r="BQ308" i="25" s="1"/>
  <c r="BP308" i="25" s="1"/>
  <c r="BN362" i="25"/>
  <c r="BO362" i="25" s="1"/>
  <c r="BT386" i="25"/>
  <c r="BR54" i="25"/>
  <c r="BQ54" i="25" s="1"/>
  <c r="BP54" i="25" s="1"/>
  <c r="BT133" i="25"/>
  <c r="BT9" i="25"/>
  <c r="AY20" i="25"/>
  <c r="AY138" i="25"/>
  <c r="BQ102" i="25"/>
  <c r="BP102" i="25" s="1"/>
  <c r="CG21" i="25"/>
  <c r="CG11" i="25"/>
  <c r="BB36" i="25"/>
  <c r="BC36" i="25" s="1"/>
  <c r="BG36" i="25" s="1"/>
  <c r="BH36" i="25" s="1"/>
  <c r="BK36" i="25" s="1"/>
  <c r="CG38" i="25"/>
  <c r="BN12" i="25"/>
  <c r="BO12" i="25" s="1"/>
  <c r="BB154" i="25"/>
  <c r="BC154" i="25" s="1"/>
  <c r="BG154" i="25" s="1"/>
  <c r="BH154" i="25" s="1"/>
  <c r="BK154" i="25" s="1"/>
  <c r="AY155" i="25"/>
  <c r="BN113" i="25"/>
  <c r="BO113" i="25" s="1"/>
  <c r="AY115" i="25"/>
  <c r="BB174" i="25"/>
  <c r="BC174" i="25" s="1"/>
  <c r="BB265" i="25"/>
  <c r="BF265" i="25" s="1"/>
  <c r="BI265" i="25" s="1"/>
  <c r="BJ265" i="25" s="1"/>
  <c r="BN265" i="25"/>
  <c r="BO265" i="25" s="1"/>
  <c r="AY272" i="25"/>
  <c r="BB211" i="25"/>
  <c r="BC211" i="25" s="1"/>
  <c r="BG211" i="25" s="1"/>
  <c r="BH211" i="25" s="1"/>
  <c r="BK211" i="25" s="1"/>
  <c r="BN211" i="25"/>
  <c r="BO211" i="25" s="1"/>
  <c r="BB232" i="25"/>
  <c r="BC232" i="25" s="1"/>
  <c r="BG232" i="25" s="1"/>
  <c r="BH232" i="25" s="1"/>
  <c r="BK232" i="25" s="1"/>
  <c r="BT247" i="25"/>
  <c r="BT229" i="25"/>
  <c r="BT281" i="25"/>
  <c r="BT280" i="25"/>
  <c r="BT282" i="25"/>
  <c r="CG304" i="25"/>
  <c r="AY313" i="25"/>
  <c r="BB320" i="25"/>
  <c r="BC320" i="25" s="1"/>
  <c r="BW332" i="25"/>
  <c r="BY332" i="25" s="1"/>
  <c r="BZ332" i="25" s="1"/>
  <c r="CA332" i="25" s="1"/>
  <c r="BR329" i="25"/>
  <c r="BQ329" i="25" s="1"/>
  <c r="BP329" i="25" s="1"/>
  <c r="BW329" i="25"/>
  <c r="BY329" i="25" s="1"/>
  <c r="BZ329" i="25" s="1"/>
  <c r="CA329" i="25" s="1"/>
  <c r="BB336" i="25"/>
  <c r="BC336" i="25" s="1"/>
  <c r="BN336" i="25"/>
  <c r="BO336" i="25" s="1"/>
  <c r="AY327" i="25"/>
  <c r="BR330" i="25"/>
  <c r="BQ330" i="25" s="1"/>
  <c r="BP330" i="25" s="1"/>
  <c r="BB319" i="25"/>
  <c r="BF319" i="25" s="1"/>
  <c r="BI319" i="25" s="1"/>
  <c r="BJ319" i="25" s="1"/>
  <c r="AY360" i="25"/>
  <c r="AY377" i="25"/>
  <c r="AY383" i="25"/>
  <c r="AY361" i="25"/>
  <c r="BR343" i="25"/>
  <c r="BQ343" i="25" s="1"/>
  <c r="BP343" i="25" s="1"/>
  <c r="CG300" i="25"/>
  <c r="BR420" i="25"/>
  <c r="BQ420" i="25" s="1"/>
  <c r="BP420" i="25" s="1"/>
  <c r="BN400" i="25"/>
  <c r="BO400" i="25" s="1"/>
  <c r="BR414" i="25"/>
  <c r="BQ414" i="25" s="1"/>
  <c r="BP414" i="25" s="1"/>
  <c r="AY389" i="25"/>
  <c r="BT13" i="25"/>
  <c r="AY34" i="25"/>
  <c r="BB173" i="25"/>
  <c r="BC173" i="25" s="1"/>
  <c r="AY61" i="25"/>
  <c r="CG61" i="25"/>
  <c r="BN74" i="25"/>
  <c r="BO74" i="25" s="1"/>
  <c r="BR76" i="25"/>
  <c r="BQ76" i="25" s="1"/>
  <c r="BP76" i="25" s="1"/>
  <c r="BR95" i="25"/>
  <c r="BQ95" i="25" s="1"/>
  <c r="BP95" i="25" s="1"/>
  <c r="AY131" i="25"/>
  <c r="BT142" i="25"/>
  <c r="BB25" i="25"/>
  <c r="BC25" i="25" s="1"/>
  <c r="BR8" i="25"/>
  <c r="BQ8" i="25" s="1"/>
  <c r="BP8" i="25" s="1"/>
  <c r="BR134" i="25"/>
  <c r="BQ134" i="25" s="1"/>
  <c r="BP134" i="25" s="1"/>
  <c r="BT75" i="25"/>
  <c r="CG80" i="25"/>
  <c r="BN151" i="25"/>
  <c r="BO151" i="25" s="1"/>
  <c r="CG107" i="25"/>
  <c r="BN52" i="25"/>
  <c r="BO52" i="25" s="1"/>
  <c r="AY36" i="25"/>
  <c r="CG36" i="25"/>
  <c r="BR111" i="25"/>
  <c r="BQ111" i="25" s="1"/>
  <c r="BP111" i="25" s="1"/>
  <c r="AY22" i="25"/>
  <c r="BW53" i="25"/>
  <c r="BY53" i="25" s="1"/>
  <c r="BZ53" i="25" s="1"/>
  <c r="CA53" i="25" s="1"/>
  <c r="AY56" i="25"/>
  <c r="BN67" i="25"/>
  <c r="BO67" i="25" s="1"/>
  <c r="BN41" i="25"/>
  <c r="BO41" i="25" s="1"/>
  <c r="BR72" i="25"/>
  <c r="BQ72" i="25" s="1"/>
  <c r="BP72" i="25" s="1"/>
  <c r="BR97" i="25"/>
  <c r="BQ97" i="25" s="1"/>
  <c r="BP97" i="25" s="1"/>
  <c r="BC99" i="25"/>
  <c r="AY163" i="25"/>
  <c r="BN164" i="25"/>
  <c r="BO164" i="25" s="1"/>
  <c r="BN166" i="25"/>
  <c r="BO166" i="25" s="1"/>
  <c r="AY17" i="25"/>
  <c r="BB168" i="25"/>
  <c r="BC168" i="25" s="1"/>
  <c r="BG168" i="25" s="1"/>
  <c r="BH168" i="25" s="1"/>
  <c r="BK168" i="25" s="1"/>
  <c r="BW168" i="25"/>
  <c r="BT120" i="25"/>
  <c r="CG120" i="25"/>
  <c r="BT122" i="25"/>
  <c r="CG78" i="25"/>
  <c r="CG145" i="25"/>
  <c r="CG146" i="25"/>
  <c r="CG125" i="25"/>
  <c r="BB127" i="25"/>
  <c r="BC127" i="25" s="1"/>
  <c r="BN174" i="25"/>
  <c r="BO174" i="25" s="1"/>
  <c r="CG174" i="25"/>
  <c r="AY7" i="25"/>
  <c r="AY135" i="25"/>
  <c r="AY86" i="25"/>
  <c r="BB48" i="25"/>
  <c r="BF48" i="25" s="1"/>
  <c r="BI48" i="25" s="1"/>
  <c r="BJ48" i="25" s="1"/>
  <c r="BN273" i="25"/>
  <c r="BO273" i="25" s="1"/>
  <c r="AY265" i="25"/>
  <c r="AY269" i="25"/>
  <c r="BN275" i="25"/>
  <c r="BO275" i="25" s="1"/>
  <c r="BB193" i="25"/>
  <c r="BC193" i="25" s="1"/>
  <c r="BG193" i="25" s="1"/>
  <c r="BH193" i="25" s="1"/>
  <c r="BK193" i="25" s="1"/>
  <c r="BN193" i="25"/>
  <c r="BO193" i="25" s="1"/>
  <c r="BB76" i="25"/>
  <c r="BC76" i="25" s="1"/>
  <c r="BN87" i="25"/>
  <c r="BO87" i="25" s="1"/>
  <c r="AY88" i="25"/>
  <c r="BW173" i="25"/>
  <c r="BY173" i="25" s="1"/>
  <c r="BZ173" i="25" s="1"/>
  <c r="CA173" i="25" s="1"/>
  <c r="AY153" i="25"/>
  <c r="CG59" i="25"/>
  <c r="AY133" i="25"/>
  <c r="BB142" i="25"/>
  <c r="BC142" i="25" s="1"/>
  <c r="CG142" i="25"/>
  <c r="AY139" i="25"/>
  <c r="BB138" i="25"/>
  <c r="BF138" i="25" s="1"/>
  <c r="BI138" i="25" s="1"/>
  <c r="BJ138" i="25" s="1"/>
  <c r="BB156" i="25"/>
  <c r="BF156" i="25" s="1"/>
  <c r="BI156" i="25" s="1"/>
  <c r="BJ156" i="25" s="1"/>
  <c r="AY157" i="25"/>
  <c r="BR67" i="25"/>
  <c r="BQ67" i="25" s="1"/>
  <c r="BP67" i="25" s="1"/>
  <c r="CG115" i="25"/>
  <c r="CG41" i="25"/>
  <c r="BT141" i="25"/>
  <c r="BB120" i="25"/>
  <c r="BC120" i="25" s="1"/>
  <c r="CG170" i="25"/>
  <c r="BY18" i="25"/>
  <c r="BZ18" i="25" s="1"/>
  <c r="CA18" i="25" s="1"/>
  <c r="BN48" i="25"/>
  <c r="BO48" i="25" s="1"/>
  <c r="BW48" i="25"/>
  <c r="AY273" i="25"/>
  <c r="BB190" i="25"/>
  <c r="BC190" i="25" s="1"/>
  <c r="BN190" i="25"/>
  <c r="BO190" i="25" s="1"/>
  <c r="CG198" i="25"/>
  <c r="BT95" i="25"/>
  <c r="BY168" i="25"/>
  <c r="BZ168" i="25" s="1"/>
  <c r="CA168" i="25" s="1"/>
  <c r="BT76" i="25"/>
  <c r="BB95" i="25"/>
  <c r="BC95" i="25" s="1"/>
  <c r="BT27" i="25"/>
  <c r="BR30" i="25"/>
  <c r="BQ30" i="25" s="1"/>
  <c r="BP30" i="25" s="1"/>
  <c r="BB134" i="25"/>
  <c r="BC134" i="25" s="1"/>
  <c r="BR107" i="25"/>
  <c r="BQ107" i="25" s="1"/>
  <c r="BP107" i="25" s="1"/>
  <c r="BN160" i="25"/>
  <c r="BO160" i="25" s="1"/>
  <c r="BR161" i="25"/>
  <c r="BQ161" i="25" s="1"/>
  <c r="BP161" i="25" s="1"/>
  <c r="AY16" i="25"/>
  <c r="BN165" i="25"/>
  <c r="BO165" i="25" s="1"/>
  <c r="BT45" i="25"/>
  <c r="AY47" i="25"/>
  <c r="CG90" i="25"/>
  <c r="AY198" i="25"/>
  <c r="BW342" i="25"/>
  <c r="BY342" i="25" s="1"/>
  <c r="BZ342" i="25" s="1"/>
  <c r="CA342" i="25" s="1"/>
  <c r="CG223" i="25"/>
  <c r="BB217" i="25"/>
  <c r="BC217" i="25" s="1"/>
  <c r="BG217" i="25" s="1"/>
  <c r="BH217" i="25" s="1"/>
  <c r="BK217" i="25" s="1"/>
  <c r="BT218" i="25"/>
  <c r="AY213" i="25"/>
  <c r="BN227" i="25"/>
  <c r="BO227" i="25" s="1"/>
  <c r="CG215" i="25"/>
  <c r="BT226" i="25"/>
  <c r="BN239" i="25"/>
  <c r="BO239" i="25" s="1"/>
  <c r="BB279" i="25"/>
  <c r="BC279" i="25" s="1"/>
  <c r="BN279" i="25"/>
  <c r="BO279" i="25" s="1"/>
  <c r="AY271" i="25"/>
  <c r="BR271" i="25"/>
  <c r="BQ271" i="25" s="1"/>
  <c r="BP271" i="25" s="1"/>
  <c r="BW271" i="25"/>
  <c r="BY271" i="25" s="1"/>
  <c r="BZ271" i="25" s="1"/>
  <c r="CA271" i="25" s="1"/>
  <c r="AY289" i="25"/>
  <c r="BB304" i="25"/>
  <c r="BC304" i="25" s="1"/>
  <c r="BN304" i="25"/>
  <c r="BO304" i="25" s="1"/>
  <c r="AY316" i="25"/>
  <c r="BR336" i="25"/>
  <c r="BQ336" i="25" s="1"/>
  <c r="BP336" i="25" s="1"/>
  <c r="BR318" i="25"/>
  <c r="BQ318" i="25" s="1"/>
  <c r="BP318" i="25" s="1"/>
  <c r="AY354" i="25"/>
  <c r="AY370" i="25"/>
  <c r="AY381" i="25"/>
  <c r="CG382" i="25"/>
  <c r="BN385" i="25"/>
  <c r="BO385" i="25" s="1"/>
  <c r="AY366" i="25"/>
  <c r="CG374" i="25"/>
  <c r="AY346" i="25"/>
  <c r="AY344" i="25"/>
  <c r="AY296" i="25"/>
  <c r="BR302" i="25"/>
  <c r="BQ302" i="25" s="1"/>
  <c r="BP302" i="25" s="1"/>
  <c r="BR378" i="25"/>
  <c r="BQ378" i="25" s="1"/>
  <c r="BP378" i="25" s="1"/>
  <c r="CG390" i="25"/>
  <c r="CG420" i="25"/>
  <c r="BN406" i="25"/>
  <c r="BO406" i="25" s="1"/>
  <c r="BN13" i="25"/>
  <c r="BO13" i="25" s="1"/>
  <c r="BT119" i="25"/>
  <c r="CG199" i="25"/>
  <c r="BR181" i="25"/>
  <c r="BQ181" i="25" s="1"/>
  <c r="BP181" i="25" s="1"/>
  <c r="CG176" i="25"/>
  <c r="AY195" i="25"/>
  <c r="BQ210" i="25"/>
  <c r="BP210" i="25" s="1"/>
  <c r="AY205" i="25"/>
  <c r="CG207" i="25"/>
  <c r="BB206" i="25"/>
  <c r="BF206" i="25" s="1"/>
  <c r="BI206" i="25" s="1"/>
  <c r="BJ206" i="25" s="1"/>
  <c r="BN206" i="25"/>
  <c r="BO206" i="25" s="1"/>
  <c r="BW206" i="25"/>
  <c r="BY206" i="25" s="1"/>
  <c r="BZ206" i="25" s="1"/>
  <c r="CA206" i="25" s="1"/>
  <c r="AY204" i="25"/>
  <c r="BB238" i="25"/>
  <c r="BC238" i="25" s="1"/>
  <c r="BG238" i="25" s="1"/>
  <c r="BH238" i="25" s="1"/>
  <c r="BK238" i="25" s="1"/>
  <c r="AY232" i="25"/>
  <c r="BN218" i="25"/>
  <c r="BO218" i="25" s="1"/>
  <c r="BN246" i="25"/>
  <c r="BO246" i="25" s="1"/>
  <c r="BQ215" i="25"/>
  <c r="BY253" i="25"/>
  <c r="BZ253" i="25" s="1"/>
  <c r="CA253" i="25" s="1"/>
  <c r="BB229" i="25"/>
  <c r="BC229" i="25" s="1"/>
  <c r="BG229" i="25" s="1"/>
  <c r="BH229" i="25" s="1"/>
  <c r="BK229" i="25" s="1"/>
  <c r="BN229" i="25"/>
  <c r="BO229" i="25" s="1"/>
  <c r="BB267" i="25"/>
  <c r="BC267" i="25" s="1"/>
  <c r="BN267" i="25"/>
  <c r="BO267" i="25" s="1"/>
  <c r="BT279" i="25"/>
  <c r="BT271" i="25"/>
  <c r="BT266" i="25"/>
  <c r="BR268" i="25"/>
  <c r="BQ268" i="25" s="1"/>
  <c r="BP268" i="25" s="1"/>
  <c r="BW268" i="25"/>
  <c r="BY268" i="25" s="1"/>
  <c r="BZ268" i="25" s="1"/>
  <c r="CA268" i="25" s="1"/>
  <c r="BR280" i="25"/>
  <c r="BQ280" i="25" s="1"/>
  <c r="BP280" i="25" s="1"/>
  <c r="BB286" i="25"/>
  <c r="BC286" i="25" s="1"/>
  <c r="BN286" i="25"/>
  <c r="BO286" i="25" s="1"/>
  <c r="BB282" i="25"/>
  <c r="BC282" i="25" s="1"/>
  <c r="BN282" i="25"/>
  <c r="BO282" i="25" s="1"/>
  <c r="BB312" i="25"/>
  <c r="BF312" i="25" s="1"/>
  <c r="BI312" i="25" s="1"/>
  <c r="BJ312" i="25" s="1"/>
  <c r="BN312" i="25"/>
  <c r="BO312" i="25" s="1"/>
  <c r="BR317" i="25"/>
  <c r="BQ317" i="25" s="1"/>
  <c r="BP317" i="25" s="1"/>
  <c r="AY321" i="25"/>
  <c r="BR337" i="25"/>
  <c r="BQ337" i="25" s="1"/>
  <c r="BP337" i="25" s="1"/>
  <c r="BR368" i="25"/>
  <c r="BQ368" i="25" s="1"/>
  <c r="BP368" i="25" s="1"/>
  <c r="BB370" i="25"/>
  <c r="BF370" i="25" s="1"/>
  <c r="BI370" i="25" s="1"/>
  <c r="BJ370" i="25" s="1"/>
  <c r="BR370" i="25"/>
  <c r="BB381" i="25"/>
  <c r="BC381" i="25" s="1"/>
  <c r="BT385" i="25"/>
  <c r="AY380" i="25"/>
  <c r="AY386" i="25"/>
  <c r="BR359" i="25"/>
  <c r="BQ359" i="25" s="1"/>
  <c r="BP359" i="25" s="1"/>
  <c r="BB296" i="25"/>
  <c r="BC296" i="25" s="1"/>
  <c r="BR376" i="25"/>
  <c r="BQ376" i="25" s="1"/>
  <c r="BP376" i="25" s="1"/>
  <c r="AY303" i="25"/>
  <c r="AY410" i="25"/>
  <c r="AY411" i="25"/>
  <c r="AY406" i="25"/>
  <c r="AY408" i="25"/>
  <c r="BB400" i="25"/>
  <c r="BC400" i="25" s="1"/>
  <c r="BG400" i="25" s="1"/>
  <c r="BH400" i="25" s="1"/>
  <c r="BK400" i="25" s="1"/>
  <c r="AY402" i="25"/>
  <c r="BN395" i="25"/>
  <c r="BO395" i="25" s="1"/>
  <c r="BT389" i="25"/>
  <c r="CG167" i="25"/>
  <c r="BB63" i="25"/>
  <c r="BC63" i="25" s="1"/>
  <c r="CG13" i="25"/>
  <c r="BT105" i="25"/>
  <c r="BQ171" i="25"/>
  <c r="BP171" i="25" s="1"/>
  <c r="AY68" i="25"/>
  <c r="BR65" i="25"/>
  <c r="BQ65" i="25" s="1"/>
  <c r="BP65" i="25" s="1"/>
  <c r="CG143" i="25"/>
  <c r="AY234" i="25"/>
  <c r="BR246" i="25"/>
  <c r="BQ246" i="25" s="1"/>
  <c r="BP246" i="25" s="1"/>
  <c r="BT351" i="25"/>
  <c r="CG220" i="25"/>
  <c r="BN252" i="25"/>
  <c r="BO252" i="25" s="1"/>
  <c r="BB231" i="25"/>
  <c r="BC231" i="25" s="1"/>
  <c r="BG231" i="25" s="1"/>
  <c r="BH231" i="25" s="1"/>
  <c r="BK231" i="25" s="1"/>
  <c r="BR231" i="25"/>
  <c r="CG231" i="25"/>
  <c r="AY267" i="25"/>
  <c r="BR267" i="25"/>
  <c r="BQ267" i="25" s="1"/>
  <c r="BP267" i="25" s="1"/>
  <c r="BB271" i="25"/>
  <c r="BC271" i="25" s="1"/>
  <c r="AY274" i="25"/>
  <c r="AY270" i="25"/>
  <c r="AY287" i="25"/>
  <c r="AY286" i="25"/>
  <c r="AY282" i="25"/>
  <c r="BT284" i="25"/>
  <c r="CG290" i="25"/>
  <c r="BT323" i="25"/>
  <c r="BN333" i="25"/>
  <c r="BO333" i="25" s="1"/>
  <c r="AY334" i="25"/>
  <c r="BB384" i="25"/>
  <c r="BF384" i="25" s="1"/>
  <c r="BI384" i="25" s="1"/>
  <c r="BJ384" i="25" s="1"/>
  <c r="BT373" i="25"/>
  <c r="BR382" i="25"/>
  <c r="BQ382" i="25" s="1"/>
  <c r="BP382" i="25" s="1"/>
  <c r="BT344" i="25"/>
  <c r="BR294" i="25"/>
  <c r="BQ294" i="25" s="1"/>
  <c r="BP294" i="25" s="1"/>
  <c r="BT297" i="25"/>
  <c r="AY130" i="25"/>
  <c r="CG105" i="25"/>
  <c r="BR129" i="25"/>
  <c r="BQ129" i="25" s="1"/>
  <c r="BP129" i="25" s="1"/>
  <c r="BB35" i="25"/>
  <c r="BC35" i="25" s="1"/>
  <c r="BG35" i="25" s="1"/>
  <c r="BH35" i="25" s="1"/>
  <c r="BK35" i="25" s="1"/>
  <c r="BT88" i="25"/>
  <c r="BN150" i="25"/>
  <c r="BO150" i="25" s="1"/>
  <c r="AY96" i="25"/>
  <c r="AY108" i="25"/>
  <c r="BR25" i="25"/>
  <c r="BQ25" i="25" s="1"/>
  <c r="BP25" i="25" s="1"/>
  <c r="BB27" i="25"/>
  <c r="BC27" i="25" s="1"/>
  <c r="BB9" i="25"/>
  <c r="BC9" i="25" s="1"/>
  <c r="BR28" i="25"/>
  <c r="BQ28" i="25" s="1"/>
  <c r="BP28" i="25" s="1"/>
  <c r="BT29" i="25"/>
  <c r="BT139" i="25"/>
  <c r="BN132" i="25"/>
  <c r="BO132" i="25" s="1"/>
  <c r="BN155" i="25"/>
  <c r="BO155" i="25" s="1"/>
  <c r="AY58" i="25"/>
  <c r="AY67" i="25"/>
  <c r="AY140" i="25"/>
  <c r="AY161" i="25"/>
  <c r="BR17" i="25"/>
  <c r="BQ17" i="25" s="1"/>
  <c r="BP17" i="25" s="1"/>
  <c r="BB45" i="25"/>
  <c r="BC45" i="25" s="1"/>
  <c r="BT100" i="25"/>
  <c r="BW47" i="25"/>
  <c r="BY47" i="25" s="1"/>
  <c r="BZ47" i="25" s="1"/>
  <c r="CA47" i="25" s="1"/>
  <c r="BN47" i="25"/>
  <c r="BO47" i="25" s="1"/>
  <c r="BW136" i="25"/>
  <c r="BY136" i="25" s="1"/>
  <c r="BZ136" i="25" s="1"/>
  <c r="CA136" i="25" s="1"/>
  <c r="BT136" i="25"/>
  <c r="BW137" i="25"/>
  <c r="BY137" i="25" s="1"/>
  <c r="BZ137" i="25" s="1"/>
  <c r="CA137" i="25" s="1"/>
  <c r="BN137" i="25"/>
  <c r="BO137" i="25" s="1"/>
  <c r="BT125" i="25"/>
  <c r="BR126" i="25"/>
  <c r="BQ126" i="25" s="1"/>
  <c r="BP126" i="25" s="1"/>
  <c r="BN126" i="25"/>
  <c r="BO126" i="25" s="1"/>
  <c r="BT126" i="25"/>
  <c r="BT87" i="25"/>
  <c r="CG88" i="25"/>
  <c r="BR173" i="25"/>
  <c r="BQ173" i="25" s="1"/>
  <c r="BP173" i="25" s="1"/>
  <c r="BR150" i="25"/>
  <c r="BQ150" i="25" s="1"/>
  <c r="BP150" i="25" s="1"/>
  <c r="AY10" i="25"/>
  <c r="BB133" i="25"/>
  <c r="BC133" i="25" s="1"/>
  <c r="AY142" i="25"/>
  <c r="AY26" i="25"/>
  <c r="BN27" i="25"/>
  <c r="BO27" i="25" s="1"/>
  <c r="BR9" i="25"/>
  <c r="BQ9" i="25" s="1"/>
  <c r="BP9" i="25" s="1"/>
  <c r="AY28" i="25"/>
  <c r="BR149" i="25"/>
  <c r="BQ149" i="25" s="1"/>
  <c r="BP149" i="25" s="1"/>
  <c r="BB51" i="25"/>
  <c r="BC51" i="25" s="1"/>
  <c r="BB29" i="25"/>
  <c r="BC29" i="25" s="1"/>
  <c r="CG29" i="25"/>
  <c r="BR20" i="25"/>
  <c r="BQ20" i="25" s="1"/>
  <c r="BP20" i="25" s="1"/>
  <c r="CG139" i="25"/>
  <c r="AY109" i="25"/>
  <c r="BY138" i="25"/>
  <c r="BZ138" i="25" s="1"/>
  <c r="CA138" i="25" s="1"/>
  <c r="BN75" i="25"/>
  <c r="BO75" i="25" s="1"/>
  <c r="CG75" i="25"/>
  <c r="BN152" i="25"/>
  <c r="BO152" i="25" s="1"/>
  <c r="CG103" i="25"/>
  <c r="BR104" i="25"/>
  <c r="BQ104" i="25" s="1"/>
  <c r="BP104" i="25" s="1"/>
  <c r="AY89" i="25"/>
  <c r="AY132" i="25"/>
  <c r="CG158" i="25"/>
  <c r="BN159" i="25"/>
  <c r="BO159" i="25" s="1"/>
  <c r="AY112" i="25"/>
  <c r="BW91" i="25"/>
  <c r="BY91" i="25" s="1"/>
  <c r="BZ91" i="25" s="1"/>
  <c r="CA91" i="25" s="1"/>
  <c r="BR57" i="25"/>
  <c r="BQ57" i="25" s="1"/>
  <c r="BP57" i="25" s="1"/>
  <c r="AY114" i="25"/>
  <c r="CG114" i="25"/>
  <c r="AY42" i="25"/>
  <c r="CG42" i="25"/>
  <c r="BB117" i="25"/>
  <c r="BF117" i="25" s="1"/>
  <c r="BI117" i="25" s="1"/>
  <c r="BJ117" i="25" s="1"/>
  <c r="BN117" i="25"/>
  <c r="BO117" i="25" s="1"/>
  <c r="CG118" i="25"/>
  <c r="BN97" i="25"/>
  <c r="BO97" i="25" s="1"/>
  <c r="AY164" i="25"/>
  <c r="BB165" i="25"/>
  <c r="BF165" i="25" s="1"/>
  <c r="BI165" i="25" s="1"/>
  <c r="BJ165" i="25" s="1"/>
  <c r="BR166" i="25"/>
  <c r="BQ166" i="25" s="1"/>
  <c r="BP166" i="25" s="1"/>
  <c r="BN45" i="25"/>
  <c r="BO45" i="25" s="1"/>
  <c r="BR88" i="25"/>
  <c r="BQ88" i="25" s="1"/>
  <c r="BP88" i="25" s="1"/>
  <c r="BW88" i="25"/>
  <c r="BY88" i="25" s="1"/>
  <c r="BZ88" i="25" s="1"/>
  <c r="CA88" i="25" s="1"/>
  <c r="AY173" i="25"/>
  <c r="CG74" i="25"/>
  <c r="BR96" i="25"/>
  <c r="BQ96" i="25" s="1"/>
  <c r="BP96" i="25" s="1"/>
  <c r="AY9" i="25"/>
  <c r="BR29" i="25"/>
  <c r="BQ29" i="25" s="1"/>
  <c r="BP29" i="25" s="1"/>
  <c r="BB139" i="25"/>
  <c r="BC139" i="25" s="1"/>
  <c r="CG104" i="25"/>
  <c r="BN22" i="25"/>
  <c r="BO22" i="25" s="1"/>
  <c r="AY37" i="25"/>
  <c r="AY154" i="25"/>
  <c r="AY159" i="25"/>
  <c r="AY91" i="25"/>
  <c r="BB91" i="25"/>
  <c r="BF91" i="25" s="1"/>
  <c r="BI91" i="25" s="1"/>
  <c r="BJ91" i="25" s="1"/>
  <c r="BR91" i="25"/>
  <c r="BQ91" i="25" s="1"/>
  <c r="BP91" i="25" s="1"/>
  <c r="AY113" i="25"/>
  <c r="CG57" i="25"/>
  <c r="CG15" i="25"/>
  <c r="CG72" i="25"/>
  <c r="CG77" i="25"/>
  <c r="BB16" i="25"/>
  <c r="BF16" i="25" s="1"/>
  <c r="BI16" i="25" s="1"/>
  <c r="BJ16" i="25" s="1"/>
  <c r="BN16" i="25"/>
  <c r="BO16" i="25" s="1"/>
  <c r="AY141" i="25"/>
  <c r="CG141" i="25"/>
  <c r="BN100" i="25"/>
  <c r="BO100" i="25" s="1"/>
  <c r="BW100" i="25"/>
  <c r="BY100" i="25" s="1"/>
  <c r="BZ100" i="25" s="1"/>
  <c r="CA100" i="25" s="1"/>
  <c r="AY168" i="25"/>
  <c r="BY97" i="25"/>
  <c r="BZ97" i="25" s="1"/>
  <c r="CA97" i="25" s="1"/>
  <c r="CD292" i="25"/>
  <c r="BV292" i="25" s="1"/>
  <c r="BT326" i="25"/>
  <c r="BR326" i="25"/>
  <c r="BQ326" i="25" s="1"/>
  <c r="BP326" i="25" s="1"/>
  <c r="BW328" i="25"/>
  <c r="BY328" i="25" s="1"/>
  <c r="BZ328" i="25" s="1"/>
  <c r="CA328" i="25" s="1"/>
  <c r="BR328" i="25"/>
  <c r="BQ328" i="25" s="1"/>
  <c r="BP328" i="25" s="1"/>
  <c r="BN328" i="25"/>
  <c r="BO328" i="25" s="1"/>
  <c r="BB126" i="25"/>
  <c r="BC126" i="25" s="1"/>
  <c r="BQ49" i="25"/>
  <c r="BP49" i="25" s="1"/>
  <c r="BT175" i="25"/>
  <c r="BY174" i="25"/>
  <c r="BZ174" i="25" s="1"/>
  <c r="CA174" i="25" s="1"/>
  <c r="CG79" i="25"/>
  <c r="BR39" i="25"/>
  <c r="BQ39" i="25" s="1"/>
  <c r="BP39" i="25" s="1"/>
  <c r="BN272" i="25"/>
  <c r="BO272" i="25" s="1"/>
  <c r="CC181" i="25"/>
  <c r="BX181" i="25" s="1"/>
  <c r="CH195" i="25"/>
  <c r="AY208" i="25"/>
  <c r="CG261" i="25"/>
  <c r="BR227" i="25"/>
  <c r="BQ227" i="25" s="1"/>
  <c r="BP227" i="25" s="1"/>
  <c r="BN351" i="25"/>
  <c r="BO351" i="25" s="1"/>
  <c r="AY214" i="25"/>
  <c r="BY252" i="25"/>
  <c r="BZ252" i="25" s="1"/>
  <c r="CA252" i="25" s="1"/>
  <c r="BB257" i="25"/>
  <c r="BC257" i="25" s="1"/>
  <c r="BN257" i="25"/>
  <c r="BO257" i="25" s="1"/>
  <c r="BB266" i="25"/>
  <c r="BC266" i="25" s="1"/>
  <c r="BN266" i="25"/>
  <c r="BO266" i="25" s="1"/>
  <c r="BT274" i="25"/>
  <c r="BB281" i="25"/>
  <c r="BC281" i="25" s="1"/>
  <c r="BN281" i="25"/>
  <c r="BO281" i="25" s="1"/>
  <c r="BB283" i="25"/>
  <c r="BC283" i="25" s="1"/>
  <c r="BN283" i="25"/>
  <c r="BO283" i="25" s="1"/>
  <c r="BT287" i="25"/>
  <c r="BQ288" i="25"/>
  <c r="BP288" i="25" s="1"/>
  <c r="CG293" i="25"/>
  <c r="BR307" i="25"/>
  <c r="BQ307" i="25" s="1"/>
  <c r="BP307" i="25" s="1"/>
  <c r="BT307" i="25"/>
  <c r="BY121" i="25"/>
  <c r="BZ121" i="25" s="1"/>
  <c r="CA121" i="25" s="1"/>
  <c r="BB50" i="25"/>
  <c r="BC50" i="25" s="1"/>
  <c r="BT50" i="25"/>
  <c r="BB62" i="25"/>
  <c r="BC62" i="25" s="1"/>
  <c r="BB175" i="25"/>
  <c r="BC175" i="25" s="1"/>
  <c r="BB86" i="25"/>
  <c r="BF86" i="25" s="1"/>
  <c r="BI86" i="25" s="1"/>
  <c r="BJ86" i="25" s="1"/>
  <c r="BY86" i="25"/>
  <c r="BZ86" i="25" s="1"/>
  <c r="CA86" i="25" s="1"/>
  <c r="BY275" i="25"/>
  <c r="BZ275" i="25" s="1"/>
  <c r="CA275" i="25" s="1"/>
  <c r="BN180" i="25"/>
  <c r="BO180" i="25" s="1"/>
  <c r="BB199" i="25"/>
  <c r="BC199" i="25" s="1"/>
  <c r="BG199" i="25" s="1"/>
  <c r="BH199" i="25" s="1"/>
  <c r="BK199" i="25" s="1"/>
  <c r="BN199" i="25"/>
  <c r="BO199" i="25" s="1"/>
  <c r="BB176" i="25"/>
  <c r="BC176" i="25" s="1"/>
  <c r="BN176" i="25"/>
  <c r="BO176" i="25" s="1"/>
  <c r="BB182" i="25"/>
  <c r="BF182" i="25" s="1"/>
  <c r="BI182" i="25" s="1"/>
  <c r="BJ182" i="25" s="1"/>
  <c r="BR182" i="25"/>
  <c r="BQ182" i="25" s="1"/>
  <c r="CC182" i="25"/>
  <c r="BX182" i="25" s="1"/>
  <c r="BY182" i="25" s="1"/>
  <c r="BZ182" i="25" s="1"/>
  <c r="CA182" i="25" s="1"/>
  <c r="CG210" i="25"/>
  <c r="BW208" i="25"/>
  <c r="BY208" i="25" s="1"/>
  <c r="BZ208" i="25" s="1"/>
  <c r="CA208" i="25" s="1"/>
  <c r="AY342" i="25"/>
  <c r="BR342" i="25"/>
  <c r="BQ342" i="25" s="1"/>
  <c r="BP342" i="25" s="1"/>
  <c r="CG241" i="25"/>
  <c r="BB256" i="25"/>
  <c r="BC256" i="25" s="1"/>
  <c r="BG256" i="25" s="1"/>
  <c r="BH256" i="25" s="1"/>
  <c r="BK256" i="25" s="1"/>
  <c r="BN256" i="25"/>
  <c r="BO256" i="25" s="1"/>
  <c r="CG258" i="25"/>
  <c r="BN217" i="25"/>
  <c r="BO217" i="25" s="1"/>
  <c r="AY233" i="25"/>
  <c r="CG232" i="25"/>
  <c r="BB228" i="25"/>
  <c r="BC228" i="25" s="1"/>
  <c r="BG228" i="25" s="1"/>
  <c r="BH228" i="25" s="1"/>
  <c r="BK228" i="25" s="1"/>
  <c r="BN228" i="25"/>
  <c r="BO228" i="25" s="1"/>
  <c r="AY236" i="25"/>
  <c r="BB254" i="25"/>
  <c r="BC254" i="25" s="1"/>
  <c r="BN254" i="25"/>
  <c r="BO254" i="25" s="1"/>
  <c r="AY351" i="25"/>
  <c r="BB221" i="25"/>
  <c r="BF221" i="25" s="1"/>
  <c r="BI221" i="25" s="1"/>
  <c r="BJ221" i="25" s="1"/>
  <c r="BB264" i="25"/>
  <c r="BC264" i="25" s="1"/>
  <c r="BG264" i="25" s="1"/>
  <c r="BH264" i="25" s="1"/>
  <c r="BK264" i="25" s="1"/>
  <c r="CG264" i="25"/>
  <c r="BB226" i="25"/>
  <c r="BC226" i="25" s="1"/>
  <c r="BR226" i="25"/>
  <c r="BQ226" i="25" s="1"/>
  <c r="BP226" i="25" s="1"/>
  <c r="BY226" i="25"/>
  <c r="BZ226" i="25" s="1"/>
  <c r="CA226" i="25" s="1"/>
  <c r="BY247" i="25"/>
  <c r="BZ247" i="25" s="1"/>
  <c r="CA247" i="25" s="1"/>
  <c r="BB277" i="25"/>
  <c r="BC277" i="25" s="1"/>
  <c r="BN277" i="25"/>
  <c r="BO277" i="25" s="1"/>
  <c r="AY266" i="25"/>
  <c r="BR266" i="25"/>
  <c r="BQ266" i="25" s="1"/>
  <c r="BP266" i="25" s="1"/>
  <c r="BB268" i="25"/>
  <c r="BC268" i="25" s="1"/>
  <c r="BT270" i="25"/>
  <c r="AY283" i="25"/>
  <c r="BB280" i="25"/>
  <c r="BC280" i="25" s="1"/>
  <c r="BB284" i="25"/>
  <c r="BC284" i="25" s="1"/>
  <c r="BN284" i="25"/>
  <c r="BO284" i="25" s="1"/>
  <c r="AY285" i="25"/>
  <c r="AY291" i="25"/>
  <c r="AY369" i="25"/>
  <c r="AY293" i="25"/>
  <c r="AY311" i="25"/>
  <c r="BR312" i="25"/>
  <c r="BQ312" i="25" s="1"/>
  <c r="BP312" i="25" s="1"/>
  <c r="BB314" i="25"/>
  <c r="BF314" i="25" s="1"/>
  <c r="BI314" i="25" s="1"/>
  <c r="BJ314" i="25" s="1"/>
  <c r="BT328" i="25"/>
  <c r="BT327" i="25"/>
  <c r="BW327" i="25"/>
  <c r="BY327" i="25" s="1"/>
  <c r="BZ327" i="25" s="1"/>
  <c r="CA327" i="25" s="1"/>
  <c r="BB100" i="25"/>
  <c r="BC100" i="25" s="1"/>
  <c r="AY120" i="25"/>
  <c r="BN169" i="25"/>
  <c r="BO169" i="25" s="1"/>
  <c r="CG148" i="25"/>
  <c r="BN124" i="25"/>
  <c r="BO124" i="25" s="1"/>
  <c r="CG124" i="25"/>
  <c r="AY127" i="25"/>
  <c r="CG49" i="25"/>
  <c r="CG19" i="25"/>
  <c r="BR62" i="25"/>
  <c r="BQ62" i="25" s="1"/>
  <c r="BP62" i="25" s="1"/>
  <c r="CG62" i="25"/>
  <c r="BN175" i="25"/>
  <c r="BO175" i="25" s="1"/>
  <c r="AY174" i="25"/>
  <c r="BB7" i="25"/>
  <c r="BC7" i="25" s="1"/>
  <c r="BT7" i="25"/>
  <c r="BT84" i="25"/>
  <c r="CG84" i="25"/>
  <c r="BR180" i="25"/>
  <c r="BQ180" i="25" s="1"/>
  <c r="BP180" i="25" s="1"/>
  <c r="CG180" i="25"/>
  <c r="AY200" i="25"/>
  <c r="BR199" i="25"/>
  <c r="BQ199" i="25" s="1"/>
  <c r="BP199" i="25" s="1"/>
  <c r="CD199" i="25"/>
  <c r="BV199" i="25" s="1"/>
  <c r="BB198" i="25"/>
  <c r="BC198" i="25" s="1"/>
  <c r="CG181" i="25"/>
  <c r="AY189" i="25"/>
  <c r="CG195" i="25"/>
  <c r="BQ196" i="25"/>
  <c r="BP196" i="25" s="1"/>
  <c r="AY183" i="25"/>
  <c r="AY178" i="25"/>
  <c r="AY201" i="25"/>
  <c r="BR179" i="25"/>
  <c r="BQ179" i="25" s="1"/>
  <c r="BP179" i="25" s="1"/>
  <c r="CG179" i="25"/>
  <c r="BB188" i="25"/>
  <c r="BC188" i="25" s="1"/>
  <c r="BG188" i="25" s="1"/>
  <c r="BH188" i="25" s="1"/>
  <c r="BK188" i="25" s="1"/>
  <c r="BR194" i="25"/>
  <c r="BQ194" i="25" s="1"/>
  <c r="BP194" i="25" s="1"/>
  <c r="AY182" i="25"/>
  <c r="AY210" i="25"/>
  <c r="CG204" i="25"/>
  <c r="CG242" i="25"/>
  <c r="BY261" i="25"/>
  <c r="BZ261" i="25" s="1"/>
  <c r="CA261" i="25" s="1"/>
  <c r="BR256" i="25"/>
  <c r="BQ256" i="25" s="1"/>
  <c r="BP256" i="25" s="1"/>
  <c r="CG233" i="25"/>
  <c r="AY254" i="25"/>
  <c r="AY250" i="25"/>
  <c r="CG250" i="25"/>
  <c r="BN221" i="25"/>
  <c r="BO221" i="25" s="1"/>
  <c r="CG221" i="25"/>
  <c r="AY220" i="25"/>
  <c r="CG252" i="25"/>
  <c r="CG257" i="25"/>
  <c r="AY226" i="25"/>
  <c r="BB274" i="25"/>
  <c r="BC274" i="25" s="1"/>
  <c r="BN274" i="25"/>
  <c r="BO274" i="25" s="1"/>
  <c r="AY268" i="25"/>
  <c r="BB287" i="25"/>
  <c r="BC287" i="25" s="1"/>
  <c r="BN287" i="25"/>
  <c r="BO287" i="25" s="1"/>
  <c r="AY280" i="25"/>
  <c r="BB317" i="25"/>
  <c r="BF317" i="25" s="1"/>
  <c r="BI317" i="25" s="1"/>
  <c r="BJ317" i="25" s="1"/>
  <c r="BT305" i="25"/>
  <c r="BN305" i="25"/>
  <c r="BO305" i="25" s="1"/>
  <c r="BR327" i="25"/>
  <c r="BQ327" i="25" s="1"/>
  <c r="BP327" i="25" s="1"/>
  <c r="BB305" i="25"/>
  <c r="BC305" i="25" s="1"/>
  <c r="BG305" i="25" s="1"/>
  <c r="BH305" i="25" s="1"/>
  <c r="BK305" i="25" s="1"/>
  <c r="CG305" i="25"/>
  <c r="AY307" i="25"/>
  <c r="CG307" i="25"/>
  <c r="AY320" i="25"/>
  <c r="CG320" i="25"/>
  <c r="AY336" i="25"/>
  <c r="CG336" i="25"/>
  <c r="AY318" i="25"/>
  <c r="AY322" i="25"/>
  <c r="CG325" i="25"/>
  <c r="BR324" i="25"/>
  <c r="BQ324" i="25" s="1"/>
  <c r="BP324" i="25" s="1"/>
  <c r="BW324" i="25"/>
  <c r="BY324" i="25" s="1"/>
  <c r="BZ324" i="25" s="1"/>
  <c r="CA324" i="25" s="1"/>
  <c r="CG330" i="25"/>
  <c r="BB331" i="25"/>
  <c r="BF331" i="25" s="1"/>
  <c r="BI331" i="25" s="1"/>
  <c r="BJ331" i="25" s="1"/>
  <c r="BN331" i="25"/>
  <c r="BO331" i="25" s="1"/>
  <c r="BW331" i="25"/>
  <c r="BY331" i="25" s="1"/>
  <c r="BZ331" i="25" s="1"/>
  <c r="CA331" i="25" s="1"/>
  <c r="AY335" i="25"/>
  <c r="BB334" i="25"/>
  <c r="BF334" i="25" s="1"/>
  <c r="BI334" i="25" s="1"/>
  <c r="BJ334" i="25" s="1"/>
  <c r="BR334" i="25"/>
  <c r="BQ334" i="25" s="1"/>
  <c r="BP334" i="25" s="1"/>
  <c r="BN367" i="25"/>
  <c r="BO367" i="25" s="1"/>
  <c r="BW295" i="25"/>
  <c r="BY295" i="25" s="1"/>
  <c r="BZ295" i="25" s="1"/>
  <c r="CA295" i="25" s="1"/>
  <c r="AY364" i="25"/>
  <c r="BQ361" i="25"/>
  <c r="BP361" i="25" s="1"/>
  <c r="AY371" i="25"/>
  <c r="BN382" i="25"/>
  <c r="BO382" i="25" s="1"/>
  <c r="AY385" i="25"/>
  <c r="BR374" i="25"/>
  <c r="BQ374" i="25" s="1"/>
  <c r="BP374" i="25" s="1"/>
  <c r="AY339" i="25"/>
  <c r="CG350" i="25"/>
  <c r="BW356" i="25"/>
  <c r="BY356" i="25" s="1"/>
  <c r="BZ356" i="25" s="1"/>
  <c r="CA356" i="25" s="1"/>
  <c r="AY359" i="25"/>
  <c r="AY343" i="25"/>
  <c r="CG294" i="25"/>
  <c r="BT296" i="25"/>
  <c r="BB298" i="25"/>
  <c r="BC298" i="25" s="1"/>
  <c r="BW298" i="25"/>
  <c r="BY298" i="25" s="1"/>
  <c r="BZ298" i="25" s="1"/>
  <c r="CA298" i="25" s="1"/>
  <c r="AY299" i="25"/>
  <c r="BW375" i="25"/>
  <c r="BY375" i="25" s="1"/>
  <c r="BZ375" i="25" s="1"/>
  <c r="CA375" i="25" s="1"/>
  <c r="AY376" i="25"/>
  <c r="CG302" i="25"/>
  <c r="BR303" i="25"/>
  <c r="BQ303" i="25" s="1"/>
  <c r="BP303" i="25" s="1"/>
  <c r="CG404" i="25"/>
  <c r="AY390" i="25"/>
  <c r="CG421" i="25"/>
  <c r="BY167" i="25"/>
  <c r="BZ167" i="25" s="1"/>
  <c r="CA167" i="25" s="1"/>
  <c r="BY333" i="25"/>
  <c r="BZ333" i="25" s="1"/>
  <c r="CA333" i="25" s="1"/>
  <c r="BB396" i="25"/>
  <c r="BF396" i="25" s="1"/>
  <c r="BI396" i="25" s="1"/>
  <c r="BJ396" i="25" s="1"/>
  <c r="BT66" i="25"/>
  <c r="AY304" i="25"/>
  <c r="BB313" i="25"/>
  <c r="BC313" i="25" s="1"/>
  <c r="BG313" i="25" s="1"/>
  <c r="BH313" i="25" s="1"/>
  <c r="BK313" i="25" s="1"/>
  <c r="BN313" i="25"/>
  <c r="BO313" i="25" s="1"/>
  <c r="CG313" i="25"/>
  <c r="CG316" i="25"/>
  <c r="AY310" i="25"/>
  <c r="AY337" i="25"/>
  <c r="BB328" i="25"/>
  <c r="BC328" i="25" s="1"/>
  <c r="BR319" i="25"/>
  <c r="BQ319" i="25" s="1"/>
  <c r="BP319" i="25" s="1"/>
  <c r="AY301" i="25"/>
  <c r="BR367" i="25"/>
  <c r="BQ367" i="25" s="1"/>
  <c r="BP367" i="25" s="1"/>
  <c r="BW367" i="25"/>
  <c r="BY367" i="25" s="1"/>
  <c r="BZ367" i="25" s="1"/>
  <c r="CA367" i="25" s="1"/>
  <c r="AY362" i="25"/>
  <c r="BN360" i="25"/>
  <c r="BO360" i="25" s="1"/>
  <c r="AY357" i="25"/>
  <c r="AY295" i="25"/>
  <c r="AY345" i="25"/>
  <c r="BB368" i="25"/>
  <c r="BF368" i="25" s="1"/>
  <c r="BI368" i="25" s="1"/>
  <c r="BJ368" i="25" s="1"/>
  <c r="BN368" i="25"/>
  <c r="BO368" i="25" s="1"/>
  <c r="BW368" i="25"/>
  <c r="BY368" i="25" s="1"/>
  <c r="BZ368" i="25" s="1"/>
  <c r="CA368" i="25" s="1"/>
  <c r="CG371" i="25"/>
  <c r="BB372" i="25"/>
  <c r="BC372" i="25" s="1"/>
  <c r="BG372" i="25" s="1"/>
  <c r="BH372" i="25" s="1"/>
  <c r="BK372" i="25" s="1"/>
  <c r="AY358" i="25"/>
  <c r="CG346" i="25"/>
  <c r="AY237" i="25"/>
  <c r="CG299" i="25"/>
  <c r="BN375" i="25"/>
  <c r="BO375" i="25" s="1"/>
  <c r="BQ379" i="25"/>
  <c r="BP379" i="25" s="1"/>
  <c r="BW303" i="25"/>
  <c r="BY303" i="25" s="1"/>
  <c r="BZ303" i="25" s="1"/>
  <c r="CA303" i="25" s="1"/>
  <c r="CG303" i="25"/>
  <c r="BB390" i="25"/>
  <c r="BC390" i="25" s="1"/>
  <c r="BG390" i="25" s="1"/>
  <c r="BH390" i="25" s="1"/>
  <c r="BK390" i="25" s="1"/>
  <c r="BT410" i="25"/>
  <c r="BN396" i="25"/>
  <c r="BO396" i="25" s="1"/>
  <c r="BB398" i="25"/>
  <c r="BF398" i="25" s="1"/>
  <c r="BI398" i="25" s="1"/>
  <c r="BJ398" i="25" s="1"/>
  <c r="AY420" i="25"/>
  <c r="CG388" i="25"/>
  <c r="BR407" i="25"/>
  <c r="BQ407" i="25" s="1"/>
  <c r="BP407" i="25" s="1"/>
  <c r="BW414" i="25"/>
  <c r="BY414" i="25" s="1"/>
  <c r="BZ414" i="25" s="1"/>
  <c r="CA414" i="25" s="1"/>
  <c r="CG401" i="25"/>
  <c r="BR423" i="25"/>
  <c r="BQ423" i="25" s="1"/>
  <c r="BP423" i="25" s="1"/>
  <c r="CG389" i="25"/>
  <c r="BT405" i="25"/>
  <c r="BR167" i="25"/>
  <c r="AY69" i="25"/>
  <c r="CG66" i="25"/>
  <c r="BR123" i="25"/>
  <c r="BQ123" i="25" s="1"/>
  <c r="BP123" i="25" s="1"/>
  <c r="AY105" i="25"/>
  <c r="AY129" i="25"/>
  <c r="BN35" i="25"/>
  <c r="BO35" i="25" s="1"/>
  <c r="BB34" i="25"/>
  <c r="BC34" i="25" s="1"/>
  <c r="BG34" i="25" s="1"/>
  <c r="BH34" i="25" s="1"/>
  <c r="BK34" i="25" s="1"/>
  <c r="BT34" i="25"/>
  <c r="BR323" i="25"/>
  <c r="BQ323" i="25" s="1"/>
  <c r="BP323" i="25" s="1"/>
  <c r="BB324" i="25"/>
  <c r="BC324" i="25" s="1"/>
  <c r="BB335" i="25"/>
  <c r="BF335" i="25" s="1"/>
  <c r="BI335" i="25" s="1"/>
  <c r="BJ335" i="25" s="1"/>
  <c r="BT380" i="25"/>
  <c r="BB386" i="25"/>
  <c r="BC386" i="25" s="1"/>
  <c r="BR386" i="25"/>
  <c r="BQ386" i="25" s="1"/>
  <c r="BP386" i="25" s="1"/>
  <c r="BT387" i="25"/>
  <c r="BB411" i="25"/>
  <c r="BF411" i="25" s="1"/>
  <c r="BI411" i="25" s="1"/>
  <c r="BJ411" i="25" s="1"/>
  <c r="AY396" i="25"/>
  <c r="BW412" i="25"/>
  <c r="BY412" i="25" s="1"/>
  <c r="BZ412" i="25" s="1"/>
  <c r="CA412" i="25" s="1"/>
  <c r="BB397" i="25"/>
  <c r="BF397" i="25" s="1"/>
  <c r="BI397" i="25" s="1"/>
  <c r="BJ397" i="25" s="1"/>
  <c r="BN397" i="25"/>
  <c r="BO397" i="25" s="1"/>
  <c r="BW397" i="25"/>
  <c r="BY397" i="25" s="1"/>
  <c r="BZ397" i="25" s="1"/>
  <c r="CA397" i="25" s="1"/>
  <c r="AY403" i="25"/>
  <c r="BB389" i="25"/>
  <c r="BC389" i="25" s="1"/>
  <c r="BG389" i="25" s="1"/>
  <c r="BH389" i="25" s="1"/>
  <c r="BK389" i="25" s="1"/>
  <c r="BR389" i="25"/>
  <c r="BQ389" i="25" s="1"/>
  <c r="BP389" i="25" s="1"/>
  <c r="AY405" i="25"/>
  <c r="BB66" i="25"/>
  <c r="BF66" i="25" s="1"/>
  <c r="BI66" i="25" s="1"/>
  <c r="BJ66" i="25" s="1"/>
  <c r="AY71" i="25"/>
  <c r="BY13" i="25"/>
  <c r="BZ13" i="25" s="1"/>
  <c r="CA13" i="25" s="1"/>
  <c r="BB130" i="25"/>
  <c r="BC130" i="25" s="1"/>
  <c r="BG130" i="25" s="1"/>
  <c r="BH130" i="25" s="1"/>
  <c r="BK130" i="25" s="1"/>
  <c r="AY35" i="25"/>
  <c r="CG35" i="25"/>
  <c r="CG34" i="25"/>
  <c r="AY65" i="25"/>
  <c r="BB54" i="25"/>
  <c r="BC54" i="25" s="1"/>
  <c r="BW54" i="25"/>
  <c r="BY54" i="25" s="1"/>
  <c r="BZ54" i="25" s="1"/>
  <c r="CA54" i="25" s="1"/>
  <c r="BB150" i="25"/>
  <c r="BC150" i="25" s="1"/>
  <c r="AY59" i="25"/>
  <c r="BR59" i="25"/>
  <c r="BQ59" i="25" s="1"/>
  <c r="BP59" i="25" s="1"/>
  <c r="BB10" i="25"/>
  <c r="BC10" i="25" s="1"/>
  <c r="BB74" i="25"/>
  <c r="BC74" i="25" s="1"/>
  <c r="BQ74" i="25"/>
  <c r="BP74" i="25" s="1"/>
  <c r="BT74" i="25"/>
  <c r="AY76" i="25"/>
  <c r="CG76" i="25"/>
  <c r="AY95" i="25"/>
  <c r="CG95" i="25"/>
  <c r="BN133" i="25"/>
  <c r="BO133" i="25" s="1"/>
  <c r="AY27" i="25"/>
  <c r="CG27" i="25"/>
  <c r="AY30" i="25"/>
  <c r="BN139" i="25"/>
  <c r="BO139" i="25" s="1"/>
  <c r="BB101" i="25"/>
  <c r="BF101" i="25" s="1"/>
  <c r="BI101" i="25" s="1"/>
  <c r="BJ101" i="25" s="1"/>
  <c r="CG138" i="25"/>
  <c r="AY134" i="25"/>
  <c r="CG134" i="25"/>
  <c r="AY75" i="25"/>
  <c r="BW80" i="25"/>
  <c r="BY80" i="25" s="1"/>
  <c r="BZ80" i="25" s="1"/>
  <c r="CA80" i="25" s="1"/>
  <c r="BB80" i="25"/>
  <c r="BF80" i="25" s="1"/>
  <c r="BI80" i="25" s="1"/>
  <c r="BJ80" i="25" s="1"/>
  <c r="BY151" i="25"/>
  <c r="BZ151" i="25" s="1"/>
  <c r="CA151" i="25" s="1"/>
  <c r="CG151" i="25"/>
  <c r="BB33" i="25"/>
  <c r="BF33" i="25" s="1"/>
  <c r="BI33" i="25" s="1"/>
  <c r="BJ33" i="25" s="1"/>
  <c r="AY12" i="25"/>
  <c r="BS173" i="25"/>
  <c r="BQ51" i="25"/>
  <c r="BP51" i="25" s="1"/>
  <c r="BT102" i="25"/>
  <c r="BN102" i="25"/>
  <c r="BO102" i="25" s="1"/>
  <c r="BB151" i="25"/>
  <c r="BC151" i="25" s="1"/>
  <c r="BG151" i="25" s="1"/>
  <c r="BH151" i="25" s="1"/>
  <c r="BK151" i="25" s="1"/>
  <c r="AY152" i="25"/>
  <c r="CG152" i="25"/>
  <c r="BT38" i="25"/>
  <c r="BR38" i="25"/>
  <c r="BQ38" i="25" s="1"/>
  <c r="BP38" i="25" s="1"/>
  <c r="BN38" i="25"/>
  <c r="BO38" i="25" s="1"/>
  <c r="BB38" i="25"/>
  <c r="BF38" i="25" s="1"/>
  <c r="BI38" i="25" s="1"/>
  <c r="BJ38" i="25" s="1"/>
  <c r="BR87" i="25"/>
  <c r="BQ87" i="25" s="1"/>
  <c r="BP87" i="25" s="1"/>
  <c r="CG173" i="25"/>
  <c r="AY150" i="25"/>
  <c r="BB59" i="25"/>
  <c r="BC59" i="25" s="1"/>
  <c r="BR61" i="25"/>
  <c r="BQ61" i="25" s="1"/>
  <c r="BP61" i="25" s="1"/>
  <c r="BY74" i="25"/>
  <c r="BZ74" i="25" s="1"/>
  <c r="CA74" i="25" s="1"/>
  <c r="BR131" i="25"/>
  <c r="BQ131" i="25" s="1"/>
  <c r="BP131" i="25" s="1"/>
  <c r="AY25" i="25"/>
  <c r="CG25" i="25"/>
  <c r="BQ27" i="25"/>
  <c r="BP27" i="25" s="1"/>
  <c r="AY149" i="25"/>
  <c r="CG51" i="25"/>
  <c r="CG109" i="25"/>
  <c r="BW11" i="25"/>
  <c r="BY11" i="25" s="1"/>
  <c r="BZ11" i="25" s="1"/>
  <c r="CA11" i="25" s="1"/>
  <c r="BN11" i="25"/>
  <c r="BO11" i="25" s="1"/>
  <c r="BQ133" i="25"/>
  <c r="BP133" i="25" s="1"/>
  <c r="BQ139" i="25"/>
  <c r="BP139" i="25" s="1"/>
  <c r="BT101" i="25"/>
  <c r="BR101" i="25"/>
  <c r="BQ101" i="25" s="1"/>
  <c r="BP101" i="25" s="1"/>
  <c r="CG101" i="25"/>
  <c r="CG102" i="25"/>
  <c r="AY80" i="25"/>
  <c r="AY151" i="25"/>
  <c r="CG31" i="25"/>
  <c r="BQ32" i="25"/>
  <c r="BP32" i="25" s="1"/>
  <c r="AY33" i="25"/>
  <c r="AY21" i="25"/>
  <c r="BB103" i="25"/>
  <c r="BF103" i="25" s="1"/>
  <c r="BI103" i="25" s="1"/>
  <c r="BJ103" i="25" s="1"/>
  <c r="BB104" i="25"/>
  <c r="BF104" i="25" s="1"/>
  <c r="BI104" i="25" s="1"/>
  <c r="BJ104" i="25" s="1"/>
  <c r="BW104" i="25"/>
  <c r="BY104" i="25" s="1"/>
  <c r="BZ104" i="25" s="1"/>
  <c r="CA104" i="25" s="1"/>
  <c r="BB107" i="25"/>
  <c r="BC107" i="25" s="1"/>
  <c r="BG107" i="25" s="1"/>
  <c r="BH107" i="25" s="1"/>
  <c r="BK107" i="25" s="1"/>
  <c r="BW107" i="25"/>
  <c r="BY107" i="25" s="1"/>
  <c r="BZ107" i="25" s="1"/>
  <c r="CA107" i="25" s="1"/>
  <c r="AY64" i="25"/>
  <c r="CG64" i="25"/>
  <c r="CG52" i="25"/>
  <c r="BN36" i="25"/>
  <c r="BO36" i="25" s="1"/>
  <c r="AY110" i="25"/>
  <c r="CG37" i="25"/>
  <c r="BW154" i="25"/>
  <c r="BY154" i="25" s="1"/>
  <c r="BZ154" i="25" s="1"/>
  <c r="CA154" i="25" s="1"/>
  <c r="CG154" i="25"/>
  <c r="AY156" i="25"/>
  <c r="BB57" i="25"/>
  <c r="BF57" i="25" s="1"/>
  <c r="BI57" i="25" s="1"/>
  <c r="BJ57" i="25" s="1"/>
  <c r="BN57" i="25"/>
  <c r="BO57" i="25" s="1"/>
  <c r="BR114" i="25"/>
  <c r="BQ114" i="25" s="1"/>
  <c r="BP114" i="25" s="1"/>
  <c r="BR115" i="25"/>
  <c r="BQ115" i="25" s="1"/>
  <c r="BP115" i="25" s="1"/>
  <c r="BB40" i="25"/>
  <c r="BF40" i="25" s="1"/>
  <c r="BI40" i="25" s="1"/>
  <c r="BJ40" i="25" s="1"/>
  <c r="BN40" i="25"/>
  <c r="BO40" i="25" s="1"/>
  <c r="BB94" i="25"/>
  <c r="BF94" i="25" s="1"/>
  <c r="BI94" i="25" s="1"/>
  <c r="BJ94" i="25" s="1"/>
  <c r="BN94" i="25"/>
  <c r="BO94" i="25" s="1"/>
  <c r="CG94" i="25"/>
  <c r="BR41" i="25"/>
  <c r="BQ41" i="25" s="1"/>
  <c r="BP41" i="25" s="1"/>
  <c r="BR42" i="25"/>
  <c r="BQ42" i="25" s="1"/>
  <c r="BP42" i="25" s="1"/>
  <c r="BN15" i="25"/>
  <c r="BO15" i="25" s="1"/>
  <c r="AY72" i="25"/>
  <c r="BR77" i="25"/>
  <c r="BQ77" i="25" s="1"/>
  <c r="BP77" i="25" s="1"/>
  <c r="AY98" i="25"/>
  <c r="BB97" i="25"/>
  <c r="BF97" i="25" s="1"/>
  <c r="BI97" i="25" s="1"/>
  <c r="BJ97" i="25" s="1"/>
  <c r="BB161" i="25"/>
  <c r="BF161" i="25" s="1"/>
  <c r="BI161" i="25" s="1"/>
  <c r="BJ161" i="25" s="1"/>
  <c r="BN161" i="25"/>
  <c r="BO161" i="25" s="1"/>
  <c r="CG161" i="25"/>
  <c r="AY162" i="25"/>
  <c r="BB163" i="25"/>
  <c r="BF163" i="25" s="1"/>
  <c r="BI163" i="25" s="1"/>
  <c r="BJ163" i="25" s="1"/>
  <c r="BN163" i="25"/>
  <c r="BO163" i="25" s="1"/>
  <c r="BR164" i="25"/>
  <c r="BQ164" i="25" s="1"/>
  <c r="BP164" i="25" s="1"/>
  <c r="AY44" i="25"/>
  <c r="AY45" i="25"/>
  <c r="CG45" i="25"/>
  <c r="BN141" i="25"/>
  <c r="BO141" i="25" s="1"/>
  <c r="BN24" i="25"/>
  <c r="BO24" i="25" s="1"/>
  <c r="AY100" i="25"/>
  <c r="CG100" i="25"/>
  <c r="CG168" i="25"/>
  <c r="BW120" i="25"/>
  <c r="BY120" i="25" s="1"/>
  <c r="BZ120" i="25" s="1"/>
  <c r="CA120" i="25" s="1"/>
  <c r="AY121" i="25"/>
  <c r="AY169" i="25"/>
  <c r="BT169" i="25"/>
  <c r="AY137" i="25"/>
  <c r="BT137" i="25"/>
  <c r="BY122" i="25"/>
  <c r="BZ122" i="25" s="1"/>
  <c r="CA122" i="25" s="1"/>
  <c r="BN125" i="25"/>
  <c r="BO125" i="25" s="1"/>
  <c r="BW127" i="25"/>
  <c r="BY127" i="25" s="1"/>
  <c r="BZ127" i="25" s="1"/>
  <c r="CA127" i="25" s="1"/>
  <c r="AY128" i="25"/>
  <c r="BN170" i="25"/>
  <c r="BO170" i="25" s="1"/>
  <c r="CG172" i="25"/>
  <c r="AY175" i="25"/>
  <c r="CG175" i="25"/>
  <c r="BT79" i="25"/>
  <c r="BB83" i="25"/>
  <c r="BC83" i="25" s="1"/>
  <c r="BT83" i="25"/>
  <c r="BB84" i="25"/>
  <c r="BC84" i="25" s="1"/>
  <c r="BG84" i="25" s="1"/>
  <c r="BH84" i="25" s="1"/>
  <c r="BK84" i="25" s="1"/>
  <c r="BB90" i="25"/>
  <c r="BF90" i="25" s="1"/>
  <c r="BI90" i="25" s="1"/>
  <c r="BJ90" i="25" s="1"/>
  <c r="CG92" i="25"/>
  <c r="CG86" i="25"/>
  <c r="BN18" i="25"/>
  <c r="BO18" i="25" s="1"/>
  <c r="CG18" i="25"/>
  <c r="AY48" i="25"/>
  <c r="BR265" i="25"/>
  <c r="BQ265" i="25" s="1"/>
  <c r="BW265" i="25"/>
  <c r="BY265" i="25" s="1"/>
  <c r="BZ265" i="25" s="1"/>
  <c r="CA265" i="25" s="1"/>
  <c r="CG265" i="25"/>
  <c r="BB269" i="25"/>
  <c r="BF269" i="25" s="1"/>
  <c r="BI269" i="25" s="1"/>
  <c r="BJ269" i="25" s="1"/>
  <c r="BN269" i="25"/>
  <c r="BO269" i="25" s="1"/>
  <c r="BB275" i="25"/>
  <c r="BC275" i="25" s="1"/>
  <c r="BG275" i="25" s="1"/>
  <c r="BH275" i="25" s="1"/>
  <c r="BK275" i="25" s="1"/>
  <c r="CG187" i="25"/>
  <c r="CG186" i="25"/>
  <c r="AY190" i="25"/>
  <c r="BR190" i="25"/>
  <c r="BQ190" i="25" s="1"/>
  <c r="BP190" i="25" s="1"/>
  <c r="AY180" i="25"/>
  <c r="AY197" i="25"/>
  <c r="BB200" i="25"/>
  <c r="BC200" i="25" s="1"/>
  <c r="BG200" i="25" s="1"/>
  <c r="BH200" i="25" s="1"/>
  <c r="BN200" i="25"/>
  <c r="BO200" i="25" s="1"/>
  <c r="BR191" i="25"/>
  <c r="BQ191" i="25" s="1"/>
  <c r="BP191" i="25" s="1"/>
  <c r="CC191" i="25"/>
  <c r="BX191" i="25" s="1"/>
  <c r="BN198" i="25"/>
  <c r="BO198" i="25" s="1"/>
  <c r="BB189" i="25"/>
  <c r="BC189" i="25" s="1"/>
  <c r="BN189" i="25"/>
  <c r="BO189" i="25" s="1"/>
  <c r="BN195" i="25"/>
  <c r="BO195" i="25" s="1"/>
  <c r="CD195" i="25"/>
  <c r="BV195" i="25" s="1"/>
  <c r="BY195" i="25" s="1"/>
  <c r="BZ195" i="25" s="1"/>
  <c r="CA195" i="25" s="1"/>
  <c r="CG196" i="25"/>
  <c r="BB183" i="25"/>
  <c r="BC183" i="25" s="1"/>
  <c r="BG183" i="25" s="1"/>
  <c r="BH183" i="25" s="1"/>
  <c r="BK183" i="25" s="1"/>
  <c r="BN183" i="25"/>
  <c r="BO183" i="25" s="1"/>
  <c r="BN178" i="25"/>
  <c r="BO178" i="25" s="1"/>
  <c r="BB179" i="25"/>
  <c r="BF179" i="25" s="1"/>
  <c r="BI179" i="25" s="1"/>
  <c r="BJ179" i="25" s="1"/>
  <c r="BN179" i="25"/>
  <c r="BO179" i="25" s="1"/>
  <c r="BB89" i="25"/>
  <c r="BF89" i="25" s="1"/>
  <c r="BI89" i="25" s="1"/>
  <c r="BJ89" i="25" s="1"/>
  <c r="BN89" i="25"/>
  <c r="BO89" i="25" s="1"/>
  <c r="BW89" i="25"/>
  <c r="BY89" i="25" s="1"/>
  <c r="BZ89" i="25" s="1"/>
  <c r="CA89" i="25" s="1"/>
  <c r="BY156" i="25"/>
  <c r="BZ156" i="25" s="1"/>
  <c r="CA156" i="25" s="1"/>
  <c r="BW158" i="25"/>
  <c r="BY158" i="25" s="1"/>
  <c r="BZ158" i="25" s="1"/>
  <c r="CA158" i="25" s="1"/>
  <c r="BR15" i="25"/>
  <c r="BQ15" i="25" s="1"/>
  <c r="BB118" i="25"/>
  <c r="BF118" i="25" s="1"/>
  <c r="BI118" i="25" s="1"/>
  <c r="BJ118" i="25" s="1"/>
  <c r="BN118" i="25"/>
  <c r="BO118" i="25" s="1"/>
  <c r="BR141" i="25"/>
  <c r="BQ141" i="25" s="1"/>
  <c r="BP141" i="25" s="1"/>
  <c r="BY24" i="25"/>
  <c r="BZ24" i="25" s="1"/>
  <c r="CA24" i="25" s="1"/>
  <c r="BT19" i="25"/>
  <c r="BB79" i="25"/>
  <c r="BC79" i="25" s="1"/>
  <c r="BG79" i="25" s="1"/>
  <c r="BH79" i="25" s="1"/>
  <c r="BK79" i="25" s="1"/>
  <c r="BN83" i="25"/>
  <c r="BO83" i="25" s="1"/>
  <c r="BB184" i="25"/>
  <c r="BC184" i="25" s="1"/>
  <c r="BG184" i="25" s="1"/>
  <c r="BH184" i="25" s="1"/>
  <c r="BK184" i="25" s="1"/>
  <c r="BN184" i="25"/>
  <c r="BO184" i="25" s="1"/>
  <c r="CH192" i="25"/>
  <c r="BB201" i="25"/>
  <c r="BC201" i="25" s="1"/>
  <c r="BT209" i="25"/>
  <c r="BW209" i="25"/>
  <c r="BY209" i="25" s="1"/>
  <c r="BZ209" i="25" s="1"/>
  <c r="CA209" i="25" s="1"/>
  <c r="BY21" i="25"/>
  <c r="BZ21" i="25" s="1"/>
  <c r="CA21" i="25" s="1"/>
  <c r="AY52" i="25"/>
  <c r="AY111" i="25"/>
  <c r="CG111" i="25"/>
  <c r="CG22" i="25"/>
  <c r="AY38" i="25"/>
  <c r="BR89" i="25"/>
  <c r="BQ89" i="25" s="1"/>
  <c r="BP89" i="25" s="1"/>
  <c r="CG156" i="25"/>
  <c r="AY158" i="25"/>
  <c r="BB158" i="25"/>
  <c r="BF158" i="25" s="1"/>
  <c r="BI158" i="25" s="1"/>
  <c r="BJ158" i="25" s="1"/>
  <c r="BR158" i="25"/>
  <c r="BQ158" i="25" s="1"/>
  <c r="BP158" i="25" s="1"/>
  <c r="CG91" i="25"/>
  <c r="BB55" i="25"/>
  <c r="BF55" i="25" s="1"/>
  <c r="BI55" i="25" s="1"/>
  <c r="BJ55" i="25" s="1"/>
  <c r="BN55" i="25"/>
  <c r="BO55" i="25" s="1"/>
  <c r="BB93" i="25"/>
  <c r="BF93" i="25" s="1"/>
  <c r="BI93" i="25" s="1"/>
  <c r="BJ93" i="25" s="1"/>
  <c r="BN93" i="25"/>
  <c r="BO93" i="25" s="1"/>
  <c r="CG67" i="25"/>
  <c r="BB114" i="25"/>
  <c r="BF114" i="25" s="1"/>
  <c r="BI114" i="25" s="1"/>
  <c r="BJ114" i="25" s="1"/>
  <c r="BY114" i="25"/>
  <c r="BZ114" i="25" s="1"/>
  <c r="CA114" i="25" s="1"/>
  <c r="BB115" i="25"/>
  <c r="BF115" i="25" s="1"/>
  <c r="BI115" i="25" s="1"/>
  <c r="BJ115" i="25" s="1"/>
  <c r="BY115" i="25"/>
  <c r="BZ115" i="25" s="1"/>
  <c r="CA115" i="25" s="1"/>
  <c r="AY14" i="25"/>
  <c r="BB42" i="25"/>
  <c r="BF42" i="25" s="1"/>
  <c r="BI42" i="25" s="1"/>
  <c r="BJ42" i="25" s="1"/>
  <c r="BY42" i="25"/>
  <c r="BZ42" i="25" s="1"/>
  <c r="CA42" i="25" s="1"/>
  <c r="AY15" i="25"/>
  <c r="BN72" i="25"/>
  <c r="BO72" i="25" s="1"/>
  <c r="CG117" i="25"/>
  <c r="BR118" i="25"/>
  <c r="BQ118" i="25" s="1"/>
  <c r="AY23" i="25"/>
  <c r="CG16" i="25"/>
  <c r="BY163" i="25"/>
  <c r="BZ163" i="25" s="1"/>
  <c r="CA163" i="25" s="1"/>
  <c r="BR44" i="25"/>
  <c r="BQ44" i="25" s="1"/>
  <c r="BP44" i="25" s="1"/>
  <c r="BQ45" i="25"/>
  <c r="BP45" i="25" s="1"/>
  <c r="AY24" i="25"/>
  <c r="BT24" i="25"/>
  <c r="BQ100" i="25"/>
  <c r="BP100" i="25" s="1"/>
  <c r="BY169" i="25"/>
  <c r="BZ169" i="25" s="1"/>
  <c r="CA169" i="25" s="1"/>
  <c r="AY136" i="25"/>
  <c r="AY122" i="25"/>
  <c r="BB125" i="25"/>
  <c r="BC125" i="25" s="1"/>
  <c r="BG125" i="25" s="1"/>
  <c r="BH125" i="25" s="1"/>
  <c r="BK125" i="25" s="1"/>
  <c r="AY126" i="25"/>
  <c r="CG126" i="25"/>
  <c r="BB128" i="25"/>
  <c r="BC128" i="25" s="1"/>
  <c r="BB170" i="25"/>
  <c r="BC170" i="25" s="1"/>
  <c r="BG170" i="25" s="1"/>
  <c r="BH170" i="25" s="1"/>
  <c r="BK170" i="25" s="1"/>
  <c r="AY172" i="25"/>
  <c r="BT172" i="25"/>
  <c r="BN19" i="25"/>
  <c r="BO19" i="25" s="1"/>
  <c r="AY50" i="25"/>
  <c r="CG50" i="25"/>
  <c r="CG7" i="25"/>
  <c r="BN79" i="25"/>
  <c r="BO79" i="25" s="1"/>
  <c r="AY83" i="25"/>
  <c r="BR83" i="25"/>
  <c r="BQ83" i="25" s="1"/>
  <c r="BP83" i="25" s="1"/>
  <c r="AY84" i="25"/>
  <c r="CG135" i="25"/>
  <c r="AY90" i="25"/>
  <c r="CG273" i="25"/>
  <c r="BQ276" i="25"/>
  <c r="BP276" i="25" s="1"/>
  <c r="AY187" i="25"/>
  <c r="CG190" i="25"/>
  <c r="CC197" i="25"/>
  <c r="BX197" i="25" s="1"/>
  <c r="AY185" i="25"/>
  <c r="CG191" i="25"/>
  <c r="AY193" i="25"/>
  <c r="BR184" i="25"/>
  <c r="BQ184" i="25" s="1"/>
  <c r="BP184" i="25" s="1"/>
  <c r="CG184" i="25"/>
  <c r="BB181" i="25"/>
  <c r="BF181" i="25" s="1"/>
  <c r="BI181" i="25" s="1"/>
  <c r="BJ181" i="25" s="1"/>
  <c r="AY176" i="25"/>
  <c r="CG183" i="25"/>
  <c r="CD202" i="25"/>
  <c r="BV202" i="25" s="1"/>
  <c r="BY202" i="25" s="1"/>
  <c r="BZ202" i="25" s="1"/>
  <c r="CA202" i="25" s="1"/>
  <c r="CG178" i="25"/>
  <c r="BT188" i="25"/>
  <c r="BR188" i="25"/>
  <c r="BQ188" i="25" s="1"/>
  <c r="BP188" i="25" s="1"/>
  <c r="BB209" i="25"/>
  <c r="BF209" i="25" s="1"/>
  <c r="BI209" i="25" s="1"/>
  <c r="BJ209" i="25" s="1"/>
  <c r="BR209" i="25"/>
  <c r="BQ209" i="25" s="1"/>
  <c r="BT210" i="25"/>
  <c r="BW210" i="25"/>
  <c r="BY210" i="25" s="1"/>
  <c r="BZ210" i="25" s="1"/>
  <c r="CA210" i="25" s="1"/>
  <c r="BN210" i="25"/>
  <c r="BO210" i="25" s="1"/>
  <c r="BT207" i="25"/>
  <c r="BW207" i="25"/>
  <c r="BY207" i="25" s="1"/>
  <c r="BZ207" i="25" s="1"/>
  <c r="CA207" i="25" s="1"/>
  <c r="BR207" i="25"/>
  <c r="BQ207" i="25" s="1"/>
  <c r="BP207" i="25" s="1"/>
  <c r="CG188" i="25"/>
  <c r="CH182" i="25"/>
  <c r="AY209" i="25"/>
  <c r="CG206" i="25"/>
  <c r="CG342" i="25"/>
  <c r="BY240" i="25"/>
  <c r="BZ240" i="25" s="1"/>
  <c r="CA240" i="25" s="1"/>
  <c r="BR258" i="25"/>
  <c r="BQ258" i="25" s="1"/>
  <c r="BP258" i="25" s="1"/>
  <c r="AY238" i="25"/>
  <c r="BY238" i="25"/>
  <c r="BZ238" i="25" s="1"/>
  <c r="CA238" i="25" s="1"/>
  <c r="CG222" i="25"/>
  <c r="CG228" i="25"/>
  <c r="CG251" i="25"/>
  <c r="AY244" i="25"/>
  <c r="AY227" i="25"/>
  <c r="BQ259" i="25"/>
  <c r="BP259" i="25" s="1"/>
  <c r="CG259" i="25"/>
  <c r="BQ221" i="25"/>
  <c r="BY262" i="25"/>
  <c r="BZ262" i="25" s="1"/>
  <c r="CA262" i="25" s="1"/>
  <c r="BR252" i="25"/>
  <c r="BQ252" i="25" s="1"/>
  <c r="BP252" i="25" s="1"/>
  <c r="BQ257" i="25"/>
  <c r="BP257" i="25" s="1"/>
  <c r="CD239" i="25"/>
  <c r="BV239" i="25" s="1"/>
  <c r="BY239" i="25" s="1"/>
  <c r="BZ239" i="25" s="1"/>
  <c r="CA239" i="25" s="1"/>
  <c r="BQ247" i="25"/>
  <c r="BP247" i="25" s="1"/>
  <c r="BR279" i="25"/>
  <c r="BQ279" i="25" s="1"/>
  <c r="BP279" i="25" s="1"/>
  <c r="BR277" i="25"/>
  <c r="BQ277" i="25" s="1"/>
  <c r="BP277" i="25" s="1"/>
  <c r="BR274" i="25"/>
  <c r="BQ274" i="25" s="1"/>
  <c r="BP274" i="25" s="1"/>
  <c r="BR270" i="25"/>
  <c r="BQ270" i="25" s="1"/>
  <c r="BP270" i="25" s="1"/>
  <c r="BR287" i="25"/>
  <c r="BQ287" i="25" s="1"/>
  <c r="BP287" i="25" s="1"/>
  <c r="BR284" i="25"/>
  <c r="BQ284" i="25" s="1"/>
  <c r="BP284" i="25" s="1"/>
  <c r="BB289" i="25"/>
  <c r="BC289" i="25" s="1"/>
  <c r="BN289" i="25"/>
  <c r="BO289" i="25" s="1"/>
  <c r="BT289" i="25"/>
  <c r="BR347" i="25"/>
  <c r="BQ347" i="25" s="1"/>
  <c r="BP347" i="25" s="1"/>
  <c r="BR348" i="25"/>
  <c r="BQ348" i="25" s="1"/>
  <c r="BP348" i="25" s="1"/>
  <c r="AY212" i="25"/>
  <c r="BT212" i="25"/>
  <c r="BB311" i="25"/>
  <c r="BC311" i="25" s="1"/>
  <c r="CD314" i="25"/>
  <c r="BV314" i="25" s="1"/>
  <c r="CG317" i="25"/>
  <c r="BY232" i="25"/>
  <c r="BZ232" i="25" s="1"/>
  <c r="CA232" i="25" s="1"/>
  <c r="BB236" i="25"/>
  <c r="BC236" i="25" s="1"/>
  <c r="BG236" i="25" s="1"/>
  <c r="BH236" i="25" s="1"/>
  <c r="BK236" i="25" s="1"/>
  <c r="BQ213" i="25"/>
  <c r="BP213" i="25" s="1"/>
  <c r="BQ351" i="25"/>
  <c r="BP351" i="25" s="1"/>
  <c r="CD214" i="25"/>
  <c r="BV214" i="25" s="1"/>
  <c r="BY214" i="25" s="1"/>
  <c r="BZ214" i="25" s="1"/>
  <c r="CA214" i="25" s="1"/>
  <c r="BY231" i="25"/>
  <c r="BZ231" i="25" s="1"/>
  <c r="CA231" i="25" s="1"/>
  <c r="BB292" i="25"/>
  <c r="BF292" i="25" s="1"/>
  <c r="BI292" i="25" s="1"/>
  <c r="BJ292" i="25" s="1"/>
  <c r="AY315" i="25"/>
  <c r="AY305" i="25"/>
  <c r="BR305" i="25"/>
  <c r="BQ305" i="25" s="1"/>
  <c r="BP305" i="25" s="1"/>
  <c r="BB309" i="25"/>
  <c r="BC309" i="25" s="1"/>
  <c r="BN309" i="25"/>
  <c r="BO309" i="25" s="1"/>
  <c r="CG194" i="25"/>
  <c r="AY177" i="25"/>
  <c r="CG182" i="25"/>
  <c r="BB210" i="25"/>
  <c r="BF210" i="25" s="1"/>
  <c r="BI210" i="25" s="1"/>
  <c r="BJ210" i="25" s="1"/>
  <c r="CG205" i="25"/>
  <c r="AY207" i="25"/>
  <c r="AY206" i="25"/>
  <c r="CG211" i="25"/>
  <c r="AY242" i="25"/>
  <c r="BB242" i="25"/>
  <c r="BC242" i="25" s="1"/>
  <c r="BG242" i="25" s="1"/>
  <c r="BH242" i="25" s="1"/>
  <c r="BK242" i="25" s="1"/>
  <c r="AY241" i="25"/>
  <c r="BB241" i="25"/>
  <c r="BC241" i="25" s="1"/>
  <c r="BG241" i="25" s="1"/>
  <c r="BH241" i="25" s="1"/>
  <c r="BK241" i="25" s="1"/>
  <c r="BN241" i="25"/>
  <c r="BO241" i="25" s="1"/>
  <c r="BR236" i="25"/>
  <c r="BQ236" i="25" s="1"/>
  <c r="BP236" i="25" s="1"/>
  <c r="AY251" i="25"/>
  <c r="AY218" i="25"/>
  <c r="BQ244" i="25"/>
  <c r="BP244" i="25" s="1"/>
  <c r="CG244" i="25"/>
  <c r="BQ234" i="25"/>
  <c r="BP234" i="25" s="1"/>
  <c r="AY259" i="25"/>
  <c r="AY246" i="25"/>
  <c r="BN250" i="25"/>
  <c r="BO250" i="25" s="1"/>
  <c r="AY219" i="25"/>
  <c r="BR220" i="25"/>
  <c r="BQ220" i="25" s="1"/>
  <c r="BP220" i="25" s="1"/>
  <c r="BB252" i="25"/>
  <c r="BC252" i="25" s="1"/>
  <c r="BG252" i="25" s="1"/>
  <c r="BH252" i="25" s="1"/>
  <c r="BK252" i="25" s="1"/>
  <c r="AY253" i="25"/>
  <c r="AY257" i="25"/>
  <c r="CG226" i="25"/>
  <c r="BQ239" i="25"/>
  <c r="BP239" i="25" s="1"/>
  <c r="AY247" i="25"/>
  <c r="AY216" i="25"/>
  <c r="BB348" i="25"/>
  <c r="BC348" i="25" s="1"/>
  <c r="BB212" i="25"/>
  <c r="BC212" i="25" s="1"/>
  <c r="BN311" i="25"/>
  <c r="BO311" i="25" s="1"/>
  <c r="CG312" i="25"/>
  <c r="BN317" i="25"/>
  <c r="BO317" i="25" s="1"/>
  <c r="CG308" i="25"/>
  <c r="BB310" i="25"/>
  <c r="BC310" i="25" s="1"/>
  <c r="BR310" i="25"/>
  <c r="BQ310" i="25" s="1"/>
  <c r="BP310" i="25" s="1"/>
  <c r="CD305" i="25"/>
  <c r="BV305" i="25" s="1"/>
  <c r="AY309" i="25"/>
  <c r="BB307" i="25"/>
  <c r="BC307" i="25" s="1"/>
  <c r="BN307" i="25"/>
  <c r="BO307" i="25" s="1"/>
  <c r="BQ254" i="25"/>
  <c r="BP254" i="25" s="1"/>
  <c r="BQ289" i="25"/>
  <c r="BP289" i="25" s="1"/>
  <c r="BB347" i="25"/>
  <c r="BC347" i="25" s="1"/>
  <c r="BW347" i="25"/>
  <c r="BY347" i="25" s="1"/>
  <c r="BZ347" i="25" s="1"/>
  <c r="CA347" i="25" s="1"/>
  <c r="BN348" i="25"/>
  <c r="BO348" i="25" s="1"/>
  <c r="CC306" i="25"/>
  <c r="BX306" i="25" s="1"/>
  <c r="AY329" i="25"/>
  <c r="CG329" i="25"/>
  <c r="BW321" i="25"/>
  <c r="BY321" i="25" s="1"/>
  <c r="BZ321" i="25" s="1"/>
  <c r="CA321" i="25" s="1"/>
  <c r="AY323" i="25"/>
  <c r="CG324" i="25"/>
  <c r="BR335" i="25"/>
  <c r="BQ335" i="25" s="1"/>
  <c r="BP335" i="25" s="1"/>
  <c r="BW335" i="25"/>
  <c r="BY335" i="25" s="1"/>
  <c r="BZ335" i="25" s="1"/>
  <c r="CA335" i="25" s="1"/>
  <c r="AY333" i="25"/>
  <c r="CG333" i="25"/>
  <c r="BB352" i="25"/>
  <c r="BR352" i="25"/>
  <c r="BQ352" i="25" s="1"/>
  <c r="BP352" i="25" s="1"/>
  <c r="BW352" i="25"/>
  <c r="BY352" i="25" s="1"/>
  <c r="BZ352" i="25" s="1"/>
  <c r="CA352" i="25" s="1"/>
  <c r="AY367" i="25"/>
  <c r="CG362" i="25"/>
  <c r="BN377" i="25"/>
  <c r="BO377" i="25" s="1"/>
  <c r="BY364" i="25"/>
  <c r="BZ364" i="25" s="1"/>
  <c r="CA364" i="25" s="1"/>
  <c r="CG364" i="25"/>
  <c r="BR372" i="25"/>
  <c r="BQ372" i="25" s="1"/>
  <c r="BP372" i="25" s="1"/>
  <c r="BW372" i="25"/>
  <c r="BY372" i="25" s="1"/>
  <c r="BZ372" i="25" s="1"/>
  <c r="CA372" i="25" s="1"/>
  <c r="BB373" i="25"/>
  <c r="BF373" i="25" s="1"/>
  <c r="BI373" i="25" s="1"/>
  <c r="BJ373" i="25" s="1"/>
  <c r="BW373" i="25"/>
  <c r="BY373" i="25" s="1"/>
  <c r="BZ373" i="25" s="1"/>
  <c r="CA373" i="25" s="1"/>
  <c r="BB387" i="25"/>
  <c r="BC387" i="25" s="1"/>
  <c r="BR353" i="25"/>
  <c r="BQ353" i="25" s="1"/>
  <c r="BP353" i="25" s="1"/>
  <c r="BR358" i="25"/>
  <c r="BQ358" i="25" s="1"/>
  <c r="BP358" i="25" s="1"/>
  <c r="BW387" i="25"/>
  <c r="BY387" i="25" s="1"/>
  <c r="BZ387" i="25" s="1"/>
  <c r="CA387" i="25" s="1"/>
  <c r="BR387" i="25"/>
  <c r="BQ387" i="25" s="1"/>
  <c r="BP387" i="25" s="1"/>
  <c r="AY294" i="25"/>
  <c r="AY326" i="25"/>
  <c r="BB338" i="25"/>
  <c r="BC338" i="25" s="1"/>
  <c r="BN338" i="25"/>
  <c r="BO338" i="25" s="1"/>
  <c r="BR322" i="25"/>
  <c r="BQ322" i="25" s="1"/>
  <c r="BP322" i="25" s="1"/>
  <c r="BN335" i="25"/>
  <c r="BO335" i="25" s="1"/>
  <c r="BN334" i="25"/>
  <c r="BO334" i="25" s="1"/>
  <c r="BN352" i="25"/>
  <c r="BO352" i="25" s="1"/>
  <c r="BN295" i="25"/>
  <c r="BO295" i="25" s="1"/>
  <c r="BN372" i="25"/>
  <c r="BO372" i="25" s="1"/>
  <c r="BQ366" i="25"/>
  <c r="BP366" i="25" s="1"/>
  <c r="CG366" i="25"/>
  <c r="BB374" i="25"/>
  <c r="BC374" i="25" s="1"/>
  <c r="BN374" i="25"/>
  <c r="BO374" i="25" s="1"/>
  <c r="BB380" i="25"/>
  <c r="BC380" i="25" s="1"/>
  <c r="BR380" i="25"/>
  <c r="BQ380" i="25" s="1"/>
  <c r="BP380" i="25" s="1"/>
  <c r="BW380" i="25"/>
  <c r="BY380" i="25" s="1"/>
  <c r="BZ380" i="25" s="1"/>
  <c r="CA380" i="25" s="1"/>
  <c r="CG380" i="25"/>
  <c r="BB341" i="25"/>
  <c r="BC341" i="25" s="1"/>
  <c r="BN341" i="25"/>
  <c r="BO341" i="25" s="1"/>
  <c r="BT341" i="25"/>
  <c r="AY350" i="25"/>
  <c r="BR350" i="25"/>
  <c r="BQ350" i="25" s="1"/>
  <c r="BP350" i="25" s="1"/>
  <c r="BY358" i="25"/>
  <c r="BZ358" i="25" s="1"/>
  <c r="CA358" i="25" s="1"/>
  <c r="BW344" i="25"/>
  <c r="BY344" i="25" s="1"/>
  <c r="BZ344" i="25" s="1"/>
  <c r="CA344" i="25" s="1"/>
  <c r="BR344" i="25"/>
  <c r="BQ344" i="25" s="1"/>
  <c r="BP344" i="25" s="1"/>
  <c r="BT237" i="25"/>
  <c r="BR237" i="25"/>
  <c r="BQ237" i="25" s="1"/>
  <c r="BP237" i="25" s="1"/>
  <c r="AY338" i="25"/>
  <c r="BR338" i="25"/>
  <c r="BQ338" i="25" s="1"/>
  <c r="BP338" i="25" s="1"/>
  <c r="CG338" i="25"/>
  <c r="BB329" i="25"/>
  <c r="BC329" i="25" s="1"/>
  <c r="AY328" i="25"/>
  <c r="AY331" i="25"/>
  <c r="BB333" i="25"/>
  <c r="BF333" i="25" s="1"/>
  <c r="BI333" i="25" s="1"/>
  <c r="BJ333" i="25" s="1"/>
  <c r="AY319" i="25"/>
  <c r="BN319" i="25"/>
  <c r="BO319" i="25" s="1"/>
  <c r="BB377" i="25"/>
  <c r="BF377" i="25" s="1"/>
  <c r="BI377" i="25" s="1"/>
  <c r="BJ377" i="25" s="1"/>
  <c r="CG377" i="25"/>
  <c r="BR357" i="25"/>
  <c r="BQ357" i="25" s="1"/>
  <c r="BP357" i="25" s="1"/>
  <c r="BY357" i="25"/>
  <c r="BZ357" i="25" s="1"/>
  <c r="CA357" i="25" s="1"/>
  <c r="AY384" i="25"/>
  <c r="CG345" i="25"/>
  <c r="AY355" i="25"/>
  <c r="CG372" i="25"/>
  <c r="CG373" i="25"/>
  <c r="BR385" i="25"/>
  <c r="BQ385" i="25" s="1"/>
  <c r="BP385" i="25" s="1"/>
  <c r="BB366" i="25"/>
  <c r="BC366" i="25" s="1"/>
  <c r="BN366" i="25"/>
  <c r="BO366" i="25" s="1"/>
  <c r="BW366" i="25"/>
  <c r="BY366" i="25" s="1"/>
  <c r="BZ366" i="25" s="1"/>
  <c r="CA366" i="25" s="1"/>
  <c r="BN353" i="25"/>
  <c r="BO353" i="25" s="1"/>
  <c r="BT353" i="25"/>
  <c r="AY374" i="25"/>
  <c r="CG339" i="25"/>
  <c r="BY341" i="25"/>
  <c r="BZ341" i="25" s="1"/>
  <c r="CA341" i="25" s="1"/>
  <c r="BB358" i="25"/>
  <c r="BC358" i="25" s="1"/>
  <c r="BN358" i="25"/>
  <c r="BO358" i="25" s="1"/>
  <c r="BT358" i="25"/>
  <c r="BB237" i="25"/>
  <c r="BC237" i="25" s="1"/>
  <c r="BN296" i="25"/>
  <c r="BO296" i="25" s="1"/>
  <c r="BR299" i="25"/>
  <c r="BQ299" i="25" s="1"/>
  <c r="BP299" i="25" s="1"/>
  <c r="CG375" i="25"/>
  <c r="AY365" i="25"/>
  <c r="BB378" i="25"/>
  <c r="BC378" i="25" s="1"/>
  <c r="BG378" i="25" s="1"/>
  <c r="BH378" i="25" s="1"/>
  <c r="BK378" i="25" s="1"/>
  <c r="BB393" i="25"/>
  <c r="BF393" i="25" s="1"/>
  <c r="BI393" i="25" s="1"/>
  <c r="BJ393" i="25" s="1"/>
  <c r="AY398" i="25"/>
  <c r="CG406" i="25"/>
  <c r="AY399" i="25"/>
  <c r="AY412" i="25"/>
  <c r="CG422" i="25"/>
  <c r="AY417" i="25"/>
  <c r="AY401" i="25"/>
  <c r="CG395" i="25"/>
  <c r="BN297" i="25"/>
  <c r="BO297" i="25" s="1"/>
  <c r="BB392" i="25"/>
  <c r="BR418" i="25"/>
  <c r="BQ418" i="25" s="1"/>
  <c r="BP418" i="25" s="1"/>
  <c r="BN405" i="25"/>
  <c r="BO405" i="25" s="1"/>
  <c r="AY13" i="25"/>
  <c r="BQ130" i="25"/>
  <c r="BP130" i="25" s="1"/>
  <c r="AY123" i="25"/>
  <c r="BY123" i="25"/>
  <c r="BZ123" i="25" s="1"/>
  <c r="CA123" i="25" s="1"/>
  <c r="CG144" i="25"/>
  <c r="AY387" i="25"/>
  <c r="CG387" i="25"/>
  <c r="BQ346" i="25"/>
  <c r="BP346" i="25" s="1"/>
  <c r="AY297" i="25"/>
  <c r="BR297" i="25"/>
  <c r="BQ297" i="25" s="1"/>
  <c r="BP297" i="25" s="1"/>
  <c r="BR375" i="25"/>
  <c r="BQ375" i="25" s="1"/>
  <c r="BP375" i="25" s="1"/>
  <c r="BW376" i="25"/>
  <c r="BY376" i="25" s="1"/>
  <c r="BZ376" i="25" s="1"/>
  <c r="CA376" i="25" s="1"/>
  <c r="CG376" i="25"/>
  <c r="AY379" i="25"/>
  <c r="CG379" i="25"/>
  <c r="BN300" i="25"/>
  <c r="BO300" i="25" s="1"/>
  <c r="BB365" i="25"/>
  <c r="BC365" i="25" s="1"/>
  <c r="BG365" i="25" s="1"/>
  <c r="BH365" i="25" s="1"/>
  <c r="BK365" i="25" s="1"/>
  <c r="BY378" i="25"/>
  <c r="BZ378" i="25" s="1"/>
  <c r="CA378" i="25" s="1"/>
  <c r="AY393" i="25"/>
  <c r="BQ406" i="25"/>
  <c r="BP406" i="25" s="1"/>
  <c r="AY388" i="25"/>
  <c r="BB408" i="25"/>
  <c r="BC408" i="25" s="1"/>
  <c r="BG408" i="25" s="1"/>
  <c r="BH408" i="25" s="1"/>
  <c r="BK408" i="25" s="1"/>
  <c r="BR409" i="25"/>
  <c r="BQ409" i="25" s="1"/>
  <c r="BP409" i="25" s="1"/>
  <c r="BR416" i="25"/>
  <c r="BQ416" i="25" s="1"/>
  <c r="BP416" i="25" s="1"/>
  <c r="BN407" i="25"/>
  <c r="BO407" i="25" s="1"/>
  <c r="CG419" i="25"/>
  <c r="AY414" i="25"/>
  <c r="CG414" i="25"/>
  <c r="BN417" i="25"/>
  <c r="BO417" i="25" s="1"/>
  <c r="BB402" i="25"/>
  <c r="BF402" i="25" s="1"/>
  <c r="BI402" i="25" s="1"/>
  <c r="BJ402" i="25" s="1"/>
  <c r="BN402" i="25"/>
  <c r="BO402" i="25" s="1"/>
  <c r="CG402" i="25"/>
  <c r="AY397" i="25"/>
  <c r="CG403" i="25"/>
  <c r="BN423" i="25"/>
  <c r="BO423" i="25" s="1"/>
  <c r="BW423" i="25"/>
  <c r="BY423" i="25" s="1"/>
  <c r="BZ423" i="25" s="1"/>
  <c r="CA423" i="25" s="1"/>
  <c r="CG405" i="25"/>
  <c r="AY167" i="25"/>
  <c r="BB123" i="25"/>
  <c r="BC123" i="25" s="1"/>
  <c r="BG123" i="25" s="1"/>
  <c r="BH123" i="25" s="1"/>
  <c r="BK123" i="25" s="1"/>
  <c r="AY171" i="25"/>
  <c r="BQ35" i="25"/>
  <c r="BP35" i="25" s="1"/>
  <c r="BR68" i="25"/>
  <c r="BQ68" i="25" s="1"/>
  <c r="BP68" i="25" s="1"/>
  <c r="BB119" i="25"/>
  <c r="BC119" i="25" s="1"/>
  <c r="BQ144" i="25"/>
  <c r="BP144" i="25" s="1"/>
  <c r="BQ296" i="25"/>
  <c r="BP296" i="25" s="1"/>
  <c r="BY297" i="25"/>
  <c r="BZ297" i="25" s="1"/>
  <c r="CA297" i="25" s="1"/>
  <c r="AY423" i="25"/>
  <c r="BB405" i="25"/>
  <c r="BC405" i="25" s="1"/>
  <c r="BG405" i="25" s="1"/>
  <c r="BH405" i="25" s="1"/>
  <c r="BK405" i="25" s="1"/>
  <c r="BR405" i="25"/>
  <c r="BQ405" i="25" s="1"/>
  <c r="BP405" i="25" s="1"/>
  <c r="AY106" i="25"/>
  <c r="AY66" i="25"/>
  <c r="BB70" i="25"/>
  <c r="BC70" i="25" s="1"/>
  <c r="BN123" i="25"/>
  <c r="BO123" i="25" s="1"/>
  <c r="CG123" i="25"/>
  <c r="BY105" i="25"/>
  <c r="BZ105" i="25" s="1"/>
  <c r="CA105" i="25" s="1"/>
  <c r="BQ34" i="25"/>
  <c r="BP34" i="25" s="1"/>
  <c r="BR119" i="25"/>
  <c r="BQ119" i="25" s="1"/>
  <c r="BP119" i="25" s="1"/>
  <c r="AY143" i="25"/>
  <c r="BB143" i="25"/>
  <c r="BC143" i="25" s="1"/>
  <c r="BG143" i="25" s="1"/>
  <c r="BH143" i="25" s="1"/>
  <c r="BK143" i="25" s="1"/>
  <c r="AY144" i="25"/>
  <c r="BR153" i="25"/>
  <c r="BQ153" i="25" s="1"/>
  <c r="BP153" i="25" s="1"/>
  <c r="BB81" i="25"/>
  <c r="BC81" i="25" s="1"/>
  <c r="BS81" i="25"/>
  <c r="BW81" i="25"/>
  <c r="BY81" i="25" s="1"/>
  <c r="BZ81" i="25" s="1"/>
  <c r="CA81" i="25" s="1"/>
  <c r="BF88" i="25"/>
  <c r="BI88" i="25" s="1"/>
  <c r="BJ88" i="25" s="1"/>
  <c r="BN173" i="25"/>
  <c r="BO173" i="25" s="1"/>
  <c r="BB153" i="25"/>
  <c r="BC153" i="25" s="1"/>
  <c r="BY153" i="25"/>
  <c r="BZ153" i="25" s="1"/>
  <c r="CA153" i="25" s="1"/>
  <c r="BN61" i="25"/>
  <c r="BO61" i="25" s="1"/>
  <c r="BY76" i="25"/>
  <c r="BZ76" i="25" s="1"/>
  <c r="CA76" i="25" s="1"/>
  <c r="BB85" i="25"/>
  <c r="BC85" i="25" s="1"/>
  <c r="BQ85" i="25"/>
  <c r="BP85" i="25" s="1"/>
  <c r="BR81" i="25"/>
  <c r="BQ81" i="25" s="1"/>
  <c r="BP81" i="25" s="1"/>
  <c r="BN54" i="25"/>
  <c r="BO54" i="25" s="1"/>
  <c r="BN81" i="25"/>
  <c r="BO81" i="25" s="1"/>
  <c r="CG81" i="25"/>
  <c r="BY87" i="25"/>
  <c r="BZ87" i="25" s="1"/>
  <c r="CA87" i="25" s="1"/>
  <c r="BN153" i="25"/>
  <c r="BO153" i="25" s="1"/>
  <c r="CG153" i="25"/>
  <c r="BY150" i="25"/>
  <c r="BZ150" i="25" s="1"/>
  <c r="CA150" i="25" s="1"/>
  <c r="BY59" i="25"/>
  <c r="BZ59" i="25" s="1"/>
  <c r="CA59" i="25" s="1"/>
  <c r="BQ10" i="25"/>
  <c r="BP10" i="25" s="1"/>
  <c r="BT10" i="25"/>
  <c r="BN10" i="25"/>
  <c r="BO10" i="25" s="1"/>
  <c r="AY74" i="25"/>
  <c r="CG87" i="25"/>
  <c r="CG150" i="25"/>
  <c r="BT85" i="25"/>
  <c r="BN85" i="25"/>
  <c r="BO85" i="25" s="1"/>
  <c r="BY152" i="25"/>
  <c r="BZ152" i="25" s="1"/>
  <c r="CA152" i="25" s="1"/>
  <c r="BY166" i="25"/>
  <c r="BZ166" i="25" s="1"/>
  <c r="CA166" i="25" s="1"/>
  <c r="BY10" i="25"/>
  <c r="BZ10" i="25" s="1"/>
  <c r="CA10" i="25" s="1"/>
  <c r="BY133" i="25"/>
  <c r="BZ133" i="25" s="1"/>
  <c r="CA133" i="25" s="1"/>
  <c r="BY25" i="25"/>
  <c r="BZ25" i="25" s="1"/>
  <c r="CA25" i="25" s="1"/>
  <c r="BY9" i="25"/>
  <c r="BZ9" i="25" s="1"/>
  <c r="CA9" i="25" s="1"/>
  <c r="BY29" i="25"/>
  <c r="BZ29" i="25" s="1"/>
  <c r="CA29" i="25" s="1"/>
  <c r="BY134" i="25"/>
  <c r="BZ134" i="25" s="1"/>
  <c r="CA134" i="25" s="1"/>
  <c r="BQ75" i="25"/>
  <c r="BP75" i="25" s="1"/>
  <c r="BY75" i="25"/>
  <c r="BZ75" i="25" s="1"/>
  <c r="CA75" i="25" s="1"/>
  <c r="BY37" i="25"/>
  <c r="BZ37" i="25" s="1"/>
  <c r="CA37" i="25" s="1"/>
  <c r="BY93" i="25"/>
  <c r="BZ93" i="25" s="1"/>
  <c r="CA93" i="25" s="1"/>
  <c r="CG97" i="25"/>
  <c r="CG164" i="25"/>
  <c r="BF166" i="25"/>
  <c r="BI166" i="25" s="1"/>
  <c r="BJ166" i="25" s="1"/>
  <c r="BY44" i="25"/>
  <c r="BZ44" i="25" s="1"/>
  <c r="CA44" i="25" s="1"/>
  <c r="BY141" i="25"/>
  <c r="BZ141" i="25" s="1"/>
  <c r="CA141" i="25" s="1"/>
  <c r="BE7" i="25"/>
  <c r="BY85" i="25"/>
  <c r="BZ85" i="25" s="1"/>
  <c r="CA85" i="25" s="1"/>
  <c r="BB131" i="25"/>
  <c r="BC131" i="25" s="1"/>
  <c r="BY131" i="25"/>
  <c r="BZ131" i="25" s="1"/>
  <c r="CA131" i="25" s="1"/>
  <c r="BB8" i="25"/>
  <c r="BC8" i="25" s="1"/>
  <c r="BW8" i="25"/>
  <c r="BY8" i="25" s="1"/>
  <c r="BZ8" i="25" s="1"/>
  <c r="CA8" i="25" s="1"/>
  <c r="BB28" i="25"/>
  <c r="BC28" i="25" s="1"/>
  <c r="BS28" i="25"/>
  <c r="BY28" i="25"/>
  <c r="BZ28" i="25" s="1"/>
  <c r="CA28" i="25" s="1"/>
  <c r="BB20" i="25"/>
  <c r="BC20" i="25" s="1"/>
  <c r="BS20" i="25"/>
  <c r="BY20" i="25"/>
  <c r="BZ20" i="25" s="1"/>
  <c r="CA20" i="25" s="1"/>
  <c r="BR109" i="25"/>
  <c r="BQ109" i="25" s="1"/>
  <c r="BP109" i="25" s="1"/>
  <c r="BY32" i="25"/>
  <c r="BZ32" i="25" s="1"/>
  <c r="CA32" i="25" s="1"/>
  <c r="BN21" i="25"/>
  <c r="BO21" i="25" s="1"/>
  <c r="BR64" i="25"/>
  <c r="BQ64" i="25" s="1"/>
  <c r="BP64" i="25" s="1"/>
  <c r="BW64" i="25"/>
  <c r="BY64" i="25" s="1"/>
  <c r="BZ64" i="25" s="1"/>
  <c r="CA64" i="25" s="1"/>
  <c r="BR37" i="25"/>
  <c r="BQ37" i="25" s="1"/>
  <c r="BP37" i="25" s="1"/>
  <c r="AY55" i="25"/>
  <c r="AY57" i="25"/>
  <c r="AY93" i="25"/>
  <c r="BR93" i="25"/>
  <c r="BQ93" i="25" s="1"/>
  <c r="BP93" i="25" s="1"/>
  <c r="BB60" i="25"/>
  <c r="BF60" i="25" s="1"/>
  <c r="BI60" i="25" s="1"/>
  <c r="BJ60" i="25" s="1"/>
  <c r="BN60" i="25"/>
  <c r="BO60" i="25" s="1"/>
  <c r="BY40" i="25"/>
  <c r="BZ40" i="25" s="1"/>
  <c r="CA40" i="25" s="1"/>
  <c r="AY94" i="25"/>
  <c r="AY41" i="25"/>
  <c r="BB116" i="25"/>
  <c r="BF116" i="25" s="1"/>
  <c r="BI116" i="25" s="1"/>
  <c r="BJ116" i="25" s="1"/>
  <c r="BN116" i="25"/>
  <c r="BO116" i="25" s="1"/>
  <c r="BB43" i="25"/>
  <c r="BF43" i="25" s="1"/>
  <c r="BI43" i="25" s="1"/>
  <c r="BJ43" i="25" s="1"/>
  <c r="BN43" i="25"/>
  <c r="BO43" i="25" s="1"/>
  <c r="BY160" i="25"/>
  <c r="BZ160" i="25" s="1"/>
  <c r="CA160" i="25" s="1"/>
  <c r="AY77" i="25"/>
  <c r="AY117" i="25"/>
  <c r="AY118" i="25"/>
  <c r="BY99" i="25"/>
  <c r="BZ99" i="25" s="1"/>
  <c r="CA99" i="25" s="1"/>
  <c r="BY165" i="25"/>
  <c r="BZ165" i="25" s="1"/>
  <c r="CA165" i="25" s="1"/>
  <c r="BB73" i="25"/>
  <c r="BC73" i="25" s="1"/>
  <c r="BG73" i="25" s="1"/>
  <c r="BH73" i="25" s="1"/>
  <c r="BK73" i="25" s="1"/>
  <c r="BR73" i="25"/>
  <c r="BQ73" i="25" s="1"/>
  <c r="BP73" i="25" s="1"/>
  <c r="BE24" i="25"/>
  <c r="BB46" i="25"/>
  <c r="BC46" i="25" s="1"/>
  <c r="BG46" i="25" s="1"/>
  <c r="BH46" i="25" s="1"/>
  <c r="BK46" i="25" s="1"/>
  <c r="BR46" i="25"/>
  <c r="BQ46" i="25" s="1"/>
  <c r="BP46" i="25" s="1"/>
  <c r="BE47" i="25"/>
  <c r="BR121" i="25"/>
  <c r="BQ121" i="25" s="1"/>
  <c r="BP121" i="25" s="1"/>
  <c r="BE169" i="25"/>
  <c r="BB78" i="25"/>
  <c r="BC78" i="25" s="1"/>
  <c r="BG78" i="25" s="1"/>
  <c r="BH78" i="25" s="1"/>
  <c r="BK78" i="25" s="1"/>
  <c r="BR78" i="25"/>
  <c r="BQ78" i="25" s="1"/>
  <c r="BP78" i="25" s="1"/>
  <c r="BB145" i="25"/>
  <c r="BC145" i="25" s="1"/>
  <c r="BG145" i="25" s="1"/>
  <c r="BH145" i="25" s="1"/>
  <c r="BK145" i="25" s="1"/>
  <c r="BR145" i="25"/>
  <c r="BQ145" i="25" s="1"/>
  <c r="BP145" i="25" s="1"/>
  <c r="BB146" i="25"/>
  <c r="BC146" i="25" s="1"/>
  <c r="BG146" i="25" s="1"/>
  <c r="BH146" i="25" s="1"/>
  <c r="BK146" i="25" s="1"/>
  <c r="BR146" i="25"/>
  <c r="BQ146" i="25" s="1"/>
  <c r="BP146" i="25" s="1"/>
  <c r="BB147" i="25"/>
  <c r="BC147" i="25" s="1"/>
  <c r="BG147" i="25" s="1"/>
  <c r="BH147" i="25" s="1"/>
  <c r="BK147" i="25" s="1"/>
  <c r="BR147" i="25"/>
  <c r="BQ147" i="25" s="1"/>
  <c r="BP147" i="25" s="1"/>
  <c r="BB148" i="25"/>
  <c r="BC148" i="25" s="1"/>
  <c r="BG148" i="25" s="1"/>
  <c r="BH148" i="25" s="1"/>
  <c r="BK148" i="25" s="1"/>
  <c r="BR148" i="25"/>
  <c r="BQ148" i="25" s="1"/>
  <c r="BP148" i="25" s="1"/>
  <c r="BB124" i="25"/>
  <c r="BC124" i="25" s="1"/>
  <c r="BG124" i="25" s="1"/>
  <c r="BH124" i="25" s="1"/>
  <c r="BK124" i="25" s="1"/>
  <c r="BR124" i="25"/>
  <c r="BQ124" i="25" s="1"/>
  <c r="BP124" i="25" s="1"/>
  <c r="BW124" i="25"/>
  <c r="BY124" i="25" s="1"/>
  <c r="BZ124" i="25" s="1"/>
  <c r="CA124" i="25" s="1"/>
  <c r="BQ125" i="25"/>
  <c r="BP125" i="25" s="1"/>
  <c r="BY125" i="25"/>
  <c r="BZ125" i="25" s="1"/>
  <c r="CA125" i="25" s="1"/>
  <c r="BY126" i="25"/>
  <c r="BZ126" i="25" s="1"/>
  <c r="CA126" i="25" s="1"/>
  <c r="BQ170" i="25"/>
  <c r="BP170" i="25" s="1"/>
  <c r="BY170" i="25"/>
  <c r="BZ170" i="25" s="1"/>
  <c r="CA170" i="25" s="1"/>
  <c r="BY172" i="25"/>
  <c r="BZ172" i="25" s="1"/>
  <c r="CA172" i="25" s="1"/>
  <c r="AY49" i="25"/>
  <c r="BN49" i="25"/>
  <c r="BO49" i="25" s="1"/>
  <c r="BB19" i="25"/>
  <c r="BC19" i="25" s="1"/>
  <c r="BG19" i="25" s="1"/>
  <c r="BH19" i="25" s="1"/>
  <c r="BK19" i="25" s="1"/>
  <c r="BR19" i="25"/>
  <c r="BQ19" i="25" s="1"/>
  <c r="BP19" i="25" s="1"/>
  <c r="CG10" i="25"/>
  <c r="BB61" i="25"/>
  <c r="BC61" i="25" s="1"/>
  <c r="BY61" i="25"/>
  <c r="BZ61" i="25" s="1"/>
  <c r="CA61" i="25" s="1"/>
  <c r="CG85" i="25"/>
  <c r="BB96" i="25"/>
  <c r="BC96" i="25" s="1"/>
  <c r="BY96" i="25"/>
  <c r="BZ96" i="25" s="1"/>
  <c r="CA96" i="25" s="1"/>
  <c r="BN131" i="25"/>
  <c r="BO131" i="25" s="1"/>
  <c r="CG131" i="25"/>
  <c r="BB108" i="25"/>
  <c r="BC108" i="25" s="1"/>
  <c r="BY108" i="25"/>
  <c r="BZ108" i="25" s="1"/>
  <c r="CA108" i="25" s="1"/>
  <c r="BN8" i="25"/>
  <c r="BO8" i="25" s="1"/>
  <c r="CG8" i="25"/>
  <c r="BB26" i="25"/>
  <c r="BC26" i="25" s="1"/>
  <c r="BS26" i="25"/>
  <c r="BY26" i="25"/>
  <c r="BZ26" i="25" s="1"/>
  <c r="CA26" i="25" s="1"/>
  <c r="BN28" i="25"/>
  <c r="BO28" i="25" s="1"/>
  <c r="CG28" i="25"/>
  <c r="BB149" i="25"/>
  <c r="BC149" i="25" s="1"/>
  <c r="BW149" i="25"/>
  <c r="BY149" i="25" s="1"/>
  <c r="BZ149" i="25" s="1"/>
  <c r="CA149" i="25" s="1"/>
  <c r="BN20" i="25"/>
  <c r="BO20" i="25" s="1"/>
  <c r="CG20" i="25"/>
  <c r="BB30" i="25"/>
  <c r="BC30" i="25" s="1"/>
  <c r="BS30" i="25"/>
  <c r="BY30" i="25"/>
  <c r="BZ30" i="25" s="1"/>
  <c r="CA30" i="25" s="1"/>
  <c r="BB109" i="25"/>
  <c r="BC109" i="25" s="1"/>
  <c r="BG109" i="25" s="1"/>
  <c r="BH109" i="25" s="1"/>
  <c r="BK109" i="25" s="1"/>
  <c r="AY101" i="25"/>
  <c r="BN138" i="25"/>
  <c r="BO138" i="25" s="1"/>
  <c r="BQ151" i="25"/>
  <c r="BP151" i="25" s="1"/>
  <c r="BB152" i="25"/>
  <c r="BR152" i="25"/>
  <c r="BQ152" i="25" s="1"/>
  <c r="BP152" i="25" s="1"/>
  <c r="AY32" i="25"/>
  <c r="BB32" i="25"/>
  <c r="BF32" i="25" s="1"/>
  <c r="BI32" i="25" s="1"/>
  <c r="BJ32" i="25" s="1"/>
  <c r="CG32" i="25"/>
  <c r="BR21" i="25"/>
  <c r="BQ21" i="25" s="1"/>
  <c r="BP21" i="25" s="1"/>
  <c r="AY103" i="25"/>
  <c r="AY104" i="25"/>
  <c r="AY107" i="25"/>
  <c r="BB64" i="25"/>
  <c r="BY36" i="25"/>
  <c r="BZ36" i="25" s="1"/>
  <c r="CA36" i="25" s="1"/>
  <c r="BB110" i="25"/>
  <c r="BR110" i="25"/>
  <c r="BQ110" i="25" s="1"/>
  <c r="BP110" i="25" s="1"/>
  <c r="BW110" i="25"/>
  <c r="BY110" i="25" s="1"/>
  <c r="BZ110" i="25" s="1"/>
  <c r="CA110" i="25" s="1"/>
  <c r="BB37" i="25"/>
  <c r="BR12" i="25"/>
  <c r="BQ12" i="25" s="1"/>
  <c r="BP12" i="25" s="1"/>
  <c r="BW12" i="25"/>
  <c r="BY12" i="25" s="1"/>
  <c r="BZ12" i="25" s="1"/>
  <c r="CA12" i="25" s="1"/>
  <c r="BR132" i="25"/>
  <c r="BQ132" i="25" s="1"/>
  <c r="BP132" i="25" s="1"/>
  <c r="BW132" i="25"/>
  <c r="BY132" i="25" s="1"/>
  <c r="BZ132" i="25" s="1"/>
  <c r="CA132" i="25" s="1"/>
  <c r="BN154" i="25"/>
  <c r="BO154" i="25" s="1"/>
  <c r="BR155" i="25"/>
  <c r="BQ155" i="25" s="1"/>
  <c r="BP155" i="25" s="1"/>
  <c r="BW155" i="25"/>
  <c r="BY155" i="25" s="1"/>
  <c r="BZ155" i="25" s="1"/>
  <c r="CA155" i="25" s="1"/>
  <c r="BN156" i="25"/>
  <c r="BO156" i="25" s="1"/>
  <c r="BR157" i="25"/>
  <c r="BQ157" i="25" s="1"/>
  <c r="BP157" i="25" s="1"/>
  <c r="BW157" i="25"/>
  <c r="BY157" i="25" s="1"/>
  <c r="BZ157" i="25" s="1"/>
  <c r="CA157" i="25" s="1"/>
  <c r="BN158" i="25"/>
  <c r="BO158" i="25" s="1"/>
  <c r="BR159" i="25"/>
  <c r="BQ159" i="25" s="1"/>
  <c r="BP159" i="25" s="1"/>
  <c r="BW159" i="25"/>
  <c r="BY159" i="25" s="1"/>
  <c r="BZ159" i="25" s="1"/>
  <c r="CA159" i="25" s="1"/>
  <c r="BN53" i="25"/>
  <c r="BO53" i="25" s="1"/>
  <c r="BR112" i="25"/>
  <c r="BQ112" i="25" s="1"/>
  <c r="BP112" i="25" s="1"/>
  <c r="BW112" i="25"/>
  <c r="BY112" i="25" s="1"/>
  <c r="BZ112" i="25" s="1"/>
  <c r="CA112" i="25" s="1"/>
  <c r="BN91" i="25"/>
  <c r="BO91" i="25" s="1"/>
  <c r="BR113" i="25"/>
  <c r="BQ113" i="25" s="1"/>
  <c r="BP113" i="25" s="1"/>
  <c r="BW113" i="25"/>
  <c r="BY113" i="25" s="1"/>
  <c r="BZ113" i="25" s="1"/>
  <c r="CA113" i="25" s="1"/>
  <c r="BB56" i="25"/>
  <c r="BF56" i="25" s="1"/>
  <c r="BI56" i="25" s="1"/>
  <c r="BJ56" i="25" s="1"/>
  <c r="BN56" i="25"/>
  <c r="BO56" i="25" s="1"/>
  <c r="BB58" i="25"/>
  <c r="BF58" i="25" s="1"/>
  <c r="BI58" i="25" s="1"/>
  <c r="BJ58" i="25" s="1"/>
  <c r="BN58" i="25"/>
  <c r="BO58" i="25" s="1"/>
  <c r="CG93" i="25"/>
  <c r="AY60" i="25"/>
  <c r="BR60" i="25"/>
  <c r="BQ60" i="25" s="1"/>
  <c r="BP60" i="25" s="1"/>
  <c r="CG60" i="25"/>
  <c r="AY40" i="25"/>
  <c r="BR40" i="25"/>
  <c r="BQ40" i="25" s="1"/>
  <c r="BP40" i="25" s="1"/>
  <c r="BB14" i="25"/>
  <c r="BF14" i="25" s="1"/>
  <c r="BI14" i="25" s="1"/>
  <c r="BJ14" i="25" s="1"/>
  <c r="BN14" i="25"/>
  <c r="BO14" i="25" s="1"/>
  <c r="AY116" i="25"/>
  <c r="BR116" i="25"/>
  <c r="BQ116" i="25" s="1"/>
  <c r="BP116" i="25" s="1"/>
  <c r="CG116" i="25"/>
  <c r="AY43" i="25"/>
  <c r="BR43" i="25"/>
  <c r="BQ43" i="25" s="1"/>
  <c r="BP43" i="25" s="1"/>
  <c r="CG43" i="25"/>
  <c r="AY160" i="25"/>
  <c r="BR160" i="25"/>
  <c r="BQ160" i="25" s="1"/>
  <c r="BP160" i="25" s="1"/>
  <c r="BB140" i="25"/>
  <c r="BF140" i="25" s="1"/>
  <c r="BI140" i="25" s="1"/>
  <c r="BJ140" i="25" s="1"/>
  <c r="BN140" i="25"/>
  <c r="BO140" i="25" s="1"/>
  <c r="BB98" i="25"/>
  <c r="BF98" i="25" s="1"/>
  <c r="BI98" i="25" s="1"/>
  <c r="BJ98" i="25" s="1"/>
  <c r="BN98" i="25"/>
  <c r="BO98" i="25" s="1"/>
  <c r="AY99" i="25"/>
  <c r="BR99" i="25"/>
  <c r="BQ99" i="25" s="1"/>
  <c r="BP99" i="25" s="1"/>
  <c r="BB23" i="25"/>
  <c r="BF23" i="25" s="1"/>
  <c r="BI23" i="25" s="1"/>
  <c r="BJ23" i="25" s="1"/>
  <c r="BN23" i="25"/>
  <c r="BO23" i="25" s="1"/>
  <c r="BB162" i="25"/>
  <c r="BF162" i="25" s="1"/>
  <c r="BI162" i="25" s="1"/>
  <c r="BJ162" i="25" s="1"/>
  <c r="BN162" i="25"/>
  <c r="BO162" i="25" s="1"/>
  <c r="CG163" i="25"/>
  <c r="AY165" i="25"/>
  <c r="BR165" i="25"/>
  <c r="BQ165" i="25" s="1"/>
  <c r="BP165" i="25" s="1"/>
  <c r="CG166" i="25"/>
  <c r="BT44" i="25"/>
  <c r="CG44" i="25"/>
  <c r="BB17" i="25"/>
  <c r="BC17" i="25" s="1"/>
  <c r="BW17" i="25"/>
  <c r="BY17" i="25" s="1"/>
  <c r="BZ17" i="25" s="1"/>
  <c r="CA17" i="25" s="1"/>
  <c r="BW73" i="25"/>
  <c r="BY73" i="25" s="1"/>
  <c r="BZ73" i="25" s="1"/>
  <c r="CA73" i="25" s="1"/>
  <c r="CG73" i="25"/>
  <c r="BB24" i="25"/>
  <c r="BC24" i="25" s="1"/>
  <c r="BR24" i="25"/>
  <c r="BQ24" i="25" s="1"/>
  <c r="BP24" i="25" s="1"/>
  <c r="BE100" i="25"/>
  <c r="BN168" i="25"/>
  <c r="BO168" i="25" s="1"/>
  <c r="BW46" i="25"/>
  <c r="BY46" i="25" s="1"/>
  <c r="BZ46" i="25" s="1"/>
  <c r="CA46" i="25" s="1"/>
  <c r="CG46" i="25"/>
  <c r="BB47" i="25"/>
  <c r="BC47" i="25" s="1"/>
  <c r="BR47" i="25"/>
  <c r="BQ47" i="25" s="1"/>
  <c r="BP47" i="25" s="1"/>
  <c r="BE120" i="25"/>
  <c r="BN121" i="25"/>
  <c r="BO121" i="25" s="1"/>
  <c r="CG121" i="25"/>
  <c r="BB169" i="25"/>
  <c r="BC169" i="25" s="1"/>
  <c r="BR169" i="25"/>
  <c r="BQ169" i="25" s="1"/>
  <c r="BP169" i="25" s="1"/>
  <c r="CG169" i="25"/>
  <c r="BB136" i="25"/>
  <c r="BC136" i="25" s="1"/>
  <c r="BG136" i="25" s="1"/>
  <c r="BH136" i="25" s="1"/>
  <c r="BK136" i="25" s="1"/>
  <c r="BR136" i="25"/>
  <c r="BQ136" i="25" s="1"/>
  <c r="BP136" i="25" s="1"/>
  <c r="CG136" i="25"/>
  <c r="BB137" i="25"/>
  <c r="BC137" i="25" s="1"/>
  <c r="BG137" i="25" s="1"/>
  <c r="BH137" i="25" s="1"/>
  <c r="BK137" i="25" s="1"/>
  <c r="BR137" i="25"/>
  <c r="BQ137" i="25" s="1"/>
  <c r="BP137" i="25" s="1"/>
  <c r="CG137" i="25"/>
  <c r="BB122" i="25"/>
  <c r="BC122" i="25" s="1"/>
  <c r="BG122" i="25" s="1"/>
  <c r="BH122" i="25" s="1"/>
  <c r="BK122" i="25" s="1"/>
  <c r="BR122" i="25"/>
  <c r="BQ122" i="25" s="1"/>
  <c r="BP122" i="25" s="1"/>
  <c r="CG122" i="25"/>
  <c r="BW78" i="25"/>
  <c r="BY78" i="25" s="1"/>
  <c r="BZ78" i="25" s="1"/>
  <c r="CA78" i="25" s="1"/>
  <c r="BW145" i="25"/>
  <c r="BY145" i="25" s="1"/>
  <c r="BZ145" i="25" s="1"/>
  <c r="CA145" i="25" s="1"/>
  <c r="BW146" i="25"/>
  <c r="BY146" i="25" s="1"/>
  <c r="BZ146" i="25" s="1"/>
  <c r="CA146" i="25" s="1"/>
  <c r="BW147" i="25"/>
  <c r="BY147" i="25" s="1"/>
  <c r="BZ147" i="25" s="1"/>
  <c r="CA147" i="25" s="1"/>
  <c r="BW148" i="25"/>
  <c r="BY148" i="25" s="1"/>
  <c r="BZ148" i="25" s="1"/>
  <c r="CA148" i="25" s="1"/>
  <c r="AY125" i="25"/>
  <c r="BE126" i="25"/>
  <c r="BE127" i="25"/>
  <c r="BE128" i="25"/>
  <c r="BR128" i="25"/>
  <c r="BQ128" i="25" s="1"/>
  <c r="BP128" i="25" s="1"/>
  <c r="BY19" i="25"/>
  <c r="BZ19" i="25" s="1"/>
  <c r="CA19" i="25" s="1"/>
  <c r="BY50" i="25"/>
  <c r="BZ50" i="25" s="1"/>
  <c r="CA50" i="25" s="1"/>
  <c r="BY175" i="25"/>
  <c r="BZ175" i="25" s="1"/>
  <c r="CA175" i="25" s="1"/>
  <c r="BE174" i="25"/>
  <c r="BN96" i="25"/>
  <c r="BO96" i="25" s="1"/>
  <c r="CG96" i="25"/>
  <c r="BY95" i="25"/>
  <c r="BZ95" i="25" s="1"/>
  <c r="CA95" i="25" s="1"/>
  <c r="BN108" i="25"/>
  <c r="BO108" i="25" s="1"/>
  <c r="CG108" i="25"/>
  <c r="BY142" i="25"/>
  <c r="BZ142" i="25" s="1"/>
  <c r="CA142" i="25" s="1"/>
  <c r="BN26" i="25"/>
  <c r="BO26" i="25" s="1"/>
  <c r="CG26" i="25"/>
  <c r="BY27" i="25"/>
  <c r="BZ27" i="25" s="1"/>
  <c r="CA27" i="25" s="1"/>
  <c r="BN149" i="25"/>
  <c r="BO149" i="25" s="1"/>
  <c r="CG149" i="25"/>
  <c r="BS51" i="25"/>
  <c r="BN30" i="25"/>
  <c r="BO30" i="25" s="1"/>
  <c r="CG30" i="25"/>
  <c r="BY139" i="25"/>
  <c r="BZ139" i="25" s="1"/>
  <c r="CA139" i="25" s="1"/>
  <c r="BY109" i="25"/>
  <c r="BZ109" i="25" s="1"/>
  <c r="CA109" i="25" s="1"/>
  <c r="BY101" i="25"/>
  <c r="BZ101" i="25" s="1"/>
  <c r="CA101" i="25" s="1"/>
  <c r="BB75" i="25"/>
  <c r="BC75" i="25" s="1"/>
  <c r="BG75" i="25" s="1"/>
  <c r="BH75" i="25" s="1"/>
  <c r="BK75" i="25" s="1"/>
  <c r="AY102" i="25"/>
  <c r="AY31" i="25"/>
  <c r="BN32" i="25"/>
  <c r="BO32" i="25" s="1"/>
  <c r="BY33" i="25"/>
  <c r="BZ33" i="25" s="1"/>
  <c r="CA33" i="25" s="1"/>
  <c r="CG33" i="25"/>
  <c r="AY11" i="25"/>
  <c r="BN64" i="25"/>
  <c r="BO64" i="25" s="1"/>
  <c r="BR52" i="25"/>
  <c r="BQ52" i="25" s="1"/>
  <c r="BP52" i="25" s="1"/>
  <c r="BR36" i="25"/>
  <c r="BQ36" i="25" s="1"/>
  <c r="BP36" i="25" s="1"/>
  <c r="CG110" i="25"/>
  <c r="BB22" i="25"/>
  <c r="BR22" i="25"/>
  <c r="BQ22" i="25" s="1"/>
  <c r="BP22" i="25" s="1"/>
  <c r="BN37" i="25"/>
  <c r="BO37" i="25" s="1"/>
  <c r="BB12" i="25"/>
  <c r="CG12" i="25"/>
  <c r="BB132" i="25"/>
  <c r="CG132" i="25"/>
  <c r="BB155" i="25"/>
  <c r="CG155" i="25"/>
  <c r="BB157" i="25"/>
  <c r="CG157" i="25"/>
  <c r="BB159" i="25"/>
  <c r="CG159" i="25"/>
  <c r="BB112" i="25"/>
  <c r="CG112" i="25"/>
  <c r="BB113" i="25"/>
  <c r="CG113" i="25"/>
  <c r="BR56" i="25"/>
  <c r="BQ56" i="25" s="1"/>
  <c r="BP56" i="25" s="1"/>
  <c r="CG56" i="25"/>
  <c r="BR58" i="25"/>
  <c r="BQ58" i="25" s="1"/>
  <c r="BP58" i="25" s="1"/>
  <c r="CG58" i="25"/>
  <c r="CG40" i="25"/>
  <c r="BR14" i="25"/>
  <c r="BQ14" i="25" s="1"/>
  <c r="BP14" i="25" s="1"/>
  <c r="CG14" i="25"/>
  <c r="CG160" i="25"/>
  <c r="BR140" i="25"/>
  <c r="BQ140" i="25" s="1"/>
  <c r="BP140" i="25" s="1"/>
  <c r="CG140" i="25"/>
  <c r="BR98" i="25"/>
  <c r="BQ98" i="25" s="1"/>
  <c r="BP98" i="25" s="1"/>
  <c r="CG98" i="25"/>
  <c r="CG99" i="25"/>
  <c r="BR23" i="25"/>
  <c r="BQ23" i="25" s="1"/>
  <c r="BP23" i="25" s="1"/>
  <c r="CG23" i="25"/>
  <c r="BR162" i="25"/>
  <c r="BQ162" i="25" s="1"/>
  <c r="BP162" i="25" s="1"/>
  <c r="CG162" i="25"/>
  <c r="CG165" i="25"/>
  <c r="BB44" i="25"/>
  <c r="BF44" i="25" s="1"/>
  <c r="BI44" i="25" s="1"/>
  <c r="BJ44" i="25" s="1"/>
  <c r="BN17" i="25"/>
  <c r="BO17" i="25" s="1"/>
  <c r="CG17" i="25"/>
  <c r="BY45" i="25"/>
  <c r="BZ45" i="25" s="1"/>
  <c r="CA45" i="25" s="1"/>
  <c r="BN73" i="25"/>
  <c r="BO73" i="25" s="1"/>
  <c r="CG24" i="25"/>
  <c r="BN46" i="25"/>
  <c r="BO46" i="25" s="1"/>
  <c r="CG47" i="25"/>
  <c r="AY78" i="25"/>
  <c r="BN78" i="25"/>
  <c r="BO78" i="25" s="1"/>
  <c r="AY145" i="25"/>
  <c r="BN145" i="25"/>
  <c r="BO145" i="25" s="1"/>
  <c r="AY146" i="25"/>
  <c r="BN146" i="25"/>
  <c r="BO146" i="25" s="1"/>
  <c r="AY147" i="25"/>
  <c r="BN147" i="25"/>
  <c r="BO147" i="25" s="1"/>
  <c r="AY148" i="25"/>
  <c r="BN148" i="25"/>
  <c r="BO148" i="25" s="1"/>
  <c r="AY124" i="25"/>
  <c r="BT128" i="25"/>
  <c r="BN128" i="25"/>
  <c r="BO128" i="25" s="1"/>
  <c r="BB172" i="25"/>
  <c r="BC172" i="25" s="1"/>
  <c r="BG172" i="25" s="1"/>
  <c r="BH172" i="25" s="1"/>
  <c r="BK172" i="25" s="1"/>
  <c r="BQ172" i="25"/>
  <c r="BP172" i="25" s="1"/>
  <c r="BT49" i="25"/>
  <c r="BY49" i="25"/>
  <c r="BZ49" i="25" s="1"/>
  <c r="CA49" i="25" s="1"/>
  <c r="AY19" i="25"/>
  <c r="BE50" i="25"/>
  <c r="BE62" i="25"/>
  <c r="BE175" i="25"/>
  <c r="BE83" i="25"/>
  <c r="BR135" i="25"/>
  <c r="BQ135" i="25" s="1"/>
  <c r="BP135" i="25" s="1"/>
  <c r="BB92" i="25"/>
  <c r="BF92" i="25" s="1"/>
  <c r="BI92" i="25" s="1"/>
  <c r="BJ92" i="25" s="1"/>
  <c r="BN86" i="25"/>
  <c r="BO86" i="25" s="1"/>
  <c r="BC48" i="25"/>
  <c r="BG48" i="25" s="1"/>
  <c r="BH48" i="25" s="1"/>
  <c r="BK48" i="25" s="1"/>
  <c r="BB273" i="25"/>
  <c r="AY275" i="25"/>
  <c r="CG275" i="25"/>
  <c r="BN187" i="25"/>
  <c r="BO187" i="25" s="1"/>
  <c r="BR186" i="25"/>
  <c r="BQ186" i="25" s="1"/>
  <c r="BP186" i="25" s="1"/>
  <c r="CD197" i="25"/>
  <c r="BV197" i="25" s="1"/>
  <c r="CG200" i="25"/>
  <c r="BR185" i="25"/>
  <c r="BQ185" i="25" s="1"/>
  <c r="BP185" i="25" s="1"/>
  <c r="AY199" i="25"/>
  <c r="CG189" i="25"/>
  <c r="CD192" i="25"/>
  <c r="BV192" i="25" s="1"/>
  <c r="BY192" i="25" s="1"/>
  <c r="BZ192" i="25" s="1"/>
  <c r="CA192" i="25" s="1"/>
  <c r="BR177" i="25"/>
  <c r="BQ177" i="25" s="1"/>
  <c r="BP177" i="25" s="1"/>
  <c r="BN205" i="25"/>
  <c r="BO205" i="25" s="1"/>
  <c r="BN204" i="25"/>
  <c r="BO204" i="25" s="1"/>
  <c r="BN242" i="25"/>
  <c r="BO242" i="25" s="1"/>
  <c r="BT261" i="25"/>
  <c r="BR261" i="25"/>
  <c r="BQ261" i="25" s="1"/>
  <c r="BP261" i="25" s="1"/>
  <c r="BT238" i="25"/>
  <c r="BR238" i="25"/>
  <c r="BQ238" i="25" s="1"/>
  <c r="BP238" i="25" s="1"/>
  <c r="BN238" i="25"/>
  <c r="BO238" i="25" s="1"/>
  <c r="BT223" i="25"/>
  <c r="BR223" i="25"/>
  <c r="BQ223" i="25" s="1"/>
  <c r="BP223" i="25" s="1"/>
  <c r="BT232" i="25"/>
  <c r="BR232" i="25"/>
  <c r="BQ232" i="25" s="1"/>
  <c r="BP232" i="25" s="1"/>
  <c r="BN232" i="25"/>
  <c r="BO232" i="25" s="1"/>
  <c r="BT222" i="25"/>
  <c r="BR222" i="25"/>
  <c r="BQ222" i="25" s="1"/>
  <c r="BP222" i="25" s="1"/>
  <c r="BB135" i="25"/>
  <c r="BC135" i="25" s="1"/>
  <c r="BG135" i="25" s="1"/>
  <c r="BH135" i="25" s="1"/>
  <c r="BK135" i="25" s="1"/>
  <c r="BN92" i="25"/>
  <c r="BO92" i="25" s="1"/>
  <c r="BR86" i="25"/>
  <c r="BQ86" i="25" s="1"/>
  <c r="BP86" i="25" s="1"/>
  <c r="BR272" i="25"/>
  <c r="BQ272" i="25" s="1"/>
  <c r="BP272" i="25" s="1"/>
  <c r="BW272" i="25"/>
  <c r="BY272" i="25" s="1"/>
  <c r="BZ272" i="25" s="1"/>
  <c r="CA272" i="25" s="1"/>
  <c r="BR187" i="25"/>
  <c r="BQ187" i="25" s="1"/>
  <c r="BP187" i="25" s="1"/>
  <c r="CC180" i="25"/>
  <c r="BX180" i="25" s="1"/>
  <c r="BY180" i="25" s="1"/>
  <c r="BZ180" i="25" s="1"/>
  <c r="CA180" i="25" s="1"/>
  <c r="CH180" i="25"/>
  <c r="BN197" i="25"/>
  <c r="BO197" i="25" s="1"/>
  <c r="BB185" i="25"/>
  <c r="BC185" i="25" s="1"/>
  <c r="CD191" i="25"/>
  <c r="BV191" i="25" s="1"/>
  <c r="CG193" i="25"/>
  <c r="BR198" i="25"/>
  <c r="BQ198" i="25" s="1"/>
  <c r="BP198" i="25" s="1"/>
  <c r="AY184" i="25"/>
  <c r="CD181" i="25"/>
  <c r="BV181" i="25" s="1"/>
  <c r="BB192" i="25"/>
  <c r="BC192" i="25" s="1"/>
  <c r="BG192" i="25" s="1"/>
  <c r="BH192" i="25" s="1"/>
  <c r="BK192" i="25" s="1"/>
  <c r="BN192" i="25"/>
  <c r="BO192" i="25" s="1"/>
  <c r="BR195" i="25"/>
  <c r="BQ195" i="25" s="1"/>
  <c r="BP195" i="25" s="1"/>
  <c r="AY196" i="25"/>
  <c r="BR201" i="25"/>
  <c r="BQ201" i="25" s="1"/>
  <c r="BP201" i="25" s="1"/>
  <c r="CC188" i="25"/>
  <c r="BX188" i="25" s="1"/>
  <c r="BB194" i="25"/>
  <c r="BC194" i="25" s="1"/>
  <c r="BG194" i="25" s="1"/>
  <c r="BH194" i="25" s="1"/>
  <c r="BK194" i="25" s="1"/>
  <c r="CC194" i="25"/>
  <c r="BX194" i="25" s="1"/>
  <c r="BB177" i="25"/>
  <c r="BC177" i="25" s="1"/>
  <c r="BG177" i="25" s="1"/>
  <c r="BH177" i="25" s="1"/>
  <c r="BK177" i="25" s="1"/>
  <c r="BN209" i="25"/>
  <c r="BO209" i="25" s="1"/>
  <c r="BN208" i="25"/>
  <c r="BO208" i="25" s="1"/>
  <c r="AY211" i="25"/>
  <c r="BB240" i="25"/>
  <c r="BC240" i="25" s="1"/>
  <c r="BG240" i="25" s="1"/>
  <c r="BH240" i="25" s="1"/>
  <c r="BK240" i="25" s="1"/>
  <c r="BR242" i="25"/>
  <c r="BQ242" i="25" s="1"/>
  <c r="BP242" i="25" s="1"/>
  <c r="BY128" i="25"/>
  <c r="BZ128" i="25" s="1"/>
  <c r="CA128" i="25" s="1"/>
  <c r="AY170" i="25"/>
  <c r="BB49" i="25"/>
  <c r="BC49" i="25" s="1"/>
  <c r="BG49" i="25" s="1"/>
  <c r="BH49" i="25" s="1"/>
  <c r="BK49" i="25" s="1"/>
  <c r="BQ175" i="25"/>
  <c r="BP175" i="25" s="1"/>
  <c r="BQ174" i="25"/>
  <c r="BP174" i="25" s="1"/>
  <c r="BQ7" i="25"/>
  <c r="BP7" i="25" s="1"/>
  <c r="BY7" i="25"/>
  <c r="BZ7" i="25" s="1"/>
  <c r="CA7" i="25" s="1"/>
  <c r="BR79" i="25"/>
  <c r="BQ79" i="25" s="1"/>
  <c r="BP79" i="25" s="1"/>
  <c r="BY83" i="25"/>
  <c r="BZ83" i="25" s="1"/>
  <c r="CA83" i="25" s="1"/>
  <c r="BR84" i="25"/>
  <c r="BQ84" i="25" s="1"/>
  <c r="BP84" i="25" s="1"/>
  <c r="BY135" i="25"/>
  <c r="BZ135" i="25" s="1"/>
  <c r="CA135" i="25" s="1"/>
  <c r="BN90" i="25"/>
  <c r="BO90" i="25" s="1"/>
  <c r="BR92" i="25"/>
  <c r="BQ92" i="25" s="1"/>
  <c r="BP92" i="25" s="1"/>
  <c r="AY82" i="25"/>
  <c r="BB82" i="25"/>
  <c r="BF82" i="25" s="1"/>
  <c r="BI82" i="25" s="1"/>
  <c r="BJ82" i="25" s="1"/>
  <c r="AY18" i="25"/>
  <c r="BN39" i="25"/>
  <c r="BO39" i="25" s="1"/>
  <c r="CG48" i="25"/>
  <c r="BY273" i="25"/>
  <c r="BZ273" i="25" s="1"/>
  <c r="CA273" i="25" s="1"/>
  <c r="BB272" i="25"/>
  <c r="CG269" i="25"/>
  <c r="AY276" i="25"/>
  <c r="BN276" i="25"/>
  <c r="BO276" i="25" s="1"/>
  <c r="CG276" i="25"/>
  <c r="CC187" i="25"/>
  <c r="BX187" i="25" s="1"/>
  <c r="BB186" i="25"/>
  <c r="BC186" i="25" s="1"/>
  <c r="BG186" i="25" s="1"/>
  <c r="BH186" i="25" s="1"/>
  <c r="BK186" i="25" s="1"/>
  <c r="BN186" i="25"/>
  <c r="BO186" i="25" s="1"/>
  <c r="BB180" i="25"/>
  <c r="BC180" i="25" s="1"/>
  <c r="BG180" i="25" s="1"/>
  <c r="BH180" i="25" s="1"/>
  <c r="BK180" i="25" s="1"/>
  <c r="BR197" i="25"/>
  <c r="BQ197" i="25" s="1"/>
  <c r="BP197" i="25" s="1"/>
  <c r="BQ200" i="25"/>
  <c r="BP200" i="25" s="1"/>
  <c r="BN185" i="25"/>
  <c r="BO185" i="25" s="1"/>
  <c r="CG185" i="25"/>
  <c r="CC199" i="25"/>
  <c r="BX199" i="25" s="1"/>
  <c r="AY191" i="25"/>
  <c r="BN191" i="25"/>
  <c r="BO191" i="25" s="1"/>
  <c r="CH184" i="25"/>
  <c r="AY181" i="25"/>
  <c r="BN181" i="25"/>
  <c r="BO181" i="25" s="1"/>
  <c r="AY192" i="25"/>
  <c r="BR192" i="25"/>
  <c r="BQ192" i="25" s="1"/>
  <c r="BP192" i="25" s="1"/>
  <c r="BB195" i="25"/>
  <c r="BC195" i="25" s="1"/>
  <c r="BG195" i="25" s="1"/>
  <c r="BH195" i="25" s="1"/>
  <c r="BK195" i="25" s="1"/>
  <c r="BB203" i="25"/>
  <c r="BC203" i="25" s="1"/>
  <c r="BG203" i="25" s="1"/>
  <c r="BH203" i="25" s="1"/>
  <c r="BK203" i="25" s="1"/>
  <c r="CC183" i="25"/>
  <c r="BX183" i="25" s="1"/>
  <c r="BR202" i="25"/>
  <c r="BQ202" i="25" s="1"/>
  <c r="BP202" i="25" s="1"/>
  <c r="BB178" i="25"/>
  <c r="BC178" i="25" s="1"/>
  <c r="BG178" i="25" s="1"/>
  <c r="BH178" i="25" s="1"/>
  <c r="BK178" i="25" s="1"/>
  <c r="BQ178" i="25"/>
  <c r="BP178" i="25" s="1"/>
  <c r="CC178" i="25"/>
  <c r="BX178" i="25" s="1"/>
  <c r="CC179" i="25"/>
  <c r="BX179" i="25" s="1"/>
  <c r="BY179" i="25" s="1"/>
  <c r="BZ179" i="25" s="1"/>
  <c r="CA179" i="25" s="1"/>
  <c r="CH179" i="25"/>
  <c r="AY188" i="25"/>
  <c r="CD188" i="25"/>
  <c r="BV188" i="25" s="1"/>
  <c r="AY194" i="25"/>
  <c r="BN194" i="25"/>
  <c r="BO194" i="25" s="1"/>
  <c r="BN177" i="25"/>
  <c r="BO177" i="25" s="1"/>
  <c r="CG177" i="25"/>
  <c r="BN182" i="25"/>
  <c r="BO182" i="25" s="1"/>
  <c r="BB205" i="25"/>
  <c r="BR205" i="25"/>
  <c r="BQ205" i="25" s="1"/>
  <c r="BP205" i="25" s="1"/>
  <c r="BW205" i="25"/>
  <c r="BY205" i="25" s="1"/>
  <c r="BZ205" i="25" s="1"/>
  <c r="CA205" i="25" s="1"/>
  <c r="CG209" i="25"/>
  <c r="BN207" i="25"/>
  <c r="BO207" i="25" s="1"/>
  <c r="BB204" i="25"/>
  <c r="BR204" i="25"/>
  <c r="BQ204" i="25" s="1"/>
  <c r="BP204" i="25" s="1"/>
  <c r="BW204" i="25"/>
  <c r="BY204" i="25" s="1"/>
  <c r="BZ204" i="25" s="1"/>
  <c r="CA204" i="25" s="1"/>
  <c r="CG208" i="25"/>
  <c r="BN342" i="25"/>
  <c r="BO342" i="25" s="1"/>
  <c r="AY240" i="25"/>
  <c r="BN240" i="25"/>
  <c r="BO240" i="25" s="1"/>
  <c r="CG240" i="25"/>
  <c r="AY261" i="25"/>
  <c r="BB261" i="25"/>
  <c r="BC261" i="25" s="1"/>
  <c r="BG261" i="25" s="1"/>
  <c r="BH261" i="25" s="1"/>
  <c r="BK261" i="25" s="1"/>
  <c r="BN261" i="25"/>
  <c r="BO261" i="25" s="1"/>
  <c r="CD187" i="25"/>
  <c r="BV187" i="25" s="1"/>
  <c r="BQ193" i="25"/>
  <c r="BP193" i="25" s="1"/>
  <c r="CD184" i="25"/>
  <c r="BV184" i="25" s="1"/>
  <c r="BY184" i="25" s="1"/>
  <c r="BZ184" i="25" s="1"/>
  <c r="CA184" i="25" s="1"/>
  <c r="BQ189" i="25"/>
  <c r="BP189" i="25" s="1"/>
  <c r="BQ176" i="25"/>
  <c r="BP176" i="25" s="1"/>
  <c r="BQ203" i="25"/>
  <c r="BP203" i="25" s="1"/>
  <c r="AY223" i="25"/>
  <c r="BB223" i="25"/>
  <c r="BC223" i="25" s="1"/>
  <c r="BG223" i="25" s="1"/>
  <c r="BH223" i="25" s="1"/>
  <c r="BK223" i="25" s="1"/>
  <c r="BN223" i="25"/>
  <c r="BO223" i="25" s="1"/>
  <c r="CG217" i="25"/>
  <c r="AY222" i="25"/>
  <c r="BB222" i="25"/>
  <c r="BC222" i="25" s="1"/>
  <c r="BG222" i="25" s="1"/>
  <c r="BH222" i="25" s="1"/>
  <c r="BK222" i="25" s="1"/>
  <c r="BN222" i="25"/>
  <c r="BO222" i="25" s="1"/>
  <c r="BY213" i="25"/>
  <c r="BZ213" i="25" s="1"/>
  <c r="CA213" i="25" s="1"/>
  <c r="BY254" i="25"/>
  <c r="BZ254" i="25" s="1"/>
  <c r="CA254" i="25" s="1"/>
  <c r="BY351" i="25"/>
  <c r="BZ351" i="25" s="1"/>
  <c r="CA351" i="25" s="1"/>
  <c r="CC221" i="25"/>
  <c r="BX221" i="25" s="1"/>
  <c r="BQ264" i="25"/>
  <c r="BP264" i="25" s="1"/>
  <c r="BY229" i="25"/>
  <c r="BZ229" i="25" s="1"/>
  <c r="CA229" i="25" s="1"/>
  <c r="CD291" i="25"/>
  <c r="BV291" i="25" s="1"/>
  <c r="BR290" i="25"/>
  <c r="BQ290" i="25" s="1"/>
  <c r="BP290" i="25" s="1"/>
  <c r="BB288" i="25"/>
  <c r="BC288" i="25" s="1"/>
  <c r="BR292" i="25"/>
  <c r="BQ292" i="25" s="1"/>
  <c r="BP292" i="25" s="1"/>
  <c r="BB369" i="25"/>
  <c r="BC369" i="25" s="1"/>
  <c r="BG369" i="25" s="1"/>
  <c r="BH369" i="25" s="1"/>
  <c r="BK369" i="25" s="1"/>
  <c r="BN369" i="25"/>
  <c r="BO369" i="25" s="1"/>
  <c r="AY347" i="25"/>
  <c r="BW212" i="25"/>
  <c r="BY212" i="25" s="1"/>
  <c r="BZ212" i="25" s="1"/>
  <c r="CA212" i="25" s="1"/>
  <c r="BR212" i="25"/>
  <c r="BQ212" i="25" s="1"/>
  <c r="BP212" i="25" s="1"/>
  <c r="CG311" i="25"/>
  <c r="CC312" i="25"/>
  <c r="BX312" i="25" s="1"/>
  <c r="CD312" i="25"/>
  <c r="BV312" i="25" s="1"/>
  <c r="BQ314" i="25"/>
  <c r="BP314" i="25" s="1"/>
  <c r="CC314" i="25"/>
  <c r="BX314" i="25" s="1"/>
  <c r="BT314" i="25"/>
  <c r="BN314" i="25"/>
  <c r="BO314" i="25" s="1"/>
  <c r="AY317" i="25"/>
  <c r="BF371" i="25"/>
  <c r="BI371" i="25" s="1"/>
  <c r="BJ371" i="25" s="1"/>
  <c r="BQ251" i="25"/>
  <c r="BP251" i="25" s="1"/>
  <c r="BY251" i="25"/>
  <c r="BZ251" i="25" s="1"/>
  <c r="CA251" i="25" s="1"/>
  <c r="BN244" i="25"/>
  <c r="BO244" i="25" s="1"/>
  <c r="BN259" i="25"/>
  <c r="BO259" i="25" s="1"/>
  <c r="CG214" i="25"/>
  <c r="CD221" i="25"/>
  <c r="BV221" i="25" s="1"/>
  <c r="BY220" i="25"/>
  <c r="BZ220" i="25" s="1"/>
  <c r="CA220" i="25" s="1"/>
  <c r="BY215" i="25"/>
  <c r="BZ215" i="25" s="1"/>
  <c r="CA215" i="25" s="1"/>
  <c r="AY264" i="25"/>
  <c r="BN264" i="25"/>
  <c r="BO264" i="25" s="1"/>
  <c r="BT264" i="25"/>
  <c r="BR262" i="25"/>
  <c r="BQ262" i="25" s="1"/>
  <c r="BP262" i="25" s="1"/>
  <c r="CG262" i="25"/>
  <c r="AY252" i="25"/>
  <c r="BB253" i="25"/>
  <c r="BC253" i="25" s="1"/>
  <c r="BQ253" i="25"/>
  <c r="BP253" i="25" s="1"/>
  <c r="BT253" i="25"/>
  <c r="BT239" i="25"/>
  <c r="AY230" i="25"/>
  <c r="BT230" i="25"/>
  <c r="AY229" i="25"/>
  <c r="CG229" i="25"/>
  <c r="CG267" i="25"/>
  <c r="CG279" i="25"/>
  <c r="CG271" i="25"/>
  <c r="CG277" i="25"/>
  <c r="CG266" i="25"/>
  <c r="CG274" i="25"/>
  <c r="CG268" i="25"/>
  <c r="CG270" i="25"/>
  <c r="CG278" i="25"/>
  <c r="CG281" i="25"/>
  <c r="CG283" i="25"/>
  <c r="CG287" i="25"/>
  <c r="CG280" i="25"/>
  <c r="CG286" i="25"/>
  <c r="CG282" i="25"/>
  <c r="CG284" i="25"/>
  <c r="CG285" i="25"/>
  <c r="CG291" i="25"/>
  <c r="CC290" i="25"/>
  <c r="BX290" i="25" s="1"/>
  <c r="BN288" i="25"/>
  <c r="BO288" i="25" s="1"/>
  <c r="BT288" i="25"/>
  <c r="CG288" i="25"/>
  <c r="CC292" i="25"/>
  <c r="BX292" i="25" s="1"/>
  <c r="BY292" i="25" s="1"/>
  <c r="BZ292" i="25" s="1"/>
  <c r="CA292" i="25" s="1"/>
  <c r="BY348" i="25"/>
  <c r="BZ348" i="25" s="1"/>
  <c r="CA348" i="25" s="1"/>
  <c r="BY236" i="25"/>
  <c r="BZ236" i="25" s="1"/>
  <c r="CA236" i="25" s="1"/>
  <c r="BF251" i="25"/>
  <c r="BI251" i="25" s="1"/>
  <c r="BJ251" i="25" s="1"/>
  <c r="BN251" i="25"/>
  <c r="BO251" i="25" s="1"/>
  <c r="BT244" i="25"/>
  <c r="BT259" i="25"/>
  <c r="BY219" i="25"/>
  <c r="BZ219" i="25" s="1"/>
  <c r="CA219" i="25" s="1"/>
  <c r="BN253" i="25"/>
  <c r="BO253" i="25" s="1"/>
  <c r="BQ231" i="25"/>
  <c r="BP231" i="25" s="1"/>
  <c r="BB239" i="25"/>
  <c r="BQ230" i="25"/>
  <c r="BP230" i="25" s="1"/>
  <c r="BY216" i="25"/>
  <c r="BZ216" i="25" s="1"/>
  <c r="CA216" i="25" s="1"/>
  <c r="CD290" i="25"/>
  <c r="BV290" i="25" s="1"/>
  <c r="BW293" i="25"/>
  <c r="BY293" i="25" s="1"/>
  <c r="BZ293" i="25" s="1"/>
  <c r="CA293" i="25" s="1"/>
  <c r="CG348" i="25"/>
  <c r="AY312" i="25"/>
  <c r="AY256" i="25"/>
  <c r="BN258" i="25"/>
  <c r="BO258" i="25" s="1"/>
  <c r="AY217" i="25"/>
  <c r="BN233" i="25"/>
  <c r="BO233" i="25" s="1"/>
  <c r="AY228" i="25"/>
  <c r="BN236" i="25"/>
  <c r="BO236" i="25" s="1"/>
  <c r="CG236" i="25"/>
  <c r="BE251" i="25"/>
  <c r="BG251" i="25" s="1"/>
  <c r="BH251" i="25" s="1"/>
  <c r="BK251" i="25" s="1"/>
  <c r="BB218" i="25"/>
  <c r="BC218" i="25" s="1"/>
  <c r="BQ218" i="25"/>
  <c r="BP218" i="25" s="1"/>
  <c r="BN255" i="25"/>
  <c r="BO255" i="25" s="1"/>
  <c r="BB227" i="25"/>
  <c r="BC227" i="25" s="1"/>
  <c r="BN234" i="25"/>
  <c r="BO234" i="25" s="1"/>
  <c r="BB246" i="25"/>
  <c r="BC246" i="25" s="1"/>
  <c r="BQ214" i="25"/>
  <c r="BP214" i="25" s="1"/>
  <c r="CH214" i="25"/>
  <c r="BY250" i="25"/>
  <c r="BZ250" i="25" s="1"/>
  <c r="CA250" i="25" s="1"/>
  <c r="CG219" i="25"/>
  <c r="AY262" i="25"/>
  <c r="BF262" i="25"/>
  <c r="BI262" i="25" s="1"/>
  <c r="BJ262" i="25" s="1"/>
  <c r="BN262" i="25"/>
  <c r="BO262" i="25" s="1"/>
  <c r="BE253" i="25"/>
  <c r="CG253" i="25"/>
  <c r="AY231" i="25"/>
  <c r="AY239" i="25"/>
  <c r="CG239" i="25"/>
  <c r="BN247" i="25"/>
  <c r="BO247" i="25" s="1"/>
  <c r="CG247" i="25"/>
  <c r="BN230" i="25"/>
  <c r="BO230" i="25" s="1"/>
  <c r="CG216" i="25"/>
  <c r="BQ229" i="25"/>
  <c r="BP229" i="25" s="1"/>
  <c r="BQ278" i="25"/>
  <c r="BP278" i="25" s="1"/>
  <c r="BQ281" i="25"/>
  <c r="BP281" i="25" s="1"/>
  <c r="BQ283" i="25"/>
  <c r="BP283" i="25" s="1"/>
  <c r="BQ286" i="25"/>
  <c r="BP286" i="25" s="1"/>
  <c r="BQ282" i="25"/>
  <c r="BP282" i="25" s="1"/>
  <c r="BQ285" i="25"/>
  <c r="BP285" i="25" s="1"/>
  <c r="CC291" i="25"/>
  <c r="BX291" i="25" s="1"/>
  <c r="AY290" i="25"/>
  <c r="BN290" i="25"/>
  <c r="BO290" i="25" s="1"/>
  <c r="CG289" i="25"/>
  <c r="AY292" i="25"/>
  <c r="BN292" i="25"/>
  <c r="BO292" i="25" s="1"/>
  <c r="CG292" i="25"/>
  <c r="BA369" i="25"/>
  <c r="BN293" i="25"/>
  <c r="BO293" i="25" s="1"/>
  <c r="CG347" i="25"/>
  <c r="AY348" i="25"/>
  <c r="CG212" i="25"/>
  <c r="BR311" i="25"/>
  <c r="BQ311" i="25" s="1"/>
  <c r="BP311" i="25" s="1"/>
  <c r="CH317" i="25"/>
  <c r="CC317" i="25"/>
  <c r="BX317" i="25" s="1"/>
  <c r="BY317" i="25" s="1"/>
  <c r="BZ317" i="25" s="1"/>
  <c r="CA317" i="25" s="1"/>
  <c r="BR315" i="25"/>
  <c r="BQ315" i="25" s="1"/>
  <c r="BP315" i="25" s="1"/>
  <c r="CD313" i="25"/>
  <c r="BV313" i="25" s="1"/>
  <c r="BY313" i="25" s="1"/>
  <c r="BZ313" i="25" s="1"/>
  <c r="CA313" i="25" s="1"/>
  <c r="CH313" i="25"/>
  <c r="CG328" i="25"/>
  <c r="BY336" i="25"/>
  <c r="BZ336" i="25" s="1"/>
  <c r="CA336" i="25" s="1"/>
  <c r="CG323" i="25"/>
  <c r="BY322" i="25"/>
  <c r="BZ322" i="25" s="1"/>
  <c r="CA322" i="25" s="1"/>
  <c r="BT325" i="25"/>
  <c r="AY324" i="25"/>
  <c r="BY330" i="25"/>
  <c r="BZ330" i="25" s="1"/>
  <c r="CA330" i="25" s="1"/>
  <c r="CG331" i="25"/>
  <c r="CG335" i="25"/>
  <c r="CG334" i="25"/>
  <c r="CG319" i="25"/>
  <c r="CG352" i="25"/>
  <c r="CG367" i="25"/>
  <c r="CG357" i="25"/>
  <c r="BR384" i="25"/>
  <c r="BQ384" i="25" s="1"/>
  <c r="BP384" i="25" s="1"/>
  <c r="BW384" i="25"/>
  <c r="BY384" i="25" s="1"/>
  <c r="BZ384" i="25" s="1"/>
  <c r="CA384" i="25" s="1"/>
  <c r="CG295" i="25"/>
  <c r="BB383" i="25"/>
  <c r="BR383" i="25"/>
  <c r="BQ383" i="25" s="1"/>
  <c r="BP383" i="25" s="1"/>
  <c r="BN361" i="25"/>
  <c r="BO361" i="25" s="1"/>
  <c r="BR355" i="25"/>
  <c r="BQ355" i="25" s="1"/>
  <c r="BP355" i="25" s="1"/>
  <c r="AY368" i="25"/>
  <c r="BT363" i="25"/>
  <c r="BW363" i="25"/>
  <c r="BY363" i="25" s="1"/>
  <c r="BZ363" i="25" s="1"/>
  <c r="CA363" i="25" s="1"/>
  <c r="BR363" i="25"/>
  <c r="BQ363" i="25" s="1"/>
  <c r="BP363" i="25" s="1"/>
  <c r="BB363" i="25"/>
  <c r="BY374" i="25"/>
  <c r="BZ374" i="25" s="1"/>
  <c r="CA374" i="25" s="1"/>
  <c r="CC315" i="25"/>
  <c r="BX315" i="25" s="1"/>
  <c r="BY315" i="25" s="1"/>
  <c r="BZ315" i="25" s="1"/>
  <c r="CA315" i="25" s="1"/>
  <c r="CH315" i="25"/>
  <c r="BR316" i="25"/>
  <c r="BQ316" i="25" s="1"/>
  <c r="BP316" i="25" s="1"/>
  <c r="CD306" i="25"/>
  <c r="BV306" i="25" s="1"/>
  <c r="CG309" i="25"/>
  <c r="BY325" i="25"/>
  <c r="BZ325" i="25" s="1"/>
  <c r="CA325" i="25" s="1"/>
  <c r="BT355" i="25"/>
  <c r="BN355" i="25"/>
  <c r="BO355" i="25" s="1"/>
  <c r="BQ370" i="25"/>
  <c r="BP370" i="25" s="1"/>
  <c r="BT370" i="25"/>
  <c r="BN370" i="25"/>
  <c r="BO370" i="25" s="1"/>
  <c r="AY314" i="25"/>
  <c r="CG314" i="25"/>
  <c r="BB308" i="25"/>
  <c r="BC308" i="25" s="1"/>
  <c r="BN308" i="25"/>
  <c r="BO308" i="25" s="1"/>
  <c r="BF304" i="25"/>
  <c r="BI304" i="25" s="1"/>
  <c r="BJ304" i="25" s="1"/>
  <c r="BB315" i="25"/>
  <c r="BF315" i="25" s="1"/>
  <c r="BI315" i="25" s="1"/>
  <c r="BJ315" i="25" s="1"/>
  <c r="BR313" i="25"/>
  <c r="BQ313" i="25" s="1"/>
  <c r="BP313" i="25" s="1"/>
  <c r="BN310" i="25"/>
  <c r="BO310" i="25" s="1"/>
  <c r="CG310" i="25"/>
  <c r="CC305" i="25"/>
  <c r="BX305" i="25" s="1"/>
  <c r="AY306" i="25"/>
  <c r="BN306" i="25"/>
  <c r="BO306" i="25" s="1"/>
  <c r="BB332" i="25"/>
  <c r="BC332" i="25" s="1"/>
  <c r="BN332" i="25"/>
  <c r="BO332" i="25" s="1"/>
  <c r="CG332" i="25"/>
  <c r="BW326" i="25"/>
  <c r="BY326" i="25" s="1"/>
  <c r="BZ326" i="25" s="1"/>
  <c r="CA326" i="25" s="1"/>
  <c r="BB321" i="25"/>
  <c r="BC321" i="25" s="1"/>
  <c r="BN321" i="25"/>
  <c r="BO321" i="25" s="1"/>
  <c r="CG321" i="25"/>
  <c r="BW337" i="25"/>
  <c r="BY337" i="25" s="1"/>
  <c r="BZ337" i="25" s="1"/>
  <c r="CA337" i="25" s="1"/>
  <c r="BB327" i="25"/>
  <c r="BC327" i="25" s="1"/>
  <c r="BN327" i="25"/>
  <c r="BO327" i="25" s="1"/>
  <c r="CG327" i="25"/>
  <c r="BW318" i="25"/>
  <c r="BY318" i="25" s="1"/>
  <c r="BZ318" i="25" s="1"/>
  <c r="CA318" i="25" s="1"/>
  <c r="AY325" i="25"/>
  <c r="BR325" i="25"/>
  <c r="BQ325" i="25" s="1"/>
  <c r="BP325" i="25" s="1"/>
  <c r="AY330" i="25"/>
  <c r="BN330" i="25"/>
  <c r="BO330" i="25" s="1"/>
  <c r="BQ331" i="25"/>
  <c r="BP331" i="25" s="1"/>
  <c r="BS333" i="25"/>
  <c r="BS334" i="25"/>
  <c r="BB301" i="25"/>
  <c r="CG301" i="25"/>
  <c r="BB362" i="25"/>
  <c r="BR362" i="25"/>
  <c r="BQ362" i="25" s="1"/>
  <c r="BP362" i="25" s="1"/>
  <c r="BW362" i="25"/>
  <c r="BY362" i="25" s="1"/>
  <c r="BZ362" i="25" s="1"/>
  <c r="CA362" i="25" s="1"/>
  <c r="CG360" i="25"/>
  <c r="BR377" i="25"/>
  <c r="BQ377" i="25" s="1"/>
  <c r="BP377" i="25" s="1"/>
  <c r="BY377" i="25"/>
  <c r="BZ377" i="25" s="1"/>
  <c r="CA377" i="25" s="1"/>
  <c r="BN384" i="25"/>
  <c r="BO384" i="25" s="1"/>
  <c r="BB364" i="25"/>
  <c r="BR364" i="25"/>
  <c r="BQ364" i="25" s="1"/>
  <c r="BP364" i="25" s="1"/>
  <c r="CG354" i="25"/>
  <c r="BN383" i="25"/>
  <c r="BO383" i="25" s="1"/>
  <c r="BY361" i="25"/>
  <c r="BZ361" i="25" s="1"/>
  <c r="CA361" i="25" s="1"/>
  <c r="CG368" i="25"/>
  <c r="BY370" i="25"/>
  <c r="BZ370" i="25" s="1"/>
  <c r="CA370" i="25" s="1"/>
  <c r="AY382" i="25"/>
  <c r="AY341" i="25"/>
  <c r="AY308" i="25"/>
  <c r="BQ304" i="25"/>
  <c r="BP304" i="25" s="1"/>
  <c r="BN315" i="25"/>
  <c r="BO315" i="25" s="1"/>
  <c r="CG315" i="25"/>
  <c r="BB316" i="25"/>
  <c r="BC316" i="25" s="1"/>
  <c r="BN316" i="25"/>
  <c r="BO316" i="25" s="1"/>
  <c r="BR306" i="25"/>
  <c r="BQ306" i="25" s="1"/>
  <c r="BP306" i="25" s="1"/>
  <c r="BQ309" i="25"/>
  <c r="BP309" i="25" s="1"/>
  <c r="BB326" i="25"/>
  <c r="BC326" i="25" s="1"/>
  <c r="BN326" i="25"/>
  <c r="BO326" i="25" s="1"/>
  <c r="CG326" i="25"/>
  <c r="BY338" i="25"/>
  <c r="BZ338" i="25" s="1"/>
  <c r="CA338" i="25" s="1"/>
  <c r="BB337" i="25"/>
  <c r="BC337" i="25" s="1"/>
  <c r="BN337" i="25"/>
  <c r="BO337" i="25" s="1"/>
  <c r="CG337" i="25"/>
  <c r="BB318" i="25"/>
  <c r="BC318" i="25" s="1"/>
  <c r="BN318" i="25"/>
  <c r="BO318" i="25" s="1"/>
  <c r="CG318" i="25"/>
  <c r="BY323" i="25"/>
  <c r="BZ323" i="25" s="1"/>
  <c r="CA323" i="25" s="1"/>
  <c r="BR301" i="25"/>
  <c r="BQ301" i="25" s="1"/>
  <c r="BP301" i="25" s="1"/>
  <c r="BW301" i="25"/>
  <c r="BY301" i="25" s="1"/>
  <c r="BZ301" i="25" s="1"/>
  <c r="CA301" i="25" s="1"/>
  <c r="BS362" i="25"/>
  <c r="BB360" i="25"/>
  <c r="BR360" i="25"/>
  <c r="BQ360" i="25" s="1"/>
  <c r="BP360" i="25" s="1"/>
  <c r="BW360" i="25"/>
  <c r="BY360" i="25" s="1"/>
  <c r="BZ360" i="25" s="1"/>
  <c r="CA360" i="25" s="1"/>
  <c r="BS377" i="25"/>
  <c r="CG384" i="25"/>
  <c r="BB354" i="25"/>
  <c r="BR354" i="25"/>
  <c r="BQ354" i="25" s="1"/>
  <c r="BP354" i="25" s="1"/>
  <c r="CG383" i="25"/>
  <c r="BT345" i="25"/>
  <c r="BW345" i="25"/>
  <c r="BY345" i="25" s="1"/>
  <c r="BZ345" i="25" s="1"/>
  <c r="CA345" i="25" s="1"/>
  <c r="BR345" i="25"/>
  <c r="BQ345" i="25" s="1"/>
  <c r="BP345" i="25" s="1"/>
  <c r="BB345" i="25"/>
  <c r="BB361" i="25"/>
  <c r="CG355" i="25"/>
  <c r="BT381" i="25"/>
  <c r="BN381" i="25"/>
  <c r="BO381" i="25" s="1"/>
  <c r="BW381" i="25"/>
  <c r="BY381" i="25" s="1"/>
  <c r="BZ381" i="25" s="1"/>
  <c r="CA381" i="25" s="1"/>
  <c r="BT340" i="25"/>
  <c r="BN340" i="25"/>
  <c r="BO340" i="25" s="1"/>
  <c r="BW340" i="25"/>
  <c r="BY340" i="25" s="1"/>
  <c r="BZ340" i="25" s="1"/>
  <c r="CA340" i="25" s="1"/>
  <c r="BY346" i="25"/>
  <c r="BZ346" i="25" s="1"/>
  <c r="CA346" i="25" s="1"/>
  <c r="BN237" i="25"/>
  <c r="BO237" i="25" s="1"/>
  <c r="CG237" i="25"/>
  <c r="BB294" i="25"/>
  <c r="BC294" i="25" s="1"/>
  <c r="BS294" i="25"/>
  <c r="BW294" i="25"/>
  <c r="BY294" i="25" s="1"/>
  <c r="BZ294" i="25" s="1"/>
  <c r="CA294" i="25" s="1"/>
  <c r="BN298" i="25"/>
  <c r="BO298" i="25" s="1"/>
  <c r="CG298" i="25"/>
  <c r="BB299" i="25"/>
  <c r="BC299" i="25" s="1"/>
  <c r="BS299" i="25"/>
  <c r="BW299" i="25"/>
  <c r="BY299" i="25" s="1"/>
  <c r="BZ299" i="25" s="1"/>
  <c r="CA299" i="25" s="1"/>
  <c r="BB375" i="25"/>
  <c r="BC375" i="25" s="1"/>
  <c r="BB376" i="25"/>
  <c r="BC376" i="25" s="1"/>
  <c r="BN376" i="25"/>
  <c r="BO376" i="25" s="1"/>
  <c r="CG365" i="25"/>
  <c r="AY349" i="25"/>
  <c r="CG349" i="25"/>
  <c r="CG378" i="25"/>
  <c r="BN390" i="25"/>
  <c r="BO390" i="25" s="1"/>
  <c r="CG413" i="25"/>
  <c r="CG393" i="25"/>
  <c r="CG411" i="25"/>
  <c r="CG398" i="25"/>
  <c r="CG408" i="25"/>
  <c r="CG409" i="25"/>
  <c r="CG415" i="25"/>
  <c r="AY407" i="25"/>
  <c r="CG407" i="25"/>
  <c r="BT399" i="25"/>
  <c r="BR399" i="25"/>
  <c r="BQ399" i="25" s="1"/>
  <c r="BP399" i="25" s="1"/>
  <c r="BQ373" i="25"/>
  <c r="BP373" i="25" s="1"/>
  <c r="BQ381" i="25"/>
  <c r="BP381" i="25" s="1"/>
  <c r="BS381" i="25"/>
  <c r="BT382" i="25"/>
  <c r="BT366" i="25"/>
  <c r="BT374" i="25"/>
  <c r="BT339" i="25"/>
  <c r="BQ340" i="25"/>
  <c r="BP340" i="25" s="1"/>
  <c r="BB356" i="25"/>
  <c r="BC356" i="25" s="1"/>
  <c r="BN356" i="25"/>
  <c r="BO356" i="25" s="1"/>
  <c r="BW359" i="25"/>
  <c r="BY359" i="25" s="1"/>
  <c r="BZ359" i="25" s="1"/>
  <c r="CA359" i="25" s="1"/>
  <c r="BB346" i="25"/>
  <c r="BC346" i="25" s="1"/>
  <c r="BN346" i="25"/>
  <c r="BO346" i="25" s="1"/>
  <c r="BB343" i="25"/>
  <c r="BC343" i="25" s="1"/>
  <c r="BW343" i="25"/>
  <c r="BY343" i="25" s="1"/>
  <c r="BZ343" i="25" s="1"/>
  <c r="CA343" i="25" s="1"/>
  <c r="BN294" i="25"/>
  <c r="BO294" i="25" s="1"/>
  <c r="BS296" i="25"/>
  <c r="BY296" i="25"/>
  <c r="BZ296" i="25" s="1"/>
  <c r="CA296" i="25" s="1"/>
  <c r="BN299" i="25"/>
  <c r="BO299" i="25" s="1"/>
  <c r="BN379" i="25"/>
  <c r="BO379" i="25" s="1"/>
  <c r="BW379" i="25"/>
  <c r="BY379" i="25" s="1"/>
  <c r="BZ379" i="25" s="1"/>
  <c r="CA379" i="25" s="1"/>
  <c r="BY302" i="25"/>
  <c r="BZ302" i="25" s="1"/>
  <c r="CA302" i="25" s="1"/>
  <c r="BR390" i="25"/>
  <c r="BQ390" i="25" s="1"/>
  <c r="BP390" i="25" s="1"/>
  <c r="BB421" i="25"/>
  <c r="CG361" i="25"/>
  <c r="CG370" i="25"/>
  <c r="BN371" i="25"/>
  <c r="BO371" i="25" s="1"/>
  <c r="BB382" i="25"/>
  <c r="BC382" i="25" s="1"/>
  <c r="BB385" i="25"/>
  <c r="BC385" i="25" s="1"/>
  <c r="BB353" i="25"/>
  <c r="BC353" i="25" s="1"/>
  <c r="BN386" i="25"/>
  <c r="BO386" i="25" s="1"/>
  <c r="BB340" i="25"/>
  <c r="BC340" i="25" s="1"/>
  <c r="CG340" i="25"/>
  <c r="BB359" i="25"/>
  <c r="BC359" i="25" s="1"/>
  <c r="BN359" i="25"/>
  <c r="BO359" i="25" s="1"/>
  <c r="CG359" i="25"/>
  <c r="BN343" i="25"/>
  <c r="BO343" i="25" s="1"/>
  <c r="CG343" i="25"/>
  <c r="BB344" i="25"/>
  <c r="BC344" i="25" s="1"/>
  <c r="BS344" i="25"/>
  <c r="CG296" i="25"/>
  <c r="BB297" i="25"/>
  <c r="BC297" i="25" s="1"/>
  <c r="BS297" i="25"/>
  <c r="AY375" i="25"/>
  <c r="AY300" i="25"/>
  <c r="BY300" i="25"/>
  <c r="BZ300" i="25" s="1"/>
  <c r="CA300" i="25" s="1"/>
  <c r="AY378" i="25"/>
  <c r="AY404" i="25"/>
  <c r="BB410" i="25"/>
  <c r="BC410" i="25" s="1"/>
  <c r="BG410" i="25" s="1"/>
  <c r="BH410" i="25" s="1"/>
  <c r="BK410" i="25" s="1"/>
  <c r="CG392" i="25"/>
  <c r="CG394" i="25"/>
  <c r="CG396" i="25"/>
  <c r="AY421" i="25"/>
  <c r="BB420" i="25"/>
  <c r="BC420" i="25" s="1"/>
  <c r="BG420" i="25" s="1"/>
  <c r="BH420" i="25" s="1"/>
  <c r="BK420" i="25" s="1"/>
  <c r="BY420" i="25"/>
  <c r="BZ420" i="25" s="1"/>
  <c r="CA420" i="25" s="1"/>
  <c r="AY409" i="25"/>
  <c r="AY415" i="25"/>
  <c r="AY416" i="25"/>
  <c r="CG416" i="25"/>
  <c r="AY400" i="25"/>
  <c r="BR400" i="25"/>
  <c r="BQ400" i="25" s="1"/>
  <c r="BP400" i="25" s="1"/>
  <c r="CG400" i="25"/>
  <c r="BW418" i="25"/>
  <c r="BY418" i="25" s="1"/>
  <c r="BZ418" i="25" s="1"/>
  <c r="CA418" i="25" s="1"/>
  <c r="BY130" i="25"/>
  <c r="BZ130" i="25" s="1"/>
  <c r="CA130" i="25" s="1"/>
  <c r="CG386" i="25"/>
  <c r="CG341" i="25"/>
  <c r="BY350" i="25"/>
  <c r="BZ350" i="25" s="1"/>
  <c r="CA350" i="25" s="1"/>
  <c r="CG358" i="25"/>
  <c r="CG344" i="25"/>
  <c r="BS237" i="25"/>
  <c r="BY237" i="25"/>
  <c r="BZ237" i="25" s="1"/>
  <c r="CA237" i="25" s="1"/>
  <c r="BY409" i="25"/>
  <c r="BZ409" i="25" s="1"/>
  <c r="CA409" i="25" s="1"/>
  <c r="BB399" i="25"/>
  <c r="BC399" i="25" s="1"/>
  <c r="BG399" i="25" s="1"/>
  <c r="BH399" i="25" s="1"/>
  <c r="BK399" i="25" s="1"/>
  <c r="BN399" i="25"/>
  <c r="BO399" i="25" s="1"/>
  <c r="BB412" i="25"/>
  <c r="BC412" i="25" s="1"/>
  <c r="BG412" i="25" s="1"/>
  <c r="BH412" i="25" s="1"/>
  <c r="BK412" i="25" s="1"/>
  <c r="BN412" i="25"/>
  <c r="BO412" i="25" s="1"/>
  <c r="CG412" i="25"/>
  <c r="AY422" i="25"/>
  <c r="BB422" i="25"/>
  <c r="BC422" i="25" s="1"/>
  <c r="BG422" i="25" s="1"/>
  <c r="BH422" i="25" s="1"/>
  <c r="BK422" i="25" s="1"/>
  <c r="BS417" i="25"/>
  <c r="BC397" i="25"/>
  <c r="BG397" i="25" s="1"/>
  <c r="BH397" i="25" s="1"/>
  <c r="BK397" i="25" s="1"/>
  <c r="BB403" i="25"/>
  <c r="BR403" i="25"/>
  <c r="BQ403" i="25" s="1"/>
  <c r="BP403" i="25" s="1"/>
  <c r="BW403" i="25"/>
  <c r="BY403" i="25" s="1"/>
  <c r="BZ403" i="25" s="1"/>
  <c r="CA403" i="25" s="1"/>
  <c r="CG423" i="25"/>
  <c r="BY106" i="25"/>
  <c r="BZ106" i="25" s="1"/>
  <c r="CA106" i="25" s="1"/>
  <c r="BY129" i="25"/>
  <c r="BZ129" i="25" s="1"/>
  <c r="CA129" i="25" s="1"/>
  <c r="BY34" i="25"/>
  <c r="BZ34" i="25" s="1"/>
  <c r="CA34" i="25" s="1"/>
  <c r="BY143" i="25"/>
  <c r="BZ143" i="25" s="1"/>
  <c r="CA143" i="25" s="1"/>
  <c r="BB401" i="25"/>
  <c r="BR401" i="25"/>
  <c r="BQ401" i="25" s="1"/>
  <c r="BP401" i="25" s="1"/>
  <c r="BW401" i="25"/>
  <c r="BY401" i="25" s="1"/>
  <c r="BZ401" i="25" s="1"/>
  <c r="CA401" i="25" s="1"/>
  <c r="BB395" i="25"/>
  <c r="BR395" i="25"/>
  <c r="BQ395" i="25" s="1"/>
  <c r="BP395" i="25" s="1"/>
  <c r="BW395" i="25"/>
  <c r="BY395" i="25" s="1"/>
  <c r="BZ395" i="25" s="1"/>
  <c r="CA395" i="25" s="1"/>
  <c r="BS405" i="25"/>
  <c r="BR106" i="25"/>
  <c r="BQ106" i="25" s="1"/>
  <c r="BP106" i="25" s="1"/>
  <c r="BR69" i="25"/>
  <c r="BQ69" i="25" s="1"/>
  <c r="BP69" i="25" s="1"/>
  <c r="BW69" i="25"/>
  <c r="BY69" i="25" s="1"/>
  <c r="BZ69" i="25" s="1"/>
  <c r="CA69" i="25" s="1"/>
  <c r="BC66" i="25"/>
  <c r="BG66" i="25" s="1"/>
  <c r="BH66" i="25" s="1"/>
  <c r="BK66" i="25" s="1"/>
  <c r="BN130" i="25"/>
  <c r="BO130" i="25" s="1"/>
  <c r="BT130" i="25"/>
  <c r="BB129" i="25"/>
  <c r="BC129" i="25" s="1"/>
  <c r="BG129" i="25" s="1"/>
  <c r="BH129" i="25" s="1"/>
  <c r="BK129" i="25" s="1"/>
  <c r="BY171" i="25"/>
  <c r="BZ171" i="25" s="1"/>
  <c r="CA171" i="25" s="1"/>
  <c r="BB68" i="25"/>
  <c r="BC68" i="25" s="1"/>
  <c r="BG68" i="25" s="1"/>
  <c r="BH68" i="25" s="1"/>
  <c r="BK68" i="25" s="1"/>
  <c r="BY68" i="25"/>
  <c r="BZ68" i="25" s="1"/>
  <c r="CA68" i="25" s="1"/>
  <c r="BY119" i="25"/>
  <c r="BZ119" i="25" s="1"/>
  <c r="CA119" i="25" s="1"/>
  <c r="CG399" i="25"/>
  <c r="AY418" i="25"/>
  <c r="AY419" i="25"/>
  <c r="BW422" i="25"/>
  <c r="BY422" i="25" s="1"/>
  <c r="BZ422" i="25" s="1"/>
  <c r="CA422" i="25" s="1"/>
  <c r="BN414" i="25"/>
  <c r="BO414" i="25" s="1"/>
  <c r="CG397" i="25"/>
  <c r="BN403" i="25"/>
  <c r="BO403" i="25" s="1"/>
  <c r="BB106" i="25"/>
  <c r="CG106" i="25"/>
  <c r="BB69" i="25"/>
  <c r="CG69" i="25"/>
  <c r="BN71" i="25"/>
  <c r="BO71" i="25" s="1"/>
  <c r="BW71" i="25"/>
  <c r="BY71" i="25" s="1"/>
  <c r="BZ71" i="25" s="1"/>
  <c r="CA71" i="25" s="1"/>
  <c r="BQ63" i="25"/>
  <c r="BP63" i="25" s="1"/>
  <c r="BN70" i="25"/>
  <c r="BO70" i="25" s="1"/>
  <c r="BQ13" i="25"/>
  <c r="BP13" i="25" s="1"/>
  <c r="CG130" i="25"/>
  <c r="BN129" i="25"/>
  <c r="BO129" i="25" s="1"/>
  <c r="CG129" i="25"/>
  <c r="BB171" i="25"/>
  <c r="BC171" i="25" s="1"/>
  <c r="BG171" i="25" s="1"/>
  <c r="BH171" i="25" s="1"/>
  <c r="BK171" i="25" s="1"/>
  <c r="BN68" i="25"/>
  <c r="BO68" i="25" s="1"/>
  <c r="CG68" i="25"/>
  <c r="BB65" i="25"/>
  <c r="BC65" i="25" s="1"/>
  <c r="BG65" i="25" s="1"/>
  <c r="BH65" i="25" s="1"/>
  <c r="BK65" i="25" s="1"/>
  <c r="BY65" i="25"/>
  <c r="BZ65" i="25" s="1"/>
  <c r="CA65" i="25" s="1"/>
  <c r="CG119" i="25"/>
  <c r="BN143" i="25"/>
  <c r="BO143" i="25" s="1"/>
  <c r="BB417" i="25"/>
  <c r="BR417" i="25"/>
  <c r="BQ417" i="25" s="1"/>
  <c r="BP417" i="25" s="1"/>
  <c r="BW417" i="25"/>
  <c r="BY417" i="25" s="1"/>
  <c r="BZ417" i="25" s="1"/>
  <c r="CA417" i="25" s="1"/>
  <c r="BN106" i="25"/>
  <c r="BO106" i="25" s="1"/>
  <c r="BQ167" i="25"/>
  <c r="BP167" i="25" s="1"/>
  <c r="BN69" i="25"/>
  <c r="BO69" i="25" s="1"/>
  <c r="CG71" i="25"/>
  <c r="BQ105" i="25"/>
  <c r="BP105" i="25" s="1"/>
  <c r="BN171" i="25"/>
  <c r="BO171" i="25" s="1"/>
  <c r="CG171" i="25"/>
  <c r="BY35" i="25"/>
  <c r="BZ35" i="25" s="1"/>
  <c r="CA35" i="25" s="1"/>
  <c r="BN65" i="25"/>
  <c r="BO65" i="25" s="1"/>
  <c r="CG65" i="25"/>
  <c r="AY119" i="25"/>
  <c r="BR143" i="25"/>
  <c r="BQ143" i="25" s="1"/>
  <c r="BP143" i="25" s="1"/>
  <c r="BF95" i="25"/>
  <c r="BI95" i="25" s="1"/>
  <c r="BJ95" i="25" s="1"/>
  <c r="BE54" i="25"/>
  <c r="BE81" i="25"/>
  <c r="BE87" i="25"/>
  <c r="BG87" i="25" s="1"/>
  <c r="BH87" i="25" s="1"/>
  <c r="BK87" i="25" s="1"/>
  <c r="BE88" i="25"/>
  <c r="BG88" i="25" s="1"/>
  <c r="BH88" i="25" s="1"/>
  <c r="BK88" i="25" s="1"/>
  <c r="BE173" i="25"/>
  <c r="BE153" i="25"/>
  <c r="BE150" i="25"/>
  <c r="BE59" i="25"/>
  <c r="BE10" i="25"/>
  <c r="BG10" i="25" s="1"/>
  <c r="BH10" i="25" s="1"/>
  <c r="BK10" i="25" s="1"/>
  <c r="BE61" i="25"/>
  <c r="BE74" i="25"/>
  <c r="BE76" i="25"/>
  <c r="BE85" i="25"/>
  <c r="BE96" i="25"/>
  <c r="BE95" i="25"/>
  <c r="BE133" i="25"/>
  <c r="BE131" i="25"/>
  <c r="BE108" i="25"/>
  <c r="BE142" i="25"/>
  <c r="BE25" i="25"/>
  <c r="BE8" i="25"/>
  <c r="BE26" i="25"/>
  <c r="BE27" i="25"/>
  <c r="BE9" i="25"/>
  <c r="BE28" i="25"/>
  <c r="BE149" i="25"/>
  <c r="BE51" i="25"/>
  <c r="BE29" i="25"/>
  <c r="BE20" i="25"/>
  <c r="BE30" i="25"/>
  <c r="BE139" i="25"/>
  <c r="BE134" i="25"/>
  <c r="BW102" i="25"/>
  <c r="BY102" i="25" s="1"/>
  <c r="BZ102" i="25" s="1"/>
  <c r="CA102" i="25" s="1"/>
  <c r="BT152" i="25"/>
  <c r="BB31" i="25"/>
  <c r="BT21" i="25"/>
  <c r="BB11" i="25"/>
  <c r="BR103" i="25"/>
  <c r="BQ103" i="25" s="1"/>
  <c r="BP103" i="25" s="1"/>
  <c r="BW103" i="25"/>
  <c r="BY103" i="25" s="1"/>
  <c r="BZ103" i="25" s="1"/>
  <c r="CA103" i="25" s="1"/>
  <c r="BY38" i="25"/>
  <c r="BZ38" i="25" s="1"/>
  <c r="CA38" i="25" s="1"/>
  <c r="BR80" i="25"/>
  <c r="BQ80" i="25" s="1"/>
  <c r="BP80" i="25" s="1"/>
  <c r="BT151" i="25"/>
  <c r="BT33" i="25"/>
  <c r="BB21" i="25"/>
  <c r="BT107" i="25"/>
  <c r="BT80" i="25"/>
  <c r="BR31" i="25"/>
  <c r="BQ31" i="25" s="1"/>
  <c r="BP31" i="25" s="1"/>
  <c r="BT32" i="25"/>
  <c r="BR11" i="25"/>
  <c r="BQ11" i="25" s="1"/>
  <c r="BP11" i="25" s="1"/>
  <c r="BT104" i="25"/>
  <c r="BY52" i="25"/>
  <c r="BZ52" i="25" s="1"/>
  <c r="CA52" i="25" s="1"/>
  <c r="BY22" i="25"/>
  <c r="BZ22" i="25" s="1"/>
  <c r="CA22" i="25" s="1"/>
  <c r="BT31" i="25"/>
  <c r="BT11" i="25"/>
  <c r="BT103" i="25"/>
  <c r="BW55" i="25"/>
  <c r="BY55" i="25" s="1"/>
  <c r="BZ55" i="25" s="1"/>
  <c r="CA55" i="25" s="1"/>
  <c r="BW56" i="25"/>
  <c r="BY56" i="25" s="1"/>
  <c r="BZ56" i="25" s="1"/>
  <c r="CA56" i="25" s="1"/>
  <c r="BW57" i="25"/>
  <c r="BY57" i="25" s="1"/>
  <c r="BZ57" i="25" s="1"/>
  <c r="CA57" i="25" s="1"/>
  <c r="BW58" i="25"/>
  <c r="BY58" i="25" s="1"/>
  <c r="BZ58" i="25" s="1"/>
  <c r="CA58" i="25" s="1"/>
  <c r="BW67" i="25"/>
  <c r="BY67" i="25" s="1"/>
  <c r="BZ67" i="25" s="1"/>
  <c r="CA67" i="25" s="1"/>
  <c r="BW60" i="25"/>
  <c r="BY60" i="25" s="1"/>
  <c r="BZ60" i="25" s="1"/>
  <c r="CA60" i="25" s="1"/>
  <c r="BC40" i="25"/>
  <c r="BG40" i="25" s="1"/>
  <c r="BH40" i="25" s="1"/>
  <c r="BK40" i="25" s="1"/>
  <c r="BW94" i="25"/>
  <c r="BY94" i="25" s="1"/>
  <c r="BZ94" i="25" s="1"/>
  <c r="CA94" i="25" s="1"/>
  <c r="BW14" i="25"/>
  <c r="BY14" i="25" s="1"/>
  <c r="BZ14" i="25" s="1"/>
  <c r="CA14" i="25" s="1"/>
  <c r="BW41" i="25"/>
  <c r="BY41" i="25" s="1"/>
  <c r="BZ41" i="25" s="1"/>
  <c r="CA41" i="25" s="1"/>
  <c r="BW116" i="25"/>
  <c r="BY116" i="25" s="1"/>
  <c r="BZ116" i="25" s="1"/>
  <c r="CA116" i="25" s="1"/>
  <c r="BW15" i="25"/>
  <c r="BY15" i="25" s="1"/>
  <c r="BZ15" i="25" s="1"/>
  <c r="CA15" i="25" s="1"/>
  <c r="BW43" i="25"/>
  <c r="BY43" i="25" s="1"/>
  <c r="BZ43" i="25" s="1"/>
  <c r="CA43" i="25" s="1"/>
  <c r="BW72" i="25"/>
  <c r="BY72" i="25" s="1"/>
  <c r="BZ72" i="25" s="1"/>
  <c r="CA72" i="25" s="1"/>
  <c r="BW77" i="25"/>
  <c r="BY77" i="25" s="1"/>
  <c r="BZ77" i="25" s="1"/>
  <c r="CA77" i="25" s="1"/>
  <c r="BW140" i="25"/>
  <c r="BY140" i="25" s="1"/>
  <c r="BZ140" i="25" s="1"/>
  <c r="CA140" i="25" s="1"/>
  <c r="BW117" i="25"/>
  <c r="BY117" i="25" s="1"/>
  <c r="BZ117" i="25" s="1"/>
  <c r="CA117" i="25" s="1"/>
  <c r="BW98" i="25"/>
  <c r="BY98" i="25" s="1"/>
  <c r="BZ98" i="25" s="1"/>
  <c r="CA98" i="25" s="1"/>
  <c r="BW118" i="25"/>
  <c r="BY118" i="25" s="1"/>
  <c r="BZ118" i="25" s="1"/>
  <c r="CA118" i="25" s="1"/>
  <c r="BW161" i="25"/>
  <c r="BY161" i="25" s="1"/>
  <c r="BZ161" i="25" s="1"/>
  <c r="CA161" i="25" s="1"/>
  <c r="BW23" i="25"/>
  <c r="BY23" i="25" s="1"/>
  <c r="BZ23" i="25" s="1"/>
  <c r="CA23" i="25" s="1"/>
  <c r="BC16" i="25"/>
  <c r="BG16" i="25" s="1"/>
  <c r="BH16" i="25" s="1"/>
  <c r="BK16" i="25" s="1"/>
  <c r="BW16" i="25"/>
  <c r="BY16" i="25" s="1"/>
  <c r="BZ16" i="25" s="1"/>
  <c r="CA16" i="25" s="1"/>
  <c r="BW162" i="25"/>
  <c r="BY162" i="25" s="1"/>
  <c r="BZ162" i="25" s="1"/>
  <c r="CA162" i="25" s="1"/>
  <c r="BW164" i="25"/>
  <c r="BY164" i="25" s="1"/>
  <c r="BZ164" i="25" s="1"/>
  <c r="CA164" i="25" s="1"/>
  <c r="BE17" i="25"/>
  <c r="BE45" i="25"/>
  <c r="BG45" i="25" s="1"/>
  <c r="BH45" i="25" s="1"/>
  <c r="BK45" i="25" s="1"/>
  <c r="BE141" i="25"/>
  <c r="BP15" i="25"/>
  <c r="BP118" i="25"/>
  <c r="BY79" i="25"/>
  <c r="BZ79" i="25" s="1"/>
  <c r="CA79" i="25" s="1"/>
  <c r="BY84" i="25"/>
  <c r="BZ84" i="25" s="1"/>
  <c r="CA84" i="25" s="1"/>
  <c r="BF197" i="25"/>
  <c r="BI197" i="25" s="1"/>
  <c r="BJ197" i="25" s="1"/>
  <c r="BG189" i="25"/>
  <c r="BH189" i="25" s="1"/>
  <c r="BK189" i="25" s="1"/>
  <c r="BK200" i="25"/>
  <c r="BY90" i="25"/>
  <c r="BZ90" i="25" s="1"/>
  <c r="CA90" i="25" s="1"/>
  <c r="BY48" i="25"/>
  <c r="BZ48" i="25" s="1"/>
  <c r="CA48" i="25" s="1"/>
  <c r="BY269" i="25"/>
  <c r="BZ269" i="25" s="1"/>
  <c r="CA269" i="25" s="1"/>
  <c r="BY276" i="25"/>
  <c r="BZ276" i="25" s="1"/>
  <c r="CA276" i="25" s="1"/>
  <c r="BW92" i="25"/>
  <c r="BY92" i="25" s="1"/>
  <c r="BZ92" i="25" s="1"/>
  <c r="CA92" i="25" s="1"/>
  <c r="BW82" i="25"/>
  <c r="BY82" i="25" s="1"/>
  <c r="BZ82" i="25" s="1"/>
  <c r="CA82" i="25" s="1"/>
  <c r="BW39" i="25"/>
  <c r="BY39" i="25" s="1"/>
  <c r="BZ39" i="25" s="1"/>
  <c r="CA39" i="25" s="1"/>
  <c r="BP265" i="25"/>
  <c r="CD186" i="25"/>
  <c r="BV186" i="25" s="1"/>
  <c r="BY186" i="25" s="1"/>
  <c r="BZ186" i="25" s="1"/>
  <c r="CA186" i="25" s="1"/>
  <c r="CH186" i="25"/>
  <c r="BE190" i="25"/>
  <c r="CC190" i="25"/>
  <c r="BX190" i="25" s="1"/>
  <c r="CD200" i="25"/>
  <c r="BV200" i="25" s="1"/>
  <c r="BY200" i="25" s="1"/>
  <c r="BZ200" i="25" s="1"/>
  <c r="CA200" i="25" s="1"/>
  <c r="CH200" i="25"/>
  <c r="BE185" i="25"/>
  <c r="CC185" i="25"/>
  <c r="BX185" i="25" s="1"/>
  <c r="CD193" i="25"/>
  <c r="BV193" i="25" s="1"/>
  <c r="BY193" i="25" s="1"/>
  <c r="BZ193" i="25" s="1"/>
  <c r="CA193" i="25" s="1"/>
  <c r="CH193" i="25"/>
  <c r="BE198" i="25"/>
  <c r="CC198" i="25"/>
  <c r="BX198" i="25" s="1"/>
  <c r="CD189" i="25"/>
  <c r="BV189" i="25" s="1"/>
  <c r="BY189" i="25" s="1"/>
  <c r="BZ189" i="25" s="1"/>
  <c r="CA189" i="25" s="1"/>
  <c r="CH189" i="25"/>
  <c r="BE176" i="25"/>
  <c r="CC176" i="25"/>
  <c r="BX176" i="25" s="1"/>
  <c r="CH196" i="25"/>
  <c r="BS124" i="25"/>
  <c r="BS125" i="25"/>
  <c r="BS170" i="25"/>
  <c r="BS172" i="25"/>
  <c r="BS49" i="25"/>
  <c r="CD190" i="25"/>
  <c r="BV190" i="25" s="1"/>
  <c r="CD185" i="25"/>
  <c r="BV185" i="25" s="1"/>
  <c r="CD198" i="25"/>
  <c r="BV198" i="25" s="1"/>
  <c r="CD176" i="25"/>
  <c r="BV176" i="25" s="1"/>
  <c r="BT196" i="25"/>
  <c r="CD196" i="25"/>
  <c r="BV196" i="25" s="1"/>
  <c r="BY196" i="25" s="1"/>
  <c r="BZ196" i="25" s="1"/>
  <c r="CA196" i="25" s="1"/>
  <c r="BT183" i="25"/>
  <c r="AY202" i="25"/>
  <c r="BB202" i="25"/>
  <c r="CG201" i="25"/>
  <c r="BY242" i="25"/>
  <c r="BZ242" i="25" s="1"/>
  <c r="CA242" i="25" s="1"/>
  <c r="BY258" i="25"/>
  <c r="BZ258" i="25" s="1"/>
  <c r="CA258" i="25" s="1"/>
  <c r="BY233" i="25"/>
  <c r="BZ233" i="25" s="1"/>
  <c r="CA233" i="25" s="1"/>
  <c r="CH203" i="25"/>
  <c r="CD203" i="25"/>
  <c r="BV203" i="25" s="1"/>
  <c r="CC203" i="25"/>
  <c r="BX203" i="25" s="1"/>
  <c r="BB196" i="25"/>
  <c r="BC196" i="25" s="1"/>
  <c r="BG196" i="25" s="1"/>
  <c r="BH196" i="25" s="1"/>
  <c r="BK196" i="25" s="1"/>
  <c r="BQ183" i="25"/>
  <c r="BP183" i="25" s="1"/>
  <c r="BY256" i="25"/>
  <c r="BZ256" i="25" s="1"/>
  <c r="CA256" i="25" s="1"/>
  <c r="BY217" i="25"/>
  <c r="BZ217" i="25" s="1"/>
  <c r="CA217" i="25" s="1"/>
  <c r="BY228" i="25"/>
  <c r="BZ228" i="25" s="1"/>
  <c r="CA228" i="25" s="1"/>
  <c r="BT202" i="25"/>
  <c r="CC201" i="25"/>
  <c r="BX201" i="25" s="1"/>
  <c r="CH201" i="25"/>
  <c r="CD201" i="25"/>
  <c r="BV201" i="25" s="1"/>
  <c r="BE201" i="25"/>
  <c r="BY241" i="25"/>
  <c r="BZ241" i="25" s="1"/>
  <c r="CA241" i="25" s="1"/>
  <c r="BY223" i="25"/>
  <c r="BZ223" i="25" s="1"/>
  <c r="CA223" i="25" s="1"/>
  <c r="BY222" i="25"/>
  <c r="BZ222" i="25" s="1"/>
  <c r="CA222" i="25" s="1"/>
  <c r="CD177" i="25"/>
  <c r="BV177" i="25" s="1"/>
  <c r="BY177" i="25" s="1"/>
  <c r="BZ177" i="25" s="1"/>
  <c r="CA177" i="25" s="1"/>
  <c r="CH177" i="25"/>
  <c r="BE218" i="25"/>
  <c r="CG218" i="25"/>
  <c r="BY255" i="25"/>
  <c r="BZ255" i="25" s="1"/>
  <c r="CA255" i="25" s="1"/>
  <c r="BE227" i="25"/>
  <c r="CG227" i="25"/>
  <c r="BY234" i="25"/>
  <c r="BZ234" i="25" s="1"/>
  <c r="CA234" i="25" s="1"/>
  <c r="BE246" i="25"/>
  <c r="CG246" i="25"/>
  <c r="BT214" i="25"/>
  <c r="BT250" i="25"/>
  <c r="BT219" i="25"/>
  <c r="AY221" i="25"/>
  <c r="BT215" i="25"/>
  <c r="BP215" i="25"/>
  <c r="CH257" i="25"/>
  <c r="CD257" i="25"/>
  <c r="BV257" i="25" s="1"/>
  <c r="BN216" i="25"/>
  <c r="BO216" i="25" s="1"/>
  <c r="BR216" i="25"/>
  <c r="BQ216" i="25" s="1"/>
  <c r="BP216" i="25" s="1"/>
  <c r="BB216" i="25"/>
  <c r="BF241" i="25"/>
  <c r="BI241" i="25" s="1"/>
  <c r="BJ241" i="25" s="1"/>
  <c r="BF238" i="25"/>
  <c r="BI238" i="25" s="1"/>
  <c r="BJ238" i="25" s="1"/>
  <c r="BF233" i="25"/>
  <c r="BI233" i="25" s="1"/>
  <c r="BJ233" i="25" s="1"/>
  <c r="BE244" i="25"/>
  <c r="BE259" i="25"/>
  <c r="BB220" i="25"/>
  <c r="BW211" i="25"/>
  <c r="BY211" i="25" s="1"/>
  <c r="BZ211" i="25" s="1"/>
  <c r="CA211" i="25" s="1"/>
  <c r="BY218" i="25"/>
  <c r="BZ218" i="25" s="1"/>
  <c r="CA218" i="25" s="1"/>
  <c r="BF255" i="25"/>
  <c r="BI255" i="25" s="1"/>
  <c r="BJ255" i="25" s="1"/>
  <c r="BE255" i="25"/>
  <c r="BG255" i="25" s="1"/>
  <c r="BH255" i="25" s="1"/>
  <c r="BK255" i="25" s="1"/>
  <c r="CG255" i="25"/>
  <c r="BY227" i="25"/>
  <c r="BZ227" i="25" s="1"/>
  <c r="CA227" i="25" s="1"/>
  <c r="BF234" i="25"/>
  <c r="BI234" i="25" s="1"/>
  <c r="BJ234" i="25" s="1"/>
  <c r="BE234" i="25"/>
  <c r="BG234" i="25" s="1"/>
  <c r="BH234" i="25" s="1"/>
  <c r="BK234" i="25" s="1"/>
  <c r="CG234" i="25"/>
  <c r="BY246" i="25"/>
  <c r="BZ246" i="25" s="1"/>
  <c r="CA246" i="25" s="1"/>
  <c r="BB214" i="25"/>
  <c r="BT221" i="25"/>
  <c r="BP221" i="25"/>
  <c r="AY215" i="25"/>
  <c r="BB215" i="25"/>
  <c r="BN215" i="25"/>
  <c r="BO215" i="25" s="1"/>
  <c r="BE230" i="25"/>
  <c r="BY230" i="25"/>
  <c r="BZ230" i="25" s="1"/>
  <c r="CA230" i="25" s="1"/>
  <c r="CD178" i="25"/>
  <c r="BV178" i="25" s="1"/>
  <c r="CD194" i="25"/>
  <c r="BV194" i="25" s="1"/>
  <c r="BP182" i="25"/>
  <c r="BP209" i="25"/>
  <c r="BP240" i="25"/>
  <c r="BE213" i="25"/>
  <c r="CG213" i="25"/>
  <c r="BY244" i="25"/>
  <c r="BZ244" i="25" s="1"/>
  <c r="CA244" i="25" s="1"/>
  <c r="BE254" i="25"/>
  <c r="CG254" i="25"/>
  <c r="BY259" i="25"/>
  <c r="BZ259" i="25" s="1"/>
  <c r="CA259" i="25" s="1"/>
  <c r="BF351" i="25"/>
  <c r="BI351" i="25" s="1"/>
  <c r="BJ351" i="25" s="1"/>
  <c r="BE351" i="25"/>
  <c r="BG351" i="25" s="1"/>
  <c r="BH351" i="25" s="1"/>
  <c r="BK351" i="25" s="1"/>
  <c r="CG351" i="25"/>
  <c r="BN214" i="25"/>
  <c r="BO214" i="25" s="1"/>
  <c r="BR250" i="25"/>
  <c r="BQ250" i="25" s="1"/>
  <c r="BP250" i="25" s="1"/>
  <c r="BR219" i="25"/>
  <c r="BQ219" i="25" s="1"/>
  <c r="BP219" i="25" s="1"/>
  <c r="BT220" i="25"/>
  <c r="CH264" i="25"/>
  <c r="CD264" i="25"/>
  <c r="BV264" i="25" s="1"/>
  <c r="BY264" i="25" s="1"/>
  <c r="BZ264" i="25" s="1"/>
  <c r="CA264" i="25" s="1"/>
  <c r="BE257" i="25"/>
  <c r="BG257" i="25" s="1"/>
  <c r="BH257" i="25" s="1"/>
  <c r="BK257" i="25" s="1"/>
  <c r="CC257" i="25"/>
  <c r="BX257" i="25" s="1"/>
  <c r="BT216" i="25"/>
  <c r="BC290" i="25"/>
  <c r="BG290" i="25" s="1"/>
  <c r="BH290" i="25" s="1"/>
  <c r="BK290" i="25" s="1"/>
  <c r="BF290" i="25"/>
  <c r="BI290" i="25" s="1"/>
  <c r="BJ290" i="25" s="1"/>
  <c r="BC306" i="25"/>
  <c r="BG306" i="25" s="1"/>
  <c r="BH306" i="25" s="1"/>
  <c r="BK306" i="25" s="1"/>
  <c r="BF306" i="25"/>
  <c r="BI306" i="25" s="1"/>
  <c r="BJ306" i="25" s="1"/>
  <c r="BF267" i="25"/>
  <c r="BI267" i="25" s="1"/>
  <c r="BJ267" i="25" s="1"/>
  <c r="BE267" i="25"/>
  <c r="BE279" i="25"/>
  <c r="BE271" i="25"/>
  <c r="BE277" i="25"/>
  <c r="BE266" i="25"/>
  <c r="BE274" i="25"/>
  <c r="BE268" i="25"/>
  <c r="BE270" i="25"/>
  <c r="BE278" i="25"/>
  <c r="BG278" i="25" s="1"/>
  <c r="BH278" i="25" s="1"/>
  <c r="BK278" i="25" s="1"/>
  <c r="BE281" i="25"/>
  <c r="BE283" i="25"/>
  <c r="BF287" i="25"/>
  <c r="BI287" i="25" s="1"/>
  <c r="BJ287" i="25" s="1"/>
  <c r="BE287" i="25"/>
  <c r="BG287" i="25" s="1"/>
  <c r="BH287" i="25" s="1"/>
  <c r="BK287" i="25" s="1"/>
  <c r="BE280" i="25"/>
  <c r="BF286" i="25"/>
  <c r="BI286" i="25" s="1"/>
  <c r="BJ286" i="25" s="1"/>
  <c r="BE286" i="25"/>
  <c r="BE282" i="25"/>
  <c r="BE284" i="25"/>
  <c r="BE285" i="25"/>
  <c r="BT291" i="25"/>
  <c r="BF348" i="25"/>
  <c r="BI348" i="25" s="1"/>
  <c r="BJ348" i="25" s="1"/>
  <c r="BE226" i="25"/>
  <c r="BB230" i="25"/>
  <c r="BC230" i="25" s="1"/>
  <c r="BY267" i="25"/>
  <c r="BZ267" i="25" s="1"/>
  <c r="CA267" i="25" s="1"/>
  <c r="BY279" i="25"/>
  <c r="BZ279" i="25" s="1"/>
  <c r="CA279" i="25" s="1"/>
  <c r="BY277" i="25"/>
  <c r="BZ277" i="25" s="1"/>
  <c r="CA277" i="25" s="1"/>
  <c r="BY266" i="25"/>
  <c r="BZ266" i="25" s="1"/>
  <c r="CA266" i="25" s="1"/>
  <c r="BY274" i="25"/>
  <c r="BZ274" i="25" s="1"/>
  <c r="CA274" i="25" s="1"/>
  <c r="BY270" i="25"/>
  <c r="BZ270" i="25" s="1"/>
  <c r="CA270" i="25" s="1"/>
  <c r="BY281" i="25"/>
  <c r="BZ281" i="25" s="1"/>
  <c r="CA281" i="25" s="1"/>
  <c r="BY283" i="25"/>
  <c r="BZ283" i="25" s="1"/>
  <c r="CA283" i="25" s="1"/>
  <c r="BY287" i="25"/>
  <c r="BZ287" i="25" s="1"/>
  <c r="CA287" i="25" s="1"/>
  <c r="BY280" i="25"/>
  <c r="BZ280" i="25" s="1"/>
  <c r="CA280" i="25" s="1"/>
  <c r="BY286" i="25"/>
  <c r="BZ286" i="25" s="1"/>
  <c r="CA286" i="25" s="1"/>
  <c r="BY282" i="25"/>
  <c r="BZ282" i="25" s="1"/>
  <c r="CA282" i="25" s="1"/>
  <c r="BY284" i="25"/>
  <c r="BZ284" i="25" s="1"/>
  <c r="CA284" i="25" s="1"/>
  <c r="BY285" i="25"/>
  <c r="BZ285" i="25" s="1"/>
  <c r="CA285" i="25" s="1"/>
  <c r="BN291" i="25"/>
  <c r="BO291" i="25" s="1"/>
  <c r="CH289" i="25"/>
  <c r="CD289" i="25"/>
  <c r="BV289" i="25" s="1"/>
  <c r="CC289" i="25"/>
  <c r="BX289" i="25" s="1"/>
  <c r="CH239" i="25"/>
  <c r="BB247" i="25"/>
  <c r="BC247" i="25" s="1"/>
  <c r="BG247" i="25" s="1"/>
  <c r="BH247" i="25" s="1"/>
  <c r="BK247" i="25" s="1"/>
  <c r="CG230" i="25"/>
  <c r="BB291" i="25"/>
  <c r="BR291" i="25"/>
  <c r="BQ291" i="25" s="1"/>
  <c r="BP291" i="25" s="1"/>
  <c r="BE289" i="25"/>
  <c r="BA293" i="25"/>
  <c r="BB293" i="25" s="1"/>
  <c r="BC293" i="25" s="1"/>
  <c r="BE293" i="25"/>
  <c r="BE347" i="25"/>
  <c r="BE348" i="25"/>
  <c r="BE212" i="25"/>
  <c r="BE308" i="25"/>
  <c r="CC308" i="25"/>
  <c r="BX308" i="25" s="1"/>
  <c r="BE316" i="25"/>
  <c r="CC316" i="25"/>
  <c r="BX316" i="25" s="1"/>
  <c r="BE309" i="25"/>
  <c r="CC309" i="25"/>
  <c r="BX309" i="25" s="1"/>
  <c r="BE288" i="25"/>
  <c r="CC288" i="25"/>
  <c r="BX288" i="25" s="1"/>
  <c r="BW369" i="25"/>
  <c r="BY369" i="25" s="1"/>
  <c r="BZ369" i="25" s="1"/>
  <c r="CA369" i="25" s="1"/>
  <c r="BE311" i="25"/>
  <c r="CC311" i="25"/>
  <c r="BX311" i="25" s="1"/>
  <c r="CD308" i="25"/>
  <c r="BV308" i="25" s="1"/>
  <c r="BE304" i="25"/>
  <c r="CC304" i="25"/>
  <c r="BX304" i="25" s="1"/>
  <c r="CD316" i="25"/>
  <c r="BV316" i="25" s="1"/>
  <c r="BE310" i="25"/>
  <c r="CC310" i="25"/>
  <c r="BX310" i="25" s="1"/>
  <c r="CD309" i="25"/>
  <c r="BV309" i="25" s="1"/>
  <c r="BE307" i="25"/>
  <c r="CC307" i="25"/>
  <c r="BX307" i="25" s="1"/>
  <c r="BE320" i="25"/>
  <c r="BE332" i="25"/>
  <c r="BE326" i="25"/>
  <c r="BE338" i="25"/>
  <c r="BE329" i="25"/>
  <c r="BE321" i="25"/>
  <c r="BE337" i="25"/>
  <c r="BE328" i="25"/>
  <c r="BE336" i="25"/>
  <c r="BE327" i="25"/>
  <c r="BE318" i="25"/>
  <c r="BE323" i="25"/>
  <c r="BE322" i="25"/>
  <c r="BE325" i="25"/>
  <c r="BE324" i="25"/>
  <c r="BT330" i="25"/>
  <c r="BF357" i="25"/>
  <c r="BI357" i="25" s="1"/>
  <c r="BJ357" i="25" s="1"/>
  <c r="BC357" i="25"/>
  <c r="BG357" i="25" s="1"/>
  <c r="BH357" i="25" s="1"/>
  <c r="BK357" i="25" s="1"/>
  <c r="BY354" i="25"/>
  <c r="BZ354" i="25" s="1"/>
  <c r="CA354" i="25" s="1"/>
  <c r="BY355" i="25"/>
  <c r="BZ355" i="25" s="1"/>
  <c r="CA355" i="25" s="1"/>
  <c r="CD288" i="25"/>
  <c r="BV288" i="25" s="1"/>
  <c r="CD311" i="25"/>
  <c r="BV311" i="25" s="1"/>
  <c r="CD304" i="25"/>
  <c r="BV304" i="25" s="1"/>
  <c r="CD310" i="25"/>
  <c r="BV310" i="25" s="1"/>
  <c r="CD307" i="25"/>
  <c r="BV307" i="25" s="1"/>
  <c r="BT324" i="25"/>
  <c r="BB330" i="25"/>
  <c r="BY319" i="25"/>
  <c r="BZ319" i="25" s="1"/>
  <c r="CA319" i="25" s="1"/>
  <c r="BC377" i="25"/>
  <c r="BG377" i="25" s="1"/>
  <c r="BH377" i="25" s="1"/>
  <c r="BK377" i="25" s="1"/>
  <c r="BY383" i="25"/>
  <c r="BZ383" i="25" s="1"/>
  <c r="CA383" i="25" s="1"/>
  <c r="BY334" i="25"/>
  <c r="BZ334" i="25" s="1"/>
  <c r="CA334" i="25" s="1"/>
  <c r="BE382" i="25"/>
  <c r="BE374" i="25"/>
  <c r="BY386" i="25"/>
  <c r="BZ386" i="25" s="1"/>
  <c r="CA386" i="25" s="1"/>
  <c r="BF339" i="25"/>
  <c r="BI339" i="25" s="1"/>
  <c r="BJ339" i="25" s="1"/>
  <c r="BE339" i="25"/>
  <c r="BY339" i="25"/>
  <c r="BZ339" i="25" s="1"/>
  <c r="CA339" i="25" s="1"/>
  <c r="BE381" i="25"/>
  <c r="CG381" i="25"/>
  <c r="BY385" i="25"/>
  <c r="BZ385" i="25" s="1"/>
  <c r="CA385" i="25" s="1"/>
  <c r="BE353" i="25"/>
  <c r="CG353" i="25"/>
  <c r="BY382" i="25"/>
  <c r="BZ382" i="25" s="1"/>
  <c r="CA382" i="25" s="1"/>
  <c r="BE366" i="25"/>
  <c r="BE386" i="25"/>
  <c r="BE385" i="25"/>
  <c r="CG385" i="25"/>
  <c r="BY353" i="25"/>
  <c r="BZ353" i="25" s="1"/>
  <c r="CA353" i="25" s="1"/>
  <c r="BE380" i="25"/>
  <c r="BE340" i="25"/>
  <c r="BS375" i="25"/>
  <c r="BR300" i="25"/>
  <c r="BQ300" i="25" s="1"/>
  <c r="BP300" i="25" s="1"/>
  <c r="BT365" i="25"/>
  <c r="BT378" i="25"/>
  <c r="BT300" i="25"/>
  <c r="BT349" i="25"/>
  <c r="BT404" i="25"/>
  <c r="BE341" i="25"/>
  <c r="BE350" i="25"/>
  <c r="BE356" i="25"/>
  <c r="BE359" i="25"/>
  <c r="BE358" i="25"/>
  <c r="BE387" i="25"/>
  <c r="BE346" i="25"/>
  <c r="BE343" i="25"/>
  <c r="BE344" i="25"/>
  <c r="BE237" i="25"/>
  <c r="BE294" i="25"/>
  <c r="BE296" i="25"/>
  <c r="BE297" i="25"/>
  <c r="BE298" i="25"/>
  <c r="BE299" i="25"/>
  <c r="BE375" i="25"/>
  <c r="BE376" i="25"/>
  <c r="BT379" i="25"/>
  <c r="BB300" i="25"/>
  <c r="BT303" i="25"/>
  <c r="BB349" i="25"/>
  <c r="BR349" i="25"/>
  <c r="BQ349" i="25" s="1"/>
  <c r="BP349" i="25" s="1"/>
  <c r="BW349" i="25"/>
  <c r="BY349" i="25" s="1"/>
  <c r="BZ349" i="25" s="1"/>
  <c r="CA349" i="25" s="1"/>
  <c r="BN404" i="25"/>
  <c r="BO404" i="25" s="1"/>
  <c r="BY404" i="25"/>
  <c r="BZ404" i="25" s="1"/>
  <c r="CA404" i="25" s="1"/>
  <c r="BY390" i="25"/>
  <c r="BZ390" i="25" s="1"/>
  <c r="CA390" i="25" s="1"/>
  <c r="BY410" i="25"/>
  <c r="BZ410" i="25" s="1"/>
  <c r="CA410" i="25" s="1"/>
  <c r="BB379" i="25"/>
  <c r="BR365" i="25"/>
  <c r="BQ365" i="25" s="1"/>
  <c r="BP365" i="25" s="1"/>
  <c r="BW365" i="25"/>
  <c r="BY365" i="25" s="1"/>
  <c r="BZ365" i="25" s="1"/>
  <c r="CA365" i="25" s="1"/>
  <c r="BT302" i="25"/>
  <c r="BB303" i="25"/>
  <c r="BN378" i="25"/>
  <c r="BO378" i="25" s="1"/>
  <c r="BB404" i="25"/>
  <c r="BR404" i="25"/>
  <c r="BQ404" i="25" s="1"/>
  <c r="BP404" i="25" s="1"/>
  <c r="BT413" i="25"/>
  <c r="BT392" i="25"/>
  <c r="BT393" i="25"/>
  <c r="BT394" i="25"/>
  <c r="BT411" i="25"/>
  <c r="BT396" i="25"/>
  <c r="BT398" i="25"/>
  <c r="BT421" i="25"/>
  <c r="BT420" i="25"/>
  <c r="BB406" i="25"/>
  <c r="BT388" i="25"/>
  <c r="BW388" i="25"/>
  <c r="BY388" i="25" s="1"/>
  <c r="BZ388" i="25" s="1"/>
  <c r="CA388" i="25" s="1"/>
  <c r="BB409" i="25"/>
  <c r="BT415" i="25"/>
  <c r="BW415" i="25"/>
  <c r="BY415" i="25" s="1"/>
  <c r="BZ415" i="25" s="1"/>
  <c r="CA415" i="25" s="1"/>
  <c r="BF390" i="25"/>
  <c r="BI390" i="25" s="1"/>
  <c r="BJ390" i="25" s="1"/>
  <c r="BN420" i="25"/>
  <c r="BO420" i="25" s="1"/>
  <c r="BR388" i="25"/>
  <c r="BQ388" i="25" s="1"/>
  <c r="BP388" i="25" s="1"/>
  <c r="BT408" i="25"/>
  <c r="BW408" i="25"/>
  <c r="BY408" i="25" s="1"/>
  <c r="BZ408" i="25" s="1"/>
  <c r="CA408" i="25" s="1"/>
  <c r="BR415" i="25"/>
  <c r="BQ415" i="25" s="1"/>
  <c r="BP415" i="25" s="1"/>
  <c r="BR410" i="25"/>
  <c r="BQ410" i="25" s="1"/>
  <c r="BP410" i="25" s="1"/>
  <c r="CG410" i="25"/>
  <c r="BB388" i="25"/>
  <c r="BR408" i="25"/>
  <c r="BQ408" i="25" s="1"/>
  <c r="BP408" i="25" s="1"/>
  <c r="BB415" i="25"/>
  <c r="BT416" i="25"/>
  <c r="BN410" i="25"/>
  <c r="BO410" i="25" s="1"/>
  <c r="BR413" i="25"/>
  <c r="BQ413" i="25" s="1"/>
  <c r="BP413" i="25" s="1"/>
  <c r="BR392" i="25"/>
  <c r="BQ392" i="25" s="1"/>
  <c r="BP392" i="25" s="1"/>
  <c r="BW392" i="25"/>
  <c r="BY392" i="25" s="1"/>
  <c r="BZ392" i="25" s="1"/>
  <c r="CA392" i="25" s="1"/>
  <c r="BR393" i="25"/>
  <c r="BQ393" i="25" s="1"/>
  <c r="BP393" i="25" s="1"/>
  <c r="BW393" i="25"/>
  <c r="BY393" i="25" s="1"/>
  <c r="BZ393" i="25" s="1"/>
  <c r="CA393" i="25" s="1"/>
  <c r="BR394" i="25"/>
  <c r="BQ394" i="25" s="1"/>
  <c r="BP394" i="25" s="1"/>
  <c r="BW394" i="25"/>
  <c r="BY394" i="25" s="1"/>
  <c r="BZ394" i="25" s="1"/>
  <c r="CA394" i="25" s="1"/>
  <c r="BR411" i="25"/>
  <c r="BQ411" i="25" s="1"/>
  <c r="BP411" i="25" s="1"/>
  <c r="BW411" i="25"/>
  <c r="BY411" i="25" s="1"/>
  <c r="BZ411" i="25" s="1"/>
  <c r="CA411" i="25" s="1"/>
  <c r="BR396" i="25"/>
  <c r="BQ396" i="25" s="1"/>
  <c r="BP396" i="25" s="1"/>
  <c r="BW396" i="25"/>
  <c r="BY396" i="25" s="1"/>
  <c r="BZ396" i="25" s="1"/>
  <c r="CA396" i="25" s="1"/>
  <c r="BR398" i="25"/>
  <c r="BQ398" i="25" s="1"/>
  <c r="BP398" i="25" s="1"/>
  <c r="BW398" i="25"/>
  <c r="BY398" i="25" s="1"/>
  <c r="BZ398" i="25" s="1"/>
  <c r="CA398" i="25" s="1"/>
  <c r="BR421" i="25"/>
  <c r="BQ421" i="25" s="1"/>
  <c r="BP421" i="25" s="1"/>
  <c r="BW421" i="25"/>
  <c r="BY421" i="25" s="1"/>
  <c r="BZ421" i="25" s="1"/>
  <c r="CA421" i="25" s="1"/>
  <c r="BT406" i="25"/>
  <c r="BW406" i="25"/>
  <c r="BY406" i="25" s="1"/>
  <c r="BZ406" i="25" s="1"/>
  <c r="CA406" i="25" s="1"/>
  <c r="BT409" i="25"/>
  <c r="BB416" i="25"/>
  <c r="BT419" i="25"/>
  <c r="BW407" i="25"/>
  <c r="BY407" i="25" s="1"/>
  <c r="BZ407" i="25" s="1"/>
  <c r="CA407" i="25" s="1"/>
  <c r="BW400" i="25"/>
  <c r="BY400" i="25" s="1"/>
  <c r="BZ400" i="25" s="1"/>
  <c r="CA400" i="25" s="1"/>
  <c r="BW399" i="25"/>
  <c r="BY399" i="25" s="1"/>
  <c r="BZ399" i="25" s="1"/>
  <c r="CA399" i="25" s="1"/>
  <c r="BT418" i="25"/>
  <c r="BB419" i="25"/>
  <c r="BY389" i="25"/>
  <c r="BZ389" i="25" s="1"/>
  <c r="CA389" i="25" s="1"/>
  <c r="BY405" i="25"/>
  <c r="BZ405" i="25" s="1"/>
  <c r="CA405" i="25" s="1"/>
  <c r="BB418" i="25"/>
  <c r="BR419" i="25"/>
  <c r="BQ419" i="25" s="1"/>
  <c r="BP419" i="25" s="1"/>
  <c r="BW419" i="25"/>
  <c r="BY419" i="25" s="1"/>
  <c r="BZ419" i="25" s="1"/>
  <c r="CA419" i="25" s="1"/>
  <c r="BY66" i="25"/>
  <c r="BZ66" i="25" s="1"/>
  <c r="CA66" i="25" s="1"/>
  <c r="BR66" i="25"/>
  <c r="BQ66" i="25" s="1"/>
  <c r="BP66" i="25" s="1"/>
  <c r="BN66" i="25"/>
  <c r="BO66" i="25" s="1"/>
  <c r="BE70" i="25"/>
  <c r="CG70" i="25"/>
  <c r="BE63" i="25"/>
  <c r="CG63" i="25"/>
  <c r="BY70" i="25"/>
  <c r="BZ70" i="25" s="1"/>
  <c r="CA70" i="25" s="1"/>
  <c r="BE71" i="25"/>
  <c r="BY144" i="25"/>
  <c r="BZ144" i="25" s="1"/>
  <c r="CA144" i="25" s="1"/>
  <c r="BE119" i="25"/>
  <c r="BF380" i="25" l="1"/>
  <c r="BI380" i="25" s="1"/>
  <c r="BJ380" i="25" s="1"/>
  <c r="BG311" i="25"/>
  <c r="BH311" i="25" s="1"/>
  <c r="BK311" i="25" s="1"/>
  <c r="BF350" i="25"/>
  <c r="BI350" i="25" s="1"/>
  <c r="BJ350" i="25" s="1"/>
  <c r="BG271" i="25"/>
  <c r="BH271" i="25" s="1"/>
  <c r="BK271" i="25" s="1"/>
  <c r="BC191" i="25"/>
  <c r="BG191" i="25" s="1"/>
  <c r="BH191" i="25" s="1"/>
  <c r="BK191" i="25" s="1"/>
  <c r="BF302" i="25"/>
  <c r="BI302" i="25" s="1"/>
  <c r="BJ302" i="25" s="1"/>
  <c r="BG323" i="25"/>
  <c r="BH323" i="25" s="1"/>
  <c r="BK323" i="25" s="1"/>
  <c r="BF280" i="25"/>
  <c r="BI280" i="25" s="1"/>
  <c r="BJ280" i="25" s="1"/>
  <c r="BG281" i="25"/>
  <c r="BH281" i="25" s="1"/>
  <c r="BK281" i="25" s="1"/>
  <c r="BC55" i="25"/>
  <c r="BG55" i="25" s="1"/>
  <c r="BH55" i="25" s="1"/>
  <c r="BK55" i="25" s="1"/>
  <c r="BG259" i="25"/>
  <c r="BH259" i="25" s="1"/>
  <c r="BK259" i="25" s="1"/>
  <c r="BF259" i="25"/>
  <c r="BI259" i="25" s="1"/>
  <c r="BJ259" i="25" s="1"/>
  <c r="BF228" i="25"/>
  <c r="BI228" i="25" s="1"/>
  <c r="BJ228" i="25" s="1"/>
  <c r="BF278" i="25"/>
  <c r="BI278" i="25" s="1"/>
  <c r="BJ278" i="25" s="1"/>
  <c r="BF274" i="25"/>
  <c r="BI274" i="25" s="1"/>
  <c r="BJ274" i="25" s="1"/>
  <c r="BF271" i="25"/>
  <c r="BI271" i="25" s="1"/>
  <c r="BJ271" i="25" s="1"/>
  <c r="BF323" i="25"/>
  <c r="BI323" i="25" s="1"/>
  <c r="BJ323" i="25" s="1"/>
  <c r="BF257" i="25"/>
  <c r="BI257" i="25" s="1"/>
  <c r="BJ257" i="25" s="1"/>
  <c r="BG244" i="25"/>
  <c r="BH244" i="25" s="1"/>
  <c r="BK244" i="25" s="1"/>
  <c r="BC161" i="25"/>
  <c r="BG161" i="25" s="1"/>
  <c r="BH161" i="25" s="1"/>
  <c r="BK161" i="25" s="1"/>
  <c r="BC41" i="25"/>
  <c r="BG41" i="25" s="1"/>
  <c r="BH41" i="25" s="1"/>
  <c r="BK41" i="25" s="1"/>
  <c r="BC115" i="25"/>
  <c r="BG115" i="25" s="1"/>
  <c r="BH115" i="25" s="1"/>
  <c r="BK115" i="25" s="1"/>
  <c r="BC413" i="25"/>
  <c r="BG413" i="25" s="1"/>
  <c r="BH413" i="25" s="1"/>
  <c r="BK413" i="25" s="1"/>
  <c r="BC367" i="25"/>
  <c r="BG367" i="25" s="1"/>
  <c r="BH367" i="25" s="1"/>
  <c r="BK367" i="25" s="1"/>
  <c r="BF372" i="25"/>
  <c r="BI372" i="25" s="1"/>
  <c r="BJ372" i="25" s="1"/>
  <c r="BC370" i="25"/>
  <c r="BG370" i="25" s="1"/>
  <c r="BH370" i="25" s="1"/>
  <c r="BK370" i="25" s="1"/>
  <c r="BC53" i="25"/>
  <c r="BG53" i="25" s="1"/>
  <c r="BH53" i="25" s="1"/>
  <c r="BK53" i="25" s="1"/>
  <c r="BF313" i="25"/>
  <c r="BI313" i="25" s="1"/>
  <c r="BJ313" i="25" s="1"/>
  <c r="BF229" i="25"/>
  <c r="BI229" i="25" s="1"/>
  <c r="BJ229" i="25" s="1"/>
  <c r="BG254" i="25"/>
  <c r="BH254" i="25" s="1"/>
  <c r="BK254" i="25" s="1"/>
  <c r="BF244" i="25"/>
  <c r="BI244" i="25" s="1"/>
  <c r="BJ244" i="25" s="1"/>
  <c r="BF276" i="25"/>
  <c r="BI276" i="25" s="1"/>
  <c r="BJ276" i="25" s="1"/>
  <c r="BC164" i="25"/>
  <c r="BG164" i="25" s="1"/>
  <c r="BH164" i="25" s="1"/>
  <c r="BK164" i="25" s="1"/>
  <c r="BC57" i="25"/>
  <c r="BG57" i="25" s="1"/>
  <c r="BH57" i="25" s="1"/>
  <c r="BK57" i="25" s="1"/>
  <c r="BC342" i="25"/>
  <c r="BG342" i="25" s="1"/>
  <c r="BH342" i="25" s="1"/>
  <c r="BK342" i="25" s="1"/>
  <c r="BF35" i="25"/>
  <c r="BI35" i="25" s="1"/>
  <c r="BJ35" i="25" s="1"/>
  <c r="BG350" i="25"/>
  <c r="BH350" i="25" s="1"/>
  <c r="BK350" i="25" s="1"/>
  <c r="BC331" i="25"/>
  <c r="BG331" i="25" s="1"/>
  <c r="BH331" i="25" s="1"/>
  <c r="BK331" i="25" s="1"/>
  <c r="BG322" i="25"/>
  <c r="BH322" i="25" s="1"/>
  <c r="BK322" i="25" s="1"/>
  <c r="BF282" i="25"/>
  <c r="BI282" i="25" s="1"/>
  <c r="BJ282" i="25" s="1"/>
  <c r="BF254" i="25"/>
  <c r="BI254" i="25" s="1"/>
  <c r="BJ254" i="25" s="1"/>
  <c r="BF211" i="25"/>
  <c r="BI211" i="25" s="1"/>
  <c r="BJ211" i="25" s="1"/>
  <c r="BF189" i="25"/>
  <c r="BI189" i="25" s="1"/>
  <c r="BJ189" i="25" s="1"/>
  <c r="BF84" i="25"/>
  <c r="BI84" i="25" s="1"/>
  <c r="BJ84" i="25" s="1"/>
  <c r="BC163" i="25"/>
  <c r="BG163" i="25" s="1"/>
  <c r="BH163" i="25" s="1"/>
  <c r="BK163" i="25" s="1"/>
  <c r="BC160" i="25"/>
  <c r="BG160" i="25" s="1"/>
  <c r="BH160" i="25" s="1"/>
  <c r="BK160" i="25" s="1"/>
  <c r="BG30" i="25"/>
  <c r="BH30" i="25" s="1"/>
  <c r="BK30" i="25" s="1"/>
  <c r="BF322" i="25"/>
  <c r="BI322" i="25" s="1"/>
  <c r="BJ322" i="25" s="1"/>
  <c r="BG341" i="25"/>
  <c r="BH341" i="25" s="1"/>
  <c r="BK341" i="25" s="1"/>
  <c r="BG338" i="25"/>
  <c r="BH338" i="25" s="1"/>
  <c r="BK338" i="25" s="1"/>
  <c r="BF232" i="25"/>
  <c r="BI232" i="25" s="1"/>
  <c r="BJ232" i="25" s="1"/>
  <c r="BC165" i="25"/>
  <c r="BG165" i="25" s="1"/>
  <c r="BH165" i="25" s="1"/>
  <c r="BK165" i="25" s="1"/>
  <c r="BC167" i="25"/>
  <c r="BG167" i="25" s="1"/>
  <c r="BH167" i="25" s="1"/>
  <c r="BK167" i="25" s="1"/>
  <c r="BG336" i="25"/>
  <c r="BH336" i="25" s="1"/>
  <c r="BK336" i="25" s="1"/>
  <c r="BG320" i="25"/>
  <c r="BH320" i="25" s="1"/>
  <c r="BK320" i="25" s="1"/>
  <c r="BG266" i="25"/>
  <c r="BH266" i="25" s="1"/>
  <c r="BK266" i="25" s="1"/>
  <c r="BC15" i="25"/>
  <c r="BG15" i="25" s="1"/>
  <c r="BH15" i="25" s="1"/>
  <c r="BK15" i="25" s="1"/>
  <c r="BF400" i="25"/>
  <c r="BI400" i="25" s="1"/>
  <c r="BJ400" i="25" s="1"/>
  <c r="BC312" i="25"/>
  <c r="BG312" i="25" s="1"/>
  <c r="BH312" i="25" s="1"/>
  <c r="BK312" i="25" s="1"/>
  <c r="BF266" i="25"/>
  <c r="BI266" i="25" s="1"/>
  <c r="BJ266" i="25" s="1"/>
  <c r="BF338" i="25"/>
  <c r="BI338" i="25" s="1"/>
  <c r="BJ338" i="25" s="1"/>
  <c r="BG380" i="25"/>
  <c r="BH380" i="25" s="1"/>
  <c r="BK380" i="25" s="1"/>
  <c r="BG286" i="25"/>
  <c r="BH286" i="25" s="1"/>
  <c r="BK286" i="25" s="1"/>
  <c r="BG267" i="25"/>
  <c r="BH267" i="25" s="1"/>
  <c r="BK267" i="25" s="1"/>
  <c r="BF193" i="25"/>
  <c r="BI193" i="25" s="1"/>
  <c r="BJ193" i="25" s="1"/>
  <c r="BG141" i="25"/>
  <c r="BH141" i="25" s="1"/>
  <c r="BK141" i="25" s="1"/>
  <c r="BC67" i="25"/>
  <c r="BG67" i="25" s="1"/>
  <c r="BH67" i="25" s="1"/>
  <c r="BK67" i="25" s="1"/>
  <c r="BF30" i="25"/>
  <c r="BI30" i="25" s="1"/>
  <c r="BJ30" i="25" s="1"/>
  <c r="BF320" i="25"/>
  <c r="BI320" i="25" s="1"/>
  <c r="BJ320" i="25" s="1"/>
  <c r="BF168" i="25"/>
  <c r="BI168" i="25" s="1"/>
  <c r="BJ168" i="25" s="1"/>
  <c r="BG381" i="25"/>
  <c r="BH381" i="25" s="1"/>
  <c r="BK381" i="25" s="1"/>
  <c r="BF381" i="25"/>
  <c r="BI381" i="25" s="1"/>
  <c r="BJ381" i="25" s="1"/>
  <c r="BF99" i="25"/>
  <c r="BI99" i="25" s="1"/>
  <c r="BJ99" i="25" s="1"/>
  <c r="BY181" i="25"/>
  <c r="BZ181" i="25" s="1"/>
  <c r="CA181" i="25" s="1"/>
  <c r="BF231" i="25"/>
  <c r="BI231" i="25" s="1"/>
  <c r="BJ231" i="25" s="1"/>
  <c r="BF283" i="25"/>
  <c r="BI283" i="25" s="1"/>
  <c r="BJ283" i="25" s="1"/>
  <c r="BF124" i="25"/>
  <c r="BI124" i="25" s="1"/>
  <c r="BJ124" i="25" s="1"/>
  <c r="BG9" i="25"/>
  <c r="BH9" i="25" s="1"/>
  <c r="BK9" i="25" s="1"/>
  <c r="BC182" i="25"/>
  <c r="BG182" i="25" s="1"/>
  <c r="BH182" i="25" s="1"/>
  <c r="BK182" i="25" s="1"/>
  <c r="BF285" i="25"/>
  <c r="BI285" i="25" s="1"/>
  <c r="BJ285" i="25" s="1"/>
  <c r="BF147" i="25"/>
  <c r="BI147" i="25" s="1"/>
  <c r="BJ147" i="25" s="1"/>
  <c r="BF305" i="25"/>
  <c r="BI305" i="25" s="1"/>
  <c r="BJ305" i="25" s="1"/>
  <c r="BF127" i="25"/>
  <c r="BI127" i="25" s="1"/>
  <c r="BJ127" i="25" s="1"/>
  <c r="BF289" i="25"/>
  <c r="BI289" i="25" s="1"/>
  <c r="BJ289" i="25" s="1"/>
  <c r="BF268" i="25"/>
  <c r="BI268" i="25" s="1"/>
  <c r="BJ268" i="25" s="1"/>
  <c r="BF145" i="25"/>
  <c r="BI145" i="25" s="1"/>
  <c r="BJ145" i="25" s="1"/>
  <c r="BG212" i="25"/>
  <c r="BH212" i="25" s="1"/>
  <c r="BK212" i="25" s="1"/>
  <c r="BG289" i="25"/>
  <c r="BH289" i="25" s="1"/>
  <c r="BK289" i="25" s="1"/>
  <c r="BF212" i="25"/>
  <c r="BI212" i="25" s="1"/>
  <c r="BJ212" i="25" s="1"/>
  <c r="BF236" i="25"/>
  <c r="BI236" i="25" s="1"/>
  <c r="BJ236" i="25" s="1"/>
  <c r="BF150" i="25"/>
  <c r="BI150" i="25" s="1"/>
  <c r="BJ150" i="25" s="1"/>
  <c r="BC319" i="25"/>
  <c r="BG319" i="25" s="1"/>
  <c r="BH319" i="25" s="1"/>
  <c r="BK319" i="25" s="1"/>
  <c r="BF264" i="25"/>
  <c r="BI264" i="25" s="1"/>
  <c r="BJ264" i="25" s="1"/>
  <c r="BY199" i="25"/>
  <c r="BZ199" i="25" s="1"/>
  <c r="CA199" i="25" s="1"/>
  <c r="BF183" i="25"/>
  <c r="BI183" i="25" s="1"/>
  <c r="BJ183" i="25" s="1"/>
  <c r="BF107" i="25"/>
  <c r="BI107" i="25" s="1"/>
  <c r="BJ107" i="25" s="1"/>
  <c r="BF139" i="25"/>
  <c r="BI139" i="25" s="1"/>
  <c r="BJ139" i="25" s="1"/>
  <c r="BF336" i="25"/>
  <c r="BI336" i="25" s="1"/>
  <c r="BJ336" i="25" s="1"/>
  <c r="BY314" i="25"/>
  <c r="BZ314" i="25" s="1"/>
  <c r="CA314" i="25" s="1"/>
  <c r="BY183" i="25"/>
  <c r="BZ183" i="25" s="1"/>
  <c r="CA183" i="25" s="1"/>
  <c r="BG126" i="25"/>
  <c r="BH126" i="25" s="1"/>
  <c r="BK126" i="25" s="1"/>
  <c r="BC206" i="25"/>
  <c r="BG206" i="25" s="1"/>
  <c r="BH206" i="25" s="1"/>
  <c r="BK206" i="25" s="1"/>
  <c r="BF143" i="25"/>
  <c r="BI143" i="25" s="1"/>
  <c r="BJ143" i="25" s="1"/>
  <c r="BF119" i="25"/>
  <c r="BI119" i="25" s="1"/>
  <c r="BJ119" i="25" s="1"/>
  <c r="BF184" i="25"/>
  <c r="BI184" i="25" s="1"/>
  <c r="BJ184" i="25" s="1"/>
  <c r="BG139" i="25"/>
  <c r="BH139" i="25" s="1"/>
  <c r="BK139" i="25" s="1"/>
  <c r="BG150" i="25"/>
  <c r="BH150" i="25" s="1"/>
  <c r="BK150" i="25" s="1"/>
  <c r="BC208" i="25"/>
  <c r="BG208" i="25" s="1"/>
  <c r="BH208" i="25" s="1"/>
  <c r="BK208" i="25" s="1"/>
  <c r="BF141" i="25"/>
  <c r="BI141" i="25" s="1"/>
  <c r="BJ141" i="25" s="1"/>
  <c r="BF207" i="25"/>
  <c r="BI207" i="25" s="1"/>
  <c r="BJ207" i="25" s="1"/>
  <c r="BF130" i="25"/>
  <c r="BI130" i="25" s="1"/>
  <c r="BJ130" i="25" s="1"/>
  <c r="BF70" i="25"/>
  <c r="BI70" i="25" s="1"/>
  <c r="BJ70" i="25" s="1"/>
  <c r="BF405" i="25"/>
  <c r="BI405" i="25" s="1"/>
  <c r="BJ405" i="25" s="1"/>
  <c r="BF281" i="25"/>
  <c r="BI281" i="25" s="1"/>
  <c r="BJ281" i="25" s="1"/>
  <c r="BC117" i="25"/>
  <c r="BG117" i="25" s="1"/>
  <c r="BH117" i="25" s="1"/>
  <c r="BK117" i="25" s="1"/>
  <c r="BG142" i="25"/>
  <c r="BH142" i="25" s="1"/>
  <c r="BK142" i="25" s="1"/>
  <c r="BF27" i="25"/>
  <c r="BI27" i="25" s="1"/>
  <c r="BJ27" i="25" s="1"/>
  <c r="BG70" i="25"/>
  <c r="BH70" i="25" s="1"/>
  <c r="BK70" i="25" s="1"/>
  <c r="BG279" i="25"/>
  <c r="BH279" i="25" s="1"/>
  <c r="BK279" i="25" s="1"/>
  <c r="BG213" i="25"/>
  <c r="BH213" i="25" s="1"/>
  <c r="BK213" i="25" s="1"/>
  <c r="BG190" i="25"/>
  <c r="BH190" i="25" s="1"/>
  <c r="BK190" i="25" s="1"/>
  <c r="BC72" i="25"/>
  <c r="BG72" i="25" s="1"/>
  <c r="BH72" i="25" s="1"/>
  <c r="BK72" i="25" s="1"/>
  <c r="BC103" i="25"/>
  <c r="BG103" i="25" s="1"/>
  <c r="BH103" i="25" s="1"/>
  <c r="BK103" i="25" s="1"/>
  <c r="BF142" i="25"/>
  <c r="BI142" i="25" s="1"/>
  <c r="BJ142" i="25" s="1"/>
  <c r="BG325" i="25"/>
  <c r="BH325" i="25" s="1"/>
  <c r="BK325" i="25" s="1"/>
  <c r="BG285" i="25"/>
  <c r="BH285" i="25" s="1"/>
  <c r="BK285" i="25" s="1"/>
  <c r="BF279" i="25"/>
  <c r="BI279" i="25" s="1"/>
  <c r="BJ279" i="25" s="1"/>
  <c r="BC414" i="25"/>
  <c r="BG414" i="25" s="1"/>
  <c r="BH414" i="25" s="1"/>
  <c r="BK414" i="25" s="1"/>
  <c r="BG198" i="25"/>
  <c r="BH198" i="25" s="1"/>
  <c r="BK198" i="25" s="1"/>
  <c r="BF250" i="25"/>
  <c r="BI250" i="25" s="1"/>
  <c r="BJ250" i="25" s="1"/>
  <c r="BC334" i="25"/>
  <c r="BG334" i="25" s="1"/>
  <c r="BH334" i="25" s="1"/>
  <c r="BK334" i="25" s="1"/>
  <c r="BG274" i="25"/>
  <c r="BH274" i="25" s="1"/>
  <c r="BK274" i="25" s="1"/>
  <c r="BG59" i="25"/>
  <c r="BH59" i="25" s="1"/>
  <c r="BK59" i="25" s="1"/>
  <c r="BF325" i="25"/>
  <c r="BI325" i="25" s="1"/>
  <c r="BJ325" i="25" s="1"/>
  <c r="BF121" i="25"/>
  <c r="BI121" i="25" s="1"/>
  <c r="BJ121" i="25" s="1"/>
  <c r="BC269" i="25"/>
  <c r="BG269" i="25" s="1"/>
  <c r="BH269" i="25" s="1"/>
  <c r="BK269" i="25" s="1"/>
  <c r="BG304" i="25"/>
  <c r="BH304" i="25" s="1"/>
  <c r="BK304" i="25" s="1"/>
  <c r="BG309" i="25"/>
  <c r="BH309" i="25" s="1"/>
  <c r="BK309" i="25" s="1"/>
  <c r="BF270" i="25"/>
  <c r="BI270" i="25" s="1"/>
  <c r="BJ270" i="25" s="1"/>
  <c r="BF309" i="25"/>
  <c r="BI309" i="25" s="1"/>
  <c r="BJ309" i="25" s="1"/>
  <c r="BF199" i="25"/>
  <c r="BI199" i="25" s="1"/>
  <c r="BJ199" i="25" s="1"/>
  <c r="BC18" i="25"/>
  <c r="BG18" i="25" s="1"/>
  <c r="BH18" i="25" s="1"/>
  <c r="BK18" i="25" s="1"/>
  <c r="BC97" i="25"/>
  <c r="BG97" i="25" s="1"/>
  <c r="BH97" i="25" s="1"/>
  <c r="BK97" i="25" s="1"/>
  <c r="BC104" i="25"/>
  <c r="BG104" i="25" s="1"/>
  <c r="BH104" i="25" s="1"/>
  <c r="BK104" i="25" s="1"/>
  <c r="BG95" i="25"/>
  <c r="BH95" i="25" s="1"/>
  <c r="BK95" i="25" s="1"/>
  <c r="BF423" i="25"/>
  <c r="BI423" i="25" s="1"/>
  <c r="BJ423" i="25" s="1"/>
  <c r="BC295" i="25"/>
  <c r="BG295" i="25" s="1"/>
  <c r="BH295" i="25" s="1"/>
  <c r="BK295" i="25" s="1"/>
  <c r="BF133" i="25"/>
  <c r="BI133" i="25" s="1"/>
  <c r="BJ133" i="25" s="1"/>
  <c r="BF13" i="25"/>
  <c r="BI13" i="25" s="1"/>
  <c r="BJ13" i="25" s="1"/>
  <c r="BF34" i="25"/>
  <c r="BI34" i="25" s="1"/>
  <c r="BJ34" i="25" s="1"/>
  <c r="BG339" i="25"/>
  <c r="BH339" i="25" s="1"/>
  <c r="BK339" i="25" s="1"/>
  <c r="BF258" i="25"/>
  <c r="BI258" i="25" s="1"/>
  <c r="BJ258" i="25" s="1"/>
  <c r="BC221" i="25"/>
  <c r="BG221" i="25" s="1"/>
  <c r="BH221" i="25" s="1"/>
  <c r="BK221" i="25" s="1"/>
  <c r="BC102" i="25"/>
  <c r="BG102" i="25" s="1"/>
  <c r="BH102" i="25" s="1"/>
  <c r="BK102" i="25" s="1"/>
  <c r="BC335" i="25"/>
  <c r="BG335" i="25" s="1"/>
  <c r="BH335" i="25" s="1"/>
  <c r="BK335" i="25" s="1"/>
  <c r="BF219" i="25"/>
  <c r="BI219" i="25" s="1"/>
  <c r="BJ219" i="25" s="1"/>
  <c r="BG120" i="25"/>
  <c r="BH120" i="25" s="1"/>
  <c r="BK120" i="25" s="1"/>
  <c r="BC111" i="25"/>
  <c r="BG111" i="25" s="1"/>
  <c r="BH111" i="25" s="1"/>
  <c r="BK111" i="25" s="1"/>
  <c r="BF407" i="25"/>
  <c r="BI407" i="25" s="1"/>
  <c r="BJ407" i="25" s="1"/>
  <c r="BF378" i="25"/>
  <c r="BI378" i="25" s="1"/>
  <c r="BJ378" i="25" s="1"/>
  <c r="BG329" i="25"/>
  <c r="BH329" i="25" s="1"/>
  <c r="BK329" i="25" s="1"/>
  <c r="BG270" i="25"/>
  <c r="BH270" i="25" s="1"/>
  <c r="BK270" i="25" s="1"/>
  <c r="BF200" i="25"/>
  <c r="BI200" i="25" s="1"/>
  <c r="BJ200" i="25" s="1"/>
  <c r="BC77" i="25"/>
  <c r="BG77" i="25" s="1"/>
  <c r="BH77" i="25" s="1"/>
  <c r="BK77" i="25" s="1"/>
  <c r="BG29" i="25"/>
  <c r="BH29" i="25" s="1"/>
  <c r="BK29" i="25" s="1"/>
  <c r="BG133" i="25"/>
  <c r="BH133" i="25" s="1"/>
  <c r="BK133" i="25" s="1"/>
  <c r="BC265" i="25"/>
  <c r="BG265" i="25" s="1"/>
  <c r="BH265" i="25" s="1"/>
  <c r="BK265" i="25" s="1"/>
  <c r="BF36" i="25"/>
  <c r="BI36" i="25" s="1"/>
  <c r="BJ36" i="25" s="1"/>
  <c r="BF28" i="25"/>
  <c r="BI28" i="25" s="1"/>
  <c r="BJ28" i="25" s="1"/>
  <c r="BC402" i="25"/>
  <c r="BG402" i="25" s="1"/>
  <c r="BH402" i="25" s="1"/>
  <c r="BK402" i="25" s="1"/>
  <c r="BG20" i="25"/>
  <c r="BH20" i="25" s="1"/>
  <c r="BK20" i="25" s="1"/>
  <c r="BG28" i="25"/>
  <c r="BH28" i="25" s="1"/>
  <c r="BK28" i="25" s="1"/>
  <c r="BC179" i="25"/>
  <c r="BG179" i="25" s="1"/>
  <c r="BH179" i="25" s="1"/>
  <c r="BK179" i="25" s="1"/>
  <c r="BF62" i="25"/>
  <c r="BI62" i="25" s="1"/>
  <c r="BJ62" i="25" s="1"/>
  <c r="BC394" i="25"/>
  <c r="BG394" i="25" s="1"/>
  <c r="BH394" i="25" s="1"/>
  <c r="BK394" i="25" s="1"/>
  <c r="BG328" i="25"/>
  <c r="BH328" i="25" s="1"/>
  <c r="BK328" i="25" s="1"/>
  <c r="BF422" i="25"/>
  <c r="BI422" i="25" s="1"/>
  <c r="BJ422" i="25" s="1"/>
  <c r="BF408" i="25"/>
  <c r="BI408" i="25" s="1"/>
  <c r="BJ408" i="25" s="1"/>
  <c r="BY197" i="25"/>
  <c r="BZ197" i="25" s="1"/>
  <c r="CA197" i="25" s="1"/>
  <c r="BG297" i="25"/>
  <c r="BH297" i="25" s="1"/>
  <c r="BK297" i="25" s="1"/>
  <c r="BG169" i="25"/>
  <c r="BH169" i="25" s="1"/>
  <c r="BK169" i="25" s="1"/>
  <c r="BF100" i="25"/>
  <c r="BI100" i="25" s="1"/>
  <c r="BJ100" i="25" s="1"/>
  <c r="BF410" i="25"/>
  <c r="BI410" i="25" s="1"/>
  <c r="BJ410" i="25" s="1"/>
  <c r="BG340" i="25"/>
  <c r="BH340" i="25" s="1"/>
  <c r="BK340" i="25" s="1"/>
  <c r="BY191" i="25"/>
  <c r="BZ191" i="25" s="1"/>
  <c r="CA191" i="25" s="1"/>
  <c r="BF340" i="25"/>
  <c r="BI340" i="25" s="1"/>
  <c r="BJ340" i="25" s="1"/>
  <c r="BY306" i="25"/>
  <c r="BZ306" i="25" s="1"/>
  <c r="CA306" i="25" s="1"/>
  <c r="BG51" i="25"/>
  <c r="BH51" i="25" s="1"/>
  <c r="BK51" i="25" s="1"/>
  <c r="BF51" i="25"/>
  <c r="BI51" i="25" s="1"/>
  <c r="BJ51" i="25" s="1"/>
  <c r="BG99" i="25"/>
  <c r="BG253" i="25"/>
  <c r="BH253" i="25" s="1"/>
  <c r="BK253" i="25" s="1"/>
  <c r="BF382" i="25"/>
  <c r="BI382" i="25" s="1"/>
  <c r="BJ382" i="25" s="1"/>
  <c r="BF136" i="25"/>
  <c r="BI136" i="25" s="1"/>
  <c r="BJ136" i="25" s="1"/>
  <c r="BY305" i="25"/>
  <c r="BZ305" i="25" s="1"/>
  <c r="CA305" i="25" s="1"/>
  <c r="BF192" i="25"/>
  <c r="BI192" i="25" s="1"/>
  <c r="BJ192" i="25" s="1"/>
  <c r="BG128" i="25"/>
  <c r="BH128" i="25" s="1"/>
  <c r="BK128" i="25" s="1"/>
  <c r="BY312" i="25"/>
  <c r="BZ312" i="25" s="1"/>
  <c r="CA312" i="25" s="1"/>
  <c r="BY194" i="25"/>
  <c r="BZ194" i="25" s="1"/>
  <c r="CA194" i="25" s="1"/>
  <c r="BF59" i="25"/>
  <c r="BI59" i="25" s="1"/>
  <c r="BJ59" i="25" s="1"/>
  <c r="BG308" i="25"/>
  <c r="BH308" i="25" s="1"/>
  <c r="BK308" i="25" s="1"/>
  <c r="BF186" i="25"/>
  <c r="BI186" i="25" s="1"/>
  <c r="BJ186" i="25" s="1"/>
  <c r="BG61" i="25"/>
  <c r="BH61" i="25" s="1"/>
  <c r="BK61" i="25" s="1"/>
  <c r="BF85" i="25"/>
  <c r="BI85" i="25" s="1"/>
  <c r="BJ85" i="25" s="1"/>
  <c r="BC210" i="25"/>
  <c r="BG210" i="25" s="1"/>
  <c r="BH210" i="25" s="1"/>
  <c r="BK210" i="25" s="1"/>
  <c r="BF389" i="25"/>
  <c r="BI389" i="25" s="1"/>
  <c r="BJ389" i="25" s="1"/>
  <c r="BY291" i="25"/>
  <c r="BZ291" i="25" s="1"/>
  <c r="CA291" i="25" s="1"/>
  <c r="BF172" i="25"/>
  <c r="BI172" i="25" s="1"/>
  <c r="BJ172" i="25" s="1"/>
  <c r="BY178" i="25"/>
  <c r="BZ178" i="25" s="1"/>
  <c r="CA178" i="25" s="1"/>
  <c r="BF151" i="25"/>
  <c r="BI151" i="25" s="1"/>
  <c r="BJ151" i="25" s="1"/>
  <c r="BG344" i="25"/>
  <c r="BH344" i="25" s="1"/>
  <c r="BK344" i="25" s="1"/>
  <c r="BF344" i="25"/>
  <c r="BI344" i="25" s="1"/>
  <c r="BJ344" i="25" s="1"/>
  <c r="BF369" i="25"/>
  <c r="BI369" i="25" s="1"/>
  <c r="BJ369" i="25" s="1"/>
  <c r="BG347" i="25"/>
  <c r="BH347" i="25" s="1"/>
  <c r="BK347" i="25" s="1"/>
  <c r="BF311" i="25"/>
  <c r="BI311" i="25" s="1"/>
  <c r="BJ311" i="25" s="1"/>
  <c r="BG62" i="25"/>
  <c r="BH62" i="25" s="1"/>
  <c r="BK62" i="25" s="1"/>
  <c r="BC411" i="25"/>
  <c r="BG411" i="25" s="1"/>
  <c r="BH411" i="25" s="1"/>
  <c r="BK411" i="25" s="1"/>
  <c r="BC44" i="25"/>
  <c r="BG44" i="25" s="1"/>
  <c r="BH44" i="25" s="1"/>
  <c r="BK44" i="25" s="1"/>
  <c r="BG26" i="25"/>
  <c r="BH26" i="25" s="1"/>
  <c r="BK26" i="25" s="1"/>
  <c r="BC138" i="25"/>
  <c r="BG138" i="25" s="1"/>
  <c r="BH138" i="25" s="1"/>
  <c r="BK138" i="25" s="1"/>
  <c r="BC38" i="25"/>
  <c r="BG38" i="25" s="1"/>
  <c r="BH38" i="25" s="1"/>
  <c r="BK38" i="25" s="1"/>
  <c r="BG358" i="25"/>
  <c r="BH358" i="25" s="1"/>
  <c r="BK358" i="25" s="1"/>
  <c r="BG298" i="25"/>
  <c r="BH298" i="25" s="1"/>
  <c r="BK298" i="25" s="1"/>
  <c r="BF298" i="25"/>
  <c r="BI298" i="25" s="1"/>
  <c r="BJ298" i="25" s="1"/>
  <c r="BF237" i="25"/>
  <c r="BI237" i="25" s="1"/>
  <c r="BJ237" i="25" s="1"/>
  <c r="BG296" i="25"/>
  <c r="BH296" i="25" s="1"/>
  <c r="BK296" i="25" s="1"/>
  <c r="BF296" i="25"/>
  <c r="BI296" i="25" s="1"/>
  <c r="BJ296" i="25" s="1"/>
  <c r="BG230" i="25"/>
  <c r="BH230" i="25" s="1"/>
  <c r="BK230" i="25" s="1"/>
  <c r="BY198" i="25"/>
  <c r="BZ198" i="25" s="1"/>
  <c r="CA198" i="25" s="1"/>
  <c r="BY188" i="25"/>
  <c r="BZ188" i="25" s="1"/>
  <c r="CA188" i="25" s="1"/>
  <c r="BF385" i="25"/>
  <c r="BI385" i="25" s="1"/>
  <c r="BJ385" i="25" s="1"/>
  <c r="BF308" i="25"/>
  <c r="BI308" i="25" s="1"/>
  <c r="BJ308" i="25" s="1"/>
  <c r="BC32" i="25"/>
  <c r="BG32" i="25" s="1"/>
  <c r="BH32" i="25" s="1"/>
  <c r="BK32" i="25" s="1"/>
  <c r="BG96" i="25"/>
  <c r="BH96" i="25" s="1"/>
  <c r="BK96" i="25" s="1"/>
  <c r="BF109" i="25"/>
  <c r="BI109" i="25" s="1"/>
  <c r="BJ109" i="25" s="1"/>
  <c r="BF359" i="25"/>
  <c r="BI359" i="25" s="1"/>
  <c r="BJ359" i="25" s="1"/>
  <c r="BF96" i="25"/>
  <c r="BI96" i="25" s="1"/>
  <c r="BJ96" i="25" s="1"/>
  <c r="BC398" i="25"/>
  <c r="BG398" i="25" s="1"/>
  <c r="BH398" i="25" s="1"/>
  <c r="BK398" i="25" s="1"/>
  <c r="BG185" i="25"/>
  <c r="BH185" i="25" s="1"/>
  <c r="BK185" i="25" s="1"/>
  <c r="BC58" i="25"/>
  <c r="BG58" i="25" s="1"/>
  <c r="BH58" i="25" s="1"/>
  <c r="BK58" i="25" s="1"/>
  <c r="BF9" i="25"/>
  <c r="BI9" i="25" s="1"/>
  <c r="BJ9" i="25" s="1"/>
  <c r="BF126" i="25"/>
  <c r="BI126" i="25" s="1"/>
  <c r="BJ126" i="25" s="1"/>
  <c r="BY308" i="25"/>
  <c r="BZ308" i="25" s="1"/>
  <c r="CA308" i="25" s="1"/>
  <c r="BG100" i="25"/>
  <c r="BH100" i="25" s="1"/>
  <c r="BK100" i="25" s="1"/>
  <c r="BG71" i="25"/>
  <c r="BH71" i="25" s="1"/>
  <c r="BK71" i="25" s="1"/>
  <c r="BF63" i="25"/>
  <c r="BI63" i="25" s="1"/>
  <c r="BJ63" i="25" s="1"/>
  <c r="BF65" i="25"/>
  <c r="BI65" i="25" s="1"/>
  <c r="BJ65" i="25" s="1"/>
  <c r="BF123" i="25"/>
  <c r="BI123" i="25" s="1"/>
  <c r="BJ123" i="25" s="1"/>
  <c r="BG63" i="25"/>
  <c r="BH63" i="25" s="1"/>
  <c r="BK63" i="25" s="1"/>
  <c r="BF412" i="25"/>
  <c r="BI412" i="25" s="1"/>
  <c r="BJ412" i="25" s="1"/>
  <c r="BF365" i="25"/>
  <c r="BI365" i="25" s="1"/>
  <c r="BJ365" i="25" s="1"/>
  <c r="BC317" i="25"/>
  <c r="BG317" i="25" s="1"/>
  <c r="BH317" i="25" s="1"/>
  <c r="BK317" i="25" s="1"/>
  <c r="BG282" i="25"/>
  <c r="BH282" i="25" s="1"/>
  <c r="BK282" i="25" s="1"/>
  <c r="BG268" i="25"/>
  <c r="BH268" i="25" s="1"/>
  <c r="BK268" i="25" s="1"/>
  <c r="BF188" i="25"/>
  <c r="BI188" i="25" s="1"/>
  <c r="BJ188" i="25" s="1"/>
  <c r="BF49" i="25"/>
  <c r="BI49" i="25" s="1"/>
  <c r="BJ49" i="25" s="1"/>
  <c r="BC140" i="25"/>
  <c r="BG140" i="25" s="1"/>
  <c r="BH140" i="25" s="1"/>
  <c r="BK140" i="25" s="1"/>
  <c r="BC56" i="25"/>
  <c r="BG56" i="25" s="1"/>
  <c r="BH56" i="25" s="1"/>
  <c r="BK56" i="25" s="1"/>
  <c r="BG27" i="25"/>
  <c r="BH27" i="25" s="1"/>
  <c r="BK27" i="25" s="1"/>
  <c r="BF134" i="25"/>
  <c r="BI134" i="25" s="1"/>
  <c r="BJ134" i="25" s="1"/>
  <c r="BF76" i="25"/>
  <c r="BI76" i="25" s="1"/>
  <c r="BJ76" i="25" s="1"/>
  <c r="BF71" i="25"/>
  <c r="BI71" i="25" s="1"/>
  <c r="BJ71" i="25" s="1"/>
  <c r="BG237" i="25"/>
  <c r="BH237" i="25" s="1"/>
  <c r="BK237" i="25" s="1"/>
  <c r="BG387" i="25"/>
  <c r="BH387" i="25" s="1"/>
  <c r="BK387" i="25" s="1"/>
  <c r="BF387" i="25"/>
  <c r="BI387" i="25" s="1"/>
  <c r="BJ387" i="25" s="1"/>
  <c r="BG366" i="25"/>
  <c r="BH366" i="25" s="1"/>
  <c r="BK366" i="25" s="1"/>
  <c r="BG374" i="25"/>
  <c r="BH374" i="25" s="1"/>
  <c r="BK374" i="25" s="1"/>
  <c r="BC384" i="25"/>
  <c r="BG384" i="25" s="1"/>
  <c r="BH384" i="25" s="1"/>
  <c r="BK384" i="25" s="1"/>
  <c r="BG284" i="25"/>
  <c r="BH284" i="25" s="1"/>
  <c r="BK284" i="25" s="1"/>
  <c r="BG277" i="25"/>
  <c r="BH277" i="25" s="1"/>
  <c r="BK277" i="25" s="1"/>
  <c r="BF213" i="25"/>
  <c r="BI213" i="25" s="1"/>
  <c r="BJ213" i="25" s="1"/>
  <c r="BF252" i="25"/>
  <c r="BI252" i="25" s="1"/>
  <c r="BJ252" i="25" s="1"/>
  <c r="BF217" i="25"/>
  <c r="BI217" i="25" s="1"/>
  <c r="BJ217" i="25" s="1"/>
  <c r="BF261" i="25"/>
  <c r="BI261" i="25" s="1"/>
  <c r="BJ261" i="25" s="1"/>
  <c r="BC181" i="25"/>
  <c r="BG181" i="25" s="1"/>
  <c r="BH181" i="25" s="1"/>
  <c r="BK181" i="25" s="1"/>
  <c r="BC187" i="25"/>
  <c r="BG187" i="25" s="1"/>
  <c r="BH187" i="25" s="1"/>
  <c r="BK187" i="25" s="1"/>
  <c r="BG134" i="25"/>
  <c r="BH134" i="25" s="1"/>
  <c r="BK134" i="25" s="1"/>
  <c r="BC355" i="25"/>
  <c r="BG355" i="25" s="1"/>
  <c r="BH355" i="25" s="1"/>
  <c r="BK355" i="25" s="1"/>
  <c r="BF170" i="25"/>
  <c r="BI170" i="25" s="1"/>
  <c r="BJ170" i="25" s="1"/>
  <c r="BF176" i="25"/>
  <c r="BI176" i="25" s="1"/>
  <c r="BJ176" i="25" s="1"/>
  <c r="BG50" i="25"/>
  <c r="BH50" i="25" s="1"/>
  <c r="BK50" i="25" s="1"/>
  <c r="BF226" i="25"/>
  <c r="BI226" i="25" s="1"/>
  <c r="BJ226" i="25" s="1"/>
  <c r="BF144" i="25"/>
  <c r="BI144" i="25" s="1"/>
  <c r="BJ144" i="25" s="1"/>
  <c r="BF105" i="25"/>
  <c r="BI105" i="25" s="1"/>
  <c r="BJ105" i="25" s="1"/>
  <c r="BF366" i="25"/>
  <c r="BI366" i="25" s="1"/>
  <c r="BJ366" i="25" s="1"/>
  <c r="BC314" i="25"/>
  <c r="BG314" i="25" s="1"/>
  <c r="BH314" i="25" s="1"/>
  <c r="BK314" i="25" s="1"/>
  <c r="BG348" i="25"/>
  <c r="BH348" i="25" s="1"/>
  <c r="BK348" i="25" s="1"/>
  <c r="BG226" i="25"/>
  <c r="BH226" i="25" s="1"/>
  <c r="BK226" i="25" s="1"/>
  <c r="BF284" i="25"/>
  <c r="BI284" i="25" s="1"/>
  <c r="BJ284" i="25" s="1"/>
  <c r="BF277" i="25"/>
  <c r="BI277" i="25" s="1"/>
  <c r="BJ277" i="25" s="1"/>
  <c r="BF328" i="25"/>
  <c r="BI328" i="25" s="1"/>
  <c r="BJ328" i="25" s="1"/>
  <c r="BF242" i="25"/>
  <c r="BI242" i="25" s="1"/>
  <c r="BJ242" i="25" s="1"/>
  <c r="BC162" i="25"/>
  <c r="BG162" i="25" s="1"/>
  <c r="BH162" i="25" s="1"/>
  <c r="BK162" i="25" s="1"/>
  <c r="BG76" i="25"/>
  <c r="BH76" i="25" s="1"/>
  <c r="BK76" i="25" s="1"/>
  <c r="BF19" i="25"/>
  <c r="BI19" i="25" s="1"/>
  <c r="BJ19" i="25" s="1"/>
  <c r="BF125" i="25"/>
  <c r="BI125" i="25" s="1"/>
  <c r="BJ125" i="25" s="1"/>
  <c r="BG127" i="25"/>
  <c r="BH127" i="25" s="1"/>
  <c r="BK127" i="25" s="1"/>
  <c r="BG343" i="25"/>
  <c r="BH343" i="25" s="1"/>
  <c r="BK343" i="25" s="1"/>
  <c r="BG359" i="25"/>
  <c r="BH359" i="25" s="1"/>
  <c r="BK359" i="25" s="1"/>
  <c r="BC315" i="25"/>
  <c r="BG315" i="25" s="1"/>
  <c r="BH315" i="25" s="1"/>
  <c r="BK315" i="25" s="1"/>
  <c r="BG218" i="25"/>
  <c r="BH218" i="25" s="1"/>
  <c r="BK218" i="25" s="1"/>
  <c r="BF137" i="25"/>
  <c r="BI137" i="25" s="1"/>
  <c r="BJ137" i="25" s="1"/>
  <c r="BC42" i="25"/>
  <c r="BG42" i="25" s="1"/>
  <c r="BH42" i="25" s="1"/>
  <c r="BK42" i="25" s="1"/>
  <c r="BG85" i="25"/>
  <c r="BH85" i="25" s="1"/>
  <c r="BK85" i="25" s="1"/>
  <c r="BG54" i="25"/>
  <c r="BH54" i="25" s="1"/>
  <c r="BK54" i="25" s="1"/>
  <c r="BC333" i="25"/>
  <c r="BG333" i="25" s="1"/>
  <c r="BH333" i="25" s="1"/>
  <c r="BK333" i="25" s="1"/>
  <c r="BC368" i="25"/>
  <c r="BG368" i="25" s="1"/>
  <c r="BH368" i="25" s="1"/>
  <c r="BK368" i="25" s="1"/>
  <c r="BF54" i="25"/>
  <c r="BI54" i="25" s="1"/>
  <c r="BJ54" i="25" s="1"/>
  <c r="BF154" i="25"/>
  <c r="BI154" i="25" s="1"/>
  <c r="BJ154" i="25" s="1"/>
  <c r="BF171" i="25"/>
  <c r="BI171" i="25" s="1"/>
  <c r="BJ171" i="25" s="1"/>
  <c r="BG318" i="25"/>
  <c r="BH318" i="25" s="1"/>
  <c r="BK318" i="25" s="1"/>
  <c r="BG337" i="25"/>
  <c r="BH337" i="25" s="1"/>
  <c r="BK337" i="25" s="1"/>
  <c r="BG326" i="25"/>
  <c r="BH326" i="25" s="1"/>
  <c r="BK326" i="25" s="1"/>
  <c r="BF327" i="25"/>
  <c r="BI327" i="25" s="1"/>
  <c r="BJ327" i="25" s="1"/>
  <c r="BF218" i="25"/>
  <c r="BI218" i="25" s="1"/>
  <c r="BJ218" i="25" s="1"/>
  <c r="BC92" i="25"/>
  <c r="BG92" i="25" s="1"/>
  <c r="BH92" i="25" s="1"/>
  <c r="BK92" i="25" s="1"/>
  <c r="BC118" i="25"/>
  <c r="BG118" i="25" s="1"/>
  <c r="BH118" i="25" s="1"/>
  <c r="BK118" i="25" s="1"/>
  <c r="BC94" i="25"/>
  <c r="BG94" i="25" s="1"/>
  <c r="BH94" i="25" s="1"/>
  <c r="BK94" i="25" s="1"/>
  <c r="BC60" i="25"/>
  <c r="BG60" i="25" s="1"/>
  <c r="BH60" i="25" s="1"/>
  <c r="BK60" i="25" s="1"/>
  <c r="BC101" i="25"/>
  <c r="BG101" i="25" s="1"/>
  <c r="BH101" i="25" s="1"/>
  <c r="BK101" i="25" s="1"/>
  <c r="BC396" i="25"/>
  <c r="BG396" i="25" s="1"/>
  <c r="BH396" i="25" s="1"/>
  <c r="BK396" i="25" s="1"/>
  <c r="BG385" i="25"/>
  <c r="BH385" i="25" s="1"/>
  <c r="BK385" i="25" s="1"/>
  <c r="BG327" i="25"/>
  <c r="BH327" i="25" s="1"/>
  <c r="BK327" i="25" s="1"/>
  <c r="BG332" i="25"/>
  <c r="BH332" i="25" s="1"/>
  <c r="BK332" i="25" s="1"/>
  <c r="BF332" i="25"/>
  <c r="BI332" i="25" s="1"/>
  <c r="BJ332" i="25" s="1"/>
  <c r="BF195" i="25"/>
  <c r="BI195" i="25" s="1"/>
  <c r="BJ195" i="25" s="1"/>
  <c r="BG74" i="25"/>
  <c r="BH74" i="25" s="1"/>
  <c r="BK74" i="25" s="1"/>
  <c r="BF74" i="25"/>
  <c r="BI74" i="25" s="1"/>
  <c r="BJ74" i="25" s="1"/>
  <c r="BF329" i="25"/>
  <c r="BI329" i="25" s="1"/>
  <c r="BJ329" i="25" s="1"/>
  <c r="BF190" i="25"/>
  <c r="BI190" i="25" s="1"/>
  <c r="BJ190" i="25" s="1"/>
  <c r="BG174" i="25"/>
  <c r="BH174" i="25" s="1"/>
  <c r="BK174" i="25" s="1"/>
  <c r="BC156" i="25"/>
  <c r="BG156" i="25" s="1"/>
  <c r="BH156" i="25" s="1"/>
  <c r="BK156" i="25" s="1"/>
  <c r="BC52" i="25"/>
  <c r="BG52" i="25" s="1"/>
  <c r="BH52" i="25" s="1"/>
  <c r="BK52" i="25" s="1"/>
  <c r="BG376" i="25"/>
  <c r="BH376" i="25" s="1"/>
  <c r="BK376" i="25" s="1"/>
  <c r="BF177" i="25"/>
  <c r="BI177" i="25" s="1"/>
  <c r="BJ177" i="25" s="1"/>
  <c r="BC98" i="25"/>
  <c r="BG98" i="25" s="1"/>
  <c r="BH98" i="25" s="1"/>
  <c r="BK98" i="25" s="1"/>
  <c r="BF26" i="25"/>
  <c r="BI26" i="25" s="1"/>
  <c r="BJ26" i="25" s="1"/>
  <c r="BF46" i="25"/>
  <c r="BI46" i="25" s="1"/>
  <c r="BJ46" i="25" s="1"/>
  <c r="BF73" i="25"/>
  <c r="BI73" i="25" s="1"/>
  <c r="BJ73" i="25" s="1"/>
  <c r="BC33" i="25"/>
  <c r="BG33" i="25" s="1"/>
  <c r="BH33" i="25" s="1"/>
  <c r="BK33" i="25" s="1"/>
  <c r="BG294" i="25"/>
  <c r="BH294" i="25" s="1"/>
  <c r="BK294" i="25" s="1"/>
  <c r="BG346" i="25"/>
  <c r="BH346" i="25" s="1"/>
  <c r="BK346" i="25" s="1"/>
  <c r="BG356" i="25"/>
  <c r="BH356" i="25" s="1"/>
  <c r="BK356" i="25" s="1"/>
  <c r="BF222" i="25"/>
  <c r="BI222" i="25" s="1"/>
  <c r="BJ222" i="25" s="1"/>
  <c r="BF223" i="25"/>
  <c r="BI223" i="25" s="1"/>
  <c r="BJ223" i="25" s="1"/>
  <c r="BF61" i="25"/>
  <c r="BI61" i="25" s="1"/>
  <c r="BJ61" i="25" s="1"/>
  <c r="BC89" i="25"/>
  <c r="BG89" i="25" s="1"/>
  <c r="BH89" i="25" s="1"/>
  <c r="BK89" i="25" s="1"/>
  <c r="BF68" i="25"/>
  <c r="BI68" i="25" s="1"/>
  <c r="BJ68" i="25" s="1"/>
  <c r="BF180" i="25"/>
  <c r="BI180" i="25" s="1"/>
  <c r="BJ180" i="25" s="1"/>
  <c r="BC43" i="25"/>
  <c r="BG43" i="25" s="1"/>
  <c r="BH43" i="25" s="1"/>
  <c r="BK43" i="25" s="1"/>
  <c r="BC14" i="25"/>
  <c r="BG14" i="25" s="1"/>
  <c r="BH14" i="25" s="1"/>
  <c r="BK14" i="25" s="1"/>
  <c r="BF198" i="25"/>
  <c r="BI198" i="25" s="1"/>
  <c r="BJ198" i="25" s="1"/>
  <c r="BC91" i="25"/>
  <c r="BG91" i="25" s="1"/>
  <c r="BH91" i="25" s="1"/>
  <c r="BK91" i="25" s="1"/>
  <c r="BC158" i="25"/>
  <c r="BG158" i="25" s="1"/>
  <c r="BH158" i="25" s="1"/>
  <c r="BK158" i="25" s="1"/>
  <c r="BF29" i="25"/>
  <c r="BI29" i="25" s="1"/>
  <c r="BJ29" i="25" s="1"/>
  <c r="BF129" i="25"/>
  <c r="BI129" i="25" s="1"/>
  <c r="BJ129" i="25" s="1"/>
  <c r="BG375" i="25"/>
  <c r="BH375" i="25" s="1"/>
  <c r="BK375" i="25" s="1"/>
  <c r="BG386" i="25"/>
  <c r="BH386" i="25" s="1"/>
  <c r="BK386" i="25" s="1"/>
  <c r="BF374" i="25"/>
  <c r="BI374" i="25" s="1"/>
  <c r="BJ374" i="25" s="1"/>
  <c r="BC373" i="25"/>
  <c r="BG373" i="25" s="1"/>
  <c r="BH373" i="25" s="1"/>
  <c r="BK373" i="25" s="1"/>
  <c r="BG316" i="25"/>
  <c r="BH316" i="25" s="1"/>
  <c r="BK316" i="25" s="1"/>
  <c r="BG246" i="25"/>
  <c r="BH246" i="25" s="1"/>
  <c r="BK246" i="25" s="1"/>
  <c r="BF201" i="25"/>
  <c r="BI201" i="25" s="1"/>
  <c r="BJ201" i="25" s="1"/>
  <c r="BG176" i="25"/>
  <c r="BH176" i="25" s="1"/>
  <c r="BK176" i="25" s="1"/>
  <c r="BF79" i="25"/>
  <c r="BI79" i="25" s="1"/>
  <c r="BJ79" i="25" s="1"/>
  <c r="BF146" i="25"/>
  <c r="BI146" i="25" s="1"/>
  <c r="BJ146" i="25" s="1"/>
  <c r="BG149" i="25"/>
  <c r="BH149" i="25" s="1"/>
  <c r="BK149" i="25" s="1"/>
  <c r="BG108" i="25"/>
  <c r="BH108" i="25" s="1"/>
  <c r="BK108" i="25" s="1"/>
  <c r="BF149" i="25"/>
  <c r="BI149" i="25" s="1"/>
  <c r="BJ149" i="25" s="1"/>
  <c r="BC393" i="25"/>
  <c r="BG393" i="25" s="1"/>
  <c r="BH393" i="25" s="1"/>
  <c r="BK393" i="25" s="1"/>
  <c r="BC209" i="25"/>
  <c r="BG209" i="25" s="1"/>
  <c r="BH209" i="25" s="1"/>
  <c r="BK209" i="25" s="1"/>
  <c r="BF131" i="25"/>
  <c r="BI131" i="25" s="1"/>
  <c r="BJ131" i="25" s="1"/>
  <c r="BF50" i="25"/>
  <c r="BI50" i="25" s="1"/>
  <c r="BJ50" i="25" s="1"/>
  <c r="BF128" i="25"/>
  <c r="BI128" i="25" s="1"/>
  <c r="BJ128" i="25" s="1"/>
  <c r="BG299" i="25"/>
  <c r="BH299" i="25" s="1"/>
  <c r="BK299" i="25" s="1"/>
  <c r="BF386" i="25"/>
  <c r="BI386" i="25" s="1"/>
  <c r="BJ386" i="25" s="1"/>
  <c r="BG353" i="25"/>
  <c r="BH353" i="25" s="1"/>
  <c r="BK353" i="25" s="1"/>
  <c r="BG324" i="25"/>
  <c r="BH324" i="25" s="1"/>
  <c r="BK324" i="25" s="1"/>
  <c r="BG307" i="25"/>
  <c r="BH307" i="25" s="1"/>
  <c r="BK307" i="25" s="1"/>
  <c r="BG310" i="25"/>
  <c r="BH310" i="25" s="1"/>
  <c r="BK310" i="25" s="1"/>
  <c r="BF246" i="25"/>
  <c r="BI246" i="25" s="1"/>
  <c r="BJ246" i="25" s="1"/>
  <c r="BG201" i="25"/>
  <c r="BH201" i="25" s="1"/>
  <c r="BK201" i="25" s="1"/>
  <c r="BC114" i="25"/>
  <c r="BG114" i="25" s="1"/>
  <c r="BH114" i="25" s="1"/>
  <c r="BK114" i="25" s="1"/>
  <c r="BG131" i="25"/>
  <c r="BH131" i="25" s="1"/>
  <c r="BK131" i="25" s="1"/>
  <c r="BF310" i="25"/>
  <c r="BI310" i="25" s="1"/>
  <c r="BJ310" i="25" s="1"/>
  <c r="BF347" i="25"/>
  <c r="BI347" i="25" s="1"/>
  <c r="BJ347" i="25" s="1"/>
  <c r="BG119" i="25"/>
  <c r="BH119" i="25" s="1"/>
  <c r="BK119" i="25" s="1"/>
  <c r="BF399" i="25"/>
  <c r="BI399" i="25" s="1"/>
  <c r="BJ399" i="25" s="1"/>
  <c r="BF297" i="25"/>
  <c r="BI297" i="25" s="1"/>
  <c r="BJ297" i="25" s="1"/>
  <c r="BF353" i="25"/>
  <c r="BI353" i="25" s="1"/>
  <c r="BJ353" i="25" s="1"/>
  <c r="BC292" i="25"/>
  <c r="BG292" i="25" s="1"/>
  <c r="BH292" i="25" s="1"/>
  <c r="BK292" i="25" s="1"/>
  <c r="BG280" i="25"/>
  <c r="BH280" i="25" s="1"/>
  <c r="BK280" i="25" s="1"/>
  <c r="BG283" i="25"/>
  <c r="BH283" i="25" s="1"/>
  <c r="BK283" i="25" s="1"/>
  <c r="BF256" i="25"/>
  <c r="BI256" i="25" s="1"/>
  <c r="BJ256" i="25" s="1"/>
  <c r="BF275" i="25"/>
  <c r="BI275" i="25" s="1"/>
  <c r="BJ275" i="25" s="1"/>
  <c r="BC86" i="25"/>
  <c r="BG86" i="25" s="1"/>
  <c r="BH86" i="25" s="1"/>
  <c r="BK86" i="25" s="1"/>
  <c r="BF75" i="25"/>
  <c r="BI75" i="25" s="1"/>
  <c r="BJ75" i="25" s="1"/>
  <c r="BF108" i="25"/>
  <c r="BI108" i="25" s="1"/>
  <c r="BJ108" i="25" s="1"/>
  <c r="BF307" i="25"/>
  <c r="BI307" i="25" s="1"/>
  <c r="BJ307" i="25" s="1"/>
  <c r="BF10" i="25"/>
  <c r="BI10" i="25" s="1"/>
  <c r="BJ10" i="25" s="1"/>
  <c r="BF45" i="25"/>
  <c r="BI45" i="25" s="1"/>
  <c r="BJ45" i="25" s="1"/>
  <c r="BF185" i="25"/>
  <c r="BI185" i="25" s="1"/>
  <c r="BJ185" i="25" s="1"/>
  <c r="BF20" i="25"/>
  <c r="BI20" i="25" s="1"/>
  <c r="BJ20" i="25" s="1"/>
  <c r="BF120" i="25"/>
  <c r="BI120" i="25" s="1"/>
  <c r="BJ120" i="25" s="1"/>
  <c r="BF341" i="25"/>
  <c r="BI341" i="25" s="1"/>
  <c r="BJ341" i="25" s="1"/>
  <c r="BF343" i="25"/>
  <c r="BI343" i="25" s="1"/>
  <c r="BJ343" i="25" s="1"/>
  <c r="BG382" i="25"/>
  <c r="BH382" i="25" s="1"/>
  <c r="BK382" i="25" s="1"/>
  <c r="BF321" i="25"/>
  <c r="BI321" i="25" s="1"/>
  <c r="BJ321" i="25" s="1"/>
  <c r="BF240" i="25"/>
  <c r="BI240" i="25" s="1"/>
  <c r="BJ240" i="25" s="1"/>
  <c r="BF227" i="25"/>
  <c r="BI227" i="25" s="1"/>
  <c r="BJ227" i="25" s="1"/>
  <c r="BF194" i="25"/>
  <c r="BI194" i="25" s="1"/>
  <c r="BJ194" i="25" s="1"/>
  <c r="BF203" i="25"/>
  <c r="BI203" i="25" s="1"/>
  <c r="BJ203" i="25" s="1"/>
  <c r="BG288" i="25"/>
  <c r="BH288" i="25" s="1"/>
  <c r="BK288" i="25" s="1"/>
  <c r="BF122" i="25"/>
  <c r="BI122" i="25" s="1"/>
  <c r="BJ122" i="25" s="1"/>
  <c r="BG321" i="25"/>
  <c r="BH321" i="25" s="1"/>
  <c r="BK321" i="25" s="1"/>
  <c r="BG227" i="25"/>
  <c r="BH227" i="25" s="1"/>
  <c r="BK227" i="25" s="1"/>
  <c r="BF135" i="25"/>
  <c r="BI135" i="25" s="1"/>
  <c r="BJ135" i="25" s="1"/>
  <c r="BF288" i="25"/>
  <c r="BI288" i="25" s="1"/>
  <c r="BJ288" i="25" s="1"/>
  <c r="BF148" i="25"/>
  <c r="BI148" i="25" s="1"/>
  <c r="BJ148" i="25" s="1"/>
  <c r="BF78" i="25"/>
  <c r="BI78" i="25" s="1"/>
  <c r="BJ78" i="25" s="1"/>
  <c r="BC23" i="25"/>
  <c r="BG23" i="25" s="1"/>
  <c r="BH23" i="25" s="1"/>
  <c r="BK23" i="25" s="1"/>
  <c r="BC80" i="25"/>
  <c r="BG80" i="25" s="1"/>
  <c r="BH80" i="25" s="1"/>
  <c r="BK80" i="25" s="1"/>
  <c r="BG25" i="25"/>
  <c r="BH25" i="25" s="1"/>
  <c r="BK25" i="25" s="1"/>
  <c r="BF25" i="25"/>
  <c r="BI25" i="25" s="1"/>
  <c r="BJ25" i="25" s="1"/>
  <c r="BC116" i="25"/>
  <c r="BG116" i="25" s="1"/>
  <c r="BH116" i="25" s="1"/>
  <c r="BK116" i="25" s="1"/>
  <c r="BC39" i="25"/>
  <c r="BG39" i="25" s="1"/>
  <c r="BH39" i="25" s="1"/>
  <c r="BK39" i="25" s="1"/>
  <c r="BG7" i="25"/>
  <c r="BH7" i="25" s="1"/>
  <c r="BK7" i="25" s="1"/>
  <c r="BG17" i="25"/>
  <c r="BH17" i="25" s="1"/>
  <c r="BK17" i="25" s="1"/>
  <c r="BC90" i="25"/>
  <c r="BG90" i="25" s="1"/>
  <c r="BH90" i="25" s="1"/>
  <c r="BK90" i="25" s="1"/>
  <c r="BG8" i="25"/>
  <c r="BH8" i="25" s="1"/>
  <c r="BK8" i="25" s="1"/>
  <c r="BC82" i="25"/>
  <c r="BG82" i="25" s="1"/>
  <c r="BH82" i="25" s="1"/>
  <c r="BK82" i="25" s="1"/>
  <c r="BF7" i="25"/>
  <c r="BI7" i="25" s="1"/>
  <c r="BJ7" i="25" s="1"/>
  <c r="BF8" i="25"/>
  <c r="BI8" i="25" s="1"/>
  <c r="BJ8" i="25" s="1"/>
  <c r="BG175" i="25"/>
  <c r="BH175" i="25" s="1"/>
  <c r="BK175" i="25" s="1"/>
  <c r="BF175" i="25"/>
  <c r="BI175" i="25" s="1"/>
  <c r="BJ175" i="25" s="1"/>
  <c r="BG153" i="25"/>
  <c r="BH153" i="25" s="1"/>
  <c r="BK153" i="25" s="1"/>
  <c r="BF174" i="25"/>
  <c r="BI174" i="25" s="1"/>
  <c r="BJ174" i="25" s="1"/>
  <c r="BF153" i="25"/>
  <c r="BI153" i="25" s="1"/>
  <c r="BJ153" i="25" s="1"/>
  <c r="BG173" i="25"/>
  <c r="BH173" i="25" s="1"/>
  <c r="BK173" i="25" s="1"/>
  <c r="BF173" i="25"/>
  <c r="BI173" i="25" s="1"/>
  <c r="BJ173" i="25" s="1"/>
  <c r="BF178" i="25"/>
  <c r="BI178" i="25" s="1"/>
  <c r="BJ178" i="25" s="1"/>
  <c r="BY190" i="25"/>
  <c r="BZ190" i="25" s="1"/>
  <c r="CA190" i="25" s="1"/>
  <c r="BG83" i="25"/>
  <c r="BH83" i="25" s="1"/>
  <c r="BK83" i="25" s="1"/>
  <c r="BF83" i="25"/>
  <c r="BI83" i="25" s="1"/>
  <c r="BJ83" i="25" s="1"/>
  <c r="BC93" i="25"/>
  <c r="BG93" i="25" s="1"/>
  <c r="BH93" i="25" s="1"/>
  <c r="BK93" i="25" s="1"/>
  <c r="BG81" i="25"/>
  <c r="BH81" i="25" s="1"/>
  <c r="BK81" i="25" s="1"/>
  <c r="BF81" i="25"/>
  <c r="BI81" i="25" s="1"/>
  <c r="BJ81" i="25" s="1"/>
  <c r="BY304" i="25"/>
  <c r="BZ304" i="25" s="1"/>
  <c r="CA304" i="25" s="1"/>
  <c r="BY288" i="25"/>
  <c r="BZ288" i="25" s="1"/>
  <c r="CA288" i="25" s="1"/>
  <c r="BF375" i="25"/>
  <c r="BI375" i="25" s="1"/>
  <c r="BJ375" i="25" s="1"/>
  <c r="BF299" i="25"/>
  <c r="BI299" i="25" s="1"/>
  <c r="BJ299" i="25" s="1"/>
  <c r="BF356" i="25"/>
  <c r="BI356" i="25" s="1"/>
  <c r="BJ356" i="25" s="1"/>
  <c r="BF294" i="25"/>
  <c r="BI294" i="25" s="1"/>
  <c r="BJ294" i="25" s="1"/>
  <c r="BF253" i="25"/>
  <c r="BI253" i="25" s="1"/>
  <c r="BJ253" i="25" s="1"/>
  <c r="BF324" i="25"/>
  <c r="BI324" i="25" s="1"/>
  <c r="BJ324" i="25" s="1"/>
  <c r="BY203" i="25"/>
  <c r="BZ203" i="25" s="1"/>
  <c r="CA203" i="25" s="1"/>
  <c r="BY307" i="25"/>
  <c r="BZ307" i="25" s="1"/>
  <c r="CA307" i="25" s="1"/>
  <c r="BY311" i="25"/>
  <c r="BZ311" i="25" s="1"/>
  <c r="CA311" i="25" s="1"/>
  <c r="BF358" i="25"/>
  <c r="BI358" i="25" s="1"/>
  <c r="BJ358" i="25" s="1"/>
  <c r="BY310" i="25"/>
  <c r="BZ310" i="25" s="1"/>
  <c r="CA310" i="25" s="1"/>
  <c r="BY316" i="25"/>
  <c r="BZ316" i="25" s="1"/>
  <c r="CA316" i="25" s="1"/>
  <c r="BY201" i="25"/>
  <c r="BZ201" i="25" s="1"/>
  <c r="CA201" i="25" s="1"/>
  <c r="BY176" i="25"/>
  <c r="BZ176" i="25" s="1"/>
  <c r="CA176" i="25" s="1"/>
  <c r="BY185" i="25"/>
  <c r="BZ185" i="25" s="1"/>
  <c r="CA185" i="25" s="1"/>
  <c r="BF346" i="25"/>
  <c r="BI346" i="25" s="1"/>
  <c r="BJ346" i="25" s="1"/>
  <c r="BF376" i="25"/>
  <c r="BI376" i="25" s="1"/>
  <c r="BJ376" i="25" s="1"/>
  <c r="BY290" i="25"/>
  <c r="BZ290" i="25" s="1"/>
  <c r="CA290" i="25" s="1"/>
  <c r="BG47" i="25"/>
  <c r="BH47" i="25" s="1"/>
  <c r="BK47" i="25" s="1"/>
  <c r="BG24" i="25"/>
  <c r="BH24" i="25" s="1"/>
  <c r="BK24" i="25" s="1"/>
  <c r="BY221" i="25"/>
  <c r="BZ221" i="25" s="1"/>
  <c r="CA221" i="25" s="1"/>
  <c r="BF352" i="25"/>
  <c r="BI352" i="25" s="1"/>
  <c r="BJ352" i="25" s="1"/>
  <c r="BC352" i="25"/>
  <c r="BG352" i="25" s="1"/>
  <c r="BH352" i="25" s="1"/>
  <c r="BK352" i="25" s="1"/>
  <c r="BF392" i="25"/>
  <c r="BI392" i="25" s="1"/>
  <c r="BJ392" i="25" s="1"/>
  <c r="BC392" i="25"/>
  <c r="BG392" i="25" s="1"/>
  <c r="BH392" i="25" s="1"/>
  <c r="BK392" i="25" s="1"/>
  <c r="BG293" i="25"/>
  <c r="BH293" i="25" s="1"/>
  <c r="BK293" i="25" s="1"/>
  <c r="BY289" i="25"/>
  <c r="BZ289" i="25" s="1"/>
  <c r="CA289" i="25" s="1"/>
  <c r="BF417" i="25"/>
  <c r="BI417" i="25" s="1"/>
  <c r="BJ417" i="25" s="1"/>
  <c r="BC417" i="25"/>
  <c r="BG417" i="25" s="1"/>
  <c r="BH417" i="25" s="1"/>
  <c r="BK417" i="25" s="1"/>
  <c r="BF420" i="25"/>
  <c r="BI420" i="25" s="1"/>
  <c r="BJ420" i="25" s="1"/>
  <c r="BF345" i="25"/>
  <c r="BI345" i="25" s="1"/>
  <c r="BJ345" i="25" s="1"/>
  <c r="BC345" i="25"/>
  <c r="BG345" i="25" s="1"/>
  <c r="BH345" i="25" s="1"/>
  <c r="BK345" i="25" s="1"/>
  <c r="BF360" i="25"/>
  <c r="BI360" i="25" s="1"/>
  <c r="BJ360" i="25" s="1"/>
  <c r="BC360" i="25"/>
  <c r="BG360" i="25" s="1"/>
  <c r="BH360" i="25" s="1"/>
  <c r="BK360" i="25" s="1"/>
  <c r="BF362" i="25"/>
  <c r="BI362" i="25" s="1"/>
  <c r="BJ362" i="25" s="1"/>
  <c r="BC362" i="25"/>
  <c r="BG362" i="25" s="1"/>
  <c r="BH362" i="25" s="1"/>
  <c r="BK362" i="25" s="1"/>
  <c r="BF383" i="25"/>
  <c r="BI383" i="25" s="1"/>
  <c r="BJ383" i="25" s="1"/>
  <c r="BC383" i="25"/>
  <c r="BG383" i="25" s="1"/>
  <c r="BH383" i="25" s="1"/>
  <c r="BK383" i="25" s="1"/>
  <c r="BF337" i="25"/>
  <c r="BI337" i="25" s="1"/>
  <c r="BJ337" i="25" s="1"/>
  <c r="BF273" i="25"/>
  <c r="BI273" i="25" s="1"/>
  <c r="BJ273" i="25" s="1"/>
  <c r="BC273" i="25"/>
  <c r="BG273" i="25" s="1"/>
  <c r="BH273" i="25" s="1"/>
  <c r="BK273" i="25" s="1"/>
  <c r="BF22" i="25"/>
  <c r="BI22" i="25" s="1"/>
  <c r="BJ22" i="25" s="1"/>
  <c r="BC22" i="25"/>
  <c r="BG22" i="25" s="1"/>
  <c r="BH22" i="25" s="1"/>
  <c r="BK22" i="25" s="1"/>
  <c r="BF64" i="25"/>
  <c r="BI64" i="25" s="1"/>
  <c r="BJ64" i="25" s="1"/>
  <c r="BC64" i="25"/>
  <c r="BG64" i="25" s="1"/>
  <c r="BH64" i="25" s="1"/>
  <c r="BK64" i="25" s="1"/>
  <c r="BY309" i="25"/>
  <c r="BZ309" i="25" s="1"/>
  <c r="CA309" i="25" s="1"/>
  <c r="BF106" i="25"/>
  <c r="BI106" i="25" s="1"/>
  <c r="BJ106" i="25" s="1"/>
  <c r="BC106" i="25"/>
  <c r="BG106" i="25" s="1"/>
  <c r="BH106" i="25" s="1"/>
  <c r="BK106" i="25" s="1"/>
  <c r="BF401" i="25"/>
  <c r="BI401" i="25" s="1"/>
  <c r="BJ401" i="25" s="1"/>
  <c r="BC401" i="25"/>
  <c r="BG401" i="25" s="1"/>
  <c r="BH401" i="25" s="1"/>
  <c r="BK401" i="25" s="1"/>
  <c r="BF301" i="25"/>
  <c r="BI301" i="25" s="1"/>
  <c r="BJ301" i="25" s="1"/>
  <c r="BC301" i="25"/>
  <c r="BG301" i="25" s="1"/>
  <c r="BH301" i="25" s="1"/>
  <c r="BK301" i="25" s="1"/>
  <c r="BF318" i="25"/>
  <c r="BI318" i="25" s="1"/>
  <c r="BJ318" i="25" s="1"/>
  <c r="BC239" i="25"/>
  <c r="BG239" i="25" s="1"/>
  <c r="BH239" i="25" s="1"/>
  <c r="BK239" i="25" s="1"/>
  <c r="BF239" i="25"/>
  <c r="BI239" i="25" s="1"/>
  <c r="BJ239" i="25" s="1"/>
  <c r="BF204" i="25"/>
  <c r="BI204" i="25" s="1"/>
  <c r="BJ204" i="25" s="1"/>
  <c r="BC204" i="25"/>
  <c r="BG204" i="25" s="1"/>
  <c r="BH204" i="25" s="1"/>
  <c r="BK204" i="25" s="1"/>
  <c r="BY187" i="25"/>
  <c r="BZ187" i="25" s="1"/>
  <c r="CA187" i="25" s="1"/>
  <c r="BF113" i="25"/>
  <c r="BI113" i="25" s="1"/>
  <c r="BJ113" i="25" s="1"/>
  <c r="BC113" i="25"/>
  <c r="BG113" i="25" s="1"/>
  <c r="BH113" i="25" s="1"/>
  <c r="BK113" i="25" s="1"/>
  <c r="BF159" i="25"/>
  <c r="BI159" i="25" s="1"/>
  <c r="BJ159" i="25" s="1"/>
  <c r="BC159" i="25"/>
  <c r="BG159" i="25" s="1"/>
  <c r="BH159" i="25" s="1"/>
  <c r="BK159" i="25" s="1"/>
  <c r="BF155" i="25"/>
  <c r="BI155" i="25" s="1"/>
  <c r="BJ155" i="25" s="1"/>
  <c r="BC155" i="25"/>
  <c r="BG155" i="25" s="1"/>
  <c r="BH155" i="25" s="1"/>
  <c r="BK155" i="25" s="1"/>
  <c r="BF12" i="25"/>
  <c r="BI12" i="25" s="1"/>
  <c r="BJ12" i="25" s="1"/>
  <c r="BC12" i="25"/>
  <c r="BG12" i="25" s="1"/>
  <c r="BH12" i="25" s="1"/>
  <c r="BK12" i="25" s="1"/>
  <c r="BF169" i="25"/>
  <c r="BI169" i="25" s="1"/>
  <c r="BJ169" i="25" s="1"/>
  <c r="BF17" i="25"/>
  <c r="BI17" i="25" s="1"/>
  <c r="BJ17" i="25" s="1"/>
  <c r="BF395" i="25"/>
  <c r="BI395" i="25" s="1"/>
  <c r="BJ395" i="25" s="1"/>
  <c r="BC395" i="25"/>
  <c r="BG395" i="25" s="1"/>
  <c r="BH395" i="25" s="1"/>
  <c r="BK395" i="25" s="1"/>
  <c r="BF354" i="25"/>
  <c r="BI354" i="25" s="1"/>
  <c r="BJ354" i="25" s="1"/>
  <c r="BC354" i="25"/>
  <c r="BG354" i="25" s="1"/>
  <c r="BH354" i="25" s="1"/>
  <c r="BK354" i="25" s="1"/>
  <c r="BF363" i="25"/>
  <c r="BI363" i="25" s="1"/>
  <c r="BJ363" i="25" s="1"/>
  <c r="BC363" i="25"/>
  <c r="BG363" i="25" s="1"/>
  <c r="BH363" i="25" s="1"/>
  <c r="BK363" i="25" s="1"/>
  <c r="BF326" i="25"/>
  <c r="BI326" i="25" s="1"/>
  <c r="BJ326" i="25" s="1"/>
  <c r="BF316" i="25"/>
  <c r="BI316" i="25" s="1"/>
  <c r="BJ316" i="25" s="1"/>
  <c r="BF205" i="25"/>
  <c r="BI205" i="25" s="1"/>
  <c r="BJ205" i="25" s="1"/>
  <c r="BC205" i="25"/>
  <c r="BG205" i="25" s="1"/>
  <c r="BH205" i="25" s="1"/>
  <c r="BK205" i="25" s="1"/>
  <c r="BF272" i="25"/>
  <c r="BI272" i="25" s="1"/>
  <c r="BJ272" i="25" s="1"/>
  <c r="BC272" i="25"/>
  <c r="BG272" i="25" s="1"/>
  <c r="BH272" i="25" s="1"/>
  <c r="BK272" i="25" s="1"/>
  <c r="BF37" i="25"/>
  <c r="BI37" i="25" s="1"/>
  <c r="BJ37" i="25" s="1"/>
  <c r="BC37" i="25"/>
  <c r="BG37" i="25" s="1"/>
  <c r="BH37" i="25" s="1"/>
  <c r="BK37" i="25" s="1"/>
  <c r="BF110" i="25"/>
  <c r="BI110" i="25" s="1"/>
  <c r="BJ110" i="25" s="1"/>
  <c r="BC110" i="25"/>
  <c r="BG110" i="25" s="1"/>
  <c r="BH110" i="25" s="1"/>
  <c r="BK110" i="25" s="1"/>
  <c r="BF47" i="25"/>
  <c r="BI47" i="25" s="1"/>
  <c r="BJ47" i="25" s="1"/>
  <c r="BF69" i="25"/>
  <c r="BI69" i="25" s="1"/>
  <c r="BJ69" i="25" s="1"/>
  <c r="BC69" i="25"/>
  <c r="BG69" i="25" s="1"/>
  <c r="BH69" i="25" s="1"/>
  <c r="BK69" i="25" s="1"/>
  <c r="BF403" i="25"/>
  <c r="BI403" i="25" s="1"/>
  <c r="BJ403" i="25" s="1"/>
  <c r="BC403" i="25"/>
  <c r="BG403" i="25" s="1"/>
  <c r="BH403" i="25" s="1"/>
  <c r="BK403" i="25" s="1"/>
  <c r="BF421" i="25"/>
  <c r="BI421" i="25" s="1"/>
  <c r="BJ421" i="25" s="1"/>
  <c r="BC421" i="25"/>
  <c r="BG421" i="25" s="1"/>
  <c r="BH421" i="25" s="1"/>
  <c r="BK421" i="25" s="1"/>
  <c r="BF361" i="25"/>
  <c r="BI361" i="25" s="1"/>
  <c r="BJ361" i="25" s="1"/>
  <c r="BC361" i="25"/>
  <c r="BG361" i="25" s="1"/>
  <c r="BH361" i="25" s="1"/>
  <c r="BK361" i="25" s="1"/>
  <c r="BF364" i="25"/>
  <c r="BI364" i="25" s="1"/>
  <c r="BJ364" i="25" s="1"/>
  <c r="BC364" i="25"/>
  <c r="BG364" i="25" s="1"/>
  <c r="BH364" i="25" s="1"/>
  <c r="BK364" i="25" s="1"/>
  <c r="BF112" i="25"/>
  <c r="BI112" i="25" s="1"/>
  <c r="BJ112" i="25" s="1"/>
  <c r="BC112" i="25"/>
  <c r="BG112" i="25" s="1"/>
  <c r="BH112" i="25" s="1"/>
  <c r="BK112" i="25" s="1"/>
  <c r="BF157" i="25"/>
  <c r="BI157" i="25" s="1"/>
  <c r="BJ157" i="25" s="1"/>
  <c r="BC157" i="25"/>
  <c r="BG157" i="25" s="1"/>
  <c r="BH157" i="25" s="1"/>
  <c r="BK157" i="25" s="1"/>
  <c r="BF132" i="25"/>
  <c r="BI132" i="25" s="1"/>
  <c r="BJ132" i="25" s="1"/>
  <c r="BC132" i="25"/>
  <c r="BG132" i="25" s="1"/>
  <c r="BH132" i="25" s="1"/>
  <c r="BK132" i="25" s="1"/>
  <c r="BF152" i="25"/>
  <c r="BI152" i="25" s="1"/>
  <c r="BJ152" i="25" s="1"/>
  <c r="BC152" i="25"/>
  <c r="BG152" i="25" s="1"/>
  <c r="BH152" i="25" s="1"/>
  <c r="BK152" i="25" s="1"/>
  <c r="BF24" i="25"/>
  <c r="BI24" i="25" s="1"/>
  <c r="BJ24" i="25" s="1"/>
  <c r="BC419" i="25"/>
  <c r="BG419" i="25" s="1"/>
  <c r="BH419" i="25" s="1"/>
  <c r="BK419" i="25" s="1"/>
  <c r="BF419" i="25"/>
  <c r="BI419" i="25" s="1"/>
  <c r="BJ419" i="25" s="1"/>
  <c r="BF379" i="25"/>
  <c r="BI379" i="25" s="1"/>
  <c r="BJ379" i="25" s="1"/>
  <c r="BC379" i="25"/>
  <c r="BG379" i="25" s="1"/>
  <c r="BH379" i="25" s="1"/>
  <c r="BK379" i="25" s="1"/>
  <c r="BC349" i="25"/>
  <c r="BG349" i="25" s="1"/>
  <c r="BH349" i="25" s="1"/>
  <c r="BK349" i="25" s="1"/>
  <c r="BF349" i="25"/>
  <c r="BI349" i="25" s="1"/>
  <c r="BJ349" i="25" s="1"/>
  <c r="BC416" i="25"/>
  <c r="BG416" i="25" s="1"/>
  <c r="BH416" i="25" s="1"/>
  <c r="BK416" i="25" s="1"/>
  <c r="BF416" i="25"/>
  <c r="BI416" i="25" s="1"/>
  <c r="BJ416" i="25" s="1"/>
  <c r="BC415" i="25"/>
  <c r="BG415" i="25" s="1"/>
  <c r="BH415" i="25" s="1"/>
  <c r="BK415" i="25" s="1"/>
  <c r="BF415" i="25"/>
  <c r="BI415" i="25" s="1"/>
  <c r="BJ415" i="25" s="1"/>
  <c r="BC404" i="25"/>
  <c r="BG404" i="25" s="1"/>
  <c r="BH404" i="25" s="1"/>
  <c r="BK404" i="25" s="1"/>
  <c r="BF404" i="25"/>
  <c r="BI404" i="25" s="1"/>
  <c r="BJ404" i="25" s="1"/>
  <c r="BC330" i="25"/>
  <c r="BG330" i="25" s="1"/>
  <c r="BH330" i="25" s="1"/>
  <c r="BK330" i="25" s="1"/>
  <c r="BF330" i="25"/>
  <c r="BI330" i="25" s="1"/>
  <c r="BJ330" i="25" s="1"/>
  <c r="BC291" i="25"/>
  <c r="BG291" i="25" s="1"/>
  <c r="BH291" i="25" s="1"/>
  <c r="BK291" i="25" s="1"/>
  <c r="BF291" i="25"/>
  <c r="BI291" i="25" s="1"/>
  <c r="BJ291" i="25" s="1"/>
  <c r="BC215" i="25"/>
  <c r="BG215" i="25" s="1"/>
  <c r="BH215" i="25" s="1"/>
  <c r="BK215" i="25" s="1"/>
  <c r="BF215" i="25"/>
  <c r="BI215" i="25" s="1"/>
  <c r="BJ215" i="25" s="1"/>
  <c r="BC214" i="25"/>
  <c r="BG214" i="25" s="1"/>
  <c r="BH214" i="25" s="1"/>
  <c r="BK214" i="25" s="1"/>
  <c r="BF214" i="25"/>
  <c r="BI214" i="25" s="1"/>
  <c r="BJ214" i="25" s="1"/>
  <c r="BF196" i="25"/>
  <c r="BI196" i="25" s="1"/>
  <c r="BJ196" i="25" s="1"/>
  <c r="BC21" i="25"/>
  <c r="BG21" i="25" s="1"/>
  <c r="BH21" i="25" s="1"/>
  <c r="BK21" i="25" s="1"/>
  <c r="BF21" i="25"/>
  <c r="BI21" i="25" s="1"/>
  <c r="BJ21" i="25" s="1"/>
  <c r="BC409" i="25"/>
  <c r="BG409" i="25" s="1"/>
  <c r="BH409" i="25" s="1"/>
  <c r="BK409" i="25" s="1"/>
  <c r="BF409" i="25"/>
  <c r="BI409" i="25" s="1"/>
  <c r="BJ409" i="25" s="1"/>
  <c r="BF293" i="25"/>
  <c r="BI293" i="25" s="1"/>
  <c r="BJ293" i="25" s="1"/>
  <c r="BF247" i="25"/>
  <c r="BI247" i="25" s="1"/>
  <c r="BJ247" i="25" s="1"/>
  <c r="BC220" i="25"/>
  <c r="BG220" i="25" s="1"/>
  <c r="BH220" i="25" s="1"/>
  <c r="BK220" i="25" s="1"/>
  <c r="BF220" i="25"/>
  <c r="BI220" i="25" s="1"/>
  <c r="BJ220" i="25" s="1"/>
  <c r="BC11" i="25"/>
  <c r="BG11" i="25" s="1"/>
  <c r="BH11" i="25" s="1"/>
  <c r="BK11" i="25" s="1"/>
  <c r="BF11" i="25"/>
  <c r="BI11" i="25" s="1"/>
  <c r="BJ11" i="25" s="1"/>
  <c r="BC31" i="25"/>
  <c r="BG31" i="25" s="1"/>
  <c r="BH31" i="25" s="1"/>
  <c r="BK31" i="25" s="1"/>
  <c r="BF31" i="25"/>
  <c r="BI31" i="25" s="1"/>
  <c r="BJ31" i="25" s="1"/>
  <c r="BC418" i="25"/>
  <c r="BG418" i="25" s="1"/>
  <c r="BH418" i="25" s="1"/>
  <c r="BK418" i="25" s="1"/>
  <c r="BF418" i="25"/>
  <c r="BI418" i="25" s="1"/>
  <c r="BJ418" i="25" s="1"/>
  <c r="BC388" i="25"/>
  <c r="BG388" i="25" s="1"/>
  <c r="BH388" i="25" s="1"/>
  <c r="BK388" i="25" s="1"/>
  <c r="BF388" i="25"/>
  <c r="BI388" i="25" s="1"/>
  <c r="BJ388" i="25" s="1"/>
  <c r="BF406" i="25"/>
  <c r="BI406" i="25" s="1"/>
  <c r="BJ406" i="25" s="1"/>
  <c r="BC406" i="25"/>
  <c r="BG406" i="25" s="1"/>
  <c r="BH406" i="25" s="1"/>
  <c r="BK406" i="25" s="1"/>
  <c r="BF303" i="25"/>
  <c r="BI303" i="25" s="1"/>
  <c r="BJ303" i="25" s="1"/>
  <c r="BC303" i="25"/>
  <c r="BG303" i="25" s="1"/>
  <c r="BH303" i="25" s="1"/>
  <c r="BK303" i="25" s="1"/>
  <c r="BC300" i="25"/>
  <c r="BG300" i="25" s="1"/>
  <c r="BH300" i="25" s="1"/>
  <c r="BK300" i="25" s="1"/>
  <c r="BF300" i="25"/>
  <c r="BI300" i="25" s="1"/>
  <c r="BJ300" i="25" s="1"/>
  <c r="BF230" i="25"/>
  <c r="BI230" i="25" s="1"/>
  <c r="BJ230" i="25" s="1"/>
  <c r="BC216" i="25"/>
  <c r="BG216" i="25" s="1"/>
  <c r="BH216" i="25" s="1"/>
  <c r="BK216" i="25" s="1"/>
  <c r="BF216" i="25"/>
  <c r="BI216" i="25" s="1"/>
  <c r="BJ216" i="25" s="1"/>
  <c r="BY257" i="25"/>
  <c r="BZ257" i="25" s="1"/>
  <c r="CA257" i="25" s="1"/>
  <c r="BC202" i="25"/>
  <c r="BG202" i="25" s="1"/>
  <c r="BH202" i="25" s="1"/>
  <c r="BK202" i="25" s="1"/>
  <c r="BF202" i="25"/>
  <c r="BI202" i="25" s="1"/>
  <c r="BJ202" i="25" s="1"/>
  <c r="BH99" i="25" l="1"/>
  <c r="BK99" i="25" s="1"/>
  <c r="D65" i="112"/>
  <c r="D55" i="112"/>
  <c r="D62" i="111" l="1"/>
  <c r="D56" i="110" l="1"/>
  <c r="G149" i="89" l="1"/>
  <c r="G132" i="89"/>
  <c r="G114" i="89"/>
  <c r="U136" i="92"/>
  <c r="T136" i="92"/>
  <c r="G100" i="89" l="1"/>
  <c r="F37" i="89" l="1"/>
  <c r="F36" i="89"/>
  <c r="F35" i="89"/>
  <c r="Q703" i="25" l="1"/>
  <c r="Q704" i="25"/>
  <c r="G27" i="89"/>
  <c r="G32" i="89"/>
  <c r="G43" i="89"/>
  <c r="D11" i="89"/>
  <c r="G41" i="89"/>
  <c r="G42" i="89"/>
  <c r="G30" i="89"/>
  <c r="H112" i="89" l="1"/>
  <c r="AU98" i="89"/>
  <c r="H98" i="89"/>
  <c r="H147" i="89"/>
  <c r="G37" i="89"/>
  <c r="G35" i="89"/>
  <c r="H100" i="89" l="1"/>
  <c r="H149" i="89"/>
  <c r="H114" i="89"/>
  <c r="AU100" i="89"/>
  <c r="H43" i="89"/>
  <c r="I43" i="89" s="1"/>
  <c r="D53" i="107" l="1"/>
  <c r="CP382" i="25" l="1"/>
  <c r="CO382" i="25"/>
  <c r="CP381" i="25"/>
  <c r="CO381" i="25"/>
  <c r="CP375" i="25"/>
  <c r="CO375" i="25"/>
  <c r="CP363" i="25"/>
  <c r="CO363" i="25"/>
  <c r="CP360" i="25"/>
  <c r="CO360" i="25"/>
  <c r="CP355" i="25"/>
  <c r="CO355" i="25"/>
  <c r="CP352" i="25"/>
  <c r="CO352" i="25"/>
  <c r="CP345" i="25"/>
  <c r="CO345" i="25"/>
  <c r="CP301" i="25"/>
  <c r="CO301" i="25"/>
  <c r="CP298" i="25"/>
  <c r="CO298" i="25"/>
  <c r="CP297" i="25"/>
  <c r="CO297" i="25"/>
  <c r="CP296" i="25"/>
  <c r="CO296" i="25"/>
  <c r="CP294" i="25"/>
  <c r="CO294" i="25"/>
  <c r="CP343" i="25"/>
  <c r="CO343" i="25"/>
  <c r="CP237" i="25"/>
  <c r="CO237" i="25"/>
  <c r="CP365" i="25"/>
  <c r="CO365" i="25"/>
  <c r="CP348" i="25"/>
  <c r="CO348" i="25"/>
  <c r="CP347" i="25"/>
  <c r="CO347" i="25"/>
  <c r="CP344" i="25"/>
  <c r="CO344" i="25"/>
  <c r="CP212" i="25"/>
  <c r="CO212" i="25"/>
  <c r="CP369" i="25"/>
  <c r="CO369" i="25"/>
  <c r="CP351" i="25"/>
  <c r="CO351" i="25"/>
  <c r="CP342" i="25"/>
  <c r="CO342" i="25"/>
  <c r="F41" i="89" l="1"/>
  <c r="H41" i="89" s="1"/>
  <c r="I41" i="89" s="1"/>
  <c r="C81" i="89"/>
  <c r="C70" i="89"/>
  <c r="C69" i="89"/>
  <c r="C68" i="89"/>
  <c r="U139" i="92"/>
  <c r="L139" i="92"/>
  <c r="M139" i="92"/>
  <c r="T139" i="92"/>
  <c r="F42" i="89" l="1"/>
  <c r="H42" i="89" s="1"/>
  <c r="I42" i="89" s="1"/>
  <c r="H37" i="89"/>
  <c r="I37" i="89" s="1"/>
  <c r="H36" i="89"/>
  <c r="I36" i="89" s="1"/>
  <c r="H35" i="89"/>
  <c r="I35" i="89" s="1"/>
  <c r="Z134" i="89" l="1"/>
  <c r="Z98" i="89"/>
  <c r="AA134" i="89"/>
  <c r="AA98" i="89"/>
  <c r="AB134" i="89" l="1"/>
  <c r="AB98" i="89"/>
  <c r="F717" i="25"/>
  <c r="F719" i="25"/>
  <c r="F716" i="25"/>
  <c r="F715" i="25"/>
  <c r="F720" i="25"/>
  <c r="F726" i="25"/>
  <c r="F723" i="25"/>
  <c r="F725" i="25"/>
  <c r="F714" i="25"/>
  <c r="F718" i="25"/>
  <c r="F727" i="25"/>
  <c r="F724" i="25"/>
  <c r="F722" i="25"/>
  <c r="F721" i="25"/>
  <c r="F702" i="25"/>
  <c r="F698" i="25"/>
  <c r="F699" i="25"/>
  <c r="F700" i="25"/>
  <c r="F701" i="25"/>
  <c r="F654" i="25"/>
  <c r="F668" i="25"/>
  <c r="F674" i="25"/>
  <c r="F639" i="25"/>
  <c r="F632" i="25"/>
  <c r="F600" i="25"/>
  <c r="F595" i="25"/>
  <c r="F612" i="25"/>
  <c r="F606" i="25"/>
  <c r="F597" i="25"/>
  <c r="F619" i="25"/>
  <c r="F596" i="25"/>
  <c r="F620" i="25"/>
  <c r="F601" i="25"/>
  <c r="F614" i="25"/>
  <c r="F621" i="25"/>
  <c r="F613" i="25"/>
  <c r="F610" i="25"/>
  <c r="F594" i="25"/>
  <c r="F607" i="25"/>
  <c r="F599" i="25"/>
  <c r="F602" i="25"/>
  <c r="F616" i="25"/>
  <c r="F611" i="25"/>
  <c r="F609" i="25"/>
  <c r="F617" i="25"/>
  <c r="F603" i="25"/>
  <c r="F618" i="25"/>
  <c r="F615" i="25"/>
  <c r="F598" i="25"/>
  <c r="F608" i="25"/>
  <c r="F604" i="25"/>
  <c r="F605" i="25"/>
  <c r="Z129" i="89"/>
  <c r="Z131" i="89"/>
  <c r="Z133" i="89"/>
  <c r="Z97" i="89"/>
  <c r="Z100" i="89"/>
  <c r="Z99" i="89"/>
  <c r="C75" i="89"/>
  <c r="C63" i="89"/>
  <c r="C57" i="89"/>
  <c r="C51" i="89"/>
  <c r="H101" i="89"/>
  <c r="T138" i="92"/>
  <c r="I55" i="92"/>
  <c r="C164" i="92"/>
  <c r="C135" i="92"/>
  <c r="U137" i="92"/>
  <c r="H102" i="89"/>
  <c r="X232" i="92"/>
  <c r="D139" i="92"/>
  <c r="Q234" i="92"/>
  <c r="G28" i="89"/>
  <c r="I56" i="92"/>
  <c r="G31" i="89"/>
  <c r="D178" i="92"/>
  <c r="H97" i="89"/>
  <c r="L136" i="92"/>
  <c r="G40" i="89"/>
  <c r="F178" i="92"/>
  <c r="D73" i="92"/>
  <c r="D135" i="92"/>
  <c r="C179" i="92"/>
  <c r="F179" i="92"/>
  <c r="H116" i="89"/>
  <c r="M134" i="92"/>
  <c r="G38" i="89"/>
  <c r="D133" i="92"/>
  <c r="Q233" i="92"/>
  <c r="X233" i="92"/>
  <c r="M136" i="92"/>
  <c r="AU101" i="89"/>
  <c r="C178" i="92"/>
  <c r="H134" i="89"/>
  <c r="D163" i="92"/>
  <c r="X235" i="92"/>
  <c r="H129" i="89"/>
  <c r="D179" i="92"/>
  <c r="G39" i="89"/>
  <c r="C163" i="92"/>
  <c r="AA97" i="89"/>
  <c r="L134" i="92"/>
  <c r="H99" i="89"/>
  <c r="H113" i="89"/>
  <c r="H56" i="92"/>
  <c r="E162" i="92"/>
  <c r="G26" i="89"/>
  <c r="J234" i="92"/>
  <c r="H111" i="89"/>
  <c r="Q235" i="92"/>
  <c r="T135" i="92"/>
  <c r="J235" i="92"/>
  <c r="H131" i="89"/>
  <c r="L138" i="92"/>
  <c r="C134" i="92"/>
  <c r="AA131" i="89"/>
  <c r="R229" i="92"/>
  <c r="M138" i="92"/>
  <c r="H151" i="89"/>
  <c r="J233" i="92"/>
  <c r="H150" i="89"/>
  <c r="F180" i="92"/>
  <c r="X234" i="92"/>
  <c r="G34" i="89"/>
  <c r="D164" i="92"/>
  <c r="M133" i="92"/>
  <c r="H57" i="92"/>
  <c r="M135" i="92"/>
  <c r="F162" i="92"/>
  <c r="C137" i="92"/>
  <c r="L137" i="92"/>
  <c r="E180" i="92"/>
  <c r="D72" i="92"/>
  <c r="L133" i="92"/>
  <c r="K229" i="92"/>
  <c r="C180" i="92"/>
  <c r="F163" i="92"/>
  <c r="Q232" i="92"/>
  <c r="D134" i="92"/>
  <c r="C133" i="92"/>
  <c r="D180" i="92"/>
  <c r="U138" i="92"/>
  <c r="H55" i="92"/>
  <c r="H133" i="89"/>
  <c r="C136" i="92"/>
  <c r="C72" i="92"/>
  <c r="C71" i="92"/>
  <c r="AA100" i="89"/>
  <c r="G29" i="89"/>
  <c r="E179" i="92"/>
  <c r="AA99" i="89"/>
  <c r="C73" i="92"/>
  <c r="F164" i="92"/>
  <c r="C138" i="92"/>
  <c r="H146" i="89"/>
  <c r="D137" i="92"/>
  <c r="L135" i="92"/>
  <c r="U135" i="92"/>
  <c r="Y229" i="92"/>
  <c r="AU97" i="89"/>
  <c r="M137" i="92"/>
  <c r="J232" i="92"/>
  <c r="C139" i="92"/>
  <c r="E178" i="92"/>
  <c r="U133" i="92"/>
  <c r="T137" i="92"/>
  <c r="D71" i="92"/>
  <c r="D162" i="92"/>
  <c r="D138" i="92"/>
  <c r="AU102" i="89"/>
  <c r="C162" i="92"/>
  <c r="AU99" i="89"/>
  <c r="H115" i="89"/>
  <c r="AA133" i="89"/>
  <c r="I57" i="92"/>
  <c r="H148" i="89"/>
  <c r="E163" i="92"/>
  <c r="AA129" i="89"/>
  <c r="T133" i="92"/>
  <c r="E164" i="92"/>
  <c r="X133" i="92" l="1"/>
  <c r="X134" i="92"/>
  <c r="X135" i="92"/>
  <c r="G44" i="89"/>
  <c r="H103" i="89"/>
  <c r="H104" i="89" s="1"/>
  <c r="H27" i="89"/>
  <c r="I27" i="89" s="1"/>
  <c r="H39" i="89"/>
  <c r="I39" i="89" s="1"/>
  <c r="H33" i="89"/>
  <c r="I33" i="89" s="1"/>
  <c r="H30" i="89"/>
  <c r="I30" i="89" s="1"/>
  <c r="H28" i="89"/>
  <c r="I28" i="89" s="1"/>
  <c r="H40" i="89"/>
  <c r="I40" i="89" s="1"/>
  <c r="H38" i="89"/>
  <c r="I38" i="89" s="1"/>
  <c r="H26" i="89"/>
  <c r="I26" i="89" s="1"/>
  <c r="H34" i="89"/>
  <c r="I34" i="89" s="1"/>
  <c r="H29" i="89"/>
  <c r="I29" i="89" s="1"/>
  <c r="H31" i="89"/>
  <c r="I31" i="89" s="1"/>
  <c r="H32" i="89"/>
  <c r="I32" i="89" s="1"/>
  <c r="O27" i="89"/>
  <c r="K27" i="89"/>
  <c r="J27" i="89"/>
  <c r="D51" i="89"/>
  <c r="L27" i="89"/>
  <c r="N27" i="89"/>
  <c r="M27" i="89"/>
  <c r="O31" i="89"/>
  <c r="K31" i="89"/>
  <c r="J31" i="89"/>
  <c r="L31" i="89"/>
  <c r="N31" i="89"/>
  <c r="D58" i="89"/>
  <c r="M31" i="89"/>
  <c r="O35" i="89"/>
  <c r="K35" i="89"/>
  <c r="D68" i="89"/>
  <c r="N35" i="89"/>
  <c r="L35" i="89"/>
  <c r="J35" i="89"/>
  <c r="M35" i="89"/>
  <c r="O39" i="89"/>
  <c r="K39" i="89"/>
  <c r="N39" i="89"/>
  <c r="D75" i="89"/>
  <c r="L39" i="89"/>
  <c r="J39" i="89"/>
  <c r="M39" i="89"/>
  <c r="O43" i="89"/>
  <c r="K43" i="89"/>
  <c r="N43" i="89"/>
  <c r="L43" i="89"/>
  <c r="J43" i="89"/>
  <c r="D82" i="89"/>
  <c r="M43" i="89"/>
  <c r="I102" i="89"/>
  <c r="AV100" i="89"/>
  <c r="I98" i="89"/>
  <c r="I114" i="89"/>
  <c r="I130" i="89"/>
  <c r="I134" i="89"/>
  <c r="N42" i="89"/>
  <c r="J42" i="89"/>
  <c r="M42" i="89"/>
  <c r="O42" i="89"/>
  <c r="K42" i="89"/>
  <c r="D81" i="89"/>
  <c r="P89" i="89" s="1"/>
  <c r="L42" i="89"/>
  <c r="I101" i="89"/>
  <c r="I97" i="89"/>
  <c r="I148" i="89"/>
  <c r="I150" i="89"/>
  <c r="D52" i="89"/>
  <c r="L28" i="89"/>
  <c r="K28" i="89"/>
  <c r="M28" i="89"/>
  <c r="O28" i="89"/>
  <c r="N28" i="89"/>
  <c r="J28" i="89"/>
  <c r="L32" i="89"/>
  <c r="K32" i="89"/>
  <c r="D62" i="89"/>
  <c r="M32" i="89"/>
  <c r="O32" i="89"/>
  <c r="N32" i="89"/>
  <c r="J32" i="89"/>
  <c r="L36" i="89"/>
  <c r="D69" i="89"/>
  <c r="N89" i="89" s="1"/>
  <c r="O36" i="89"/>
  <c r="M36" i="89"/>
  <c r="K36" i="89"/>
  <c r="N36" i="89"/>
  <c r="J36" i="89"/>
  <c r="D76" i="89"/>
  <c r="L40" i="89"/>
  <c r="O40" i="89"/>
  <c r="K40" i="89"/>
  <c r="M40" i="89"/>
  <c r="N40" i="89"/>
  <c r="J40" i="89"/>
  <c r="AV101" i="89"/>
  <c r="AB100" i="89"/>
  <c r="I99" i="89"/>
  <c r="AV97" i="89"/>
  <c r="I113" i="89"/>
  <c r="I129" i="89"/>
  <c r="I133" i="89"/>
  <c r="I147" i="89"/>
  <c r="I149" i="89"/>
  <c r="I151" i="89"/>
  <c r="N26" i="89"/>
  <c r="J26" i="89"/>
  <c r="D50" i="89"/>
  <c r="O26" i="89"/>
  <c r="K26" i="89"/>
  <c r="M26" i="89"/>
  <c r="L26" i="89"/>
  <c r="N30" i="89"/>
  <c r="J30" i="89"/>
  <c r="D57" i="89"/>
  <c r="L89" i="89" s="1"/>
  <c r="O30" i="89"/>
  <c r="K30" i="89"/>
  <c r="M30" i="89"/>
  <c r="L30" i="89"/>
  <c r="D64" i="89"/>
  <c r="N34" i="89"/>
  <c r="J34" i="89"/>
  <c r="M34" i="89"/>
  <c r="O34" i="89"/>
  <c r="K34" i="89"/>
  <c r="L34" i="89"/>
  <c r="N38" i="89"/>
  <c r="J38" i="89"/>
  <c r="M38" i="89"/>
  <c r="D74" i="89"/>
  <c r="O38" i="89"/>
  <c r="K38" i="89"/>
  <c r="L38" i="89"/>
  <c r="AV99" i="89"/>
  <c r="I111" i="89"/>
  <c r="I115" i="89"/>
  <c r="I131" i="89"/>
  <c r="I146" i="89"/>
  <c r="M29" i="89"/>
  <c r="N29" i="89"/>
  <c r="J29" i="89"/>
  <c r="D56" i="89"/>
  <c r="L29" i="89"/>
  <c r="O29" i="89"/>
  <c r="K29" i="89"/>
  <c r="M33" i="89"/>
  <c r="D63" i="89"/>
  <c r="N33" i="89"/>
  <c r="J33" i="89"/>
  <c r="L33" i="89"/>
  <c r="O33" i="89"/>
  <c r="K33" i="89"/>
  <c r="M37" i="89"/>
  <c r="N37" i="89"/>
  <c r="J37" i="89"/>
  <c r="L37" i="89"/>
  <c r="D70" i="89"/>
  <c r="O37" i="89"/>
  <c r="K37" i="89"/>
  <c r="M41" i="89"/>
  <c r="D80" i="89"/>
  <c r="L41" i="89"/>
  <c r="N41" i="89"/>
  <c r="J41" i="89"/>
  <c r="O41" i="89"/>
  <c r="K41" i="89"/>
  <c r="AV102" i="89"/>
  <c r="I100" i="89"/>
  <c r="AV98" i="89"/>
  <c r="I112" i="89"/>
  <c r="I116" i="89"/>
  <c r="AB133" i="89"/>
  <c r="I132" i="89"/>
  <c r="AB129" i="89"/>
  <c r="D136" i="92"/>
  <c r="P133" i="92"/>
  <c r="G134" i="92"/>
  <c r="P135" i="92"/>
  <c r="K235" i="92"/>
  <c r="K233" i="92"/>
  <c r="K234" i="92"/>
  <c r="K232" i="92"/>
  <c r="R234" i="92"/>
  <c r="R232" i="92"/>
  <c r="R235" i="92"/>
  <c r="R233" i="92"/>
  <c r="G133" i="92"/>
  <c r="P134" i="92"/>
  <c r="G135" i="92"/>
  <c r="Y235" i="92"/>
  <c r="Y233" i="92"/>
  <c r="Y234" i="92"/>
  <c r="Y232" i="92"/>
  <c r="AB131" i="89"/>
  <c r="AB99" i="89"/>
  <c r="AB97" i="89"/>
  <c r="D84" i="89" l="1"/>
  <c r="D85" i="89" s="1"/>
  <c r="E81" i="89"/>
  <c r="H89" i="89" s="1"/>
  <c r="E69" i="89"/>
  <c r="F89" i="89" s="1"/>
  <c r="E57" i="89"/>
  <c r="D89" i="89" s="1"/>
  <c r="M89" i="89"/>
  <c r="E63" i="89"/>
  <c r="K89" i="89"/>
  <c r="E51" i="89"/>
  <c r="L88" i="89"/>
  <c r="E56" i="89"/>
  <c r="O88" i="89"/>
  <c r="E74" i="89"/>
  <c r="P88" i="89"/>
  <c r="E80" i="89"/>
  <c r="E70" i="89"/>
  <c r="N90" i="89"/>
  <c r="O90" i="89"/>
  <c r="E76" i="89"/>
  <c r="M88" i="89"/>
  <c r="E62" i="89"/>
  <c r="P90" i="89"/>
  <c r="E82" i="89"/>
  <c r="M90" i="89"/>
  <c r="E64" i="89"/>
  <c r="K88" i="89"/>
  <c r="E50" i="89"/>
  <c r="K90" i="89"/>
  <c r="E52" i="89"/>
  <c r="O89" i="89"/>
  <c r="E75" i="89"/>
  <c r="E68" i="89"/>
  <c r="N88" i="89"/>
  <c r="L90" i="89"/>
  <c r="E58" i="89"/>
  <c r="D90" i="89" l="1"/>
  <c r="G89" i="89"/>
  <c r="C88" i="89"/>
  <c r="H90" i="89"/>
  <c r="G90" i="89"/>
  <c r="H88" i="89"/>
  <c r="C89" i="89"/>
  <c r="D88" i="89"/>
  <c r="C90" i="89"/>
  <c r="E90" i="89"/>
  <c r="E88" i="89"/>
  <c r="E89" i="89"/>
  <c r="F88" i="89"/>
  <c r="F90" i="89"/>
  <c r="G88" i="89"/>
</calcChain>
</file>

<file path=xl/comments1.xml><?xml version="1.0" encoding="utf-8"?>
<comments xmlns="http://schemas.openxmlformats.org/spreadsheetml/2006/main">
  <authors>
    <author>Mee Mee Thaw</author>
    <author>Sanda Lwin</author>
    <author>MEAL Supervisor</author>
    <author>Kyaw Hla Phyu</author>
    <author>SIT MEAL Supervisor</author>
  </authors>
  <commentList>
    <comment ref="D3" authorId="0" shapeId="0">
      <text>
        <r>
          <rPr>
            <b/>
            <sz val="9"/>
            <color indexed="81"/>
            <rFont val="Tahoma"/>
            <family val="2"/>
          </rPr>
          <t>Mee Mee Thaw:</t>
        </r>
        <r>
          <rPr>
            <sz val="9"/>
            <color indexed="81"/>
            <rFont val="Tahoma"/>
            <family val="2"/>
          </rPr>
          <t xml:space="preserve">
</t>
        </r>
      </text>
    </comment>
    <comment ref="E36" authorId="0" shapeId="0">
      <text>
        <r>
          <rPr>
            <b/>
            <sz val="9"/>
            <color indexed="81"/>
            <rFont val="Tahoma"/>
            <family val="2"/>
          </rPr>
          <t>Mee Mee Thaw:</t>
        </r>
        <r>
          <rPr>
            <sz val="9"/>
            <color indexed="81"/>
            <rFont val="Tahoma"/>
            <family val="2"/>
          </rPr>
          <t xml:space="preserve">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r>
      </text>
    </comment>
    <comment ref="E51" authorId="0" shapeId="0">
      <text>
        <r>
          <rPr>
            <b/>
            <sz val="9"/>
            <color indexed="81"/>
            <rFont val="Tahoma"/>
            <family val="2"/>
          </rPr>
          <t>Mee Mee Thaw:</t>
        </r>
        <r>
          <rPr>
            <sz val="9"/>
            <color indexed="81"/>
            <rFont val="Tahoma"/>
            <family val="2"/>
          </rPr>
          <t xml:space="preserve">
Combination of BTP 1,2,3</t>
        </r>
      </text>
    </comment>
    <comment ref="P82" authorId="1" shapeId="0">
      <text>
        <r>
          <rPr>
            <b/>
            <sz val="9"/>
            <color indexed="81"/>
            <rFont val="Tahoma"/>
            <family val="2"/>
          </rPr>
          <t>Sanda Lwin:</t>
        </r>
        <r>
          <rPr>
            <sz val="9"/>
            <color indexed="81"/>
            <rFont val="Tahoma"/>
            <family val="2"/>
          </rPr>
          <t xml:space="preserve">
2 Hand Dug wells and one GFS</t>
        </r>
      </text>
    </comment>
    <comment ref="P86" authorId="1" shapeId="0">
      <text>
        <r>
          <rPr>
            <b/>
            <sz val="9"/>
            <color indexed="81"/>
            <rFont val="Tahoma"/>
            <family val="2"/>
          </rPr>
          <t>Sanda Lwin:</t>
        </r>
        <r>
          <rPr>
            <sz val="9"/>
            <color indexed="81"/>
            <rFont val="Tahoma"/>
            <family val="2"/>
          </rPr>
          <t xml:space="preserve">
2 water points (one-domastic, one for drinking)</t>
        </r>
      </text>
    </comment>
    <comment ref="E89" authorId="0" shapeId="0">
      <text>
        <r>
          <rPr>
            <b/>
            <sz val="9"/>
            <color indexed="81"/>
            <rFont val="Tahoma"/>
            <family val="2"/>
          </rPr>
          <t>Mee Mee Thaw:</t>
        </r>
        <r>
          <rPr>
            <sz val="9"/>
            <color indexed="81"/>
            <rFont val="Tahoma"/>
            <family val="2"/>
          </rPr>
          <t xml:space="preserve">
combination of Loi je lisu 1+2+3+4</t>
        </r>
      </text>
    </comment>
    <comment ref="P135" authorId="1" shapeId="0">
      <text>
        <r>
          <rPr>
            <b/>
            <sz val="9"/>
            <color indexed="81"/>
            <rFont val="Tahoma"/>
            <family val="2"/>
          </rPr>
          <t>Sanda Lwin:</t>
        </r>
        <r>
          <rPr>
            <sz val="9"/>
            <color indexed="81"/>
            <rFont val="Tahoma"/>
            <family val="2"/>
          </rPr>
          <t xml:space="preserve">
One sprine catchment</t>
        </r>
      </text>
    </comment>
    <comment ref="AA294" authorId="0" shapeId="0">
      <text>
        <r>
          <rPr>
            <b/>
            <sz val="9"/>
            <color indexed="81"/>
            <rFont val="Tahoma"/>
            <family val="2"/>
          </rPr>
          <t>Mee Mee Thaw:</t>
        </r>
        <r>
          <rPr>
            <sz val="9"/>
            <color indexed="81"/>
            <rFont val="Tahoma"/>
            <family val="2"/>
          </rPr>
          <t xml:space="preserve">
Adjust with Q1,Q2 existing latrines</t>
        </r>
      </text>
    </comment>
    <comment ref="AA295" authorId="0" shapeId="0">
      <text>
        <r>
          <rPr>
            <b/>
            <sz val="9"/>
            <color indexed="81"/>
            <rFont val="Tahoma"/>
            <family val="2"/>
          </rPr>
          <t>Mee Mee Thaw:</t>
        </r>
        <r>
          <rPr>
            <sz val="9"/>
            <color indexed="81"/>
            <rFont val="Tahoma"/>
            <family val="2"/>
          </rPr>
          <t xml:space="preserve">
we assumed handered over latrines is existing functional latrines</t>
        </r>
      </text>
    </comment>
    <comment ref="AC296" authorId="2" shapeId="0">
      <text>
        <r>
          <rPr>
            <b/>
            <sz val="9"/>
            <color indexed="81"/>
            <rFont val="Tahoma"/>
            <family val="2"/>
          </rPr>
          <t>MEAL Supervisor:</t>
        </r>
        <r>
          <rPr>
            <sz val="9"/>
            <color indexed="81"/>
            <rFont val="Tahoma"/>
            <family val="2"/>
          </rPr>
          <t xml:space="preserve">
Baw Du Pha 1+2</t>
        </r>
      </text>
    </comment>
    <comment ref="Z363" authorId="3" shapeId="0">
      <text>
        <r>
          <rPr>
            <b/>
            <sz val="8"/>
            <color indexed="81"/>
            <rFont val="Tahoma"/>
            <family val="2"/>
          </rPr>
          <t>Kyaw Hla Phyu:</t>
        </r>
        <r>
          <rPr>
            <sz val="8"/>
            <color indexed="81"/>
            <rFont val="Tahoma"/>
            <family val="2"/>
          </rPr>
          <t xml:space="preserve">
There are hand washing station but not functioning in all TLS</t>
        </r>
      </text>
    </comment>
    <comment ref="P375" authorId="2" shapeId="0">
      <text>
        <r>
          <rPr>
            <b/>
            <sz val="9"/>
            <color indexed="81"/>
            <rFont val="Tahoma"/>
            <family val="2"/>
          </rPr>
          <t>MEAL Supervisor:</t>
        </r>
        <r>
          <rPr>
            <sz val="9"/>
            <color indexed="81"/>
            <rFont val="Tahoma"/>
            <family val="2"/>
          </rPr>
          <t xml:space="preserve">
TC Muslim village has no updates in this Quarter</t>
        </r>
      </text>
    </comment>
    <comment ref="S375" authorId="2" shapeId="0">
      <text>
        <r>
          <rPr>
            <b/>
            <sz val="9"/>
            <color indexed="81"/>
            <rFont val="Tahoma"/>
            <family val="2"/>
          </rPr>
          <t>MEAL Supervisor:</t>
        </r>
        <r>
          <rPr>
            <sz val="9"/>
            <color indexed="81"/>
            <rFont val="Tahoma"/>
            <family val="2"/>
          </rPr>
          <t xml:space="preserve">
TC camp + TC Muslim village</t>
        </r>
      </text>
    </comment>
    <comment ref="E393" authorId="0" shapeId="0">
      <text>
        <r>
          <rPr>
            <b/>
            <sz val="9"/>
            <color indexed="81"/>
            <rFont val="Tahoma"/>
            <family val="2"/>
          </rPr>
          <t>Mee Mee Thaw:</t>
        </r>
        <r>
          <rPr>
            <sz val="9"/>
            <color indexed="81"/>
            <rFont val="Tahoma"/>
            <family val="2"/>
          </rPr>
          <t xml:space="preserve">
the same with Kutkhai KBC-2(block-6)</t>
        </r>
      </text>
    </comment>
    <comment ref="E395" authorId="0" shapeId="0">
      <text>
        <r>
          <rPr>
            <b/>
            <sz val="9"/>
            <color indexed="81"/>
            <rFont val="Tahoma"/>
            <family val="2"/>
          </rPr>
          <t>Mee Mee Thaw:</t>
        </r>
        <r>
          <rPr>
            <sz val="9"/>
            <color indexed="81"/>
            <rFont val="Tahoma"/>
            <family val="2"/>
          </rPr>
          <t xml:space="preserve">
Combinewith  Ho Kho</t>
        </r>
      </text>
    </comment>
    <comment ref="B403" authorId="0" shapeId="0">
      <text>
        <r>
          <rPr>
            <b/>
            <sz val="9"/>
            <color indexed="81"/>
            <rFont val="Tahoma"/>
            <family val="2"/>
          </rPr>
          <t>Mee Mee Thaw:</t>
        </r>
        <r>
          <rPr>
            <sz val="9"/>
            <color indexed="81"/>
            <rFont val="Tahoma"/>
            <family val="2"/>
          </rPr>
          <t xml:space="preserve">
Metta in Q2</t>
        </r>
      </text>
    </comment>
    <comment ref="E454" authorId="0" shapeId="0">
      <text>
        <r>
          <rPr>
            <b/>
            <sz val="9"/>
            <color indexed="81"/>
            <rFont val="Tahoma"/>
            <family val="2"/>
          </rPr>
          <t>Mee Mee Thaw:</t>
        </r>
        <r>
          <rPr>
            <sz val="9"/>
            <color indexed="81"/>
            <rFont val="Tahoma"/>
            <family val="2"/>
          </rPr>
          <t xml:space="preserve">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r>
      </text>
    </comment>
    <comment ref="E469" authorId="0" shapeId="0">
      <text>
        <r>
          <rPr>
            <b/>
            <sz val="9"/>
            <color indexed="81"/>
            <rFont val="Tahoma"/>
            <family val="2"/>
          </rPr>
          <t>Mee Mee Thaw:</t>
        </r>
        <r>
          <rPr>
            <sz val="9"/>
            <color indexed="81"/>
            <rFont val="Tahoma"/>
            <family val="2"/>
          </rPr>
          <t xml:space="preserve">
Combination of BTP 1,2,3</t>
        </r>
      </text>
    </comment>
    <comment ref="P500" authorId="1" shapeId="0">
      <text>
        <r>
          <rPr>
            <b/>
            <sz val="9"/>
            <color indexed="81"/>
            <rFont val="Tahoma"/>
            <family val="2"/>
          </rPr>
          <t>Sanda Lwin:</t>
        </r>
        <r>
          <rPr>
            <sz val="9"/>
            <color indexed="81"/>
            <rFont val="Tahoma"/>
            <family val="2"/>
          </rPr>
          <t xml:space="preserve">
2 Hand Dug wells and one GFS</t>
        </r>
      </text>
    </comment>
    <comment ref="P504" authorId="1" shapeId="0">
      <text>
        <r>
          <rPr>
            <b/>
            <sz val="9"/>
            <color indexed="81"/>
            <rFont val="Tahoma"/>
            <family val="2"/>
          </rPr>
          <t>Sanda Lwin:</t>
        </r>
        <r>
          <rPr>
            <sz val="9"/>
            <color indexed="81"/>
            <rFont val="Tahoma"/>
            <family val="2"/>
          </rPr>
          <t xml:space="preserve">
2 water points (one-domastic, one for drinking)</t>
        </r>
      </text>
    </comment>
    <comment ref="E507" authorId="0" shapeId="0">
      <text>
        <r>
          <rPr>
            <b/>
            <sz val="9"/>
            <color indexed="81"/>
            <rFont val="Tahoma"/>
            <family val="2"/>
          </rPr>
          <t>Mee Mee Thaw:</t>
        </r>
        <r>
          <rPr>
            <sz val="9"/>
            <color indexed="81"/>
            <rFont val="Tahoma"/>
            <family val="2"/>
          </rPr>
          <t xml:space="preserve">
combination of Loi je lisu 1+2+3+4</t>
        </r>
      </text>
    </comment>
    <comment ref="P553" authorId="1" shapeId="0">
      <text>
        <r>
          <rPr>
            <b/>
            <sz val="9"/>
            <color indexed="81"/>
            <rFont val="Tahoma"/>
            <family val="2"/>
          </rPr>
          <t>Sanda Lwin:</t>
        </r>
        <r>
          <rPr>
            <sz val="9"/>
            <color indexed="81"/>
            <rFont val="Tahoma"/>
            <family val="2"/>
          </rPr>
          <t xml:space="preserve">
One sprine catchment</t>
        </r>
      </text>
    </comment>
    <comment ref="AP754" authorId="4" shapeId="0">
      <text>
        <r>
          <rPr>
            <b/>
            <sz val="9"/>
            <color indexed="81"/>
            <rFont val="Tahoma"/>
            <family val="2"/>
          </rPr>
          <t>SIT MEAL Supervisor:</t>
        </r>
        <r>
          <rPr>
            <sz val="9"/>
            <color indexed="81"/>
            <rFont val="Tahoma"/>
            <family val="2"/>
          </rPr>
          <t xml:space="preserve">
BDP1+BDP2</t>
        </r>
      </text>
    </comment>
    <comment ref="Z779" authorId="3" shapeId="0">
      <text>
        <r>
          <rPr>
            <b/>
            <sz val="8"/>
            <color indexed="81"/>
            <rFont val="Tahoma"/>
            <family val="2"/>
          </rPr>
          <t>Kyaw Hla Phyu:</t>
        </r>
        <r>
          <rPr>
            <sz val="8"/>
            <color indexed="81"/>
            <rFont val="Tahoma"/>
            <family val="2"/>
          </rPr>
          <t xml:space="preserve">
There are hand washing station but not functioning in all TLS</t>
        </r>
      </text>
    </comment>
  </commentList>
</comments>
</file>

<file path=xl/comments2.xml><?xml version="1.0" encoding="utf-8"?>
<comments xmlns="http://schemas.openxmlformats.org/spreadsheetml/2006/main">
  <authors>
    <author>Than Kyaw Soe</author>
  </authors>
  <commentList>
    <comment ref="E420" authorId="0" shapeId="0">
      <text>
        <r>
          <rPr>
            <b/>
            <sz val="9"/>
            <color indexed="81"/>
            <rFont val="Tahoma"/>
            <family val="2"/>
          </rPr>
          <t>Than Kyaw Soe:</t>
        </r>
        <r>
          <rPr>
            <sz val="9"/>
            <color indexed="81"/>
            <rFont val="Tahoma"/>
            <family val="2"/>
          </rPr>
          <t xml:space="preserve">
move to another locations need to change the GPS Point</t>
        </r>
      </text>
    </comment>
  </commentList>
</comments>
</file>

<file path=xl/sharedStrings.xml><?xml version="1.0" encoding="utf-8"?>
<sst xmlns="http://schemas.openxmlformats.org/spreadsheetml/2006/main" count="35333" uniqueCount="3263">
  <si>
    <t>General Site information</t>
  </si>
  <si>
    <t>V1</t>
  </si>
  <si>
    <t>V2</t>
  </si>
  <si>
    <t>V3</t>
  </si>
  <si>
    <t>V4</t>
  </si>
  <si>
    <t>V5</t>
  </si>
  <si>
    <t>V6a</t>
  </si>
  <si>
    <t>V6b</t>
  </si>
  <si>
    <t>V7</t>
  </si>
  <si>
    <t>V8</t>
  </si>
  <si>
    <t>x1</t>
  </si>
  <si>
    <t>x2</t>
  </si>
  <si>
    <t>x3</t>
  </si>
  <si>
    <t>x4</t>
  </si>
  <si>
    <t>x5</t>
  </si>
  <si>
    <t>x6</t>
  </si>
  <si>
    <t>x7</t>
  </si>
  <si>
    <t>x8</t>
  </si>
  <si>
    <t>x9</t>
  </si>
  <si>
    <t>x10</t>
  </si>
  <si>
    <t>drop down</t>
  </si>
  <si>
    <t>#</t>
  </si>
  <si>
    <t>Text</t>
  </si>
  <si>
    <t>date</t>
  </si>
  <si>
    <t>Reporting Period</t>
  </si>
  <si>
    <t>WASH focal Agency</t>
  </si>
  <si>
    <t>State</t>
  </si>
  <si>
    <t>Township</t>
  </si>
  <si>
    <t>Site Name</t>
  </si>
  <si>
    <t>Total HH</t>
  </si>
  <si>
    <t xml:space="preserve">Total PoP </t>
  </si>
  <si>
    <t xml:space="preserve">Primary Donor covering WASH activities at site </t>
  </si>
  <si>
    <t>Expected end of funding for WASH activties at site
(dd,mm,yyyy)</t>
  </si>
  <si>
    <t>CCCM Management</t>
  </si>
  <si>
    <t>CCCM Focal Agency</t>
  </si>
  <si>
    <t>Type of accommodation</t>
  </si>
  <si>
    <t>Ethnic or GCA/NGCA</t>
  </si>
  <si>
    <t>Lat</t>
  </si>
  <si>
    <t>Long</t>
  </si>
  <si>
    <t>Pcode</t>
  </si>
  <si>
    <t>Covered</t>
  </si>
  <si>
    <t>Remark</t>
  </si>
  <si>
    <t>2017_Q4</t>
  </si>
  <si>
    <t>KMSS</t>
  </si>
  <si>
    <t>Kachin</t>
  </si>
  <si>
    <t>Mansi</t>
  </si>
  <si>
    <t>Maing Khaung Catholic Church</t>
  </si>
  <si>
    <t>DFID/HARP</t>
  </si>
  <si>
    <t>Yes</t>
  </si>
  <si>
    <t>KMSS-BMO</t>
  </si>
  <si>
    <t>Camp</t>
  </si>
  <si>
    <t>GCA</t>
  </si>
  <si>
    <t>* below in red are where changes were made for 2018</t>
  </si>
  <si>
    <t>HRP calculation</t>
  </si>
  <si>
    <t>Current Indicators</t>
  </si>
  <si>
    <t>4W indicators (2018)</t>
  </si>
  <si>
    <t>Definitions/Remarks</t>
  </si>
  <si>
    <t xml:space="preserve">CAMP </t>
  </si>
  <si>
    <t xml:space="preserve">VILLAGE </t>
  </si>
  <si>
    <t>WASH Focal Agency</t>
  </si>
  <si>
    <t xml:space="preserve">Site Name </t>
  </si>
  <si>
    <t>2018 HRP Indicators</t>
  </si>
  <si>
    <t>#of students at TLS</t>
  </si>
  <si>
    <t>V9</t>
  </si>
  <si>
    <t>V10</t>
  </si>
  <si>
    <t># Work days (approx) lost in this site due to access restrictions</t>
  </si>
  <si>
    <t>Yes/No</t>
  </si>
  <si>
    <t>V11</t>
  </si>
  <si>
    <t xml:space="preserve">WASH Committee part of camp management structures </t>
  </si>
  <si>
    <t>%</t>
  </si>
  <si>
    <t>V11a</t>
  </si>
  <si>
    <r>
      <t xml:space="preserve">% Women on camp WASH committee </t>
    </r>
    <r>
      <rPr>
        <i/>
        <sz val="10"/>
        <color rgb="FF2C2C2C"/>
        <rFont val="Corbel"/>
        <family val="2"/>
      </rPr>
      <t>(Kachin &amp; Shan only)</t>
    </r>
  </si>
  <si>
    <r>
      <t xml:space="preserve">% Women in leadership positions in wash committees </t>
    </r>
    <r>
      <rPr>
        <i/>
        <sz val="10"/>
        <rFont val="Corbel"/>
        <family val="2"/>
      </rPr>
      <t>(Kachin &amp; Shan only)</t>
    </r>
  </si>
  <si>
    <t>V12</t>
  </si>
  <si>
    <t># Functioning protected hand dug well</t>
  </si>
  <si>
    <t># of functional public open wells with sealed walls with water flowing/available all day used for drinking/domestic water</t>
  </si>
  <si>
    <t>HRP 1 (improved sources)</t>
  </si>
  <si>
    <t>HRP1: Number of people with equitable and safe access to sufficient quantity of drinking water</t>
  </si>
  <si>
    <t>V13</t>
  </si>
  <si>
    <t xml:space="preserve"># Functioning Tube wells/boreholes </t>
  </si>
  <si>
    <t># of functional public wells/boreholes ( deep tube well, shallow tube well) with water flowing/available all day with a functional flowrate</t>
  </si>
  <si>
    <t xml:space="preserve"># Litres/Day provided with overhead or storage tank with reticulation/ Water  gravity system or boating/trucking
</t>
  </si>
  <si>
    <t>V14b</t>
  </si>
  <si>
    <t xml:space="preserve">Protected/fenced ponds do not count as improved water source or safe drinking water unless the results for ceramic filters and negative e.coli water quality test results are in place. </t>
  </si>
  <si>
    <t>HRP 2 (unimproved sources)</t>
  </si>
  <si>
    <t>HRP2: Number of people with equitable and safe access to sufficient quantity of domestic water</t>
  </si>
  <si>
    <t>V17</t>
  </si>
  <si>
    <t># Water points fully handed over  (managed by families / small group of families with repairs by WASH/camp committees)</t>
  </si>
  <si>
    <t># of water points that have been fully handed over to families and community as part of the exit strategy. Note repairs might still be done by committees</t>
  </si>
  <si>
    <t># of Water samples tested for fecal coliform  (@ water source)</t>
  </si>
  <si>
    <t># of Water samples which passed the fecal coliform test  (@ water source)</t>
  </si>
  <si>
    <t>V16</t>
  </si>
  <si>
    <t># of Water samples tested for fecal coliform (@ HH level)</t>
  </si>
  <si>
    <t># of Water samples which passed the fecal coliform test (@ HH level)</t>
  </si>
  <si>
    <t>WATER
Comments                                         
(If you have gaps or questions)</t>
  </si>
  <si>
    <t>V18</t>
  </si>
  <si>
    <t># Existing functional latrines (cluster semi-permanent design for protracted sites; cluster emergency design for new displacement sites)</t>
  </si>
  <si>
    <t>HRP 3 (latrine X 20 ppl)</t>
  </si>
  <si>
    <t xml:space="preserve">HRP3: Number of people with access to functional sanitation facilities
</t>
  </si>
  <si>
    <t># Existing latrines needing major repairs &amp; maintenance (dysfunctional)</t>
  </si>
  <si>
    <t>Major repairs or maintenance include: need for coverage of septic tank, major structural damage with no doors, superstructure/walls, roof, major pipes breakage, steps/access which makes the latrine to be considered a 'non-functional latrine.'</t>
  </si>
  <si>
    <t># of latrines desludged in past quarter</t>
  </si>
  <si>
    <t>HRP 4 (Latrine X 20 ppl)</t>
  </si>
  <si>
    <t>N/A</t>
  </si>
  <si>
    <t>HRP4: Number of people with access to continuous sanitation services (Number of ppl benefiting from desluding)</t>
  </si>
  <si>
    <t>V20</t>
  </si>
  <si>
    <t># Latrines fully handed over (managed by families or small group of families)</t>
  </si>
  <si>
    <t># of shared latrines accessible to all persons in the family and managed by families or a small group of families/neighbors. Fully handed over from agencies to family/community.</t>
  </si>
  <si>
    <t>V21</t>
  </si>
  <si>
    <t>Is there an effective solid waste management system in place (i.e. incinerator, community-led management system)</t>
  </si>
  <si>
    <t xml:space="preserve">Existing and functional bins, incinerator, regular collection system and final disposal systems operational) </t>
  </si>
  <si>
    <t>V22</t>
  </si>
  <si>
    <t xml:space="preserve">Does the camp have surface water drainage
</t>
  </si>
  <si>
    <r>
      <rPr>
        <b/>
        <sz val="10"/>
        <color rgb="FF000000"/>
        <rFont val="Corbel"/>
        <family val="2"/>
      </rPr>
      <t>Is the drainage system functional/effective?</t>
    </r>
    <r>
      <rPr>
        <sz val="10"/>
        <color rgb="FF000000"/>
        <rFont val="Corbel"/>
        <family val="2"/>
      </rPr>
      <t xml:space="preserve"> This means no stagnant water / water with continuous flow. No stagnant water around WASH facilities and preventing access. And no standing water/mosquito breeding areas throughout the camp during the dry season. </t>
    </r>
  </si>
  <si>
    <t xml:space="preserve"># of children Latrine </t>
  </si>
  <si>
    <t>Sanitation 
Comments                                               
(If you have gaps or questions)</t>
  </si>
  <si>
    <t>V23</t>
  </si>
  <si>
    <t># functioning hand washing stations (Kachin &amp; Shan only)</t>
  </si>
  <si>
    <t>Type of handwashing approach to site - household, communal, or both?</t>
  </si>
  <si>
    <t xml:space="preserve"># Individual functioning bathing spaces </t>
  </si>
  <si>
    <t>Functional means structurally sound, accessible to users,  with a door and appropriate for women and men</t>
  </si>
  <si>
    <t xml:space="preserve"># Communal functioning bathing spaces </t>
  </si>
  <si>
    <t>V25</t>
  </si>
  <si>
    <t># Hygiene Promoters 
(includes camp based staff)</t>
  </si>
  <si>
    <t>Number of hygiene promoters working during the reporting period per site (camp or village based) that are paid or receive some sort of incentive by the cluster partner.</t>
  </si>
  <si>
    <t>HRP 5 (1:100 HHs)</t>
  </si>
  <si>
    <t xml:space="preserve">HRP5: Number of people reached by regular dedicated hygiene promotion/behavior change activities
</t>
  </si>
  <si>
    <t>V26</t>
  </si>
  <si>
    <t># HH received standard amount of soaps for this quarter</t>
  </si>
  <si>
    <t>HRP 6 (take the lowest figure out of V26 or V27)</t>
  </si>
  <si>
    <t>HRP 6: Number of people who received regular supply of hygiene items</t>
  </si>
  <si>
    <t>V27</t>
  </si>
  <si>
    <t># HH received standard amount of Sanitary Pads for this quarter</t>
  </si>
  <si>
    <t>V28</t>
  </si>
  <si>
    <t>Is sufficient soap available for TLS? (Yes/No)</t>
  </si>
  <si>
    <t>Hygiene
Comments                                                               
(If you have gaps or questions)</t>
  </si>
  <si>
    <t>အနီရောင် အပိုင်းများသည် ၂၀၁၈တွင် ပြောင်းလဲထားသော အပိုင်းဖြစ်သည်</t>
  </si>
  <si>
    <t>ဤစခန်းတွင် WASH ဆိုင်ရာ လုပ်ငန်းများကို ထောက်ပံ့သည့် အလှုရှင် အဖွဲ့အစည်း</t>
  </si>
  <si>
    <t>ဤစခန်းဆိုက်တွင် WASH ဆိုင်ရာ လုပ်ငန်းများအတွက် အလှူငွေ ပြီးဆုံးသည့် ကာလ</t>
  </si>
  <si>
    <t>သွားလာခွင့် အကန့်အသတ်များကြောင့် လုပ်ငန်းရပ်တန့်နေသည့် ရက်များ</t>
  </si>
  <si>
    <t>WASH ကော်မတီသည် camp ၏ စီမံခန့်ခွဲမှု အဖွဲ့တွင် ပါဝင်သည်။</t>
  </si>
  <si>
    <t xml:space="preserve">WASH ကော်မတီတွင် ပါဝင်သော အမျိုးသမီး % </t>
  </si>
  <si>
    <t xml:space="preserve">WASH ကော်မတီတွင် ဦးဆောင်သူအဖြစ် ပါဝင်သော အမျိုးသမီး % </t>
  </si>
  <si>
    <t>ကောင်းမွန်စွာ အသုံးပြုနိုင်သော ဖုံးကာထားသည့် ရေတွင်း အရေအတွက်</t>
  </si>
  <si>
    <t>ကောင်းမွန်စွာ အသုံးပြုနိုင်သော အဝီစိတွင်း အရေအတွက်</t>
  </si>
  <si>
    <t>တစ်ရက် ရနိုင်သော ရေလီတာ (ရေစင်/ရေလှောင်ကန်မှ ရေပိုက်ဖြင့် / ရေဆင်းပိုက်ဖြင့် / လှေ/လှည်း ထရပ်ကားဖြင့် ပို့ဆောင်သည်)</t>
  </si>
  <si>
    <t>ခြောက်သွေ့ကာလအတွက် ရည်ရွယ်၍ အနည်းဆုံး တစ်ရက်လျင် လူတစ်ဦးအတွက်  ၇.၅ လီတာ နှုံး</t>
  </si>
  <si>
    <t>လက်ရှိ ကာရံဖုံးအုပ်ထားသော ရေကန် ရေအိုင် အရေအတွက်</t>
  </si>
  <si>
    <t>e.coli မရှိကြောင်းစစ်ဆေးပြီး မြေအိုးရေစစ်သုံးမထားပါက ကာရံဖုံးအုပ်ထားသော ရေကန် ရေအိုင် ကို ကောင်းမွန်၍သန့်် ရှင်းသောရေအဖြစ် မသတ်မှတ်နိုင်ပါ</t>
  </si>
  <si>
    <t>အပြည့်အဝ လွှဲပြောင်းပေးပြီးသော ရေထွက်နေရာများ (မိသားစုများ  /  မိသားစု အစုအဖွဲ့များ  က စီမံခန့်ခွဲပြီး WASH/camp ကော်မတီက ပြုပြင်ပေးသည်)</t>
  </si>
  <si>
    <t>ရေထွက်ပင်ရင်းတွင် ရေအရည်အသွေး  စစ်ဆေးခဲ့သည့် နမူနာအရေအတွက်</t>
  </si>
  <si>
    <t xml:space="preserve">ရေထွက်ပင်ရင်းတွင် စစ်ဆေးသော ရေနမူနာများတွင် ပိုးမွှားမပါသောရေ အဖြစ် တွေ့ရှိရသော နမူနာ အရေအတွက် </t>
  </si>
  <si>
    <t>အိမ်ထောင်စုတွင် ရေအရည်အသွေး  စစ်ဆေးခဲ့သည့် နမူနာအရေအတွက်</t>
  </si>
  <si>
    <t xml:space="preserve">အိမ်ထောင်စုတွင် စစ်ဆေးသော ရေနမူနာများတွင် ပိုးမွှားမပါသောရေ အဖြစ် တွေ့ရှိရသော နမူနာ အရေအတွက် </t>
  </si>
  <si>
    <t>WATER Comments                                         
(If you have gaps or questions)</t>
  </si>
  <si>
    <t>လက်ရှိ အသုံးပြု၍ရသော အိမ်သာ အရေအတွက် (ရေရှည် ဆိုက်များအတွက် cluster ၏ဒီဇိုင်း ။ အသစ်ဖြစ်လာသော ဆိုက်များအတွက် cluster ၏အရေးပေါ်ဒီဇိုင်း)</t>
  </si>
  <si>
    <t>နှစ်အနည်းငယ် ကြာသော site များတွင်  တစ်စိတ်တပိုင်း ရေရှည်သုံး အိမ်သားများ ပါဝင်သည်။ siteအသစ် ပြောင်းရွှေ့လာသူ အသစ်များ ရှိပါက အရေးပေါ် ဒီဇိုင်းများလည်း ပါဝင်သည်။ အသုံးပြုနိုင်သော အိမ်သာ ဆိုသည်မှာ အမိုး ၊အကာ၊ တခါး အနည်းငယ် ချို့ယွင်းနေနိုင်သော်လည်း  သော့ပိတ်နိုင်ပြီး မပြည့််သေးသော တွင်း ရှိရမည်။ (မပြည့််သောတွင်း ဆိုသည်မှာ ပြည့်် ရန် တစ်ပေ အလိုအထိဖြစ်သည်။)</t>
  </si>
  <si>
    <t>အကြီးစားပြင်ဆင်ရန်လိုသော (သုံးမရသည့်အခြေအနေ) အိမ်သာအရေအတွက်</t>
  </si>
  <si>
    <t xml:space="preserve">အကြီးစားပြင်ဆင်ရန်လိုသော အခြေအနေဆိုသည်မှာ  အညစ်အကြေးလှောင်ကန် အဖုံးလိုအပ်ခြင်း တခါးမရှိပဲ အမိုးအကာ ပျက်စီးနေခြင်း အဓိက ပိုက်လိုင်းများ ကအတက်အဆင်း လှေခါး ပျက်စီးနေခြင်း </t>
  </si>
  <si>
    <t>အပြည့်အဝလွှဲပြောင်းပေးပြီးသော အိမ်သာအရေအတွက် (မိသားစုများ။ မိသားစု အစုအဖွဲ့များက ဦးစီးသော)</t>
  </si>
  <si>
    <t>ကောင်းမွန်သော အမှိုက်ရှင်းသည့် စနစ် ရှိပါသလား (မီးရှို့ပြာချစက်၊ လူမှုအဖွဲ့အစည်း ဦးဆောင်သည့်စနစ်)</t>
  </si>
  <si>
    <t>ကောင်းမွန်သော အမှိုက်ရှင်းသည့် စနစ် ရှိပါသလား (မီးရှို့ပြာချစက်၊ အမှိုက်ပုံး ၊အမှိုက်သိမ်း စွန့်် ပစ် သည့််စနစ်)</t>
  </si>
  <si>
    <t>camp တွင် မြေပေါ် ရေဆိုးထုတ်သည့် စနစ်ရှိပါသလား</t>
  </si>
  <si>
    <t>ခြောက်သွေ့ရာသီတွင် WASH နှင့်သက်ဆိုင်သော နေရာများတွင်  ရေမစီးဆင်းပဲ ရေအိုင် နေပြီး ခြင်ပေါက်ပွားနိုင်သော အခြေအနေ</t>
  </si>
  <si>
    <t>Sanitation Comments                                               
(If you have gaps or questions)</t>
  </si>
  <si>
    <t>လူ့အဖွဲ့အစည်းအတွင်း အသုံးပြု၍ရသော လက်ဆေးနေရာများကို သုံးခွင့်ရှိသော အိမ်ထောင်စု% ။ အသုံးပြု၍ရသော အခြေအနေ ဆိုသည်မှာ ရေနှင့် ဆပ်ပြာ ရှိ၍ ရေပိုက်ခေါ့င်းများ ကောင်းမွန်ခြင်း ဖြစ်သည်။</t>
  </si>
  <si>
    <t>လက်ဆေးရန် အသုံးပြုသော ပုံစံ − အိမ်ထောင်စု ၊ လူ့အဖွဲ့အစည်း ၊ နှစ်မျိုးလုံး</t>
  </si>
  <si>
    <t>တစ်ဦးချင်း အသုံးပြု၍ရသော ရေချိုးခန်း အရေအတွက်</t>
  </si>
  <si>
    <t>အသုံးပြု၍ရသော အခြေအနေ ဆိုသည်မှာ ရေချိုးခန်းသို့ သွားလာ၍ရပြီး ခိုင်ခံ့ကာ တံခါးကောင်းမွန်ခြင်း ကျား။မ အားလုံးအတွက် သင့်လျော်ခြင်း ဖြစ်သည်။</t>
  </si>
  <si>
    <t>လူ့မှုအဖွဲ့အစည်း အသုံးပြု၍ရသော ရေချိုးခန်း အရေအတွက်</t>
  </si>
  <si>
    <t>ပိုးမွှားသန့်စင်မှု ဆိုင်ရာ လုပ်ဆောင်သူ အရေအတွက် (camp တွင်ခန့်ထားသောဝန်ထမ်းအပါအဝင်)</t>
  </si>
  <si>
    <t xml:space="preserve">Hygiene Comments </t>
  </si>
  <si>
    <t>2018 HRP Calculation</t>
  </si>
  <si>
    <t>HRP Code</t>
  </si>
  <si>
    <t>4W Code</t>
  </si>
  <si>
    <t>Corresponding 4W indicator</t>
  </si>
  <si>
    <t>Unit</t>
  </si>
  <si>
    <t>HRP1</t>
  </si>
  <si>
    <t>V12, V13, V14a</t>
  </si>
  <si>
    <t># Functioning protected hand dug well
# Functioning Tube wells/boreholes 
# Litres/Day provided with overhead or storage tank with reticulation/ Water  gravity system or boating/trucking</t>
  </si>
  <si>
    <r>
      <rPr>
        <b/>
        <sz val="10"/>
        <color rgb="FF2C2C2C"/>
        <rFont val="Gill Sans MT"/>
        <family val="2"/>
      </rPr>
      <t>Camp:</t>
    </r>
    <r>
      <rPr>
        <sz val="10"/>
        <color rgb="FF2C2C2C"/>
        <rFont val="Gill Sans MT"/>
        <family val="2"/>
      </rPr>
      <t xml:space="preserve">Hand dug well </t>
    </r>
    <r>
      <rPr>
        <b/>
        <sz val="10"/>
        <color rgb="FF2C2C2C"/>
        <rFont val="Gill Sans MT"/>
        <family val="2"/>
      </rPr>
      <t>400</t>
    </r>
    <r>
      <rPr>
        <sz val="10"/>
        <color rgb="FF2C2C2C"/>
        <rFont val="Gill Sans MT"/>
        <family val="2"/>
      </rPr>
      <t xml:space="preserve"> PPL, Hand Pump </t>
    </r>
    <r>
      <rPr>
        <b/>
        <sz val="10"/>
        <color rgb="FF2C2C2C"/>
        <rFont val="Gill Sans MT"/>
        <family val="2"/>
      </rPr>
      <t>500</t>
    </r>
    <r>
      <rPr>
        <sz val="10"/>
        <color rgb="FF2C2C2C"/>
        <rFont val="Gill Sans MT"/>
        <family val="2"/>
      </rPr>
      <t xml:space="preserve"> PPL,15L/P/D : 8 hr tapstand open, 
</t>
    </r>
    <r>
      <rPr>
        <b/>
        <sz val="10"/>
        <color rgb="FF2C2C2C"/>
        <rFont val="Gill Sans MT"/>
        <family val="2"/>
      </rPr>
      <t>Village:</t>
    </r>
    <r>
      <rPr>
        <sz val="10"/>
        <color rgb="FF2C2C2C"/>
        <rFont val="Gill Sans MT"/>
        <family val="2"/>
      </rPr>
      <t xml:space="preserve"> Hand dug well 250 PPL, Hand Pump 250 PPL,15L/P/D : 8 hr tapstand open</t>
    </r>
  </si>
  <si>
    <t>people per improved water source</t>
  </si>
  <si>
    <t>HRP2</t>
  </si>
  <si>
    <r>
      <rPr>
        <b/>
        <sz val="10"/>
        <color rgb="FF2C2C2C"/>
        <rFont val="Gill Sans MT"/>
        <family val="2"/>
      </rPr>
      <t xml:space="preserve">Camp: 250 PPL/Pond+ </t>
    </r>
    <r>
      <rPr>
        <sz val="10"/>
        <color rgb="FF2C2C2C"/>
        <rFont val="Gill Sans MT"/>
        <family val="2"/>
      </rPr>
      <t xml:space="preserve">Hand dug well </t>
    </r>
    <r>
      <rPr>
        <b/>
        <sz val="10"/>
        <color rgb="FF2C2C2C"/>
        <rFont val="Gill Sans MT"/>
        <family val="2"/>
      </rPr>
      <t>400</t>
    </r>
    <r>
      <rPr>
        <sz val="10"/>
        <color rgb="FF2C2C2C"/>
        <rFont val="Gill Sans MT"/>
        <family val="2"/>
      </rPr>
      <t xml:space="preserve"> PPL, Hand Pump </t>
    </r>
    <r>
      <rPr>
        <b/>
        <sz val="10"/>
        <color rgb="FF2C2C2C"/>
        <rFont val="Gill Sans MT"/>
        <family val="2"/>
      </rPr>
      <t>500</t>
    </r>
    <r>
      <rPr>
        <sz val="10"/>
        <color rgb="FF2C2C2C"/>
        <rFont val="Gill Sans MT"/>
        <family val="2"/>
      </rPr>
      <t xml:space="preserve"> PPL,15L/P/D : 8 hr tapstand open, 
</t>
    </r>
    <r>
      <rPr>
        <b/>
        <sz val="10"/>
        <color rgb="FF2C2C2C"/>
        <rFont val="Gill Sans MT"/>
        <family val="2"/>
      </rPr>
      <t>Village:</t>
    </r>
    <r>
      <rPr>
        <sz val="10"/>
        <color rgb="FF2C2C2C"/>
        <rFont val="Gill Sans MT"/>
        <family val="2"/>
      </rPr>
      <t xml:space="preserve"> 250 PPL/Pond+ Hand dug well 250 PPL, Hand Pump 250 PPL,15L/P/D : 8 hr tapstand open</t>
    </r>
  </si>
  <si>
    <t>HRP3</t>
  </si>
  <si>
    <t>Number of people with access to functional sanitation facilities</t>
  </si>
  <si>
    <t>people per latrine</t>
  </si>
  <si>
    <t>HRP4</t>
  </si>
  <si>
    <t>Number of people with access to continuous sanitation services (Number of ppl benefiting from desluding) (Sanitation service include desludging cycle services)</t>
  </si>
  <si>
    <t>Camp:20PPL:1
Village: Not applicable</t>
  </si>
  <si>
    <t>HRP5</t>
  </si>
  <si>
    <t>Number of people reached by regular dedicated hygiene promotion/behavior change activities</t>
  </si>
  <si>
    <t>Camp: 100HH:1 
Village: 100HH:1</t>
  </si>
  <si>
    <t xml:space="preserve">HH per hygiene promoter
</t>
  </si>
  <si>
    <t>HRP6</t>
  </si>
  <si>
    <t>Number of people who received regular supply of hygiene items (Regular minimum hygiene items include soap and sanitary pads. )</t>
  </si>
  <si>
    <t># HH received standard amount of soaps for this quarter
# HH received standard amount of Sanitary Pads for this quarter</t>
  </si>
  <si>
    <t>the lowest figure out of V26 or V27
Village: not applicable</t>
  </si>
  <si>
    <t>HH coverage</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</si>
  <si>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</si>
  <si>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</si>
  <si>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</si>
  <si>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</si>
  <si>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</si>
  <si>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</si>
  <si>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</si>
  <si>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</si>
  <si>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</si>
  <si>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</si>
  <si>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</si>
  <si>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</si>
  <si>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</si>
  <si>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</si>
  <si>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</si>
  <si>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</si>
  <si>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</si>
  <si>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</si>
  <si>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</si>
  <si>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</si>
  <si>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</si>
  <si>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</si>
  <si>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HRP report: linked with 2017 WASH Cluster HRP report and outcome of quarterly WASH Cluster 4 W</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</si>
  <si>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</si>
  <si>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</si>
  <si>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</si>
  <si>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</si>
  <si>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</si>
  <si>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</si>
  <si>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</si>
  <si>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</si>
  <si>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</si>
  <si>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</si>
  <si>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</si>
  <si>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</si>
  <si>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</si>
  <si>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 xml:space="preserve">Water </t>
  </si>
  <si>
    <t>Sanitation</t>
  </si>
  <si>
    <t>Hygiene</t>
  </si>
  <si>
    <t>CALCULATION</t>
  </si>
  <si>
    <t xml:space="preserve">V12 </t>
  </si>
  <si>
    <t>V14</t>
  </si>
  <si>
    <t>V15</t>
  </si>
  <si>
    <t>Drinking</t>
  </si>
  <si>
    <t>Domestic</t>
  </si>
  <si>
    <t># Non-functioning (repairs, desluding)</t>
  </si>
  <si>
    <t>dropdown</t>
  </si>
  <si>
    <t xml:space="preserve">HRP4: </t>
  </si>
  <si>
    <t>HRP 6</t>
  </si>
  <si>
    <t xml:space="preserve"># Existing protected/fenced ponds </t>
  </si>
  <si>
    <t># of hand washing station for TLS</t>
  </si>
  <si>
    <t>Does the camp have surface water drainage</t>
  </si>
  <si>
    <t>Sanitation                         Comments                                               
(If you have gaps or questions)</t>
  </si>
  <si>
    <t># Paid/incentivized Hygiene Promoters 
(includes camp based staff)</t>
  </si>
  <si>
    <t>% of Water samples which passed the fecal coliform test  (@ water source)</t>
  </si>
  <si>
    <t>% Water samples which passed the fecal coliform test (@ HH level)</t>
  </si>
  <si>
    <t>Access to safe drinking water through improved water points (for Camp)</t>
  </si>
  <si>
    <t>Access to safe drinking water through improved water points (for Village)</t>
  </si>
  <si>
    <t>Equitable and continuous access to sufficient quantity of safe drinking water through improved water sources</t>
  </si>
  <si>
    <t>Number of People with equitable and continuous access to sufficient quantity of safe drinking water through improved water sources</t>
  </si>
  <si>
    <t>Number of People access to unimproved water sources</t>
  </si>
  <si>
    <t>% Equitable and continuous access to sufficient quantity of domestic water (borehole+ponds)</t>
  </si>
  <si>
    <t># people Equitable and continuous access to sufficient quantity of domestic water (borehole+ponds)</t>
  </si>
  <si>
    <t># of Water points coverage</t>
  </si>
  <si>
    <r>
      <t>% of equitable and continuous access to sufficient quantity of safe drinking and domestic water's GAP</t>
    </r>
    <r>
      <rPr>
        <b/>
        <sz val="10"/>
        <color rgb="FFFF0000"/>
        <rFont val="Corbel"/>
        <family val="2"/>
      </rPr>
      <t/>
    </r>
  </si>
  <si>
    <r>
      <t xml:space="preserve"># people needs </t>
    </r>
    <r>
      <rPr>
        <sz val="10"/>
        <color theme="0"/>
        <rFont val="Corbel"/>
        <family val="2"/>
      </rPr>
      <t>equitable and continuous access to sufficient quantity of safe drinking and domestic water -</t>
    </r>
    <r>
      <rPr>
        <b/>
        <sz val="10"/>
        <color theme="0"/>
        <rFont val="Corbel"/>
        <family val="2"/>
      </rPr>
      <t>GAP</t>
    </r>
  </si>
  <si>
    <t># Potential required new water points</t>
  </si>
  <si>
    <t>Total required water points</t>
  </si>
  <si>
    <t>Total # of latrine</t>
  </si>
  <si>
    <t>% people access to functioning Latrine</t>
  </si>
  <si>
    <t># potential required new latrines</t>
  </si>
  <si>
    <t>Total required Latrines</t>
  </si>
  <si>
    <r>
      <t xml:space="preserve">% Latrines requiring  repairs/maintenance
</t>
    </r>
    <r>
      <rPr>
        <b/>
        <sz val="11"/>
        <color rgb="FFFF0000"/>
        <rFont val="Corbel"/>
        <family val="2"/>
      </rPr>
      <t>Red &gt;=10%,</t>
    </r>
    <r>
      <rPr>
        <b/>
        <sz val="11"/>
        <color theme="0"/>
        <rFont val="Corbel"/>
        <family val="2"/>
      </rPr>
      <t xml:space="preserve">
</t>
    </r>
    <r>
      <rPr>
        <b/>
        <sz val="11"/>
        <color theme="5" tint="-0.249977111117893"/>
        <rFont val="Corbel"/>
        <family val="2"/>
      </rPr>
      <t>Orange 0%~9%,</t>
    </r>
    <r>
      <rPr>
        <b/>
        <sz val="11"/>
        <color theme="0"/>
        <rFont val="Corbel"/>
        <family val="2"/>
      </rPr>
      <t xml:space="preserve">
</t>
    </r>
    <r>
      <rPr>
        <b/>
        <sz val="11"/>
        <color rgb="FF00B050"/>
        <rFont val="Corbel"/>
        <family val="2"/>
      </rPr>
      <t>Green =0%</t>
    </r>
  </si>
  <si>
    <t>Number of people with access to continuous sanitation services (desluding)</t>
  </si>
  <si>
    <t>Number of people with equitable access to safe and continuous sanitation facilities</t>
  </si>
  <si>
    <t>Hygiene Coverage %</t>
  </si>
  <si>
    <r>
      <t xml:space="preserve">Hygiene Gap %
</t>
    </r>
    <r>
      <rPr>
        <b/>
        <sz val="11"/>
        <color rgb="FFFF0000"/>
        <rFont val="Corbel"/>
        <family val="2"/>
      </rPr>
      <t>Red &gt;=30%,</t>
    </r>
    <r>
      <rPr>
        <b/>
        <sz val="11"/>
        <color theme="0"/>
        <rFont val="Corbel"/>
        <family val="2"/>
      </rPr>
      <t xml:space="preserve">
</t>
    </r>
    <r>
      <rPr>
        <b/>
        <sz val="11"/>
        <color rgb="FFFFC000"/>
        <rFont val="Corbel"/>
        <family val="2"/>
      </rPr>
      <t>Orange 0%~29%,</t>
    </r>
    <r>
      <rPr>
        <b/>
        <sz val="11"/>
        <color theme="0"/>
        <rFont val="Corbel"/>
        <family val="2"/>
      </rPr>
      <t xml:space="preserve"> 
</t>
    </r>
    <r>
      <rPr>
        <b/>
        <sz val="11"/>
        <color theme="9" tint="-0.499984740745262"/>
        <rFont val="Corbel"/>
        <family val="2"/>
      </rPr>
      <t>Green =0%</t>
    </r>
  </si>
  <si>
    <t>%people reached by regular dedicated hygiene promotion/behavior change activities</t>
  </si>
  <si>
    <t>% of HH with access to soap</t>
  </si>
  <si>
    <t>% of HH with access to Sanitary Pad</t>
  </si>
  <si>
    <t>Nb of HH with access to Hand Washing Station</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</si>
  <si>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</si>
  <si>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</si>
  <si>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</si>
  <si>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</si>
  <si>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</si>
  <si>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</si>
  <si>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</si>
  <si>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</si>
  <si>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</si>
  <si>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</si>
  <si>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</si>
  <si>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</si>
  <si>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</si>
  <si>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</si>
  <si>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</si>
  <si>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</si>
  <si>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</si>
  <si>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</si>
  <si>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</si>
  <si>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</si>
  <si>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</si>
  <si>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</si>
  <si>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</si>
  <si>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</si>
  <si>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</si>
  <si>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</si>
  <si>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</si>
  <si>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</si>
  <si>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</si>
  <si>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</si>
  <si>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</si>
  <si>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</si>
  <si>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</si>
  <si>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</si>
  <si>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</si>
  <si>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</si>
  <si>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</si>
  <si>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</si>
  <si>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</si>
  <si>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</si>
  <si>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</si>
  <si>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</si>
  <si>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</si>
  <si>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</si>
  <si>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</si>
  <si>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</si>
  <si>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</si>
  <si>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</si>
  <si>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</si>
  <si>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</si>
  <si>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</si>
  <si>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</si>
  <si>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</si>
  <si>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</si>
  <si>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</si>
  <si>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</si>
  <si>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</si>
  <si>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</si>
  <si>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</si>
  <si>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</si>
  <si>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</si>
  <si>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</si>
  <si>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</si>
  <si>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</si>
  <si>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</si>
  <si>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</si>
  <si>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</si>
  <si>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</si>
  <si>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</si>
  <si>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</si>
  <si>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</si>
  <si>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</si>
  <si>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</si>
  <si>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</si>
  <si>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</si>
  <si>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</si>
  <si>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</si>
  <si>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</si>
  <si>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</si>
  <si>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</si>
  <si>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</si>
  <si>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</si>
  <si>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</si>
  <si>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</si>
  <si>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</si>
  <si>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</si>
  <si>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</si>
  <si>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</si>
  <si>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</si>
  <si>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</si>
  <si>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</si>
  <si>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</si>
  <si>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</si>
  <si>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Need to be renovation of GFS</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</si>
  <si>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</si>
  <si>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</si>
  <si>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</si>
  <si>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</si>
  <si>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</si>
  <si>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</si>
  <si>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</si>
  <si>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</si>
  <si>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</si>
  <si>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</si>
  <si>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</si>
  <si>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</si>
  <si>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</si>
  <si>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</si>
  <si>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</si>
  <si>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</si>
  <si>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</si>
  <si>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</si>
  <si>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</si>
  <si>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</si>
  <si>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We need to check with how many litre/day of gravity system when we will go field trip to Chihpwi</t>
  </si>
  <si>
    <t>Lhaovao Baptist Church (LBC)</t>
  </si>
  <si>
    <t>AG Church, Hmaw Si Sa</t>
  </si>
  <si>
    <t>AG Church, Maw Wan</t>
  </si>
  <si>
    <t>Baptist Church, Hmaw Si Sar(Lon Khin)</t>
  </si>
  <si>
    <t>Water distribution system(overhead tank) is not functioning</t>
  </si>
  <si>
    <t>Chin Church, Seik Mu</t>
  </si>
  <si>
    <t>This camp using water source from private pipe line distribution.</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</si>
  <si>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</si>
  <si>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</si>
  <si>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</si>
  <si>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</si>
  <si>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</si>
  <si>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</si>
  <si>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</si>
  <si>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</si>
  <si>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</si>
  <si>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</si>
  <si>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</si>
  <si>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</si>
  <si>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</si>
  <si>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</si>
  <si>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</si>
  <si>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</si>
  <si>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</si>
  <si>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</si>
  <si>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</si>
  <si>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</si>
  <si>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</si>
  <si>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</si>
  <si>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</si>
  <si>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</si>
  <si>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</si>
  <si>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</si>
  <si>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</si>
  <si>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</si>
  <si>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</si>
  <si>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</si>
  <si>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</si>
  <si>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</si>
  <si>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</si>
  <si>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</si>
  <si>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</si>
  <si>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</si>
  <si>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</si>
  <si>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</si>
  <si>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</si>
  <si>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</si>
  <si>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</si>
  <si>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</si>
  <si>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</si>
  <si>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</si>
  <si>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</si>
  <si>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</si>
  <si>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</si>
  <si>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</si>
  <si>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</si>
  <si>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</si>
  <si>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</si>
  <si>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</si>
  <si>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</si>
  <si>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</si>
  <si>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Ah Hla Sin</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</si>
  <si>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</si>
  <si>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</si>
  <si>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</si>
  <si>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</si>
  <si>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</si>
  <si>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</si>
  <si>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</si>
  <si>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</si>
  <si>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</si>
  <si>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</si>
  <si>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</si>
  <si>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</si>
  <si>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</si>
  <si>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</si>
  <si>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</si>
  <si>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</si>
  <si>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</si>
  <si>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</si>
  <si>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</si>
  <si>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</si>
  <si>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</si>
  <si>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</si>
  <si>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</si>
  <si>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</si>
  <si>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</si>
  <si>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</si>
  <si>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</si>
  <si>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</si>
  <si>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</si>
  <si>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</si>
  <si>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</si>
  <si>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</si>
  <si>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</si>
  <si>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</si>
  <si>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</si>
  <si>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</si>
  <si>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</si>
  <si>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</si>
  <si>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</si>
  <si>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</si>
  <si>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</si>
  <si>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</si>
  <si>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</si>
  <si>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</si>
  <si>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</si>
  <si>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</si>
  <si>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</si>
  <si>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</si>
  <si>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</si>
  <si>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</si>
  <si>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</si>
  <si>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</si>
  <si>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</si>
  <si>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</si>
  <si>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</si>
  <si>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</si>
  <si>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</si>
  <si>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</si>
  <si>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</si>
  <si>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</si>
  <si>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</si>
  <si>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</si>
  <si>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</si>
  <si>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</si>
  <si>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</si>
  <si>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</si>
  <si>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</si>
  <si>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</si>
  <si>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</si>
  <si>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</si>
  <si>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</si>
  <si>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</si>
  <si>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</si>
  <si>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</si>
  <si>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</si>
  <si>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</si>
  <si>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</si>
  <si>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</si>
  <si>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</si>
  <si>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</si>
  <si>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</si>
  <si>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</si>
  <si>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</si>
  <si>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</si>
  <si>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</si>
  <si>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</si>
  <si>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</si>
  <si>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</si>
  <si>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</si>
  <si>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</si>
  <si>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</si>
  <si>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</si>
  <si>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</si>
  <si>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</si>
  <si>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</si>
  <si>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</si>
  <si>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</si>
  <si>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</si>
  <si>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</si>
  <si>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</si>
  <si>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</si>
  <si>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</si>
  <si>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</si>
  <si>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</si>
  <si>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</si>
  <si>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</si>
  <si>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</si>
  <si>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</si>
  <si>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Village approach(Agency regular provide only cleaning mateirals)</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</si>
  <si>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</si>
  <si>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</si>
  <si>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</si>
  <si>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</si>
  <si>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</si>
  <si>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</si>
  <si>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</si>
  <si>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</si>
  <si>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</si>
  <si>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</si>
  <si>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</si>
  <si>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</si>
  <si>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</si>
  <si>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</si>
  <si>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</si>
  <si>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</si>
  <si>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</si>
  <si>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</si>
  <si>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</si>
  <si>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</si>
  <si>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</si>
  <si>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</si>
  <si>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</si>
  <si>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 xml:space="preserve">Hmanzi </t>
  </si>
  <si>
    <t>Baw Du Pha 2</t>
  </si>
  <si>
    <t>Thet Kae Pyin Village (IDPs in host family)</t>
  </si>
  <si>
    <t>Khaung Doke Khar</t>
  </si>
  <si>
    <t>Baw Du Pha (IDP in host families)</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</si>
  <si>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</si>
  <si>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</si>
  <si>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</si>
  <si>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</si>
  <si>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</si>
  <si>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</si>
  <si>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</si>
  <si>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</si>
  <si>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</si>
  <si>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</si>
  <si>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</si>
  <si>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</si>
  <si>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</si>
  <si>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Phwe Yar Kone</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</si>
  <si>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</si>
  <si>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</si>
  <si>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</si>
  <si>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</si>
  <si>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</si>
  <si>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</si>
  <si>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</si>
  <si>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</si>
  <si>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</si>
  <si>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</si>
  <si>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</si>
  <si>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</si>
  <si>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</si>
  <si>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</si>
  <si>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</si>
  <si>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</si>
  <si>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</si>
  <si>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</si>
  <si>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</si>
  <si>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</si>
  <si>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</si>
  <si>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</si>
  <si>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</si>
  <si>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</si>
  <si>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</si>
  <si>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</si>
  <si>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</si>
  <si>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</si>
  <si>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</si>
  <si>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</si>
  <si>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</si>
  <si>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</si>
  <si>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</si>
  <si>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</si>
  <si>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</si>
  <si>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</si>
  <si>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</si>
  <si>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</si>
  <si>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</si>
  <si>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</si>
  <si>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</si>
  <si>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</si>
  <si>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</si>
  <si>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</si>
  <si>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</si>
  <si>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</si>
  <si>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</si>
  <si>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</si>
  <si>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</si>
  <si>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</si>
  <si>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</si>
  <si>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</si>
  <si>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</si>
  <si>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</si>
  <si>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</si>
  <si>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</si>
  <si>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</si>
  <si>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</si>
  <si>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</si>
  <si>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</si>
  <si>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</si>
  <si>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</si>
  <si>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</si>
  <si>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</si>
  <si>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</si>
  <si>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</si>
  <si>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</si>
  <si>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</si>
  <si>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</si>
  <si>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</si>
  <si>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</si>
  <si>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</si>
  <si>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</si>
  <si>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</si>
  <si>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</si>
  <si>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</si>
  <si>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</si>
  <si>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</si>
  <si>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</si>
  <si>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</si>
  <si>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</si>
  <si>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</si>
  <si>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</si>
  <si>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</si>
  <si>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</si>
  <si>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</si>
  <si>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</si>
  <si>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</si>
  <si>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</si>
  <si>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</si>
  <si>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</si>
  <si>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</si>
  <si>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</si>
  <si>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</si>
  <si>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</si>
  <si>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</si>
  <si>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</si>
  <si>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</si>
  <si>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</si>
  <si>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</si>
  <si>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</si>
  <si>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</si>
  <si>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</si>
  <si>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</si>
  <si>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</si>
  <si>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</si>
  <si>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</si>
  <si>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</si>
  <si>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</si>
  <si>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</si>
  <si>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</si>
  <si>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</si>
  <si>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</si>
  <si>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</si>
  <si>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</si>
  <si>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</si>
  <si>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</si>
  <si>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</si>
  <si>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</si>
  <si>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</si>
  <si>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</si>
  <si>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</si>
  <si>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</si>
  <si>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</si>
  <si>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</si>
  <si>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</si>
  <si>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</si>
  <si>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</si>
  <si>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</si>
  <si>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</si>
  <si>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</si>
  <si>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</si>
  <si>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</si>
  <si>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</si>
  <si>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</si>
  <si>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</si>
  <si>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</si>
  <si>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</si>
  <si>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</si>
  <si>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</si>
  <si>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</si>
  <si>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</si>
  <si>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</si>
  <si>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</si>
  <si>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</si>
  <si>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</si>
  <si>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</si>
  <si>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</si>
  <si>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</si>
  <si>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</si>
  <si>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</si>
  <si>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</si>
  <si>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</si>
  <si>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</si>
  <si>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</si>
  <si>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</si>
  <si>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</si>
  <si>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</si>
  <si>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</si>
  <si>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</si>
  <si>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</si>
  <si>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</si>
  <si>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</si>
  <si>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</si>
  <si>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</si>
  <si>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</si>
  <si>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</si>
  <si>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</si>
  <si>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</si>
  <si>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</si>
  <si>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</si>
  <si>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</si>
  <si>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</si>
  <si>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</si>
  <si>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</si>
  <si>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</si>
  <si>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</si>
  <si>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</si>
  <si>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</si>
  <si>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</si>
  <si>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</si>
  <si>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</si>
  <si>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</si>
  <si>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</si>
  <si>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</si>
  <si>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</si>
  <si>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</si>
  <si>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</si>
  <si>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</si>
  <si>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</si>
  <si>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</si>
  <si>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</si>
  <si>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</si>
  <si>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</si>
  <si>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</si>
  <si>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</si>
  <si>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</si>
  <si>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</si>
  <si>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</si>
  <si>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</si>
  <si>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</si>
  <si>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</si>
  <si>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</si>
  <si>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</si>
  <si>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</si>
  <si>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Than Chay RK</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</si>
  <si>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</si>
  <si>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</si>
  <si>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</si>
  <si>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</si>
  <si>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</si>
  <si>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</si>
  <si>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</si>
  <si>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</si>
  <si>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</si>
  <si>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</si>
  <si>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</si>
  <si>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</si>
  <si>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</si>
  <si>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</si>
  <si>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</si>
  <si>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</si>
  <si>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</si>
  <si>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</si>
  <si>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</si>
  <si>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</si>
  <si>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</si>
  <si>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</si>
  <si>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</si>
  <si>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</si>
  <si>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</si>
  <si>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</si>
  <si>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</si>
  <si>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</si>
  <si>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</si>
  <si>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</si>
  <si>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</si>
  <si>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</si>
  <si>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</si>
  <si>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</si>
  <si>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</si>
  <si>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</si>
  <si>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</si>
  <si>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</si>
  <si>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</si>
  <si>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Thar Yar Kone</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</si>
  <si>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</si>
  <si>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</si>
  <si>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</si>
  <si>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</si>
  <si>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</si>
  <si>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</si>
  <si>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</si>
  <si>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</si>
  <si>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</si>
  <si>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</si>
  <si>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</si>
  <si>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</si>
  <si>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</si>
  <si>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</si>
  <si>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</si>
  <si>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</si>
  <si>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</si>
  <si>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</si>
  <si>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</si>
  <si>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</si>
  <si>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</si>
  <si>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</si>
  <si>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</si>
  <si>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</si>
  <si>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</si>
  <si>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Metta,KBC-HDD-NSS,KMSS</t>
  </si>
  <si>
    <t>Mungji Pa Dabang (Baptist Church)</t>
  </si>
  <si>
    <t>WHH</t>
  </si>
  <si>
    <t>KMSS,Metta</t>
  </si>
  <si>
    <t>Nam Hkawng</t>
  </si>
  <si>
    <t xml:space="preserve">Nam Hpak Ka Mare </t>
  </si>
  <si>
    <t>WHH(BMZ,AA)</t>
  </si>
  <si>
    <t>WHH(BMZ, AA)</t>
  </si>
  <si>
    <t>Insufficient Drinking Water</t>
  </si>
  <si>
    <t>Hseni</t>
  </si>
  <si>
    <t>Nam Sa Larp</t>
  </si>
  <si>
    <t>Namtu</t>
  </si>
  <si>
    <t>Pan Ta Pyae</t>
  </si>
  <si>
    <t>Solar Pump System (9600 Litre per day)</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</si>
  <si>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</si>
  <si>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</si>
  <si>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</si>
  <si>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</si>
  <si>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</si>
  <si>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</si>
  <si>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</si>
  <si>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</si>
  <si>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</si>
  <si>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</si>
  <si>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</si>
  <si>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</si>
  <si>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</si>
  <si>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</si>
  <si>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</si>
  <si>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</si>
  <si>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</si>
  <si>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</si>
  <si>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</si>
  <si>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</si>
  <si>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</si>
  <si>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</si>
  <si>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</si>
  <si>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</si>
  <si>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</si>
  <si>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SCI,KBC-HDD-NSS</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</si>
  <si>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</si>
  <si>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</si>
  <si>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</si>
  <si>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</si>
  <si>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</si>
  <si>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</si>
  <si>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</si>
  <si>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</si>
  <si>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</si>
  <si>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</si>
  <si>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</si>
  <si>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</si>
  <si>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</si>
  <si>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</si>
  <si>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</si>
  <si>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</si>
  <si>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</si>
  <si>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</si>
  <si>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</si>
  <si>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</si>
  <si>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</si>
  <si>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</si>
  <si>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</si>
  <si>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</si>
  <si>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</si>
  <si>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</si>
  <si>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</si>
  <si>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</si>
  <si>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NSS WASH Cluster comments:Metta distributed hygiene kit in Apr'17 but no assessment done for other WASH needs. Security concern is high to travel.</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</si>
  <si>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</si>
  <si>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</si>
  <si>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</si>
  <si>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</si>
  <si>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</si>
  <si>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</si>
  <si>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</si>
  <si>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</si>
  <si>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</si>
  <si>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</si>
  <si>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</si>
  <si>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</si>
  <si>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</si>
  <si>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</si>
  <si>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</si>
  <si>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</si>
  <si>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</si>
  <si>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</si>
  <si>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</si>
  <si>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</si>
  <si>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</si>
  <si>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</si>
  <si>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</si>
  <si>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</si>
  <si>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</si>
  <si>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</si>
  <si>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</si>
  <si>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</si>
  <si>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</si>
  <si>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</si>
  <si>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</si>
  <si>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</si>
  <si>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</si>
  <si>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</si>
  <si>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</si>
  <si>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</si>
  <si>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</si>
  <si>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</si>
  <si>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</si>
  <si>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</si>
  <si>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</si>
  <si>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</si>
  <si>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</si>
  <si>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</si>
  <si>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</si>
  <si>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</si>
  <si>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</si>
  <si>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</si>
  <si>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</si>
  <si>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</si>
  <si>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</si>
  <si>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</si>
  <si>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</si>
  <si>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</si>
  <si>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</si>
  <si>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</si>
  <si>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</si>
  <si>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</si>
  <si>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</si>
  <si>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</si>
  <si>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</si>
  <si>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</si>
  <si>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</si>
  <si>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</si>
  <si>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</si>
  <si>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</si>
  <si>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</si>
  <si>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</si>
  <si>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</si>
  <si>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</si>
  <si>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</si>
  <si>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</si>
  <si>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</si>
  <si>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</si>
  <si>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</si>
  <si>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</si>
  <si>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</si>
  <si>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</si>
  <si>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</si>
  <si>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</si>
  <si>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</si>
  <si>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</si>
  <si>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</si>
  <si>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</si>
  <si>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</si>
  <si>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</si>
  <si>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</si>
  <si>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</si>
  <si>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</si>
  <si>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</si>
  <si>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</si>
  <si>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</si>
  <si>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</si>
  <si>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</si>
  <si>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</si>
  <si>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</si>
  <si>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</si>
  <si>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</si>
  <si>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</si>
  <si>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</si>
  <si>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</si>
  <si>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</si>
  <si>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</si>
  <si>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</si>
  <si>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</si>
  <si>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</si>
  <si>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</si>
  <si>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</si>
  <si>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</si>
  <si>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</si>
  <si>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</si>
  <si>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</si>
  <si>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</si>
  <si>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</si>
  <si>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</si>
  <si>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</si>
  <si>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</si>
  <si>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</si>
  <si>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</si>
  <si>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</si>
  <si>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</si>
  <si>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</si>
  <si>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</si>
  <si>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</si>
  <si>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</si>
  <si>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</si>
  <si>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</si>
  <si>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</si>
  <si>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</si>
  <si>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</si>
  <si>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</si>
  <si>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</si>
  <si>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</si>
  <si>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</si>
  <si>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</si>
  <si>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</si>
  <si>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</si>
  <si>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</si>
  <si>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</si>
  <si>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</si>
  <si>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</si>
  <si>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</si>
  <si>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</si>
  <si>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</si>
  <si>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</si>
  <si>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</si>
  <si>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</si>
  <si>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</si>
  <si>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</si>
  <si>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</si>
  <si>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</si>
  <si>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</si>
  <si>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</si>
  <si>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</si>
  <si>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</si>
  <si>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</si>
  <si>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</si>
  <si>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</si>
  <si>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</si>
  <si>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</si>
  <si>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</si>
  <si>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</si>
  <si>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</si>
  <si>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</si>
  <si>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</si>
  <si>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</si>
  <si>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</si>
  <si>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</si>
  <si>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</si>
  <si>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</si>
  <si>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</si>
  <si>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</si>
  <si>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</si>
  <si>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</si>
  <si>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</si>
  <si>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</si>
  <si>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</si>
  <si>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</si>
  <si>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</si>
  <si>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</si>
  <si>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</si>
  <si>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</si>
  <si>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</si>
  <si>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</si>
  <si>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</si>
  <si>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</si>
  <si>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</si>
  <si>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</si>
  <si>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</si>
  <si>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</si>
  <si>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</si>
  <si>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</si>
  <si>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</si>
  <si>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</si>
  <si>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</si>
  <si>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</si>
  <si>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</si>
  <si>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</si>
  <si>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</si>
  <si>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</si>
  <si>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</si>
  <si>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</si>
  <si>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</si>
  <si>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</si>
  <si>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</si>
  <si>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</si>
  <si>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</si>
  <si>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</si>
  <si>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</si>
  <si>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</si>
  <si>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</si>
  <si>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</si>
  <si>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</si>
  <si>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</si>
  <si>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</si>
  <si>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</si>
  <si>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</si>
  <si>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</si>
  <si>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</si>
  <si>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</si>
  <si>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</si>
  <si>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</si>
  <si>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</si>
  <si>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</si>
  <si>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</si>
  <si>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</si>
  <si>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</si>
  <si>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</si>
  <si>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</si>
  <si>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</si>
  <si>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</si>
  <si>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</si>
  <si>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</si>
  <si>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</si>
  <si>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</si>
  <si>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</si>
  <si>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</si>
  <si>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</si>
  <si>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</si>
  <si>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</si>
  <si>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</si>
  <si>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</si>
  <si>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</si>
  <si>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</si>
  <si>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</si>
  <si>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</si>
  <si>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</si>
  <si>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</si>
  <si>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</si>
  <si>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</si>
  <si>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</si>
  <si>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</si>
  <si>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</si>
  <si>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</si>
  <si>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</si>
  <si>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</si>
  <si>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</si>
  <si>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</si>
  <si>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</si>
  <si>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</si>
  <si>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</si>
  <si>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</si>
  <si>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</si>
  <si>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</si>
  <si>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</si>
  <si>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</si>
  <si>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</si>
  <si>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</si>
  <si>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</si>
  <si>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</si>
  <si>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</si>
  <si>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</si>
  <si>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</si>
  <si>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</si>
  <si>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</si>
  <si>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</si>
  <si>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</si>
  <si>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</si>
  <si>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</si>
  <si>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</si>
  <si>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</si>
  <si>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</si>
  <si>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</si>
  <si>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</si>
  <si>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</si>
  <si>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</si>
  <si>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</si>
  <si>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</si>
  <si>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</si>
  <si>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</si>
  <si>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</si>
  <si>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</si>
  <si>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</si>
  <si>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</si>
  <si>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</si>
  <si>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</si>
  <si>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</si>
  <si>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</si>
  <si>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</si>
  <si>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</si>
  <si>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</si>
  <si>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</si>
  <si>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</si>
  <si>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</si>
  <si>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</si>
  <si>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</si>
  <si>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</si>
  <si>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</si>
  <si>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</si>
  <si>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</si>
  <si>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</si>
  <si>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</si>
  <si>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</si>
  <si>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</si>
  <si>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</si>
  <si>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</si>
  <si>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</si>
  <si>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</si>
  <si>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</si>
  <si>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</si>
  <si>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</si>
  <si>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</si>
  <si>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</si>
  <si>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</si>
  <si>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</si>
  <si>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</si>
  <si>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</si>
  <si>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</si>
  <si>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</si>
  <si>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</si>
  <si>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</si>
  <si>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</si>
  <si>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</si>
  <si>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</si>
  <si>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</si>
  <si>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</si>
  <si>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</si>
  <si>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</si>
  <si>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</si>
  <si>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</si>
  <si>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</si>
  <si>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</si>
  <si>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</si>
  <si>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</si>
  <si>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</si>
  <si>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</si>
  <si>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</si>
  <si>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</si>
  <si>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</si>
  <si>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</si>
  <si>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</si>
  <si>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</si>
  <si>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</si>
  <si>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</si>
  <si>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</si>
  <si>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</si>
  <si>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</si>
  <si>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</si>
  <si>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</si>
  <si>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</si>
  <si>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</si>
  <si>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</si>
  <si>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</si>
  <si>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</si>
  <si>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</si>
  <si>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</si>
  <si>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</si>
  <si>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</si>
  <si>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</si>
  <si>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</si>
  <si>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</si>
  <si>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</si>
  <si>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</si>
  <si>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</si>
  <si>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</si>
  <si>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</si>
  <si>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</si>
  <si>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</si>
  <si>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</si>
  <si>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</si>
  <si>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</si>
  <si>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</si>
  <si>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</si>
  <si>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</si>
  <si>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</si>
  <si>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</si>
  <si>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</si>
  <si>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</si>
  <si>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</si>
  <si>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</si>
  <si>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</si>
  <si>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</si>
  <si>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</si>
  <si>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</si>
  <si>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</si>
  <si>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</si>
  <si>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</si>
  <si>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</si>
  <si>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</si>
  <si>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</si>
  <si>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</si>
  <si>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</si>
  <si>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</si>
  <si>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</si>
  <si>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</si>
  <si>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</si>
  <si>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</si>
  <si>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2013_Q4</t>
  </si>
  <si>
    <t>ABCD</t>
  </si>
  <si>
    <t>2014_Q1</t>
  </si>
  <si>
    <t>Not_Functional</t>
  </si>
  <si>
    <t>2014_Q2</t>
  </si>
  <si>
    <t>ACF, CDN</t>
  </si>
  <si>
    <t>AusAid</t>
  </si>
  <si>
    <t>2014_Q4</t>
  </si>
  <si>
    <t>ACTED</t>
  </si>
  <si>
    <t>2015_Q1</t>
  </si>
  <si>
    <t>Arche nova</t>
  </si>
  <si>
    <t>CIDA</t>
  </si>
  <si>
    <t>2015_Q2</t>
  </si>
  <si>
    <t>DANIDA</t>
  </si>
  <si>
    <t>2015_Q3</t>
  </si>
  <si>
    <t>CARE, CDN</t>
  </si>
  <si>
    <t>DFAT</t>
  </si>
  <si>
    <t>2015_Q4</t>
  </si>
  <si>
    <t>CDN, MA_UK</t>
  </si>
  <si>
    <t>2016_Q1</t>
  </si>
  <si>
    <t>Cesvi</t>
  </si>
  <si>
    <t>2016_Q2</t>
  </si>
  <si>
    <t>Cesvi, SI</t>
  </si>
  <si>
    <t>2016_Q3</t>
  </si>
  <si>
    <t>CNN</t>
  </si>
  <si>
    <t>Nawngmun</t>
  </si>
  <si>
    <t>2016_Q4</t>
  </si>
  <si>
    <t>2017_Q1</t>
  </si>
  <si>
    <t>DRD</t>
  </si>
  <si>
    <t>2017_Q2</t>
  </si>
  <si>
    <t>IRC</t>
  </si>
  <si>
    <t>2017_Q3</t>
  </si>
  <si>
    <t>Tsawlaw</t>
  </si>
  <si>
    <t>2018_Q1</t>
  </si>
  <si>
    <t>KMSS, KBC-HDD-NSS</t>
  </si>
  <si>
    <t>FCA</t>
  </si>
  <si>
    <t>KMSS, Metta</t>
  </si>
  <si>
    <t>France</t>
  </si>
  <si>
    <t>KMSS, SCI</t>
  </si>
  <si>
    <t>KMSS, KBC</t>
  </si>
  <si>
    <t>Gwa</t>
  </si>
  <si>
    <t>HIDA</t>
  </si>
  <si>
    <t>MDCG</t>
  </si>
  <si>
    <t>Merlin</t>
  </si>
  <si>
    <t>Metta, ICRC</t>
  </si>
  <si>
    <t>OCHA</t>
  </si>
  <si>
    <t>Munaung</t>
  </si>
  <si>
    <t>Metta, KBC-HDD-NSS</t>
  </si>
  <si>
    <t>Metta, KBC-HDD-NSS, KMSS</t>
  </si>
  <si>
    <t>Metta, SCI</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</si>
  <si>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</si>
  <si>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</si>
  <si>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</si>
  <si>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</si>
  <si>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</si>
  <si>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</si>
  <si>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</si>
  <si>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</si>
  <si>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</si>
  <si>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</si>
  <si>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</si>
  <si>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</si>
  <si>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</si>
  <si>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</si>
  <si>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</si>
  <si>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</si>
  <si>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</si>
  <si>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</si>
  <si>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</si>
  <si>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</si>
  <si>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</si>
  <si>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</si>
  <si>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</si>
  <si>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</si>
  <si>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Unicef</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</si>
  <si>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</si>
  <si>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</si>
  <si>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</si>
  <si>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</si>
  <si>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</si>
  <si>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</si>
  <si>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</si>
  <si>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</si>
  <si>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</si>
  <si>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</si>
  <si>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</si>
  <si>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</si>
  <si>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</si>
  <si>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</si>
  <si>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</si>
  <si>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</si>
  <si>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</si>
  <si>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</si>
  <si>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</si>
  <si>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</si>
  <si>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</si>
  <si>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</si>
  <si>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</si>
  <si>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</si>
  <si>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</si>
  <si>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</si>
  <si>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</si>
  <si>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</si>
  <si>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</si>
  <si>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</si>
  <si>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</si>
  <si>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</si>
  <si>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</si>
  <si>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</si>
  <si>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</si>
  <si>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</si>
  <si>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</si>
  <si>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</si>
  <si>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</si>
  <si>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</si>
  <si>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</si>
  <si>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</si>
  <si>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</si>
  <si>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</si>
  <si>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</si>
  <si>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</si>
  <si>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</si>
  <si>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</si>
  <si>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r>
      <t xml:space="preserve">Number of people with equitable and safe access to sufficient quantity of drinking water </t>
    </r>
    <r>
      <rPr>
        <sz val="10"/>
        <color rgb="FF2C2C2C"/>
        <rFont val="Gill Sans MT"/>
        <family val="2"/>
      </rPr>
      <t>(Drinking Water from the improved source, provided collection time is more than 30 minutes for a round trip including queueing)</t>
    </r>
  </si>
  <si>
    <r>
      <t xml:space="preserve">Number of people with equitable and safe access to sufficient quantity of domestic water </t>
    </r>
    <r>
      <rPr>
        <sz val="10"/>
        <color rgb="FF2C2C2C"/>
        <rFont val="Gill Sans MT"/>
        <family val="2"/>
      </rPr>
      <t>(Drinking Water from the improved source, provided collection time is more than 30 minutes for a round trip including queueing)</t>
    </r>
  </si>
  <si>
    <t xml:space="preserve">HRP 2018 Indicators </t>
  </si>
  <si>
    <t>Parameter/Assumptions</t>
  </si>
  <si>
    <t>people per unimproved water source</t>
  </si>
  <si>
    <t xml:space="preserve">Camp:20PPL:1
Village: 6 PPL:1
</t>
  </si>
  <si>
    <t># Existing protected/fenced ponds, river, unprotected springs</t>
  </si>
  <si>
    <t># of hand washing stations at TLS (schools)</t>
  </si>
  <si>
    <t>1 latrine = 1 drophole</t>
  </si>
  <si>
    <t>In sites existing for a few years, the semi-permanent design is the only applicable option to be counted. If there are new sites due to new displacements, the emergency design latrine should be counted.Functional definition includes only mildly damaged roof, wall or door, with lock or some safety/door closure device, no major crack, on slab, no major leakage on pit,  pit is not full. (full pit: gap of 1ft height left before full)</t>
  </si>
  <si>
    <t># of latrines desludged in past quarter (Count the number of latrine dropholes or doors, not number of septic tanks)</t>
  </si>
  <si>
    <t># of children Latrines in camps</t>
  </si>
  <si>
    <t>V29</t>
  </si>
  <si>
    <t>V30</t>
  </si>
  <si>
    <t>V31</t>
  </si>
  <si>
    <t>V32</t>
  </si>
  <si>
    <t>V33</t>
  </si>
  <si>
    <t>V34</t>
  </si>
  <si>
    <t>V35</t>
  </si>
  <si>
    <t>V36</t>
  </si>
  <si>
    <t>V37</t>
  </si>
  <si>
    <t>V38</t>
  </si>
  <si>
    <t>HHs targeted (i.e. 89% of HHs in Rakhine) who received sanitary pads at least once in the past quarter (sanitary pads mean: a pack of sanitary pads as of amount in standard Hygiene Kit.)</t>
  </si>
  <si>
    <t>HHs targeted (i.e. 89% in Rakhine) who received soap at least once in the past quarter (Soap means: a pack of soaps as of amount in standard Hygiene Kit )</t>
  </si>
  <si>
    <t>HRP 1</t>
  </si>
  <si>
    <t>HRP 2</t>
  </si>
  <si>
    <t>V36, V37</t>
  </si>
  <si>
    <t># of latrines in TLS (schools)</t>
  </si>
  <si>
    <t xml:space="preserve"> (Yes/No)</t>
  </si>
  <si>
    <r>
      <t xml:space="preserve">*TLS:temporary learning space </t>
    </r>
    <r>
      <rPr>
        <sz val="8"/>
        <color theme="1"/>
        <rFont val="Corbel"/>
        <family val="2"/>
      </rPr>
      <t>ယာယီ စာသင်ကြားရေး နေရာ</t>
    </r>
  </si>
  <si>
    <t>TLS တွင် လုံလောက်သော ဆပ်ပြာ ရှိပါသလား</t>
  </si>
  <si>
    <t>ကောင်းမွန်စွာ အသုံးပြုနိုင်၍ ဖုံးကာထားပြီး တစ်နေ့လုံး အတွက် သုံးရေ သောက်ရေ ရရှိနိုင်သော ရေတွင်း #</t>
  </si>
  <si>
    <t>ကောင်းမွန်စွာ အသုံးပြုနိုင်သော အဝီစိတွင်း (ပိုက်စိုက်ထားသော / တွင်းတူးထားသော) တစ်နေ့လုံး အတွက် သုံးရေ သောက်ရေ ရရှိနိုင်သော ရေတွင်း #</t>
  </si>
  <si>
    <t>အိမ်သာကန်ရှင်းသော အကြိမ်ရေအတွက် (ကန်#အားဖြင့်် ရေတွက်ခြင်း မဟုတ်ပါ။ အိမ်သာ # ကိုဖြင့််သွင်းပါ။)</t>
  </si>
  <si>
    <t>အပြည့်အဝလွှဲပြောင်းပေးပြီးသော အိမ်သာ# (မိသားစုများ။ မိသားစု အစုအဖွဲ့များက ဦးစီးသော)</t>
  </si>
  <si>
    <t>ဤကာလအတွင်း ပိုးမွှားသန့်စင်မှု ဆိုင်ရာ လုပ်ဆောင်သူ #တွက် အဖွဲအစည်းမှ အခကြေးငွေ ရယူ ဆောင်ရွက်သူများပါဝင်သည်။</t>
  </si>
  <si>
    <t>ပြီးခဲ့သော သုံးလအတွင်း ဆပ်ပြာ အနည်းဆုံး တစ်ကြိမ်ရသော အိမ်ထောင်စု #
(ဆပ်ပြာ။ ။ standard Hygiene Kit တွင် ပါဝင်သော ဆပ်ပြာ # ကိုဆိုလိုသည်)</t>
  </si>
  <si>
    <t>ပြီးခဲ့သော သုံးလအတွင်း အမျိုးသမီး ဓမ္မတာ အသုံးအဆောင် များ အနည်းဆုံး တစ်ကြိမ်ရသော အိမ်ထောင်စု #
(အမျိုးသမီး ဓမ္မတာ အသုံးအဆောင် များ ။ ။ standard Hygiene Kit တွင် ပါဝင်သော အမျိုးသမီး ဓမ္မတာ အသုံးအဆောင် # ကိုဆိုလိုသည်)</t>
  </si>
  <si>
    <t xml:space="preserve"> TLS ရှိ ကျောင်းသား အရေအတွက်</t>
  </si>
  <si>
    <t xml:space="preserve"> TLS တွင် လက်ဆးရန် နေရာ အရေအတွက်</t>
  </si>
  <si>
    <t>ပြီးခဲ့သော သုံးလပါတ်အတွင်း အိမ်သာကန်ရှင်းသော အကြိမ်အရေအတွက်</t>
  </si>
  <si>
    <t>စခန်းရှိ ကလေးသုံး အိမ်သာ အရေအတွက်</t>
  </si>
  <si>
    <t xml:space="preserve"> TLSရှိ ကလေးသုံး အိမ်သာ အရေအတွက်</t>
  </si>
  <si>
    <t>V11b</t>
  </si>
  <si>
    <t>Chauk Maing</t>
  </si>
  <si>
    <t>Pang Kawng</t>
  </si>
  <si>
    <t xml:space="preserve">Mai Ja Yang </t>
  </si>
  <si>
    <t xml:space="preserve">New Lana Zup Ja </t>
  </si>
  <si>
    <t>လူ့အဖွဲ့အစည်းအတွင်း အသုံးပြု၍ရသော လက်ဆေးနေရာများ</t>
  </si>
  <si>
    <t>ဆပ်ပြာရရှိသော အိမ်ထောင်စု</t>
  </si>
  <si>
    <t>အမျိုးသမီး ဓမ္မတာ အသုံးအဆောင် ရရှိသော အိမ်ထောင်စု</t>
  </si>
  <si>
    <t>ဆပ်ပြာရရှိသော အိမ်ထောင်စု #</t>
  </si>
  <si>
    <t>အမျိုးသမီး ဓမ္မတာ အသုံးအဆောင် ရရှိသော အိမ်ထောင်စု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</si>
  <si>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</si>
  <si>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</si>
  <si>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</si>
  <si>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</si>
  <si>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</si>
  <si>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</si>
  <si>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</si>
  <si>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</si>
  <si>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</si>
  <si>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</si>
  <si>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</si>
  <si>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</si>
  <si>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</si>
  <si>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</si>
  <si>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</si>
  <si>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</si>
  <si>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</si>
  <si>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</si>
  <si>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</si>
  <si>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</si>
  <si>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</si>
  <si>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</si>
  <si>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</si>
  <si>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</si>
  <si>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</si>
  <si>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</si>
  <si>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</si>
  <si>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</si>
  <si>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</si>
  <si>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</si>
  <si>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198657</t>
  </si>
  <si>
    <t>198611</t>
  </si>
  <si>
    <t>198645</t>
  </si>
  <si>
    <t>198643</t>
  </si>
  <si>
    <t>198647</t>
  </si>
  <si>
    <t>198612</t>
  </si>
  <si>
    <t>198514</t>
  </si>
  <si>
    <t>198516</t>
  </si>
  <si>
    <t>198512</t>
  </si>
  <si>
    <t>MMR012CMP036</t>
  </si>
  <si>
    <t>MMR012CMP035</t>
  </si>
  <si>
    <t>199191</t>
  </si>
  <si>
    <t>199264</t>
  </si>
  <si>
    <t>199261</t>
  </si>
  <si>
    <t>199262</t>
  </si>
  <si>
    <t>199266</t>
  </si>
  <si>
    <t>199265</t>
  </si>
  <si>
    <t>199223</t>
  </si>
  <si>
    <t>199218</t>
  </si>
  <si>
    <t>199156</t>
  </si>
  <si>
    <t>199161</t>
  </si>
  <si>
    <t>199159</t>
  </si>
  <si>
    <t>199158</t>
  </si>
  <si>
    <t>199157</t>
  </si>
  <si>
    <t>199160</t>
  </si>
  <si>
    <t>199137</t>
  </si>
  <si>
    <t>199133</t>
  </si>
  <si>
    <t>199135</t>
  </si>
  <si>
    <t>197566</t>
  </si>
  <si>
    <t>199134</t>
  </si>
  <si>
    <t>220838</t>
  </si>
  <si>
    <t>199235</t>
  </si>
  <si>
    <t>199241</t>
  </si>
  <si>
    <t>199236</t>
  </si>
  <si>
    <t>199250</t>
  </si>
  <si>
    <t>199248</t>
  </si>
  <si>
    <t>199233</t>
  </si>
  <si>
    <t>199240</t>
  </si>
  <si>
    <t>197309</t>
  </si>
  <si>
    <t>197254</t>
  </si>
  <si>
    <t>197253</t>
  </si>
  <si>
    <t>197255</t>
  </si>
  <si>
    <t>217974</t>
  </si>
  <si>
    <t>217973</t>
  </si>
  <si>
    <t>MMR012CMP014</t>
  </si>
  <si>
    <t>MMR012CMP013</t>
  </si>
  <si>
    <t>197486</t>
  </si>
  <si>
    <t>197550</t>
  </si>
  <si>
    <t>197479</t>
  </si>
  <si>
    <t>197378</t>
  </si>
  <si>
    <t>197548</t>
  </si>
  <si>
    <t>MMR012CMP019</t>
  </si>
  <si>
    <t>MMR012CMP096</t>
  </si>
  <si>
    <t>197430</t>
  </si>
  <si>
    <t>197562</t>
  </si>
  <si>
    <t>MMR012CMP017</t>
  </si>
  <si>
    <t>197277</t>
  </si>
  <si>
    <t>197557</t>
  </si>
  <si>
    <t>197366</t>
  </si>
  <si>
    <t>MMR012CMP018</t>
  </si>
  <si>
    <t>197558</t>
  </si>
  <si>
    <t>197279</t>
  </si>
  <si>
    <t>197531</t>
  </si>
  <si>
    <t>MMR012CMP016</t>
  </si>
  <si>
    <t>197537</t>
  </si>
  <si>
    <t>197280</t>
  </si>
  <si>
    <t>196142</t>
  </si>
  <si>
    <t>196208</t>
  </si>
  <si>
    <t>MMR012CMP039</t>
  </si>
  <si>
    <t>196141</t>
  </si>
  <si>
    <t>196130</t>
  </si>
  <si>
    <t>220593</t>
  </si>
  <si>
    <t>MMR012CMP056</t>
  </si>
  <si>
    <t>196209</t>
  </si>
  <si>
    <t>197286</t>
  </si>
  <si>
    <t>MMR012CMP105</t>
  </si>
  <si>
    <t>MMR012CMP111</t>
  </si>
  <si>
    <t>MMR012CMP112</t>
  </si>
  <si>
    <t>MMR012CMP057</t>
  </si>
  <si>
    <t>MMR012CMP093</t>
  </si>
  <si>
    <t>MMR012CMP047</t>
  </si>
  <si>
    <t>196211</t>
  </si>
  <si>
    <t>MMR012CMP046</t>
  </si>
  <si>
    <t>MMR012CMP097</t>
  </si>
  <si>
    <t>MMR012CMP041</t>
  </si>
  <si>
    <t>MMR012CMP015</t>
  </si>
  <si>
    <t>MMR012CMP113</t>
  </si>
  <si>
    <t>MMR012CMP048</t>
  </si>
  <si>
    <t>MMR012CMP102</t>
  </si>
  <si>
    <t>MMR012CMP040</t>
  </si>
  <si>
    <t>MMR012CMP114</t>
  </si>
  <si>
    <t>MMR012CMP091</t>
  </si>
  <si>
    <t>MMR012CMP042</t>
  </si>
  <si>
    <t>MMR012CMP103</t>
  </si>
  <si>
    <t>MMR012CMP116</t>
  </si>
  <si>
    <t>MMR012CMP092</t>
  </si>
  <si>
    <t>MMR012CMP115</t>
  </si>
  <si>
    <t>196155</t>
  </si>
  <si>
    <t>196156</t>
  </si>
  <si>
    <t>196159</t>
  </si>
  <si>
    <t>MMR012CMP045</t>
  </si>
  <si>
    <t>197176</t>
  </si>
  <si>
    <t>MMR012CMP098</t>
  </si>
  <si>
    <t>MMR012CMP044</t>
  </si>
  <si>
    <t>196144</t>
  </si>
  <si>
    <t>196140</t>
  </si>
  <si>
    <t>220671</t>
  </si>
  <si>
    <t>197171</t>
  </si>
  <si>
    <t>196139</t>
  </si>
  <si>
    <t>196143</t>
  </si>
  <si>
    <t>196138</t>
  </si>
  <si>
    <t>196412</t>
  </si>
  <si>
    <t>196137</t>
  </si>
  <si>
    <t>196408</t>
  </si>
  <si>
    <t>196377</t>
  </si>
  <si>
    <t>196375</t>
  </si>
  <si>
    <t>196401</t>
  </si>
  <si>
    <t>MMR012CMP031</t>
  </si>
  <si>
    <t>197779</t>
  </si>
  <si>
    <t>196359</t>
  </si>
  <si>
    <t>196357</t>
  </si>
  <si>
    <t>MMR012CMP001</t>
  </si>
  <si>
    <t>197765</t>
  </si>
  <si>
    <t>MMR012CMP002</t>
  </si>
  <si>
    <t>196994</t>
  </si>
  <si>
    <t>196998</t>
  </si>
  <si>
    <t>196996</t>
  </si>
  <si>
    <t>MMR012CMP003</t>
  </si>
  <si>
    <t>MMR012CMP032</t>
  </si>
  <si>
    <t>MMR012CMP008</t>
  </si>
  <si>
    <t>MMR012CMP033</t>
  </si>
  <si>
    <t>MMR012CMP104</t>
  </si>
  <si>
    <t>196356</t>
  </si>
  <si>
    <t>MMR012CMP110</t>
  </si>
  <si>
    <t>220626</t>
  </si>
  <si>
    <t>196496</t>
  </si>
  <si>
    <t>MMR012CMP006</t>
  </si>
  <si>
    <t>196349</t>
  </si>
  <si>
    <t>196508</t>
  </si>
  <si>
    <t>196350</t>
  </si>
  <si>
    <t>MMR012CMP117</t>
  </si>
  <si>
    <t>MMR012CMP010</t>
  </si>
  <si>
    <t>196351</t>
  </si>
  <si>
    <t>196337</t>
  </si>
  <si>
    <t>197596</t>
  </si>
  <si>
    <t>197609</t>
  </si>
  <si>
    <t>197067</t>
  </si>
  <si>
    <t>197608</t>
  </si>
  <si>
    <t>197595</t>
  </si>
  <si>
    <t>198075</t>
  </si>
  <si>
    <t>197599</t>
  </si>
  <si>
    <t>197601</t>
  </si>
  <si>
    <t>197602</t>
  </si>
  <si>
    <t>197600</t>
  </si>
  <si>
    <t>197597</t>
  </si>
  <si>
    <t>197603</t>
  </si>
  <si>
    <t>197593</t>
  </si>
  <si>
    <t>196331</t>
  </si>
  <si>
    <t>MMR012CMP034</t>
  </si>
  <si>
    <t>197590</t>
  </si>
  <si>
    <t>197589</t>
  </si>
  <si>
    <t>MMR012CMP009</t>
  </si>
  <si>
    <t>197591</t>
  </si>
  <si>
    <t>220694</t>
  </si>
  <si>
    <t>196429</t>
  </si>
  <si>
    <t>197580</t>
  </si>
  <si>
    <t>197585</t>
  </si>
  <si>
    <t>MMR012CMP005</t>
  </si>
  <si>
    <t>197586</t>
  </si>
  <si>
    <t>196321</t>
  </si>
  <si>
    <t>197583</t>
  </si>
  <si>
    <t>196318</t>
  </si>
  <si>
    <t>MMR012CMP012</t>
  </si>
  <si>
    <t>196316</t>
  </si>
  <si>
    <t>196312</t>
  </si>
  <si>
    <t>197690</t>
  </si>
  <si>
    <t>197707</t>
  </si>
  <si>
    <t>197706</t>
  </si>
  <si>
    <t>196983</t>
  </si>
  <si>
    <t>196926</t>
  </si>
  <si>
    <t>196313</t>
  </si>
  <si>
    <t>198058</t>
  </si>
  <si>
    <t>198450</t>
  </si>
  <si>
    <t>197691</t>
  </si>
  <si>
    <t>198449</t>
  </si>
  <si>
    <t>198451</t>
  </si>
  <si>
    <t>198452</t>
  </si>
  <si>
    <t>198448</t>
  </si>
  <si>
    <t>198026</t>
  </si>
  <si>
    <t>217884</t>
  </si>
  <si>
    <t>198447</t>
  </si>
  <si>
    <t>217885</t>
  </si>
  <si>
    <t>217886</t>
  </si>
  <si>
    <t>197674</t>
  </si>
  <si>
    <t>197670</t>
  </si>
  <si>
    <t>220754</t>
  </si>
  <si>
    <t>198443</t>
  </si>
  <si>
    <t>198444</t>
  </si>
  <si>
    <t>198421</t>
  </si>
  <si>
    <t>197669</t>
  </si>
  <si>
    <t>198446</t>
  </si>
  <si>
    <t>198442</t>
  </si>
  <si>
    <t>MMR012CMP026</t>
  </si>
  <si>
    <t>196643</t>
  </si>
  <si>
    <t>196642</t>
  </si>
  <si>
    <t>198431</t>
  </si>
  <si>
    <t>198428</t>
  </si>
  <si>
    <t>196943</t>
  </si>
  <si>
    <t>198423</t>
  </si>
  <si>
    <t>196973</t>
  </si>
  <si>
    <t>MMR012CMP027</t>
  </si>
  <si>
    <t>MMR012CMP109</t>
  </si>
  <si>
    <t>198049</t>
  </si>
  <si>
    <t>MMR012CMP088</t>
  </si>
  <si>
    <t>220744</t>
  </si>
  <si>
    <t>197666</t>
  </si>
  <si>
    <t>198047</t>
  </si>
  <si>
    <t>198045</t>
  </si>
  <si>
    <t>198048</t>
  </si>
  <si>
    <t>198046</t>
  </si>
  <si>
    <t>MMR012CMP024</t>
  </si>
  <si>
    <t>196946</t>
  </si>
  <si>
    <t>196950</t>
  </si>
  <si>
    <t>198429</t>
  </si>
  <si>
    <t>198432</t>
  </si>
  <si>
    <t>196951</t>
  </si>
  <si>
    <t>198430</t>
  </si>
  <si>
    <t>197665</t>
  </si>
  <si>
    <t>198418</t>
  </si>
  <si>
    <t>MMR012CMP028</t>
  </si>
  <si>
    <t>198425</t>
  </si>
  <si>
    <t>198399</t>
  </si>
  <si>
    <t>198398</t>
  </si>
  <si>
    <t>198427</t>
  </si>
  <si>
    <t>217879</t>
  </si>
  <si>
    <t>198390</t>
  </si>
  <si>
    <t>198413</t>
  </si>
  <si>
    <t>198391</t>
  </si>
  <si>
    <t>198408</t>
  </si>
  <si>
    <t>220739</t>
  </si>
  <si>
    <t>198409</t>
  </si>
  <si>
    <t>198404</t>
  </si>
  <si>
    <t>198410</t>
  </si>
  <si>
    <t>198407</t>
  </si>
  <si>
    <t>198002</t>
  </si>
  <si>
    <t>MMR012CMP029</t>
  </si>
  <si>
    <t>197999</t>
  </si>
  <si>
    <t>196869</t>
  </si>
  <si>
    <t>198001</t>
  </si>
  <si>
    <t>198380</t>
  </si>
  <si>
    <t>198000</t>
  </si>
  <si>
    <t>198378</t>
  </si>
  <si>
    <t>198367</t>
  </si>
  <si>
    <t>198379</t>
  </si>
  <si>
    <t>217895</t>
  </si>
  <si>
    <t>198368</t>
  </si>
  <si>
    <t>197995</t>
  </si>
  <si>
    <t>196883</t>
  </si>
  <si>
    <t>197997</t>
  </si>
  <si>
    <t>MMR012CMP020</t>
  </si>
  <si>
    <t>197996</t>
  </si>
  <si>
    <t>198369</t>
  </si>
  <si>
    <t>196873</t>
  </si>
  <si>
    <t>217876</t>
  </si>
  <si>
    <t>198335</t>
  </si>
  <si>
    <t>MMR012CMP084</t>
  </si>
  <si>
    <t>198356</t>
  </si>
  <si>
    <t>217894</t>
  </si>
  <si>
    <t>MMR012CMP086</t>
  </si>
  <si>
    <t>197990</t>
  </si>
  <si>
    <t>MMR012CMP082</t>
  </si>
  <si>
    <t>197989</t>
  </si>
  <si>
    <t>MMR012CMP085</t>
  </si>
  <si>
    <t>198334</t>
  </si>
  <si>
    <t>MMR012CMP083</t>
  </si>
  <si>
    <t>197992</t>
  </si>
  <si>
    <t>198332</t>
  </si>
  <si>
    <t>MMR012CMP095</t>
  </si>
  <si>
    <t>MMR012CMP023</t>
  </si>
  <si>
    <t>198291</t>
  </si>
  <si>
    <t>198301</t>
  </si>
  <si>
    <t>198299</t>
  </si>
  <si>
    <t>198292</t>
  </si>
  <si>
    <t>198302</t>
  </si>
  <si>
    <t>MMR012CMP030</t>
  </si>
  <si>
    <t>217871</t>
  </si>
  <si>
    <t>198300</t>
  </si>
  <si>
    <t>198317</t>
  </si>
  <si>
    <t>198303</t>
  </si>
  <si>
    <t>198297</t>
  </si>
  <si>
    <t>198316</t>
  </si>
  <si>
    <t>198318</t>
  </si>
  <si>
    <t>MMR012CMP025</t>
  </si>
  <si>
    <t>196787</t>
  </si>
  <si>
    <t>MMR012CMP022</t>
  </si>
  <si>
    <t>MMR012CMP021</t>
  </si>
  <si>
    <t>217866</t>
  </si>
  <si>
    <t>198164</t>
  </si>
  <si>
    <t>198185</t>
  </si>
  <si>
    <t>198187</t>
  </si>
  <si>
    <t>198183</t>
  </si>
  <si>
    <t>198184</t>
  </si>
  <si>
    <t>197896</t>
  </si>
  <si>
    <t>196767</t>
  </si>
  <si>
    <t>197890</t>
  </si>
  <si>
    <t>197879</t>
  </si>
  <si>
    <t>197880</t>
  </si>
  <si>
    <t>197887</t>
  </si>
  <si>
    <t>197883</t>
  </si>
  <si>
    <t>197867</t>
  </si>
  <si>
    <t>MMR012CMP094</t>
  </si>
  <si>
    <t>220747</t>
  </si>
  <si>
    <t>197839</t>
  </si>
  <si>
    <t>220722</t>
  </si>
  <si>
    <t>197820</t>
  </si>
  <si>
    <t>197817</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</si>
  <si>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</si>
  <si>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</si>
  <si>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</si>
  <si>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</si>
  <si>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</si>
  <si>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</si>
  <si>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</si>
  <si>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</si>
  <si>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</si>
  <si>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</si>
  <si>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</si>
  <si>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</si>
  <si>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</si>
  <si>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</si>
  <si>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</si>
  <si>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</si>
  <si>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</si>
  <si>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</si>
  <si>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</si>
  <si>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</si>
  <si>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</si>
  <si>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</si>
  <si>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</si>
  <si>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</si>
  <si>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</si>
  <si>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</si>
  <si>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</si>
  <si>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</si>
  <si>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</si>
  <si>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</si>
  <si>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</si>
  <si>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</si>
  <si>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</si>
  <si>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</si>
  <si>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</si>
  <si>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</si>
  <si>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</si>
  <si>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</si>
  <si>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</si>
  <si>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</si>
  <si>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</si>
  <si>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</si>
  <si>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</si>
  <si>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</si>
  <si>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</si>
  <si>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</si>
  <si>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</si>
  <si>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</si>
  <si>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</si>
  <si>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</si>
  <si>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</si>
  <si>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</si>
  <si>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</si>
  <si>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</si>
  <si>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</si>
  <si>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</si>
  <si>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</si>
  <si>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</si>
  <si>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</si>
  <si>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</si>
  <si>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</si>
  <si>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</si>
  <si>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</si>
  <si>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</si>
  <si>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</si>
  <si>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</si>
  <si>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</si>
  <si>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</si>
  <si>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</si>
  <si>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</si>
  <si>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</si>
  <si>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</si>
  <si>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</si>
  <si>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</si>
  <si>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</si>
  <si>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</si>
  <si>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</si>
  <si>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</si>
  <si>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</si>
  <si>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</si>
  <si>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</si>
  <si>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</si>
  <si>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</si>
  <si>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</si>
  <si>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</si>
  <si>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</si>
  <si>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</si>
  <si>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</si>
  <si>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</si>
  <si>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</si>
  <si>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</si>
  <si>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</si>
  <si>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</si>
  <si>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</si>
  <si>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</si>
  <si>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</si>
  <si>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</si>
  <si>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</si>
  <si>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</si>
  <si>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</si>
  <si>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</si>
  <si>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</si>
  <si>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</si>
  <si>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</si>
  <si>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</si>
  <si>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</si>
  <si>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</si>
  <si>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</si>
  <si>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</si>
  <si>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</si>
  <si>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</si>
  <si>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</si>
  <si>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</si>
  <si>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</si>
  <si>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</si>
  <si>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</si>
  <si>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</si>
  <si>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</si>
  <si>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</si>
  <si>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</si>
  <si>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</si>
  <si>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</si>
  <si>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</si>
  <si>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</si>
  <si>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</si>
  <si>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</si>
  <si>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</si>
  <si>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</si>
  <si>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</si>
  <si>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</si>
  <si>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</si>
  <si>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</si>
  <si>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</si>
  <si>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</si>
  <si>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</si>
  <si>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</si>
  <si>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</si>
  <si>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</si>
  <si>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</si>
  <si>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</si>
  <si>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</si>
  <si>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</si>
  <si>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</si>
  <si>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</si>
  <si>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</si>
  <si>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</si>
  <si>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</si>
  <si>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</si>
  <si>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</si>
  <si>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</si>
  <si>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</si>
  <si>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</si>
  <si>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</si>
  <si>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</si>
  <si>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</si>
  <si>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</si>
  <si>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</si>
  <si>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</si>
  <si>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</si>
  <si>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</si>
  <si>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</si>
  <si>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</si>
  <si>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</si>
  <si>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</si>
  <si>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</si>
  <si>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</si>
  <si>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</si>
  <si>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</si>
  <si>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</si>
  <si>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</si>
  <si>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</si>
  <si>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</si>
  <si>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</si>
  <si>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</si>
  <si>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</si>
  <si>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</si>
  <si>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</si>
  <si>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</si>
  <si>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</si>
  <si>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</si>
  <si>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</si>
  <si>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</si>
  <si>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</si>
  <si>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</si>
  <si>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</si>
  <si>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</si>
  <si>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</si>
  <si>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</si>
  <si>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</si>
  <si>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</si>
  <si>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</si>
  <si>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</si>
  <si>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</si>
  <si>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</si>
  <si>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</si>
  <si>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</si>
  <si>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</si>
  <si>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</si>
  <si>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</si>
  <si>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</si>
  <si>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</si>
  <si>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</si>
  <si>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</si>
  <si>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</si>
  <si>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196210</t>
  </si>
  <si>
    <t>196823</t>
  </si>
  <si>
    <t>196884</t>
  </si>
  <si>
    <t>196886</t>
  </si>
  <si>
    <t>196927</t>
  </si>
  <si>
    <t>196929</t>
  </si>
  <si>
    <t>196971</t>
  </si>
  <si>
    <t>196878</t>
  </si>
  <si>
    <t>196875</t>
  </si>
  <si>
    <t>MMR015CMP247</t>
  </si>
  <si>
    <t>220693</t>
  </si>
  <si>
    <t>197174</t>
  </si>
  <si>
    <t>MMR001CMP250</t>
  </si>
  <si>
    <t>MMR015CMP246</t>
  </si>
  <si>
    <t>196759</t>
  </si>
  <si>
    <t>MMR001CMP249</t>
  </si>
  <si>
    <t>196999</t>
  </si>
  <si>
    <t>MMR001CMP252</t>
  </si>
  <si>
    <t>MMR001CMP254</t>
  </si>
  <si>
    <t>MMR001CMP253</t>
  </si>
  <si>
    <t>MMR001CMP251</t>
  </si>
  <si>
    <t>220691</t>
  </si>
  <si>
    <t>197826</t>
  </si>
  <si>
    <t>HRP 5</t>
  </si>
  <si>
    <t>HRP 3</t>
  </si>
  <si>
    <t># Litres/Day provided</t>
  </si>
  <si>
    <t># Water points fully handed over</t>
  </si>
  <si>
    <t># of Water tested at source</t>
  </si>
  <si>
    <t># of Water passed at source</t>
  </si>
  <si>
    <t># of Water tested at HH</t>
  </si>
  <si>
    <t># of Water passed at HH</t>
  </si>
  <si>
    <t># Existing functional latrines</t>
  </si>
  <si>
    <t># Existing latrines dysfunctional</t>
  </si>
  <si>
    <t># of latrines desludged</t>
  </si>
  <si>
    <t># Latrines fully handed over</t>
  </si>
  <si>
    <t>effective solid waste management system</t>
  </si>
  <si>
    <t>Type of handwashing approach</t>
  </si>
  <si>
    <t># HH received Sanitary Pads</t>
  </si>
  <si>
    <t># HH received soaps</t>
  </si>
  <si>
    <t>Is sufficient soap available for TLS?</t>
  </si>
  <si>
    <t>%Water samples which passed at HH</t>
  </si>
  <si>
    <t>Access to safe drinking water for Camp</t>
  </si>
  <si>
    <t>Access to safe drinking water for Village</t>
  </si>
  <si>
    <t>%Equitable and continuous access to sufficient quantity of safe drinking water</t>
  </si>
  <si>
    <t>%Equitable and continuous access to sufficient quantity of domestic water borehole n ponds</t>
  </si>
  <si>
    <t>#Water points coverage</t>
  </si>
  <si>
    <t>#Potential required new water points</t>
  </si>
  <si>
    <t>%Women in leadership positions in wash committees</t>
  </si>
  <si>
    <t>% Women on camp WASH committee</t>
  </si>
  <si>
    <t>WATER Comments</t>
  </si>
  <si>
    <t>Sanitation Comments</t>
  </si>
  <si>
    <t>Hygiene Comments</t>
  </si>
  <si>
    <t>Hygiene Coverage%</t>
  </si>
  <si>
    <t>Hygiene Gap%</t>
  </si>
  <si>
    <t>%people reached by regular dedicated hygiene promotion</t>
  </si>
  <si>
    <t>%HH with access to soap</t>
  </si>
  <si>
    <t>#HH with access to Hand Washing Station</t>
  </si>
  <si>
    <t>% of Latrine Gap
Red &gt;=30%
Orange 0%~29%__
Green =0%</t>
  </si>
  <si>
    <t>Standard amount of Soap and sanitary pad</t>
  </si>
  <si>
    <t>Camps only</t>
  </si>
  <si>
    <t>#People access to unimproved water sources</t>
  </si>
  <si>
    <t>Row Labels</t>
  </si>
  <si>
    <t>#ppl Equitable and continuous access to sufficient quantity of safe drinking water_1</t>
  </si>
  <si>
    <t>#people Equitable and continuous access to sufficient quantity of domestic water borehole n ponds_2</t>
  </si>
  <si>
    <t>#people access to functioning Latrine_3</t>
  </si>
  <si>
    <t>%HHs with access to functional hand washing stations</t>
  </si>
  <si>
    <t>%HHs with access to functional hand washing stations (communal or HHs level)</t>
  </si>
  <si>
    <t xml:space="preserve"> အသုံးပြု၍ရသော လက်ဆေးနေရာ သုံးနိုင်သော အိမ်ထောင်စု%</t>
  </si>
  <si>
    <t>(Multiple Items)</t>
  </si>
  <si>
    <t>Grand Total</t>
  </si>
  <si>
    <t>Indicators</t>
  </si>
  <si>
    <t>State/Region</t>
  </si>
  <si>
    <t xml:space="preserve"> In Need</t>
  </si>
  <si>
    <t>Overall reached</t>
  </si>
  <si>
    <t>Male 
(est 45%)</t>
  </si>
  <si>
    <t>Female 
(est 55%)</t>
  </si>
  <si>
    <t xml:space="preserve"> Children (&lt;18 yrs)
(est 35%)</t>
  </si>
  <si>
    <t xml:space="preserve"> Adult (18-59 yrs)
(est 40%)</t>
  </si>
  <si>
    <t xml:space="preserve"> Elderly (&gt;59 yrs)
(est 25%)</t>
  </si>
  <si>
    <t>Coverage</t>
  </si>
  <si>
    <t>Gap</t>
  </si>
  <si>
    <t>Number of people with equitable and safe access to sufficient quantity of drinking water</t>
  </si>
  <si>
    <t>Number of people with equitable and safe access to sufficient quantity of domestic water</t>
  </si>
  <si>
    <t>Number of people who received regular supply of hygiene items</t>
  </si>
  <si>
    <t>Number of people with access to continuous sanitation services</t>
  </si>
  <si>
    <t>Number of people with equitable and safe access to sufficient quantity of drinking water_1</t>
  </si>
  <si>
    <t>Number of people with equitable and safe access to sufficient quantity of domestic water_2</t>
  </si>
  <si>
    <t>Number of people with access to functional sanitation facilities_3</t>
  </si>
  <si>
    <t>Robert -Middle school</t>
  </si>
  <si>
    <t>Target</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</si>
  <si>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</si>
  <si>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</si>
  <si>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</si>
  <si>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</si>
  <si>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</si>
  <si>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</si>
  <si>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</si>
  <si>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</si>
  <si>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</si>
  <si>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</si>
  <si>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</si>
  <si>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</si>
  <si>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</si>
  <si>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</si>
  <si>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</si>
  <si>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</si>
  <si>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</si>
  <si>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</si>
  <si>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</si>
  <si>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</si>
  <si>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</si>
  <si>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</si>
  <si>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</si>
  <si>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</si>
  <si>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</si>
  <si>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</si>
  <si>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</si>
  <si>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</si>
  <si>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</si>
  <si>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</si>
  <si>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</si>
  <si>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</si>
  <si>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</si>
  <si>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</si>
  <si>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</si>
  <si>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</si>
  <si>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</si>
  <si>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</si>
  <si>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</si>
  <si>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</si>
  <si>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</si>
  <si>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</si>
  <si>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</si>
  <si>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</si>
  <si>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</si>
  <si>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</si>
  <si>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</si>
  <si>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</si>
  <si>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</si>
  <si>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</si>
  <si>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</si>
  <si>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</si>
  <si>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</si>
  <si>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</si>
  <si>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</si>
  <si>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</si>
  <si>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</si>
  <si>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</si>
  <si>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</si>
  <si>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</si>
  <si>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</si>
  <si>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</si>
  <si>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</si>
  <si>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</si>
  <si>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</si>
  <si>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</si>
  <si>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</si>
  <si>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</si>
  <si>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</si>
  <si>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</si>
  <si>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</si>
  <si>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</si>
  <si>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</si>
  <si>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</si>
  <si>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</si>
  <si>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</si>
  <si>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</si>
  <si>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</si>
  <si>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</si>
  <si>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</si>
  <si>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</si>
  <si>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</si>
  <si>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</si>
  <si>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</si>
  <si>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</si>
  <si>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</si>
  <si>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</si>
  <si>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</si>
  <si>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</si>
  <si>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</si>
  <si>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</si>
  <si>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</si>
  <si>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</si>
  <si>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</si>
  <si>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</si>
  <si>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</si>
  <si>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</si>
  <si>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</si>
  <si>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</si>
  <si>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</si>
  <si>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</si>
  <si>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</si>
  <si>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</si>
  <si>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</si>
  <si>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</si>
  <si>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</si>
  <si>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</si>
  <si>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</si>
  <si>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</si>
  <si>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</si>
  <si>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</si>
  <si>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</si>
  <si>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</si>
  <si>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</si>
  <si>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</si>
  <si>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</si>
  <si>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</si>
  <si>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</si>
  <si>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</si>
  <si>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</si>
  <si>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</si>
  <si>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</si>
  <si>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</si>
  <si>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</si>
  <si>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</si>
  <si>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</si>
  <si>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</si>
  <si>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</si>
  <si>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</si>
  <si>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</si>
  <si>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</si>
  <si>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</si>
  <si>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</si>
  <si>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</si>
  <si>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</si>
  <si>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</si>
  <si>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</si>
  <si>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</si>
  <si>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</si>
  <si>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</si>
  <si>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</si>
  <si>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</si>
  <si>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</si>
  <si>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</si>
  <si>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</si>
  <si>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</si>
  <si>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</si>
  <si>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</si>
  <si>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</si>
  <si>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</si>
  <si>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</si>
  <si>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</si>
  <si>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</si>
  <si>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</si>
  <si>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</si>
  <si>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</si>
  <si>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</si>
  <si>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</si>
  <si>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</si>
  <si>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</si>
  <si>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</si>
  <si>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</si>
  <si>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</si>
  <si>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</si>
  <si>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</si>
  <si>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</si>
  <si>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</si>
  <si>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</si>
  <si>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</si>
  <si>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</si>
  <si>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</si>
  <si>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</si>
  <si>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</si>
  <si>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</si>
  <si>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</si>
  <si>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</si>
  <si>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</si>
  <si>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</si>
  <si>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</si>
  <si>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</si>
  <si>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</si>
  <si>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</si>
  <si>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</si>
  <si>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</si>
  <si>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</si>
  <si>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</si>
  <si>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</si>
  <si>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</si>
  <si>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</si>
  <si>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</si>
  <si>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</si>
  <si>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</si>
  <si>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</si>
  <si>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</si>
  <si>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</si>
  <si>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</si>
  <si>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</si>
  <si>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</si>
  <si>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</si>
  <si>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</si>
  <si>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</si>
  <si>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</si>
  <si>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</si>
  <si>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</si>
  <si>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</si>
  <si>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</si>
  <si>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</si>
  <si>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</si>
  <si>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</si>
  <si>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</si>
  <si>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</si>
  <si>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</si>
  <si>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</si>
  <si>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</si>
  <si>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</si>
  <si>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</si>
  <si>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</si>
  <si>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</si>
  <si>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</si>
  <si>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</si>
  <si>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</si>
  <si>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</si>
  <si>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</si>
  <si>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</si>
  <si>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</si>
  <si>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</si>
  <si>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</si>
  <si>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</si>
  <si>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</si>
  <si>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</si>
  <si>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</si>
  <si>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</si>
  <si>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A Lar Than</t>
  </si>
  <si>
    <t xml:space="preserve">Me La Zi Kone </t>
  </si>
  <si>
    <t>Bumtsit Pa (1,2,3)</t>
  </si>
  <si>
    <t>Bum Tsit Pa 3</t>
  </si>
  <si>
    <t>SCI/FFO</t>
  </si>
  <si>
    <t>Assume 5 people per hh. 100 hh per Hygiene promoters. So, 500 people per hygiene promotor</t>
  </si>
  <si>
    <t>(All)</t>
  </si>
  <si>
    <t>Gap%</t>
  </si>
  <si>
    <t>Column Labels</t>
  </si>
  <si>
    <t>Values</t>
  </si>
  <si>
    <t># latrines desludged.</t>
  </si>
  <si>
    <t>Shan</t>
  </si>
  <si>
    <t>water pt gap</t>
  </si>
  <si>
    <t>Count of Site Name</t>
  </si>
  <si>
    <t>Average of %Water samples which passed at HH</t>
  </si>
  <si>
    <t>Site didn't have water quality test</t>
  </si>
  <si>
    <t>Access to unimproved water points</t>
  </si>
  <si>
    <t>Sum of Total HH</t>
  </si>
  <si>
    <t>Sum of #HH with access to Hand Washing Station</t>
  </si>
  <si>
    <t>Sum of # HH received soaps</t>
  </si>
  <si>
    <t>Sum of # HH received Sanitary Pads</t>
  </si>
  <si>
    <t>#HH reached by regular dedicated hygiene promotion</t>
  </si>
  <si>
    <t>Waters GAP</t>
  </si>
  <si>
    <t>Sanitation Gap</t>
  </si>
  <si>
    <t>Hygiene Gap</t>
  </si>
  <si>
    <t>Water GAP</t>
  </si>
  <si>
    <t xml:space="preserve">Sanitation Gap </t>
  </si>
  <si>
    <t xml:space="preserve">PoP </t>
  </si>
  <si>
    <t xml:space="preserve">Water GAP </t>
  </si>
  <si>
    <t xml:space="preserve">sanitation Gap </t>
  </si>
  <si>
    <t xml:space="preserve">HH
(Rakhine-CCCM as of 1st May 2017)
</t>
  </si>
  <si>
    <t>Pop
(Rakhine-CCCM as of 1st May 2017)</t>
  </si>
  <si>
    <t>none</t>
  </si>
  <si>
    <t>Count of Does the camp have surface water drainage</t>
  </si>
  <si>
    <t>Coverage%</t>
  </si>
  <si>
    <t>Count of effective solid waste management system</t>
  </si>
  <si>
    <t>Total population</t>
  </si>
  <si>
    <t>Total</t>
  </si>
  <si>
    <t>Count of Is sufficient soap available for TLS?</t>
  </si>
  <si>
    <t>Kachin Total</t>
  </si>
  <si>
    <t>Bum Tsit Pa</t>
  </si>
  <si>
    <t>Arche Nova</t>
  </si>
  <si>
    <t>NiDin</t>
  </si>
  <si>
    <t>CDN,(MA_UK)</t>
  </si>
  <si>
    <t>Baw Du Pha village</t>
  </si>
  <si>
    <t>Metta,KBC-HDD-NSS</t>
  </si>
  <si>
    <t>SCI,KMSS</t>
  </si>
  <si>
    <t>30-04-2018</t>
  </si>
  <si>
    <t>31-01-2018</t>
  </si>
  <si>
    <t>yes</t>
  </si>
  <si>
    <t>USAID, Christian Aid, HIDA</t>
  </si>
  <si>
    <t>no</t>
  </si>
  <si>
    <t>-</t>
  </si>
  <si>
    <t>Already tested the water quality test in Mai Khaung camp and the water quality report has not been develop yet.</t>
  </si>
  <si>
    <t>Not safe</t>
  </si>
  <si>
    <t>no water test</t>
  </si>
  <si>
    <t>No WASH actor</t>
  </si>
  <si>
    <t>nil</t>
  </si>
  <si>
    <t>Nill</t>
  </si>
  <si>
    <t>HH latrines in village</t>
  </si>
  <si>
    <t>still need to improve through hygiene awareness session</t>
  </si>
  <si>
    <t>There is solid waste management in ANY but no incinerator</t>
  </si>
  <si>
    <t>construction of latrines ongoing</t>
  </si>
  <si>
    <t>Quarterly Hygiene kits distribution is doing by Metta.</t>
  </si>
  <si>
    <t>not provided by Oxfam</t>
  </si>
  <si>
    <t>8 Hygiene promoters, 8 latrine cleaner, 10 environmental workers and 2 water system operators</t>
  </si>
  <si>
    <t>UNICEF distributed full HK</t>
  </si>
  <si>
    <t>Sanitation Comments        (If you have gaps or questions)</t>
  </si>
  <si>
    <t>SI does not deliver water to the village, only CWF and HP sessions</t>
  </si>
  <si>
    <t>There is solid waste management in ANY  villagebut no incinerator</t>
  </si>
  <si>
    <t>Access to soap as incentive for mass cleaning campaigns</t>
  </si>
  <si>
    <t>9/1/2018,1-dec-2018</t>
  </si>
  <si>
    <t>USAID</t>
  </si>
  <si>
    <t>9/1/2018,1-Dec-2018</t>
  </si>
  <si>
    <t>30/4/18, 30/6/18</t>
  </si>
  <si>
    <t>Need to renovation Tube well</t>
  </si>
  <si>
    <t xml:space="preserve">USAID,Christian Aid, </t>
  </si>
  <si>
    <t>Need to be construction Tube well</t>
  </si>
  <si>
    <t>to ask</t>
  </si>
  <si>
    <t>to confirm not found in Q1-2018</t>
  </si>
  <si>
    <t>data is provided from both SCI/KMSS</t>
  </si>
  <si>
    <t>MHF,HARP</t>
  </si>
  <si>
    <t>11/17/2018,12/31/2018</t>
  </si>
  <si>
    <t>MHF,ADRA/CANADA</t>
  </si>
  <si>
    <t>11/17/2018,1/31/2018</t>
  </si>
  <si>
    <t>SCI,Metta</t>
  </si>
  <si>
    <t>Bum Tsit Pa Camp II</t>
  </si>
  <si>
    <t>to ask not found in Q1 2018</t>
  </si>
  <si>
    <t>HARP,WHH(BMZ, AA)</t>
  </si>
  <si>
    <t>30/12/2018,30/4/18, 30/6/18</t>
  </si>
  <si>
    <t>WHH(BMZ, AA),SCI</t>
  </si>
  <si>
    <t>30/4/18,30/6/18,11/30/2019,</t>
  </si>
  <si>
    <t>WHH(BMZ,AA),SCI, ADRA/CANADA</t>
  </si>
  <si>
    <t>30/4/18, 30/6/18,11/30/2019</t>
  </si>
  <si>
    <t>Metta,KMSS</t>
  </si>
  <si>
    <t>WHH(BMZ, AA),HARP</t>
  </si>
  <si>
    <t>30/4/18, 30/6/18,12/31/2018</t>
  </si>
  <si>
    <t>WHH(BMZ, AA),SCI, ADRA/CANADA</t>
  </si>
  <si>
    <t>Plan/GFFO,ADRA/CANADA , WHH</t>
  </si>
  <si>
    <t>12/31/2019,30/4/18, 30/6/18</t>
  </si>
  <si>
    <t>Plan/GFFO,ADRA/CANADA  ,WHH(BMZ, AA)</t>
  </si>
  <si>
    <t>Plan/GFFO,ADRA/CANADA  ,WHH(BMZ,AA)</t>
  </si>
  <si>
    <t>MMR015CMP249</t>
  </si>
  <si>
    <t>MHF,WHH(BMZ, AA),ECHO</t>
  </si>
  <si>
    <t>11/17/2018,30/4/18, 30/6/18</t>
  </si>
  <si>
    <t>MHF,WHH(BMZ, AA)</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</si>
  <si>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</si>
  <si>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</si>
  <si>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</si>
  <si>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</si>
  <si>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</si>
  <si>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</si>
  <si>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</si>
  <si>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</si>
  <si>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</si>
  <si>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</si>
  <si>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</si>
  <si>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</si>
  <si>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SCI,Metta,KBC-HDD-NSS</t>
  </si>
  <si>
    <t>MHF,WHH(BMZ, AA),ECHO,ADRA/CANADA</t>
  </si>
  <si>
    <t>11/17/2018,30/4/18, 30/6/18,1/31/2018</t>
  </si>
  <si>
    <t>SCI,Metta, KBC-HDD-NSS</t>
  </si>
  <si>
    <t>MHF,ADRA/CANADA,WHH(BMZ, AA)</t>
  </si>
  <si>
    <t>11/17/2018,1/31/2018,30/4/18, 30/6/18</t>
  </si>
  <si>
    <t>SINTASIDIKAH</t>
  </si>
  <si>
    <t>31/12/2018</t>
  </si>
  <si>
    <t>%of Water samples which passed at water source</t>
  </si>
  <si>
    <t>Warter quality test made</t>
  </si>
  <si>
    <t>% Latrines requiring  repairs</t>
  </si>
  <si>
    <t># people with access to continuous sanitation services desluding_4</t>
  </si>
  <si>
    <t># people reached by regular dedicated hygiene promotion_5</t>
  </si>
  <si>
    <t>Rakhine Total</t>
  </si>
  <si>
    <t>Shan (North) Total</t>
  </si>
  <si>
    <t>Number of people with access to continuous sanitation services_4</t>
  </si>
  <si>
    <t>Number of people reached by regular dedicated hygiene promotion_5</t>
  </si>
  <si>
    <t>SCI, Metta</t>
  </si>
  <si>
    <t>Plan/GFFO,ADRA/CANADA, WHH(BMZ, AA)</t>
  </si>
  <si>
    <t>KMSS,KBC</t>
  </si>
  <si>
    <t>UNICEF, ADRA/CANADA</t>
  </si>
  <si>
    <t>12/31/2018,1/31/2018</t>
  </si>
  <si>
    <t xml:space="preserve"> Reached by Sex</t>
  </si>
  <si>
    <t xml:space="preserve">  Reached by Age</t>
  </si>
  <si>
    <t>Gap in active camps / township</t>
  </si>
  <si>
    <t xml:space="preserve">Partners </t>
  </si>
  <si>
    <t xml:space="preserve"> % 
Water Gap</t>
  </si>
  <si>
    <t xml:space="preserve"> %
 Sanitation Gap</t>
  </si>
  <si>
    <t>%  
Hygiene Gap</t>
  </si>
  <si>
    <t>Sum of # people reached by regular dedicated hygiene promotion_5</t>
  </si>
  <si>
    <t>% of HHs with access to Sanitary pad more than #%</t>
  </si>
  <si>
    <t>Ratio of Hyiene promoters to people less than #</t>
  </si>
  <si>
    <t>% of HHs with access to soap more than #%</t>
  </si>
  <si>
    <t>People adopt basic personal and community hygiene practices</t>
  </si>
  <si>
    <t>Nb of People who received regular supply of hygiene items</t>
  </si>
  <si>
    <t># People with access to soap</t>
  </si>
  <si>
    <t># People with access to Sanity Pads</t>
  </si>
  <si>
    <t># People received regular supply of hygiene items_6</t>
  </si>
  <si>
    <t>Number of People received regular supply of hygiene items_6</t>
  </si>
  <si>
    <t>OFDA/UNICEF</t>
  </si>
  <si>
    <t>(in active camps)</t>
  </si>
  <si>
    <t>KBC, Metta</t>
  </si>
  <si>
    <t># latrines (target)</t>
  </si>
  <si>
    <t># latrines (gap)</t>
  </si>
  <si>
    <t># handed over</t>
  </si>
  <si>
    <t># latrines desludged</t>
  </si>
  <si>
    <t># latrines dysfunctional</t>
  </si>
  <si>
    <t># in GCA (20:1)</t>
  </si>
  <si>
    <t># in NGCA (20:1)</t>
  </si>
  <si>
    <t># in active camps (20:1)</t>
  </si>
  <si>
    <t># in villages (6:1)</t>
  </si>
  <si>
    <t>#latrines dysfunctional</t>
  </si>
  <si>
    <t>Number of people reached by regular dedicated hygiene promotion</t>
  </si>
  <si>
    <t>HRP target</t>
  </si>
  <si>
    <t>Average of %of Water samples which passed at water source</t>
  </si>
  <si>
    <t>No Test</t>
  </si>
  <si>
    <t>Tested</t>
  </si>
  <si>
    <t>HHs</t>
  </si>
  <si>
    <t>Pops</t>
  </si>
  <si>
    <t>% WATER GAP</t>
  </si>
  <si>
    <t>% LATRINE GAP</t>
  </si>
  <si>
    <t>% HYGIENE GAP</t>
  </si>
  <si>
    <t>WinE</t>
  </si>
  <si>
    <t xml:space="preserve"> # of children Latrine s</t>
  </si>
  <si>
    <t xml:space="preserve"> # of hand washing stations for TLS</t>
  </si>
  <si>
    <t xml:space="preserve"> # of latrines in TLS (schools)</t>
  </si>
  <si>
    <t xml:space="preserve">  Total # of latrine</t>
  </si>
  <si>
    <t># latrines repairs</t>
  </si>
  <si>
    <t>GAP</t>
  </si>
  <si>
    <t>Latrines handed over</t>
  </si>
  <si>
    <t>Latrines not handed over</t>
  </si>
  <si>
    <t>with equitable and safe access to sufficient quantity of drinking water</t>
  </si>
  <si>
    <t>with equitable and safe access to sufficient quantity of domestic water</t>
  </si>
  <si>
    <t>with access to functional sanitation facilities</t>
  </si>
  <si>
    <t>with access to continuous sanitation services</t>
  </si>
  <si>
    <t>reached by regular dedicated hygiene promotion</t>
  </si>
  <si>
    <t>received regular supply of hygiene items</t>
  </si>
  <si>
    <t xml:space="preserve"> Total # of latrine</t>
  </si>
  <si>
    <t>Sum of # Existing functional latrines</t>
  </si>
  <si>
    <t>%equitable and continuous access to sufficient quantity of safe drinking and domestic water's GAP</t>
  </si>
  <si>
    <t>#people needs equitable and continuous access to sufficient quantity of safe drinking and domestic water GAP</t>
  </si>
  <si>
    <t>% of Latrine Gap</t>
  </si>
  <si>
    <t>Functioning</t>
  </si>
  <si>
    <t>Reparis</t>
  </si>
  <si>
    <t>Desludging</t>
  </si>
  <si>
    <t xml:space="preserve"> </t>
  </si>
  <si>
    <t xml:space="preserve"> # of hand washing stations with soap</t>
  </si>
  <si>
    <t>% of FAIL water samples at HH</t>
  </si>
  <si>
    <t>% of FAIL water samples at water source</t>
  </si>
  <si>
    <t xml:space="preserve"> received regular supply of hygiene items</t>
  </si>
  <si>
    <t xml:space="preserve"> with equitable and safe access to sufficient quantity of drinking water</t>
  </si>
  <si>
    <t>HRP 6 (take the lowest figure out of V36 or V37)</t>
  </si>
  <si>
    <t>Indicator Summary (Eng/MM): All indicators and their propsed definition used in DATABASE</t>
  </si>
  <si>
    <t>Site_DB: if partners have a new site, this needs to be added/edited here (camp, village). Otherwise, no need for partners input as it's already linked with the core Database. WC IMO updated HHs and Pop figures based on updated CCCM's camp list on 4W Q1</t>
  </si>
  <si>
    <t>Bhamo Total</t>
  </si>
  <si>
    <t>Chipwi Total</t>
  </si>
  <si>
    <t>Hpakant Total</t>
  </si>
  <si>
    <t>Mansi Total</t>
  </si>
  <si>
    <t>Mogaung Total</t>
  </si>
  <si>
    <t>Mohnyin Total</t>
  </si>
  <si>
    <t>Momauk Total</t>
  </si>
  <si>
    <t>Myitkyina Total</t>
  </si>
  <si>
    <t>Puta-O Total</t>
  </si>
  <si>
    <t>Shwegu Total</t>
  </si>
  <si>
    <t>Sumprabum Total</t>
  </si>
  <si>
    <t>Tanai Total</t>
  </si>
  <si>
    <t>Waingmaw Total</t>
  </si>
  <si>
    <t>Ann Total</t>
  </si>
  <si>
    <t>Buthidaung Total</t>
  </si>
  <si>
    <t>Kyaukpyu Total</t>
  </si>
  <si>
    <t>Kyauktaw Total</t>
  </si>
  <si>
    <t>Maungdaw Total</t>
  </si>
  <si>
    <t>Minbya Total</t>
  </si>
  <si>
    <t>Mrauk-U Total</t>
  </si>
  <si>
    <t>Myebon Total</t>
  </si>
  <si>
    <t>Pauktaw Total</t>
  </si>
  <si>
    <t>Ponnagyun Total</t>
  </si>
  <si>
    <t>Rathedaung Total</t>
  </si>
  <si>
    <t>Sittwe Total</t>
  </si>
  <si>
    <t>Hseni Total</t>
  </si>
  <si>
    <t>Hsipaw Total</t>
  </si>
  <si>
    <t>Kutkai Total</t>
  </si>
  <si>
    <t>Manton Total</t>
  </si>
  <si>
    <t>Muse Total</t>
  </si>
  <si>
    <t>Namhkan Total</t>
  </si>
  <si>
    <t>Namtu Total</t>
  </si>
  <si>
    <t>Total Population</t>
  </si>
  <si>
    <t>Number of people with equitable and continuous access to safe sanitation facilities</t>
  </si>
  <si>
    <t>Number of people with equitable and continuous access to sufficient quantity of domestic water</t>
  </si>
  <si>
    <t>Number of People adopt basic personal and community hygiene practices</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</si>
  <si>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</si>
  <si>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</si>
  <si>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</si>
  <si>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</si>
  <si>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</si>
  <si>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</si>
  <si>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</si>
  <si>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</si>
  <si>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</si>
  <si>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</si>
  <si>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</si>
  <si>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</si>
  <si>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</si>
  <si>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</si>
  <si>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</si>
  <si>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</si>
  <si>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</si>
  <si>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</si>
  <si>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</si>
  <si>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</si>
  <si>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</si>
  <si>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</si>
  <si>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</si>
  <si>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</si>
  <si>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</si>
  <si>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</si>
  <si>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</si>
  <si>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</si>
  <si>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</si>
  <si>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</si>
  <si>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</si>
  <si>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</si>
  <si>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</si>
  <si>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</si>
  <si>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</si>
  <si>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</si>
  <si>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</si>
  <si>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</si>
  <si>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</si>
  <si>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</si>
  <si>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2018_Q2</t>
  </si>
  <si>
    <t>Number of water points in TLS (schools in camps)</t>
  </si>
  <si>
    <t>V25a</t>
  </si>
  <si>
    <t>How often desludged the latrines in a year?</t>
  </si>
  <si>
    <t>Monthly,Quarterly, one time, two times  a year</t>
  </si>
  <si>
    <t>V39</t>
  </si>
  <si>
    <t>Number of paid camp based WASH skilled labor</t>
  </si>
  <si>
    <t>How may camp based skilled WASH labor employed ?</t>
  </si>
  <si>
    <t>V40</t>
  </si>
  <si>
    <t>Number of paid camp based WASH unskilled labor</t>
  </si>
  <si>
    <t>How may camp based unskilled WASH labor employed ?</t>
  </si>
  <si>
    <t xml:space="preserve">TLS (စခန္းအတြင္ရွိ စာသင္ေက်ာင္း) တြင္ ရွိေသာ ေရထြက္ေနရာ အေရအတြက္ </t>
  </si>
  <si>
    <t>တစ္နွစ္အတြင္း အိမ္သာကန္ရွင္းေသာ အၾကိမ္အေရအတြက္</t>
  </si>
  <si>
    <t>လစဥ္၊ ၃လတခါ၊ တစ္ၾကိမ္၊ ႏွစ္ၾကိမ္၊</t>
  </si>
  <si>
    <t>စခန္းအတြင္း အဖြဲ႕အစည္းမွ အခေၾကးေငြျဖင့္ခန္႔ထားေသာ (က်ြမ္းက်င္) WASH ၀န္ထမ္း အေရအတြက္</t>
  </si>
  <si>
    <t>စခန္းအတြင္း WASH ႏွင့္ သက္ဆိုင္ေသာ လုပ္ငန္းမ်ားလုပ္ေဆာင္ရန္ အဖြဲ႕အစည္းမွ အခေၾကးေငြျဖင့္ခန္႔ထားေသာ (က်ြမ္းက်င္)၀န္ထမ္း  မည္မွ်ရွိသနည္း။</t>
  </si>
  <si>
    <t>စခန္းအတြင္း အဖြဲ႕အစည္းမွ အခေၾကးေငြျဖင့္ခန္႔ထားေသာ (မက်ြမ္းက်င္) WASH ၀န္ထမ္း အေရအတြက္</t>
  </si>
  <si>
    <t>စခန္းအတြင္း WASH ႏွင့္ သက္ဆိုင္ေသာ လုပ္ငန္းမ်ားလုပ္ေဆာင္ရန္ အဖြဲ႕အစည္းမွ အခေၾကးေငြျဖင့္ခန္႔ထားေသာ (မက်ြမ္းက်င္)၀န္ထမ္း  မည္မွ်ရွိသနည္း။</t>
  </si>
  <si>
    <t># Water points in TLS</t>
  </si>
  <si>
    <t>တစ္နွစ္အတြင္း အိမ္သာကန္ရွင္းေသာအၾကိမ္အေရအတြက္</t>
  </si>
  <si>
    <t># paid camp based WASH skilled labor</t>
  </si>
  <si>
    <t>Number of paid camp based unskilled WASH unskilled labor</t>
  </si>
  <si>
    <t>(blank)</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</si>
  <si>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</si>
  <si>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</si>
  <si>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</si>
  <si>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</si>
  <si>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</si>
  <si>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</si>
  <si>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</si>
  <si>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</si>
  <si>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</si>
  <si>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</si>
  <si>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</si>
  <si>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</si>
  <si>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</si>
  <si>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</si>
  <si>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 WATER Coverage</t>
  </si>
  <si>
    <t>Average of % of Latrine Gap</t>
  </si>
  <si>
    <t>% Latrine Coverage</t>
  </si>
  <si>
    <t>% Latrine GAP</t>
  </si>
  <si>
    <t>% Hygiene Coverage</t>
  </si>
  <si>
    <t>% Hygiene Gap</t>
  </si>
  <si>
    <t>Dinet</t>
  </si>
  <si>
    <t>Pi Htu_Wa Lar Kan</t>
  </si>
  <si>
    <t>Rakhine, Mro, Khami</t>
  </si>
  <si>
    <t>Mro</t>
  </si>
  <si>
    <t>CLTS Village</t>
  </si>
  <si>
    <t>Taung Htaung Hayar_Wa Lar Kan (Ku Lar)</t>
  </si>
  <si>
    <t>36%</t>
  </si>
  <si>
    <t>75%</t>
  </si>
  <si>
    <t>97%</t>
  </si>
  <si>
    <t>Gap in villages / township</t>
  </si>
  <si>
    <t>% Reached</t>
  </si>
  <si>
    <t>% Gap</t>
  </si>
  <si>
    <t>National</t>
  </si>
  <si>
    <t xml:space="preserve">RAKHINE STATE  (2018 - Qtr 2 - 4W Analysis, as of 30 June 2018) </t>
  </si>
  <si>
    <t>Camp (500:1)</t>
  </si>
  <si>
    <t>Village (500:1)</t>
  </si>
  <si>
    <t>GCA (500:1)</t>
  </si>
  <si>
    <t>NGCA (500:1)</t>
  </si>
  <si>
    <t>German (AA/BMZ)</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</si>
  <si>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</si>
  <si>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</si>
  <si>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</si>
  <si>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</si>
  <si>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</si>
  <si>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</si>
  <si>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</si>
  <si>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</si>
  <si>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</si>
  <si>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</si>
  <si>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</si>
  <si>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</si>
  <si>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</si>
  <si>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</si>
  <si>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</si>
  <si>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</si>
  <si>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</si>
  <si>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UMCOR</t>
  </si>
  <si>
    <t>LDS</t>
  </si>
  <si>
    <t>WFA</t>
  </si>
  <si>
    <t>WFA/Zahra</t>
  </si>
  <si>
    <t>Oxfam,MA_UK</t>
  </si>
  <si>
    <t>DFID/HARP,LDS</t>
  </si>
  <si>
    <t>9/30/2020,9/30/18</t>
  </si>
  <si>
    <t>UNICEF,LDS</t>
  </si>
  <si>
    <t>6/15/2018,9/30/18</t>
  </si>
  <si>
    <t>SCI,MA_UK</t>
  </si>
  <si>
    <t>MHF,LDS</t>
  </si>
  <si>
    <t>9/13/2018,9/30/18</t>
  </si>
  <si>
    <t>two times</t>
  </si>
  <si>
    <t>for this quarter</t>
  </si>
  <si>
    <t>SI does not deliver water to the village, HH filters distribution planned</t>
  </si>
  <si>
    <t>Monthly</t>
  </si>
  <si>
    <t>v39 and v40 can be completed in terms of amount of money but hardly in terms of number of workers as we'll face double countings</t>
  </si>
  <si>
    <t>Quarterly</t>
  </si>
  <si>
    <t>31/Nov/2019</t>
  </si>
  <si>
    <t>one time</t>
  </si>
  <si>
    <t>Pang Hkawn Yang</t>
  </si>
  <si>
    <t>Water Tank ယိုစိမ့္ေပါက္ေန သည္။</t>
  </si>
  <si>
    <t>no proper place for solid waste</t>
  </si>
  <si>
    <t>metta lashio reported no camp in ground</t>
  </si>
  <si>
    <t>Lone Khin Catholic Church</t>
  </si>
  <si>
    <t xml:space="preserve">Need Hygiene Promotion </t>
  </si>
  <si>
    <t>Need Hygiene Kits and  Hygiene Promotion</t>
  </si>
  <si>
    <t>old MHDO village</t>
  </si>
  <si>
    <t>Momauk IDP new Extension camp
(Alen Kawng Lawk)</t>
  </si>
  <si>
    <t>Namatee AG</t>
  </si>
  <si>
    <t>31/March/2019,31/Dec/2018</t>
  </si>
  <si>
    <t>Mohyin</t>
  </si>
  <si>
    <t>Zupra</t>
  </si>
  <si>
    <t>Ban Dang</t>
  </si>
  <si>
    <t>Sut Chyai</t>
  </si>
  <si>
    <t>Da Wei</t>
  </si>
  <si>
    <t>Htai Ra Yang</t>
  </si>
  <si>
    <t>Lawt Awng</t>
  </si>
  <si>
    <t>KBC-HDD-NSS</t>
  </si>
  <si>
    <t>31/12/2018, 30/06/2019</t>
  </si>
  <si>
    <t>WASH committee data is combine with AD 2000 camp</t>
  </si>
  <si>
    <t>The data is combine with AD 2000 camp</t>
  </si>
  <si>
    <t xml:space="preserve">For this camp all of data informations are combine with AD 2000, not separated. </t>
  </si>
  <si>
    <t>30/06/2019</t>
  </si>
  <si>
    <t xml:space="preserve">In this camp,we are combine  of 4 different place (Lisu 1, 2, 3, 4) for HH water quality test </t>
  </si>
  <si>
    <t>Water Quality</t>
  </si>
  <si>
    <t>Improved water source</t>
  </si>
  <si>
    <t>Unimproved water source</t>
  </si>
  <si>
    <r>
      <t xml:space="preserve">GAP
</t>
    </r>
    <r>
      <rPr>
        <b/>
        <sz val="12"/>
        <color rgb="FFFF0000"/>
        <rFont val="Corbel"/>
        <family val="2"/>
      </rPr>
      <t/>
    </r>
  </si>
  <si>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</si>
  <si>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</si>
  <si>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</si>
  <si>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</si>
  <si>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</si>
  <si>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</si>
  <si>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</si>
  <si>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</si>
  <si>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</si>
  <si>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</si>
  <si>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 xml:space="preserve">A Lei Ywar </t>
  </si>
  <si>
    <t>A Lei Ywar</t>
  </si>
  <si>
    <t>Myauk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</si>
  <si>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</si>
  <si>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</si>
  <si>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</si>
  <si>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</si>
  <si>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</si>
  <si>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</si>
  <si>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</si>
  <si>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</si>
  <si>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</si>
  <si>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</si>
  <si>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</si>
  <si>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</si>
  <si>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</si>
  <si>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</si>
  <si>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</si>
  <si>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</si>
  <si>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</si>
  <si>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</si>
  <si>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</si>
  <si>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</si>
  <si>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</si>
  <si>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</si>
  <si>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</si>
  <si>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</si>
  <si>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</si>
  <si>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</si>
  <si>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</si>
  <si>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</si>
  <si>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</si>
  <si>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</si>
  <si>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</si>
  <si>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</si>
  <si>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</si>
  <si>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</si>
  <si>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</si>
  <si>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</si>
  <si>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</si>
  <si>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</si>
  <si>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</si>
  <si>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</si>
  <si>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</si>
  <si>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</si>
  <si>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</si>
  <si>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</si>
  <si>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</si>
  <si>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</si>
  <si>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</si>
  <si>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</si>
  <si>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</si>
  <si>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</si>
  <si>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</si>
  <si>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</si>
  <si>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</si>
  <si>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</si>
  <si>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</si>
  <si>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</si>
  <si>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</si>
  <si>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</si>
  <si>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</si>
  <si>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</si>
  <si>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</si>
  <si>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</si>
  <si>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</si>
  <si>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</si>
  <si>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</si>
  <si>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</si>
  <si>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31/12/2018,30/6/18</t>
  </si>
  <si>
    <t>KBC-HDD-NSS,Metta</t>
  </si>
  <si>
    <t>KBC-HDD-NSS, Metta</t>
  </si>
  <si>
    <t>SCI,KBC-HDD-NSS,Metta</t>
  </si>
  <si>
    <t>ADRA/CANADA,WHH(BMZ, AA)</t>
  </si>
  <si>
    <t>SCI,ADRA/CANADA,WHH(BMZ, AA)</t>
  </si>
  <si>
    <t>31/Nov/2019,30/6/18</t>
  </si>
  <si>
    <t>31/1/18,30/6/18</t>
  </si>
  <si>
    <t>30/12/2018,30/6/18</t>
  </si>
  <si>
    <t>17/11/2018,30/6/18</t>
  </si>
  <si>
    <t>17/11/2018,30/6/18, 30/6/18</t>
  </si>
  <si>
    <t>12/31/2019,30/6/18</t>
  </si>
  <si>
    <t>ECHO, OFDA, UNICEF</t>
  </si>
  <si>
    <t>31/12/2018, 30/06/2019, 13/09/2018</t>
  </si>
  <si>
    <t>SCI/FFO,WHH(BMZ, AA)</t>
  </si>
  <si>
    <t>30/11/2019,6/30/2018</t>
  </si>
  <si>
    <t>SCI/FFO,ADRA/CANADA,WHH(BMZ, AA)</t>
  </si>
  <si>
    <t>30/11/2019,31/1/18,30/6/18</t>
  </si>
  <si>
    <t>30/11/2019,31/1/2018,30/6/2018</t>
  </si>
  <si>
    <t>17/11/2018,31/1/2018,30/6/18</t>
  </si>
  <si>
    <t>Weekly</t>
  </si>
  <si>
    <t>30/11/2019,31/12/18,30/6/18</t>
  </si>
  <si>
    <t>KBC, Metta, SI</t>
  </si>
  <si>
    <t>KBC, KMSS, Shalom</t>
  </si>
  <si>
    <t>KBC, KMSS, Metta, SCI, WPN</t>
  </si>
  <si>
    <t>KBC, KMSS</t>
  </si>
  <si>
    <t>KMSS, Metta, SI, SI, KBC, WPN</t>
  </si>
  <si>
    <t>KBC, KMSS, Metta, Shalom</t>
  </si>
  <si>
    <t>Malteser, MHDO</t>
  </si>
  <si>
    <t>DRC, SCI, SI</t>
  </si>
  <si>
    <t>KMSS, KBC-HDD-NSS,Metta</t>
  </si>
  <si>
    <t>KMSS, SCI,Metta</t>
  </si>
  <si>
    <t>camp + village</t>
  </si>
  <si>
    <t>only camp</t>
  </si>
  <si>
    <t>only village</t>
  </si>
  <si>
    <t>8%</t>
  </si>
  <si>
    <t>12%</t>
  </si>
  <si>
    <t>CDN, DRC, OXFAM, SI, MA_UK</t>
  </si>
  <si>
    <t>SCI, SI</t>
  </si>
  <si>
    <t>CDN, MA_UK, OXFAM, SCI, SI</t>
  </si>
  <si>
    <t>(in active villages)</t>
  </si>
  <si>
    <t xml:space="preserve"> # of children Latrines</t>
  </si>
  <si>
    <t>Gap in active camps / Township</t>
  </si>
  <si>
    <t>Gap in active villages/ Township</t>
  </si>
  <si>
    <t>CCCM_2018Aug</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</si>
  <si>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</si>
  <si>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</si>
  <si>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</si>
  <si>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</si>
  <si>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</si>
  <si>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</si>
  <si>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cccm_2018Aug</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</si>
  <si>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</si>
  <si>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</si>
  <si>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</si>
  <si>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</si>
  <si>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</si>
  <si>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</si>
  <si>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</si>
  <si>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</si>
  <si>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</si>
  <si>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</si>
  <si>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31/July/2018: Population update. Data source: KMSS_Bhamo
30/June/2018: Population update. Data source: KMSS_Bhamo(24 HHs with around 100 Return to VoO Ga Ra Yang  as per camp leader of the camp)
31/May/2018: Population update. Data source: KMSS_Bhamo
10/May/2018: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19-Aug-15 (Population Update. Data Source: KMSS-BMO)
Population update: Source: Camp Profile Round 2.</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</si>
  <si>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</si>
  <si>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7/April/2017: Population update. Data source: WFP
9/Nov/15. Population update. Data source: WFP
Update IDP increased in Oct and Nov 2013 (UNHCR - Bhamo)</t>
  </si>
  <si>
    <t>Closed : Source, OCHA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</si>
  <si>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</si>
  <si>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Closed: Source UNHCR-Bhamo</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</si>
  <si>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Population update: Source: Camp Profile Round 2.</t>
  </si>
  <si>
    <t>31/July/2018: Population update. Data source: Shalom
30/June/2018: Population update. Data source: Shalom
31/May/2018: Population update. Data source: Shalom
30/Apr/2018: Population update. Data source: Shalom
27/Mar/2018: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</si>
  <si>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Update population. Source UNHCR Bhamo</t>
  </si>
  <si>
    <t>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Camp Profile Round 2.</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</si>
  <si>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</si>
  <si>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</si>
  <si>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</si>
  <si>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Update population. Data Source: Shalom.
25-Jun-2015 Update population. Data Source: KBC
Population update: Source: Camp Profile Round 2.</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</si>
  <si>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</si>
  <si>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2-Apr-15 (Closed. Source: GAD)
Responsible Agency update. KMSS-BMO to KMSS-MYT.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</si>
  <si>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</si>
  <si>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11/Jul/2017: Change status to Close as no update available since December 2016</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</si>
  <si>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16/Jun/2016. Population update. Data source: monthly report from KMSS_MYT
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</si>
  <si>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</si>
  <si>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19-Aug-15 (Population update. Data Source: KMSS-MYT)
2-Apr-15 (Population update, Source: UNHCR CCCM Mission)
Population Update. Source: KMSS-MYT</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</si>
  <si>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</si>
  <si>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10/May/2016. Population Update. Data source: KMSS
28/Jan/2016. Population update. Data source: KBC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</si>
  <si>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24/Apr/2017: Changed camp status as "closed". Data source: KMSS_Myitkyina and CCCM unit.
16/Sep/2016: New added camp. There no responsible organization.</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</si>
  <si>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</si>
  <si>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</si>
  <si>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(kate maw)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2-Apr-15 (Population update, Source: UNHCR CCCM Mission)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</si>
  <si>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</si>
  <si>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</si>
  <si>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31/July/2018: Population update. Data source: Shalom
30/June/2018: Population update. Data source: Shalom
30/Apr/2018: Population update. Data source: Shalom
27/Mar/2018: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</si>
  <si>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2-Apr-15 (Population update, Source: UNHCR CCCM Mission)
Population update: Source: Camp Profile Round 2.</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</si>
  <si>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</si>
  <si>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31/July/2018: Population update. Data source: Shalom
30/June/2018: Population update. Data source: Shalom
30/Apr/2018: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</si>
  <si>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14-Oct-15 Population update. Soruce; Hpakant Mission Report_WFP
25-Jun-15 Population update. Source: KBC
18-May-15 (Population update from field mission)
3-Apr-15 (Population update. Source: Camp Profile Round 3)
New camp</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</si>
  <si>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</si>
  <si>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</si>
  <si>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31/July /2018: Population update. Data source: KMSS M
30/June /2018: Population update. Data source: UNHCR/Cluster partners
30/May/2018: Population update. Data source: UNHCR/Cluster partners
30/May/2018: Added as new camp</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</si>
  <si>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</si>
  <si>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</si>
  <si>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2-Apr-15 (Population update, Source: UNHCR CCCM Mission)
Population update: Source: Camp Profile Round 2.</t>
  </si>
  <si>
    <t>31/July/2018: Population update. Data source: Shalom
30/June/2018: Population update. Data source: Shalom
30/Apr/2018: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25-Jun-15 (Population update. Source : Shalom)
Population update: Source: Camp Profile Round 2.</t>
  </si>
  <si>
    <t>Closed.</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</si>
  <si>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24/April/2017: Updated Pop and responsible agency. Data source:KMSS_Myitkyina
16/Sep/2016: New added camp. There no responsible organization.</t>
  </si>
  <si>
    <t>31/July/2018: Population update. Data source: Shalom
30/June/2018: Population update. Data source: Shalom
30/Apr/2018: Population update. Data source: Shalom
27/Mar/2018: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2-Apr-15 (Population update, Source: UNHCR CCCM Mission)
Population update: Source: Camp Profile Round 2.</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</si>
  <si>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</si>
  <si>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31/July/2018: Population update. Data source: Shalom
30/June/2018: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updae. Source: Shalom.
25-Jun-15 (Population update. Source Shalom)
Population update: Source: Camp Profile Round 2.</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</si>
  <si>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</si>
  <si>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16/Sep/2016: New added camp. There no responsible organization.</t>
  </si>
  <si>
    <t>30/June/2018: Population update. Data source: KMSS_Myitkyina
4/April/2018: Camp status change to Camp like setting ( No CCCM intervention from January 2018)
27/Mar/2018: Population update. Data source: KMSS_Myitkyina
12/Jan/2018: Pop update. Data source: KMSS_Myitkyina
29/June/2017: Pop update. Data source: KMSS_Myitkyina
2/June/2017: Pop update. Data source: KMSS_Myitkyina
3/May/2017: Pop update. Data source: KMSS_Myitkyina
24/April/2017: Updated Pop and responsible agency. Data source:KMSS_Myitkyina
16/Sep/2016: New added camp. There no responsible organization.</t>
  </si>
  <si>
    <t>11/Jul/2017: Change status into closed: Data source: KBC
25/Jul/2016: Added as new camp according to KBC data. Data was given by Jade</t>
  </si>
  <si>
    <t>Move to Nant Ma Hpit Catholic Church.</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</si>
  <si>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</si>
  <si>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Update population according to KBC data.</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</si>
  <si>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</si>
  <si>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</si>
  <si>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</si>
  <si>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</si>
  <si>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</si>
  <si>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(combined as one camp with Bum Tsit Pa Camp II)  Data Source: KMSS_BMO
28/Jan/2016. Population update. Data source: KBC
Population update: Source: KMSS-BMO
Population Update. Source: Save The Children.</t>
  </si>
  <si>
    <t>16/Sep/2016: Changes camp status. Actually it was not closed. It was combined as one camp with Bum Tsit Pa. Data source: KMSS_Bhamo.
28/Jan/2016. Population update. Data source: KBC
Population Update. Source: Save The Children.</t>
  </si>
  <si>
    <t>Closed. Source: Save The Children</t>
  </si>
  <si>
    <t>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Population update: Source UNHCR-Bhamo</t>
  </si>
  <si>
    <t>19-Aug-15 Close. Source: CCCM Unit.
Population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</si>
  <si>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</si>
  <si>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KMSS 
19-Aug-15 Update population. Source KMSS-BMO
Geo-Info update.</t>
  </si>
  <si>
    <t>Closed. Duplicate with Maing Khaung.</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</si>
  <si>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</si>
  <si>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31/July/2018: Population update. Data source: KBC
30/June/2018: Population update. Data source: KBC and Camp manager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</si>
  <si>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&amp; OCHA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spontenous return to villages near Manwin Gyi
28/Jan/2016. Population update. Data source: KBC (mail by maran)
19-Aug-2015. Update Population. Data Source; KMSS-BMO
Population Update. Source: KMSS-BMO</t>
  </si>
  <si>
    <t>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&amp; OCHA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families’ extension
28/Jan/2016. Population update. Data source: KBC (mail by maran)
19-Aug-2015. Update Population. Data Source; KMSS-BMO
Responsible Agency update. KMSS-MYT to KMSS-BMO.</t>
  </si>
  <si>
    <t>21/Dec/2017: Population update. Data source: WFP
28/Jan/2016. Population update. Data source: KBC &amp; UNHCR
13/Dec/15. Population update. Data source: UNHCR. Reason for pop changes: IDP in the host who were registered in the Man Win Bapitst Church (cultural compound) camp established their own separate entity as IDP in the host.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</si>
  <si>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t>
  </si>
  <si>
    <t>21/Dec/2017: Population update. Data source: WFP
7/April/2017: Population update. Data source: WFP
9/Nov/15. Population update. Data source: WFP
Update IDP increased in Oct and Nov 2013 from (UNHCR - Bhamo)</t>
  </si>
  <si>
    <t>Closed. Move to Bum Tist Pa II and Man Wing. HH113/Pop837</t>
  </si>
  <si>
    <t xml:space="preserve">This IDP are registered in Nam Lim pa (Boarder) (MMR001CMP204). We should not calculate this number in total. </t>
  </si>
  <si>
    <t>Close (Source: OCHA)</t>
  </si>
  <si>
    <t>31/July /2018: Population update. Data source: KMSS M
30/June /2018: Population update. Data source: UNHCR/Cluster partners
30/May/2018: Population update. Data source: UNHCR/Cluster partners
21/May/2018: Added as new camp. Data source: MIRA (Multi Sector Assessment Team)</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</si>
  <si>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Data Source: KBC
Checked with KBC data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</si>
  <si>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</si>
  <si>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</si>
  <si>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</si>
  <si>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Data Source: KBC.
25-Jun-2015 Update population. Data Source: KBC
Update population according to KBC data</t>
  </si>
  <si>
    <t>11/Jul/2017: Closed camp. No update information.
25-Jun-2015 (New host families. Source: RRD)</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</si>
  <si>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And it was changed from host families to camp according to the data collection of Camp Profiling Round_5.
12/May/2016. Population update. Data source: KBC
28/Jan/2016. Population update. Data source: KBC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</si>
  <si>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24/Apr/2017: Population update. Data source: CCCM unit
19-Mar-2015 (WFP has been providing this host families since 2013.)</t>
  </si>
  <si>
    <t>24/Apr/2017: Population update. Data source: CCCM unit
10/Jan/2017: Population update. Data source: KMSS_Myitkyina
16/Jun/2016. Population update. Data source: monthly report from KMSS_MYT
28/Jan/2016. Population update. Data source: KBC (mail by maran)
9/Nov/15. Population update. Data source: mail from Pancy (WFP).
19-Mar-2015 (WFP has been providing this host families since 2013.)</t>
  </si>
  <si>
    <t>Closed. Duplicate with (Nawng Ing (Indawgyi) Baptist Church)</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</si>
  <si>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</si>
  <si>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</si>
  <si>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11/Jul/2017: Closed camp. No update information since Nov 2015.
9/Nov/2015. Population update. Data source: mail from WFP.
New added Boarding School</t>
  </si>
  <si>
    <t>31/July/2018: Population update. Data source: KMSS_Myitkyina
30/June/2018: Population update. Data source: KMSS_Myitkyina ( Some shifted to GCA Camps and some students went for study)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</si>
  <si>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</si>
  <si>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6/June/2017: Change the township, village tract and village.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</si>
  <si>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WFP</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</si>
  <si>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</si>
  <si>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27/Mar/2018: Population update. Data Source: KMSS_Myitkyina
27/Mar/2018: Population update. Data Source: KMSS_Myitkyina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Udate Population. Date Source; KMSS-BMO
Population update: Source: KMSS-BMO</t>
  </si>
  <si>
    <t>31/July/2018: Population update. Data source: KBC
30/June/2018: Population update. Data source: KBC and camp manager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27/Apr/2017: Population update. Data source: Camp focal point through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</si>
  <si>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11/Jul/2017: Change status to Close as no update available since June/2017.
Geo-Info, HH/Pop data was updated from Google Earth.</t>
  </si>
  <si>
    <t>31/July/2018: Population update. Data source: KMSS_Bhamo
30/June/2018: Population update. Data source: KMSS_Bhamo (23 HHs new arrived from Aung Nan village, Mansi township due to conflict in April 2018.)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Population Update. Data Source; KMSS-BMO
Population increased. Relocated from Momauk Catholic Church (St. Patrick) - MMR001CMP057</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</si>
  <si>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</si>
  <si>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</si>
  <si>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</si>
  <si>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</si>
  <si>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Closed. Population relocated to Man Bung Catholic Compound (MMR001CMP062)</t>
  </si>
  <si>
    <t>21/Dec/2017: Population update. Data source: WFP
7/April/2017: Population update. Data source: WFP
9/Nov/15. Population update. Data source: WFP</t>
  </si>
  <si>
    <t>21/Dec/2017: Population update. Data source: WFP
7/April/2017: Population update. Data source: WFP
Geo-Info, HH/Pop data was updated from Google Earth.</t>
  </si>
  <si>
    <t>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and CCCM unit  (according to PPA)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some HH increase as some IDP from Pa Kahtawng join as the camp is closer to village 
28/Jan/2016. Population update. Data source: KBC (mail by maran)
19-Aug-2015. Update population. Data Source; KMSS-BMO
Population Update. Source: Save The Children.</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</si>
  <si>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</si>
  <si>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</si>
  <si>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31/July/2018: Population update. Data source: KMSS_Bhamo
30/June/2018: Population update. Data source: KMSS_Bhamo (79 populations shifted from Pakahtawng camp to Momouk KBC camo)
31/May/2018: Population update. Data source: KMSS_Bhamo ( 20 HHs 79 PP moved to Momauk Baptist Church as per KMSS-B info)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some hh as they  join Nhkawng Pa camp which is closer to their village of origin
28/Jan/2016. Population update. Data source: KBC (mail by maran)
19-Aug-2015. Population Update. Data Source; KMSS-BMO
Population update: Source: Camp Profile Round 2.</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</si>
  <si>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</si>
  <si>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</si>
  <si>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</si>
  <si>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</si>
  <si>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</si>
  <si>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</si>
  <si>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</si>
  <si>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31/July /2018: Population update. Data source: KMSS M
5/Mar/2018: Population update. Data source:  Camp manager 
New displacement from Tingkawk
</t>
  </si>
  <si>
    <t xml:space="preserve">31/July/2018: Population update. Data source: KBC
30/June/2018: Population update. Data source: KBC,
31/May/2018: Population update. Data source: KBC
30/Apr/2018: Population update. Data source: KBC
27/Mar/2018: Population update. Data source: KBC
5/Mar/2018: Population update. Data source: KBC
Three locations in Du Kahtawng merged as per 1st of July </t>
  </si>
  <si>
    <t>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</si>
  <si>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from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</si>
  <si>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</si>
  <si>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</si>
  <si>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</si>
  <si>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25-Jun-15 Population update. Source : Shalom.
Population update: Source: Camp Profile Round 2.</t>
  </si>
  <si>
    <t>25-Jun-15 Relocate to Shatapru Thida Aye Baptist Church
Population update: Source: Camp Profile Round 2.</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</si>
  <si>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Arrive from the Daily Work.
19-Aug-15 (Population update. Data Source: KMSS-MYT) 
25-Jun-15 (Population update. Source: KMSS-MYT)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</si>
  <si>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</si>
  <si>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16/Feb/2016. Pop and HH correction.
28/Jan/2016. Population update. Data source: KBC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</si>
  <si>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28/Jan/2016. Population update. Data source: KBC
2/Dec/2015. Population update. Data source: KBC.
19-Aug-2015 Update population from KBC.
25-Jun-2015 Update population from KBC.
Update population according to KBC data</t>
  </si>
  <si>
    <t>31/July/2018: Population update. Data source: Shalom
30/June/2018: Population update. Data source: Shalom
31/May/2018: Population update. Data source: Shalom
31/May/2018: Population update. Data source: Shalom
30/Apr/2018: Population update. Data source: Shalom
27/Mar/2018: Population update. Data source: Shalom
5/Mar/2018: Population update. Data source: Shalom
20/Dec/2017: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Shalom.
Population update: Source: Camp Profile Round 2.</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</si>
  <si>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 Update population from KBC.
25-Jun-2015 Update population from KBC.
Update population according to KBC data</t>
  </si>
  <si>
    <t>31/July /2018: Population update. Data source: UNHCR
30/June /2018: Population update. Data source: UNHCR/Cluster partners
30/May/2018: Population update. Data source: UNHCR/Cluster partners
21/May/2018: Added as new camp. Data source: MIRA (Multi Sector Assessment Team)</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</si>
  <si>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</si>
  <si>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</si>
  <si>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31/July/2018: Population update. Data source: Shalom
30/June/2018: Population update. Data source: Shalom
30/Apr/2018: Population update. Data source: Shalom
27/Mar/2018: Population update. Data source: Shalom
5/Mar/2018: Population update. Data source: Shalom
From Jan 2018: Camp status change to Camp like setting as none of the Camp management Agency covered anymore
20/Dec/2017: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</si>
  <si>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pouplation from KBC
25-Jun-2015 Update population from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</si>
  <si>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from KBC.
Checked with KBC data</t>
  </si>
  <si>
    <t>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</si>
  <si>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Closed july 2017</t>
  </si>
  <si>
    <t>Not updated due to lack of access.
New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</si>
  <si>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 changes: data obtain from Protection team monitoring report  November 2015
2/Dec/2015. Population update. Data source: KBC
19-Aug-15 Population update. Source KBC.
25-Jun-15 New camp. Data Source : KBC</t>
  </si>
  <si>
    <t>25-Jun-15 (Relocated to Lone Sut)
Geo-Info, HH/Pop data received from MIRA Form</t>
  </si>
  <si>
    <t>19/May/2017: Population update. Data source: Shelter Associate (UNHCR)
Changed Camp to Host Families. Source: Camp Profile Questionnaire.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</si>
  <si>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UNHCR-Bhamo</t>
  </si>
  <si>
    <t>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Update Population. Data Source; KMSS-BMO
Population update: Source UNHCR-Bhamo</t>
  </si>
  <si>
    <t>11/Jul/2017: Change status to Close as no update available.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</si>
  <si>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2/June/2017: Updated Accessibility GCA to NGCA. Data source: UNOCHA and confirmed by CCCM
3/May/2017: Population update. Data source: KBC
24/Apr/2017: Population update. Data source: KBC and CCCM unit
15/Mar/2017: Population update. Data Source: KBC
24/Feb/2017: Population and Responsible agency update. Data source: KBC.
10/2/2015. New Camp. Data source: CCCM team</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</si>
  <si>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2/June/2017: Updated Accessibility GCA to NGCA. Data source: UNOCHA and confirmed by CCCM
3/May/2017: Population update. Data source: KBC
24/Apr/2017: Population update. Data source: KBC and CCCM unit
24/Apr/2017: Population update. Data source: KBC and CCCM unit
15/Mar/2017: Population update. Data Source: KBC
24/Feb/2017: Population and Responsible agency update. Data source: KBC.
10/2/2015. New Camp. Data source: CCCM team</t>
  </si>
  <si>
    <t>31/July /2018: Population update. Data source: KMSS M</t>
  </si>
  <si>
    <t xml:space="preserve">31/July/2018: Population update: Data Source: KBC ( The camp status change to Camp from Camp like setting as KBC covers as CMA from July 2018
5/July/2018: The camp name “ Tanail KBC Church) change to Tanai KBC camp  As per KBC email sent on Thu 7/5/2018 5:47 PM by PC KBC- HDD </t>
  </si>
  <si>
    <t xml:space="preserve">
31/July /2018: Population update. Data source: KMSS M
 30/June/2018: Population update. Data source: UNHCR/Cluster partners
30/May/2018: Population update. Data source: UNHCR/Cluster partners</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</si>
  <si>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</si>
  <si>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2/June/2017: New added camp. Data source: WASH cluster, WV (World Vision).</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</si>
  <si>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</si>
  <si>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HH and Pop changed a lot because they moved to GCA (Myitkyina and Waingmaw towns)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</si>
  <si>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In 2014, this school is no longer accepting the lower grade students.</t>
  </si>
  <si>
    <t>25-Jun-15 (Relocated to Hpum Lone Yan and Wai Choi)
Population Update. Source: UNHCR Cross-Line Mission Report. (July 2014)</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</si>
  <si>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Population updated. Source: Shelter unit.</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</si>
  <si>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</si>
  <si>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</si>
  <si>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</si>
  <si>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</si>
  <si>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</si>
  <si>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</si>
  <si>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</si>
  <si>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</si>
  <si>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24/Apr/2017: Pop update. Data source: KMSS_Myitkyina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 Shalom.</t>
  </si>
  <si>
    <t>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Checked with KBC data</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</si>
  <si>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</si>
  <si>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</si>
  <si>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</si>
  <si>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</si>
  <si>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</si>
  <si>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</si>
  <si>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3/Mar/2016. Closed Camp. Data source: January report from KBC.
28/Jan/2016. Population update. Data source: KBC (mail by maran)
2/Dec/2015 (Population update. Data source: Monthly report by KBC).
25-Jun-2015 Update population. Data Source: KBC
Changed to Boarding School.</t>
  </si>
  <si>
    <t>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</si>
  <si>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</si>
  <si>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</si>
  <si>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</si>
  <si>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</si>
  <si>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</si>
  <si>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</si>
  <si>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</si>
  <si>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</si>
  <si>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</si>
  <si>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</si>
  <si>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</si>
  <si>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</si>
  <si>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</si>
  <si>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</si>
  <si>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</si>
  <si>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</si>
  <si>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</si>
  <si>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</si>
  <si>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</si>
  <si>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</si>
  <si>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 xml:space="preserve">No agency has visited since Jul/2016, KBC to follow up.
25/Jul/2016: Added as new camp according to KBC data. </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</si>
  <si>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</si>
  <si>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</si>
  <si>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</si>
  <si>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</si>
  <si>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</si>
  <si>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</si>
  <si>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</si>
  <si>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</si>
  <si>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</si>
  <si>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</si>
  <si>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</si>
  <si>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</si>
  <si>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</si>
  <si>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</si>
  <si>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</si>
  <si>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</si>
  <si>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</si>
  <si>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</si>
  <si>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</si>
  <si>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</si>
  <si>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</si>
  <si>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</si>
  <si>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</si>
  <si>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</si>
  <si>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KBC,KMSS</t>
  </si>
  <si>
    <t>ADRA/CANADA,UNICEF</t>
  </si>
  <si>
    <t>Aim for dry season is 7.5 liters/person/day minimum. Don't overlap with V12 and V13</t>
  </si>
  <si>
    <t>Number of total tested water samples for fecal coliform per 100ml of water from water sources</t>
  </si>
  <si>
    <t>Number of Water samples which passed fecal coliform test from water sources
(Test result of zero colony forming unit per 100ml (0 cfu/100ml) is clean.)</t>
  </si>
  <si>
    <t>Number of total tested water samples for fecal coliform per 100ml of water from house or household level</t>
  </si>
  <si>
    <t>Number of Water samples which passed fecal coliform test from house/household level
(Test result of zero colony forming unit per 100ml (0 cfu/100ml) is clean.)</t>
  </si>
  <si>
    <t xml:space="preserve">ရေထွက်ပင်ရင်းတွင် စစ်ဆေးသော ရေနမူနာများတွင် ပိုးမွှားမပါသောရေ အဖြစ် တွေ့ရှိရသော နမူနာ အရေအတွက် ။
(ရေထွက်ပင်ရင်းမှ ရေ  ၁၀၀ မီလီလီတာတွင် fecal coliform မပါခြင်း
zero colony forming unit per 100ml (၀ cfu/100ml) ရှိသောနမူနာကို သန့်် ရှင်းသော ရေနမူနာ အဖြစ် သတ်မှတ်သည်။)
</t>
  </si>
  <si>
    <t xml:space="preserve">အိမ်ထောင်စုတွင် စစ်ဆေးသော ရေနမူနာများတွင် ပိုးမွှားမပါသောရေ အဖြစ် တွေ့ရှိရသော နမူနာ အရေအတွက် ။
အိမ်ထောင်စုရှိရေ  ၁၀၀ မီလီလီတာတွင် fecal coliform မပါခြင်း
zero colony forming unit per 100ml (၀ cfu/100ml) ရှိသောနမူနာကို သန့်် ရှင်းသော ရေနမူနာ အဖြစ် သတ်မှတ်သည်။  
</t>
  </si>
  <si>
    <r>
      <t># functioning communal handwashing stations (</t>
    </r>
    <r>
      <rPr>
        <b/>
        <sz val="10"/>
        <color rgb="FFFF0000"/>
        <rFont val="Corbel"/>
        <family val="2"/>
      </rPr>
      <t>functional</t>
    </r>
    <r>
      <rPr>
        <sz val="10"/>
        <color rgb="FFFF0000"/>
        <rFont val="Corbel"/>
        <family val="2"/>
      </rPr>
      <t xml:space="preserve"> means e.g. with water and soap present, taps working)</t>
    </r>
  </si>
  <si>
    <t>#of students at TLS (Temporary Learning Space)</t>
  </si>
  <si>
    <t>number of waterpoints which you  plan on building or repairing,  (target) OR the numbers you have built of have rehabilitated (current)</t>
  </si>
  <si>
    <t>number of handwashing stations which you  plan on building or repairing,  (target) OR the numbers you have built of have rehabilitated (current) in TLS</t>
  </si>
  <si>
    <t>1 latrine = 1 drophole, number of latrines which you  plan on building or repairing,  (target) OR the numbers you have built of have rehabilitated (current)</t>
  </si>
  <si>
    <t>Provision of Hygiene Promotion activities in TLS</t>
  </si>
  <si>
    <t># sessions on hygiene promotion are organized with the students and/or support provided to the teachers</t>
  </si>
  <si>
    <t>V41</t>
  </si>
  <si>
    <t>TLS (စခန္းအတြင္ရွိ စာသင္ေက်ာင္း) တြင္ ရွိေသာ ေဆာက္လုပ္ျပီး ၊ ျပန္လည္ျပင္ဆင္ျပီး ေရထြက္ေနရာ အေရအတြက္</t>
  </si>
  <si>
    <t>TLS (စခန္းအတြင္ရွိ စာသင္ေက်ာင္း) တြင္ ရွိေသာ ေဆာက္လုပ္ျပီး ၊ ျပန္လည္ျပင္ဆင္ျပီး  လက္ေဆးရန္ေနရာ အေရအတြက္</t>
  </si>
  <si>
    <t>1 latrine = 1 drophole .TLS (စခန္းအတြင္ရွိ စာသင္ေက်ာင္း) တြင္ ရွိေသာ ေဆာက္လုပ္ျပီး ၊ ျပန္လည္ျပင္ဆင္ျပီး  ကေလးသံုး အိမ္သာ အေရအတြက္</t>
  </si>
  <si>
    <t>TLS (စခန္းအတြင္းရွိ စာသင္ေက်ာင္း) တြင္ ပိုးမႊားသန္႔ရွင္းမွုဆိုင္ရာ အသိပညာေပးျခင္း လုပ္ငန္းမ်ား</t>
  </si>
  <si>
    <t>TLS (စခန္းအတြင္းရွိ စာသင္ေက်ာင္း) တြင္ ေက်ာင္းသား/ဆရာ ဆရာမမ်ား အား ပိုးမႊားသန္႔ရွင္းမွုဆိုင္ရာ အသိပညာေပးျခင္း လုပ္ငန္းမ်ား</t>
  </si>
  <si>
    <t>.TLS (စခန္းအတြင္ရွိ စာသင္ေက်ာင္း) တြင္ ရွိေသာ ေဆာက္လုပ္ျပီး ၊ ျပန္လည္ျပင္ဆင္ျပီး  ကေလးသံုး အိမ္သာ အေရအတြက္</t>
  </si>
  <si>
    <t># HP activities in TLS</t>
  </si>
  <si>
    <t>2018_Q3</t>
  </si>
  <si>
    <t>2018_Q4</t>
  </si>
  <si>
    <t>no test</t>
  </si>
  <si>
    <t>Notcovered</t>
  </si>
  <si>
    <t>Trocaire, WHH-BMZ,WHH-AA</t>
  </si>
  <si>
    <t>in active camps</t>
  </si>
  <si>
    <t>2018-3rd Qtr 4W Camp DASHBOARD</t>
  </si>
  <si>
    <t>v40 and v41 can be completed in terms of amount of money but hardly in terms of number of workers as we'll face double countings</t>
  </si>
  <si>
    <t>Availability and the schedule of the desludge truck does not allow one time desludge of all toilets</t>
  </si>
  <si>
    <t>water soure, tanks, brach boxes &amp; pipes need to improve</t>
  </si>
  <si>
    <t xml:space="preserve">Latrine &amp; Pits need to be re constructed, no child LT in ECCD </t>
  </si>
  <si>
    <t xml:space="preserve">No hygiene kits distribution &amp; no sanitary pad distribution since 2016 February, </t>
  </si>
  <si>
    <t>31/12/18,30/6/18</t>
  </si>
  <si>
    <t>31/12/2018,30/6/2018</t>
  </si>
  <si>
    <t>17/11/2018,31/12/2018,30/6/18</t>
  </si>
  <si>
    <t>Ah Lay Yaw / Kar Di (Ah Le)</t>
  </si>
  <si>
    <t>Pyar</t>
  </si>
  <si>
    <t>Kar Di Har Yar</t>
  </si>
  <si>
    <t>Ywar Nyar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</si>
  <si>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</si>
  <si>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</si>
  <si>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</si>
  <si>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</si>
  <si>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</si>
  <si>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</si>
  <si>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</si>
  <si>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</si>
  <si>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</si>
  <si>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</si>
  <si>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</si>
  <si>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</si>
  <si>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</si>
  <si>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Nawnghkio Total</t>
  </si>
  <si>
    <t>23%</t>
  </si>
  <si>
    <t>88%</t>
  </si>
  <si>
    <t>13%</t>
  </si>
  <si>
    <t>89%</t>
  </si>
  <si>
    <t>CDN, DRC, Oxfam, MA_UK, SCI, SI</t>
  </si>
  <si>
    <t>KBC-HDD-NSS, KMSS, Metta, SCI</t>
  </si>
  <si>
    <t>KMSS, SCI, Metta, KBC-HDD-NSS,Metta</t>
  </si>
  <si>
    <t>KMSS, Metta, SI, KBC, WPN</t>
  </si>
  <si>
    <t>KMSS, SCI, Metta, KBC-HDD-NSS</t>
  </si>
  <si>
    <t>9/30/2019,9/30/2018</t>
  </si>
  <si>
    <t>Sum of # HP activities in TLS</t>
  </si>
  <si>
    <t>Sum of # Water points in TLS</t>
  </si>
  <si>
    <t>9/30/2020,10/31/2018</t>
  </si>
  <si>
    <t>DFID/HARP, HIF</t>
  </si>
  <si>
    <t>30/04/2019,31/12/2018</t>
  </si>
  <si>
    <t>GFFO,WHH(BMZ,AA)</t>
  </si>
  <si>
    <t>30/Nov/2019,30/6/18</t>
  </si>
  <si>
    <t>GFFO</t>
  </si>
  <si>
    <t xml:space="preserve">WHH( BMZ, AA) </t>
  </si>
  <si>
    <t>WHH (BMZ, AA )</t>
  </si>
  <si>
    <t>Repairs</t>
  </si>
  <si>
    <t>RAKHINE STATE  (2018 - Qtr 3 - 4W Analysis, as of 30 September 2018)</t>
  </si>
  <si>
    <t>KACHIN STATE  (2018 - Qtr 3 - 4W Analysis, as of 30 September 2018)</t>
  </si>
  <si>
    <t>NORTHERN SHAN STATE  (2018 - Qtr 3 - 4W Analysis, as of 30 September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</si>
</sst>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409]d\-mmm\-yy;@"/>
    <numFmt numFmtId="166" formatCode="[$-409]d/mmm/yy;@"/>
    <numFmt numFmtId="167" formatCode="yyyy/mm/dd"/>
    <numFmt numFmtId="168" formatCode="[$-409]d\-mmm\-yyyy;@"/>
  </numFmts>
  <fonts count="123" x14ac:knownFonts="1">
    <font>
      <sz val="12"/>
      <color theme="1"/>
      <name val="Times New Roman"/>
      <family val="2"/>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i/>
      <sz val="10"/>
      <color rgb="FF2C2C2C"/>
      <name val="Corbel"/>
      <family val="2"/>
    </font>
    <font>
      <b/>
      <sz val="11"/>
      <color theme="1"/>
      <name val="Calibri"/>
      <family val="2"/>
      <scheme val="minor"/>
    </font>
    <font>
      <sz val="10"/>
      <color theme="1"/>
      <name val="Corbel"/>
      <family val="2"/>
    </font>
    <font>
      <sz val="10"/>
      <name val="Corbel"/>
      <family val="2"/>
    </font>
    <font>
      <sz val="10"/>
      <color rgb="FF000000"/>
      <name val="Corbel"/>
      <family val="2"/>
    </font>
    <font>
      <b/>
      <sz val="10"/>
      <color rgb="FF000000"/>
      <name val="Corbel"/>
      <family val="2"/>
    </font>
    <font>
      <b/>
      <sz val="10"/>
      <color theme="1"/>
      <name val="Corbel"/>
      <family val="2"/>
    </font>
    <font>
      <sz val="10"/>
      <color theme="1"/>
      <name val="Calibri"/>
      <family val="2"/>
      <scheme val="minor"/>
    </font>
    <font>
      <b/>
      <sz val="10"/>
      <name val="Corbel"/>
      <family val="2"/>
    </font>
    <font>
      <b/>
      <sz val="10"/>
      <color theme="0"/>
      <name val="Corbel"/>
      <family val="2"/>
    </font>
    <font>
      <sz val="10"/>
      <color theme="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i/>
      <sz val="1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1"/>
      <color rgb="FF00B050"/>
      <name val="Corbel"/>
      <family val="2"/>
    </font>
    <font>
      <b/>
      <sz val="11"/>
      <color theme="5" tint="-0.249977111117893"/>
      <name val="Corbel"/>
      <family val="2"/>
    </font>
    <font>
      <b/>
      <sz val="12"/>
      <color theme="1"/>
      <name val="Times New Roman"/>
      <family val="1"/>
    </font>
    <font>
      <b/>
      <sz val="11"/>
      <color rgb="FFFFC000"/>
      <name val="Corbel"/>
      <family val="2"/>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b/>
      <sz val="11"/>
      <color theme="8" tint="-0.249977111117893"/>
      <name val="Corbel"/>
      <family val="2"/>
    </font>
    <font>
      <sz val="9"/>
      <color rgb="FFFF0000"/>
      <name val="Corbel"/>
      <family val="2"/>
    </font>
    <font>
      <b/>
      <sz val="9"/>
      <color rgb="FF2C2C2C"/>
      <name val="Corbel"/>
      <family val="2"/>
    </font>
    <font>
      <sz val="9"/>
      <color theme="1"/>
      <name val="Corbel"/>
      <family val="2"/>
    </font>
    <font>
      <sz val="9"/>
      <color rgb="FF2C2C2C"/>
      <name val="Corbel"/>
      <family val="2"/>
    </font>
    <font>
      <sz val="9"/>
      <name val="Corbel"/>
      <family val="2"/>
    </font>
    <font>
      <sz val="9"/>
      <color rgb="FF000000"/>
      <name val="Corbel"/>
      <family val="2"/>
    </font>
    <font>
      <sz val="10"/>
      <color rgb="FF2C2C2C"/>
      <name val="Corbel"/>
      <family val="2"/>
    </font>
    <font>
      <sz val="14"/>
      <color rgb="FFFF0000"/>
      <name val="Corbel"/>
      <family val="2"/>
    </font>
    <font>
      <sz val="18"/>
      <color rgb="FFFF0000"/>
      <name val="Corbel"/>
      <family val="2"/>
    </font>
    <font>
      <sz val="10"/>
      <color rgb="FF2C2C2C"/>
      <name val="Gill Sans MT"/>
      <family val="2"/>
    </font>
    <font>
      <b/>
      <sz val="10"/>
      <color rgb="FF2C2C2C"/>
      <name val="Gill Sans MT"/>
      <family val="2"/>
    </font>
    <font>
      <sz val="11"/>
      <color theme="0"/>
      <name val="Calibri"/>
      <family val="2"/>
    </font>
    <font>
      <sz val="8"/>
      <color theme="1"/>
      <name val="Corbel"/>
      <family val="2"/>
    </font>
    <font>
      <b/>
      <sz val="10"/>
      <name val="Calibri"/>
      <family val="2"/>
      <scheme val="minor"/>
    </font>
    <font>
      <sz val="12"/>
      <color theme="1"/>
      <name val="Calibri"/>
      <family val="2"/>
      <scheme val="minor"/>
    </font>
    <font>
      <sz val="10"/>
      <color rgb="FF2C2C2C"/>
      <name val="Corbel"/>
      <family val="2"/>
    </font>
    <font>
      <b/>
      <sz val="12"/>
      <color theme="1"/>
      <name val="Calibri"/>
      <family val="2"/>
      <scheme val="minor"/>
    </font>
    <font>
      <sz val="10"/>
      <color rgb="FF2C2C2C"/>
      <name val="Corbel"/>
      <family val="2"/>
    </font>
    <font>
      <sz val="10"/>
      <color theme="0"/>
      <name val="Calibri"/>
      <family val="2"/>
      <scheme val="minor"/>
    </font>
    <font>
      <b/>
      <sz val="15"/>
      <color theme="3"/>
      <name val="Calibri"/>
      <family val="2"/>
      <scheme val="minor"/>
    </font>
    <font>
      <sz val="14"/>
      <color theme="1"/>
      <name val="Calibri"/>
      <family val="2"/>
      <scheme val="minor"/>
    </font>
    <font>
      <sz val="10"/>
      <color rgb="FF2C2C2C"/>
      <name val="Corbel"/>
      <family val="2"/>
    </font>
    <font>
      <b/>
      <sz val="9"/>
      <color theme="0"/>
      <name val="Calibri"/>
      <family val="2"/>
      <scheme val="minor"/>
    </font>
    <font>
      <b/>
      <sz val="20"/>
      <color theme="0"/>
      <name val="Corbel"/>
      <family val="2"/>
    </font>
    <font>
      <sz val="10"/>
      <name val="Calibri"/>
      <family val="2"/>
      <scheme val="minor"/>
    </font>
    <font>
      <sz val="10"/>
      <color rgb="FF2C2C2C"/>
      <name val="Corbel"/>
      <family val="2"/>
    </font>
    <font>
      <sz val="12"/>
      <color theme="0"/>
      <name val="Calibri"/>
      <family val="2"/>
      <scheme val="minor"/>
    </font>
    <font>
      <sz val="12"/>
      <color rgb="FF2C2C2C"/>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sz val="8"/>
      <color rgb="FFFF0000"/>
      <name val="zawgyi1"/>
      <family val="2"/>
    </font>
    <font>
      <sz val="9"/>
      <color rgb="FFFF0000"/>
      <name val="zawgyi1"/>
      <family val="2"/>
    </font>
    <font>
      <sz val="9"/>
      <color rgb="FFFF0000"/>
      <name val="Zawgyi-One"/>
      <family val="2"/>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sz val="10"/>
      <color theme="1"/>
      <name val="Calibri"/>
      <family val="2"/>
      <scheme val="minor"/>
    </font>
    <font>
      <b/>
      <i/>
      <sz val="11"/>
      <color theme="1"/>
      <name val="Calibri"/>
      <family val="2"/>
      <scheme val="minor"/>
    </font>
    <font>
      <b/>
      <sz val="12"/>
      <color theme="0"/>
      <name val="Calibri"/>
      <family val="2"/>
      <scheme val="minor"/>
    </font>
    <font>
      <sz val="10"/>
      <color rgb="FFFF0000"/>
      <name val="Calibri"/>
      <family val="2"/>
      <scheme val="minor"/>
    </font>
    <font>
      <sz val="10"/>
      <color theme="1"/>
      <name val="Calibri"/>
      <family val="2"/>
      <scheme val="minor"/>
    </font>
    <font>
      <sz val="11"/>
      <color indexed="8"/>
      <name val="Calibri"/>
      <family val="2"/>
      <scheme val="minor"/>
    </font>
    <font>
      <sz val="10"/>
      <color theme="0"/>
      <name val="Calibri"/>
      <family val="2"/>
      <scheme val="minor"/>
    </font>
    <font>
      <sz val="10"/>
      <color rgb="FF2C2C2C"/>
      <name val="Zawgyi-One"/>
      <family val="2"/>
    </font>
    <font>
      <b/>
      <sz val="8"/>
      <color indexed="81"/>
      <name val="Tahoma"/>
      <family val="2"/>
    </font>
    <font>
      <sz val="8"/>
      <color indexed="81"/>
      <name val="Tahoma"/>
      <family val="2"/>
    </font>
    <font>
      <sz val="12"/>
      <color rgb="FF7030A0"/>
      <name val="Calibri"/>
      <family val="2"/>
      <scheme val="minor"/>
    </font>
    <font>
      <b/>
      <sz val="12"/>
      <color rgb="FFFF0000"/>
      <name val="Corbel"/>
      <family val="2"/>
    </font>
    <font>
      <b/>
      <sz val="11"/>
      <color theme="5"/>
      <name val="Corbel"/>
      <family val="2"/>
    </font>
    <font>
      <sz val="12"/>
      <color rgb="FFFF0000"/>
      <name val="Corbel"/>
      <family val="2"/>
    </font>
    <font>
      <b/>
      <sz val="12"/>
      <color theme="1"/>
      <name val="Times New Roman"/>
      <family val="2"/>
    </font>
    <font>
      <sz val="11"/>
      <color theme="1"/>
      <name val="Calibri"/>
      <family val="2"/>
      <scheme val="minor"/>
    </font>
    <font>
      <sz val="10"/>
      <color theme="1"/>
      <name val="Calibri"/>
      <family val="2"/>
      <scheme val="minor"/>
    </font>
    <font>
      <b/>
      <sz val="16"/>
      <color theme="0"/>
      <name val="Calibri"/>
      <family val="2"/>
      <scheme val="minor"/>
    </font>
    <font>
      <sz val="11"/>
      <name val="Calibri"/>
      <family val="2"/>
      <scheme val="minor"/>
    </font>
    <font>
      <sz val="8"/>
      <color rgb="FFFF0000"/>
      <name val="Zawgyi-One"/>
      <family val="2"/>
    </font>
    <font>
      <b/>
      <i/>
      <u/>
      <sz val="11"/>
      <color theme="1"/>
      <name val="Calibri"/>
      <family val="2"/>
      <scheme val="minor"/>
    </font>
    <font>
      <sz val="10"/>
      <color theme="1"/>
      <name val="Calibri"/>
      <family val="2"/>
      <scheme val="minor"/>
    </font>
    <font>
      <sz val="10"/>
      <color theme="0"/>
      <name val="Calibri"/>
      <family val="2"/>
      <scheme val="minor"/>
    </font>
  </fonts>
  <fills count="47">
    <fill>
      <patternFill patternType="none"/>
    </fill>
    <fill>
      <patternFill patternType="gray125"/>
    </fill>
    <fill>
      <patternFill patternType="solid">
        <fgColor rgb="FFFFC000"/>
        <bgColor indexed="64"/>
      </patternFill>
    </fill>
    <fill>
      <patternFill patternType="solid">
        <fgColor theme="7" tint="0.59999389629810485"/>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theme="5"/>
        <bgColor indexed="64"/>
      </patternFill>
    </fill>
    <fill>
      <patternFill patternType="solid">
        <fgColor rgb="FFFFFF00"/>
        <bgColor indexed="64"/>
      </patternFill>
    </fill>
    <fill>
      <patternFill patternType="solid">
        <fgColor rgb="FF009900"/>
        <bgColor indexed="64"/>
      </patternFill>
    </fill>
  </fills>
  <borders count="136">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right/>
      <top style="thick">
        <color rgb="FFFFFFFF"/>
      </top>
      <bottom/>
      <diagonal/>
    </border>
    <border>
      <left/>
      <right style="medium">
        <color rgb="FFFFFFFF"/>
      </right>
      <top style="thick">
        <color rgb="FFFFFFFF"/>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top style="medium">
        <color theme="0" tint="-0.249977111117893"/>
      </top>
      <bottom style="medium">
        <color theme="0" tint="-0.249977111117893"/>
      </bottom>
      <diagonal/>
    </border>
    <border>
      <left style="thin">
        <color theme="0"/>
      </left>
      <right/>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theme="0"/>
      </left>
      <right style="medium">
        <color theme="0"/>
      </right>
      <top style="medium">
        <color theme="0"/>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medium">
        <color rgb="FFFF0000"/>
      </left>
      <right style="medium">
        <color theme="0"/>
      </right>
      <top/>
      <bottom style="medium">
        <color rgb="FFFF0000"/>
      </bottom>
      <diagonal/>
    </border>
    <border>
      <left style="thin">
        <color theme="8"/>
      </left>
      <right style="thin">
        <color theme="8"/>
      </right>
      <top style="thin">
        <color theme="8"/>
      </top>
      <bottom style="thin">
        <color theme="8"/>
      </bottom>
      <diagonal/>
    </border>
    <border>
      <left style="thin">
        <color indexed="64"/>
      </left>
      <right/>
      <top style="thin">
        <color indexed="64"/>
      </top>
      <bottom/>
      <diagonal/>
    </border>
    <border>
      <left style="medium">
        <color rgb="FFFF0000"/>
      </left>
      <right style="medium">
        <color rgb="FFFF0000"/>
      </right>
      <top style="medium">
        <color theme="0"/>
      </top>
      <bottom style="medium">
        <color theme="0"/>
      </bottom>
      <diagonal/>
    </border>
    <border>
      <left style="medium">
        <color rgb="FFFF0000"/>
      </left>
      <right style="medium">
        <color theme="0"/>
      </right>
      <top style="medium">
        <color theme="0"/>
      </top>
      <bottom style="medium">
        <color theme="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39994506668294322"/>
      </left>
      <right style="thin">
        <color theme="4" tint="0.39994506668294322"/>
      </right>
      <top/>
      <bottom/>
      <diagonal/>
    </border>
    <border>
      <left style="thin">
        <color theme="4" tint="0.39994506668294322"/>
      </left>
      <right style="thin">
        <color theme="4"/>
      </right>
      <top/>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top style="thin">
        <color theme="5" tint="0.59996337778862885"/>
      </top>
      <bottom/>
      <diagonal/>
    </border>
    <border>
      <left style="thin">
        <color theme="5"/>
      </left>
      <right style="thin">
        <color theme="5"/>
      </right>
      <top/>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thin">
        <color theme="5" tint="0.59996337778862885"/>
      </left>
      <right style="medium">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medium">
        <color theme="5" tint="0.59996337778862885"/>
      </right>
      <top style="thin">
        <color theme="5" tint="0.59996337778862885"/>
      </top>
      <bottom style="medium">
        <color theme="5" tint="0.59996337778862885"/>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bottom/>
      <diagonal/>
    </border>
    <border>
      <left style="thin">
        <color theme="4" tint="0.39997558519241921"/>
      </left>
      <right/>
      <top style="thin">
        <color theme="4" tint="0.39997558519241921"/>
      </top>
      <bottom/>
      <diagonal/>
    </border>
    <border>
      <left/>
      <right/>
      <top style="thin">
        <color theme="5" tint="0.79998168889431442"/>
      </top>
      <bottom style="thin">
        <color theme="5" tint="0.79998168889431442"/>
      </bottom>
      <diagonal/>
    </border>
    <border>
      <left style="thin">
        <color theme="5"/>
      </left>
      <right style="thin">
        <color theme="5"/>
      </right>
      <top style="thin">
        <color theme="5"/>
      </top>
      <bottom style="thin">
        <color theme="5"/>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indexed="64"/>
      </left>
      <right/>
      <top/>
      <bottom style="thin">
        <color theme="7" tint="-0.249977111117893"/>
      </bottom>
      <diagonal/>
    </border>
    <border>
      <left/>
      <right/>
      <top/>
      <bottom style="thin">
        <color theme="7" tint="-0.249977111117893"/>
      </bottom>
      <diagonal/>
    </border>
    <border>
      <left style="thin">
        <color theme="7" tint="-0.249977111117893"/>
      </left>
      <right/>
      <top style="thin">
        <color indexed="64"/>
      </top>
      <bottom style="thin">
        <color theme="7" tint="-0.249977111117893"/>
      </bottom>
      <diagonal/>
    </border>
    <border>
      <left/>
      <right/>
      <top style="thin">
        <color indexed="64"/>
      </top>
      <bottom style="thin">
        <color theme="7" tint="-0.249977111117893"/>
      </bottom>
      <diagonal/>
    </border>
    <border>
      <left style="thin">
        <color theme="7" tint="-0.249977111117893"/>
      </left>
      <right/>
      <top/>
      <bottom style="thin">
        <color theme="7" tint="-0.249977111117893"/>
      </bottom>
      <diagonal/>
    </border>
    <border>
      <left/>
      <right style="medium">
        <color theme="0"/>
      </right>
      <top style="medium">
        <color theme="0"/>
      </top>
      <bottom style="thin">
        <color theme="8" tint="0.39997558519241921"/>
      </bottom>
      <diagonal/>
    </border>
    <border>
      <left/>
      <right style="medium">
        <color theme="0"/>
      </right>
      <top/>
      <bottom style="medium">
        <color theme="0"/>
      </bottom>
      <diagonal/>
    </border>
    <border>
      <left style="medium">
        <color theme="0"/>
      </left>
      <right/>
      <top style="medium">
        <color theme="0"/>
      </top>
      <bottom style="thin">
        <color theme="8" tint="0.39997558519241921"/>
      </bottom>
      <diagonal/>
    </border>
    <border>
      <left/>
      <right style="medium">
        <color rgb="FFFF0000"/>
      </right>
      <top style="medium">
        <color theme="0"/>
      </top>
      <bottom style="medium">
        <color theme="0"/>
      </bottom>
      <diagonal/>
    </border>
    <border>
      <left style="medium">
        <color theme="0"/>
      </left>
      <right/>
      <top/>
      <bottom style="medium">
        <color theme="0"/>
      </bottom>
      <diagonal/>
    </border>
    <border>
      <left/>
      <right/>
      <top style="medium">
        <color theme="0" tint="-0.249977111117893"/>
      </top>
      <bottom/>
      <diagonal/>
    </border>
    <border>
      <left style="medium">
        <color rgb="FFFF0000"/>
      </left>
      <right style="medium">
        <color theme="0"/>
      </right>
      <top style="medium">
        <color rgb="FFFF0000"/>
      </top>
      <bottom style="medium">
        <color theme="0"/>
      </bottom>
      <diagonal/>
    </border>
    <border>
      <left style="medium">
        <color theme="0"/>
      </left>
      <right style="medium">
        <color rgb="FFFF0000"/>
      </right>
      <top style="medium">
        <color rgb="FFFF0000"/>
      </top>
      <bottom style="medium">
        <color theme="0"/>
      </bottom>
      <diagonal/>
    </border>
    <border>
      <left style="medium">
        <color theme="0"/>
      </left>
      <right style="medium">
        <color rgb="FFFF0000"/>
      </right>
      <top style="medium">
        <color theme="0"/>
      </top>
      <bottom style="medium">
        <color theme="0"/>
      </bottom>
      <diagonal/>
    </border>
    <border>
      <left style="medium">
        <color rgb="FFFF0000"/>
      </left>
      <right style="medium">
        <color theme="0"/>
      </right>
      <top style="medium">
        <color theme="0"/>
      </top>
      <bottom style="medium">
        <color rgb="FFFF0000"/>
      </bottom>
      <diagonal/>
    </border>
    <border>
      <left style="medium">
        <color theme="0"/>
      </left>
      <right style="medium">
        <color rgb="FFFF0000"/>
      </right>
      <top style="medium">
        <color theme="0"/>
      </top>
      <bottom style="medium">
        <color rgb="FFFF0000"/>
      </bottom>
      <diagonal/>
    </border>
    <border>
      <left style="medium">
        <color rgb="FFFF0000"/>
      </left>
      <right/>
      <top style="medium">
        <color theme="0"/>
      </top>
      <bottom style="medium">
        <color theme="0"/>
      </bottom>
      <diagonal/>
    </border>
    <border>
      <left style="medium">
        <color rgb="FFFF0000"/>
      </left>
      <right/>
      <top style="medium">
        <color theme="0" tint="-0.249977111117893"/>
      </top>
      <bottom style="medium">
        <color theme="0"/>
      </bottom>
      <diagonal/>
    </border>
    <border>
      <left/>
      <right style="medium">
        <color rgb="FFFF0000"/>
      </right>
      <top style="medium">
        <color theme="0" tint="-0.249977111117893"/>
      </top>
      <bottom style="medium">
        <color theme="0"/>
      </bottom>
      <diagonal/>
    </border>
    <border>
      <left/>
      <right style="medium">
        <color rgb="FFFF0000"/>
      </right>
      <top style="medium">
        <color theme="0"/>
      </top>
      <bottom style="medium">
        <color rgb="FFFF0000"/>
      </bottom>
      <diagonal/>
    </border>
    <border>
      <left style="medium">
        <color theme="0"/>
      </left>
      <right/>
      <top/>
      <bottom style="medium">
        <color rgb="FFFF0000"/>
      </bottom>
      <diagonal/>
    </border>
    <border>
      <left style="medium">
        <color theme="0"/>
      </left>
      <right style="medium">
        <color theme="0"/>
      </right>
      <top style="medium">
        <color rgb="FFFF0000"/>
      </top>
      <bottom style="medium">
        <color theme="0"/>
      </bottom>
      <diagonal/>
    </border>
    <border>
      <left/>
      <right/>
      <top style="medium">
        <color theme="0"/>
      </top>
      <bottom style="medium">
        <color theme="0"/>
      </bottom>
      <diagonal/>
    </border>
    <border>
      <left style="medium">
        <color rgb="FFFF0000"/>
      </left>
      <right style="medium">
        <color rgb="FFFF0000"/>
      </right>
      <top style="medium">
        <color rgb="FFFF0000"/>
      </top>
      <bottom style="thin">
        <color theme="8" tint="0.39997558519241921"/>
      </bottom>
      <diagonal/>
    </border>
    <border>
      <left style="medium">
        <color rgb="FFFF0000"/>
      </left>
      <right style="medium">
        <color rgb="FFFF0000"/>
      </right>
      <top style="medium">
        <color theme="0"/>
      </top>
      <bottom style="medium">
        <color rgb="FFFF0000"/>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double">
        <color theme="8"/>
      </top>
      <bottom/>
      <diagonal/>
    </border>
    <border>
      <left style="thin">
        <color theme="8"/>
      </left>
      <right style="thin">
        <color theme="8"/>
      </right>
      <top style="double">
        <color theme="8"/>
      </top>
      <bottom/>
      <diagonal/>
    </border>
    <border>
      <left style="thin">
        <color theme="8"/>
      </left>
      <right/>
      <top style="double">
        <color theme="8"/>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bottom style="thin">
        <color theme="8"/>
      </bottom>
      <diagonal/>
    </border>
    <border>
      <left style="thin">
        <color theme="8"/>
      </left>
      <right style="thin">
        <color theme="8"/>
      </right>
      <top style="thin">
        <color theme="8"/>
      </top>
      <bottom/>
      <diagonal/>
    </border>
  </borders>
  <cellStyleXfs count="23">
    <xf numFmtId="0" fontId="0"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166" fontId="5" fillId="0" borderId="0"/>
    <xf numFmtId="0" fontId="41" fillId="0" borderId="0"/>
    <xf numFmtId="0" fontId="41" fillId="0" borderId="0"/>
    <xf numFmtId="0" fontId="46" fillId="25" borderId="0" applyNumberFormat="0" applyBorder="0" applyAlignment="0" applyProtection="0"/>
    <xf numFmtId="0" fontId="47" fillId="26" borderId="0" applyNumberFormat="0" applyBorder="0" applyAlignment="0" applyProtection="0"/>
    <xf numFmtId="0" fontId="3" fillId="0" borderId="0"/>
    <xf numFmtId="9" fontId="3" fillId="0" borderId="0" applyFont="0" applyFill="0" applyBorder="0" applyAlignment="0" applyProtection="0"/>
    <xf numFmtId="0" fontId="78" fillId="0" borderId="45" applyNumberFormat="0" applyFill="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xf numFmtId="0" fontId="2" fillId="0" borderId="0"/>
    <xf numFmtId="9" fontId="2" fillId="0" borderId="0" applyFont="0" applyFill="0" applyBorder="0" applyAlignment="0" applyProtection="0"/>
  </cellStyleXfs>
  <cellXfs count="980">
    <xf numFmtId="0" fontId="0" fillId="0" borderId="0" xfId="0"/>
    <xf numFmtId="0" fontId="8" fillId="2" borderId="1" xfId="0" applyFont="1" applyFill="1" applyBorder="1" applyAlignment="1">
      <alignment horizontal="left" vertical="center" readingOrder="1"/>
    </xf>
    <xf numFmtId="0" fontId="8" fillId="6" borderId="2" xfId="0" applyFont="1" applyFill="1" applyBorder="1" applyAlignment="1">
      <alignment horizontal="left" vertical="center" readingOrder="1"/>
    </xf>
    <xf numFmtId="0" fontId="8" fillId="9" borderId="2" xfId="0" applyFont="1" applyFill="1" applyBorder="1" applyAlignment="1">
      <alignment horizontal="left" vertical="center" readingOrder="1"/>
    </xf>
    <xf numFmtId="0" fontId="8" fillId="9" borderId="3" xfId="0" applyFont="1" applyFill="1" applyBorder="1" applyAlignment="1">
      <alignment horizontal="left" vertical="center" readingOrder="1"/>
    </xf>
    <xf numFmtId="0" fontId="8" fillId="10" borderId="2" xfId="0" applyFont="1" applyFill="1" applyBorder="1" applyAlignment="1">
      <alignment horizontal="left" vertical="center" readingOrder="1"/>
    </xf>
    <xf numFmtId="0" fontId="9" fillId="4" borderId="1" xfId="0" applyFont="1" applyFill="1" applyBorder="1" applyAlignment="1">
      <alignment horizontal="left" vertical="center" readingOrder="1"/>
    </xf>
    <xf numFmtId="0" fontId="9" fillId="5" borderId="2" xfId="0" applyFont="1" applyFill="1" applyBorder="1" applyAlignment="1">
      <alignment horizontal="left" vertical="center" readingOrder="1"/>
    </xf>
    <xf numFmtId="0" fontId="9" fillId="4" borderId="2" xfId="0" applyFont="1" applyFill="1" applyBorder="1" applyAlignment="1">
      <alignment horizontal="left" vertical="center" readingOrder="1"/>
    </xf>
    <xf numFmtId="0" fontId="9" fillId="4" borderId="3" xfId="0" applyFont="1" applyFill="1" applyBorder="1" applyAlignment="1">
      <alignment horizontal="left" vertical="center" readingOrder="1"/>
    </xf>
    <xf numFmtId="14" fontId="9" fillId="4" borderId="2" xfId="0" applyNumberFormat="1" applyFont="1" applyFill="1" applyBorder="1" applyAlignment="1">
      <alignment horizontal="left" vertical="center" readingOrder="1"/>
    </xf>
    <xf numFmtId="14" fontId="9" fillId="7" borderId="2" xfId="0" applyNumberFormat="1" applyFont="1" applyFill="1" applyBorder="1" applyAlignment="1">
      <alignment horizontal="left" vertical="center" readingOrder="1"/>
    </xf>
    <xf numFmtId="0" fontId="9" fillId="8" borderId="2" xfId="0" applyFont="1" applyFill="1" applyBorder="1" applyAlignment="1">
      <alignment horizontal="left" vertical="center" readingOrder="1"/>
    </xf>
    <xf numFmtId="0" fontId="12" fillId="8" borderId="2" xfId="0" applyFont="1" applyFill="1" applyBorder="1" applyAlignment="1">
      <alignment horizontal="left" vertical="top" wrapText="1" readingOrder="1"/>
    </xf>
    <xf numFmtId="14" fontId="12" fillId="7" borderId="1" xfId="0" applyNumberFormat="1" applyFont="1" applyFill="1" applyBorder="1" applyAlignment="1">
      <alignment horizontal="left" vertical="top" wrapText="1" readingOrder="1"/>
    </xf>
    <xf numFmtId="9" fontId="9" fillId="4" borderId="2" xfId="1" applyFont="1" applyFill="1" applyBorder="1" applyAlignment="1">
      <alignment horizontal="left" vertical="center" readingOrder="1"/>
    </xf>
    <xf numFmtId="0" fontId="11" fillId="12" borderId="4" xfId="0" applyFont="1" applyFill="1" applyBorder="1" applyAlignment="1">
      <alignment wrapText="1"/>
    </xf>
    <xf numFmtId="9" fontId="11" fillId="12" borderId="4" xfId="1" applyFont="1" applyFill="1" applyBorder="1" applyAlignment="1">
      <alignment wrapText="1"/>
    </xf>
    <xf numFmtId="0" fontId="10" fillId="13" borderId="4" xfId="0" applyFont="1" applyFill="1" applyBorder="1" applyAlignment="1">
      <alignment wrapText="1"/>
    </xf>
    <xf numFmtId="9" fontId="9" fillId="7" borderId="1" xfId="1" applyFont="1" applyFill="1" applyBorder="1" applyAlignment="1">
      <alignment horizontal="left" vertical="top" wrapText="1" readingOrder="1"/>
    </xf>
    <xf numFmtId="0" fontId="0" fillId="0" borderId="0" xfId="0" applyAlignment="1">
      <alignment wrapText="1"/>
    </xf>
    <xf numFmtId="0" fontId="21" fillId="0" borderId="0" xfId="0" applyFont="1"/>
    <xf numFmtId="0" fontId="16" fillId="0" borderId="0" xfId="0" applyFont="1"/>
    <xf numFmtId="0" fontId="26" fillId="0" borderId="0" xfId="0" applyFont="1" applyAlignment="1"/>
    <xf numFmtId="0" fontId="26" fillId="0" borderId="0" xfId="0" applyFont="1" applyFill="1" applyAlignment="1"/>
    <xf numFmtId="0" fontId="10" fillId="13" borderId="4" xfId="0" applyFont="1" applyFill="1" applyBorder="1" applyAlignment="1">
      <alignment vertical="top" wrapText="1"/>
    </xf>
    <xf numFmtId="0" fontId="13" fillId="11" borderId="4" xfId="0" applyFont="1" applyFill="1" applyBorder="1" applyAlignment="1">
      <alignment horizontal="left" vertical="top" wrapText="1"/>
    </xf>
    <xf numFmtId="0" fontId="11" fillId="8" borderId="4" xfId="0" applyFont="1" applyFill="1" applyBorder="1" applyAlignment="1">
      <alignment vertical="top" wrapText="1"/>
    </xf>
    <xf numFmtId="0" fontId="11" fillId="12" borderId="4" xfId="0" applyFont="1" applyFill="1" applyBorder="1" applyAlignment="1">
      <alignment vertical="top" wrapText="1"/>
    </xf>
    <xf numFmtId="9" fontId="0" fillId="0" borderId="0" xfId="0" applyNumberFormat="1" applyAlignment="1">
      <alignment vertical="top" wrapText="1"/>
    </xf>
    <xf numFmtId="0" fontId="0" fillId="0" borderId="0" xfId="0" applyAlignment="1">
      <alignment vertical="top" wrapText="1"/>
    </xf>
    <xf numFmtId="166" fontId="5" fillId="14" borderId="0" xfId="8" applyFill="1"/>
    <xf numFmtId="166" fontId="5" fillId="14" borderId="0" xfId="8" applyFill="1" applyAlignment="1">
      <alignment horizontal="center" vertical="center"/>
    </xf>
    <xf numFmtId="166" fontId="5" fillId="21" borderId="9" xfId="8" applyFill="1" applyBorder="1"/>
    <xf numFmtId="166" fontId="5" fillId="21" borderId="0" xfId="8" applyFill="1" applyBorder="1"/>
    <xf numFmtId="166" fontId="5" fillId="21" borderId="10" xfId="8" applyFill="1" applyBorder="1"/>
    <xf numFmtId="166" fontId="15" fillId="21" borderId="0" xfId="8" applyFont="1" applyFill="1" applyBorder="1"/>
    <xf numFmtId="166" fontId="5" fillId="21" borderId="11" xfId="8" applyFill="1" applyBorder="1"/>
    <xf numFmtId="166" fontId="5" fillId="21" borderId="12" xfId="8" applyFill="1" applyBorder="1"/>
    <xf numFmtId="166" fontId="5" fillId="21" borderId="13" xfId="8" applyFill="1" applyBorder="1"/>
    <xf numFmtId="0" fontId="20" fillId="17" borderId="0" xfId="0" applyFont="1" applyFill="1" applyAlignment="1">
      <alignment horizontal="center" vertical="center" wrapText="1"/>
    </xf>
    <xf numFmtId="0" fontId="9" fillId="0" borderId="0" xfId="0" applyFont="1" applyFill="1" applyBorder="1" applyAlignment="1">
      <alignment horizontal="left" vertical="center" readingOrder="1"/>
    </xf>
    <xf numFmtId="9" fontId="26" fillId="0" borderId="0" xfId="0" applyNumberFormat="1" applyFont="1" applyFill="1" applyAlignment="1"/>
    <xf numFmtId="9" fontId="26" fillId="0" borderId="0" xfId="1" applyFont="1" applyFill="1" applyAlignment="1"/>
    <xf numFmtId="1" fontId="26" fillId="0" borderId="0" xfId="0" applyNumberFormat="1" applyFont="1" applyFill="1" applyAlignment="1"/>
    <xf numFmtId="9" fontId="24" fillId="7" borderId="15" xfId="0" applyNumberFormat="1" applyFont="1" applyFill="1" applyBorder="1" applyAlignment="1">
      <alignment horizontal="left" vertical="center" readingOrder="1"/>
    </xf>
    <xf numFmtId="1" fontId="32" fillId="10" borderId="15" xfId="4" applyNumberFormat="1" applyFont="1" applyFill="1" applyBorder="1"/>
    <xf numFmtId="1" fontId="34" fillId="19" borderId="15" xfId="0" applyNumberFormat="1" applyFont="1" applyFill="1" applyBorder="1" applyAlignment="1">
      <alignment vertical="top" wrapText="1"/>
    </xf>
    <xf numFmtId="0" fontId="22" fillId="23" borderId="2" xfId="0" applyNumberFormat="1" applyFont="1" applyFill="1" applyBorder="1" applyAlignment="1">
      <alignment horizontal="left" vertical="center" readingOrder="1"/>
    </xf>
    <xf numFmtId="0" fontId="17" fillId="23" borderId="2" xfId="0" applyNumberFormat="1" applyFont="1" applyFill="1" applyBorder="1" applyAlignment="1">
      <alignment horizontal="left" vertical="center" readingOrder="1"/>
    </xf>
    <xf numFmtId="14" fontId="26" fillId="0" borderId="0" xfId="0" applyNumberFormat="1" applyFont="1" applyFill="1" applyAlignment="1"/>
    <xf numFmtId="0" fontId="26" fillId="0" borderId="0" xfId="0" applyFont="1" applyFill="1" applyAlignment="1">
      <alignment horizontal="left"/>
    </xf>
    <xf numFmtId="1" fontId="26" fillId="0" borderId="0" xfId="1" applyNumberFormat="1" applyFont="1" applyFill="1" applyAlignment="1"/>
    <xf numFmtId="0" fontId="26" fillId="0" borderId="0" xfId="1" applyNumberFormat="1" applyFont="1" applyFill="1" applyAlignment="1"/>
    <xf numFmtId="0" fontId="26" fillId="0" borderId="0" xfId="0" applyNumberFormat="1" applyFont="1" applyFill="1" applyAlignment="1"/>
    <xf numFmtId="165" fontId="26" fillId="0" borderId="0" xfId="0" applyNumberFormat="1" applyFont="1" applyFill="1" applyAlignment="1"/>
    <xf numFmtId="1" fontId="26" fillId="0" borderId="0" xfId="0" applyNumberFormat="1" applyFont="1" applyFill="1" applyAlignment="1">
      <alignment horizontal="left"/>
    </xf>
    <xf numFmtId="0" fontId="38" fillId="0" borderId="0" xfId="0" applyFont="1" applyAlignment="1">
      <alignment vertical="top" wrapText="1"/>
    </xf>
    <xf numFmtId="0" fontId="22" fillId="23" borderId="14" xfId="0" applyNumberFormat="1" applyFont="1" applyFill="1" applyBorder="1" applyAlignment="1">
      <alignment horizontal="left" vertical="center" readingOrder="1"/>
    </xf>
    <xf numFmtId="0" fontId="17" fillId="23" borderId="14" xfId="0" applyNumberFormat="1" applyFont="1" applyFill="1" applyBorder="1" applyAlignment="1">
      <alignment horizontal="left" vertical="center" readingOrder="1"/>
    </xf>
    <xf numFmtId="0" fontId="9" fillId="4" borderId="0" xfId="0" applyFont="1" applyFill="1" applyBorder="1" applyAlignment="1">
      <alignment horizontal="left" vertical="center" readingOrder="1"/>
    </xf>
    <xf numFmtId="0" fontId="9" fillId="0" borderId="1" xfId="0" applyFont="1" applyFill="1" applyBorder="1" applyAlignment="1">
      <alignment horizontal="left" vertical="center" readingOrder="1"/>
    </xf>
    <xf numFmtId="14" fontId="9" fillId="4" borderId="19" xfId="0" applyNumberFormat="1" applyFont="1" applyFill="1" applyBorder="1" applyAlignment="1">
      <alignment horizontal="left" vertical="center" readingOrder="1"/>
    </xf>
    <xf numFmtId="0" fontId="21" fillId="0" borderId="0" xfId="0" applyNumberFormat="1" applyFont="1"/>
    <xf numFmtId="1" fontId="21" fillId="0" borderId="0" xfId="0" applyNumberFormat="1" applyFont="1"/>
    <xf numFmtId="0" fontId="21" fillId="0" borderId="0" xfId="0" applyFont="1" applyAlignment="1">
      <alignment wrapText="1" readingOrder="1"/>
    </xf>
    <xf numFmtId="0" fontId="9" fillId="8" borderId="0" xfId="0" applyFont="1" applyFill="1" applyBorder="1" applyAlignment="1">
      <alignment horizontal="left" vertical="center" readingOrder="1"/>
    </xf>
    <xf numFmtId="0" fontId="8" fillId="10" borderId="16" xfId="0" applyFont="1" applyFill="1" applyBorder="1" applyAlignment="1">
      <alignment horizontal="left" vertical="center" readingOrder="1"/>
    </xf>
    <xf numFmtId="0" fontId="9" fillId="8" borderId="16" xfId="0" applyFont="1" applyFill="1" applyBorder="1" applyAlignment="1">
      <alignment horizontal="left" vertical="center" readingOrder="1"/>
    </xf>
    <xf numFmtId="0" fontId="44" fillId="2" borderId="1" xfId="0" applyFont="1" applyFill="1" applyBorder="1" applyAlignment="1">
      <alignment horizontal="left" vertical="center" readingOrder="1"/>
    </xf>
    <xf numFmtId="14" fontId="45" fillId="7" borderId="2" xfId="0" applyNumberFormat="1" applyFont="1" applyFill="1" applyBorder="1" applyAlignment="1">
      <alignment horizontal="left" vertical="center" readingOrder="1"/>
    </xf>
    <xf numFmtId="14" fontId="44" fillId="7" borderId="1" xfId="0" applyNumberFormat="1" applyFont="1" applyFill="1" applyBorder="1" applyAlignment="1">
      <alignment horizontal="left" vertical="top" wrapText="1" readingOrder="1"/>
    </xf>
    <xf numFmtId="0" fontId="45" fillId="4" borderId="2" xfId="0" applyFont="1" applyFill="1" applyBorder="1" applyAlignment="1">
      <alignment horizontal="left" vertical="center" readingOrder="1"/>
    </xf>
    <xf numFmtId="0" fontId="45" fillId="8" borderId="2" xfId="0" applyFont="1" applyFill="1" applyBorder="1" applyAlignment="1">
      <alignment horizontal="left" vertical="center" readingOrder="1"/>
    </xf>
    <xf numFmtId="0" fontId="45" fillId="8" borderId="2" xfId="0" applyFont="1" applyFill="1" applyBorder="1" applyAlignment="1">
      <alignment horizontal="left" vertical="top" wrapText="1" readingOrder="1"/>
    </xf>
    <xf numFmtId="0" fontId="9" fillId="4" borderId="17" xfId="0" applyFont="1" applyFill="1" applyBorder="1" applyAlignment="1">
      <alignment horizontal="left" vertical="center" readingOrder="1"/>
    </xf>
    <xf numFmtId="0" fontId="46" fillId="25" borderId="4" xfId="11" applyBorder="1"/>
    <xf numFmtId="0" fontId="47" fillId="26" borderId="4" xfId="12" applyBorder="1"/>
    <xf numFmtId="0" fontId="54" fillId="28" borderId="4" xfId="12" applyFont="1" applyFill="1" applyBorder="1"/>
    <xf numFmtId="0" fontId="47" fillId="8" borderId="4" xfId="12" applyFill="1" applyBorder="1"/>
    <xf numFmtId="1" fontId="22" fillId="8" borderId="4" xfId="0" applyNumberFormat="1" applyFont="1" applyFill="1" applyBorder="1" applyAlignment="1">
      <alignment horizontal="left" vertical="center" readingOrder="1"/>
    </xf>
    <xf numFmtId="1" fontId="22" fillId="8" borderId="4" xfId="1" applyNumberFormat="1" applyFont="1" applyFill="1" applyBorder="1" applyAlignment="1">
      <alignment horizontal="left" vertical="center" readingOrder="1"/>
    </xf>
    <xf numFmtId="0" fontId="22" fillId="8" borderId="4" xfId="0" applyFont="1" applyFill="1" applyBorder="1" applyAlignment="1">
      <alignment horizontal="left" vertical="center" readingOrder="1"/>
    </xf>
    <xf numFmtId="0" fontId="48" fillId="25" borderId="5" xfId="11" applyFont="1" applyBorder="1" applyAlignment="1">
      <alignment vertical="center" wrapText="1"/>
    </xf>
    <xf numFmtId="0" fontId="49" fillId="26" borderId="5" xfId="12" applyFont="1" applyBorder="1" applyAlignment="1">
      <alignment vertical="center" wrapText="1"/>
    </xf>
    <xf numFmtId="14" fontId="8" fillId="2" borderId="4" xfId="0" applyNumberFormat="1" applyFont="1" applyFill="1" applyBorder="1" applyAlignment="1">
      <alignment horizontal="left" vertical="center" readingOrder="1"/>
    </xf>
    <xf numFmtId="0" fontId="8" fillId="2" borderId="4" xfId="0" applyFont="1" applyFill="1" applyBorder="1" applyAlignment="1">
      <alignment horizontal="left" vertical="center" readingOrder="1"/>
    </xf>
    <xf numFmtId="165" fontId="8" fillId="2" borderId="4" xfId="0" applyNumberFormat="1" applyFont="1" applyFill="1" applyBorder="1" applyAlignment="1">
      <alignment horizontal="left" vertical="center" readingOrder="1"/>
    </xf>
    <xf numFmtId="9" fontId="8" fillId="2" borderId="4" xfId="0" applyNumberFormat="1" applyFont="1" applyFill="1" applyBorder="1" applyAlignment="1">
      <alignment horizontal="left" vertical="center" readingOrder="1"/>
    </xf>
    <xf numFmtId="0" fontId="8" fillId="6" borderId="4" xfId="0" applyFont="1" applyFill="1" applyBorder="1" applyAlignment="1">
      <alignment horizontal="left" vertical="center" readingOrder="1"/>
    </xf>
    <xf numFmtId="1" fontId="8" fillId="6" borderId="4" xfId="0" applyNumberFormat="1" applyFont="1" applyFill="1" applyBorder="1" applyAlignment="1">
      <alignment horizontal="left" vertical="center" readingOrder="1"/>
    </xf>
    <xf numFmtId="1" fontId="8" fillId="6" borderId="4" xfId="1" applyNumberFormat="1" applyFont="1" applyFill="1" applyBorder="1" applyAlignment="1">
      <alignment horizontal="left" vertical="center" readingOrder="1"/>
    </xf>
    <xf numFmtId="9" fontId="8" fillId="6" borderId="4" xfId="1" applyFont="1" applyFill="1" applyBorder="1" applyAlignment="1">
      <alignment horizontal="left" vertical="center" readingOrder="1"/>
    </xf>
    <xf numFmtId="0" fontId="34" fillId="19" borderId="27" xfId="0" applyFont="1" applyFill="1" applyBorder="1" applyAlignment="1">
      <alignment vertical="top" wrapText="1"/>
    </xf>
    <xf numFmtId="0" fontId="34" fillId="19" borderId="20" xfId="0" applyFont="1" applyFill="1" applyBorder="1" applyAlignment="1">
      <alignment vertical="top"/>
    </xf>
    <xf numFmtId="0" fontId="56" fillId="9" borderId="4" xfId="12" applyFont="1" applyFill="1" applyBorder="1"/>
    <xf numFmtId="0" fontId="16" fillId="0" borderId="0" xfId="0" applyFont="1" applyAlignment="1">
      <alignment vertical="center" wrapText="1"/>
    </xf>
    <xf numFmtId="0" fontId="50" fillId="27" borderId="0" xfId="0" applyFont="1" applyFill="1"/>
    <xf numFmtId="0" fontId="51" fillId="27" borderId="0" xfId="0" applyFont="1" applyFill="1" applyAlignment="1">
      <alignment wrapText="1"/>
    </xf>
    <xf numFmtId="0" fontId="52" fillId="27" borderId="0" xfId="0" applyFont="1" applyFill="1" applyAlignment="1">
      <alignment wrapText="1"/>
    </xf>
    <xf numFmtId="0" fontId="53" fillId="27" borderId="0" xfId="0" applyFont="1" applyFill="1"/>
    <xf numFmtId="0" fontId="65" fillId="0" borderId="0" xfId="0" applyFont="1" applyFill="1" applyBorder="1" applyAlignment="1">
      <alignment horizontal="left" vertical="center" readingOrder="1"/>
    </xf>
    <xf numFmtId="165" fontId="65" fillId="0" borderId="0" xfId="0" applyNumberFormat="1" applyFont="1" applyFill="1" applyBorder="1" applyAlignment="1">
      <alignment horizontal="left" vertical="center" readingOrder="1"/>
    </xf>
    <xf numFmtId="9" fontId="65" fillId="0" borderId="0" xfId="0" applyNumberFormat="1" applyFont="1" applyFill="1" applyBorder="1" applyAlignment="1">
      <alignment horizontal="left" vertical="center" readingOrder="1"/>
    </xf>
    <xf numFmtId="0" fontId="51" fillId="27" borderId="0" xfId="0" applyFont="1" applyFill="1" applyBorder="1" applyAlignment="1">
      <alignment horizontal="left" wrapText="1"/>
    </xf>
    <xf numFmtId="0" fontId="52" fillId="27" borderId="0" xfId="0" applyFont="1" applyFill="1" applyBorder="1" applyAlignment="1">
      <alignment horizontal="left" vertical="top" wrapText="1"/>
    </xf>
    <xf numFmtId="0" fontId="53" fillId="27" borderId="0" xfId="0" applyFont="1" applyFill="1" applyBorder="1" applyAlignment="1">
      <alignment horizontal="left" wrapText="1"/>
    </xf>
    <xf numFmtId="14" fontId="9" fillId="18" borderId="4" xfId="0" applyNumberFormat="1" applyFont="1" applyFill="1" applyBorder="1" applyAlignment="1">
      <alignment horizontal="left" vertical="top" wrapText="1" readingOrder="1"/>
    </xf>
    <xf numFmtId="0" fontId="54" fillId="6" borderId="4" xfId="11" applyFont="1" applyFill="1" applyBorder="1"/>
    <xf numFmtId="0" fontId="54" fillId="6" borderId="4" xfId="12" applyFont="1" applyFill="1" applyBorder="1"/>
    <xf numFmtId="0" fontId="54" fillId="28" borderId="4" xfId="11" applyFont="1" applyFill="1" applyBorder="1"/>
    <xf numFmtId="0" fontId="56" fillId="9" borderId="4" xfId="11" applyFont="1" applyFill="1" applyBorder="1"/>
    <xf numFmtId="0" fontId="46" fillId="8" borderId="4" xfId="11" applyFill="1" applyBorder="1"/>
    <xf numFmtId="0" fontId="57" fillId="27" borderId="4" xfId="11" applyFont="1" applyFill="1" applyBorder="1"/>
    <xf numFmtId="0" fontId="57" fillId="27" borderId="4" xfId="12" applyFont="1" applyFill="1" applyBorder="1"/>
    <xf numFmtId="0" fontId="57" fillId="27" borderId="4" xfId="11" applyFont="1" applyFill="1" applyBorder="1" applyAlignment="1">
      <alignment wrapText="1"/>
    </xf>
    <xf numFmtId="0" fontId="68" fillId="11" borderId="4" xfId="0" applyFont="1" applyFill="1" applyBorder="1" applyAlignment="1">
      <alignment horizontal="left" vertical="top" wrapText="1"/>
    </xf>
    <xf numFmtId="0" fontId="20" fillId="17" borderId="4" xfId="0" applyFont="1" applyFill="1" applyBorder="1" applyAlignment="1">
      <alignment horizontal="center" vertical="center" wrapText="1"/>
    </xf>
    <xf numFmtId="0" fontId="48" fillId="25" borderId="4" xfId="11" applyFont="1" applyBorder="1" applyAlignment="1">
      <alignment vertical="center" wrapText="1"/>
    </xf>
    <xf numFmtId="0" fontId="49" fillId="26" borderId="4" xfId="12" applyFont="1" applyBorder="1" applyAlignment="1">
      <alignment vertical="center" wrapText="1"/>
    </xf>
    <xf numFmtId="0" fontId="46" fillId="0" borderId="4" xfId="11" applyFill="1" applyBorder="1"/>
    <xf numFmtId="0" fontId="47" fillId="0" borderId="4" xfId="12" applyFill="1" applyBorder="1"/>
    <xf numFmtId="0" fontId="16" fillId="0" borderId="0" xfId="0" applyFont="1" applyFill="1"/>
    <xf numFmtId="0" fontId="54" fillId="0" borderId="4" xfId="11" applyFont="1" applyFill="1" applyBorder="1"/>
    <xf numFmtId="0" fontId="54" fillId="0" borderId="4" xfId="12" applyFont="1" applyFill="1" applyBorder="1"/>
    <xf numFmtId="1" fontId="59" fillId="8" borderId="30" xfId="0" applyNumberFormat="1" applyFont="1" applyFill="1" applyBorder="1" applyAlignment="1">
      <alignment horizontal="left" vertical="top" wrapText="1" readingOrder="1"/>
    </xf>
    <xf numFmtId="1" fontId="59" fillId="8" borderId="30" xfId="1" applyNumberFormat="1" applyFont="1" applyFill="1" applyBorder="1" applyAlignment="1">
      <alignment horizontal="left" vertical="top" wrapText="1" readingOrder="1"/>
    </xf>
    <xf numFmtId="1" fontId="63" fillId="8" borderId="30" xfId="0" applyNumberFormat="1" applyFont="1" applyFill="1" applyBorder="1" applyAlignment="1">
      <alignment horizontal="left" vertical="top" wrapText="1" readingOrder="1"/>
    </xf>
    <xf numFmtId="14" fontId="62" fillId="8" borderId="30" xfId="0" applyNumberFormat="1" applyFont="1" applyFill="1" applyBorder="1" applyAlignment="1">
      <alignment horizontal="left" vertical="top" wrapText="1" readingOrder="1"/>
    </xf>
    <xf numFmtId="0" fontId="62" fillId="8" borderId="30" xfId="0" applyFont="1" applyFill="1" applyBorder="1" applyAlignment="1">
      <alignment horizontal="left" vertical="top" wrapText="1" readingOrder="1"/>
    </xf>
    <xf numFmtId="14" fontId="62" fillId="18" borderId="4" xfId="13" applyNumberFormat="1" applyFont="1" applyFill="1" applyBorder="1" applyAlignment="1">
      <alignment horizontal="left" vertical="center" wrapText="1" readingOrder="1"/>
    </xf>
    <xf numFmtId="14" fontId="9" fillId="18" borderId="4" xfId="0" applyNumberFormat="1" applyFont="1" applyFill="1" applyBorder="1" applyAlignment="1">
      <alignment horizontal="left" vertical="center" wrapText="1" readingOrder="1"/>
    </xf>
    <xf numFmtId="0" fontId="9" fillId="0" borderId="0" xfId="0" applyFont="1" applyFill="1" applyAlignment="1">
      <alignment horizontal="left" vertical="center" readingOrder="1"/>
    </xf>
    <xf numFmtId="165" fontId="9" fillId="0" borderId="0" xfId="0" applyNumberFormat="1" applyFont="1" applyFill="1" applyAlignment="1">
      <alignment horizontal="left" vertical="center" readingOrder="1"/>
    </xf>
    <xf numFmtId="9" fontId="9" fillId="0" borderId="0" xfId="0" applyNumberFormat="1" applyFont="1" applyFill="1" applyAlignment="1">
      <alignment horizontal="left" vertical="center" readingOrder="1"/>
    </xf>
    <xf numFmtId="1" fontId="9" fillId="0" borderId="0" xfId="0" applyNumberFormat="1" applyFont="1" applyFill="1" applyAlignment="1">
      <alignment horizontal="left" vertical="center" readingOrder="1"/>
    </xf>
    <xf numFmtId="9" fontId="9" fillId="0" borderId="0" xfId="1" applyFont="1" applyFill="1" applyAlignment="1">
      <alignment horizontal="left" vertical="center" readingOrder="1"/>
    </xf>
    <xf numFmtId="1" fontId="9" fillId="0" borderId="0" xfId="1" applyNumberFormat="1" applyFont="1" applyFill="1" applyAlignment="1">
      <alignment horizontal="left" vertical="center" readingOrder="1"/>
    </xf>
    <xf numFmtId="9" fontId="9" fillId="0" borderId="0" xfId="1" applyNumberFormat="1" applyFont="1" applyFill="1" applyAlignment="1">
      <alignment horizontal="left" vertical="center" readingOrder="1"/>
    </xf>
    <xf numFmtId="0" fontId="9" fillId="0" borderId="0" xfId="1" applyNumberFormat="1" applyFont="1" applyFill="1" applyAlignment="1">
      <alignment horizontal="left" vertical="center" readingOrder="1"/>
    </xf>
    <xf numFmtId="0" fontId="12" fillId="8" borderId="16" xfId="0" applyFont="1" applyFill="1" applyBorder="1" applyAlignment="1">
      <alignment horizontal="left" vertical="top" wrapText="1" readingOrder="1"/>
    </xf>
    <xf numFmtId="0" fontId="9" fillId="4" borderId="16" xfId="0" applyFont="1" applyFill="1" applyBorder="1" applyAlignment="1">
      <alignment horizontal="left" vertical="center" readingOrder="1"/>
    </xf>
    <xf numFmtId="0" fontId="43" fillId="0" borderId="0" xfId="9" applyFont="1" applyFill="1" applyBorder="1" applyAlignment="1">
      <alignment horizontal="right"/>
    </xf>
    <xf numFmtId="1" fontId="34" fillId="10" borderId="33" xfId="0" applyNumberFormat="1" applyFont="1" applyFill="1" applyBorder="1" applyAlignment="1">
      <alignment vertical="top" wrapText="1"/>
    </xf>
    <xf numFmtId="0" fontId="34" fillId="19" borderId="33" xfId="0" applyFont="1" applyFill="1" applyBorder="1" applyAlignment="1">
      <alignment vertical="top" wrapText="1"/>
    </xf>
    <xf numFmtId="0" fontId="46" fillId="25" borderId="5" xfId="11" applyBorder="1"/>
    <xf numFmtId="0" fontId="47" fillId="26" borderId="5" xfId="12" applyBorder="1"/>
    <xf numFmtId="0" fontId="57" fillId="27" borderId="35" xfId="11" applyFont="1" applyFill="1" applyBorder="1"/>
    <xf numFmtId="0" fontId="57" fillId="27" borderId="35" xfId="12" applyFont="1" applyFill="1" applyBorder="1"/>
    <xf numFmtId="0" fontId="53" fillId="27" borderId="35" xfId="0" applyFont="1" applyFill="1" applyBorder="1" applyAlignment="1">
      <alignment horizontal="left" wrapText="1"/>
    </xf>
    <xf numFmtId="0" fontId="57" fillId="27" borderId="35" xfId="11" applyFont="1" applyFill="1" applyBorder="1" applyAlignment="1">
      <alignment wrapText="1"/>
    </xf>
    <xf numFmtId="0" fontId="53" fillId="27" borderId="35" xfId="0" applyFont="1" applyFill="1" applyBorder="1"/>
    <xf numFmtId="0" fontId="46" fillId="25" borderId="37" xfId="11" applyBorder="1"/>
    <xf numFmtId="0" fontId="47" fillId="26" borderId="37" xfId="12" applyBorder="1"/>
    <xf numFmtId="0" fontId="46" fillId="8" borderId="37" xfId="11" applyFill="1" applyBorder="1"/>
    <xf numFmtId="0" fontId="47" fillId="8" borderId="37" xfId="12" applyFill="1" applyBorder="1"/>
    <xf numFmtId="0" fontId="56" fillId="9" borderId="35" xfId="11" applyFont="1" applyFill="1" applyBorder="1"/>
    <xf numFmtId="0" fontId="56" fillId="9" borderId="35" xfId="12" applyFont="1" applyFill="1" applyBorder="1"/>
    <xf numFmtId="0" fontId="52" fillId="27" borderId="35" xfId="0" applyFont="1" applyFill="1" applyBorder="1" applyAlignment="1">
      <alignment horizontal="left" vertical="top" wrapText="1"/>
    </xf>
    <xf numFmtId="0" fontId="46" fillId="8" borderId="38" xfId="11" applyFill="1" applyBorder="1"/>
    <xf numFmtId="0" fontId="47" fillId="8" borderId="38" xfId="12" applyFill="1" applyBorder="1"/>
    <xf numFmtId="0" fontId="52" fillId="27" borderId="35" xfId="0" applyFont="1" applyFill="1" applyBorder="1" applyAlignment="1">
      <alignment wrapText="1"/>
    </xf>
    <xf numFmtId="0" fontId="54" fillId="6" borderId="36" xfId="12" applyFont="1" applyFill="1" applyBorder="1"/>
    <xf numFmtId="0" fontId="51" fillId="27" borderId="35" xfId="0" applyFont="1" applyFill="1" applyBorder="1" applyAlignment="1">
      <alignment horizontal="left" wrapText="1"/>
    </xf>
    <xf numFmtId="0" fontId="16" fillId="0" borderId="35" xfId="0" applyFont="1" applyBorder="1"/>
    <xf numFmtId="0" fontId="51" fillId="27" borderId="35" xfId="0" applyFont="1" applyFill="1" applyBorder="1" applyAlignment="1">
      <alignment wrapText="1"/>
    </xf>
    <xf numFmtId="1" fontId="32" fillId="34" borderId="15" xfId="4" applyNumberFormat="1" applyFont="1" applyFill="1" applyBorder="1"/>
    <xf numFmtId="1" fontId="34" fillId="10" borderId="20" xfId="0" applyNumberFormat="1" applyFont="1" applyFill="1" applyBorder="1" applyAlignment="1">
      <alignment vertical="top"/>
    </xf>
    <xf numFmtId="0" fontId="34" fillId="19" borderId="22" xfId="0" applyFont="1" applyFill="1" applyBorder="1" applyAlignment="1">
      <alignment vertical="top"/>
    </xf>
    <xf numFmtId="1" fontId="34" fillId="19" borderId="22" xfId="0" applyNumberFormat="1" applyFont="1" applyFill="1" applyBorder="1" applyAlignment="1">
      <alignment vertical="top"/>
    </xf>
    <xf numFmtId="1" fontId="34" fillId="19" borderId="20" xfId="0" applyNumberFormat="1" applyFont="1" applyFill="1" applyBorder="1" applyAlignment="1">
      <alignment vertical="top"/>
    </xf>
    <xf numFmtId="0" fontId="22" fillId="23" borderId="23" xfId="0" applyNumberFormat="1" applyFont="1" applyFill="1" applyBorder="1" applyAlignment="1">
      <alignment horizontal="left" vertical="top" readingOrder="1"/>
    </xf>
    <xf numFmtId="0" fontId="16" fillId="0" borderId="0" xfId="0" applyFont="1" applyAlignment="1">
      <alignment vertical="top"/>
    </xf>
    <xf numFmtId="0" fontId="73" fillId="0" borderId="0" xfId="0" applyFont="1"/>
    <xf numFmtId="0" fontId="73" fillId="0" borderId="0" xfId="0" applyFont="1" applyAlignment="1">
      <alignment wrapText="1"/>
    </xf>
    <xf numFmtId="164" fontId="73" fillId="0" borderId="39" xfId="4" applyNumberFormat="1" applyFont="1" applyBorder="1"/>
    <xf numFmtId="9" fontId="74" fillId="0" borderId="0" xfId="0" applyNumberFormat="1" applyFont="1" applyFill="1" applyBorder="1" applyAlignment="1">
      <alignment horizontal="left" vertical="center" readingOrder="1"/>
    </xf>
    <xf numFmtId="9" fontId="74" fillId="0" borderId="0" xfId="0" applyNumberFormat="1" applyFont="1" applyFill="1" applyAlignment="1">
      <alignment horizontal="left" vertical="center" readingOrder="1"/>
    </xf>
    <xf numFmtId="164" fontId="73" fillId="0" borderId="0" xfId="0" applyNumberFormat="1" applyFont="1"/>
    <xf numFmtId="0" fontId="74" fillId="0" borderId="0" xfId="0" applyFont="1" applyFill="1" applyBorder="1" applyAlignment="1">
      <alignment horizontal="left" vertical="center" readingOrder="1"/>
    </xf>
    <xf numFmtId="165" fontId="74" fillId="0" borderId="0" xfId="0" applyNumberFormat="1" applyFont="1" applyFill="1" applyBorder="1" applyAlignment="1">
      <alignment horizontal="left" vertical="center" readingOrder="1"/>
    </xf>
    <xf numFmtId="0" fontId="74" fillId="0" borderId="0" xfId="0" applyFont="1" applyFill="1" applyAlignment="1">
      <alignment horizontal="left" vertical="center" readingOrder="1"/>
    </xf>
    <xf numFmtId="165" fontId="74" fillId="0" borderId="0" xfId="0" applyNumberFormat="1" applyFont="1" applyFill="1" applyAlignment="1">
      <alignment horizontal="left" vertical="center" readingOrder="1"/>
    </xf>
    <xf numFmtId="0" fontId="76" fillId="0" borderId="0" xfId="0" applyFont="1" applyFill="1" applyBorder="1" applyAlignment="1">
      <alignment horizontal="left" vertical="center" readingOrder="1"/>
    </xf>
    <xf numFmtId="165" fontId="76" fillId="0" borderId="0" xfId="0" applyNumberFormat="1" applyFont="1" applyFill="1" applyBorder="1" applyAlignment="1">
      <alignment horizontal="left" vertical="center" readingOrder="1"/>
    </xf>
    <xf numFmtId="9" fontId="76" fillId="0" borderId="0" xfId="0" applyNumberFormat="1" applyFont="1" applyFill="1" applyBorder="1" applyAlignment="1">
      <alignment horizontal="left" vertical="center" readingOrder="1"/>
    </xf>
    <xf numFmtId="0" fontId="16" fillId="0" borderId="31" xfId="0" applyFont="1" applyFill="1" applyBorder="1"/>
    <xf numFmtId="0" fontId="16" fillId="0" borderId="44" xfId="0" applyFont="1" applyFill="1" applyBorder="1"/>
    <xf numFmtId="0" fontId="16" fillId="0" borderId="42" xfId="0" applyFont="1" applyFill="1" applyBorder="1"/>
    <xf numFmtId="0" fontId="16" fillId="0" borderId="0" xfId="0" applyFont="1" applyBorder="1"/>
    <xf numFmtId="0" fontId="45" fillId="0" borderId="0" xfId="0" applyFont="1"/>
    <xf numFmtId="0" fontId="45" fillId="0" borderId="0" xfId="0" applyFont="1" applyAlignment="1"/>
    <xf numFmtId="9" fontId="73" fillId="0" borderId="0" xfId="1" applyFont="1"/>
    <xf numFmtId="0" fontId="80" fillId="0" borderId="0" xfId="0" applyFont="1" applyFill="1" applyAlignment="1">
      <alignment horizontal="left" vertical="center" readingOrder="1"/>
    </xf>
    <xf numFmtId="165" fontId="80" fillId="0" borderId="0" xfId="0" applyNumberFormat="1" applyFont="1" applyFill="1" applyAlignment="1">
      <alignment horizontal="left" vertical="center" readingOrder="1"/>
    </xf>
    <xf numFmtId="9" fontId="80" fillId="0" borderId="0" xfId="0" applyNumberFormat="1" applyFont="1" applyFill="1" applyAlignment="1">
      <alignment horizontal="left" vertical="center" readingOrder="1"/>
    </xf>
    <xf numFmtId="1" fontId="80" fillId="0" borderId="0" xfId="0" applyNumberFormat="1" applyFont="1" applyFill="1" applyAlignment="1">
      <alignment horizontal="left" vertical="center" readingOrder="1"/>
    </xf>
    <xf numFmtId="1" fontId="80" fillId="0" borderId="0" xfId="1" applyNumberFormat="1" applyFont="1" applyFill="1" applyAlignment="1">
      <alignment horizontal="left" vertical="center" readingOrder="1"/>
    </xf>
    <xf numFmtId="9" fontId="80" fillId="0" borderId="0" xfId="1" applyNumberFormat="1" applyFont="1" applyFill="1" applyAlignment="1">
      <alignment horizontal="left" vertical="center" readingOrder="1"/>
    </xf>
    <xf numFmtId="0" fontId="21" fillId="0" borderId="0" xfId="0" applyNumberFormat="1" applyFont="1" applyAlignment="1">
      <alignment wrapText="1"/>
    </xf>
    <xf numFmtId="1" fontId="21" fillId="0" borderId="0" xfId="0" applyNumberFormat="1" applyFont="1" applyAlignment="1">
      <alignment wrapText="1"/>
    </xf>
    <xf numFmtId="0" fontId="9" fillId="0" borderId="34" xfId="0" applyFont="1" applyFill="1" applyBorder="1" applyAlignment="1">
      <alignment horizontal="left" vertical="center" readingOrder="1"/>
    </xf>
    <xf numFmtId="0" fontId="0" fillId="0" borderId="0" xfId="0" pivotButton="1"/>
    <xf numFmtId="0" fontId="21" fillId="0" borderId="0" xfId="0" applyFont="1" applyFill="1"/>
    <xf numFmtId="9" fontId="80" fillId="0" borderId="0" xfId="1" applyFont="1" applyFill="1" applyAlignment="1">
      <alignment horizontal="left" vertical="center" readingOrder="1"/>
    </xf>
    <xf numFmtId="0" fontId="26" fillId="0" borderId="0" xfId="0" applyFont="1" applyAlignment="1"/>
    <xf numFmtId="0" fontId="9" fillId="0" borderId="0" xfId="0" applyFont="1" applyFill="1" applyBorder="1" applyAlignment="1">
      <alignment horizontal="left" vertical="center" readingOrder="1"/>
    </xf>
    <xf numFmtId="165" fontId="9" fillId="0" borderId="0" xfId="0" applyNumberFormat="1" applyFont="1" applyFill="1" applyBorder="1" applyAlignment="1">
      <alignment horizontal="left" vertical="center" readingOrder="1"/>
    </xf>
    <xf numFmtId="9" fontId="9" fillId="0" borderId="0" xfId="0" applyNumberFormat="1" applyFont="1" applyFill="1" applyBorder="1" applyAlignment="1">
      <alignment horizontal="left" vertical="center" readingOrder="1"/>
    </xf>
    <xf numFmtId="1" fontId="9" fillId="0" borderId="0" xfId="0" applyNumberFormat="1" applyFont="1" applyFill="1" applyBorder="1" applyAlignment="1">
      <alignment horizontal="left" vertical="center" readingOrder="1"/>
    </xf>
    <xf numFmtId="1" fontId="9" fillId="0" borderId="0" xfId="1" applyNumberFormat="1" applyFont="1" applyFill="1" applyBorder="1" applyAlignment="1">
      <alignment horizontal="left" vertical="center" readingOrder="1"/>
    </xf>
    <xf numFmtId="9" fontId="9" fillId="0" borderId="0" xfId="1" applyFont="1" applyFill="1" applyBorder="1" applyAlignment="1">
      <alignment horizontal="left" vertical="center" readingOrder="1"/>
    </xf>
    <xf numFmtId="9" fontId="9" fillId="0" borderId="0" xfId="1" applyNumberFormat="1" applyFont="1" applyFill="1" applyBorder="1" applyAlignment="1">
      <alignment horizontal="left" vertical="center" readingOrder="1"/>
    </xf>
    <xf numFmtId="1" fontId="34" fillId="19" borderId="15" xfId="0" applyNumberFormat="1" applyFont="1" applyFill="1" applyBorder="1" applyAlignment="1">
      <alignment vertical="top" wrapText="1"/>
    </xf>
    <xf numFmtId="1" fontId="9" fillId="0" borderId="0" xfId="0" applyNumberFormat="1" applyFont="1" applyFill="1" applyAlignment="1">
      <alignment horizontal="left" vertical="center" readingOrder="1"/>
    </xf>
    <xf numFmtId="0" fontId="22" fillId="23" borderId="14" xfId="0" applyNumberFormat="1" applyFont="1" applyFill="1" applyBorder="1" applyAlignment="1">
      <alignment horizontal="left" vertical="center" wrapText="1" readingOrder="1"/>
    </xf>
    <xf numFmtId="0" fontId="22" fillId="23" borderId="2" xfId="0" applyNumberFormat="1" applyFont="1" applyFill="1" applyBorder="1" applyAlignment="1">
      <alignment horizontal="left" vertical="center" wrapText="1" readingOrder="1"/>
    </xf>
    <xf numFmtId="14" fontId="30" fillId="17" borderId="0" xfId="0" applyNumberFormat="1" applyFont="1" applyFill="1" applyBorder="1" applyAlignment="1">
      <alignment horizontal="left"/>
    </xf>
    <xf numFmtId="14" fontId="72" fillId="18" borderId="4" xfId="0" applyNumberFormat="1" applyFont="1" applyFill="1" applyBorder="1" applyAlignment="1">
      <alignment horizontal="center" vertical="center" wrapText="1"/>
    </xf>
    <xf numFmtId="14" fontId="12" fillId="18" borderId="5" xfId="0" applyNumberFormat="1" applyFont="1" applyFill="1" applyBorder="1" applyAlignment="1">
      <alignment horizontal="left" vertical="top" wrapText="1" readingOrder="1"/>
    </xf>
    <xf numFmtId="14" fontId="8" fillId="2" borderId="15" xfId="0" applyNumberFormat="1" applyFont="1" applyFill="1" applyBorder="1" applyAlignment="1">
      <alignment horizontal="left" vertical="center" readingOrder="1"/>
    </xf>
    <xf numFmtId="0" fontId="8" fillId="2" borderId="15" xfId="0" applyFont="1" applyFill="1" applyBorder="1" applyAlignment="1">
      <alignment horizontal="left" vertical="center" readingOrder="1"/>
    </xf>
    <xf numFmtId="165" fontId="8" fillId="2" borderId="15" xfId="0" applyNumberFormat="1" applyFont="1" applyFill="1" applyBorder="1" applyAlignment="1">
      <alignment horizontal="left" vertical="center" readingOrder="1"/>
    </xf>
    <xf numFmtId="9" fontId="8" fillId="2" borderId="15" xfId="0" applyNumberFormat="1" applyFont="1" applyFill="1" applyBorder="1" applyAlignment="1">
      <alignment horizontal="left" vertical="center" readingOrder="1"/>
    </xf>
    <xf numFmtId="14" fontId="9" fillId="3" borderId="15" xfId="0" applyNumberFormat="1" applyFont="1" applyFill="1" applyBorder="1" applyAlignment="1">
      <alignment horizontal="left" vertical="center" readingOrder="1"/>
    </xf>
    <xf numFmtId="0" fontId="9" fillId="18" borderId="15" xfId="0" applyFont="1" applyFill="1" applyBorder="1" applyAlignment="1">
      <alignment horizontal="left" vertical="center" readingOrder="1"/>
    </xf>
    <xf numFmtId="14" fontId="9" fillId="18" borderId="15" xfId="0" applyNumberFormat="1" applyFont="1" applyFill="1" applyBorder="1" applyAlignment="1">
      <alignment horizontal="left" vertical="center" readingOrder="1"/>
    </xf>
    <xf numFmtId="165" fontId="9" fillId="18" borderId="15" xfId="0" applyNumberFormat="1" applyFont="1" applyFill="1" applyBorder="1" applyAlignment="1">
      <alignment horizontal="left" vertical="center" readingOrder="1"/>
    </xf>
    <xf numFmtId="9" fontId="9" fillId="18" borderId="15" xfId="0" applyNumberFormat="1" applyFont="1" applyFill="1" applyBorder="1" applyAlignment="1">
      <alignment horizontal="left" vertical="center" readingOrder="1"/>
    </xf>
    <xf numFmtId="14" fontId="9" fillId="18" borderId="15" xfId="0" applyNumberFormat="1" applyFont="1" applyFill="1" applyBorder="1" applyAlignment="1">
      <alignment horizontal="left" vertical="top" readingOrder="1"/>
    </xf>
    <xf numFmtId="14" fontId="62" fillId="18" borderId="36" xfId="13" applyNumberFormat="1" applyFont="1" applyFill="1" applyBorder="1" applyAlignment="1">
      <alignment horizontal="left" vertical="center" wrapText="1" readingOrder="1"/>
    </xf>
    <xf numFmtId="14" fontId="12" fillId="18" borderId="48" xfId="0" applyNumberFormat="1" applyFont="1" applyFill="1" applyBorder="1" applyAlignment="1">
      <alignment horizontal="left" vertical="top" wrapText="1" readingOrder="1"/>
    </xf>
    <xf numFmtId="9" fontId="8" fillId="2" borderId="25" xfId="0" applyNumberFormat="1" applyFont="1" applyFill="1" applyBorder="1" applyAlignment="1">
      <alignment horizontal="left" vertical="center" readingOrder="1"/>
    </xf>
    <xf numFmtId="9" fontId="17" fillId="18" borderId="25" xfId="0" applyNumberFormat="1" applyFont="1" applyFill="1" applyBorder="1" applyAlignment="1">
      <alignment horizontal="left" vertical="center" readingOrder="1"/>
    </xf>
    <xf numFmtId="14" fontId="9" fillId="18" borderId="25" xfId="0" applyNumberFormat="1" applyFont="1" applyFill="1" applyBorder="1" applyAlignment="1">
      <alignment horizontal="left" vertical="top" readingOrder="1"/>
    </xf>
    <xf numFmtId="0" fontId="63" fillId="19" borderId="15" xfId="13" applyFont="1" applyFill="1" applyBorder="1" applyAlignment="1">
      <alignment horizontal="left" vertical="center" wrapText="1" readingOrder="1"/>
    </xf>
    <xf numFmtId="1" fontId="63" fillId="19" borderId="15" xfId="13" applyNumberFormat="1" applyFont="1" applyFill="1" applyBorder="1" applyAlignment="1">
      <alignment horizontal="left" vertical="center" wrapText="1" readingOrder="1"/>
    </xf>
    <xf numFmtId="1" fontId="59" fillId="19" borderId="15" xfId="13" applyNumberFormat="1" applyFont="1" applyFill="1" applyBorder="1" applyAlignment="1">
      <alignment horizontal="left" vertical="center" wrapText="1" readingOrder="1"/>
    </xf>
    <xf numFmtId="1" fontId="63" fillId="19" borderId="15" xfId="14" applyNumberFormat="1" applyFont="1" applyFill="1" applyBorder="1" applyAlignment="1">
      <alignment horizontal="left" vertical="center" wrapText="1" readingOrder="1"/>
    </xf>
    <xf numFmtId="1" fontId="62" fillId="19" borderId="15" xfId="13" applyNumberFormat="1" applyFont="1" applyFill="1" applyBorder="1" applyAlignment="1">
      <alignment horizontal="left" vertical="center" wrapText="1" readingOrder="1"/>
    </xf>
    <xf numFmtId="9" fontId="59" fillId="19" borderId="15" xfId="13" applyNumberFormat="1" applyFont="1" applyFill="1" applyBorder="1" applyAlignment="1">
      <alignment horizontal="left" vertical="center" wrapText="1" readingOrder="1"/>
    </xf>
    <xf numFmtId="9" fontId="59" fillId="19" borderId="15" xfId="14" applyNumberFormat="1" applyFont="1" applyFill="1" applyBorder="1" applyAlignment="1">
      <alignment horizontal="left" vertical="center" wrapText="1" readingOrder="1"/>
    </xf>
    <xf numFmtId="14" fontId="60" fillId="19" borderId="15" xfId="13" applyNumberFormat="1" applyFont="1" applyFill="1" applyBorder="1" applyAlignment="1">
      <alignment horizontal="left" vertical="center" wrapText="1" readingOrder="1"/>
    </xf>
    <xf numFmtId="1" fontId="59" fillId="8" borderId="15" xfId="0" applyNumberFormat="1" applyFont="1" applyFill="1" applyBorder="1" applyAlignment="1">
      <alignment horizontal="left" vertical="top" wrapText="1" readingOrder="1"/>
    </xf>
    <xf numFmtId="1" fontId="59" fillId="8" borderId="15" xfId="0" applyNumberFormat="1" applyFont="1" applyFill="1" applyBorder="1" applyAlignment="1">
      <alignment horizontal="left" vertical="center" wrapText="1" readingOrder="1"/>
    </xf>
    <xf numFmtId="1" fontId="59" fillId="8" borderId="15" xfId="1" applyNumberFormat="1" applyFont="1" applyFill="1" applyBorder="1" applyAlignment="1">
      <alignment horizontal="left" vertical="center" wrapText="1" readingOrder="1"/>
    </xf>
    <xf numFmtId="1" fontId="63" fillId="8" borderId="15" xfId="0" applyNumberFormat="1" applyFont="1" applyFill="1" applyBorder="1" applyAlignment="1">
      <alignment horizontal="left" vertical="center" wrapText="1" readingOrder="1"/>
    </xf>
    <xf numFmtId="14" fontId="62" fillId="8" borderId="15" xfId="0" applyNumberFormat="1" applyFont="1" applyFill="1" applyBorder="1" applyAlignment="1">
      <alignment horizontal="left" vertical="center" wrapText="1" readingOrder="1"/>
    </xf>
    <xf numFmtId="0" fontId="62" fillId="8" borderId="15" xfId="0" applyFont="1" applyFill="1" applyBorder="1" applyAlignment="1">
      <alignment horizontal="left" vertical="center" wrapText="1" readingOrder="1"/>
    </xf>
    <xf numFmtId="0" fontId="59" fillId="8" borderId="15" xfId="13" applyFont="1" applyFill="1" applyBorder="1" applyAlignment="1">
      <alignment horizontal="left" vertical="center" wrapText="1" readingOrder="1"/>
    </xf>
    <xf numFmtId="0" fontId="60" fillId="8" borderId="15" xfId="13" applyFont="1" applyFill="1" applyBorder="1" applyAlignment="1">
      <alignment horizontal="left" vertical="center" wrapText="1" readingOrder="1"/>
    </xf>
    <xf numFmtId="0" fontId="62" fillId="12" borderId="15" xfId="14" applyNumberFormat="1" applyFont="1" applyFill="1" applyBorder="1" applyAlignment="1">
      <alignment horizontal="left" vertical="center" wrapText="1" readingOrder="1"/>
    </xf>
    <xf numFmtId="0" fontId="22" fillId="19" borderId="15" xfId="0" applyFont="1" applyFill="1" applyBorder="1" applyAlignment="1">
      <alignment horizontal="left" vertical="top" wrapText="1" readingOrder="1"/>
    </xf>
    <xf numFmtId="1" fontId="22" fillId="19" borderId="15" xfId="0" applyNumberFormat="1" applyFont="1" applyFill="1" applyBorder="1" applyAlignment="1">
      <alignment horizontal="left" vertical="top" wrapText="1" readingOrder="1"/>
    </xf>
    <xf numFmtId="1" fontId="22" fillId="19" borderId="15" xfId="1" applyNumberFormat="1" applyFont="1" applyFill="1" applyBorder="1" applyAlignment="1">
      <alignment horizontal="left" vertical="top" wrapText="1" readingOrder="1"/>
    </xf>
    <xf numFmtId="1" fontId="33" fillId="19" borderId="15" xfId="0" applyNumberFormat="1" applyFont="1" applyFill="1" applyBorder="1" applyAlignment="1">
      <alignment horizontal="left" vertical="top" wrapText="1" readingOrder="1"/>
    </xf>
    <xf numFmtId="14" fontId="12" fillId="19" borderId="15" xfId="0" applyNumberFormat="1" applyFont="1" applyFill="1" applyBorder="1" applyAlignment="1">
      <alignment horizontal="left" vertical="top" wrapText="1" readingOrder="1"/>
    </xf>
    <xf numFmtId="1" fontId="33" fillId="8" borderId="15" xfId="0" applyNumberFormat="1" applyFont="1" applyFill="1" applyBorder="1" applyAlignment="1">
      <alignment horizontal="left" vertical="top" wrapText="1" readingOrder="1"/>
    </xf>
    <xf numFmtId="1" fontId="22" fillId="8" borderId="15" xfId="0" applyNumberFormat="1" applyFont="1" applyFill="1" applyBorder="1" applyAlignment="1">
      <alignment horizontal="left" vertical="top" wrapText="1" readingOrder="1"/>
    </xf>
    <xf numFmtId="1" fontId="33" fillId="8" borderId="15" xfId="1" applyNumberFormat="1" applyFont="1" applyFill="1" applyBorder="1" applyAlignment="1">
      <alignment horizontal="left" vertical="top" wrapText="1" readingOrder="1"/>
    </xf>
    <xf numFmtId="14" fontId="12" fillId="8" borderId="15" xfId="0" applyNumberFormat="1" applyFont="1" applyFill="1" applyBorder="1" applyAlignment="1">
      <alignment horizontal="left" vertical="top" wrapText="1" readingOrder="1"/>
    </xf>
    <xf numFmtId="0" fontId="12" fillId="8" borderId="15" xfId="0" applyFont="1" applyFill="1" applyBorder="1" applyAlignment="1">
      <alignment horizontal="left" vertical="top" wrapText="1" readingOrder="1"/>
    </xf>
    <xf numFmtId="0" fontId="33" fillId="8" borderId="15" xfId="0" applyFont="1" applyFill="1" applyBorder="1" applyAlignment="1">
      <alignment horizontal="left" vertical="top" wrapText="1" readingOrder="1"/>
    </xf>
    <xf numFmtId="0" fontId="12" fillId="12" borderId="15" xfId="1" applyNumberFormat="1" applyFont="1" applyFill="1" applyBorder="1" applyAlignment="1">
      <alignment horizontal="left" vertical="top" wrapText="1" readingOrder="1"/>
    </xf>
    <xf numFmtId="0" fontId="8" fillId="6" borderId="15" xfId="0" applyFont="1" applyFill="1" applyBorder="1" applyAlignment="1">
      <alignment horizontal="left" vertical="center" readingOrder="1"/>
    </xf>
    <xf numFmtId="1" fontId="8" fillId="6" borderId="15" xfId="0" applyNumberFormat="1" applyFont="1" applyFill="1" applyBorder="1" applyAlignment="1">
      <alignment horizontal="left" vertical="center" readingOrder="1"/>
    </xf>
    <xf numFmtId="1" fontId="8" fillId="6" borderId="15" xfId="1" applyNumberFormat="1" applyFont="1" applyFill="1" applyBorder="1" applyAlignment="1">
      <alignment horizontal="left" vertical="center" readingOrder="1"/>
    </xf>
    <xf numFmtId="1" fontId="8" fillId="9" borderId="15" xfId="0" applyNumberFormat="1" applyFont="1" applyFill="1" applyBorder="1" applyAlignment="1">
      <alignment horizontal="left" vertical="center" readingOrder="1"/>
    </xf>
    <xf numFmtId="1" fontId="8" fillId="9" borderId="15" xfId="1" applyNumberFormat="1" applyFont="1" applyFill="1" applyBorder="1" applyAlignment="1">
      <alignment horizontal="left" vertical="center" readingOrder="1"/>
    </xf>
    <xf numFmtId="0" fontId="8" fillId="9" borderId="15" xfId="0" applyFont="1" applyFill="1" applyBorder="1" applyAlignment="1">
      <alignment horizontal="left" vertical="center" readingOrder="1"/>
    </xf>
    <xf numFmtId="0" fontId="17" fillId="19" borderId="15" xfId="0" applyFont="1" applyFill="1" applyBorder="1" applyAlignment="1">
      <alignment horizontal="left" vertical="center" readingOrder="1"/>
    </xf>
    <xf numFmtId="1" fontId="17" fillId="19" borderId="15" xfId="0" applyNumberFormat="1" applyFont="1" applyFill="1" applyBorder="1" applyAlignment="1">
      <alignment horizontal="left" vertical="center" readingOrder="1"/>
    </xf>
    <xf numFmtId="1" fontId="17" fillId="19" borderId="15" xfId="1" applyNumberFormat="1" applyFont="1" applyFill="1" applyBorder="1" applyAlignment="1">
      <alignment horizontal="left" vertical="center" readingOrder="1"/>
    </xf>
    <xf numFmtId="1" fontId="9" fillId="19" borderId="15" xfId="0" applyNumberFormat="1" applyFont="1" applyFill="1" applyBorder="1" applyAlignment="1">
      <alignment horizontal="left" vertical="center" readingOrder="1"/>
    </xf>
    <xf numFmtId="14" fontId="9" fillId="19" borderId="15" xfId="0" applyNumberFormat="1" applyFont="1" applyFill="1" applyBorder="1" applyAlignment="1">
      <alignment horizontal="left" vertical="center" readingOrder="1"/>
    </xf>
    <xf numFmtId="1" fontId="17" fillId="8" borderId="15" xfId="0" applyNumberFormat="1" applyFont="1" applyFill="1" applyBorder="1" applyAlignment="1">
      <alignment horizontal="left" vertical="center" readingOrder="1"/>
    </xf>
    <xf numFmtId="1" fontId="22" fillId="8" borderId="15" xfId="1" applyNumberFormat="1" applyFont="1" applyFill="1" applyBorder="1" applyAlignment="1">
      <alignment horizontal="center" vertical="center" readingOrder="1"/>
    </xf>
    <xf numFmtId="14" fontId="9" fillId="8" borderId="15" xfId="0" applyNumberFormat="1" applyFont="1" applyFill="1" applyBorder="1" applyAlignment="1">
      <alignment horizontal="left" vertical="center" readingOrder="1"/>
    </xf>
    <xf numFmtId="0" fontId="9" fillId="8" borderId="15" xfId="0" applyFont="1" applyFill="1" applyBorder="1" applyAlignment="1">
      <alignment horizontal="left" vertical="center" readingOrder="1"/>
    </xf>
    <xf numFmtId="0" fontId="9" fillId="12" borderId="15" xfId="1" applyNumberFormat="1" applyFont="1" applyFill="1" applyBorder="1" applyAlignment="1">
      <alignment horizontal="left" vertical="center" readingOrder="1"/>
    </xf>
    <xf numFmtId="0" fontId="17" fillId="19" borderId="15" xfId="0" applyFont="1" applyFill="1" applyBorder="1" applyAlignment="1">
      <alignment horizontal="left" vertical="top" readingOrder="1"/>
    </xf>
    <xf numFmtId="1" fontId="17" fillId="19" borderId="15" xfId="0" applyNumberFormat="1" applyFont="1" applyFill="1" applyBorder="1" applyAlignment="1">
      <alignment horizontal="left" vertical="top" readingOrder="1"/>
    </xf>
    <xf numFmtId="1" fontId="9" fillId="19" borderId="15" xfId="0" applyNumberFormat="1" applyFont="1" applyFill="1" applyBorder="1" applyAlignment="1">
      <alignment horizontal="left" vertical="top" readingOrder="1"/>
    </xf>
    <xf numFmtId="1" fontId="55" fillId="19" borderId="15" xfId="0" applyNumberFormat="1" applyFont="1" applyFill="1" applyBorder="1" applyAlignment="1">
      <alignment horizontal="left" vertical="top" readingOrder="1"/>
    </xf>
    <xf numFmtId="14" fontId="9" fillId="19" borderId="15" xfId="0" applyNumberFormat="1" applyFont="1" applyFill="1" applyBorder="1" applyAlignment="1">
      <alignment horizontal="left" vertical="top" readingOrder="1"/>
    </xf>
    <xf numFmtId="1" fontId="55" fillId="8" borderId="15" xfId="0" applyNumberFormat="1" applyFont="1" applyFill="1" applyBorder="1" applyAlignment="1">
      <alignment horizontal="left" vertical="top" readingOrder="1"/>
    </xf>
    <xf numFmtId="1" fontId="17" fillId="8" borderId="15" xfId="0" applyNumberFormat="1" applyFont="1" applyFill="1" applyBorder="1" applyAlignment="1">
      <alignment horizontal="left" vertical="top" readingOrder="1"/>
    </xf>
    <xf numFmtId="14" fontId="9" fillId="8" borderId="15" xfId="0" applyNumberFormat="1" applyFont="1" applyFill="1" applyBorder="1" applyAlignment="1">
      <alignment horizontal="left" vertical="top" readingOrder="1"/>
    </xf>
    <xf numFmtId="0" fontId="9" fillId="8" borderId="15" xfId="0" applyFont="1" applyFill="1" applyBorder="1" applyAlignment="1">
      <alignment horizontal="left" vertical="top" readingOrder="1"/>
    </xf>
    <xf numFmtId="0" fontId="55" fillId="8" borderId="15" xfId="0" applyFont="1" applyFill="1" applyBorder="1" applyAlignment="1">
      <alignment horizontal="left" vertical="top" readingOrder="1"/>
    </xf>
    <xf numFmtId="0" fontId="25" fillId="6" borderId="28" xfId="0" applyFont="1" applyFill="1" applyBorder="1" applyAlignment="1">
      <alignment vertical="center" wrapText="1"/>
    </xf>
    <xf numFmtId="1" fontId="25" fillId="10" borderId="15" xfId="0" applyNumberFormat="1" applyFont="1" applyFill="1" applyBorder="1" applyAlignment="1">
      <alignment vertical="center" wrapText="1"/>
    </xf>
    <xf numFmtId="9" fontId="82" fillId="24" borderId="0" xfId="0" applyNumberFormat="1" applyFont="1" applyFill="1" applyBorder="1" applyAlignment="1">
      <alignment vertical="center"/>
    </xf>
    <xf numFmtId="14" fontId="9" fillId="0" borderId="0" xfId="0" applyNumberFormat="1" applyFont="1" applyFill="1" applyAlignment="1">
      <alignment horizontal="left" vertical="center" readingOrder="1"/>
    </xf>
    <xf numFmtId="0" fontId="21" fillId="0" borderId="0" xfId="0" applyFont="1" applyFill="1" applyBorder="1"/>
    <xf numFmtId="0" fontId="83" fillId="0" borderId="0" xfId="0" applyNumberFormat="1" applyFont="1" applyFill="1"/>
    <xf numFmtId="0" fontId="84" fillId="0" borderId="0" xfId="0" applyFont="1" applyFill="1" applyBorder="1" applyAlignment="1">
      <alignment horizontal="left" vertical="center" readingOrder="1"/>
    </xf>
    <xf numFmtId="165" fontId="84" fillId="0" borderId="0" xfId="0" applyNumberFormat="1" applyFont="1" applyFill="1" applyBorder="1" applyAlignment="1">
      <alignment horizontal="left" vertical="center" readingOrder="1"/>
    </xf>
    <xf numFmtId="9" fontId="84" fillId="0" borderId="0" xfId="0" applyNumberFormat="1" applyFont="1" applyFill="1" applyBorder="1" applyAlignment="1">
      <alignment horizontal="left" vertical="center" readingOrder="1"/>
    </xf>
    <xf numFmtId="1" fontId="84" fillId="0" borderId="0" xfId="0" applyNumberFormat="1" applyFont="1" applyFill="1" applyBorder="1" applyAlignment="1">
      <alignment horizontal="left" vertical="center" readingOrder="1"/>
    </xf>
    <xf numFmtId="1" fontId="84" fillId="0" borderId="0" xfId="1" applyNumberFormat="1" applyFont="1" applyFill="1" applyBorder="1" applyAlignment="1">
      <alignment horizontal="left" vertical="center" readingOrder="1"/>
    </xf>
    <xf numFmtId="9" fontId="84" fillId="0" borderId="0" xfId="1" applyFont="1" applyFill="1" applyBorder="1" applyAlignment="1">
      <alignment horizontal="left" vertical="center" readingOrder="1"/>
    </xf>
    <xf numFmtId="1" fontId="84" fillId="0" borderId="0" xfId="1" applyNumberFormat="1" applyFont="1" applyFill="1" applyAlignment="1">
      <alignment horizontal="left" vertical="center" readingOrder="1"/>
    </xf>
    <xf numFmtId="9" fontId="84" fillId="0" borderId="0" xfId="1" applyNumberFormat="1" applyFont="1" applyFill="1" applyBorder="1" applyAlignment="1">
      <alignment horizontal="left" vertical="center" readingOrder="1"/>
    </xf>
    <xf numFmtId="9" fontId="84" fillId="0" borderId="0" xfId="1" applyFont="1" applyFill="1" applyAlignment="1">
      <alignment horizontal="left" vertical="center" readingOrder="1"/>
    </xf>
    <xf numFmtId="0" fontId="84" fillId="0" borderId="0" xfId="0" applyFont="1" applyFill="1" applyAlignment="1">
      <alignment horizontal="left" vertical="center" readingOrder="1"/>
    </xf>
    <xf numFmtId="165" fontId="84" fillId="0" borderId="0" xfId="0" applyNumberFormat="1" applyFont="1" applyFill="1" applyAlignment="1">
      <alignment horizontal="left" vertical="center" readingOrder="1"/>
    </xf>
    <xf numFmtId="1" fontId="84" fillId="0" borderId="0" xfId="0" applyNumberFormat="1" applyFont="1" applyFill="1" applyAlignment="1">
      <alignment horizontal="left" vertical="center" readingOrder="1"/>
    </xf>
    <xf numFmtId="9" fontId="84" fillId="0" borderId="0" xfId="0" applyNumberFormat="1" applyFont="1" applyFill="1" applyAlignment="1">
      <alignment horizontal="left" vertical="center" readingOrder="1"/>
    </xf>
    <xf numFmtId="9" fontId="84" fillId="0" borderId="0" xfId="1" applyNumberFormat="1" applyFont="1" applyFill="1" applyAlignment="1">
      <alignment horizontal="left" vertical="center" readingOrder="1"/>
    </xf>
    <xf numFmtId="1" fontId="9" fillId="8" borderId="0" xfId="0" applyNumberFormat="1" applyFont="1" applyFill="1" applyBorder="1" applyAlignment="1">
      <alignment horizontal="left" vertical="center" readingOrder="1"/>
    </xf>
    <xf numFmtId="1" fontId="9" fillId="8" borderId="0" xfId="1" applyNumberFormat="1" applyFont="1" applyFill="1" applyBorder="1" applyAlignment="1">
      <alignment horizontal="left" vertical="center" readingOrder="1"/>
    </xf>
    <xf numFmtId="0" fontId="80" fillId="11" borderId="0" xfId="0" applyNumberFormat="1" applyFont="1" applyFill="1" applyAlignment="1">
      <alignment horizontal="left" vertical="center" readingOrder="1"/>
    </xf>
    <xf numFmtId="1" fontId="80" fillId="11" borderId="0" xfId="0" applyNumberFormat="1" applyFont="1" applyFill="1" applyAlignment="1">
      <alignment horizontal="left" vertical="center" readingOrder="1"/>
    </xf>
    <xf numFmtId="1" fontId="80" fillId="11" borderId="0" xfId="1" applyNumberFormat="1" applyFont="1" applyFill="1" applyAlignment="1">
      <alignment horizontal="left" vertical="center" readingOrder="1"/>
    </xf>
    <xf numFmtId="1" fontId="9" fillId="11" borderId="0" xfId="1" applyNumberFormat="1" applyFont="1" applyFill="1" applyAlignment="1">
      <alignment horizontal="left" vertical="center" readingOrder="1"/>
    </xf>
    <xf numFmtId="0" fontId="9" fillId="11" borderId="0" xfId="0" applyFont="1" applyFill="1" applyBorder="1" applyAlignment="1">
      <alignment horizontal="left" vertical="center" readingOrder="1"/>
    </xf>
    <xf numFmtId="1" fontId="9" fillId="11" borderId="0" xfId="0" applyNumberFormat="1" applyFont="1" applyFill="1" applyBorder="1" applyAlignment="1">
      <alignment horizontal="left" vertical="center" readingOrder="1"/>
    </xf>
    <xf numFmtId="1" fontId="9" fillId="11" borderId="0" xfId="1" applyNumberFormat="1" applyFont="1" applyFill="1" applyBorder="1" applyAlignment="1">
      <alignment horizontal="left" vertical="center" readingOrder="1"/>
    </xf>
    <xf numFmtId="0" fontId="9" fillId="11" borderId="0" xfId="0" applyNumberFormat="1" applyFont="1" applyFill="1" applyAlignment="1">
      <alignment horizontal="left" vertical="center" readingOrder="1"/>
    </xf>
    <xf numFmtId="0" fontId="9" fillId="11" borderId="0" xfId="0" applyFont="1" applyFill="1" applyAlignment="1">
      <alignment horizontal="left" vertical="center" readingOrder="1"/>
    </xf>
    <xf numFmtId="1" fontId="65" fillId="11" borderId="0" xfId="0" applyNumberFormat="1" applyFont="1" applyFill="1" applyBorder="1" applyAlignment="1">
      <alignment horizontal="left" vertical="center" readingOrder="1"/>
    </xf>
    <xf numFmtId="1" fontId="65" fillId="11" borderId="0" xfId="1" applyNumberFormat="1" applyFont="1" applyFill="1" applyBorder="1" applyAlignment="1">
      <alignment horizontal="left" vertical="center" readingOrder="1"/>
    </xf>
    <xf numFmtId="0" fontId="9" fillId="11" borderId="0" xfId="0" applyNumberFormat="1" applyFont="1" applyFill="1" applyBorder="1" applyAlignment="1">
      <alignment horizontal="left" vertical="center" readingOrder="1"/>
    </xf>
    <xf numFmtId="1" fontId="76" fillId="11" borderId="0" xfId="0" applyNumberFormat="1" applyFont="1" applyFill="1" applyAlignment="1">
      <alignment horizontal="left" vertical="center" readingOrder="1"/>
    </xf>
    <xf numFmtId="1" fontId="76" fillId="11" borderId="0" xfId="1" applyNumberFormat="1" applyFont="1" applyFill="1" applyAlignment="1">
      <alignment horizontal="left" vertical="center" readingOrder="1"/>
    </xf>
    <xf numFmtId="1" fontId="9" fillId="11" borderId="0" xfId="0" applyNumberFormat="1" applyFont="1" applyFill="1" applyAlignment="1">
      <alignment horizontal="left" vertical="center" readingOrder="1"/>
    </xf>
    <xf numFmtId="1" fontId="74" fillId="11" borderId="0" xfId="0" applyNumberFormat="1" applyFont="1" applyFill="1" applyBorder="1" applyAlignment="1">
      <alignment horizontal="left" vertical="center" readingOrder="1"/>
    </xf>
    <xf numFmtId="1" fontId="74" fillId="11" borderId="0" xfId="1" applyNumberFormat="1" applyFont="1" applyFill="1" applyBorder="1" applyAlignment="1">
      <alignment horizontal="left" vertical="center" readingOrder="1"/>
    </xf>
    <xf numFmtId="0" fontId="76" fillId="11" borderId="0" xfId="0" applyFont="1" applyFill="1" applyAlignment="1">
      <alignment horizontal="left" vertical="center" readingOrder="1"/>
    </xf>
    <xf numFmtId="1" fontId="84" fillId="11" borderId="0" xfId="0" applyNumberFormat="1" applyFont="1" applyFill="1" applyBorder="1" applyAlignment="1">
      <alignment horizontal="left" vertical="center" readingOrder="1"/>
    </xf>
    <xf numFmtId="1" fontId="84" fillId="11" borderId="0" xfId="1" applyNumberFormat="1" applyFont="1" applyFill="1" applyBorder="1" applyAlignment="1">
      <alignment horizontal="left" vertical="center" readingOrder="1"/>
    </xf>
    <xf numFmtId="1" fontId="74" fillId="11" borderId="0" xfId="0" applyNumberFormat="1" applyFont="1" applyFill="1" applyAlignment="1">
      <alignment horizontal="left" vertical="center" readingOrder="1"/>
    </xf>
    <xf numFmtId="1" fontId="74" fillId="11" borderId="0" xfId="1" applyNumberFormat="1" applyFont="1" applyFill="1" applyAlignment="1">
      <alignment horizontal="left" vertical="center" readingOrder="1"/>
    </xf>
    <xf numFmtId="0" fontId="84" fillId="11" borderId="0" xfId="0" applyNumberFormat="1" applyFont="1" applyFill="1" applyBorder="1" applyAlignment="1">
      <alignment horizontal="left" vertical="center" readingOrder="1"/>
    </xf>
    <xf numFmtId="1" fontId="84" fillId="11" borderId="0" xfId="1" applyNumberFormat="1" applyFont="1" applyFill="1" applyAlignment="1">
      <alignment horizontal="left" vertical="center" readingOrder="1"/>
    </xf>
    <xf numFmtId="1" fontId="9" fillId="8" borderId="0" xfId="0" applyNumberFormat="1" applyFont="1" applyFill="1" applyAlignment="1">
      <alignment horizontal="left" vertical="center" readingOrder="1"/>
    </xf>
    <xf numFmtId="0" fontId="9" fillId="8" borderId="0" xfId="0" applyFont="1" applyFill="1" applyAlignment="1">
      <alignment horizontal="left" vertical="center" readingOrder="1"/>
    </xf>
    <xf numFmtId="1" fontId="80" fillId="8" borderId="0" xfId="0" applyNumberFormat="1" applyFont="1" applyFill="1" applyAlignment="1">
      <alignment horizontal="left" vertical="center" readingOrder="1"/>
    </xf>
    <xf numFmtId="1" fontId="9" fillId="8" borderId="0" xfId="1" applyNumberFormat="1" applyFont="1" applyFill="1" applyAlignment="1">
      <alignment horizontal="left" vertical="center" readingOrder="1"/>
    </xf>
    <xf numFmtId="1" fontId="65" fillId="8" borderId="0" xfId="0" applyNumberFormat="1" applyFont="1" applyFill="1" applyBorder="1" applyAlignment="1">
      <alignment horizontal="left" vertical="center" readingOrder="1"/>
    </xf>
    <xf numFmtId="1" fontId="65" fillId="8" borderId="0" xfId="1" applyNumberFormat="1" applyFont="1" applyFill="1" applyBorder="1" applyAlignment="1">
      <alignment horizontal="left" vertical="center" readingOrder="1"/>
    </xf>
    <xf numFmtId="1" fontId="76" fillId="8" borderId="0" xfId="0" applyNumberFormat="1" applyFont="1" applyFill="1" applyAlignment="1">
      <alignment horizontal="left" vertical="center" readingOrder="1"/>
    </xf>
    <xf numFmtId="1" fontId="74" fillId="8" borderId="0" xfId="0" applyNumberFormat="1" applyFont="1" applyFill="1" applyBorder="1" applyAlignment="1">
      <alignment horizontal="left" vertical="center" readingOrder="1"/>
    </xf>
    <xf numFmtId="1" fontId="74" fillId="8" borderId="0" xfId="1" applyNumberFormat="1" applyFont="1" applyFill="1" applyBorder="1" applyAlignment="1">
      <alignment horizontal="left" vertical="center" readingOrder="1"/>
    </xf>
    <xf numFmtId="1" fontId="84" fillId="8" borderId="0" xfId="0" applyNumberFormat="1" applyFont="1" applyFill="1" applyBorder="1" applyAlignment="1">
      <alignment horizontal="left" vertical="center" readingOrder="1"/>
    </xf>
    <xf numFmtId="0" fontId="84" fillId="8" borderId="0" xfId="0" applyFont="1" applyFill="1" applyBorder="1" applyAlignment="1">
      <alignment horizontal="left" vertical="center" readingOrder="1"/>
    </xf>
    <xf numFmtId="1" fontId="84" fillId="8" borderId="0" xfId="1" applyNumberFormat="1" applyFont="1" applyFill="1" applyBorder="1" applyAlignment="1">
      <alignment horizontal="left" vertical="center" readingOrder="1"/>
    </xf>
    <xf numFmtId="1" fontId="74" fillId="8" borderId="0" xfId="0" applyNumberFormat="1" applyFont="1" applyFill="1" applyAlignment="1">
      <alignment horizontal="left" vertical="center" readingOrder="1"/>
    </xf>
    <xf numFmtId="0" fontId="84" fillId="8" borderId="0" xfId="0" applyFont="1" applyFill="1" applyAlignment="1">
      <alignment horizontal="left" vertical="center" readingOrder="1"/>
    </xf>
    <xf numFmtId="1" fontId="82" fillId="24" borderId="0" xfId="0" applyNumberFormat="1" applyFont="1" applyFill="1" applyBorder="1" applyAlignment="1">
      <alignment vertical="center"/>
    </xf>
    <xf numFmtId="1" fontId="9" fillId="0" borderId="0" xfId="4" applyNumberFormat="1" applyFont="1" applyFill="1" applyAlignment="1">
      <alignment horizontal="left" vertical="center" readingOrder="1"/>
    </xf>
    <xf numFmtId="1" fontId="9" fillId="0" borderId="0" xfId="4" applyNumberFormat="1" applyFont="1" applyFill="1" applyBorder="1" applyAlignment="1">
      <alignment horizontal="left" vertical="center" readingOrder="1"/>
    </xf>
    <xf numFmtId="1" fontId="84" fillId="0" borderId="0" xfId="4" applyNumberFormat="1" applyFont="1" applyFill="1" applyBorder="1" applyAlignment="1">
      <alignment horizontal="left" vertical="center" readingOrder="1"/>
    </xf>
    <xf numFmtId="1" fontId="84" fillId="0" borderId="0" xfId="4" applyNumberFormat="1" applyFont="1" applyFill="1" applyAlignment="1">
      <alignment horizontal="left" vertical="center" readingOrder="1"/>
    </xf>
    <xf numFmtId="1" fontId="32" fillId="10" borderId="15" xfId="1" applyNumberFormat="1" applyFont="1" applyFill="1" applyBorder="1" applyAlignment="1">
      <alignment vertical="center"/>
    </xf>
    <xf numFmtId="0" fontId="86" fillId="11" borderId="39" xfId="0" applyFont="1" applyFill="1" applyBorder="1" applyAlignment="1">
      <alignment horizontal="center" vertical="top" wrapText="1"/>
    </xf>
    <xf numFmtId="0" fontId="73" fillId="8" borderId="39" xfId="0" applyFont="1" applyFill="1" applyBorder="1" applyAlignment="1">
      <alignment horizontal="center" vertical="top" wrapText="1"/>
    </xf>
    <xf numFmtId="0" fontId="73" fillId="12" borderId="39" xfId="0" applyFont="1" applyFill="1" applyBorder="1" applyAlignment="1">
      <alignment horizontal="center" vertical="top" wrapText="1"/>
    </xf>
    <xf numFmtId="164" fontId="73" fillId="0" borderId="39" xfId="4" applyNumberFormat="1" applyFont="1" applyBorder="1" applyAlignment="1">
      <alignment vertical="top" wrapText="1"/>
    </xf>
    <xf numFmtId="0" fontId="73" fillId="19" borderId="36" xfId="0" applyFont="1" applyFill="1" applyBorder="1" applyAlignment="1">
      <alignment horizontal="center"/>
    </xf>
    <xf numFmtId="0" fontId="73" fillId="19" borderId="40" xfId="0" applyFont="1" applyFill="1" applyBorder="1" applyAlignment="1">
      <alignment horizontal="center"/>
    </xf>
    <xf numFmtId="0" fontId="73" fillId="19" borderId="41" xfId="0" applyFont="1" applyFill="1" applyBorder="1" applyAlignment="1">
      <alignment horizontal="center"/>
    </xf>
    <xf numFmtId="164" fontId="73" fillId="11" borderId="51" xfId="4" applyNumberFormat="1" applyFont="1" applyFill="1" applyBorder="1" applyAlignment="1">
      <alignment vertical="top" wrapText="1"/>
    </xf>
    <xf numFmtId="164" fontId="73" fillId="11" borderId="51" xfId="4" applyNumberFormat="1" applyFont="1" applyFill="1" applyBorder="1"/>
    <xf numFmtId="164" fontId="73" fillId="8" borderId="51" xfId="4" applyNumberFormat="1" applyFont="1" applyFill="1" applyBorder="1" applyAlignment="1">
      <alignment vertical="top" wrapText="1"/>
    </xf>
    <xf numFmtId="164" fontId="73" fillId="8" borderId="51" xfId="4" applyNumberFormat="1" applyFont="1" applyFill="1" applyBorder="1"/>
    <xf numFmtId="164" fontId="73" fillId="12" borderId="51" xfId="4" applyNumberFormat="1" applyFont="1" applyFill="1" applyBorder="1" applyAlignment="1">
      <alignment vertical="top" wrapText="1"/>
    </xf>
    <xf numFmtId="164" fontId="73" fillId="12" borderId="51" xfId="4" applyNumberFormat="1" applyFont="1" applyFill="1" applyBorder="1"/>
    <xf numFmtId="0" fontId="87" fillId="35" borderId="55" xfId="0" applyFont="1" applyFill="1" applyBorder="1" applyAlignment="1">
      <alignment horizontal="center" vertical="center" wrapText="1"/>
    </xf>
    <xf numFmtId="0" fontId="87" fillId="35" borderId="51" xfId="0" applyFont="1" applyFill="1" applyBorder="1" applyAlignment="1">
      <alignment horizontal="center" vertical="center" wrapText="1"/>
    </xf>
    <xf numFmtId="0" fontId="87" fillId="35" borderId="56" xfId="0" applyFont="1" applyFill="1" applyBorder="1" applyAlignment="1">
      <alignment horizontal="center" vertical="center" wrapText="1"/>
    </xf>
    <xf numFmtId="164" fontId="73" fillId="11" borderId="55" xfId="4" applyNumberFormat="1" applyFont="1" applyFill="1" applyBorder="1"/>
    <xf numFmtId="164" fontId="73" fillId="11" borderId="56" xfId="4" applyNumberFormat="1" applyFont="1" applyFill="1" applyBorder="1"/>
    <xf numFmtId="164" fontId="73" fillId="8" borderId="55" xfId="4" applyNumberFormat="1" applyFont="1" applyFill="1" applyBorder="1"/>
    <xf numFmtId="164" fontId="73" fillId="8" borderId="56" xfId="4" applyNumberFormat="1" applyFont="1" applyFill="1" applyBorder="1"/>
    <xf numFmtId="164" fontId="73" fillId="12" borderId="55" xfId="4" applyNumberFormat="1" applyFont="1" applyFill="1" applyBorder="1"/>
    <xf numFmtId="164" fontId="73" fillId="12" borderId="56" xfId="4" applyNumberFormat="1" applyFont="1" applyFill="1" applyBorder="1"/>
    <xf numFmtId="164" fontId="73" fillId="12" borderId="57" xfId="4" applyNumberFormat="1" applyFont="1" applyFill="1" applyBorder="1"/>
    <xf numFmtId="164" fontId="73" fillId="12" borderId="58" xfId="4" applyNumberFormat="1" applyFont="1" applyFill="1" applyBorder="1"/>
    <xf numFmtId="164" fontId="73" fillId="12" borderId="59" xfId="4" applyNumberFormat="1" applyFont="1" applyFill="1" applyBorder="1"/>
    <xf numFmtId="0" fontId="75" fillId="0" borderId="52" xfId="0" applyFont="1" applyBorder="1" applyAlignment="1">
      <alignment horizontal="center" vertical="center"/>
    </xf>
    <xf numFmtId="0" fontId="87" fillId="0" borderId="53" xfId="0" applyFont="1" applyBorder="1" applyAlignment="1">
      <alignment horizontal="center" vertical="center" wrapText="1"/>
    </xf>
    <xf numFmtId="0" fontId="87" fillId="14" borderId="53" xfId="0" applyFont="1" applyFill="1" applyBorder="1" applyAlignment="1">
      <alignment horizontal="center" vertical="center" wrapText="1"/>
    </xf>
    <xf numFmtId="0" fontId="88" fillId="14" borderId="54" xfId="0" applyFont="1" applyFill="1" applyBorder="1" applyAlignment="1">
      <alignment horizontal="center" vertical="center" wrapText="1"/>
    </xf>
    <xf numFmtId="164" fontId="73" fillId="12" borderId="58" xfId="4" applyNumberFormat="1" applyFont="1" applyFill="1" applyBorder="1" applyAlignment="1">
      <alignment vertical="top" wrapText="1"/>
    </xf>
    <xf numFmtId="0" fontId="21" fillId="0" borderId="0" xfId="0" applyFont="1" applyFill="1" applyBorder="1" applyAlignment="1">
      <alignment horizontal="left"/>
    </xf>
    <xf numFmtId="9" fontId="21" fillId="0" borderId="0" xfId="0" applyNumberFormat="1" applyFont="1" applyFill="1" applyBorder="1"/>
    <xf numFmtId="1" fontId="34" fillId="10" borderId="33" xfId="0" applyNumberFormat="1" applyFont="1" applyFill="1" applyBorder="1" applyAlignment="1">
      <alignment vertical="top"/>
    </xf>
    <xf numFmtId="1" fontId="30" fillId="17" borderId="0" xfId="0" applyNumberFormat="1" applyFont="1" applyFill="1" applyBorder="1" applyAlignment="1">
      <alignment horizontal="left"/>
    </xf>
    <xf numFmtId="1" fontId="72" fillId="18" borderId="4" xfId="0" applyNumberFormat="1" applyFont="1" applyFill="1" applyBorder="1" applyAlignment="1">
      <alignment horizontal="center" vertical="center" wrapText="1"/>
    </xf>
    <xf numFmtId="1" fontId="12" fillId="18" borderId="5" xfId="0" applyNumberFormat="1" applyFont="1" applyFill="1" applyBorder="1" applyAlignment="1">
      <alignment horizontal="left" vertical="top" wrapText="1" readingOrder="1"/>
    </xf>
    <xf numFmtId="1" fontId="8" fillId="2" borderId="15" xfId="0" applyNumberFormat="1" applyFont="1" applyFill="1" applyBorder="1" applyAlignment="1">
      <alignment horizontal="left" vertical="center" readingOrder="1"/>
    </xf>
    <xf numFmtId="1" fontId="9" fillId="18" borderId="15" xfId="0" applyNumberFormat="1" applyFont="1" applyFill="1" applyBorder="1" applyAlignment="1">
      <alignment horizontal="left" vertical="center" readingOrder="1"/>
    </xf>
    <xf numFmtId="1" fontId="9" fillId="18" borderId="15" xfId="0" applyNumberFormat="1" applyFont="1" applyFill="1" applyBorder="1" applyAlignment="1">
      <alignment horizontal="left" vertical="top" readingOrder="1"/>
    </xf>
    <xf numFmtId="1" fontId="76" fillId="0" borderId="0" xfId="0" applyNumberFormat="1" applyFont="1" applyFill="1" applyBorder="1" applyAlignment="1">
      <alignment horizontal="left" vertical="center" readingOrder="1"/>
    </xf>
    <xf numFmtId="1" fontId="65" fillId="0" borderId="0" xfId="0" applyNumberFormat="1" applyFont="1" applyFill="1" applyBorder="1" applyAlignment="1">
      <alignment horizontal="left" vertical="center" readingOrder="1"/>
    </xf>
    <xf numFmtId="1" fontId="74" fillId="0" borderId="0" xfId="0" applyNumberFormat="1" applyFont="1" applyFill="1" applyBorder="1" applyAlignment="1">
      <alignment horizontal="left" vertical="center" readingOrder="1"/>
    </xf>
    <xf numFmtId="1" fontId="9" fillId="0" borderId="2" xfId="0" applyNumberFormat="1" applyFont="1" applyFill="1" applyBorder="1" applyAlignment="1">
      <alignment horizontal="left" vertical="center" readingOrder="1"/>
    </xf>
    <xf numFmtId="0" fontId="84" fillId="0" borderId="0" xfId="0" applyNumberFormat="1" applyFont="1" applyFill="1" applyAlignment="1">
      <alignment horizontal="left" vertical="center" readingOrder="1"/>
    </xf>
    <xf numFmtId="0" fontId="84" fillId="0" borderId="0" xfId="1" applyNumberFormat="1" applyFont="1" applyFill="1" applyAlignment="1">
      <alignment horizontal="left" vertical="center" readingOrder="1"/>
    </xf>
    <xf numFmtId="0" fontId="85" fillId="9" borderId="35" xfId="0" applyFont="1" applyFill="1" applyBorder="1" applyAlignment="1">
      <alignment horizontal="center" vertical="center" wrapText="1"/>
    </xf>
    <xf numFmtId="0" fontId="85" fillId="38" borderId="35" xfId="0" applyFont="1" applyFill="1" applyBorder="1" applyAlignment="1">
      <alignment horizontal="center" vertical="center" wrapText="1"/>
    </xf>
    <xf numFmtId="0" fontId="0" fillId="0" borderId="35" xfId="0" applyBorder="1"/>
    <xf numFmtId="0" fontId="73" fillId="0" borderId="35" xfId="0" applyFont="1" applyBorder="1"/>
    <xf numFmtId="0" fontId="85" fillId="15" borderId="35" xfId="0" applyFont="1" applyFill="1" applyBorder="1" applyAlignment="1">
      <alignment horizontal="center" vertical="center" wrapText="1"/>
    </xf>
    <xf numFmtId="0" fontId="0" fillId="39" borderId="35" xfId="0" applyFill="1" applyBorder="1"/>
    <xf numFmtId="164" fontId="85" fillId="15" borderId="35" xfId="4" applyNumberFormat="1" applyFont="1" applyFill="1" applyBorder="1" applyAlignment="1">
      <alignment horizontal="right" vertical="center"/>
    </xf>
    <xf numFmtId="164" fontId="85" fillId="9" borderId="35" xfId="4" applyNumberFormat="1" applyFont="1" applyFill="1" applyBorder="1" applyAlignment="1">
      <alignment horizontal="right" vertical="center"/>
    </xf>
    <xf numFmtId="164" fontId="85" fillId="38" borderId="35" xfId="4" applyNumberFormat="1" applyFont="1" applyFill="1" applyBorder="1" applyAlignment="1">
      <alignment horizontal="right" vertical="center"/>
    </xf>
    <xf numFmtId="164" fontId="85" fillId="38" borderId="35" xfId="4" applyNumberFormat="1" applyFont="1" applyFill="1" applyBorder="1" applyAlignment="1">
      <alignment horizontal="right" vertical="center" wrapText="1"/>
    </xf>
    <xf numFmtId="164" fontId="85" fillId="15" borderId="35" xfId="4" applyNumberFormat="1" applyFont="1" applyFill="1" applyBorder="1" applyAlignment="1">
      <alignment horizontal="center" vertical="center" wrapText="1"/>
    </xf>
    <xf numFmtId="164" fontId="85" fillId="38" borderId="35" xfId="4" applyNumberFormat="1" applyFont="1" applyFill="1" applyBorder="1" applyAlignment="1">
      <alignment horizontal="center" vertical="center" wrapText="1"/>
    </xf>
    <xf numFmtId="164" fontId="85" fillId="15" borderId="35" xfId="4" applyNumberFormat="1" applyFont="1" applyFill="1" applyBorder="1"/>
    <xf numFmtId="164" fontId="85" fillId="9" borderId="35" xfId="4" applyNumberFormat="1" applyFont="1" applyFill="1" applyBorder="1"/>
    <xf numFmtId="164" fontId="85" fillId="38" borderId="35" xfId="4" applyNumberFormat="1" applyFont="1" applyFill="1" applyBorder="1"/>
    <xf numFmtId="0" fontId="81" fillId="37" borderId="0" xfId="0" applyFont="1" applyFill="1" applyBorder="1" applyAlignment="1">
      <alignment horizontal="center" vertical="center" wrapText="1"/>
    </xf>
    <xf numFmtId="0" fontId="81" fillId="37" borderId="0" xfId="0" applyFont="1" applyFill="1" applyBorder="1" applyAlignment="1">
      <alignment horizontal="center" vertical="center"/>
    </xf>
    <xf numFmtId="0" fontId="21" fillId="0" borderId="0" xfId="0" applyFont="1" applyBorder="1" applyAlignment="1">
      <alignment vertical="center"/>
    </xf>
    <xf numFmtId="0" fontId="21" fillId="33" borderId="0" xfId="0" applyFont="1" applyFill="1" applyBorder="1" applyAlignment="1">
      <alignment vertical="center"/>
    </xf>
    <xf numFmtId="0" fontId="21" fillId="28" borderId="0" xfId="0" applyFont="1" applyFill="1"/>
    <xf numFmtId="0" fontId="9" fillId="12" borderId="15" xfId="0" applyNumberFormat="1" applyFont="1" applyFill="1" applyBorder="1" applyAlignment="1">
      <alignment horizontal="left" vertical="top" readingOrder="1"/>
    </xf>
    <xf numFmtId="0" fontId="84" fillId="0" borderId="0" xfId="0" applyNumberFormat="1" applyFont="1" applyFill="1" applyBorder="1" applyAlignment="1">
      <alignment horizontal="left" vertical="center" readingOrder="1"/>
    </xf>
    <xf numFmtId="166" fontId="1" fillId="21" borderId="0" xfId="8" applyFont="1" applyFill="1" applyBorder="1"/>
    <xf numFmtId="0" fontId="73" fillId="0" borderId="0" xfId="0" applyFont="1" applyAlignment="1">
      <alignment horizontal="center" vertical="center" wrapText="1"/>
    </xf>
    <xf numFmtId="0" fontId="21" fillId="0" borderId="0" xfId="0" applyNumberFormat="1" applyFont="1" applyFill="1"/>
    <xf numFmtId="1" fontId="21" fillId="0" borderId="0" xfId="0" applyNumberFormat="1" applyFont="1" applyFill="1"/>
    <xf numFmtId="0" fontId="21" fillId="0" borderId="0" xfId="0" applyFont="1" applyFill="1" applyAlignment="1">
      <alignment wrapText="1" readingOrder="1"/>
    </xf>
    <xf numFmtId="0" fontId="21" fillId="0" borderId="18" xfId="0" applyFont="1" applyFill="1" applyBorder="1"/>
    <xf numFmtId="0" fontId="21" fillId="0" borderId="0" xfId="0" applyNumberFormat="1" applyFont="1" applyFill="1" applyBorder="1"/>
    <xf numFmtId="1" fontId="21" fillId="0" borderId="0" xfId="0" applyNumberFormat="1" applyFont="1" applyFill="1" applyBorder="1"/>
    <xf numFmtId="0" fontId="21" fillId="0" borderId="0" xfId="0" applyFont="1" applyFill="1" applyBorder="1" applyAlignment="1">
      <alignment wrapText="1" readingOrder="1"/>
    </xf>
    <xf numFmtId="0" fontId="77" fillId="0" borderId="0" xfId="0" applyNumberFormat="1" applyFont="1" applyFill="1"/>
    <xf numFmtId="0" fontId="0" fillId="0" borderId="0" xfId="0" applyFill="1"/>
    <xf numFmtId="0" fontId="21" fillId="0" borderId="0" xfId="0" applyNumberFormat="1" applyFont="1" applyFill="1" applyAlignment="1">
      <alignment wrapText="1" readingOrder="1"/>
    </xf>
    <xf numFmtId="0" fontId="21" fillId="0" borderId="0" xfId="0" applyNumberFormat="1" applyFont="1" applyFill="1" applyBorder="1" applyAlignment="1">
      <alignment wrapText="1" readingOrder="1"/>
    </xf>
    <xf numFmtId="0" fontId="42" fillId="0" borderId="0" xfId="0" applyFont="1" applyFill="1" applyBorder="1" applyAlignment="1">
      <alignment horizontal="left" vertical="center" readingOrder="1"/>
    </xf>
    <xf numFmtId="0" fontId="42" fillId="0" borderId="0" xfId="0" applyNumberFormat="1" applyFont="1" applyFill="1" applyBorder="1" applyAlignment="1">
      <alignment horizontal="left" vertical="center" readingOrder="1"/>
    </xf>
    <xf numFmtId="0" fontId="43" fillId="0" borderId="0" xfId="9" applyFont="1" applyFill="1" applyAlignment="1"/>
    <xf numFmtId="0" fontId="43" fillId="0" borderId="0" xfId="0" applyNumberFormat="1" applyFont="1" applyFill="1" applyBorder="1" applyAlignment="1"/>
    <xf numFmtId="0" fontId="21" fillId="0" borderId="32" xfId="0" applyFont="1" applyFill="1" applyBorder="1"/>
    <xf numFmtId="0" fontId="21" fillId="0" borderId="31" xfId="0" applyFont="1" applyFill="1" applyBorder="1"/>
    <xf numFmtId="0" fontId="21" fillId="0" borderId="2" xfId="0" applyFont="1" applyFill="1" applyBorder="1"/>
    <xf numFmtId="0" fontId="21" fillId="0" borderId="31" xfId="0" applyNumberFormat="1" applyFont="1" applyFill="1" applyBorder="1"/>
    <xf numFmtId="1" fontId="21" fillId="0" borderId="31" xfId="0" applyNumberFormat="1" applyFont="1" applyFill="1" applyBorder="1"/>
    <xf numFmtId="0" fontId="21" fillId="0" borderId="43" xfId="0" applyFont="1" applyFill="1" applyBorder="1"/>
    <xf numFmtId="0" fontId="21" fillId="0" borderId="42" xfId="0" applyFont="1" applyFill="1" applyBorder="1"/>
    <xf numFmtId="0" fontId="77" fillId="0" borderId="0" xfId="0" applyNumberFormat="1" applyFont="1" applyFill="1" applyBorder="1"/>
    <xf numFmtId="14" fontId="21" fillId="0" borderId="0" xfId="0" applyNumberFormat="1" applyFont="1"/>
    <xf numFmtId="0" fontId="9" fillId="0" borderId="0" xfId="0" applyNumberFormat="1" applyFont="1" applyFill="1" applyAlignment="1">
      <alignment horizontal="left" vertical="center" readingOrder="1"/>
    </xf>
    <xf numFmtId="0" fontId="2" fillId="0" borderId="0" xfId="21" applyFont="1"/>
    <xf numFmtId="0" fontId="2" fillId="0" borderId="0" xfId="21"/>
    <xf numFmtId="0" fontId="20" fillId="17" borderId="0" xfId="21" applyFont="1" applyFill="1" applyAlignment="1">
      <alignment horizontal="center" vertical="center" wrapText="1"/>
    </xf>
    <xf numFmtId="14" fontId="12" fillId="18" borderId="4" xfId="21" applyNumberFormat="1" applyFont="1" applyFill="1" applyBorder="1" applyAlignment="1">
      <alignment horizontal="left" vertical="top" wrapText="1" readingOrder="1"/>
    </xf>
    <xf numFmtId="0" fontId="16" fillId="0" borderId="4" xfId="21" applyFont="1" applyFill="1" applyBorder="1" applyAlignment="1">
      <alignment horizontal="left" vertical="top" wrapText="1"/>
    </xf>
    <xf numFmtId="0" fontId="22" fillId="19" borderId="4" xfId="21" applyFont="1" applyFill="1" applyBorder="1" applyAlignment="1">
      <alignment horizontal="left" vertical="top" wrapText="1" readingOrder="1"/>
    </xf>
    <xf numFmtId="0" fontId="16" fillId="11" borderId="4" xfId="21" applyFont="1" applyFill="1" applyBorder="1" applyAlignment="1">
      <alignment horizontal="left" vertical="top" wrapText="1"/>
    </xf>
    <xf numFmtId="0" fontId="70" fillId="31" borderId="35" xfId="21" applyFont="1" applyFill="1" applyBorder="1"/>
    <xf numFmtId="1" fontId="22" fillId="19" borderId="4" xfId="21" applyNumberFormat="1" applyFont="1" applyFill="1" applyBorder="1" applyAlignment="1">
      <alignment horizontal="left" vertical="top" wrapText="1" readingOrder="1"/>
    </xf>
    <xf numFmtId="1" fontId="33" fillId="19" borderId="4" xfId="21" applyNumberFormat="1" applyFont="1" applyFill="1" applyBorder="1" applyAlignment="1">
      <alignment horizontal="left" vertical="top" wrapText="1" readingOrder="1"/>
    </xf>
    <xf numFmtId="0" fontId="55" fillId="11" borderId="4" xfId="21" applyFont="1" applyFill="1" applyBorder="1" applyAlignment="1">
      <alignment horizontal="left" vertical="top" wrapText="1"/>
    </xf>
    <xf numFmtId="14" fontId="12" fillId="19" borderId="4" xfId="21" applyNumberFormat="1" applyFont="1" applyFill="1" applyBorder="1" applyAlignment="1">
      <alignment horizontal="left" vertical="top" wrapText="1" readingOrder="1"/>
    </xf>
    <xf numFmtId="1" fontId="22" fillId="19" borderId="4" xfId="22" applyNumberFormat="1" applyFont="1" applyFill="1" applyBorder="1" applyAlignment="1">
      <alignment horizontal="left" vertical="top" wrapText="1" readingOrder="1"/>
    </xf>
    <xf numFmtId="1" fontId="12" fillId="19" borderId="4" xfId="21" applyNumberFormat="1" applyFont="1" applyFill="1" applyBorder="1" applyAlignment="1">
      <alignment horizontal="left" vertical="top" wrapText="1" readingOrder="1"/>
    </xf>
    <xf numFmtId="9" fontId="55" fillId="19" borderId="4" xfId="21" applyNumberFormat="1" applyFont="1" applyFill="1" applyBorder="1" applyAlignment="1">
      <alignment horizontal="left" vertical="top" wrapText="1" readingOrder="1"/>
    </xf>
    <xf numFmtId="9" fontId="22" fillId="19" borderId="4" xfId="21" applyNumberFormat="1" applyFont="1" applyFill="1" applyBorder="1" applyAlignment="1">
      <alignment horizontal="left" vertical="top" wrapText="1" readingOrder="1"/>
    </xf>
    <xf numFmtId="9" fontId="22" fillId="19" borderId="4" xfId="22" applyNumberFormat="1" applyFont="1" applyFill="1" applyBorder="1" applyAlignment="1">
      <alignment horizontal="left" vertical="top" wrapText="1" readingOrder="1"/>
    </xf>
    <xf numFmtId="14" fontId="33" fillId="19" borderId="4" xfId="21" applyNumberFormat="1" applyFont="1" applyFill="1" applyBorder="1" applyAlignment="1">
      <alignment horizontal="left" vertical="top" wrapText="1" readingOrder="1"/>
    </xf>
    <xf numFmtId="1" fontId="33" fillId="8" borderId="4" xfId="21" applyNumberFormat="1" applyFont="1" applyFill="1" applyBorder="1" applyAlignment="1">
      <alignment horizontal="left" vertical="top" wrapText="1" readingOrder="1"/>
    </xf>
    <xf numFmtId="1" fontId="22" fillId="8" borderId="4" xfId="21" applyNumberFormat="1" applyFont="1" applyFill="1" applyBorder="1" applyAlignment="1">
      <alignment horizontal="left" vertical="top" wrapText="1" readingOrder="1"/>
    </xf>
    <xf numFmtId="0" fontId="55" fillId="30" borderId="36" xfId="21" applyFont="1" applyFill="1" applyBorder="1" applyAlignment="1">
      <alignment horizontal="left" vertical="top" wrapText="1"/>
    </xf>
    <xf numFmtId="0" fontId="55" fillId="30" borderId="4" xfId="21" applyFont="1" applyFill="1" applyBorder="1" applyAlignment="1">
      <alignment horizontal="left" vertical="top" wrapText="1"/>
    </xf>
    <xf numFmtId="1" fontId="33" fillId="8" borderId="4" xfId="22" applyNumberFormat="1" applyFont="1" applyFill="1" applyBorder="1" applyAlignment="1">
      <alignment horizontal="left" vertical="top" wrapText="1" readingOrder="1"/>
    </xf>
    <xf numFmtId="1" fontId="22" fillId="8" borderId="4" xfId="22" applyNumberFormat="1" applyFont="1" applyFill="1" applyBorder="1" applyAlignment="1">
      <alignment horizontal="left" vertical="top" wrapText="1" readingOrder="1"/>
    </xf>
    <xf numFmtId="0" fontId="56" fillId="9" borderId="0" xfId="11" applyFont="1" applyFill="1" applyBorder="1"/>
    <xf numFmtId="0" fontId="56" fillId="9" borderId="0" xfId="12" applyFont="1" applyFill="1" applyBorder="1"/>
    <xf numFmtId="0" fontId="52" fillId="27" borderId="0" xfId="0" applyFont="1" applyFill="1" applyBorder="1" applyAlignment="1">
      <alignment wrapText="1"/>
    </xf>
    <xf numFmtId="0" fontId="70" fillId="31" borderId="0" xfId="21" applyFont="1" applyFill="1" applyBorder="1"/>
    <xf numFmtId="0" fontId="16" fillId="30" borderId="4" xfId="21" applyFont="1" applyFill="1" applyBorder="1" applyAlignment="1">
      <alignment horizontal="left" vertical="top" wrapText="1"/>
    </xf>
    <xf numFmtId="14" fontId="12" fillId="8" borderId="4" xfId="21" applyNumberFormat="1" applyFont="1" applyFill="1" applyBorder="1" applyAlignment="1">
      <alignment horizontal="left" vertical="top" wrapText="1" readingOrder="1"/>
    </xf>
    <xf numFmtId="0" fontId="18" fillId="30" borderId="4" xfId="21" applyFont="1" applyFill="1" applyBorder="1" applyAlignment="1">
      <alignment horizontal="left" vertical="top" wrapText="1"/>
    </xf>
    <xf numFmtId="0" fontId="12" fillId="8" borderId="4" xfId="21" applyFont="1" applyFill="1" applyBorder="1" applyAlignment="1">
      <alignment horizontal="left" vertical="top" wrapText="1" readingOrder="1"/>
    </xf>
    <xf numFmtId="0" fontId="33" fillId="8" borderId="4" xfId="21" applyFont="1" applyFill="1" applyBorder="1" applyAlignment="1">
      <alignment horizontal="left" vertical="top" wrapText="1" readingOrder="1"/>
    </xf>
    <xf numFmtId="0" fontId="16" fillId="12" borderId="4" xfId="21" applyFont="1" applyFill="1" applyBorder="1" applyAlignment="1">
      <alignment horizontal="left" vertical="top" wrapText="1"/>
    </xf>
    <xf numFmtId="0" fontId="12" fillId="12" borderId="4" xfId="22" applyNumberFormat="1" applyFont="1" applyFill="1" applyBorder="1" applyAlignment="1">
      <alignment horizontal="left" vertical="top" wrapText="1" readingOrder="1"/>
    </xf>
    <xf numFmtId="0" fontId="12" fillId="32" borderId="4" xfId="22" applyNumberFormat="1" applyFont="1" applyFill="1" applyBorder="1" applyAlignment="1">
      <alignment horizontal="left" vertical="top" wrapText="1" readingOrder="1"/>
    </xf>
    <xf numFmtId="0" fontId="16" fillId="32" borderId="4" xfId="21" applyFont="1" applyFill="1" applyBorder="1" applyAlignment="1">
      <alignment horizontal="left" vertical="top" wrapText="1"/>
    </xf>
    <xf numFmtId="1" fontId="12" fillId="12" borderId="4" xfId="21" applyNumberFormat="1" applyFont="1" applyFill="1" applyBorder="1" applyAlignment="1">
      <alignment horizontal="left" vertical="top" wrapText="1" readingOrder="1"/>
    </xf>
    <xf numFmtId="1" fontId="33" fillId="12" borderId="4" xfId="21" applyNumberFormat="1" applyFont="1" applyFill="1" applyBorder="1" applyAlignment="1">
      <alignment horizontal="left" vertical="top" wrapText="1" readingOrder="1"/>
    </xf>
    <xf numFmtId="0" fontId="55" fillId="32" borderId="36" xfId="21" applyFont="1" applyFill="1" applyBorder="1" applyAlignment="1">
      <alignment horizontal="left" vertical="top" wrapText="1"/>
    </xf>
    <xf numFmtId="9" fontId="12" fillId="12" borderId="4" xfId="21" applyNumberFormat="1" applyFont="1" applyFill="1" applyBorder="1" applyAlignment="1">
      <alignment horizontal="left" vertical="top" wrapText="1" readingOrder="1"/>
    </xf>
    <xf numFmtId="9" fontId="33" fillId="12" borderId="4" xfId="21" applyNumberFormat="1" applyFont="1" applyFill="1" applyBorder="1" applyAlignment="1">
      <alignment horizontal="left" vertical="top" wrapText="1" readingOrder="1"/>
    </xf>
    <xf numFmtId="9" fontId="22" fillId="12" borderId="4" xfId="21" applyNumberFormat="1" applyFont="1" applyFill="1" applyBorder="1" applyAlignment="1">
      <alignment horizontal="left" vertical="top" wrapText="1" readingOrder="1"/>
    </xf>
    <xf numFmtId="0" fontId="55" fillId="12" borderId="4" xfId="0" applyFont="1" applyFill="1" applyBorder="1" applyAlignment="1">
      <alignment vertical="top"/>
    </xf>
    <xf numFmtId="0" fontId="16" fillId="12" borderId="4" xfId="21" applyFont="1" applyFill="1" applyBorder="1"/>
    <xf numFmtId="0" fontId="55" fillId="12" borderId="4" xfId="21" applyFont="1" applyFill="1" applyBorder="1" applyAlignment="1">
      <alignment wrapText="1"/>
    </xf>
    <xf numFmtId="0" fontId="57" fillId="27" borderId="0" xfId="11" applyFont="1" applyFill="1" applyBorder="1" applyAlignment="1">
      <alignment wrapText="1"/>
    </xf>
    <xf numFmtId="0" fontId="57" fillId="27" borderId="0" xfId="12" applyFont="1" applyFill="1" applyBorder="1"/>
    <xf numFmtId="0" fontId="61" fillId="0" borderId="0" xfId="21" applyFont="1"/>
    <xf numFmtId="0" fontId="16" fillId="0" borderId="0" xfId="21" applyFont="1"/>
    <xf numFmtId="0" fontId="20" fillId="17" borderId="4" xfId="21" applyFont="1" applyFill="1" applyBorder="1" applyAlignment="1">
      <alignment horizontal="center" vertical="center" wrapText="1"/>
    </xf>
    <xf numFmtId="14" fontId="60" fillId="18" borderId="4" xfId="21" applyNumberFormat="1" applyFont="1" applyFill="1" applyBorder="1" applyAlignment="1">
      <alignment horizontal="left" vertical="top" wrapText="1" readingOrder="1"/>
    </xf>
    <xf numFmtId="0" fontId="61" fillId="0" borderId="4" xfId="21" applyFont="1" applyFill="1" applyBorder="1" applyAlignment="1">
      <alignment horizontal="left" vertical="top" wrapText="1"/>
    </xf>
    <xf numFmtId="14" fontId="62" fillId="18" borderId="4" xfId="21" applyNumberFormat="1" applyFont="1" applyFill="1" applyBorder="1" applyAlignment="1">
      <alignment horizontal="left" vertical="top" wrapText="1" readingOrder="1"/>
    </xf>
    <xf numFmtId="0" fontId="63" fillId="19" borderId="4" xfId="21" applyFont="1" applyFill="1" applyBorder="1" applyAlignment="1">
      <alignment horizontal="left" vertical="top" wrapText="1" readingOrder="1"/>
    </xf>
    <xf numFmtId="0" fontId="61" fillId="11" borderId="4" xfId="21" applyFont="1" applyFill="1" applyBorder="1" applyAlignment="1">
      <alignment horizontal="left" vertical="top" wrapText="1"/>
    </xf>
    <xf numFmtId="1" fontId="63" fillId="19" borderId="4" xfId="21" applyNumberFormat="1" applyFont="1" applyFill="1" applyBorder="1" applyAlignment="1">
      <alignment horizontal="left" vertical="top" wrapText="1" readingOrder="1"/>
    </xf>
    <xf numFmtId="1" fontId="59" fillId="19" borderId="4" xfId="21" applyNumberFormat="1" applyFont="1" applyFill="1" applyBorder="1" applyAlignment="1">
      <alignment horizontal="left" vertical="top" wrapText="1" readingOrder="1"/>
    </xf>
    <xf numFmtId="0" fontId="59" fillId="11" borderId="4" xfId="21" applyFont="1" applyFill="1" applyBorder="1" applyAlignment="1">
      <alignment horizontal="left" vertical="top" wrapText="1"/>
    </xf>
    <xf numFmtId="1" fontId="63" fillId="19" borderId="4" xfId="22" applyNumberFormat="1" applyFont="1" applyFill="1" applyBorder="1" applyAlignment="1">
      <alignment horizontal="left" vertical="top" wrapText="1" readingOrder="1"/>
    </xf>
    <xf numFmtId="1" fontId="62" fillId="19" borderId="4" xfId="21" applyNumberFormat="1" applyFont="1" applyFill="1" applyBorder="1" applyAlignment="1">
      <alignment horizontal="left" vertical="top" wrapText="1" readingOrder="1"/>
    </xf>
    <xf numFmtId="1" fontId="62" fillId="11" borderId="4" xfId="21" applyNumberFormat="1" applyFont="1" applyFill="1" applyBorder="1" applyAlignment="1">
      <alignment horizontal="left" vertical="top" wrapText="1" readingOrder="1"/>
    </xf>
    <xf numFmtId="1" fontId="91" fillId="19" borderId="4" xfId="21" applyNumberFormat="1" applyFont="1" applyFill="1" applyBorder="1" applyAlignment="1">
      <alignment horizontal="left" vertical="top" wrapText="1" readingOrder="1"/>
    </xf>
    <xf numFmtId="9" fontId="59" fillId="19" borderId="4" xfId="21" applyNumberFormat="1" applyFont="1" applyFill="1" applyBorder="1" applyAlignment="1">
      <alignment horizontal="left" vertical="top" wrapText="1" readingOrder="1"/>
    </xf>
    <xf numFmtId="9" fontId="59" fillId="19" borderId="4" xfId="22" applyNumberFormat="1" applyFont="1" applyFill="1" applyBorder="1" applyAlignment="1">
      <alignment horizontal="left" vertical="top" wrapText="1" readingOrder="1"/>
    </xf>
    <xf numFmtId="14" fontId="59" fillId="19" borderId="4" xfId="21" applyNumberFormat="1" applyFont="1" applyFill="1" applyBorder="1" applyAlignment="1">
      <alignment horizontal="left" vertical="top" wrapText="1" readingOrder="1"/>
    </xf>
    <xf numFmtId="14" fontId="60" fillId="19" borderId="4" xfId="21" applyNumberFormat="1" applyFont="1" applyFill="1" applyBorder="1" applyAlignment="1">
      <alignment horizontal="left" vertical="top" wrapText="1" readingOrder="1"/>
    </xf>
    <xf numFmtId="0" fontId="59" fillId="30" borderId="4" xfId="21" applyFont="1" applyFill="1" applyBorder="1" applyAlignment="1">
      <alignment horizontal="left" vertical="top" wrapText="1"/>
    </xf>
    <xf numFmtId="1" fontId="59" fillId="30" borderId="4" xfId="22" applyNumberFormat="1" applyFont="1" applyFill="1" applyBorder="1" applyAlignment="1">
      <alignment horizontal="left" vertical="top" wrapText="1" readingOrder="1"/>
    </xf>
    <xf numFmtId="1" fontId="92" fillId="8" borderId="30" xfId="1" applyNumberFormat="1" applyFont="1" applyFill="1" applyBorder="1" applyAlignment="1">
      <alignment horizontal="left" vertical="top" wrapText="1" readingOrder="1"/>
    </xf>
    <xf numFmtId="1" fontId="63" fillId="30" borderId="4" xfId="21" applyNumberFormat="1" applyFont="1" applyFill="1" applyBorder="1" applyAlignment="1">
      <alignment horizontal="left" vertical="top" wrapText="1" readingOrder="1"/>
    </xf>
    <xf numFmtId="14" fontId="62" fillId="30" borderId="4" xfId="21" applyNumberFormat="1" applyFont="1" applyFill="1" applyBorder="1" applyAlignment="1">
      <alignment horizontal="left" vertical="top" wrapText="1" readingOrder="1"/>
    </xf>
    <xf numFmtId="0" fontId="64" fillId="30" borderId="4" xfId="21" applyFont="1" applyFill="1" applyBorder="1" applyAlignment="1">
      <alignment horizontal="left" vertical="top" wrapText="1"/>
    </xf>
    <xf numFmtId="0" fontId="59" fillId="8" borderId="4" xfId="21" applyFont="1" applyFill="1" applyBorder="1" applyAlignment="1">
      <alignment horizontal="left" vertical="top" wrapText="1" readingOrder="1"/>
    </xf>
    <xf numFmtId="0" fontId="2" fillId="0" borderId="4" xfId="21" applyFill="1" applyBorder="1"/>
    <xf numFmtId="0" fontId="60" fillId="8" borderId="4" xfId="21" applyFont="1" applyFill="1" applyBorder="1" applyAlignment="1">
      <alignment horizontal="left" vertical="top" wrapText="1" readingOrder="1"/>
    </xf>
    <xf numFmtId="9" fontId="59" fillId="12" borderId="4" xfId="22" applyNumberFormat="1" applyFont="1" applyFill="1" applyBorder="1" applyAlignment="1">
      <alignment horizontal="left" vertical="top" wrapText="1" readingOrder="1"/>
    </xf>
    <xf numFmtId="9" fontId="62" fillId="32" borderId="4" xfId="22" applyNumberFormat="1" applyFont="1" applyFill="1" applyBorder="1" applyAlignment="1">
      <alignment horizontal="left" vertical="top" wrapText="1" readingOrder="1"/>
    </xf>
    <xf numFmtId="0" fontId="62" fillId="12" borderId="4" xfId="22" applyNumberFormat="1" applyFont="1" applyFill="1" applyBorder="1" applyAlignment="1">
      <alignment horizontal="left" vertical="top" wrapText="1" readingOrder="1"/>
    </xf>
    <xf numFmtId="0" fontId="61" fillId="32" borderId="4" xfId="21" applyFont="1" applyFill="1" applyBorder="1" applyAlignment="1">
      <alignment horizontal="left" vertical="top" wrapText="1"/>
    </xf>
    <xf numFmtId="1" fontId="62" fillId="12" borderId="4" xfId="21" applyNumberFormat="1" applyFont="1" applyFill="1" applyBorder="1" applyAlignment="1">
      <alignment horizontal="left" vertical="top" wrapText="1" readingOrder="1"/>
    </xf>
    <xf numFmtId="0" fontId="63" fillId="32" borderId="4" xfId="21" applyFont="1" applyFill="1" applyBorder="1" applyAlignment="1">
      <alignment horizontal="left" vertical="center" wrapText="1"/>
    </xf>
    <xf numFmtId="1" fontId="59" fillId="12" borderId="4" xfId="21" applyNumberFormat="1" applyFont="1" applyFill="1" applyBorder="1" applyAlignment="1">
      <alignment horizontal="left" vertical="top" wrapText="1" readingOrder="1"/>
    </xf>
    <xf numFmtId="0" fontId="59" fillId="32" borderId="4" xfId="21" applyFont="1" applyFill="1" applyBorder="1" applyAlignment="1">
      <alignment horizontal="left" vertical="top" wrapText="1"/>
    </xf>
    <xf numFmtId="9" fontId="62" fillId="12" borderId="4" xfId="21" applyNumberFormat="1" applyFont="1" applyFill="1" applyBorder="1" applyAlignment="1">
      <alignment horizontal="left" vertical="top" wrapText="1" readingOrder="1"/>
    </xf>
    <xf numFmtId="0" fontId="63" fillId="32" borderId="4" xfId="21" applyFont="1" applyFill="1" applyBorder="1" applyAlignment="1">
      <alignment horizontal="left" vertical="top" wrapText="1"/>
    </xf>
    <xf numFmtId="9" fontId="63" fillId="12" borderId="4" xfId="21" applyNumberFormat="1" applyFont="1" applyFill="1" applyBorder="1" applyAlignment="1">
      <alignment horizontal="left" vertical="top" wrapText="1" readingOrder="1"/>
    </xf>
    <xf numFmtId="9" fontId="59" fillId="12" borderId="4" xfId="21" applyNumberFormat="1" applyFont="1" applyFill="1" applyBorder="1" applyAlignment="1">
      <alignment horizontal="left" vertical="top" wrapText="1" readingOrder="1"/>
    </xf>
    <xf numFmtId="9" fontId="93" fillId="12" borderId="4" xfId="21" applyNumberFormat="1" applyFont="1" applyFill="1" applyBorder="1" applyAlignment="1">
      <alignment horizontal="left" vertical="top" wrapText="1" readingOrder="1"/>
    </xf>
    <xf numFmtId="9" fontId="92" fillId="19" borderId="15" xfId="21" applyNumberFormat="1" applyFont="1" applyFill="1" applyBorder="1" applyAlignment="1">
      <alignment horizontal="left" vertical="center" wrapText="1" readingOrder="1"/>
    </xf>
    <xf numFmtId="1" fontId="92" fillId="8" borderId="15" xfId="1" applyNumberFormat="1" applyFont="1" applyFill="1" applyBorder="1" applyAlignment="1">
      <alignment horizontal="left" vertical="center" wrapText="1" readingOrder="1"/>
    </xf>
    <xf numFmtId="165" fontId="21" fillId="0" borderId="0" xfId="0" applyNumberFormat="1" applyFont="1"/>
    <xf numFmtId="165" fontId="21" fillId="0" borderId="0" xfId="0" applyNumberFormat="1" applyFont="1" applyFill="1"/>
    <xf numFmtId="165" fontId="21" fillId="0" borderId="0" xfId="0" applyNumberFormat="1" applyFont="1" applyFill="1" applyBorder="1"/>
    <xf numFmtId="165" fontId="42" fillId="0" borderId="0" xfId="0" applyNumberFormat="1" applyFont="1" applyFill="1" applyBorder="1" applyAlignment="1">
      <alignment horizontal="left" vertical="center" wrapText="1" readingOrder="1"/>
    </xf>
    <xf numFmtId="0" fontId="94" fillId="9" borderId="0" xfId="0" applyFont="1" applyFill="1"/>
    <xf numFmtId="0" fontId="94" fillId="40" borderId="0" xfId="0" applyFont="1" applyFill="1"/>
    <xf numFmtId="0" fontId="1" fillId="0" borderId="0" xfId="0" applyFont="1"/>
    <xf numFmtId="0" fontId="15" fillId="0" borderId="0" xfId="0" applyFont="1"/>
    <xf numFmtId="0" fontId="1" fillId="0" borderId="0" xfId="0" applyFont="1" applyAlignment="1">
      <alignment horizontal="left"/>
    </xf>
    <xf numFmtId="9" fontId="1" fillId="0" borderId="0" xfId="0" applyNumberFormat="1" applyFont="1"/>
    <xf numFmtId="0" fontId="1" fillId="0" borderId="0" xfId="0" applyNumberFormat="1" applyFont="1"/>
    <xf numFmtId="0" fontId="1" fillId="0" borderId="0" xfId="0" applyFont="1" applyAlignment="1">
      <alignment wrapText="1"/>
    </xf>
    <xf numFmtId="164" fontId="1" fillId="0" borderId="0" xfId="0" applyNumberFormat="1" applyFont="1"/>
    <xf numFmtId="0" fontId="96" fillId="0" borderId="0" xfId="0" applyFont="1"/>
    <xf numFmtId="0" fontId="95" fillId="15" borderId="0" xfId="0" applyFont="1" applyFill="1"/>
    <xf numFmtId="1" fontId="1" fillId="0" borderId="0" xfId="0" applyNumberFormat="1" applyFont="1"/>
    <xf numFmtId="0" fontId="15" fillId="0" borderId="52" xfId="0" applyFont="1" applyBorder="1" applyAlignment="1">
      <alignment wrapText="1"/>
    </xf>
    <xf numFmtId="0" fontId="15" fillId="0" borderId="53" xfId="0" applyFont="1" applyBorder="1" applyAlignment="1">
      <alignment wrapText="1"/>
    </xf>
    <xf numFmtId="0" fontId="15" fillId="0" borderId="54" xfId="0" applyFont="1" applyBorder="1" applyAlignment="1">
      <alignment wrapText="1"/>
    </xf>
    <xf numFmtId="0" fontId="97" fillId="0" borderId="55" xfId="0" applyFont="1" applyBorder="1" applyAlignment="1">
      <alignment horizontal="left"/>
    </xf>
    <xf numFmtId="9" fontId="97" fillId="0" borderId="51" xfId="1" applyFont="1" applyBorder="1"/>
    <xf numFmtId="9" fontId="97" fillId="0" borderId="56" xfId="1" applyFont="1" applyBorder="1"/>
    <xf numFmtId="9" fontId="1" fillId="0" borderId="0" xfId="1" applyFont="1"/>
    <xf numFmtId="0" fontId="97" fillId="0" borderId="57" xfId="0" applyFont="1" applyBorder="1" applyAlignment="1">
      <alignment horizontal="left"/>
    </xf>
    <xf numFmtId="9" fontId="97" fillId="0" borderId="58" xfId="1" applyFont="1" applyBorder="1"/>
    <xf numFmtId="9" fontId="97" fillId="0" borderId="59" xfId="1" applyFont="1" applyBorder="1"/>
    <xf numFmtId="0" fontId="1" fillId="0" borderId="0" xfId="1" applyNumberFormat="1" applyFont="1"/>
    <xf numFmtId="0" fontId="15" fillId="0" borderId="53" xfId="0" applyFont="1" applyBorder="1"/>
    <xf numFmtId="0" fontId="15" fillId="0" borderId="54" xfId="0" applyFont="1" applyBorder="1"/>
    <xf numFmtId="0" fontId="97" fillId="0" borderId="51" xfId="0" applyNumberFormat="1" applyFont="1" applyBorder="1"/>
    <xf numFmtId="0" fontId="97" fillId="0" borderId="56" xfId="0" applyNumberFormat="1" applyFont="1" applyBorder="1"/>
    <xf numFmtId="0" fontId="97" fillId="0" borderId="58" xfId="0" applyNumberFormat="1" applyFont="1" applyBorder="1"/>
    <xf numFmtId="0" fontId="97" fillId="0" borderId="59" xfId="0" applyNumberFormat="1" applyFont="1" applyBorder="1"/>
    <xf numFmtId="0" fontId="1" fillId="0" borderId="0" xfId="0" applyFont="1" applyFill="1"/>
    <xf numFmtId="0" fontId="1" fillId="0" borderId="0" xfId="0" applyFont="1" applyFill="1" applyBorder="1" applyAlignment="1">
      <alignment horizontal="left"/>
    </xf>
    <xf numFmtId="0" fontId="1" fillId="0" borderId="0" xfId="0" applyNumberFormat="1" applyFont="1" applyFill="1" applyBorder="1"/>
    <xf numFmtId="9" fontId="1" fillId="0" borderId="0" xfId="0" applyNumberFormat="1" applyFont="1" applyFill="1"/>
    <xf numFmtId="0" fontId="1" fillId="0" borderId="0" xfId="0" applyNumberFormat="1" applyFont="1" applyFill="1"/>
    <xf numFmtId="0" fontId="1" fillId="18" borderId="47" xfId="0" applyFont="1" applyFill="1" applyBorder="1"/>
    <xf numFmtId="164" fontId="96" fillId="0" borderId="0" xfId="0" applyNumberFormat="1" applyFont="1"/>
    <xf numFmtId="0" fontId="1" fillId="20" borderId="0" xfId="0" applyFont="1" applyFill="1"/>
    <xf numFmtId="1" fontId="1" fillId="0" borderId="0" xfId="4" applyNumberFormat="1" applyFont="1"/>
    <xf numFmtId="164" fontId="1" fillId="0" borderId="0" xfId="4" applyNumberFormat="1" applyFont="1"/>
    <xf numFmtId="0" fontId="1" fillId="36" borderId="0" xfId="0" applyFont="1" applyFill="1"/>
    <xf numFmtId="0" fontId="15" fillId="11" borderId="0" xfId="0" applyFont="1" applyFill="1"/>
    <xf numFmtId="0" fontId="15" fillId="0" borderId="61" xfId="0" applyFont="1" applyBorder="1"/>
    <xf numFmtId="0" fontId="15" fillId="0" borderId="63" xfId="0" applyFont="1" applyBorder="1"/>
    <xf numFmtId="0" fontId="15" fillId="0" borderId="64" xfId="0" applyFont="1" applyBorder="1"/>
    <xf numFmtId="0" fontId="97" fillId="0" borderId="65" xfId="0" applyFont="1" applyBorder="1" applyAlignment="1">
      <alignment horizontal="left"/>
    </xf>
    <xf numFmtId="0" fontId="97" fillId="0" borderId="62" xfId="0" applyFont="1" applyBorder="1" applyAlignment="1">
      <alignment horizontal="left"/>
    </xf>
    <xf numFmtId="0" fontId="94" fillId="9" borderId="0" xfId="0" applyFont="1" applyFill="1" applyAlignment="1">
      <alignment horizontal="left"/>
    </xf>
    <xf numFmtId="9" fontId="94" fillId="9" borderId="0" xfId="0" applyNumberFormat="1" applyFont="1" applyFill="1"/>
    <xf numFmtId="0" fontId="94" fillId="9" borderId="0" xfId="0" applyNumberFormat="1" applyFont="1" applyFill="1"/>
    <xf numFmtId="0" fontId="89" fillId="0" borderId="0" xfId="0" applyFont="1"/>
    <xf numFmtId="0" fontId="79" fillId="0" borderId="0" xfId="0" applyFont="1"/>
    <xf numFmtId="0" fontId="95" fillId="31" borderId="72" xfId="0" applyFont="1" applyFill="1" applyBorder="1" applyAlignment="1">
      <alignment horizontal="left" vertical="center" wrapText="1"/>
    </xf>
    <xf numFmtId="0" fontId="95" fillId="31" borderId="70" xfId="0" applyFont="1" applyFill="1" applyBorder="1"/>
    <xf numFmtId="164" fontId="15" fillId="0" borderId="73" xfId="4" applyNumberFormat="1" applyFont="1" applyBorder="1"/>
    <xf numFmtId="164" fontId="15" fillId="0" borderId="74" xfId="4" applyNumberFormat="1" applyFont="1" applyBorder="1"/>
    <xf numFmtId="164" fontId="98" fillId="0" borderId="75" xfId="4" applyNumberFormat="1" applyFont="1" applyBorder="1" applyAlignment="1">
      <alignment horizontal="left" wrapText="1"/>
    </xf>
    <xf numFmtId="164" fontId="98" fillId="0" borderId="69" xfId="4" applyNumberFormat="1" applyFont="1" applyBorder="1" applyAlignment="1">
      <alignment horizontal="left" wrapText="1"/>
    </xf>
    <xf numFmtId="164" fontId="98" fillId="0" borderId="76" xfId="4" applyNumberFormat="1" applyFont="1" applyBorder="1" applyAlignment="1">
      <alignment horizontal="left" wrapText="1"/>
    </xf>
    <xf numFmtId="0" fontId="98" fillId="0" borderId="77" xfId="0" applyFont="1" applyBorder="1" applyAlignment="1">
      <alignment horizontal="left"/>
    </xf>
    <xf numFmtId="0" fontId="98" fillId="0" borderId="78" xfId="0" applyNumberFormat="1" applyFont="1" applyBorder="1"/>
    <xf numFmtId="0" fontId="98" fillId="0" borderId="79" xfId="0" applyNumberFormat="1" applyFont="1" applyBorder="1"/>
    <xf numFmtId="0" fontId="95" fillId="31" borderId="71" xfId="0" applyFont="1" applyFill="1" applyBorder="1"/>
    <xf numFmtId="0" fontId="98" fillId="0" borderId="0" xfId="0" applyFont="1" applyBorder="1" applyAlignment="1">
      <alignment horizontal="left"/>
    </xf>
    <xf numFmtId="0" fontId="98" fillId="0" borderId="0" xfId="0" applyNumberFormat="1" applyFont="1" applyBorder="1"/>
    <xf numFmtId="0" fontId="21" fillId="0" borderId="80" xfId="0" applyFont="1" applyFill="1" applyBorder="1"/>
    <xf numFmtId="0" fontId="21" fillId="0" borderId="81" xfId="0" applyFont="1" applyFill="1" applyBorder="1"/>
    <xf numFmtId="0" fontId="98" fillId="0" borderId="84" xfId="0" applyFont="1" applyBorder="1"/>
    <xf numFmtId="0" fontId="98" fillId="0" borderId="84" xfId="0" applyFont="1" applyBorder="1" applyAlignment="1">
      <alignment horizontal="left"/>
    </xf>
    <xf numFmtId="0" fontId="98" fillId="0" borderId="84" xfId="0" applyNumberFormat="1" applyFont="1" applyBorder="1"/>
    <xf numFmtId="0" fontId="99" fillId="41" borderId="86" xfId="0" applyFont="1" applyFill="1" applyBorder="1"/>
    <xf numFmtId="0" fontId="1" fillId="0" borderId="83" xfId="0" applyFont="1" applyBorder="1" applyAlignment="1">
      <alignment horizontal="left"/>
    </xf>
    <xf numFmtId="0" fontId="1" fillId="0" borderId="83" xfId="0" applyNumberFormat="1" applyFont="1" applyBorder="1"/>
    <xf numFmtId="0" fontId="1" fillId="0" borderId="87" xfId="0" applyFont="1" applyBorder="1" applyAlignment="1">
      <alignment horizontal="left"/>
    </xf>
    <xf numFmtId="0" fontId="1" fillId="0" borderId="87" xfId="0" applyNumberFormat="1" applyFont="1" applyBorder="1"/>
    <xf numFmtId="0" fontId="1" fillId="0" borderId="88" xfId="0" applyNumberFormat="1" applyFont="1" applyBorder="1"/>
    <xf numFmtId="0" fontId="1" fillId="0" borderId="89" xfId="0" applyNumberFormat="1" applyFont="1" applyBorder="1"/>
    <xf numFmtId="0" fontId="99" fillId="41" borderId="85" xfId="0" applyFont="1" applyFill="1" applyBorder="1"/>
    <xf numFmtId="0" fontId="99" fillId="10" borderId="0" xfId="0" applyFont="1" applyFill="1"/>
    <xf numFmtId="0" fontId="95" fillId="34" borderId="0" xfId="0" applyFont="1" applyFill="1"/>
    <xf numFmtId="0" fontId="94" fillId="15" borderId="0" xfId="0" applyFont="1" applyFill="1"/>
    <xf numFmtId="0" fontId="94" fillId="10" borderId="0" xfId="0" applyFont="1" applyFill="1"/>
    <xf numFmtId="0" fontId="89" fillId="36" borderId="0" xfId="0" applyFont="1" applyFill="1"/>
    <xf numFmtId="0" fontId="94" fillId="34" borderId="0" xfId="0" applyFont="1" applyFill="1"/>
    <xf numFmtId="0" fontId="89" fillId="11" borderId="0" xfId="0" applyFont="1" applyFill="1"/>
    <xf numFmtId="0" fontId="100" fillId="0" borderId="0" xfId="0" applyFont="1" applyBorder="1" applyAlignment="1">
      <alignment vertical="center"/>
    </xf>
    <xf numFmtId="0" fontId="101" fillId="0" borderId="0" xfId="0" applyFont="1"/>
    <xf numFmtId="164" fontId="1" fillId="33" borderId="0" xfId="4" applyNumberFormat="1" applyFont="1" applyFill="1" applyBorder="1" applyAlignment="1">
      <alignment vertical="center"/>
    </xf>
    <xf numFmtId="9" fontId="1" fillId="33" borderId="0" xfId="0" applyNumberFormat="1" applyFont="1" applyFill="1" applyBorder="1" applyAlignment="1">
      <alignment horizontal="center" vertical="center"/>
    </xf>
    <xf numFmtId="164" fontId="1" fillId="0" borderId="0" xfId="4" applyNumberFormat="1" applyFont="1" applyBorder="1" applyAlignment="1">
      <alignment vertical="center"/>
    </xf>
    <xf numFmtId="9" fontId="1" fillId="0" borderId="0" xfId="0" applyNumberFormat="1" applyFont="1" applyBorder="1" applyAlignment="1">
      <alignment horizontal="center" vertical="center"/>
    </xf>
    <xf numFmtId="164" fontId="15" fillId="0" borderId="0" xfId="0" applyNumberFormat="1" applyFont="1" applyBorder="1" applyAlignment="1">
      <alignment vertical="center"/>
    </xf>
    <xf numFmtId="9" fontId="15" fillId="33" borderId="0" xfId="0" applyNumberFormat="1" applyFont="1" applyFill="1" applyBorder="1" applyAlignment="1">
      <alignment horizontal="center" vertical="center"/>
    </xf>
    <xf numFmtId="0" fontId="1" fillId="33" borderId="0" xfId="0" applyFont="1" applyFill="1" applyBorder="1" applyAlignment="1">
      <alignment vertical="center"/>
    </xf>
    <xf numFmtId="0" fontId="1" fillId="0" borderId="0" xfId="0" applyFont="1" applyBorder="1" applyAlignment="1">
      <alignment vertical="center"/>
    </xf>
    <xf numFmtId="0" fontId="15" fillId="0" borderId="0" xfId="0"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vertical="center"/>
    </xf>
    <xf numFmtId="0" fontId="1" fillId="33" borderId="0" xfId="0" applyFont="1" applyFill="1" applyBorder="1" applyAlignment="1">
      <alignment horizontal="left" vertical="center"/>
    </xf>
    <xf numFmtId="167" fontId="9" fillId="0" borderId="0" xfId="0" applyNumberFormat="1" applyFont="1" applyFill="1" applyAlignment="1">
      <alignment horizontal="left" vertical="center" readingOrder="1"/>
    </xf>
    <xf numFmtId="0" fontId="59" fillId="12" borderId="15" xfId="1" applyNumberFormat="1" applyFont="1" applyFill="1" applyBorder="1" applyAlignment="1">
      <alignment horizontal="left" vertical="center" wrapText="1" readingOrder="1"/>
    </xf>
    <xf numFmtId="0" fontId="62" fillId="12" borderId="15" xfId="13" applyNumberFormat="1" applyFont="1" applyFill="1" applyBorder="1" applyAlignment="1">
      <alignment horizontal="left" vertical="center" wrapText="1" readingOrder="1"/>
    </xf>
    <xf numFmtId="0" fontId="59" fillId="12" borderId="15" xfId="13" applyNumberFormat="1" applyFont="1" applyFill="1" applyBorder="1" applyAlignment="1">
      <alignment horizontal="left" vertical="center" wrapText="1" readingOrder="1"/>
    </xf>
    <xf numFmtId="0" fontId="63" fillId="12" borderId="15" xfId="13" applyNumberFormat="1" applyFont="1" applyFill="1" applyBorder="1" applyAlignment="1">
      <alignment horizontal="left" vertical="center" wrapText="1" readingOrder="1"/>
    </xf>
    <xf numFmtId="0" fontId="93" fillId="12" borderId="15" xfId="21" applyNumberFormat="1" applyFont="1" applyFill="1" applyBorder="1" applyAlignment="1">
      <alignment horizontal="left" vertical="center" wrapText="1" readingOrder="1"/>
    </xf>
    <xf numFmtId="0" fontId="12" fillId="12" borderId="15" xfId="0" applyNumberFormat="1" applyFont="1" applyFill="1" applyBorder="1" applyAlignment="1">
      <alignment horizontal="left" vertical="top" wrapText="1" readingOrder="1"/>
    </xf>
    <xf numFmtId="0" fontId="34" fillId="10" borderId="15" xfId="0" applyNumberFormat="1" applyFont="1" applyFill="1" applyBorder="1" applyAlignment="1">
      <alignment vertical="top" wrapText="1"/>
    </xf>
    <xf numFmtId="0" fontId="23" fillId="10" borderId="15" xfId="1" applyNumberFormat="1" applyFont="1" applyFill="1" applyBorder="1" applyAlignment="1">
      <alignment horizontal="left" vertical="center" readingOrder="1"/>
    </xf>
    <xf numFmtId="0" fontId="23" fillId="10" borderId="15" xfId="0" applyNumberFormat="1" applyFont="1" applyFill="1" applyBorder="1" applyAlignment="1">
      <alignment horizontal="left" vertical="center" readingOrder="1"/>
    </xf>
    <xf numFmtId="0" fontId="9" fillId="12" borderId="15" xfId="0" applyNumberFormat="1" applyFont="1" applyFill="1" applyBorder="1" applyAlignment="1">
      <alignment horizontal="left" vertical="center" readingOrder="1"/>
    </xf>
    <xf numFmtId="0" fontId="17" fillId="12" borderId="15" xfId="0" applyNumberFormat="1" applyFont="1" applyFill="1" applyBorder="1" applyAlignment="1">
      <alignment horizontal="left" vertical="center" readingOrder="1"/>
    </xf>
    <xf numFmtId="0" fontId="9" fillId="12" borderId="15" xfId="1" applyNumberFormat="1" applyFont="1" applyFill="1" applyBorder="1" applyAlignment="1">
      <alignment horizontal="left" vertical="top" readingOrder="1"/>
    </xf>
    <xf numFmtId="0" fontId="34" fillId="10" borderId="15" xfId="0" applyNumberFormat="1" applyFont="1" applyFill="1" applyBorder="1" applyAlignment="1">
      <alignment vertical="top"/>
    </xf>
    <xf numFmtId="0" fontId="30" fillId="22" borderId="0" xfId="1" applyNumberFormat="1" applyFont="1" applyFill="1" applyBorder="1" applyAlignment="1">
      <alignment horizontal="center"/>
    </xf>
    <xf numFmtId="0" fontId="30" fillId="22" borderId="0" xfId="0" applyNumberFormat="1" applyFont="1" applyFill="1" applyBorder="1" applyAlignment="1">
      <alignment horizontal="center"/>
    </xf>
    <xf numFmtId="0" fontId="22" fillId="23" borderId="24" xfId="0" applyNumberFormat="1" applyFont="1" applyFill="1" applyBorder="1" applyAlignment="1">
      <alignment horizontal="left" vertical="top" readingOrder="1"/>
    </xf>
    <xf numFmtId="0" fontId="9" fillId="0" borderId="0" xfId="0" applyNumberFormat="1" applyFont="1" applyFill="1" applyBorder="1" applyAlignment="1">
      <alignment horizontal="left" vertical="center" readingOrder="1"/>
    </xf>
    <xf numFmtId="0" fontId="80" fillId="0" borderId="0" xfId="0" applyNumberFormat="1" applyFont="1" applyFill="1" applyAlignment="1">
      <alignment horizontal="left" vertical="center" readingOrder="1"/>
    </xf>
    <xf numFmtId="0" fontId="87" fillId="0" borderId="52" xfId="0" applyFont="1" applyBorder="1" applyAlignment="1">
      <alignment vertical="center" wrapText="1"/>
    </xf>
    <xf numFmtId="0" fontId="87" fillId="0" borderId="53" xfId="0" applyFont="1" applyBorder="1" applyAlignment="1">
      <alignment vertical="center" wrapText="1"/>
    </xf>
    <xf numFmtId="9" fontId="73" fillId="11" borderId="56" xfId="1" applyFont="1" applyFill="1" applyBorder="1"/>
    <xf numFmtId="9" fontId="73" fillId="8" borderId="56" xfId="1" applyFont="1" applyFill="1" applyBorder="1"/>
    <xf numFmtId="9" fontId="73" fillId="12" borderId="56" xfId="1" applyFont="1" applyFill="1" applyBorder="1"/>
    <xf numFmtId="9" fontId="73" fillId="12" borderId="59" xfId="1" applyFont="1" applyFill="1" applyBorder="1"/>
    <xf numFmtId="0" fontId="85" fillId="15" borderId="39" xfId="0" applyFont="1" applyFill="1" applyBorder="1" applyAlignment="1">
      <alignment horizontal="center" vertical="top" wrapText="1"/>
    </xf>
    <xf numFmtId="164" fontId="85" fillId="15" borderId="39" xfId="4" applyNumberFormat="1" applyFont="1" applyFill="1" applyBorder="1" applyAlignment="1">
      <alignment horizontal="center" vertical="top" wrapText="1"/>
    </xf>
    <xf numFmtId="164" fontId="86" fillId="11" borderId="39" xfId="4" applyNumberFormat="1" applyFont="1" applyFill="1" applyBorder="1" applyAlignment="1">
      <alignment horizontal="center" vertical="top" wrapText="1"/>
    </xf>
    <xf numFmtId="164" fontId="73" fillId="8" borderId="39" xfId="4" applyNumberFormat="1" applyFont="1" applyFill="1" applyBorder="1" applyAlignment="1">
      <alignment horizontal="center" vertical="top" wrapText="1"/>
    </xf>
    <xf numFmtId="0" fontId="85" fillId="9" borderId="39" xfId="0" applyFont="1" applyFill="1" applyBorder="1" applyAlignment="1">
      <alignment horizontal="center" vertical="top" wrapText="1"/>
    </xf>
    <xf numFmtId="164" fontId="85" fillId="9" borderId="39" xfId="4" applyNumberFormat="1" applyFont="1" applyFill="1" applyBorder="1" applyAlignment="1">
      <alignment horizontal="center" vertical="top" wrapText="1"/>
    </xf>
    <xf numFmtId="0" fontId="85" fillId="10" borderId="39" xfId="0" applyFont="1" applyFill="1" applyBorder="1" applyAlignment="1">
      <alignment horizontal="center" vertical="top" wrapText="1"/>
    </xf>
    <xf numFmtId="164" fontId="85" fillId="10" borderId="39" xfId="4" applyNumberFormat="1" applyFont="1" applyFill="1" applyBorder="1"/>
    <xf numFmtId="164" fontId="73" fillId="12" borderId="39" xfId="4" applyNumberFormat="1" applyFont="1" applyFill="1" applyBorder="1"/>
    <xf numFmtId="9" fontId="86" fillId="11" borderId="39" xfId="1" applyFont="1" applyFill="1" applyBorder="1" applyAlignment="1">
      <alignment horizontal="center" vertical="top" wrapText="1"/>
    </xf>
    <xf numFmtId="9" fontId="73" fillId="8" borderId="39" xfId="1" applyFont="1" applyFill="1" applyBorder="1" applyAlignment="1">
      <alignment horizontal="center" vertical="top" wrapText="1"/>
    </xf>
    <xf numFmtId="9" fontId="73" fillId="12" borderId="39" xfId="1" applyFont="1" applyFill="1" applyBorder="1" applyAlignment="1">
      <alignment horizontal="center" vertical="top" wrapText="1"/>
    </xf>
    <xf numFmtId="9" fontId="85" fillId="15" borderId="39" xfId="1" applyFont="1" applyFill="1" applyBorder="1"/>
    <xf numFmtId="9" fontId="85" fillId="9" borderId="39" xfId="1" applyFont="1" applyFill="1" applyBorder="1"/>
    <xf numFmtId="9" fontId="85" fillId="10" borderId="39" xfId="1" applyFont="1" applyFill="1" applyBorder="1"/>
    <xf numFmtId="0" fontId="73" fillId="0" borderId="0" xfId="0" applyFont="1" applyFill="1"/>
    <xf numFmtId="0" fontId="102" fillId="27" borderId="90" xfId="0" applyFont="1" applyFill="1" applyBorder="1"/>
    <xf numFmtId="0" fontId="94" fillId="43" borderId="0" xfId="0" applyFont="1" applyFill="1" applyAlignment="1">
      <alignment vertical="center"/>
    </xf>
    <xf numFmtId="1" fontId="104" fillId="0" borderId="0" xfId="0" applyNumberFormat="1" applyFont="1" applyFill="1"/>
    <xf numFmtId="0" fontId="104" fillId="0" borderId="0" xfId="0" applyFont="1" applyFill="1"/>
    <xf numFmtId="0" fontId="104" fillId="0" borderId="0" xfId="0" applyNumberFormat="1" applyFont="1" applyFill="1" applyAlignment="1">
      <alignment wrapText="1" readingOrder="1"/>
    </xf>
    <xf numFmtId="165" fontId="104" fillId="0" borderId="0" xfId="0" applyNumberFormat="1" applyFont="1" applyFill="1"/>
    <xf numFmtId="0" fontId="104" fillId="0" borderId="0" xfId="0" applyFont="1" applyFill="1" applyAlignment="1">
      <alignment wrapText="1" readingOrder="1"/>
    </xf>
    <xf numFmtId="0" fontId="104" fillId="0" borderId="0" xfId="0" applyNumberFormat="1" applyFont="1" applyFill="1" applyBorder="1"/>
    <xf numFmtId="0" fontId="103" fillId="0" borderId="0" xfId="0" applyNumberFormat="1" applyFont="1" applyFill="1"/>
    <xf numFmtId="0" fontId="105" fillId="0" borderId="0" xfId="9" applyFont="1" applyAlignment="1"/>
    <xf numFmtId="0" fontId="42" fillId="0" borderId="42" xfId="0" applyFont="1" applyFill="1" applyBorder="1" applyAlignment="1">
      <alignment horizontal="left" vertical="center" readingOrder="1"/>
    </xf>
    <xf numFmtId="0" fontId="21" fillId="0" borderId="82" xfId="0" applyFont="1" applyFill="1" applyBorder="1"/>
    <xf numFmtId="1" fontId="104" fillId="0" borderId="0" xfId="0" applyNumberFormat="1" applyFont="1" applyFill="1" applyBorder="1"/>
    <xf numFmtId="0" fontId="105" fillId="0" borderId="0" xfId="9" applyFont="1" applyFill="1" applyBorder="1" applyAlignment="1"/>
    <xf numFmtId="0" fontId="21" fillId="0" borderId="0" xfId="0" applyFont="1" applyBorder="1"/>
    <xf numFmtId="0" fontId="9" fillId="0" borderId="0" xfId="1" applyNumberFormat="1" applyFont="1" applyFill="1" applyBorder="1" applyAlignment="1">
      <alignment horizontal="left" vertical="center" readingOrder="1"/>
    </xf>
    <xf numFmtId="0" fontId="106" fillId="0" borderId="0" xfId="0" applyNumberFormat="1" applyFont="1" applyFill="1"/>
    <xf numFmtId="0" fontId="21" fillId="0" borderId="42" xfId="0" applyNumberFormat="1" applyFont="1" applyFill="1" applyBorder="1"/>
    <xf numFmtId="164" fontId="110" fillId="12" borderId="56" xfId="4" applyNumberFormat="1" applyFont="1" applyFill="1" applyBorder="1"/>
    <xf numFmtId="164" fontId="110" fillId="11" borderId="56" xfId="4" applyNumberFormat="1" applyFont="1" applyFill="1" applyBorder="1"/>
    <xf numFmtId="164" fontId="110" fillId="8" borderId="56" xfId="4" applyNumberFormat="1" applyFont="1" applyFill="1" applyBorder="1"/>
    <xf numFmtId="0" fontId="9" fillId="29" borderId="0" xfId="0" applyFont="1" applyFill="1" applyAlignment="1">
      <alignment horizontal="left" vertical="center" readingOrder="1"/>
    </xf>
    <xf numFmtId="1" fontId="21" fillId="0" borderId="43" xfId="0" applyNumberFormat="1" applyFont="1" applyFill="1" applyBorder="1"/>
    <xf numFmtId="1" fontId="42" fillId="0" borderId="0" xfId="0" applyNumberFormat="1" applyFont="1" applyFill="1" applyBorder="1" applyAlignment="1">
      <alignment horizontal="left" vertical="center" readingOrder="1"/>
    </xf>
    <xf numFmtId="0" fontId="25" fillId="6" borderId="28" xfId="0" applyFont="1" applyFill="1" applyBorder="1" applyAlignment="1">
      <alignment vertical="center"/>
    </xf>
    <xf numFmtId="0" fontId="22" fillId="12" borderId="25" xfId="0" applyNumberFormat="1" applyFont="1" applyFill="1" applyBorder="1" applyAlignment="1">
      <alignment horizontal="left" vertical="top" wrapText="1" readingOrder="1"/>
    </xf>
    <xf numFmtId="0" fontId="34" fillId="19" borderId="96" xfId="0" applyFont="1" applyFill="1" applyBorder="1" applyAlignment="1">
      <alignment vertical="top" wrapText="1"/>
    </xf>
    <xf numFmtId="0" fontId="23" fillId="10" borderId="25" xfId="0" applyNumberFormat="1" applyFont="1" applyFill="1" applyBorder="1" applyAlignment="1">
      <alignment horizontal="left" vertical="center" readingOrder="1"/>
    </xf>
    <xf numFmtId="0" fontId="17" fillId="12" borderId="25" xfId="0" applyNumberFormat="1" applyFont="1" applyFill="1" applyBorder="1" applyAlignment="1">
      <alignment horizontal="left" vertical="center" readingOrder="1"/>
    </xf>
    <xf numFmtId="0" fontId="17" fillId="12" borderId="25" xfId="0" applyNumberFormat="1" applyFont="1" applyFill="1" applyBorder="1" applyAlignment="1">
      <alignment horizontal="left" vertical="top" readingOrder="1"/>
    </xf>
    <xf numFmtId="0" fontId="34" fillId="19" borderId="97" xfId="0" applyFont="1" applyFill="1" applyBorder="1" applyAlignment="1">
      <alignment vertical="top" wrapText="1"/>
    </xf>
    <xf numFmtId="0" fontId="34" fillId="19" borderId="46" xfId="0" applyFont="1" applyFill="1" applyBorder="1" applyAlignment="1">
      <alignment vertical="top" wrapText="1"/>
    </xf>
    <xf numFmtId="1" fontId="34" fillId="19" borderId="98" xfId="0" applyNumberFormat="1" applyFont="1" applyFill="1" applyBorder="1" applyAlignment="1">
      <alignment vertical="top" wrapText="1"/>
    </xf>
    <xf numFmtId="1" fontId="34" fillId="6" borderId="0" xfId="0" applyNumberFormat="1" applyFont="1" applyFill="1" applyBorder="1" applyAlignment="1">
      <alignment vertical="top"/>
    </xf>
    <xf numFmtId="1" fontId="34" fillId="34" borderId="100" xfId="0" applyNumberFormat="1" applyFont="1" applyFill="1" applyBorder="1" applyAlignment="1">
      <alignment vertical="top" wrapText="1"/>
    </xf>
    <xf numFmtId="0" fontId="25" fillId="6" borderId="101" xfId="0" applyFont="1" applyFill="1" applyBorder="1" applyAlignment="1">
      <alignment vertical="center"/>
    </xf>
    <xf numFmtId="0" fontId="58" fillId="19" borderId="15" xfId="0" applyFont="1" applyFill="1" applyBorder="1" applyAlignment="1">
      <alignment vertical="top" wrapText="1"/>
    </xf>
    <xf numFmtId="1" fontId="34" fillId="34" borderId="15" xfId="1" applyNumberFormat="1" applyFont="1" applyFill="1" applyBorder="1" applyAlignment="1">
      <alignment vertical="top" wrapText="1"/>
    </xf>
    <xf numFmtId="0" fontId="34" fillId="19" borderId="15" xfId="0" applyFont="1" applyFill="1" applyBorder="1" applyAlignment="1">
      <alignment vertical="top"/>
    </xf>
    <xf numFmtId="1" fontId="34" fillId="19" borderId="15" xfId="0" applyNumberFormat="1" applyFont="1" applyFill="1" applyBorder="1" applyAlignment="1">
      <alignment vertical="top"/>
    </xf>
    <xf numFmtId="9" fontId="34" fillId="19" borderId="15" xfId="0" applyNumberFormat="1" applyFont="1" applyFill="1" applyBorder="1" applyAlignment="1">
      <alignment vertical="top"/>
    </xf>
    <xf numFmtId="1" fontId="34" fillId="6" borderId="15" xfId="0" applyNumberFormat="1" applyFont="1" applyFill="1" applyBorder="1" applyAlignment="1">
      <alignment vertical="top"/>
    </xf>
    <xf numFmtId="1" fontId="34" fillId="19" borderId="25" xfId="0" applyNumberFormat="1" applyFont="1" applyFill="1" applyBorder="1" applyAlignment="1">
      <alignment vertical="top" wrapText="1"/>
    </xf>
    <xf numFmtId="1" fontId="34" fillId="19" borderId="26" xfId="0" applyNumberFormat="1" applyFont="1" applyFill="1" applyBorder="1" applyAlignment="1">
      <alignment vertical="top" wrapText="1"/>
    </xf>
    <xf numFmtId="0" fontId="23" fillId="19" borderId="102" xfId="0" applyFont="1" applyFill="1" applyBorder="1" applyAlignment="1">
      <alignment vertical="top" wrapText="1"/>
    </xf>
    <xf numFmtId="1" fontId="23" fillId="19" borderId="103" xfId="0" applyNumberFormat="1" applyFont="1" applyFill="1" applyBorder="1" applyAlignment="1">
      <alignment vertical="top" wrapText="1"/>
    </xf>
    <xf numFmtId="0" fontId="34" fillId="19" borderId="50" xfId="0" applyFont="1" applyFill="1" applyBorder="1" applyAlignment="1">
      <alignment vertical="top"/>
    </xf>
    <xf numFmtId="1" fontId="34" fillId="19" borderId="104" xfId="0" applyNumberFormat="1" applyFont="1" applyFill="1" applyBorder="1" applyAlignment="1">
      <alignment vertical="top" wrapText="1"/>
    </xf>
    <xf numFmtId="0" fontId="23" fillId="19" borderId="105" xfId="0" applyFont="1" applyFill="1" applyBorder="1" applyAlignment="1">
      <alignment vertical="top"/>
    </xf>
    <xf numFmtId="1" fontId="23" fillId="19" borderId="106" xfId="0" applyNumberFormat="1" applyFont="1" applyFill="1" applyBorder="1" applyAlignment="1">
      <alignment vertical="top"/>
    </xf>
    <xf numFmtId="1" fontId="34" fillId="19" borderId="103" xfId="0" applyNumberFormat="1" applyFont="1" applyFill="1" applyBorder="1" applyAlignment="1">
      <alignment vertical="top" wrapText="1"/>
    </xf>
    <xf numFmtId="1" fontId="34" fillId="19" borderId="110" xfId="0" applyNumberFormat="1" applyFont="1" applyFill="1" applyBorder="1" applyAlignment="1">
      <alignment vertical="top"/>
    </xf>
    <xf numFmtId="0" fontId="34" fillId="19" borderId="111" xfId="0" applyFont="1" applyFill="1" applyBorder="1" applyAlignment="1">
      <alignment vertical="top" wrapText="1"/>
    </xf>
    <xf numFmtId="0" fontId="34" fillId="19" borderId="102" xfId="0" applyFont="1" applyFill="1" applyBorder="1" applyAlignment="1">
      <alignment vertical="top" wrapText="1"/>
    </xf>
    <xf numFmtId="0" fontId="34" fillId="19" borderId="112" xfId="0" applyFont="1" applyFill="1" applyBorder="1" applyAlignment="1">
      <alignment vertical="top" wrapText="1"/>
    </xf>
    <xf numFmtId="0" fontId="34" fillId="19" borderId="50" xfId="0" applyFont="1" applyFill="1" applyBorder="1" applyAlignment="1">
      <alignment vertical="top" wrapText="1"/>
    </xf>
    <xf numFmtId="0" fontId="34" fillId="19" borderId="15" xfId="0" applyFont="1" applyFill="1" applyBorder="1" applyAlignment="1">
      <alignment vertical="top" wrapText="1"/>
    </xf>
    <xf numFmtId="0" fontId="34" fillId="7" borderId="15" xfId="0" applyFont="1" applyFill="1" applyBorder="1" applyAlignment="1">
      <alignment vertical="top" wrapText="1"/>
    </xf>
    <xf numFmtId="1" fontId="34" fillId="7" borderId="15" xfId="0" applyNumberFormat="1" applyFont="1" applyFill="1" applyBorder="1" applyAlignment="1">
      <alignment vertical="top" wrapText="1"/>
    </xf>
    <xf numFmtId="1" fontId="24" fillId="34" borderId="15" xfId="0" applyNumberFormat="1" applyFont="1" applyFill="1" applyBorder="1" applyAlignment="1">
      <alignment horizontal="left" vertical="center" readingOrder="1"/>
    </xf>
    <xf numFmtId="1" fontId="24" fillId="7" borderId="15" xfId="0" applyNumberFormat="1" applyFont="1" applyFill="1" applyBorder="1" applyAlignment="1">
      <alignment horizontal="left" vertical="center" readingOrder="1"/>
    </xf>
    <xf numFmtId="0" fontId="34" fillId="7" borderId="15" xfId="0" applyFont="1" applyFill="1" applyBorder="1" applyAlignment="1">
      <alignment vertical="top"/>
    </xf>
    <xf numFmtId="1" fontId="34" fillId="7" borderId="15" xfId="0" applyNumberFormat="1" applyFont="1" applyFill="1" applyBorder="1" applyAlignment="1">
      <alignment vertical="top"/>
    </xf>
    <xf numFmtId="1" fontId="34" fillId="9" borderId="15" xfId="0" applyNumberFormat="1" applyFont="1" applyFill="1" applyBorder="1" applyAlignment="1">
      <alignment vertical="top"/>
    </xf>
    <xf numFmtId="0" fontId="25" fillId="9" borderId="15" xfId="0" applyFont="1" applyFill="1" applyBorder="1" applyAlignment="1">
      <alignment vertical="center" wrapText="1"/>
    </xf>
    <xf numFmtId="1" fontId="25" fillId="9" borderId="15" xfId="0" applyNumberFormat="1" applyFont="1" applyFill="1" applyBorder="1" applyAlignment="1">
      <alignment vertical="center" wrapText="1"/>
    </xf>
    <xf numFmtId="1" fontId="34" fillId="20" borderId="20" xfId="0" applyNumberFormat="1" applyFont="1" applyFill="1" applyBorder="1" applyAlignment="1">
      <alignment vertical="top"/>
    </xf>
    <xf numFmtId="9" fontId="34" fillId="10" borderId="98" xfId="1" applyNumberFormat="1" applyFont="1" applyFill="1" applyBorder="1" applyAlignment="1">
      <alignment vertical="top" wrapText="1"/>
    </xf>
    <xf numFmtId="9" fontId="25" fillId="10" borderId="25" xfId="1" applyFont="1" applyFill="1" applyBorder="1" applyAlignment="1">
      <alignment vertical="center" wrapText="1"/>
    </xf>
    <xf numFmtId="9" fontId="32" fillId="10" borderId="25" xfId="1" applyFont="1" applyFill="1" applyBorder="1"/>
    <xf numFmtId="1" fontId="34" fillId="10" borderId="96" xfId="0" applyNumberFormat="1" applyFont="1" applyFill="1" applyBorder="1" applyAlignment="1">
      <alignment vertical="top" wrapText="1"/>
    </xf>
    <xf numFmtId="1" fontId="25" fillId="10" borderId="26" xfId="0" applyNumberFormat="1" applyFont="1" applyFill="1" applyBorder="1" applyAlignment="1">
      <alignment vertical="center" wrapText="1"/>
    </xf>
    <xf numFmtId="1" fontId="32" fillId="10" borderId="26" xfId="4" applyNumberFormat="1" applyFont="1" applyFill="1" applyBorder="1"/>
    <xf numFmtId="9" fontId="34" fillId="10" borderId="114" xfId="1" applyNumberFormat="1" applyFont="1" applyFill="1" applyBorder="1" applyAlignment="1">
      <alignment vertical="top" wrapText="1"/>
    </xf>
    <xf numFmtId="9" fontId="25" fillId="10" borderId="49" xfId="1" applyFont="1" applyFill="1" applyBorder="1" applyAlignment="1">
      <alignment vertical="center" wrapText="1"/>
    </xf>
    <xf numFmtId="9" fontId="113" fillId="10" borderId="49" xfId="1" applyFont="1" applyFill="1" applyBorder="1"/>
    <xf numFmtId="1" fontId="34" fillId="20" borderId="21" xfId="0" applyNumberFormat="1" applyFont="1" applyFill="1" applyBorder="1" applyAlignment="1">
      <alignment vertical="top"/>
    </xf>
    <xf numFmtId="9" fontId="34" fillId="10" borderId="115" xfId="0" applyNumberFormat="1" applyFont="1" applyFill="1" applyBorder="1" applyAlignment="1">
      <alignment vertical="top"/>
    </xf>
    <xf numFmtId="0" fontId="104" fillId="0" borderId="42" xfId="0" applyNumberFormat="1" applyFont="1" applyFill="1" applyBorder="1"/>
    <xf numFmtId="1" fontId="104" fillId="0" borderId="43" xfId="0" applyNumberFormat="1" applyFont="1" applyFill="1" applyBorder="1"/>
    <xf numFmtId="0" fontId="42" fillId="0" borderId="43" xfId="0" applyFont="1" applyFill="1" applyBorder="1" applyAlignment="1">
      <alignment horizontal="left" vertical="center" readingOrder="1"/>
    </xf>
    <xf numFmtId="0" fontId="9" fillId="44" borderId="0" xfId="0" applyFont="1" applyFill="1" applyAlignment="1">
      <alignment horizontal="left" vertical="center" readingOrder="1"/>
    </xf>
    <xf numFmtId="164" fontId="73" fillId="0" borderId="0" xfId="4" applyNumberFormat="1" applyFont="1"/>
    <xf numFmtId="0" fontId="9" fillId="45" borderId="0" xfId="0" applyFont="1" applyFill="1" applyAlignment="1">
      <alignment horizontal="left" vertical="center" readingOrder="1"/>
    </xf>
    <xf numFmtId="0" fontId="114" fillId="0" borderId="0" xfId="0" applyFont="1"/>
    <xf numFmtId="0" fontId="0" fillId="45" borderId="0" xfId="0" applyFill="1"/>
    <xf numFmtId="9" fontId="1" fillId="33" borderId="47" xfId="0" applyNumberFormat="1" applyFont="1" applyFill="1" applyBorder="1" applyAlignment="1">
      <alignment horizontal="center" vertical="center"/>
    </xf>
    <xf numFmtId="0" fontId="21" fillId="0" borderId="117" xfId="0" applyFont="1" applyBorder="1" applyAlignment="1">
      <alignment vertical="center" wrapText="1"/>
    </xf>
    <xf numFmtId="0" fontId="81" fillId="37" borderId="90" xfId="0" applyFont="1" applyFill="1" applyBorder="1" applyAlignment="1">
      <alignment horizontal="center" vertical="center"/>
    </xf>
    <xf numFmtId="0" fontId="81" fillId="37" borderId="90" xfId="0" applyFont="1" applyFill="1" applyBorder="1" applyAlignment="1">
      <alignment horizontal="center" vertical="center" wrapText="1"/>
    </xf>
    <xf numFmtId="0" fontId="81" fillId="37" borderId="118" xfId="0" applyFont="1" applyFill="1" applyBorder="1" applyAlignment="1">
      <alignment horizontal="center" vertical="center" wrapText="1"/>
    </xf>
    <xf numFmtId="9" fontId="1" fillId="33" borderId="35" xfId="0" applyNumberFormat="1" applyFont="1" applyFill="1" applyBorder="1" applyAlignment="1">
      <alignment horizontal="center" vertical="center"/>
    </xf>
    <xf numFmtId="9" fontId="1" fillId="33" borderId="120" xfId="0" applyNumberFormat="1" applyFont="1" applyFill="1" applyBorder="1" applyAlignment="1">
      <alignment horizontal="center" vertical="center"/>
    </xf>
    <xf numFmtId="9" fontId="1" fillId="0" borderId="35" xfId="0" applyNumberFormat="1" applyFont="1" applyBorder="1" applyAlignment="1">
      <alignment horizontal="center" vertical="center"/>
    </xf>
    <xf numFmtId="9" fontId="1" fillId="0" borderId="120" xfId="0" applyNumberFormat="1" applyFont="1" applyBorder="1" applyAlignment="1">
      <alignment horizontal="center" vertical="center"/>
    </xf>
    <xf numFmtId="9" fontId="1" fillId="33" borderId="116" xfId="0" applyNumberFormat="1" applyFont="1" applyFill="1" applyBorder="1" applyAlignment="1">
      <alignment horizontal="center" vertical="center"/>
    </xf>
    <xf numFmtId="9" fontId="1" fillId="33" borderId="122" xfId="0" applyNumberFormat="1" applyFont="1" applyFill="1" applyBorder="1" applyAlignment="1">
      <alignment horizontal="center" vertical="center"/>
    </xf>
    <xf numFmtId="0" fontId="1" fillId="33" borderId="125" xfId="0" applyFont="1" applyFill="1" applyBorder="1" applyAlignment="1">
      <alignment vertical="center"/>
    </xf>
    <xf numFmtId="0" fontId="1" fillId="0" borderId="125" xfId="0" applyFont="1" applyBorder="1" applyAlignment="1">
      <alignment vertical="center"/>
    </xf>
    <xf numFmtId="9" fontId="1" fillId="33" borderId="126" xfId="0" applyNumberFormat="1" applyFont="1" applyFill="1" applyBorder="1" applyAlignment="1">
      <alignment horizontal="center" vertical="center"/>
    </xf>
    <xf numFmtId="9" fontId="1" fillId="0" borderId="126" xfId="0" applyNumberFormat="1" applyFont="1" applyBorder="1" applyAlignment="1">
      <alignment horizontal="center" vertical="center"/>
    </xf>
    <xf numFmtId="0" fontId="15" fillId="0" borderId="127" xfId="0" applyFont="1" applyBorder="1" applyAlignment="1">
      <alignment horizontal="left" vertical="center"/>
    </xf>
    <xf numFmtId="0" fontId="15" fillId="0" borderId="128" xfId="0" applyFont="1" applyBorder="1" applyAlignment="1">
      <alignment vertical="center"/>
    </xf>
    <xf numFmtId="9" fontId="15" fillId="33" borderId="128" xfId="0" applyNumberFormat="1" applyFont="1" applyFill="1" applyBorder="1" applyAlignment="1">
      <alignment horizontal="center" vertical="center"/>
    </xf>
    <xf numFmtId="9" fontId="15" fillId="33" borderId="129" xfId="0" applyNumberFormat="1" applyFont="1" applyFill="1" applyBorder="1" applyAlignment="1">
      <alignment horizontal="center" vertical="center"/>
    </xf>
    <xf numFmtId="164" fontId="100" fillId="0" borderId="128" xfId="0" applyNumberFormat="1" applyFont="1" applyBorder="1" applyAlignment="1">
      <alignment vertical="center"/>
    </xf>
    <xf numFmtId="0" fontId="21" fillId="0" borderId="133" xfId="0" applyFont="1" applyBorder="1" applyAlignment="1">
      <alignment vertical="center" wrapText="1"/>
    </xf>
    <xf numFmtId="0" fontId="81" fillId="37" borderId="134" xfId="0" applyFont="1" applyFill="1" applyBorder="1" applyAlignment="1">
      <alignment horizontal="center" vertical="center"/>
    </xf>
    <xf numFmtId="0" fontId="81" fillId="37" borderId="134" xfId="0" applyFont="1" applyFill="1" applyBorder="1" applyAlignment="1">
      <alignment horizontal="center" vertical="center" wrapText="1"/>
    </xf>
    <xf numFmtId="0" fontId="81" fillId="37" borderId="132" xfId="0" applyFont="1" applyFill="1" applyBorder="1" applyAlignment="1">
      <alignment horizontal="center" vertical="center" wrapText="1"/>
    </xf>
    <xf numFmtId="9" fontId="1" fillId="33" borderId="135" xfId="0" applyNumberFormat="1" applyFont="1" applyFill="1" applyBorder="1" applyAlignment="1">
      <alignment horizontal="center" vertical="center"/>
    </xf>
    <xf numFmtId="9" fontId="1" fillId="33" borderId="130" xfId="0" applyNumberFormat="1" applyFont="1" applyFill="1" applyBorder="1" applyAlignment="1">
      <alignment horizontal="center" vertical="center"/>
    </xf>
    <xf numFmtId="164" fontId="85" fillId="38" borderId="35" xfId="4" applyNumberFormat="1" applyFont="1" applyFill="1" applyBorder="1" applyAlignment="1">
      <alignment vertical="center"/>
    </xf>
    <xf numFmtId="164" fontId="85" fillId="9" borderId="35" xfId="4" applyNumberFormat="1" applyFont="1" applyFill="1" applyBorder="1" applyAlignment="1">
      <alignment vertical="center"/>
    </xf>
    <xf numFmtId="164" fontId="85" fillId="15" borderId="35" xfId="4" applyNumberFormat="1" applyFont="1" applyFill="1" applyBorder="1" applyAlignment="1">
      <alignment vertical="center"/>
    </xf>
    <xf numFmtId="164" fontId="85" fillId="9" borderId="35" xfId="4" applyNumberFormat="1" applyFont="1" applyFill="1" applyBorder="1" applyAlignment="1">
      <alignment horizontal="center" vertical="center" wrapText="1"/>
    </xf>
    <xf numFmtId="164" fontId="1" fillId="0" borderId="47" xfId="4" applyNumberFormat="1" applyFont="1" applyBorder="1" applyAlignment="1">
      <alignment vertical="center"/>
    </xf>
    <xf numFmtId="164" fontId="1" fillId="33" borderId="47" xfId="4" applyNumberFormat="1" applyFont="1" applyFill="1" applyBorder="1" applyAlignment="1">
      <alignment vertical="center"/>
    </xf>
    <xf numFmtId="0" fontId="15" fillId="0" borderId="123" xfId="0" applyFont="1" applyBorder="1" applyAlignment="1">
      <alignment horizontal="left" vertical="center"/>
    </xf>
    <xf numFmtId="0" fontId="15" fillId="0" borderId="124" xfId="0" applyFont="1" applyBorder="1" applyAlignment="1">
      <alignment vertical="center"/>
    </xf>
    <xf numFmtId="164" fontId="15" fillId="0" borderId="124" xfId="0" applyNumberFormat="1" applyFont="1" applyBorder="1" applyAlignment="1">
      <alignment vertical="center"/>
    </xf>
    <xf numFmtId="164" fontId="1" fillId="0" borderId="135" xfId="4" applyNumberFormat="1" applyFont="1" applyBorder="1" applyAlignment="1">
      <alignment vertical="center"/>
    </xf>
    <xf numFmtId="0" fontId="1" fillId="0" borderId="119" xfId="0" applyFont="1" applyBorder="1" applyAlignment="1">
      <alignment vertical="center"/>
    </xf>
    <xf numFmtId="164" fontId="1" fillId="0" borderId="35" xfId="4" applyNumberFormat="1" applyFont="1" applyBorder="1" applyAlignment="1">
      <alignment vertical="center"/>
    </xf>
    <xf numFmtId="0" fontId="1" fillId="0" borderId="121" xfId="0" applyFont="1" applyBorder="1" applyAlignment="1">
      <alignment vertical="center"/>
    </xf>
    <xf numFmtId="164" fontId="1" fillId="0" borderId="116" xfId="4" applyNumberFormat="1" applyFont="1" applyBorder="1" applyAlignment="1">
      <alignment vertical="center"/>
    </xf>
    <xf numFmtId="0" fontId="1" fillId="0" borderId="125" xfId="0" applyFont="1" applyBorder="1" applyAlignment="1">
      <alignment horizontal="left" vertical="center"/>
    </xf>
    <xf numFmtId="0" fontId="1" fillId="0" borderId="131" xfId="0" applyFont="1" applyBorder="1" applyAlignment="1">
      <alignment horizontal="left" vertical="center"/>
    </xf>
    <xf numFmtId="0" fontId="55" fillId="0" borderId="0" xfId="1" applyNumberFormat="1" applyFont="1" applyFill="1" applyAlignment="1">
      <alignment horizontal="left" vertical="center" readingOrder="1"/>
    </xf>
    <xf numFmtId="9" fontId="115" fillId="0" borderId="0" xfId="0" applyNumberFormat="1" applyFont="1" applyFill="1" applyAlignment="1">
      <alignment horizontal="center" vertical="center"/>
    </xf>
    <xf numFmtId="0" fontId="116" fillId="0" borderId="0" xfId="0" applyNumberFormat="1" applyFont="1" applyFill="1" applyAlignment="1">
      <alignment vertical="center"/>
    </xf>
    <xf numFmtId="0" fontId="115" fillId="0" borderId="0" xfId="4" applyNumberFormat="1" applyFont="1" applyFill="1" applyAlignment="1">
      <alignment vertical="center"/>
    </xf>
    <xf numFmtId="0" fontId="1" fillId="0" borderId="0" xfId="0" applyFont="1" applyAlignment="1">
      <alignment horizontal="left" vertical="center"/>
    </xf>
    <xf numFmtId="9" fontId="1" fillId="0" borderId="0" xfId="0" applyNumberFormat="1" applyFont="1" applyAlignment="1">
      <alignment vertical="center"/>
    </xf>
    <xf numFmtId="0" fontId="1" fillId="0" borderId="35" xfId="0" applyFont="1" applyBorder="1" applyAlignment="1">
      <alignment vertical="center"/>
    </xf>
    <xf numFmtId="0" fontId="1" fillId="0" borderId="116" xfId="0" applyFont="1" applyBorder="1" applyAlignment="1">
      <alignment vertical="center"/>
    </xf>
    <xf numFmtId="0" fontId="1" fillId="0" borderId="47" xfId="0" applyFont="1" applyBorder="1" applyAlignment="1">
      <alignment vertical="center"/>
    </xf>
    <xf numFmtId="0" fontId="1" fillId="0" borderId="135" xfId="0" applyFont="1" applyBorder="1" applyAlignment="1">
      <alignment vertical="center"/>
    </xf>
    <xf numFmtId="0" fontId="118" fillId="0" borderId="0" xfId="0" applyFont="1" applyFill="1" applyBorder="1" applyAlignment="1">
      <alignment horizontal="right" vertical="center"/>
    </xf>
    <xf numFmtId="49" fontId="118" fillId="0" borderId="0" xfId="0" applyNumberFormat="1" applyFont="1" applyFill="1" applyBorder="1" applyAlignment="1">
      <alignment horizontal="left" vertical="center"/>
    </xf>
    <xf numFmtId="1" fontId="91" fillId="11" borderId="4" xfId="21" applyNumberFormat="1" applyFont="1" applyFill="1" applyBorder="1" applyAlignment="1">
      <alignment horizontal="left" vertical="top" wrapText="1" readingOrder="1"/>
    </xf>
    <xf numFmtId="1" fontId="92" fillId="30" borderId="30" xfId="1" applyNumberFormat="1" applyFont="1" applyFill="1" applyBorder="1" applyAlignment="1">
      <alignment horizontal="left" vertical="top" wrapText="1" readingOrder="1"/>
    </xf>
    <xf numFmtId="0" fontId="91" fillId="30" borderId="4" xfId="21" applyFont="1" applyFill="1" applyBorder="1" applyAlignment="1">
      <alignment horizontal="left" vertical="top" wrapText="1" readingOrder="1"/>
    </xf>
    <xf numFmtId="9" fontId="92" fillId="12" borderId="4" xfId="21" applyNumberFormat="1" applyFont="1" applyFill="1" applyBorder="1" applyAlignment="1">
      <alignment horizontal="left" vertical="top" wrapText="1" readingOrder="1"/>
    </xf>
    <xf numFmtId="0" fontId="92" fillId="12" borderId="4" xfId="21" applyFont="1" applyFill="1" applyBorder="1" applyAlignment="1">
      <alignment wrapText="1"/>
    </xf>
    <xf numFmtId="43" fontId="91" fillId="19" borderId="15" xfId="4" applyFont="1" applyFill="1" applyBorder="1" applyAlignment="1">
      <alignment horizontal="left" vertical="center" wrapText="1" readingOrder="1"/>
    </xf>
    <xf numFmtId="0" fontId="91" fillId="8" borderId="15" xfId="21" applyFont="1" applyFill="1" applyBorder="1" applyAlignment="1">
      <alignment horizontal="left" vertical="center" wrapText="1" readingOrder="1"/>
    </xf>
    <xf numFmtId="0" fontId="119" fillId="12" borderId="15" xfId="21" applyNumberFormat="1" applyFont="1" applyFill="1" applyBorder="1" applyAlignment="1">
      <alignment horizontal="left" vertical="center" wrapText="1" readingOrder="1"/>
    </xf>
    <xf numFmtId="1" fontId="9" fillId="0" borderId="3" xfId="0" applyNumberFormat="1" applyFont="1" applyFill="1" applyBorder="1" applyAlignment="1">
      <alignment horizontal="left" vertical="center" readingOrder="1"/>
    </xf>
    <xf numFmtId="167" fontId="9" fillId="0" borderId="0" xfId="0" applyNumberFormat="1" applyFont="1" applyFill="1" applyBorder="1" applyAlignment="1">
      <alignment horizontal="left" vertical="center" readingOrder="1"/>
    </xf>
    <xf numFmtId="9" fontId="80" fillId="32" borderId="0" xfId="1" applyFont="1" applyFill="1" applyAlignment="1">
      <alignment horizontal="left" vertical="center" readingOrder="1"/>
    </xf>
    <xf numFmtId="0" fontId="80" fillId="32" borderId="0" xfId="0" applyFont="1" applyFill="1" applyAlignment="1">
      <alignment horizontal="left" vertical="center" readingOrder="1"/>
    </xf>
    <xf numFmtId="0" fontId="9" fillId="32" borderId="0" xfId="0" applyFont="1" applyFill="1" applyAlignment="1">
      <alignment horizontal="left" vertical="center" readingOrder="1"/>
    </xf>
    <xf numFmtId="1" fontId="80" fillId="32" borderId="0" xfId="1" applyNumberFormat="1" applyFont="1" applyFill="1" applyAlignment="1">
      <alignment horizontal="left" vertical="center" readingOrder="1"/>
    </xf>
    <xf numFmtId="0" fontId="9" fillId="32" borderId="29" xfId="0" applyNumberFormat="1" applyFont="1" applyFill="1" applyBorder="1" applyAlignment="1">
      <alignment horizontal="left" vertical="center" readingOrder="1"/>
    </xf>
    <xf numFmtId="0" fontId="9" fillId="32" borderId="0" xfId="0" applyNumberFormat="1" applyFont="1" applyFill="1" applyAlignment="1">
      <alignment horizontal="left" vertical="center" readingOrder="1"/>
    </xf>
    <xf numFmtId="1" fontId="80" fillId="32" borderId="0" xfId="0" applyNumberFormat="1" applyFont="1" applyFill="1" applyAlignment="1">
      <alignment horizontal="left" vertical="center" readingOrder="1"/>
    </xf>
    <xf numFmtId="9" fontId="9" fillId="32" borderId="0" xfId="1" applyFont="1" applyFill="1" applyBorder="1" applyAlignment="1">
      <alignment horizontal="left" vertical="center" readingOrder="1"/>
    </xf>
    <xf numFmtId="0" fontId="9" fillId="32" borderId="0" xfId="0" applyFont="1" applyFill="1" applyBorder="1" applyAlignment="1">
      <alignment horizontal="left" vertical="center" readingOrder="1"/>
    </xf>
    <xf numFmtId="0" fontId="9" fillId="32" borderId="0" xfId="0" applyNumberFormat="1" applyFont="1" applyFill="1" applyBorder="1" applyAlignment="1">
      <alignment horizontal="left" vertical="center" readingOrder="1"/>
    </xf>
    <xf numFmtId="1" fontId="9" fillId="32" borderId="0" xfId="0" applyNumberFormat="1" applyFont="1" applyFill="1" applyBorder="1" applyAlignment="1">
      <alignment horizontal="left" vertical="center" readingOrder="1"/>
    </xf>
    <xf numFmtId="9" fontId="65" fillId="32" borderId="0" xfId="1" applyFont="1" applyFill="1" applyBorder="1" applyAlignment="1">
      <alignment horizontal="left" vertical="center" readingOrder="1"/>
    </xf>
    <xf numFmtId="0" fontId="9" fillId="32" borderId="0" xfId="1" applyNumberFormat="1" applyFont="1" applyFill="1" applyBorder="1" applyAlignment="1">
      <alignment horizontal="left" vertical="center" readingOrder="1"/>
    </xf>
    <xf numFmtId="1" fontId="65" fillId="32" borderId="0" xfId="0" applyNumberFormat="1" applyFont="1" applyFill="1" applyBorder="1" applyAlignment="1">
      <alignment horizontal="left" vertical="center" readingOrder="1"/>
    </xf>
    <xf numFmtId="9" fontId="9" fillId="32" borderId="0" xfId="1" applyFont="1" applyFill="1" applyAlignment="1">
      <alignment horizontal="left" vertical="center" readingOrder="1"/>
    </xf>
    <xf numFmtId="1" fontId="9" fillId="32" borderId="0" xfId="0" applyNumberFormat="1" applyFont="1" applyFill="1" applyAlignment="1">
      <alignment horizontal="left" vertical="center" readingOrder="1"/>
    </xf>
    <xf numFmtId="1" fontId="9" fillId="32" borderId="0" xfId="1" applyNumberFormat="1" applyFont="1" applyFill="1" applyAlignment="1">
      <alignment horizontal="left" vertical="center" readingOrder="1"/>
    </xf>
    <xf numFmtId="9" fontId="76" fillId="32" borderId="0" xfId="1" applyFont="1" applyFill="1" applyAlignment="1">
      <alignment horizontal="left" vertical="center" readingOrder="1"/>
    </xf>
    <xf numFmtId="1" fontId="76" fillId="32" borderId="0" xfId="0" applyNumberFormat="1" applyFont="1" applyFill="1" applyAlignment="1">
      <alignment horizontal="left" vertical="center" readingOrder="1"/>
    </xf>
    <xf numFmtId="0" fontId="84" fillId="32" borderId="0" xfId="0" applyNumberFormat="1" applyFont="1" applyFill="1" applyBorder="1" applyAlignment="1">
      <alignment horizontal="left" vertical="center" readingOrder="1"/>
    </xf>
    <xf numFmtId="1" fontId="84" fillId="32" borderId="0" xfId="0" applyNumberFormat="1" applyFont="1" applyFill="1" applyBorder="1" applyAlignment="1">
      <alignment horizontal="left" vertical="center" readingOrder="1"/>
    </xf>
    <xf numFmtId="0" fontId="76" fillId="32" borderId="0" xfId="0" applyFont="1" applyFill="1" applyAlignment="1">
      <alignment horizontal="left" vertical="center" readingOrder="1"/>
    </xf>
    <xf numFmtId="9" fontId="74" fillId="32" borderId="0" xfId="1" applyFont="1" applyFill="1" applyBorder="1" applyAlignment="1">
      <alignment horizontal="left" vertical="center" readingOrder="1"/>
    </xf>
    <xf numFmtId="0" fontId="74" fillId="32" borderId="0" xfId="1" applyNumberFormat="1" applyFont="1" applyFill="1" applyBorder="1" applyAlignment="1">
      <alignment horizontal="left" vertical="center" readingOrder="1"/>
    </xf>
    <xf numFmtId="1" fontId="74" fillId="32" borderId="0" xfId="0" applyNumberFormat="1" applyFont="1" applyFill="1" applyBorder="1" applyAlignment="1">
      <alignment horizontal="left" vertical="center" readingOrder="1"/>
    </xf>
    <xf numFmtId="9" fontId="74" fillId="32" borderId="0" xfId="1" applyFont="1" applyFill="1" applyAlignment="1">
      <alignment horizontal="left" vertical="center" readingOrder="1"/>
    </xf>
    <xf numFmtId="0" fontId="74" fillId="32" borderId="0" xfId="0" applyFont="1" applyFill="1" applyAlignment="1">
      <alignment horizontal="left" vertical="center" readingOrder="1"/>
    </xf>
    <xf numFmtId="1" fontId="74" fillId="32" borderId="0" xfId="0" applyNumberFormat="1" applyFont="1" applyFill="1" applyAlignment="1">
      <alignment horizontal="left" vertical="center" readingOrder="1"/>
    </xf>
    <xf numFmtId="1" fontId="84" fillId="32" borderId="0" xfId="0" applyNumberFormat="1" applyFont="1" applyFill="1" applyAlignment="1">
      <alignment horizontal="left" vertical="center" readingOrder="1"/>
    </xf>
    <xf numFmtId="1" fontId="9" fillId="32" borderId="0" xfId="1" applyNumberFormat="1" applyFont="1" applyFill="1" applyBorder="1" applyAlignment="1">
      <alignment horizontal="left" vertical="center" readingOrder="1"/>
    </xf>
    <xf numFmtId="1" fontId="107" fillId="11" borderId="0" xfId="1" applyNumberFormat="1" applyFont="1" applyFill="1" applyBorder="1" applyAlignment="1">
      <alignment horizontal="left" vertical="center" readingOrder="1"/>
    </xf>
    <xf numFmtId="0" fontId="9" fillId="10" borderId="0" xfId="0" applyFont="1" applyFill="1" applyBorder="1" applyAlignment="1">
      <alignment horizontal="left" vertical="center" readingOrder="1"/>
    </xf>
    <xf numFmtId="164" fontId="9" fillId="8" borderId="0" xfId="4" applyNumberFormat="1" applyFont="1" applyFill="1" applyAlignment="1">
      <alignment horizontal="left" vertical="center" readingOrder="1"/>
    </xf>
    <xf numFmtId="0" fontId="120" fillId="0" borderId="0" xfId="0" applyFont="1"/>
    <xf numFmtId="0" fontId="9" fillId="34" borderId="0" xfId="0" applyFont="1" applyFill="1" applyBorder="1" applyAlignment="1">
      <alignment horizontal="left" vertical="center" readingOrder="1"/>
    </xf>
    <xf numFmtId="164" fontId="97" fillId="0" borderId="66" xfId="4" applyNumberFormat="1" applyFont="1" applyBorder="1"/>
    <xf numFmtId="164" fontId="97" fillId="0" borderId="67" xfId="4" applyNumberFormat="1" applyFont="1" applyBorder="1"/>
    <xf numFmtId="164" fontId="97" fillId="0" borderId="68" xfId="4" applyNumberFormat="1" applyFont="1" applyBorder="1"/>
    <xf numFmtId="164" fontId="9" fillId="11" borderId="0" xfId="4" applyNumberFormat="1" applyFont="1" applyFill="1" applyAlignment="1">
      <alignment horizontal="left" vertical="center" readingOrder="1"/>
    </xf>
    <xf numFmtId="1" fontId="9" fillId="10" borderId="0" xfId="0" applyNumberFormat="1" applyFont="1" applyFill="1" applyBorder="1" applyAlignment="1">
      <alignment horizontal="left" vertical="center" readingOrder="1"/>
    </xf>
    <xf numFmtId="164" fontId="9" fillId="12" borderId="0" xfId="4" applyNumberFormat="1" applyFont="1" applyFill="1" applyAlignment="1">
      <alignment horizontal="left" vertical="center" readingOrder="1"/>
    </xf>
    <xf numFmtId="164" fontId="9" fillId="12" borderId="0" xfId="4" applyNumberFormat="1" applyFont="1" applyFill="1" applyBorder="1" applyAlignment="1">
      <alignment horizontal="left" vertical="center" readingOrder="1"/>
    </xf>
    <xf numFmtId="1" fontId="9" fillId="12" borderId="0" xfId="0" applyNumberFormat="1" applyFont="1" applyFill="1" applyBorder="1" applyAlignment="1">
      <alignment horizontal="left" vertical="center" readingOrder="1"/>
    </xf>
    <xf numFmtId="164" fontId="9" fillId="11" borderId="0" xfId="4" applyNumberFormat="1" applyFont="1" applyFill="1" applyBorder="1" applyAlignment="1">
      <alignment horizontal="left" vertical="center" readingOrder="1"/>
    </xf>
    <xf numFmtId="167" fontId="9" fillId="46" borderId="0" xfId="0" applyNumberFormat="1" applyFont="1" applyFill="1" applyBorder="1" applyAlignment="1">
      <alignment horizontal="left" vertical="center" readingOrder="1"/>
    </xf>
    <xf numFmtId="1" fontId="121" fillId="0" borderId="0" xfId="0" applyNumberFormat="1" applyFont="1" applyFill="1"/>
    <xf numFmtId="0" fontId="122" fillId="0" borderId="0" xfId="0" applyNumberFormat="1" applyFont="1" applyFill="1"/>
    <xf numFmtId="0" fontId="121" fillId="0" borderId="0" xfId="0" applyFont="1" applyFill="1"/>
    <xf numFmtId="0" fontId="121" fillId="0" borderId="0" xfId="0" applyNumberFormat="1" applyFont="1" applyFill="1" applyAlignment="1">
      <alignment wrapText="1" readingOrder="1"/>
    </xf>
    <xf numFmtId="165" fontId="121" fillId="0" borderId="0" xfId="0" applyNumberFormat="1" applyFont="1" applyFill="1"/>
    <xf numFmtId="0" fontId="121" fillId="0" borderId="0" xfId="0" applyFont="1" applyFill="1" applyAlignment="1">
      <alignment wrapText="1" readingOrder="1"/>
    </xf>
    <xf numFmtId="0" fontId="121" fillId="0" borderId="0" xfId="0" applyNumberFormat="1" applyFont="1" applyFill="1" applyBorder="1"/>
    <xf numFmtId="1" fontId="121" fillId="0" borderId="0" xfId="0" applyNumberFormat="1" applyFont="1" applyFill="1" applyBorder="1"/>
    <xf numFmtId="0" fontId="104" fillId="0" borderId="81" xfId="0" applyNumberFormat="1" applyFont="1" applyFill="1" applyBorder="1"/>
    <xf numFmtId="1" fontId="9" fillId="34" borderId="0" xfId="1" applyNumberFormat="1" applyFont="1" applyFill="1" applyBorder="1" applyAlignment="1">
      <alignment horizontal="left" vertical="center" readingOrder="1"/>
    </xf>
    <xf numFmtId="0" fontId="1" fillId="0" borderId="0" xfId="0" applyFont="1" applyFill="1" applyAlignment="1">
      <alignment horizontal="left" vertical="center"/>
    </xf>
    <xf numFmtId="0" fontId="21" fillId="0" borderId="0" xfId="0" applyNumberFormat="1" applyFont="1" applyFill="1" applyAlignment="1">
      <alignment vertical="center"/>
    </xf>
    <xf numFmtId="0" fontId="1" fillId="0" borderId="0" xfId="4" applyNumberFormat="1" applyFont="1" applyFill="1" applyAlignment="1">
      <alignment vertical="center"/>
    </xf>
    <xf numFmtId="9" fontId="1" fillId="0" borderId="0" xfId="0" applyNumberFormat="1" applyFont="1" applyFill="1" applyAlignment="1">
      <alignment horizontal="center" vertical="center"/>
    </xf>
    <xf numFmtId="0" fontId="17" fillId="0" borderId="0" xfId="0" applyFont="1" applyFill="1" applyBorder="1" applyAlignment="1">
      <alignment horizontal="left" vertical="center" readingOrder="1"/>
    </xf>
    <xf numFmtId="0" fontId="21" fillId="11" borderId="0" xfId="0" applyFont="1" applyFill="1"/>
    <xf numFmtId="168" fontId="21" fillId="0" borderId="0" xfId="0" applyNumberFormat="1" applyFont="1" applyAlignment="1">
      <alignment wrapText="1"/>
    </xf>
    <xf numFmtId="164" fontId="9" fillId="11" borderId="0" xfId="4" applyNumberFormat="1" applyFont="1" applyFill="1" applyAlignment="1">
      <alignment vertical="center" readingOrder="1"/>
    </xf>
    <xf numFmtId="0" fontId="73" fillId="0" borderId="0" xfId="0" pivotButton="1" applyFont="1"/>
    <xf numFmtId="0" fontId="73" fillId="0" borderId="0" xfId="0" applyFont="1" applyAlignment="1">
      <alignment horizontal="left"/>
    </xf>
    <xf numFmtId="3" fontId="73" fillId="0" borderId="0" xfId="0" applyNumberFormat="1" applyFont="1"/>
    <xf numFmtId="0" fontId="73" fillId="0" borderId="0" xfId="0" applyNumberFormat="1" applyFont="1"/>
    <xf numFmtId="0" fontId="73" fillId="0" borderId="0" xfId="0" applyFont="1" applyAlignment="1">
      <alignment horizontal="left" wrapText="1"/>
    </xf>
    <xf numFmtId="3" fontId="85" fillId="15" borderId="0" xfId="0" applyNumberFormat="1" applyFont="1" applyFill="1"/>
    <xf numFmtId="3" fontId="85" fillId="9" borderId="0" xfId="0" applyNumberFormat="1" applyFont="1" applyFill="1"/>
    <xf numFmtId="164" fontId="85" fillId="9" borderId="0" xfId="0" applyNumberFormat="1" applyFont="1" applyFill="1"/>
    <xf numFmtId="164" fontId="85" fillId="38" borderId="0" xfId="0" applyNumberFormat="1" applyFont="1" applyFill="1"/>
    <xf numFmtId="0" fontId="85" fillId="15" borderId="39" xfId="0" applyFont="1" applyFill="1" applyBorder="1" applyAlignment="1">
      <alignment horizontal="center" vertical="center" wrapText="1"/>
    </xf>
    <xf numFmtId="0" fontId="85" fillId="9" borderId="39" xfId="0" applyFont="1" applyFill="1" applyBorder="1" applyAlignment="1">
      <alignment horizontal="center" vertical="center" wrapText="1"/>
    </xf>
    <xf numFmtId="0" fontId="85" fillId="9" borderId="0" xfId="0" applyFont="1" applyFill="1" applyAlignment="1">
      <alignment horizontal="center" vertical="center" wrapText="1"/>
    </xf>
    <xf numFmtId="0" fontId="85" fillId="38" borderId="0" xfId="0" applyFont="1" applyFill="1" applyAlignment="1">
      <alignment horizontal="center" vertical="center" wrapText="1"/>
    </xf>
    <xf numFmtId="164" fontId="85" fillId="15" borderId="0" xfId="0" applyNumberFormat="1" applyFont="1" applyFill="1"/>
    <xf numFmtId="164" fontId="85" fillId="38" borderId="0" xfId="0" applyNumberFormat="1" applyFont="1" applyFill="1" applyAlignment="1">
      <alignment horizontal="center" vertical="center" wrapText="1"/>
    </xf>
    <xf numFmtId="3" fontId="85" fillId="15" borderId="0" xfId="0" applyNumberFormat="1" applyFont="1" applyFill="1" applyAlignment="1">
      <alignment horizontal="right" vertical="center"/>
    </xf>
    <xf numFmtId="3" fontId="85" fillId="9" borderId="0" xfId="0" applyNumberFormat="1" applyFont="1" applyFill="1" applyAlignment="1">
      <alignment horizontal="right" vertical="center"/>
    </xf>
    <xf numFmtId="164" fontId="85" fillId="38" borderId="0" xfId="0" applyNumberFormat="1" applyFont="1" applyFill="1" applyAlignment="1">
      <alignment horizontal="right" vertical="center"/>
    </xf>
    <xf numFmtId="0" fontId="73" fillId="0" borderId="0" xfId="0" pivotButton="1" applyFont="1" applyAlignment="1">
      <alignment wrapText="1"/>
    </xf>
    <xf numFmtId="0" fontId="102" fillId="27" borderId="0" xfId="0" applyFont="1" applyFill="1"/>
    <xf numFmtId="0" fontId="1" fillId="0" borderId="0" xfId="0" pivotButton="1" applyFont="1"/>
    <xf numFmtId="0" fontId="1" fillId="0" borderId="0" xfId="0" pivotButton="1" applyFont="1" applyAlignment="1">
      <alignment wrapText="1"/>
    </xf>
    <xf numFmtId="0" fontId="1" fillId="0" borderId="0" xfId="0" pivotButton="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95" fillId="42" borderId="0" xfId="0" applyFont="1" applyFill="1" applyAlignment="1">
      <alignment wrapText="1"/>
    </xf>
    <xf numFmtId="0" fontId="95" fillId="42" borderId="0" xfId="0" applyFont="1" applyFill="1"/>
    <xf numFmtId="0" fontId="95" fillId="42" borderId="0" xfId="0" applyFont="1" applyFill="1" applyAlignment="1"/>
    <xf numFmtId="0" fontId="95" fillId="31" borderId="0" xfId="0" applyFont="1" applyFill="1"/>
    <xf numFmtId="3" fontId="1" fillId="0" borderId="0" xfId="0" applyNumberFormat="1" applyFont="1"/>
    <xf numFmtId="0" fontId="1" fillId="0" borderId="0" xfId="0" applyFont="1" applyAlignment="1">
      <alignment horizontal="left" wrapText="1"/>
    </xf>
    <xf numFmtId="0" fontId="95" fillId="31" borderId="0" xfId="0" applyFont="1" applyFill="1" applyAlignment="1">
      <alignment horizontal="left" vertical="center" wrapText="1"/>
    </xf>
    <xf numFmtId="0" fontId="73" fillId="0" borderId="0" xfId="0" pivotButton="1" applyFont="1" applyAlignment="1">
      <alignment horizontal="center" vertical="center" wrapText="1"/>
    </xf>
    <xf numFmtId="0" fontId="85" fillId="27" borderId="0" xfId="0" applyFont="1" applyFill="1" applyAlignment="1">
      <alignment horizontal="center" vertical="center" wrapText="1"/>
    </xf>
    <xf numFmtId="0" fontId="85" fillId="10" borderId="0" xfId="0" applyFont="1" applyFill="1" applyAlignment="1">
      <alignment horizontal="center" vertical="center" wrapText="1"/>
    </xf>
    <xf numFmtId="0" fontId="85" fillId="15" borderId="0" xfId="0" applyFont="1" applyFill="1" applyAlignment="1">
      <alignment horizontal="center" vertical="center" wrapText="1"/>
    </xf>
    <xf numFmtId="0" fontId="1" fillId="0" borderId="121" xfId="0" applyFont="1" applyBorder="1"/>
    <xf numFmtId="0" fontId="1" fillId="0" borderId="116" xfId="0" applyFont="1" applyBorder="1"/>
    <xf numFmtId="164" fontId="1" fillId="0" borderId="116" xfId="4" applyNumberFormat="1" applyFont="1" applyBorder="1"/>
    <xf numFmtId="0" fontId="1" fillId="0" borderId="122" xfId="0" applyFont="1" applyBorder="1"/>
    <xf numFmtId="9" fontId="15" fillId="0" borderId="124" xfId="1" applyFont="1" applyBorder="1" applyAlignment="1">
      <alignment vertical="center"/>
    </xf>
    <xf numFmtId="166" fontId="27" fillId="16" borderId="6" xfId="8" applyFont="1" applyFill="1" applyBorder="1" applyAlignment="1">
      <alignment horizontal="center" vertical="center"/>
    </xf>
    <xf numFmtId="166" fontId="27" fillId="16" borderId="7" xfId="8" applyFont="1" applyFill="1" applyBorder="1" applyAlignment="1">
      <alignment horizontal="center" vertical="center"/>
    </xf>
    <xf numFmtId="166" fontId="27" fillId="16" borderId="8" xfId="8" applyFont="1" applyFill="1" applyBorder="1" applyAlignment="1">
      <alignment horizontal="center" vertical="center"/>
    </xf>
    <xf numFmtId="166" fontId="1" fillId="21" borderId="0" xfId="8" applyFont="1" applyFill="1" applyBorder="1" applyAlignment="1">
      <alignment horizontal="left" wrapText="1"/>
    </xf>
    <xf numFmtId="166" fontId="5" fillId="21" borderId="0" xfId="8" applyFill="1" applyBorder="1" applyAlignment="1">
      <alignment horizontal="left" wrapText="1"/>
    </xf>
    <xf numFmtId="166" fontId="5" fillId="21" borderId="10" xfId="8" applyFill="1" applyBorder="1" applyAlignment="1">
      <alignment horizontal="left" wrapText="1"/>
    </xf>
    <xf numFmtId="0" fontId="25" fillId="9" borderId="25" xfId="0" applyFont="1" applyFill="1" applyBorder="1" applyAlignment="1">
      <alignment horizontal="center" vertical="center" wrapText="1"/>
    </xf>
    <xf numFmtId="0" fontId="25" fillId="9" borderId="113" xfId="0" applyFont="1" applyFill="1" applyBorder="1" applyAlignment="1">
      <alignment horizontal="center" vertical="center" wrapText="1"/>
    </xf>
    <xf numFmtId="0" fontId="25" fillId="9" borderId="26" xfId="0" applyFont="1" applyFill="1" applyBorder="1" applyAlignment="1">
      <alignment horizontal="center" vertical="center" wrapText="1"/>
    </xf>
    <xf numFmtId="0" fontId="30" fillId="15" borderId="0" xfId="0" applyFont="1" applyFill="1" applyBorder="1" applyAlignment="1">
      <alignment horizontal="center"/>
    </xf>
    <xf numFmtId="1" fontId="30" fillId="9" borderId="0" xfId="0" applyNumberFormat="1" applyFont="1" applyFill="1" applyBorder="1" applyAlignment="1">
      <alignment horizontal="center"/>
    </xf>
    <xf numFmtId="0" fontId="30" fillId="10" borderId="0" xfId="1" applyNumberFormat="1" applyFont="1" applyFill="1" applyBorder="1" applyAlignment="1">
      <alignment horizontal="center"/>
    </xf>
    <xf numFmtId="0" fontId="25" fillId="6" borderId="0" xfId="0" applyFont="1" applyFill="1" applyBorder="1" applyAlignment="1">
      <alignment horizontal="center" vertical="center"/>
    </xf>
    <xf numFmtId="0" fontId="25" fillId="6" borderId="108" xfId="0" applyFont="1" applyFill="1" applyBorder="1" applyAlignment="1">
      <alignment horizontal="center" vertical="center"/>
    </xf>
    <xf numFmtId="0" fontId="25" fillId="6" borderId="109" xfId="0" applyFont="1" applyFill="1" applyBorder="1" applyAlignment="1">
      <alignment horizontal="center" vertical="center"/>
    </xf>
    <xf numFmtId="0" fontId="25" fillId="6" borderId="107" xfId="0" applyFont="1" applyFill="1" applyBorder="1" applyAlignment="1">
      <alignment horizontal="center" vertical="center"/>
    </xf>
    <xf numFmtId="0" fontId="25" fillId="6" borderId="113" xfId="0" applyFont="1" applyFill="1" applyBorder="1" applyAlignment="1">
      <alignment horizontal="center" vertical="center"/>
    </xf>
    <xf numFmtId="0" fontId="25" fillId="6" borderId="99" xfId="0" applyFont="1" applyFill="1" applyBorder="1" applyAlignment="1">
      <alignment horizontal="center" vertical="center"/>
    </xf>
    <xf numFmtId="0" fontId="67" fillId="0" borderId="0" xfId="21" applyFont="1" applyAlignment="1">
      <alignment horizontal="center"/>
    </xf>
    <xf numFmtId="0" fontId="17" fillId="32" borderId="4" xfId="21" applyFont="1" applyFill="1" applyBorder="1" applyAlignment="1">
      <alignment horizontal="center" vertical="center" wrapText="1"/>
    </xf>
    <xf numFmtId="0" fontId="66" fillId="0" borderId="0" xfId="21" applyFont="1" applyAlignment="1">
      <alignment horizontal="center" vertical="center"/>
    </xf>
    <xf numFmtId="0" fontId="85" fillId="15" borderId="55" xfId="0" applyFont="1" applyFill="1" applyBorder="1" applyAlignment="1">
      <alignment horizontal="center" vertical="center" wrapText="1"/>
    </xf>
    <xf numFmtId="0" fontId="85" fillId="15" borderId="55" xfId="0" applyFont="1" applyFill="1" applyBorder="1" applyAlignment="1">
      <alignment horizontal="center" vertical="top" wrapText="1"/>
    </xf>
    <xf numFmtId="0" fontId="85" fillId="9" borderId="55" xfId="0" applyFont="1" applyFill="1" applyBorder="1" applyAlignment="1">
      <alignment horizontal="center" vertical="top" wrapText="1"/>
    </xf>
    <xf numFmtId="0" fontId="73" fillId="0" borderId="60" xfId="0" applyFont="1" applyBorder="1" applyAlignment="1">
      <alignment horizontal="center"/>
    </xf>
    <xf numFmtId="0" fontId="87" fillId="0" borderId="53" xfId="0" applyFont="1" applyBorder="1" applyAlignment="1">
      <alignment horizontal="center" vertical="center" wrapText="1"/>
    </xf>
    <xf numFmtId="0" fontId="87" fillId="0" borderId="54" xfId="0" applyFont="1" applyBorder="1" applyAlignment="1">
      <alignment horizontal="center" vertical="center" wrapText="1"/>
    </xf>
    <xf numFmtId="0" fontId="75" fillId="2" borderId="91" xfId="0" applyFont="1" applyFill="1" applyBorder="1" applyAlignment="1">
      <alignment horizontal="center"/>
    </xf>
    <xf numFmtId="0" fontId="75" fillId="2" borderId="92" xfId="0" applyFont="1" applyFill="1" applyBorder="1" applyAlignment="1">
      <alignment horizontal="center"/>
    </xf>
    <xf numFmtId="0" fontId="85" fillId="15" borderId="93" xfId="0" applyFont="1" applyFill="1" applyBorder="1" applyAlignment="1">
      <alignment horizontal="center" vertical="top" wrapText="1"/>
    </xf>
    <xf numFmtId="0" fontId="85" fillId="15" borderId="94" xfId="0" applyFont="1" applyFill="1" applyBorder="1" applyAlignment="1">
      <alignment horizontal="center" vertical="top" wrapText="1"/>
    </xf>
    <xf numFmtId="0" fontId="85" fillId="15" borderId="95" xfId="0" applyFont="1" applyFill="1" applyBorder="1" applyAlignment="1">
      <alignment horizontal="center" vertical="top" wrapText="1"/>
    </xf>
    <xf numFmtId="0" fontId="85" fillId="15" borderId="92" xfId="0" applyFont="1" applyFill="1" applyBorder="1" applyAlignment="1">
      <alignment horizontal="center" vertical="top" wrapText="1"/>
    </xf>
    <xf numFmtId="0" fontId="85" fillId="9" borderId="95" xfId="0" applyFont="1" applyFill="1" applyBorder="1" applyAlignment="1">
      <alignment horizontal="center" vertical="top" wrapText="1"/>
    </xf>
    <xf numFmtId="0" fontId="85" fillId="9" borderId="92" xfId="0" applyFont="1" applyFill="1" applyBorder="1" applyAlignment="1">
      <alignment horizontal="center" vertical="top" wrapText="1"/>
    </xf>
    <xf numFmtId="0" fontId="85" fillId="10" borderId="95" xfId="0" applyFont="1" applyFill="1" applyBorder="1" applyAlignment="1">
      <alignment horizontal="center" vertical="top" wrapText="1"/>
    </xf>
    <xf numFmtId="0" fontId="85" fillId="10" borderId="92" xfId="0" applyFont="1" applyFill="1" applyBorder="1" applyAlignment="1">
      <alignment horizontal="center" vertical="top" wrapText="1"/>
    </xf>
    <xf numFmtId="0" fontId="85" fillId="38" borderId="55" xfId="0" applyFont="1" applyFill="1" applyBorder="1" applyAlignment="1">
      <alignment horizontal="center" vertical="top" wrapText="1"/>
    </xf>
    <xf numFmtId="0" fontId="85" fillId="38" borderId="57" xfId="0" applyFont="1" applyFill="1" applyBorder="1" applyAlignment="1">
      <alignment horizontal="center" vertical="top" wrapText="1"/>
    </xf>
    <xf numFmtId="0" fontId="117" fillId="43" borderId="0" xfId="0" applyFont="1" applyFill="1" applyAlignment="1">
      <alignment horizontal="center" vertical="center"/>
    </xf>
    <xf numFmtId="0" fontId="94" fillId="43" borderId="0" xfId="0" applyFont="1" applyFill="1" applyAlignment="1">
      <alignment horizontal="center" vertical="center"/>
    </xf>
    <xf numFmtId="164" fontId="90" fillId="16" borderId="0" xfId="4" applyNumberFormat="1" applyFont="1" applyFill="1" applyAlignment="1">
      <alignment horizontal="center" vertical="center" wrapText="1"/>
    </xf>
  </cellXfs>
  <cellStyles count="23">
    <cellStyle name="Bad" xfId="12" builtinId="27"/>
    <cellStyle name="Comma" xfId="4" builtinId="3"/>
    <cellStyle name="Comma 2" xfId="7"/>
    <cellStyle name="Comma 2 2" xfId="19"/>
    <cellStyle name="Comma 4" xfId="5"/>
    <cellStyle name="Good" xfId="11" builtinId="26"/>
    <cellStyle name="Heading 1 2" xfId="15"/>
    <cellStyle name="Normal" xfId="0" builtinId="0"/>
    <cellStyle name="Normal 2" xfId="8"/>
    <cellStyle name="Normal 2 2" xfId="16"/>
    <cellStyle name="Normal 2 3" xfId="20"/>
    <cellStyle name="Normal 3" xfId="13"/>
    <cellStyle name="Normal 3 2" xfId="21"/>
    <cellStyle name="Normal 4" xfId="2"/>
    <cellStyle name="Normal 4 2" xfId="17"/>
    <cellStyle name="Normal_Sheet1" xfId="9"/>
    <cellStyle name="Normal_Township" xfId="10"/>
    <cellStyle name="Percent" xfId="1" builtinId="5"/>
    <cellStyle name="Percent 2" xfId="3"/>
    <cellStyle name="Percent 2 2" xfId="6"/>
    <cellStyle name="Percent 2 3" xfId="18"/>
    <cellStyle name="Percent 3" xfId="14"/>
    <cellStyle name="Percent 3 2" xfId="22"/>
  </cellStyles>
  <dxfs count="1738">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font>
        <color theme="0"/>
      </font>
    </dxf>
    <dxf>
      <fill>
        <patternFill patternType="solid">
          <bgColor theme="9" tint="-0.249977111117893"/>
        </patternFill>
      </fill>
    </dxf>
    <dxf>
      <font>
        <color theme="0"/>
      </font>
    </dxf>
    <dxf>
      <fill>
        <patternFill patternType="solid">
          <bgColor theme="5" tint="-0.249977111117893"/>
        </patternFill>
      </fill>
    </dxf>
    <dxf>
      <font>
        <color theme="0"/>
      </font>
    </dxf>
    <dxf>
      <fill>
        <patternFill patternType="solid">
          <bgColor rgb="FF0070C0"/>
        </patternFill>
      </fill>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8"/>
        </left>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0"/>
        <color theme="1"/>
        <name val="Calibri"/>
        <scheme val="minor"/>
      </font>
      <numFmt numFmtId="164" formatCode="_(* #,##0_);_(* \(#,##0\);_(* &quot;-&quot;??_);_(@_)"/>
      <alignment horizontal="general" vertical="center" textRotation="0" wrapText="0"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theme="8"/>
        </right>
        <top style="thin">
          <color theme="8"/>
        </top>
        <bottom style="thin">
          <color theme="8"/>
        </bottom>
        <vertical style="thin">
          <color theme="8"/>
        </vertical>
        <horizontal style="thin">
          <color theme="8"/>
        </horizontal>
      </border>
    </dxf>
    <dxf>
      <border>
        <top style="thin">
          <color rgb="FF4472C4"/>
        </top>
      </border>
    </dxf>
    <dxf>
      <border diagonalUp="0" diagonalDown="0">
        <left style="thin">
          <color rgb="FF4472C4"/>
        </left>
        <right style="thin">
          <color rgb="FF4472C4"/>
        </right>
        <top style="thin">
          <color rgb="FF4472C4"/>
        </top>
        <bottom style="thin">
          <color rgb="FF4472C4"/>
        </bottom>
      </border>
    </dxf>
    <dxf>
      <border>
        <bottom style="thin">
          <color rgb="FF4472C4"/>
        </bottom>
      </border>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left style="thin">
          <color theme="8"/>
        </left>
        <right style="thin">
          <color theme="8"/>
        </right>
        <top/>
        <bottom/>
        <vertical style="thin">
          <color theme="8"/>
        </vertical>
        <horizontal style="thin">
          <color theme="8"/>
        </horizontal>
      </border>
    </dxf>
    <dxf>
      <font>
        <b val="0"/>
        <i val="0"/>
        <strike val="0"/>
        <condense val="0"/>
        <extend val="0"/>
        <outline val="0"/>
        <shadow val="0"/>
        <u val="none"/>
        <vertAlign val="baseline"/>
        <sz val="11"/>
        <color theme="1"/>
        <name val="Calibri"/>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1"/>
        <color rgb="FF000000"/>
        <name val="Calibri"/>
        <scheme val="none"/>
      </font>
    </dxf>
    <dxf>
      <border>
        <bottom style="thin">
          <color rgb="FF5B9BD5"/>
        </bottom>
      </border>
    </dxf>
    <dxf>
      <font>
        <b val="0"/>
        <i val="0"/>
        <strike val="0"/>
        <condense val="0"/>
        <extend val="0"/>
        <outline val="0"/>
        <shadow val="0"/>
        <u val="none"/>
        <vertAlign val="baseline"/>
        <sz val="10"/>
        <color theme="1"/>
        <name val="Calibri"/>
        <scheme val="minor"/>
      </font>
      <border diagonalUp="0" diagonalDown="0">
        <left style="thin">
          <color theme="4"/>
        </left>
        <right style="thin">
          <color theme="4"/>
        </right>
        <top/>
        <bottom/>
        <vertical style="thin">
          <color theme="4"/>
        </vertical>
        <horizontal style="thin">
          <color theme="4"/>
        </horizontal>
      </border>
    </dxf>
    <dxf>
      <font>
        <b/>
        <i val="0"/>
        <strike val="0"/>
        <condense val="0"/>
        <extend val="0"/>
        <outline val="0"/>
        <shadow val="0"/>
        <u val="none"/>
        <vertAlign val="baseline"/>
        <sz val="10"/>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numFmt numFmtId="164" formatCode="_(* #,##0_);_(* \(#,##0\);_(* &quot;-&quot;??_);_(@_)"/>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_(* #,##0_);_(* \(#,##0\);_(* &quot;-&quot;??_);_(@_)"/>
      <alignment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font>
    </dxf>
    <dxf>
      <font>
        <b val="0"/>
        <i val="0"/>
        <strike val="0"/>
        <condense val="0"/>
        <extend val="0"/>
        <outline val="0"/>
        <shadow val="0"/>
        <u val="none"/>
        <vertAlign val="baseline"/>
        <sz val="10"/>
        <color rgb="FF000000"/>
        <name val="Calibri"/>
        <scheme val="none"/>
      </font>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_(* #,##0_);_(* \(#,##0\);_(* &quot;-&quot;??_);_(@_)"/>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rgb="FF000000"/>
        <name val="Calibri"/>
        <scheme val="none"/>
      </font>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font>
        <color theme="0"/>
      </font>
    </dxf>
    <dxf>
      <fill>
        <patternFill patternType="solid">
          <bgColor theme="9" tint="-0.249977111117893"/>
        </patternFill>
      </fill>
    </dxf>
    <dxf>
      <font>
        <color theme="0"/>
      </font>
    </dxf>
    <dxf>
      <fill>
        <patternFill patternType="solid">
          <bgColor theme="5" tint="-0.249977111117893"/>
        </patternFill>
      </fill>
    </dxf>
    <dxf>
      <font>
        <color theme="0"/>
      </font>
    </dxf>
    <dxf>
      <fill>
        <patternFill patternType="solid">
          <bgColor rgb="FF0070C0"/>
        </patternFill>
      </fill>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numFmt numFmtId="3" formatCode="#,##0"/>
    </dxf>
    <dxf>
      <numFmt numFmtId="3" formatCode="#,##0"/>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alignment wrapText="1"/>
    </dxf>
    <dxf>
      <font>
        <sz val="11"/>
      </font>
    </dxf>
    <dxf>
      <font>
        <sz val="11"/>
      </font>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alignment wrapText="1"/>
    </dxf>
    <dxf>
      <alignment wrapText="1"/>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numFmt numFmtId="13" formatCode="0%"/>
    </dxf>
    <dxf>
      <numFmt numFmtId="13" formatCode="0%"/>
    </dxf>
    <dxf>
      <numFmt numFmtId="14" formatCode="0.00%"/>
    </dxf>
    <dxf>
      <alignment wrapText="1"/>
    </dxf>
    <dxf>
      <alignment wrapText="1"/>
    </dxf>
    <dxf>
      <numFmt numFmtId="13" formatCode="0%"/>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numFmt numFmtId="13" formatCode="0%"/>
    </dxf>
    <dxf>
      <numFmt numFmtId="13" formatCode="0%"/>
    </dxf>
    <dxf>
      <numFmt numFmtId="14" formatCode="0.00%"/>
    </dxf>
    <dxf>
      <alignment wrapText="1"/>
    </dxf>
    <dxf>
      <alignment wrapText="1"/>
    </dxf>
    <dxf>
      <numFmt numFmtId="13" formatCode="0%"/>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numFmt numFmtId="13" formatCode="0%"/>
    </dxf>
    <dxf>
      <numFmt numFmtId="13" formatCode="0%"/>
    </dxf>
    <dxf>
      <numFmt numFmtId="14" formatCode="0.00%"/>
    </dxf>
    <dxf>
      <alignment wrapText="1"/>
    </dxf>
    <dxf>
      <alignment wrapText="1"/>
    </dxf>
    <dxf>
      <numFmt numFmtId="13" formatCode="0%"/>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numFmt numFmtId="164" formatCode="_(* #,##0_);_(* \(#,##0\);_(* &quot;-&quot;??_);_(@_)"/>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numFmt numFmtId="13" formatCode="0%"/>
    </dxf>
    <dxf>
      <numFmt numFmtId="13" formatCode="0%"/>
    </dxf>
    <dxf>
      <numFmt numFmtId="14" formatCode="0.00%"/>
    </dxf>
    <dxf>
      <alignment wrapText="1"/>
    </dxf>
    <dxf>
      <alignment wrapText="1"/>
    </dxf>
    <dxf>
      <numFmt numFmtId="13" formatCode="0%"/>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readingOrder="0"/>
    </dxf>
    <dxf>
      <numFmt numFmtId="13" formatCode="0%"/>
    </dxf>
    <dxf>
      <font>
        <sz val="11"/>
      </font>
    </dxf>
    <dxf>
      <font>
        <sz val="11"/>
      </font>
    </dxf>
    <dxf>
      <font>
        <sz val="11"/>
      </font>
    </dxf>
    <dxf>
      <font>
        <sz val="11"/>
      </font>
    </dxf>
    <dxf>
      <font>
        <sz val="11"/>
      </font>
    </dxf>
    <dxf>
      <numFmt numFmtId="13" formatCode="0%"/>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font>
        <b/>
      </font>
    </dxf>
    <dxf>
      <font>
        <color theme="0"/>
      </font>
      <fill>
        <patternFill patternType="solid">
          <fgColor indexed="64"/>
          <bgColor theme="1"/>
        </patternFill>
      </fill>
    </dxf>
    <dxf>
      <font>
        <sz val="12"/>
      </font>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horizontal="center" readingOrder="0"/>
    </dxf>
    <dxf>
      <alignment wrapText="1"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8" tint="0.59999389629810485"/>
        </patternFill>
      </fill>
    </dxf>
    <dxf>
      <fill>
        <patternFill>
          <bgColor theme="5" tint="-0.249977111117893"/>
        </patternFill>
      </fill>
    </dxf>
    <dxf>
      <fill>
        <patternFill>
          <bgColor theme="5" tint="-0.249977111117893"/>
        </patternFill>
      </fill>
    </dxf>
    <dxf>
      <fill>
        <patternFill patternType="solid">
          <bgColor theme="3" tint="0.59999389629810485"/>
        </patternFill>
      </fill>
    </dxf>
    <dxf>
      <fill>
        <patternFill>
          <bgColor rgb="FF0070C0"/>
        </patternFill>
      </fill>
    </dxf>
    <dxf>
      <fill>
        <patternFill>
          <bgColor rgb="FF0070C0"/>
        </patternFill>
      </fill>
    </dxf>
    <dxf>
      <fill>
        <patternFill patternType="solid">
          <bgColor theme="4" tint="-0.249977111117893"/>
        </patternFill>
      </fill>
    </dxf>
    <dxf>
      <alignment wrapText="1"/>
    </dxf>
    <dxf>
      <numFmt numFmtId="3" formatCode="#,##0"/>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alignment horizontal="right" readingOrder="0"/>
    </dxf>
    <dxf>
      <alignment vertical="center"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font>
        <b/>
        <color theme="0"/>
      </font>
      <fill>
        <patternFill patternType="solid">
          <fgColor indexed="64"/>
          <bgColor theme="1"/>
        </patternFill>
      </fill>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font>
        <b/>
        <color theme="0"/>
      </font>
      <fill>
        <patternFill patternType="solid">
          <fgColor indexed="64"/>
          <bgColor theme="1"/>
        </patternFill>
      </fill>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0"/>
        <name val="Calibri"/>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style="thin">
          <color theme="4" tint="0.39997558519241921"/>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ill>
        <patternFill>
          <bgColor rgb="FFFF0000"/>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solid">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rgb="FFD4E8C6"/>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ill>
        <patternFill patternType="none">
          <fgColor indexed="64"/>
          <bgColor auto="1"/>
        </patternFill>
      </fill>
      <alignment textRotation="0" wrapText="0" indent="0" justifyLastLine="0" shrinkToFit="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ill>
        <patternFill>
          <bgColor rgb="FFFF0000"/>
        </patternFill>
      </fill>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tableStyleElement type="wholeTable" dxfId="1737"/>
      <tableStyleElement type="headerRow" dxfId="1736"/>
    </tableStyle>
    <tableStyle name="4W Style" pivot="0" table="0" count="1">
      <tableStyleElement type="wholeTable" dxfId="1735"/>
    </tableStyle>
    <tableStyle name="CUSTOM" table="0" count="13">
      <tableStyleElement type="wholeTable" dxfId="1734"/>
      <tableStyleElement type="headerRow" dxfId="1733"/>
      <tableStyleElement type="totalRow" dxfId="1732"/>
      <tableStyleElement type="firstColumn" dxfId="1731"/>
      <tableStyleElement type="firstRowStripe" dxfId="1730"/>
      <tableStyleElement type="secondRowStripe" dxfId="1729"/>
      <tableStyleElement type="firstColumnStripe" dxfId="1728"/>
      <tableStyleElement type="firstSubtotalRow" dxfId="1727"/>
      <tableStyleElement type="secondSubtotalRow" dxfId="1726"/>
      <tableStyleElement type="secondColumnSubheading" dxfId="1725"/>
      <tableStyleElement type="thirdColumnSubheading" dxfId="1724"/>
      <tableStyleElement type="firstRowSubheading" dxfId="1723"/>
      <tableStyleElement type="secondRowSubheading" dxfId="1722"/>
    </tableStyle>
    <tableStyle name="PivotStyleLight10 2" table="0" count="12">
      <tableStyleElement type="wholeTable" dxfId="1721"/>
      <tableStyleElement type="headerRow" dxfId="1720"/>
      <tableStyleElement type="totalRow" dxfId="1719"/>
      <tableStyleElement type="firstColumn" dxfId="1718"/>
      <tableStyleElement type="firstRowStripe" dxfId="1717"/>
      <tableStyleElement type="firstColumnStripe" dxfId="1716"/>
      <tableStyleElement type="firstSubtotalRow" dxfId="1715"/>
      <tableStyleElement type="secondSubtotalRow" dxfId="1714"/>
      <tableStyleElement type="secondColumnSubheading" dxfId="1713"/>
      <tableStyleElement type="thirdColumnSubheading" dxfId="1712"/>
      <tableStyleElement type="firstRowSubheading" dxfId="1711"/>
      <tableStyleElement type="secondRowSubheading" dxfId="1710"/>
    </tableStyle>
    <tableStyle name="PivotStyleLight14 2" table="0" count="12">
      <tableStyleElement type="wholeTable" dxfId="1709"/>
      <tableStyleElement type="headerRow" dxfId="1708"/>
      <tableStyleElement type="totalRow" dxfId="1707"/>
      <tableStyleElement type="firstColumn" dxfId="1706"/>
      <tableStyleElement type="firstRowStripe" dxfId="1705"/>
      <tableStyleElement type="firstColumnStripe" dxfId="1704"/>
      <tableStyleElement type="firstSubtotalRow" dxfId="1703"/>
      <tableStyleElement type="secondSubtotalRow" dxfId="1702"/>
      <tableStyleElement type="secondColumnSubheading" dxfId="1701"/>
      <tableStyleElement type="thirdColumnSubheading" dxfId="1700"/>
      <tableStyleElement type="firstRowSubheading" dxfId="1699"/>
      <tableStyleElement type="secondRowSubheading" dxfId="1698"/>
    </tableStyle>
    <tableStyle name="PivotStyleLight23 2" table="0" count="10">
      <tableStyleElement type="wholeTable" dxfId="1697"/>
      <tableStyleElement type="headerRow" dxfId="1696"/>
      <tableStyleElement type="totalRow" dxfId="1695"/>
      <tableStyleElement type="firstColumn" dxfId="1694"/>
      <tableStyleElement type="firstRowStripe" dxfId="1693"/>
      <tableStyleElement type="firstColumnStripe" dxfId="1692"/>
      <tableStyleElement type="firstSubtotalColumn" dxfId="1691"/>
      <tableStyleElement type="firstSubtotalRow" dxfId="1690"/>
      <tableStyleElement type="secondSubtotalRow" dxfId="1689"/>
      <tableStyleElement type="pageFieldLabels" dxfId="1688"/>
    </tableStyle>
    <tableStyle name="PivotStyleLight9 2" table="0" count="13">
      <tableStyleElement type="wholeTable" dxfId="1687"/>
      <tableStyleElement type="headerRow" dxfId="1686"/>
      <tableStyleElement type="totalRow" dxfId="1685"/>
      <tableStyleElement type="firstColumn" dxfId="1684"/>
      <tableStyleElement type="firstRowStripe" dxfId="1683"/>
      <tableStyleElement type="secondRowStripe" dxfId="1682"/>
      <tableStyleElement type="firstColumnStripe" dxfId="1681"/>
      <tableStyleElement type="firstSubtotalRow" dxfId="1680"/>
      <tableStyleElement type="secondSubtotalRow" dxfId="1679"/>
      <tableStyleElement type="secondColumnSubheading" dxfId="1678"/>
      <tableStyleElement type="thirdColumnSubheading" dxfId="1677"/>
      <tableStyleElement type="firstRowSubheading" dxfId="1676"/>
      <tableStyleElement type="secondRowSubheading" dxfId="1675"/>
    </tableStyle>
    <tableStyle name="PivotTable Style 1" table="0" count="1">
      <tableStyleElement type="wholeTable" dxfId="1674"/>
    </tableStyle>
    <tableStyle name="PivotTable Style a" table="0" count="7">
      <tableStyleElement type="wholeTable" dxfId="1673"/>
      <tableStyleElement type="headerRow" dxfId="1672"/>
      <tableStyleElement type="totalRow" dxfId="1671"/>
      <tableStyleElement type="firstColumn" dxfId="1670"/>
      <tableStyleElement type="secondSubtotalRow" dxfId="1669"/>
      <tableStyleElement type="firstRowSubheading" dxfId="1668"/>
      <tableStyleElement type="secondRowSubheading" dxfId="1667"/>
    </tableStyle>
    <tableStyle name="Slicer Style 1" pivot="0" table="0" count="5">
      <tableStyleElement type="wholeTable" dxfId="1666"/>
    </tableStyle>
  </tableStyles>
  <colors>
    <mruColors>
      <color rgb="FF44546A"/>
      <color rgb="FFD4E8C6"/>
      <color rgb="FF85C2FF"/>
      <color rgb="FF098A9B"/>
      <color rgb="FFFF898C"/>
      <color rgb="FFCDFF9B"/>
      <color rgb="FF009900"/>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07/relationships/slicerCache" Target="slicerCaches/slicerCache4.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microsoft.com/office/2007/relationships/slicerCache" Target="slicerCaches/slicerCache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3.xml"/><Relationship Id="rId33" Type="http://schemas.microsoft.com/office/2007/relationships/slicerCache" Target="slicerCaches/slicerCache1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07/relationships/slicerCache" Target="slicerCaches/slicerCache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2.xml"/><Relationship Id="rId32" Type="http://schemas.microsoft.com/office/2007/relationships/slicerCache" Target="slicerCaches/slicerCache10.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1.xml"/><Relationship Id="rId28" Type="http://schemas.microsoft.com/office/2007/relationships/slicerCache" Target="slicerCaches/slicerCache6.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microsoft.com/office/2007/relationships/slicerCache" Target="slicerCaches/slicerCache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5.xml"/><Relationship Id="rId30" Type="http://schemas.microsoft.com/office/2007/relationships/slicerCache" Target="slicerCaches/slicerCache8.xml"/><Relationship Id="rId35" Type="http://schemas.microsoft.com/office/2007/relationships/slicerCache" Target="slicerCaches/slicerCache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7.xml"/><Relationship Id="rId1" Type="http://schemas.microsoft.com/office/2011/relationships/chartStyle" Target="style87.xml"/></Relationships>
</file>

<file path=xl/charts/_rels/chart8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0.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2.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3.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4.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5.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6.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7.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8.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8.xml"/><Relationship Id="rId1" Type="http://schemas.microsoft.com/office/2011/relationships/chartStyle" Target="style98.xml"/></Relationships>
</file>

<file path=xl/charts/_rels/chart100.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0.xml"/><Relationship Id="rId1" Type="http://schemas.microsoft.com/office/2011/relationships/chartStyle" Target="style100.xml"/></Relationships>
</file>

<file path=xl/charts/_rels/chart102.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3.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4.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5.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6.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7.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8.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9.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10.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1.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2.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3.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4.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5.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6.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7.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8.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9.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20.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1.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2.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3.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4.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5.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6.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7.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8.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with equitable and safe access to sufficient quantity of drinking water</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HRP!$D$49</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HRP!$B$50:$B$52</c:f>
              <c:strCache>
                <c:ptCount val="3"/>
                <c:pt idx="0">
                  <c:v>Kachin</c:v>
                </c:pt>
                <c:pt idx="1">
                  <c:v>Rakhine</c:v>
                </c:pt>
                <c:pt idx="2">
                  <c:v>Shan (North)</c:v>
                </c:pt>
              </c:strCache>
            </c:strRef>
          </c:cat>
          <c:val>
            <c:numRef>
              <c:f>HRP!$D$50:$D$52</c:f>
              <c:numCache>
                <c:formatCode>_(* #,##0_);_(* \(#,##0\);_(* "-"??_);_(@_)</c:formatCode>
                <c:ptCount val="3"/>
                <c:pt idx="0">
                  <c:v>88001.666666666672</c:v>
                </c:pt>
                <c:pt idx="1">
                  <c:v>140726.12454212454</c:v>
                </c:pt>
                <c:pt idx="2">
                  <c:v>9547</c:v>
                </c:pt>
              </c:numCache>
            </c:numRef>
          </c:val>
          <c:extLst xmlns:c16r2="http://schemas.microsoft.com/office/drawing/2015/06/chart">
            <c:ext xmlns:c16="http://schemas.microsoft.com/office/drawing/2014/chart" uri="{C3380CC4-5D6E-409C-BE32-E72D297353CC}">
              <c16:uniqueId val="{00000001-B753-4CD1-A3E6-F95FDFA8B06B}"/>
            </c:ext>
          </c:extLst>
        </c:ser>
        <c:ser>
          <c:idx val="2"/>
          <c:order val="2"/>
          <c:tx>
            <c:strRef>
              <c:f>HRP!$E$49</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HRP!$B$50:$B$52</c:f>
              <c:strCache>
                <c:ptCount val="3"/>
                <c:pt idx="0">
                  <c:v>Kachin</c:v>
                </c:pt>
                <c:pt idx="1">
                  <c:v>Rakhine</c:v>
                </c:pt>
                <c:pt idx="2">
                  <c:v>Shan (North)</c:v>
                </c:pt>
              </c:strCache>
            </c:strRef>
          </c:cat>
          <c:val>
            <c:numRef>
              <c:f>HRP!$E$50:$E$52</c:f>
              <c:numCache>
                <c:formatCode>_(* #,##0_);_(* \(#,##0\);_(* "-"??_);_(@_)</c:formatCode>
                <c:ptCount val="3"/>
                <c:pt idx="0">
                  <c:v>28860.333333333328</c:v>
                </c:pt>
                <c:pt idx="1">
                  <c:v>238410.87545787546</c:v>
                </c:pt>
                <c:pt idx="2">
                  <c:v>10932</c:v>
                </c:pt>
              </c:numCache>
            </c:numRef>
          </c:val>
          <c:extLst xmlns:c16r2="http://schemas.microsoft.com/office/drawing/2015/06/chart">
            <c:ext xmlns:c16="http://schemas.microsoft.com/office/drawing/2014/chart" uri="{C3380CC4-5D6E-409C-BE32-E72D297353CC}">
              <c16:uniqueId val="{00000002-B753-4CD1-A3E6-F95FDFA8B06B}"/>
            </c:ext>
          </c:extLst>
        </c:ser>
        <c:dLbls>
          <c:showLegendKey val="0"/>
          <c:showVal val="0"/>
          <c:showCatName val="0"/>
          <c:showSerName val="0"/>
          <c:showPercent val="0"/>
          <c:showBubbleSize val="0"/>
        </c:dLbls>
        <c:gapWidth val="150"/>
        <c:overlap val="100"/>
        <c:axId val="363005504"/>
        <c:axId val="36300393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HRP!$C$49</c15:sqref>
                        </c15:formulaRef>
                      </c:ext>
                    </c:extLst>
                    <c:strCache>
                      <c:ptCount val="1"/>
                      <c:pt idx="0">
                        <c:v>Target</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HRP!$B$50:$B$52</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HRP!$C$50:$C$52</c15:sqref>
                        </c15:formulaRef>
                      </c:ext>
                    </c:extLst>
                    <c:numCache>
                      <c:formatCode>_(* #,##0_);_(* \(#,##0\);_(* "-"??_);_(@_)</c:formatCode>
                      <c:ptCount val="3"/>
                      <c:pt idx="0">
                        <c:v>116862</c:v>
                      </c:pt>
                      <c:pt idx="1">
                        <c:v>379137</c:v>
                      </c:pt>
                      <c:pt idx="2">
                        <c:v>20479</c:v>
                      </c:pt>
                    </c:numCache>
                  </c:numRef>
                </c:val>
                <c:extLst xmlns:c16r2="http://schemas.microsoft.com/office/drawing/2015/06/chart">
                  <c:ext xmlns:c16="http://schemas.microsoft.com/office/drawing/2014/chart" uri="{C3380CC4-5D6E-409C-BE32-E72D297353CC}">
                    <c16:uniqueId val="{00000000-B753-4CD1-A3E6-F95FDFA8B06B}"/>
                  </c:ext>
                </c:extLst>
              </c15:ser>
            </c15:filteredBarSeries>
          </c:ext>
        </c:extLst>
      </c:barChart>
      <c:catAx>
        <c:axId val="36300550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3936"/>
        <c:crosses val="autoZero"/>
        <c:auto val="1"/>
        <c:lblAlgn val="ctr"/>
        <c:lblOffset val="100"/>
        <c:noMultiLvlLbl val="0"/>
      </c:catAx>
      <c:valAx>
        <c:axId val="36300393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55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with equitable and safe access to sufficient quantity of domestic water</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HRP!$D$55</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HRP!$B$56:$B$58</c:f>
              <c:strCache>
                <c:ptCount val="3"/>
                <c:pt idx="0">
                  <c:v>Kachin</c:v>
                </c:pt>
                <c:pt idx="1">
                  <c:v>Rakhine</c:v>
                </c:pt>
                <c:pt idx="2">
                  <c:v>Shan (North)</c:v>
                </c:pt>
              </c:strCache>
            </c:strRef>
          </c:cat>
          <c:val>
            <c:numRef>
              <c:f>HRP!$D$56:$D$58</c:f>
              <c:numCache>
                <c:formatCode>_(* #,##0_);_(* \(#,##0\);_(* "-"??_);_(@_)</c:formatCode>
                <c:ptCount val="3"/>
                <c:pt idx="0">
                  <c:v>88001.666666666672</c:v>
                </c:pt>
                <c:pt idx="1">
                  <c:v>151718.12454212457</c:v>
                </c:pt>
                <c:pt idx="2">
                  <c:v>9547</c:v>
                </c:pt>
              </c:numCache>
            </c:numRef>
          </c:val>
          <c:extLst xmlns:c16r2="http://schemas.microsoft.com/office/drawing/2015/06/chart">
            <c:ext xmlns:c16="http://schemas.microsoft.com/office/drawing/2014/chart" uri="{C3380CC4-5D6E-409C-BE32-E72D297353CC}">
              <c16:uniqueId val="{00000001-28F3-4DA5-BE09-C84C74768AEE}"/>
            </c:ext>
          </c:extLst>
        </c:ser>
        <c:ser>
          <c:idx val="2"/>
          <c:order val="2"/>
          <c:tx>
            <c:strRef>
              <c:f>HRP!$E$55</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HRP!$B$56:$B$58</c:f>
              <c:strCache>
                <c:ptCount val="3"/>
                <c:pt idx="0">
                  <c:v>Kachin</c:v>
                </c:pt>
                <c:pt idx="1">
                  <c:v>Rakhine</c:v>
                </c:pt>
                <c:pt idx="2">
                  <c:v>Shan (North)</c:v>
                </c:pt>
              </c:strCache>
            </c:strRef>
          </c:cat>
          <c:val>
            <c:numRef>
              <c:f>HRP!$E$56:$E$58</c:f>
              <c:numCache>
                <c:formatCode>_(* #,##0_);_(* \(#,##0\);_(* "-"??_);_(@_)</c:formatCode>
                <c:ptCount val="3"/>
                <c:pt idx="0">
                  <c:v>28860.333333333328</c:v>
                </c:pt>
                <c:pt idx="1">
                  <c:v>227418.87545787543</c:v>
                </c:pt>
                <c:pt idx="2">
                  <c:v>10932</c:v>
                </c:pt>
              </c:numCache>
            </c:numRef>
          </c:val>
          <c:extLst xmlns:c16r2="http://schemas.microsoft.com/office/drawing/2015/06/chart">
            <c:ext xmlns:c16="http://schemas.microsoft.com/office/drawing/2014/chart" uri="{C3380CC4-5D6E-409C-BE32-E72D297353CC}">
              <c16:uniqueId val="{00000002-28F3-4DA5-BE09-C84C74768AEE}"/>
            </c:ext>
          </c:extLst>
        </c:ser>
        <c:dLbls>
          <c:showLegendKey val="0"/>
          <c:showVal val="0"/>
          <c:showCatName val="0"/>
          <c:showSerName val="0"/>
          <c:showPercent val="0"/>
          <c:showBubbleSize val="0"/>
        </c:dLbls>
        <c:gapWidth val="150"/>
        <c:overlap val="100"/>
        <c:axId val="363004328"/>
        <c:axId val="36300472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HRP!$C$55</c15:sqref>
                        </c15:formulaRef>
                      </c:ext>
                    </c:extLst>
                    <c:strCache>
                      <c:ptCount val="1"/>
                      <c:pt idx="0">
                        <c:v>Target</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HRP!$B$56:$B$58</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HRP!$C$56:$C$58</c15:sqref>
                        </c15:formulaRef>
                      </c:ext>
                    </c:extLst>
                    <c:numCache>
                      <c:formatCode>_(* #,##0_);_(* \(#,##0\);_(* "-"??_);_(@_)</c:formatCode>
                      <c:ptCount val="3"/>
                      <c:pt idx="0">
                        <c:v>116862</c:v>
                      </c:pt>
                      <c:pt idx="1">
                        <c:v>379137</c:v>
                      </c:pt>
                      <c:pt idx="2">
                        <c:v>20479</c:v>
                      </c:pt>
                    </c:numCache>
                  </c:numRef>
                </c:val>
                <c:extLst xmlns:c16r2="http://schemas.microsoft.com/office/drawing/2015/06/chart">
                  <c:ext xmlns:c16="http://schemas.microsoft.com/office/drawing/2014/chart" uri="{C3380CC4-5D6E-409C-BE32-E72D297353CC}">
                    <c16:uniqueId val="{00000000-28F3-4DA5-BE09-C84C74768AEE}"/>
                  </c:ext>
                </c:extLst>
              </c15:ser>
            </c15:filteredBarSeries>
          </c:ext>
        </c:extLst>
      </c:barChart>
      <c:catAx>
        <c:axId val="36300432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4720"/>
        <c:crosses val="autoZero"/>
        <c:auto val="1"/>
        <c:lblAlgn val="ctr"/>
        <c:lblOffset val="100"/>
        <c:noMultiLvlLbl val="0"/>
      </c:catAx>
      <c:valAx>
        <c:axId val="36300472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4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with access to functional sanitation facilities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299611433187358"/>
          <c:y val="0.19293936967452446"/>
          <c:w val="0.7620820099429455"/>
          <c:h val="0.58049472233895127"/>
        </c:manualLayout>
      </c:layout>
      <c:barChart>
        <c:barDir val="bar"/>
        <c:grouping val="percentStacked"/>
        <c:varyColors val="0"/>
        <c:ser>
          <c:idx val="1"/>
          <c:order val="1"/>
          <c:tx>
            <c:strRef>
              <c:f>HRP!$D$61</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HRP!$B$62:$B$64</c:f>
              <c:strCache>
                <c:ptCount val="3"/>
                <c:pt idx="0">
                  <c:v>Kachin</c:v>
                </c:pt>
                <c:pt idx="1">
                  <c:v>Rakhine</c:v>
                </c:pt>
                <c:pt idx="2">
                  <c:v>Shan (North)</c:v>
                </c:pt>
              </c:strCache>
            </c:strRef>
          </c:cat>
          <c:val>
            <c:numRef>
              <c:f>HRP!$D$62:$D$64</c:f>
              <c:numCache>
                <c:formatCode>_(* #,##0_);_(* \(#,##0\);_(* "-"??_);_(@_)</c:formatCode>
                <c:ptCount val="3"/>
                <c:pt idx="0">
                  <c:v>74441</c:v>
                </c:pt>
                <c:pt idx="1">
                  <c:v>105159</c:v>
                </c:pt>
                <c:pt idx="2">
                  <c:v>8649</c:v>
                </c:pt>
              </c:numCache>
            </c:numRef>
          </c:val>
          <c:extLst xmlns:c16r2="http://schemas.microsoft.com/office/drawing/2015/06/chart">
            <c:ext xmlns:c16="http://schemas.microsoft.com/office/drawing/2014/chart" uri="{C3380CC4-5D6E-409C-BE32-E72D297353CC}">
              <c16:uniqueId val="{00000001-BE9A-4C55-91C4-9996C6CCA354}"/>
            </c:ext>
          </c:extLst>
        </c:ser>
        <c:ser>
          <c:idx val="2"/>
          <c:order val="2"/>
          <c:tx>
            <c:strRef>
              <c:f>HRP!$E$61</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HRP!$B$62:$B$64</c:f>
              <c:strCache>
                <c:ptCount val="3"/>
                <c:pt idx="0">
                  <c:v>Kachin</c:v>
                </c:pt>
                <c:pt idx="1">
                  <c:v>Rakhine</c:v>
                </c:pt>
                <c:pt idx="2">
                  <c:v>Shan (North)</c:v>
                </c:pt>
              </c:strCache>
            </c:strRef>
          </c:cat>
          <c:val>
            <c:numRef>
              <c:f>HRP!$E$62:$E$64</c:f>
              <c:numCache>
                <c:formatCode>_(* #,##0_);_(* \(#,##0\);_(* "-"??_);_(@_)</c:formatCode>
                <c:ptCount val="3"/>
                <c:pt idx="0">
                  <c:v>42421</c:v>
                </c:pt>
                <c:pt idx="1">
                  <c:v>273978</c:v>
                </c:pt>
                <c:pt idx="2">
                  <c:v>11830</c:v>
                </c:pt>
              </c:numCache>
            </c:numRef>
          </c:val>
          <c:extLst xmlns:c16r2="http://schemas.microsoft.com/office/drawing/2015/06/chart">
            <c:ext xmlns:c16="http://schemas.microsoft.com/office/drawing/2014/chart" uri="{C3380CC4-5D6E-409C-BE32-E72D297353CC}">
              <c16:uniqueId val="{00000002-BE9A-4C55-91C4-9996C6CCA354}"/>
            </c:ext>
          </c:extLst>
        </c:ser>
        <c:dLbls>
          <c:showLegendKey val="0"/>
          <c:showVal val="0"/>
          <c:showCatName val="0"/>
          <c:showSerName val="0"/>
          <c:showPercent val="0"/>
          <c:showBubbleSize val="0"/>
        </c:dLbls>
        <c:gapWidth val="150"/>
        <c:overlap val="100"/>
        <c:axId val="363005112"/>
        <c:axId val="36300628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HRP!$C$61</c15:sqref>
                        </c15:formulaRef>
                      </c:ext>
                    </c:extLst>
                    <c:strCache>
                      <c:ptCount val="1"/>
                      <c:pt idx="0">
                        <c:v>Target</c:v>
                      </c:pt>
                    </c:strCache>
                  </c:strRef>
                </c:tx>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HRP!$B$62:$B$64</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HRP!$C$62:$C$64</c15:sqref>
                        </c15:formulaRef>
                      </c:ext>
                    </c:extLst>
                    <c:numCache>
                      <c:formatCode>_(* #,##0_);_(* \(#,##0\);_(* "-"??_);_(@_)</c:formatCode>
                      <c:ptCount val="3"/>
                      <c:pt idx="0">
                        <c:v>116862</c:v>
                      </c:pt>
                      <c:pt idx="1">
                        <c:v>379137</c:v>
                      </c:pt>
                      <c:pt idx="2">
                        <c:v>20479</c:v>
                      </c:pt>
                    </c:numCache>
                  </c:numRef>
                </c:val>
                <c:extLst xmlns:c16r2="http://schemas.microsoft.com/office/drawing/2015/06/chart">
                  <c:ext xmlns:c16="http://schemas.microsoft.com/office/drawing/2014/chart" uri="{C3380CC4-5D6E-409C-BE32-E72D297353CC}">
                    <c16:uniqueId val="{00000000-BE9A-4C55-91C4-9996C6CCA354}"/>
                  </c:ext>
                </c:extLst>
              </c15:ser>
            </c15:filteredBarSeries>
          </c:ext>
        </c:extLst>
      </c:barChart>
      <c:catAx>
        <c:axId val="36300511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6288"/>
        <c:crosses val="autoZero"/>
        <c:auto val="1"/>
        <c:lblAlgn val="ctr"/>
        <c:lblOffset val="100"/>
        <c:noMultiLvlLbl val="0"/>
      </c:catAx>
      <c:valAx>
        <c:axId val="36300628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5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with access to continuous sanitation services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HRP!$D$67</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HRP!$B$68:$B$70</c:f>
              <c:strCache>
                <c:ptCount val="3"/>
                <c:pt idx="0">
                  <c:v>Kachin</c:v>
                </c:pt>
                <c:pt idx="1">
                  <c:v>Rakhine</c:v>
                </c:pt>
                <c:pt idx="2">
                  <c:v>Shan (North)</c:v>
                </c:pt>
              </c:strCache>
            </c:strRef>
          </c:cat>
          <c:val>
            <c:numRef>
              <c:f>HRP!$D$68:$D$70</c:f>
              <c:numCache>
                <c:formatCode>_(* #,##0_);_(* \(#,##0\);_(* "-"??_);_(@_)</c:formatCode>
                <c:ptCount val="3"/>
                <c:pt idx="0">
                  <c:v>34981</c:v>
                </c:pt>
                <c:pt idx="1">
                  <c:v>121730</c:v>
                </c:pt>
                <c:pt idx="2">
                  <c:v>942</c:v>
                </c:pt>
              </c:numCache>
            </c:numRef>
          </c:val>
          <c:extLst xmlns:c16r2="http://schemas.microsoft.com/office/drawing/2015/06/chart">
            <c:ext xmlns:c16="http://schemas.microsoft.com/office/drawing/2014/chart" uri="{C3380CC4-5D6E-409C-BE32-E72D297353CC}">
              <c16:uniqueId val="{00000001-311A-49BF-BC39-A6490B21B371}"/>
            </c:ext>
          </c:extLst>
        </c:ser>
        <c:ser>
          <c:idx val="2"/>
          <c:order val="2"/>
          <c:tx>
            <c:strRef>
              <c:f>HRP!$E$67</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HRP!$B$68:$B$70</c:f>
              <c:strCache>
                <c:ptCount val="3"/>
                <c:pt idx="0">
                  <c:v>Kachin</c:v>
                </c:pt>
                <c:pt idx="1">
                  <c:v>Rakhine</c:v>
                </c:pt>
                <c:pt idx="2">
                  <c:v>Shan (North)</c:v>
                </c:pt>
              </c:strCache>
            </c:strRef>
          </c:cat>
          <c:val>
            <c:numRef>
              <c:f>HRP!$E$68:$E$70</c:f>
              <c:numCache>
                <c:formatCode>_(* #,##0_);_(* \(#,##0\);_(* "-"??_);_(@_)</c:formatCode>
                <c:ptCount val="3"/>
                <c:pt idx="0">
                  <c:v>-5765.5</c:v>
                </c:pt>
                <c:pt idx="1">
                  <c:v>-26945.75</c:v>
                </c:pt>
                <c:pt idx="2">
                  <c:v>4177.75</c:v>
                </c:pt>
              </c:numCache>
            </c:numRef>
          </c:val>
          <c:extLst xmlns:c16r2="http://schemas.microsoft.com/office/drawing/2015/06/chart">
            <c:ext xmlns:c16="http://schemas.microsoft.com/office/drawing/2014/chart" uri="{C3380CC4-5D6E-409C-BE32-E72D297353CC}">
              <c16:uniqueId val="{00000002-311A-49BF-BC39-A6490B21B371}"/>
            </c:ext>
          </c:extLst>
        </c:ser>
        <c:dLbls>
          <c:showLegendKey val="0"/>
          <c:showVal val="0"/>
          <c:showCatName val="0"/>
          <c:showSerName val="0"/>
          <c:showPercent val="0"/>
          <c:showBubbleSize val="0"/>
        </c:dLbls>
        <c:gapWidth val="150"/>
        <c:overlap val="100"/>
        <c:axId val="363007072"/>
        <c:axId val="36300668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HRP!$C$67</c15:sqref>
                        </c15:formulaRef>
                      </c:ext>
                    </c:extLst>
                    <c:strCache>
                      <c:ptCount val="1"/>
                      <c:pt idx="0">
                        <c:v>Target</c:v>
                      </c:pt>
                    </c:strCache>
                  </c:strRef>
                </c:tx>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HRP!$B$68:$B$70</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HRP!$C$68:$C$70</c15:sqref>
                        </c15:formulaRef>
                      </c:ext>
                    </c:extLst>
                    <c:numCache>
                      <c:formatCode>_(* #,##0_);_(* \(#,##0\);_(* "-"??_);_(@_)</c:formatCode>
                      <c:ptCount val="3"/>
                      <c:pt idx="0">
                        <c:v>29215.5</c:v>
                      </c:pt>
                      <c:pt idx="1">
                        <c:v>94784.25</c:v>
                      </c:pt>
                      <c:pt idx="2">
                        <c:v>5119.75</c:v>
                      </c:pt>
                    </c:numCache>
                  </c:numRef>
                </c:val>
                <c:extLst xmlns:c16r2="http://schemas.microsoft.com/office/drawing/2015/06/chart">
                  <c:ext xmlns:c16="http://schemas.microsoft.com/office/drawing/2014/chart" uri="{C3380CC4-5D6E-409C-BE32-E72D297353CC}">
                    <c16:uniqueId val="{00000000-311A-49BF-BC39-A6490B21B371}"/>
                  </c:ext>
                </c:extLst>
              </c15:ser>
            </c15:filteredBarSeries>
          </c:ext>
        </c:extLst>
      </c:barChart>
      <c:catAx>
        <c:axId val="3630070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6680"/>
        <c:crosses val="autoZero"/>
        <c:auto val="1"/>
        <c:lblAlgn val="ctr"/>
        <c:lblOffset val="100"/>
        <c:noMultiLvlLbl val="0"/>
      </c:catAx>
      <c:valAx>
        <c:axId val="36300668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7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reached by regular dedicated hygiene promotion/behavior change activities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HRP!$D$73</c:f>
              <c:strCache>
                <c:ptCount val="1"/>
                <c:pt idx="0">
                  <c:v>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HRP!$B$74:$B$76</c:f>
              <c:strCache>
                <c:ptCount val="3"/>
                <c:pt idx="0">
                  <c:v>Kachin</c:v>
                </c:pt>
                <c:pt idx="1">
                  <c:v>Rakhine</c:v>
                </c:pt>
                <c:pt idx="2">
                  <c:v>Shan (North)</c:v>
                </c:pt>
              </c:strCache>
            </c:strRef>
          </c:cat>
          <c:val>
            <c:numRef>
              <c:f>HRP!$D$74:$D$76</c:f>
              <c:numCache>
                <c:formatCode>_(* #,##0_);_(* \(#,##0\);_(* "-"??_);_(@_)</c:formatCode>
                <c:ptCount val="3"/>
                <c:pt idx="0">
                  <c:v>52868</c:v>
                </c:pt>
                <c:pt idx="1">
                  <c:v>126858</c:v>
                </c:pt>
                <c:pt idx="2">
                  <c:v>8565</c:v>
                </c:pt>
              </c:numCache>
            </c:numRef>
          </c:val>
          <c:extLst xmlns:c16r2="http://schemas.microsoft.com/office/drawing/2015/06/chart">
            <c:ext xmlns:c16="http://schemas.microsoft.com/office/drawing/2014/chart" uri="{C3380CC4-5D6E-409C-BE32-E72D297353CC}">
              <c16:uniqueId val="{00000001-DB15-4E31-852A-C011D1892EB1}"/>
            </c:ext>
          </c:extLst>
        </c:ser>
        <c:ser>
          <c:idx val="2"/>
          <c:order val="2"/>
          <c:tx>
            <c:strRef>
              <c:f>HRP!$E$73</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HRP!$B$74:$B$76</c:f>
              <c:strCache>
                <c:ptCount val="3"/>
                <c:pt idx="0">
                  <c:v>Kachin</c:v>
                </c:pt>
                <c:pt idx="1">
                  <c:v>Rakhine</c:v>
                </c:pt>
                <c:pt idx="2">
                  <c:v>Shan (North)</c:v>
                </c:pt>
              </c:strCache>
            </c:strRef>
          </c:cat>
          <c:val>
            <c:numRef>
              <c:f>HRP!$E$74:$E$76</c:f>
              <c:numCache>
                <c:formatCode>_(* #,##0_);_(* \(#,##0\);_(* "-"??_);_(@_)</c:formatCode>
                <c:ptCount val="3"/>
                <c:pt idx="0">
                  <c:v>63994</c:v>
                </c:pt>
                <c:pt idx="1">
                  <c:v>252279</c:v>
                </c:pt>
                <c:pt idx="2">
                  <c:v>11914</c:v>
                </c:pt>
              </c:numCache>
            </c:numRef>
          </c:val>
          <c:extLst xmlns:c16r2="http://schemas.microsoft.com/office/drawing/2015/06/chart">
            <c:ext xmlns:c16="http://schemas.microsoft.com/office/drawing/2014/chart" uri="{C3380CC4-5D6E-409C-BE32-E72D297353CC}">
              <c16:uniqueId val="{00000002-DB15-4E31-852A-C011D1892EB1}"/>
            </c:ext>
          </c:extLst>
        </c:ser>
        <c:dLbls>
          <c:showLegendKey val="0"/>
          <c:showVal val="0"/>
          <c:showCatName val="0"/>
          <c:showSerName val="0"/>
          <c:showPercent val="0"/>
          <c:showBubbleSize val="0"/>
        </c:dLbls>
        <c:gapWidth val="150"/>
        <c:overlap val="100"/>
        <c:axId val="363009032"/>
        <c:axId val="36300942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HRP!$C$73</c15:sqref>
                        </c15:formulaRef>
                      </c:ext>
                    </c:extLst>
                    <c:strCache>
                      <c:ptCount val="1"/>
                      <c:pt idx="0">
                        <c:v>Target</c:v>
                      </c:pt>
                    </c:strCache>
                  </c:strRef>
                </c:tx>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HRP!$B$74:$B$76</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HRP!$C$74:$C$76</c15:sqref>
                        </c15:formulaRef>
                      </c:ext>
                    </c:extLst>
                    <c:numCache>
                      <c:formatCode>_(* #,##0_);_(* \(#,##0\);_(* "-"??_);_(@_)</c:formatCode>
                      <c:ptCount val="3"/>
                      <c:pt idx="0">
                        <c:v>116862</c:v>
                      </c:pt>
                      <c:pt idx="1">
                        <c:v>379137</c:v>
                      </c:pt>
                      <c:pt idx="2">
                        <c:v>20479</c:v>
                      </c:pt>
                    </c:numCache>
                  </c:numRef>
                </c:val>
                <c:extLst xmlns:c16r2="http://schemas.microsoft.com/office/drawing/2015/06/chart">
                  <c:ext xmlns:c16="http://schemas.microsoft.com/office/drawing/2014/chart" uri="{C3380CC4-5D6E-409C-BE32-E72D297353CC}">
                    <c16:uniqueId val="{00000000-DB15-4E31-852A-C011D1892EB1}"/>
                  </c:ext>
                </c:extLst>
              </c15:ser>
            </c15:filteredBarSeries>
          </c:ext>
        </c:extLst>
      </c:barChart>
      <c:catAx>
        <c:axId val="3630090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9424"/>
        <c:crosses val="autoZero"/>
        <c:auto val="1"/>
        <c:lblAlgn val="ctr"/>
        <c:lblOffset val="100"/>
        <c:noMultiLvlLbl val="0"/>
      </c:catAx>
      <c:valAx>
        <c:axId val="36300942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3009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who received regular supply of hygiene items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HRP!$D$79</c:f>
              <c:strCache>
                <c:ptCount val="1"/>
                <c:pt idx="0">
                  <c:v>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HRP!$B$80:$B$82</c:f>
              <c:strCache>
                <c:ptCount val="3"/>
                <c:pt idx="0">
                  <c:v>Kachin</c:v>
                </c:pt>
                <c:pt idx="1">
                  <c:v>Rakhine</c:v>
                </c:pt>
                <c:pt idx="2">
                  <c:v>Shan (North)</c:v>
                </c:pt>
              </c:strCache>
            </c:strRef>
          </c:cat>
          <c:val>
            <c:numRef>
              <c:f>HRP!$D$80:$D$82</c:f>
              <c:numCache>
                <c:formatCode>_(* #,##0_);_(* \(#,##0\);_(* "-"??_);_(@_)</c:formatCode>
                <c:ptCount val="3"/>
                <c:pt idx="0">
                  <c:v>33085</c:v>
                </c:pt>
                <c:pt idx="1">
                  <c:v>137085</c:v>
                </c:pt>
                <c:pt idx="2">
                  <c:v>5550</c:v>
                </c:pt>
              </c:numCache>
            </c:numRef>
          </c:val>
          <c:extLst xmlns:c16r2="http://schemas.microsoft.com/office/drawing/2015/06/chart">
            <c:ext xmlns:c16="http://schemas.microsoft.com/office/drawing/2014/chart" uri="{C3380CC4-5D6E-409C-BE32-E72D297353CC}">
              <c16:uniqueId val="{00000001-7F50-42A4-B16D-44D06C465042}"/>
            </c:ext>
          </c:extLst>
        </c:ser>
        <c:ser>
          <c:idx val="2"/>
          <c:order val="2"/>
          <c:tx>
            <c:strRef>
              <c:f>HRP!$E$79</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HRP!$B$80:$B$82</c:f>
              <c:strCache>
                <c:ptCount val="3"/>
                <c:pt idx="0">
                  <c:v>Kachin</c:v>
                </c:pt>
                <c:pt idx="1">
                  <c:v>Rakhine</c:v>
                </c:pt>
                <c:pt idx="2">
                  <c:v>Shan (North)</c:v>
                </c:pt>
              </c:strCache>
            </c:strRef>
          </c:cat>
          <c:val>
            <c:numRef>
              <c:f>HRP!$E$80:$E$82</c:f>
              <c:numCache>
                <c:formatCode>_(* #,##0_);_(* \(#,##0\);_(* "-"??_);_(@_)</c:formatCode>
                <c:ptCount val="3"/>
                <c:pt idx="0">
                  <c:v>83777</c:v>
                </c:pt>
                <c:pt idx="1">
                  <c:v>200346.93</c:v>
                </c:pt>
                <c:pt idx="2">
                  <c:v>14929</c:v>
                </c:pt>
              </c:numCache>
            </c:numRef>
          </c:val>
          <c:extLst xmlns:c16r2="http://schemas.microsoft.com/office/drawing/2015/06/chart">
            <c:ext xmlns:c16="http://schemas.microsoft.com/office/drawing/2014/chart" uri="{C3380CC4-5D6E-409C-BE32-E72D297353CC}">
              <c16:uniqueId val="{00000002-7F50-42A4-B16D-44D06C465042}"/>
            </c:ext>
          </c:extLst>
        </c:ser>
        <c:dLbls>
          <c:showLegendKey val="0"/>
          <c:showVal val="0"/>
          <c:showCatName val="0"/>
          <c:showSerName val="0"/>
          <c:showPercent val="0"/>
          <c:showBubbleSize val="0"/>
        </c:dLbls>
        <c:gapWidth val="150"/>
        <c:overlap val="100"/>
        <c:axId val="516651576"/>
        <c:axId val="51664804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HRP!$C$79</c15:sqref>
                        </c15:formulaRef>
                      </c:ext>
                    </c:extLst>
                    <c:strCache>
                      <c:ptCount val="1"/>
                      <c:pt idx="0">
                        <c:v>Target</c:v>
                      </c:pt>
                    </c:strCache>
                  </c:strRef>
                </c:tx>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HRP!$B$80:$B$82</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HRP!$C$80:$C$82</c15:sqref>
                        </c15:formulaRef>
                      </c:ext>
                    </c:extLst>
                    <c:numCache>
                      <c:formatCode>_(* #,##0_);_(* \(#,##0\);_(* "-"??_);_(@_)</c:formatCode>
                      <c:ptCount val="3"/>
                      <c:pt idx="0">
                        <c:v>116862</c:v>
                      </c:pt>
                      <c:pt idx="1">
                        <c:v>337431.93</c:v>
                      </c:pt>
                      <c:pt idx="2">
                        <c:v>20479</c:v>
                      </c:pt>
                    </c:numCache>
                  </c:numRef>
                </c:val>
                <c:extLst xmlns:c16r2="http://schemas.microsoft.com/office/drawing/2015/06/chart">
                  <c:ext xmlns:c16="http://schemas.microsoft.com/office/drawing/2014/chart" uri="{C3380CC4-5D6E-409C-BE32-E72D297353CC}">
                    <c16:uniqueId val="{00000000-7F50-42A4-B16D-44D06C465042}"/>
                  </c:ext>
                </c:extLst>
              </c15:ser>
            </c15:filteredBarSeries>
          </c:ext>
        </c:extLst>
      </c:barChart>
      <c:catAx>
        <c:axId val="51665157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648048"/>
        <c:crosses val="autoZero"/>
        <c:auto val="1"/>
        <c:lblAlgn val="ctr"/>
        <c:lblOffset val="100"/>
        <c:noMultiLvlLbl val="0"/>
      </c:catAx>
      <c:valAx>
        <c:axId val="51664804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651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2018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HRP!$H$96</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dPt>
          <c:dPt>
            <c:idx val="1"/>
            <c:invertIfNegative val="0"/>
            <c:bubble3D val="0"/>
            <c:spPr>
              <a:solidFill>
                <a:schemeClr val="accent6">
                  <a:lumMod val="75000"/>
                </a:schemeClr>
              </a:solidFill>
              <a:ln>
                <a:noFill/>
              </a:ln>
              <a:effectLst/>
            </c:spPr>
          </c:dPt>
          <c:dPt>
            <c:idx val="2"/>
            <c:invertIfNegative val="0"/>
            <c:bubble3D val="0"/>
            <c:spPr>
              <a:solidFill>
                <a:schemeClr val="accent2">
                  <a:lumMod val="75000"/>
                </a:schemeClr>
              </a:solidFill>
              <a:ln>
                <a:noFill/>
              </a:ln>
              <a:effectLst/>
            </c:spPr>
          </c:dPt>
          <c:dPt>
            <c:idx val="3"/>
            <c:invertIfNegative val="0"/>
            <c:bubble3D val="0"/>
            <c:spPr>
              <a:solidFill>
                <a:schemeClr val="accent2">
                  <a:lumMod val="75000"/>
                </a:schemeClr>
              </a:solidFill>
              <a:ln>
                <a:noFill/>
              </a:ln>
              <a:effectLst/>
            </c:spPr>
          </c:dPt>
          <c:dLbls>
            <c:dLbl>
              <c:idx val="3"/>
              <c:layout>
                <c:manualLayout>
                  <c:x val="2.6657535935854054E-2"/>
                  <c:y val="-6.236916900448738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D5-4496-BE8A-D440D686860E}"/>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HRP!$F$97:$F$102</c:f>
              <c:strCache>
                <c:ptCount val="6"/>
                <c:pt idx="0">
                  <c:v>reached by regular dedicated hygiene promotion</c:v>
                </c:pt>
                <c:pt idx="1">
                  <c:v> received regular supply of hygiene items</c:v>
                </c:pt>
                <c:pt idx="2">
                  <c:v>with access to functional sanitation facilities</c:v>
                </c:pt>
                <c:pt idx="3">
                  <c:v>with access to continuous sanitation services</c:v>
                </c:pt>
                <c:pt idx="4">
                  <c:v> with equitable and safe access to sufficient quantity of drinking water</c:v>
                </c:pt>
                <c:pt idx="5">
                  <c:v>with equitable and safe access to sufficient quantity of domestic water</c:v>
                </c:pt>
              </c:strCache>
            </c:strRef>
          </c:cat>
          <c:val>
            <c:numRef>
              <c:f>HRP!$H$97:$H$102</c:f>
              <c:numCache>
                <c:formatCode>_(* #,##0_);_(* \(#,##0\);_(* "-"??_);_(@_)</c:formatCode>
                <c:ptCount val="6"/>
                <c:pt idx="0">
                  <c:v>147134</c:v>
                </c:pt>
                <c:pt idx="1">
                  <c:v>175720</c:v>
                </c:pt>
                <c:pt idx="2">
                  <c:v>170856</c:v>
                </c:pt>
                <c:pt idx="3">
                  <c:v>157653</c:v>
                </c:pt>
                <c:pt idx="4">
                  <c:v>207454.79120879123</c:v>
                </c:pt>
                <c:pt idx="5">
                  <c:v>210785.79120879123</c:v>
                </c:pt>
              </c:numCache>
            </c:numRef>
          </c:val>
          <c:extLst xmlns:c16r2="http://schemas.microsoft.com/office/drawing/2015/06/chart">
            <c:ext xmlns:c16="http://schemas.microsoft.com/office/drawing/2014/chart" uri="{C3380CC4-5D6E-409C-BE32-E72D297353CC}">
              <c16:uniqueId val="{00000001-CAD5-4496-BE8A-D440D686860E}"/>
            </c:ext>
          </c:extLst>
        </c:ser>
        <c:ser>
          <c:idx val="1"/>
          <c:order val="1"/>
          <c:tx>
            <c:strRef>
              <c:f>HRP!$I$96</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2">
                  <a:lumMod val="40000"/>
                  <a:lumOff val="60000"/>
                </a:schemeClr>
              </a:solidFill>
              <a:ln>
                <a:noFill/>
              </a:ln>
              <a:effectLst/>
            </c:spPr>
          </c:dPt>
          <c:dPt>
            <c:idx val="3"/>
            <c:invertIfNegative val="0"/>
            <c:bubble3D val="0"/>
            <c:spPr>
              <a:solidFill>
                <a:schemeClr val="accent2">
                  <a:lumMod val="40000"/>
                  <a:lumOff val="60000"/>
                </a:schemeClr>
              </a:solidFill>
              <a:ln>
                <a:noFill/>
              </a:ln>
              <a:effectLst/>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HRP!$F$97:$F$102</c:f>
              <c:strCache>
                <c:ptCount val="6"/>
                <c:pt idx="0">
                  <c:v>reached by regular dedicated hygiene promotion</c:v>
                </c:pt>
                <c:pt idx="1">
                  <c:v> received regular supply of hygiene items</c:v>
                </c:pt>
                <c:pt idx="2">
                  <c:v>with access to functional sanitation facilities</c:v>
                </c:pt>
                <c:pt idx="3">
                  <c:v>with access to continuous sanitation services</c:v>
                </c:pt>
                <c:pt idx="4">
                  <c:v> with equitable and safe access to sufficient quantity of drinking water</c:v>
                </c:pt>
                <c:pt idx="5">
                  <c:v>with equitable and safe access to sufficient quantity of domestic water</c:v>
                </c:pt>
              </c:strCache>
            </c:strRef>
          </c:cat>
          <c:val>
            <c:numRef>
              <c:f>HRP!$I$97:$I$102</c:f>
              <c:numCache>
                <c:formatCode>_(* #,##0_);_(* \(#,##0\);_(* "-"??_);_(@_)</c:formatCode>
                <c:ptCount val="6"/>
                <c:pt idx="0">
                  <c:v>72466</c:v>
                </c:pt>
                <c:pt idx="1">
                  <c:v>43880</c:v>
                </c:pt>
                <c:pt idx="2">
                  <c:v>48744</c:v>
                </c:pt>
                <c:pt idx="3">
                  <c:v>61947</c:v>
                </c:pt>
                <c:pt idx="4">
                  <c:v>12145.208791208774</c:v>
                </c:pt>
                <c:pt idx="5">
                  <c:v>8814.2087912087736</c:v>
                </c:pt>
              </c:numCache>
            </c:numRef>
          </c:val>
        </c:ser>
        <c:dLbls>
          <c:showLegendKey val="0"/>
          <c:showVal val="0"/>
          <c:showCatName val="0"/>
          <c:showSerName val="0"/>
          <c:showPercent val="0"/>
          <c:showBubbleSize val="0"/>
        </c:dLbls>
        <c:gapWidth val="150"/>
        <c:overlap val="100"/>
        <c:axId val="516651968"/>
        <c:axId val="516651184"/>
      </c:barChart>
      <c:catAx>
        <c:axId val="51665196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516651184"/>
        <c:crosses val="autoZero"/>
        <c:auto val="1"/>
        <c:lblAlgn val="ctr"/>
        <c:lblOffset val="100"/>
        <c:noMultiLvlLbl val="0"/>
      </c:catAx>
      <c:valAx>
        <c:axId val="51665118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665196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Kachin  Number of ppl Covered against 2018 HRP targets</a:t>
            </a:r>
            <a:endParaRPr lang="en-US" sz="1200">
              <a:effectLst/>
            </a:endParaRPr>
          </a:p>
          <a:p>
            <a:pPr>
              <a:defRPr/>
            </a:pPr>
            <a:r>
              <a:rPr lang="en-US" sz="1200" b="1" i="0" baseline="0">
                <a:effectLst/>
              </a:rPr>
              <a:t> (in IDP camps)</a:t>
            </a:r>
            <a:endParaRPr lang="en-US" sz="12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HRP!$H$110</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E8A8-4037-987C-1EFA4CA8A785}"/>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E8A8-4037-987C-1EFA4CA8A785}"/>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E8A8-4037-987C-1EFA4CA8A785}"/>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E8A8-4037-987C-1EFA4CA8A785}"/>
              </c:ext>
            </c:extLst>
          </c:dPt>
          <c:dLbls>
            <c:dLbl>
              <c:idx val="3"/>
              <c:layout>
                <c:manualLayout>
                  <c:x val="1.6660959959908683E-2"/>
                  <c:y val="-6.236916900448738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A8-4037-987C-1EFA4CA8A785}"/>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HRP!$F$111:$F$116</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HRP!$H$111:$H$116</c:f>
              <c:numCache>
                <c:formatCode>_(* #,##0_);_(* \(#,##0\);_(* "-"??_);_(@_)</c:formatCode>
                <c:ptCount val="6"/>
                <c:pt idx="0">
                  <c:v>52868</c:v>
                </c:pt>
                <c:pt idx="1">
                  <c:v>33085</c:v>
                </c:pt>
                <c:pt idx="2">
                  <c:v>74441</c:v>
                </c:pt>
                <c:pt idx="3">
                  <c:v>34981</c:v>
                </c:pt>
                <c:pt idx="4">
                  <c:v>88001.666666666657</c:v>
                </c:pt>
                <c:pt idx="5">
                  <c:v>88001.666666666657</c:v>
                </c:pt>
              </c:numCache>
            </c:numRef>
          </c:val>
          <c:extLst xmlns:c16r2="http://schemas.microsoft.com/office/drawing/2015/06/chart">
            <c:ext xmlns:c16="http://schemas.microsoft.com/office/drawing/2014/chart" uri="{C3380CC4-5D6E-409C-BE32-E72D297353CC}">
              <c16:uniqueId val="{00000008-E8A8-4037-987C-1EFA4CA8A785}"/>
            </c:ext>
          </c:extLst>
        </c:ser>
        <c:ser>
          <c:idx val="1"/>
          <c:order val="1"/>
          <c:tx>
            <c:strRef>
              <c:f>HRP!$I$110</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A-E8A8-4037-987C-1EFA4CA8A785}"/>
              </c:ext>
            </c:extLst>
          </c:dPt>
          <c:dPt>
            <c:idx val="1"/>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C-E8A8-4037-987C-1EFA4CA8A785}"/>
              </c:ext>
            </c:extLst>
          </c:dPt>
          <c:dPt>
            <c:idx val="2"/>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E-E8A8-4037-987C-1EFA4CA8A785}"/>
              </c:ext>
            </c:extLst>
          </c:dPt>
          <c:dPt>
            <c:idx val="3"/>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10-E8A8-4037-987C-1EFA4CA8A785}"/>
              </c:ext>
            </c:extLst>
          </c:dPt>
          <c:dLbls>
            <c:dLbl>
              <c:idx val="4"/>
              <c:layout>
                <c:manualLayout>
                  <c:x val="1.6660959959908744E-3"/>
                  <c:y val="2.9754632058201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A8-4037-987C-1EFA4CA8A785}"/>
                </c:ext>
                <c:ext xmlns:c15="http://schemas.microsoft.com/office/drawing/2012/chart" uri="{CE6537A1-D6FC-4f65-9D91-7224C49458BB}"/>
              </c:extLst>
            </c:dLbl>
            <c:dLbl>
              <c:idx val="5"/>
              <c:layout>
                <c:manualLayout>
                  <c:x val="1.2217896161754027E-16"/>
                  <c:y val="-2.975463205820287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A8-4037-987C-1EFA4CA8A785}"/>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HRP!$F$111:$F$116</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HRP!$I$111:$I$116</c:f>
              <c:numCache>
                <c:formatCode>_(* #,##0_);_(* \(#,##0\);_(* "-"??_);_(@_)</c:formatCode>
                <c:ptCount val="6"/>
                <c:pt idx="0">
                  <c:v>34979</c:v>
                </c:pt>
                <c:pt idx="1">
                  <c:v>54762</c:v>
                </c:pt>
                <c:pt idx="2">
                  <c:v>13406</c:v>
                </c:pt>
                <c:pt idx="3">
                  <c:v>52866</c:v>
                </c:pt>
                <c:pt idx="4">
                  <c:v>-154.66666666665697</c:v>
                </c:pt>
                <c:pt idx="5">
                  <c:v>-154.66666666665697</c:v>
                </c:pt>
              </c:numCache>
            </c:numRef>
          </c:val>
          <c:extLst xmlns:c16r2="http://schemas.microsoft.com/office/drawing/2015/06/chart">
            <c:ext xmlns:c16="http://schemas.microsoft.com/office/drawing/2014/chart" uri="{C3380CC4-5D6E-409C-BE32-E72D297353CC}">
              <c16:uniqueId val="{00000013-E8A8-4037-987C-1EFA4CA8A785}"/>
            </c:ext>
          </c:extLst>
        </c:ser>
        <c:dLbls>
          <c:showLegendKey val="0"/>
          <c:showVal val="0"/>
          <c:showCatName val="0"/>
          <c:showSerName val="0"/>
          <c:showPercent val="0"/>
          <c:showBubbleSize val="0"/>
        </c:dLbls>
        <c:gapWidth val="150"/>
        <c:overlap val="100"/>
        <c:axId val="516649224"/>
        <c:axId val="516653928"/>
      </c:barChart>
      <c:catAx>
        <c:axId val="516649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516653928"/>
        <c:crosses val="autoZero"/>
        <c:auto val="1"/>
        <c:lblAlgn val="ctr"/>
        <c:lblOffset val="100"/>
        <c:noMultiLvlLbl val="0"/>
      </c:catAx>
      <c:valAx>
        <c:axId val="516653928"/>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6492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Rakhine Number of ppl Covered</a:t>
            </a:r>
            <a:r>
              <a:rPr lang="en-US" sz="1200" baseline="0"/>
              <a:t> against 2018 HRP targets</a:t>
            </a:r>
          </a:p>
          <a:p>
            <a:pPr>
              <a:defRPr sz="1200"/>
            </a:pPr>
            <a:r>
              <a:rPr lang="en-US" sz="1200"/>
              <a:t> (in</a:t>
            </a:r>
            <a:r>
              <a:rPr lang="en-US" sz="1200" baseline="0"/>
              <a:t> IDP camps)</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HRP!$H$128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E308-4CE9-A15B-A8FE38957C12}"/>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E308-4CE9-A15B-A8FE38957C12}"/>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E308-4CE9-A15B-A8FE38957C12}"/>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E308-4CE9-A15B-A8FE38957C1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HRP!$F$129:$F$134</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HRP!$H$129:$H$134</c:f>
              <c:numCache>
                <c:formatCode>_(* #,##0_);_(* \(#,##0\);_(* "-"??_);_(@_)</c:formatCode>
                <c:ptCount val="6"/>
                <c:pt idx="0">
                  <c:v>85701</c:v>
                </c:pt>
                <c:pt idx="1">
                  <c:v>121645</c:v>
                </c:pt>
                <c:pt idx="2">
                  <c:v>87766</c:v>
                </c:pt>
                <c:pt idx="3">
                  <c:v>121730</c:v>
                </c:pt>
                <c:pt idx="4">
                  <c:v>109906.12454212454</c:v>
                </c:pt>
                <c:pt idx="5">
                  <c:v>113237.12454212455</c:v>
                </c:pt>
              </c:numCache>
            </c:numRef>
          </c:val>
          <c:extLst xmlns:c16r2="http://schemas.microsoft.com/office/drawing/2015/06/chart">
            <c:ext xmlns:c16="http://schemas.microsoft.com/office/drawing/2014/chart" uri="{C3380CC4-5D6E-409C-BE32-E72D297353CC}">
              <c16:uniqueId val="{00000008-E308-4CE9-A15B-A8FE38957C12}"/>
            </c:ext>
          </c:extLst>
        </c:ser>
        <c:ser>
          <c:idx val="1"/>
          <c:order val="1"/>
          <c:tx>
            <c:strRef>
              <c:f>HRP!$I$128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A-E308-4CE9-A15B-A8FE38957C12}"/>
              </c:ext>
            </c:extLst>
          </c:dPt>
          <c:dPt>
            <c:idx val="1"/>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C-E308-4CE9-A15B-A8FE38957C12}"/>
              </c:ext>
            </c:extLst>
          </c:dPt>
          <c:dPt>
            <c:idx val="2"/>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E-E308-4CE9-A15B-A8FE38957C12}"/>
              </c:ext>
            </c:extLst>
          </c:dPt>
          <c:dPt>
            <c:idx val="3"/>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10-E308-4CE9-A15B-A8FE38957C12}"/>
              </c:ext>
            </c:extLst>
          </c:dPt>
          <c:dLbls>
            <c:dLbl>
              <c:idx val="4"/>
              <c:layout>
                <c:manualLayout>
                  <c:x val="-1.2107536113273226E-16"/>
                  <c:y val="-2.811212887839467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08-4CE9-A15B-A8FE38957C12}"/>
                </c:ext>
                <c:ext xmlns:c15="http://schemas.microsoft.com/office/drawing/2012/chart" uri="{CE6537A1-D6FC-4f65-9D91-7224C49458BB}"/>
              </c:extLst>
            </c:dLbl>
            <c:dLbl>
              <c:idx val="5"/>
              <c:layout>
                <c:manualLayout>
                  <c:x val="6.7653914605783341E-3"/>
                  <c:y val="-2.836668752571872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08-4CE9-A15B-A8FE38957C12}"/>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HRP!$F$129:$F$134</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HRP!$I$129:$I$134</c:f>
              <c:numCache>
                <c:formatCode>_(* #,##0_);_(* \(#,##0\);_(* "-"??_);_(@_)</c:formatCode>
                <c:ptCount val="6"/>
                <c:pt idx="0">
                  <c:v>34402</c:v>
                </c:pt>
                <c:pt idx="1">
                  <c:v>-1542</c:v>
                </c:pt>
                <c:pt idx="2">
                  <c:v>32337</c:v>
                </c:pt>
                <c:pt idx="3">
                  <c:v>-1627</c:v>
                </c:pt>
                <c:pt idx="4">
                  <c:v>10196.87545787546</c:v>
                </c:pt>
                <c:pt idx="5">
                  <c:v>6865.8754578754451</c:v>
                </c:pt>
              </c:numCache>
            </c:numRef>
          </c:val>
          <c:extLst xmlns:c16r2="http://schemas.microsoft.com/office/drawing/2015/06/char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516655496"/>
        <c:axId val="516654320"/>
      </c:barChart>
      <c:catAx>
        <c:axId val="5166554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516654320"/>
        <c:crosses val="autoZero"/>
        <c:auto val="1"/>
        <c:lblAlgn val="ctr"/>
        <c:lblOffset val="100"/>
        <c:noMultiLvlLbl val="0"/>
      </c:catAx>
      <c:valAx>
        <c:axId val="516654320"/>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65549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Shan Number of ppl Covered against 2018 HRP targets</a:t>
            </a:r>
            <a:endParaRPr lang="en-US" sz="1200">
              <a:effectLst/>
            </a:endParaRPr>
          </a:p>
          <a:p>
            <a:pPr>
              <a:defRPr sz="1200"/>
            </a:pPr>
            <a:r>
              <a:rPr lang="en-US" sz="1200" b="1" i="0" baseline="0">
                <a:effectLst/>
              </a:rPr>
              <a:t> (in IDP camps)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HRP!$H$145</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5-9CB2-4CA1-B9B8-76D1655698A1}"/>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6-9CB2-4CA1-B9B8-76D1655698A1}"/>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17-9CB2-4CA1-B9B8-76D1655698A1}"/>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0-0CB7-4264-A3F9-A84426FA15A3}"/>
              </c:ext>
            </c:extLst>
          </c:dPt>
          <c:dLbls>
            <c:dLbl>
              <c:idx val="3"/>
              <c:layout>
                <c:manualLayout>
                  <c:x val="6.736062658647137E-3"/>
                  <c:y val="-9.065017912270439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B7-4264-A3F9-A84426FA15A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HRP!$F$146:$F$151</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HRP!$H$146:$H$151</c:f>
              <c:numCache>
                <c:formatCode>_(* #,##0_);_(* \(#,##0\);_(* "-"??_);_(@_)</c:formatCode>
                <c:ptCount val="6"/>
                <c:pt idx="0">
                  <c:v>8565</c:v>
                </c:pt>
                <c:pt idx="1">
                  <c:v>5550</c:v>
                </c:pt>
                <c:pt idx="2">
                  <c:v>8649</c:v>
                </c:pt>
                <c:pt idx="3">
                  <c:v>942</c:v>
                </c:pt>
                <c:pt idx="4">
                  <c:v>9547</c:v>
                </c:pt>
                <c:pt idx="5">
                  <c:v>9547</c:v>
                </c:pt>
              </c:numCache>
            </c:numRef>
          </c:val>
          <c:extLst xmlns:c16r2="http://schemas.microsoft.com/office/drawing/2015/06/chart">
            <c:ext xmlns:c16="http://schemas.microsoft.com/office/drawing/2014/chart" uri="{C3380CC4-5D6E-409C-BE32-E72D297353CC}">
              <c16:uniqueId val="{00000001-0CB7-4264-A3F9-A84426FA15A3}"/>
            </c:ext>
          </c:extLst>
        </c:ser>
        <c:ser>
          <c:idx val="1"/>
          <c:order val="1"/>
          <c:tx>
            <c:strRef>
              <c:f>HRP!$I$145</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E-9CB2-4CA1-B9B8-76D1655698A1}"/>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F-9CB2-4CA1-B9B8-76D1655698A1}"/>
              </c:ext>
            </c:extLst>
          </c:dPt>
          <c:dPt>
            <c:idx val="2"/>
            <c:invertIfNegative val="0"/>
            <c:bubble3D val="0"/>
            <c:spPr>
              <a:solidFill>
                <a:schemeClr val="accent2">
                  <a:lumMod val="60000"/>
                  <a:lumOff val="40000"/>
                </a:schemeClr>
              </a:solidFill>
              <a:ln>
                <a:noFill/>
              </a:ln>
              <a:effectLst/>
            </c:spPr>
            <c:extLst xmlns:c16r2="http://schemas.microsoft.com/office/drawing/2015/06/chart">
              <c:ext xmlns:c16="http://schemas.microsoft.com/office/drawing/2014/chart" uri="{C3380CC4-5D6E-409C-BE32-E72D297353CC}">
                <c16:uniqueId val="{0000001C-9CB2-4CA1-B9B8-76D1655698A1}"/>
              </c:ext>
            </c:extLst>
          </c:dPt>
          <c:dPt>
            <c:idx val="3"/>
            <c:invertIfNegative val="0"/>
            <c:bubble3D val="0"/>
            <c:spPr>
              <a:solidFill>
                <a:schemeClr val="accent2">
                  <a:lumMod val="60000"/>
                  <a:lumOff val="40000"/>
                </a:schemeClr>
              </a:solidFill>
              <a:ln>
                <a:noFill/>
              </a:ln>
              <a:effectLst/>
            </c:spPr>
            <c:extLst xmlns:c16r2="http://schemas.microsoft.com/office/drawing/2015/06/chart">
              <c:ext xmlns:c16="http://schemas.microsoft.com/office/drawing/2014/chart" uri="{C3380CC4-5D6E-409C-BE32-E72D297353CC}">
                <c16:uniqueId val="{0000001B-9CB2-4CA1-B9B8-76D1655698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HRP!$F$146:$F$151</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HRP!$I$146:$I$151</c:f>
              <c:numCache>
                <c:formatCode>_(* #,##0_);_(* \(#,##0\);_(* "-"??_);_(@_)</c:formatCode>
                <c:ptCount val="6"/>
                <c:pt idx="0">
                  <c:v>3085</c:v>
                </c:pt>
                <c:pt idx="1">
                  <c:v>6100</c:v>
                </c:pt>
                <c:pt idx="2">
                  <c:v>3001</c:v>
                </c:pt>
                <c:pt idx="3">
                  <c:v>10708</c:v>
                </c:pt>
                <c:pt idx="4">
                  <c:v>2103</c:v>
                </c:pt>
                <c:pt idx="5">
                  <c:v>2103</c:v>
                </c:pt>
              </c:numCache>
            </c:numRef>
          </c:val>
          <c:extLst xmlns:c16r2="http://schemas.microsoft.com/office/drawing/2015/06/chart">
            <c:ext xmlns:c16="http://schemas.microsoft.com/office/drawing/2014/chart" uri="{C3380CC4-5D6E-409C-BE32-E72D297353CC}">
              <c16:uniqueId val="{00000002-0CB7-4264-A3F9-A84426FA15A3}"/>
            </c:ext>
          </c:extLst>
        </c:ser>
        <c:dLbls>
          <c:showLegendKey val="0"/>
          <c:showVal val="0"/>
          <c:showCatName val="0"/>
          <c:showSerName val="0"/>
          <c:showPercent val="0"/>
          <c:showBubbleSize val="0"/>
        </c:dLbls>
        <c:gapWidth val="150"/>
        <c:overlap val="100"/>
        <c:axId val="516650400"/>
        <c:axId val="516655104"/>
      </c:barChart>
      <c:catAx>
        <c:axId val="51665040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516655104"/>
        <c:crosses val="autoZero"/>
        <c:auto val="1"/>
        <c:lblAlgn val="ctr"/>
        <c:lblOffset val="100"/>
        <c:noMultiLvlLbl val="0"/>
      </c:catAx>
      <c:valAx>
        <c:axId val="516655104"/>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65040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2018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 (Non-IDP</a:t>
            </a:r>
            <a:r>
              <a:rPr lang="en-US" sz="1400" baseline="0"/>
              <a:t>)</a:t>
            </a:r>
            <a:endParaRPr lang="en-US" sz="14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HRP!$AA$96</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dPt>
          <c:dPt>
            <c:idx val="1"/>
            <c:invertIfNegative val="0"/>
            <c:bubble3D val="0"/>
            <c:spPr>
              <a:solidFill>
                <a:schemeClr val="accent2">
                  <a:lumMod val="75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HRP!$Y$97:$Y$100</c:f>
              <c:strCache>
                <c:ptCount val="4"/>
                <c:pt idx="0">
                  <c:v>Number of people reached by regular dedicated hygiene promotion</c:v>
                </c:pt>
                <c:pt idx="1">
                  <c:v>Number of people with access to functional sanitation facilities</c:v>
                </c:pt>
                <c:pt idx="2">
                  <c:v>Number of people with equitable and safe access to sufficient quantity of drinking water</c:v>
                </c:pt>
                <c:pt idx="3">
                  <c:v>Number of people with equitable and safe access to sufficient quantity of domestic water</c:v>
                </c:pt>
              </c:strCache>
            </c:strRef>
          </c:cat>
          <c:val>
            <c:numRef>
              <c:f>HRP!$AA$97:$AA$100</c:f>
              <c:numCache>
                <c:formatCode>_(* #,##0_);_(* \(#,##0\);_(* "-"??_);_(@_)</c:formatCode>
                <c:ptCount val="4"/>
                <c:pt idx="0">
                  <c:v>41157</c:v>
                </c:pt>
                <c:pt idx="1">
                  <c:v>17393</c:v>
                </c:pt>
                <c:pt idx="2">
                  <c:v>30820</c:v>
                </c:pt>
                <c:pt idx="3">
                  <c:v>38481</c:v>
                </c:pt>
              </c:numCache>
            </c:numRef>
          </c:val>
          <c:extLst xmlns:c16r2="http://schemas.microsoft.com/office/drawing/2015/06/chart">
            <c:ext xmlns:c16="http://schemas.microsoft.com/office/drawing/2014/chart" uri="{C3380CC4-5D6E-409C-BE32-E72D297353CC}">
              <c16:uniqueId val="{00000000-851F-45C7-9C99-A7FF6B6487FE}"/>
            </c:ext>
          </c:extLst>
        </c:ser>
        <c:ser>
          <c:idx val="1"/>
          <c:order val="1"/>
          <c:tx>
            <c:strRef>
              <c:f>HRP!$AB$96</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HRP!$Y$97:$Y$100</c:f>
              <c:strCache>
                <c:ptCount val="4"/>
                <c:pt idx="0">
                  <c:v>Number of people reached by regular dedicated hygiene promotion</c:v>
                </c:pt>
                <c:pt idx="1">
                  <c:v>Number of people with access to functional sanitation facilities</c:v>
                </c:pt>
                <c:pt idx="2">
                  <c:v>Number of people with equitable and safe access to sufficient quantity of drinking water</c:v>
                </c:pt>
                <c:pt idx="3">
                  <c:v>Number of people with equitable and safe access to sufficient quantity of domestic water</c:v>
                </c:pt>
              </c:strCache>
            </c:strRef>
          </c:cat>
          <c:val>
            <c:numRef>
              <c:f>HRP!$AB$97:$AB$100</c:f>
              <c:numCache>
                <c:formatCode>_(* #,##0_);_(* \(#,##0\);_(* "-"??_);_(@_)</c:formatCode>
                <c:ptCount val="4"/>
                <c:pt idx="0">
                  <c:v>255721</c:v>
                </c:pt>
                <c:pt idx="1">
                  <c:v>279485</c:v>
                </c:pt>
                <c:pt idx="2">
                  <c:v>266058</c:v>
                </c:pt>
                <c:pt idx="3">
                  <c:v>258397</c:v>
                </c:pt>
              </c:numCache>
            </c:numRef>
          </c:val>
          <c:extLst xmlns:c16r2="http://schemas.microsoft.com/office/drawing/2015/06/chart">
            <c:ext xmlns:c16="http://schemas.microsoft.com/office/drawing/2014/chart" uri="{C3380CC4-5D6E-409C-BE32-E72D297353CC}">
              <c16:uniqueId val="{00000001-851F-45C7-9C99-A7FF6B6487FE}"/>
            </c:ext>
          </c:extLst>
        </c:ser>
        <c:dLbls>
          <c:showLegendKey val="0"/>
          <c:showVal val="0"/>
          <c:showCatName val="0"/>
          <c:showSerName val="0"/>
          <c:showPercent val="0"/>
          <c:showBubbleSize val="0"/>
        </c:dLbls>
        <c:gapWidth val="150"/>
        <c:overlap val="100"/>
        <c:axId val="516648440"/>
        <c:axId val="516648832"/>
      </c:barChart>
      <c:catAx>
        <c:axId val="5166484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516648832"/>
        <c:crosses val="autoZero"/>
        <c:auto val="1"/>
        <c:lblAlgn val="ctr"/>
        <c:lblOffset val="100"/>
        <c:noMultiLvlLbl val="0"/>
      </c:catAx>
      <c:valAx>
        <c:axId val="516648832"/>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664844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r>
              <a:rPr lang="en-US" sz="1200" b="1" i="0" baseline="0">
                <a:effectLst/>
              </a:rPr>
              <a:t>Rakhine Number of ppl Covered against 2018 HRP targets</a:t>
            </a:r>
            <a:endParaRPr lang="en-U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rgbClr val="44546A"/>
                </a:solidFill>
              </a:defRPr>
            </a:pPr>
            <a:r>
              <a:rPr lang="en-US" sz="1200"/>
              <a:t>(Non-IDP)</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HRP!$AA$128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rgbClr val="0070C0"/>
              </a:solidFill>
              <a:ln>
                <a:noFill/>
              </a:ln>
              <a:effectLst/>
            </c:spPr>
          </c:dPt>
          <c:dPt>
            <c:idx val="3"/>
            <c:invertIfNegative val="0"/>
            <c:bubble3D val="0"/>
            <c:spPr>
              <a:solidFill>
                <a:srgbClr val="0070C0"/>
              </a:solidFill>
              <a:ln>
                <a:noFill/>
              </a:ln>
              <a:effectLst/>
            </c:spPr>
          </c:dPt>
          <c:dLbls>
            <c:dLbl>
              <c:idx val="1"/>
              <c:layout>
                <c:manualLayout>
                  <c:x val="1.9856577800545012E-2"/>
                  <c:y val="-3.221677271143013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7D-42B2-9B65-739548585F3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HRP!$AA$129:$AA$134</c15:sqref>
                  </c15:fullRef>
                </c:ext>
              </c:extLst>
              <c:f>(HRP!$AA$129,HRP!$AA$131,HRP!$AA$133:$AA$134)</c:f>
              <c:numCache>
                <c:formatCode>_(* #,##0_);_(* \(#,##0\);_(* "-"??_);_(@_)</c:formatCode>
                <c:ptCount val="4"/>
                <c:pt idx="0">
                  <c:v>41157</c:v>
                </c:pt>
                <c:pt idx="1">
                  <c:v>17393</c:v>
                </c:pt>
                <c:pt idx="2">
                  <c:v>30820</c:v>
                </c:pt>
                <c:pt idx="3">
                  <c:v>38481</c:v>
                </c:pt>
              </c:numCache>
            </c:numRef>
          </c:val>
          <c:extLst xmlns:c16r2="http://schemas.microsoft.com/office/drawing/2015/06/chart">
            <c:ext xmlns:c16="http://schemas.microsoft.com/office/drawing/2014/chart" uri="{C3380CC4-5D6E-409C-BE32-E72D297353CC}">
              <c16:uniqueId val="{00000003-057D-42B2-9B65-739548585F31}"/>
            </c:ext>
            <c:ext xmlns:c15="http://schemas.microsoft.com/office/drawing/2012/chart" uri="{02D57815-91ED-43cb-92C2-25804820EDAC}">
              <c15:categoryFilterExceptions>
                <c15:categoryFilterException>
                  <c15:sqref>HRP!$AA$130</c15:sqref>
                  <c15:dLbl>
                    <c:idx val="0"/>
                    <c:layout>
                      <c:manualLayout>
                        <c:x val="2.5272008109784624E-2"/>
                        <c:y val="3.221677271142925E-3"/>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2-057D-42B2-9B65-739548585F31}"/>
                      </c:ext>
                      <c:ext uri="{CE6537A1-D6FC-4f65-9D91-7224C49458BB}"/>
                    </c:extLst>
                  </c15:dLbl>
                </c15:categoryFilterException>
                <c15:categoryFilterException>
                  <c15:sqref>HRP!$AA$132</c15:sqref>
                  <c15:dLbl>
                    <c:idx val="1"/>
                    <c:layout>
                      <c:manualLayout>
                        <c:x val="1.4441147491305397E-2"/>
                        <c:y val="-5.9063400998839084E-17"/>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1-057D-42B2-9B65-739548585F31}"/>
                      </c:ext>
                      <c:ext uri="{CE6537A1-D6FC-4f65-9D91-7224C49458BB}"/>
                    </c:extLst>
                  </c15:dLbl>
                </c15:categoryFilterException>
              </c15:categoryFilterExceptions>
            </c:ext>
          </c:extLst>
        </c:ser>
        <c:ser>
          <c:idx val="1"/>
          <c:order val="1"/>
          <c:tx>
            <c:strRef>
              <c:f>HRP!$AB$128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HRP!$AB$129:$AB$134</c15:sqref>
                  </c15:fullRef>
                </c:ext>
              </c:extLst>
              <c:f>(HRP!$AB$129,HRP!$AB$131,HRP!$AB$133:$AB$134)</c:f>
              <c:numCache>
                <c:formatCode>_(* #,##0_);_(* \(#,##0\);_(* "-"??_);_(@_)</c:formatCode>
                <c:ptCount val="4"/>
                <c:pt idx="0">
                  <c:v>217877</c:v>
                </c:pt>
                <c:pt idx="1">
                  <c:v>241641</c:v>
                </c:pt>
                <c:pt idx="2">
                  <c:v>228214</c:v>
                </c:pt>
                <c:pt idx="3">
                  <c:v>220553</c:v>
                </c:pt>
              </c:numCache>
            </c:numRef>
          </c:val>
          <c:extLst xmlns:c16r2="http://schemas.microsoft.com/office/drawing/2015/06/char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516652752"/>
        <c:axId val="516653144"/>
      </c:barChart>
      <c:catAx>
        <c:axId val="51665275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516653144"/>
        <c:crosses val="autoZero"/>
        <c:auto val="1"/>
        <c:lblAlgn val="ctr"/>
        <c:lblOffset val="100"/>
        <c:noMultiLvlLbl val="0"/>
      </c:catAx>
      <c:valAx>
        <c:axId val="51665314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652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ppl covered against 2018 HRP targets</a:t>
            </a:r>
          </a:p>
          <a:p>
            <a:pPr>
              <a:defRPr sz="1400"/>
            </a:pPr>
            <a:r>
              <a:rPr lang="en-US" sz="1400" b="1" i="0" baseline="0">
                <a:effectLst/>
              </a:rPr>
              <a:t>(IDPs &amp; Non-IDPs)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HRP!$AU$96</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chemeClr val="accent6">
                  <a:lumMod val="75000"/>
                </a:schemeClr>
              </a:solidFill>
              <a:ln>
                <a:noFill/>
              </a:ln>
              <a:effectLst/>
            </c:spPr>
          </c:dPt>
          <c:dPt>
            <c:idx val="1"/>
            <c:invertIfNegative val="0"/>
            <c:bubble3D val="0"/>
            <c:spPr>
              <a:solidFill>
                <a:schemeClr val="accent6">
                  <a:lumMod val="75000"/>
                </a:schemeClr>
              </a:solidFill>
              <a:ln>
                <a:noFill/>
              </a:ln>
              <a:effectLst/>
            </c:spPr>
          </c:dPt>
          <c:dPt>
            <c:idx val="2"/>
            <c:invertIfNegative val="0"/>
            <c:bubble3D val="0"/>
            <c:spPr>
              <a:solidFill>
                <a:schemeClr val="accent2">
                  <a:lumMod val="75000"/>
                </a:schemeClr>
              </a:solidFill>
              <a:ln>
                <a:noFill/>
              </a:ln>
              <a:effectLst/>
            </c:spPr>
          </c:dPt>
          <c:dPt>
            <c:idx val="3"/>
            <c:invertIfNegative val="0"/>
            <c:bubble3D val="0"/>
            <c:spPr>
              <a:solidFill>
                <a:schemeClr val="accent2">
                  <a:lumMod val="75000"/>
                </a:schemeClr>
              </a:solidFill>
              <a:ln>
                <a:noFill/>
              </a:ln>
              <a:effectLst/>
            </c:spPr>
          </c:dPt>
          <c:dPt>
            <c:idx val="4"/>
            <c:invertIfNegative val="0"/>
            <c:bubble3D val="0"/>
            <c:spPr>
              <a:solidFill>
                <a:srgbClr val="0070C0"/>
              </a:solidFill>
              <a:ln>
                <a:noFill/>
              </a:ln>
              <a:effectLst/>
            </c:spPr>
          </c:dPt>
          <c:dPt>
            <c:idx val="5"/>
            <c:invertIfNegative val="0"/>
            <c:bubble3D val="0"/>
            <c:spPr>
              <a:solidFill>
                <a:srgbClr val="0070C0"/>
              </a:solidFill>
              <a:ln>
                <a:noFill/>
              </a:ln>
              <a:effectLst/>
            </c:spPr>
          </c:dPt>
          <c:dLbls>
            <c:dLbl>
              <c:idx val="3"/>
              <c:layout>
                <c:manualLayout>
                  <c:x val="-2.1199500396823601E-4"/>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HRP!$AS$97:$AS$102</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HRP!$AU$97:$AU$102</c:f>
              <c:numCache>
                <c:formatCode>_(* #,##0_);_(* \(#,##0\);_(* "-"??_);_(@_)</c:formatCode>
                <c:ptCount val="6"/>
                <c:pt idx="0">
                  <c:v>194188</c:v>
                </c:pt>
                <c:pt idx="1">
                  <c:v>175720</c:v>
                </c:pt>
                <c:pt idx="2">
                  <c:v>184716</c:v>
                </c:pt>
                <c:pt idx="3">
                  <c:v>157653</c:v>
                </c:pt>
                <c:pt idx="4">
                  <c:v>232625.25787545787</c:v>
                </c:pt>
                <c:pt idx="5">
                  <c:v>243617.25787545787</c:v>
                </c:pt>
              </c:numCache>
            </c:numRef>
          </c:val>
        </c:ser>
        <c:ser>
          <c:idx val="1"/>
          <c:order val="1"/>
          <c:tx>
            <c:strRef>
              <c:f>HRP!$AV$96</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2">
                  <a:lumMod val="40000"/>
                  <a:lumOff val="60000"/>
                </a:schemeClr>
              </a:solidFill>
              <a:ln>
                <a:noFill/>
              </a:ln>
              <a:effectLst/>
            </c:spPr>
          </c:dPt>
          <c:dPt>
            <c:idx val="3"/>
            <c:invertIfNegative val="0"/>
            <c:bubble3D val="0"/>
            <c:spPr>
              <a:solidFill>
                <a:schemeClr val="accent2">
                  <a:lumMod val="40000"/>
                  <a:lumOff val="60000"/>
                </a:schemeClr>
              </a:solidFill>
              <a:ln>
                <a:noFill/>
              </a:ln>
              <a:effectLst/>
            </c:spPr>
          </c:dPt>
          <c:dPt>
            <c:idx val="4"/>
            <c:invertIfNegative val="0"/>
            <c:bubble3D val="0"/>
            <c:spPr>
              <a:solidFill>
                <a:schemeClr val="accent1">
                  <a:lumMod val="40000"/>
                  <a:lumOff val="60000"/>
                </a:schemeClr>
              </a:solidFill>
              <a:ln>
                <a:noFill/>
              </a:ln>
              <a:effectLst/>
            </c:spPr>
          </c:dPt>
          <c:dPt>
            <c:idx val="5"/>
            <c:invertIfNegative val="0"/>
            <c:bubble3D val="0"/>
            <c:spPr>
              <a:solidFill>
                <a:schemeClr val="accent1">
                  <a:lumMod val="40000"/>
                  <a:lumOff val="60000"/>
                </a:schemeClr>
              </a:solidFill>
              <a:ln>
                <a:noFill/>
              </a:ln>
              <a:effectLst/>
            </c:spPr>
          </c:dPt>
          <c:dLbls>
            <c:dLbl>
              <c:idx val="3"/>
              <c:layout>
                <c:manualLayout>
                  <c:x val="2.0536510681896242E-2"/>
                  <c:y val="2.602895321387888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HRP!$AS$97:$AS$102</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HRP!$AV$97:$AV$102</c:f>
              <c:numCache>
                <c:formatCode>_(* #,##0_);_(* \(#,##0\);_(* "-"??_);_(@_)</c:formatCode>
                <c:ptCount val="6"/>
                <c:pt idx="0">
                  <c:v>322290</c:v>
                </c:pt>
                <c:pt idx="1">
                  <c:v>340758</c:v>
                </c:pt>
                <c:pt idx="2">
                  <c:v>331762</c:v>
                </c:pt>
                <c:pt idx="3">
                  <c:v>358825</c:v>
                </c:pt>
                <c:pt idx="4">
                  <c:v>283852.74212454213</c:v>
                </c:pt>
                <c:pt idx="5">
                  <c:v>272860.74212454213</c:v>
                </c:pt>
              </c:numCache>
            </c:numRef>
          </c:val>
        </c:ser>
        <c:dLbls>
          <c:showLegendKey val="0"/>
          <c:showVal val="0"/>
          <c:showCatName val="0"/>
          <c:showSerName val="0"/>
          <c:showPercent val="0"/>
          <c:showBubbleSize val="0"/>
        </c:dLbls>
        <c:gapWidth val="150"/>
        <c:overlap val="100"/>
        <c:axId val="517538408"/>
        <c:axId val="517538016"/>
      </c:barChart>
      <c:catAx>
        <c:axId val="51753840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517538016"/>
        <c:crosses val="autoZero"/>
        <c:auto val="1"/>
        <c:lblAlgn val="ctr"/>
        <c:lblOffset val="100"/>
        <c:noMultiLvlLbl val="0"/>
      </c:catAx>
      <c:valAx>
        <c:axId val="51753801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753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HRP!$H$25</c:f>
              <c:strCache>
                <c:ptCount val="1"/>
                <c:pt idx="0">
                  <c:v>% Reached</c:v>
                </c:pt>
              </c:strCache>
            </c:strRef>
          </c:tx>
          <c:spPr>
            <a:solidFill>
              <a:schemeClr val="tx1">
                <a:lumMod val="65000"/>
                <a:lumOff val="35000"/>
              </a:schemeClr>
            </a:solidFill>
            <a:ln>
              <a:noFill/>
            </a:ln>
            <a:effectLst/>
          </c:spPr>
          <c:invertIfNegative val="0"/>
          <c:cat>
            <c:multiLvlStrRef>
              <c:f>HRP!$C$26:$D$43</c:f>
              <c:multiLvlStrCache>
                <c:ptCount val="18"/>
                <c:lvl>
                  <c:pt idx="0">
                    <c:v>Kachin</c:v>
                  </c:pt>
                  <c:pt idx="1">
                    <c:v>Rakhine</c:v>
                  </c:pt>
                  <c:pt idx="2">
                    <c:v>Shan (North)</c:v>
                  </c:pt>
                  <c:pt idx="3">
                    <c:v>Kachin</c:v>
                  </c:pt>
                  <c:pt idx="4">
                    <c:v>Rakhine</c:v>
                  </c:pt>
                  <c:pt idx="5">
                    <c:v>Shan (North)</c:v>
                  </c:pt>
                  <c:pt idx="6">
                    <c:v>Kachin</c:v>
                  </c:pt>
                  <c:pt idx="7">
                    <c:v>Rakhine</c:v>
                  </c:pt>
                  <c:pt idx="8">
                    <c:v>Shan (North)</c:v>
                  </c:pt>
                  <c:pt idx="9">
                    <c:v>Kachin</c:v>
                  </c:pt>
                  <c:pt idx="10">
                    <c:v>Rakhine</c:v>
                  </c:pt>
                  <c:pt idx="11">
                    <c:v>Shan (North)</c:v>
                  </c:pt>
                  <c:pt idx="12">
                    <c:v>Kachin</c:v>
                  </c:pt>
                  <c:pt idx="13">
                    <c:v>Rakhine</c:v>
                  </c:pt>
                  <c:pt idx="14">
                    <c:v>Shan (North)</c:v>
                  </c:pt>
                  <c:pt idx="15">
                    <c:v>Kachin</c:v>
                  </c:pt>
                  <c:pt idx="16">
                    <c:v>Rakhine</c:v>
                  </c:pt>
                  <c:pt idx="17">
                    <c:v>Shan (North)</c:v>
                  </c:pt>
                </c:lvl>
                <c:lvl>
                  <c:pt idx="0">
                    <c:v>Number of people with equitable and safe access to sufficient quantity of drinking water</c:v>
                  </c:pt>
                  <c:pt idx="3">
                    <c:v>Number of people with equitable and safe access to sufficient quantity of domestic water</c:v>
                  </c:pt>
                  <c:pt idx="6">
                    <c:v>Number of people with access to functional sanitation facilities</c:v>
                  </c:pt>
                  <c:pt idx="9">
                    <c:v>Number of people with access to continuous sanitation services</c:v>
                  </c:pt>
                  <c:pt idx="12">
                    <c:v>Number of people reached by regular dedicated hygiene promotion/behavior change activities</c:v>
                  </c:pt>
                  <c:pt idx="15">
                    <c:v>Number of people who received regular supply of hygiene items</c:v>
                  </c:pt>
                </c:lvl>
              </c:multiLvlStrCache>
            </c:multiLvlStrRef>
          </c:cat>
          <c:val>
            <c:numRef>
              <c:f>HRP!$H$26:$H$43</c:f>
              <c:numCache>
                <c:formatCode>0%</c:formatCode>
                <c:ptCount val="18"/>
                <c:pt idx="0">
                  <c:v>0.75303919722978108</c:v>
                </c:pt>
                <c:pt idx="1">
                  <c:v>0.37117486434224184</c:v>
                </c:pt>
                <c:pt idx="2">
                  <c:v>0.4661848723082182</c:v>
                </c:pt>
                <c:pt idx="3">
                  <c:v>0.75303919722978108</c:v>
                </c:pt>
                <c:pt idx="4">
                  <c:v>0.40016702284958883</c:v>
                </c:pt>
                <c:pt idx="5">
                  <c:v>0.4661848723082182</c:v>
                </c:pt>
                <c:pt idx="6">
                  <c:v>0.63699919563245533</c:v>
                </c:pt>
                <c:pt idx="7">
                  <c:v>0.27736411903876435</c:v>
                </c:pt>
                <c:pt idx="8">
                  <c:v>0.4223350749548318</c:v>
                </c:pt>
                <c:pt idx="9">
                  <c:v>0.29933596892060721</c:v>
                </c:pt>
                <c:pt idx="10">
                  <c:v>0.32107127502723293</c:v>
                </c:pt>
                <c:pt idx="11">
                  <c:v>4.5998339762683728E-2</c:v>
                </c:pt>
                <c:pt idx="12">
                  <c:v>0.4523968441409526</c:v>
                </c:pt>
                <c:pt idx="13">
                  <c:v>0.33459672888691949</c:v>
                </c:pt>
                <c:pt idx="14">
                  <c:v>0.41823331217344595</c:v>
                </c:pt>
                <c:pt idx="15">
                  <c:v>0.28311170440348443</c:v>
                </c:pt>
                <c:pt idx="16">
                  <c:v>0.4062597158484676</c:v>
                </c:pt>
                <c:pt idx="17">
                  <c:v>0.27100932662727673</c:v>
                </c:pt>
              </c:numCache>
            </c:numRef>
          </c:val>
        </c:ser>
        <c:ser>
          <c:idx val="1"/>
          <c:order val="1"/>
          <c:tx>
            <c:strRef>
              <c:f>HRP!$I$25</c:f>
              <c:strCache>
                <c:ptCount val="1"/>
                <c:pt idx="0">
                  <c:v>% Gap</c:v>
                </c:pt>
              </c:strCache>
            </c:strRef>
          </c:tx>
          <c:spPr>
            <a:solidFill>
              <a:schemeClr val="bg1">
                <a:lumMod val="75000"/>
              </a:schemeClr>
            </a:solidFill>
            <a:ln>
              <a:noFill/>
            </a:ln>
            <a:effectLst/>
          </c:spPr>
          <c:invertIfNegative val="0"/>
          <c:cat>
            <c:multiLvlStrRef>
              <c:f>HRP!$C$26:$D$43</c:f>
              <c:multiLvlStrCache>
                <c:ptCount val="18"/>
                <c:lvl>
                  <c:pt idx="0">
                    <c:v>Kachin</c:v>
                  </c:pt>
                  <c:pt idx="1">
                    <c:v>Rakhine</c:v>
                  </c:pt>
                  <c:pt idx="2">
                    <c:v>Shan (North)</c:v>
                  </c:pt>
                  <c:pt idx="3">
                    <c:v>Kachin</c:v>
                  </c:pt>
                  <c:pt idx="4">
                    <c:v>Rakhine</c:v>
                  </c:pt>
                  <c:pt idx="5">
                    <c:v>Shan (North)</c:v>
                  </c:pt>
                  <c:pt idx="6">
                    <c:v>Kachin</c:v>
                  </c:pt>
                  <c:pt idx="7">
                    <c:v>Rakhine</c:v>
                  </c:pt>
                  <c:pt idx="8">
                    <c:v>Shan (North)</c:v>
                  </c:pt>
                  <c:pt idx="9">
                    <c:v>Kachin</c:v>
                  </c:pt>
                  <c:pt idx="10">
                    <c:v>Rakhine</c:v>
                  </c:pt>
                  <c:pt idx="11">
                    <c:v>Shan (North)</c:v>
                  </c:pt>
                  <c:pt idx="12">
                    <c:v>Kachin</c:v>
                  </c:pt>
                  <c:pt idx="13">
                    <c:v>Rakhine</c:v>
                  </c:pt>
                  <c:pt idx="14">
                    <c:v>Shan (North)</c:v>
                  </c:pt>
                  <c:pt idx="15">
                    <c:v>Kachin</c:v>
                  </c:pt>
                  <c:pt idx="16">
                    <c:v>Rakhine</c:v>
                  </c:pt>
                  <c:pt idx="17">
                    <c:v>Shan (North)</c:v>
                  </c:pt>
                </c:lvl>
                <c:lvl>
                  <c:pt idx="0">
                    <c:v>Number of people with equitable and safe access to sufficient quantity of drinking water</c:v>
                  </c:pt>
                  <c:pt idx="3">
                    <c:v>Number of people with equitable and safe access to sufficient quantity of domestic water</c:v>
                  </c:pt>
                  <c:pt idx="6">
                    <c:v>Number of people with access to functional sanitation facilities</c:v>
                  </c:pt>
                  <c:pt idx="9">
                    <c:v>Number of people with access to continuous sanitation services</c:v>
                  </c:pt>
                  <c:pt idx="12">
                    <c:v>Number of people reached by regular dedicated hygiene promotion/behavior change activities</c:v>
                  </c:pt>
                  <c:pt idx="15">
                    <c:v>Number of people who received regular supply of hygiene items</c:v>
                  </c:pt>
                </c:lvl>
              </c:multiLvlStrCache>
            </c:multiLvlStrRef>
          </c:cat>
          <c:val>
            <c:numRef>
              <c:f>HRP!$I$26:$I$43</c:f>
              <c:numCache>
                <c:formatCode>0%</c:formatCode>
                <c:ptCount val="18"/>
                <c:pt idx="0">
                  <c:v>0.24696080277021892</c:v>
                </c:pt>
                <c:pt idx="1">
                  <c:v>0.62882513565775811</c:v>
                </c:pt>
                <c:pt idx="2">
                  <c:v>0.53381512769178174</c:v>
                </c:pt>
                <c:pt idx="3">
                  <c:v>0.24696080277021892</c:v>
                </c:pt>
                <c:pt idx="4">
                  <c:v>0.59983297715041117</c:v>
                </c:pt>
                <c:pt idx="5">
                  <c:v>0.53381512769178174</c:v>
                </c:pt>
                <c:pt idx="6">
                  <c:v>0.36300080436754467</c:v>
                </c:pt>
                <c:pt idx="7">
                  <c:v>0.72263588096123565</c:v>
                </c:pt>
                <c:pt idx="8">
                  <c:v>0.5776649250451682</c:v>
                </c:pt>
                <c:pt idx="9">
                  <c:v>0.70066403107939279</c:v>
                </c:pt>
                <c:pt idx="10">
                  <c:v>0.67892872497276713</c:v>
                </c:pt>
                <c:pt idx="11">
                  <c:v>0.95400166023731625</c:v>
                </c:pt>
                <c:pt idx="12">
                  <c:v>0.5476031558590474</c:v>
                </c:pt>
                <c:pt idx="13">
                  <c:v>0.66540327111308051</c:v>
                </c:pt>
                <c:pt idx="14">
                  <c:v>0.58176668782655405</c:v>
                </c:pt>
                <c:pt idx="15">
                  <c:v>0.71688829559651557</c:v>
                </c:pt>
                <c:pt idx="16">
                  <c:v>0.59374028415153246</c:v>
                </c:pt>
                <c:pt idx="17">
                  <c:v>0.72899067337272327</c:v>
                </c:pt>
              </c:numCache>
            </c:numRef>
          </c:val>
        </c:ser>
        <c:dLbls>
          <c:showLegendKey val="0"/>
          <c:showVal val="0"/>
          <c:showCatName val="0"/>
          <c:showSerName val="0"/>
          <c:showPercent val="0"/>
          <c:showBubbleSize val="0"/>
        </c:dLbls>
        <c:gapWidth val="150"/>
        <c:overlap val="100"/>
        <c:axId val="517536840"/>
        <c:axId val="517534488"/>
      </c:barChart>
      <c:catAx>
        <c:axId val="5175368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7534488"/>
        <c:crosses val="autoZero"/>
        <c:auto val="1"/>
        <c:lblAlgn val="ctr"/>
        <c:lblOffset val="100"/>
        <c:noMultiLvlLbl val="0"/>
      </c:catAx>
      <c:valAx>
        <c:axId val="51753448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7536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Hygiene Coverage </a:t>
            </a:r>
            <a:endParaRPr lang="en-US" sz="1200">
              <a:effectLst/>
            </a:endParaRPr>
          </a:p>
          <a:p>
            <a:pPr>
              <a:defRPr/>
            </a:pPr>
            <a:r>
              <a:rPr lang="en-US" sz="1200" b="1" i="0" baseline="0">
                <a:effectLst/>
              </a:rPr>
              <a:t>in active camps</a:t>
            </a:r>
            <a:endParaRPr lang="en-US" sz="1200">
              <a:effectLst/>
            </a:endParaRPr>
          </a:p>
          <a:p>
            <a:pPr>
              <a:defRPr/>
            </a:pPr>
            <a:r>
              <a:rPr lang="en-US" sz="1200"/>
              <a:t>Rakhine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Analysis!$Q$231</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Analysis!$Q$232:$Q$235</c:f>
              <c:numCache>
                <c:formatCode>_(* #,##0_);_(* \(#,##0\);_(* "-"??_);_(@_)</c:formatCode>
                <c:ptCount val="4"/>
                <c:pt idx="0">
                  <c:v>17140.2</c:v>
                </c:pt>
                <c:pt idx="1">
                  <c:v>15779.2</c:v>
                </c:pt>
                <c:pt idx="2">
                  <c:v>24329</c:v>
                </c:pt>
                <c:pt idx="3">
                  <c:v>24238</c:v>
                </c:pt>
              </c:numCache>
            </c:numRef>
          </c:val>
          <c:extLst xmlns:c16r2="http://schemas.microsoft.com/office/drawing/2015/06/chart">
            <c:ext xmlns:c16="http://schemas.microsoft.com/office/drawing/2014/chart" uri="{C3380CC4-5D6E-409C-BE32-E72D297353CC}">
              <c16:uniqueId val="{00000000-F5FF-4313-84A4-722007FD5F1B}"/>
            </c:ext>
          </c:extLst>
        </c:ser>
        <c:ser>
          <c:idx val="1"/>
          <c:order val="1"/>
          <c:tx>
            <c:strRef>
              <c:f>Analysis!$R$231</c:f>
              <c:strCache>
                <c:ptCount val="1"/>
                <c:pt idx="0">
                  <c:v>Gap</c:v>
                </c:pt>
              </c:strCache>
            </c:strRef>
          </c:tx>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Analysis!$R$232:$R$235</c:f>
              <c:numCache>
                <c:formatCode>_(* #,##0_);_(* \(#,##0\);_(* "-"??_);_(@_)</c:formatCode>
                <c:ptCount val="4"/>
                <c:pt idx="0">
                  <c:v>7278.7999999999993</c:v>
                </c:pt>
                <c:pt idx="1">
                  <c:v>8639.7999999999993</c:v>
                </c:pt>
                <c:pt idx="2">
                  <c:v>90</c:v>
                </c:pt>
                <c:pt idx="3">
                  <c:v>181</c:v>
                </c:pt>
              </c:numCache>
            </c:numRef>
          </c:val>
          <c:extLst xmlns:c16r2="http://schemas.microsoft.com/office/drawing/2015/06/char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517533704"/>
        <c:axId val="517534096"/>
      </c:barChart>
      <c:catAx>
        <c:axId val="5175337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7534096"/>
        <c:crosses val="autoZero"/>
        <c:auto val="1"/>
        <c:lblAlgn val="ctr"/>
        <c:lblOffset val="100"/>
        <c:noMultiLvlLbl val="0"/>
      </c:catAx>
      <c:valAx>
        <c:axId val="517534096"/>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7533704"/>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Hygiene Coverage </a:t>
            </a:r>
            <a:endParaRPr lang="en-US" sz="1200">
              <a:effectLst/>
            </a:endParaRPr>
          </a:p>
          <a:p>
            <a:pPr>
              <a:defRPr/>
            </a:pPr>
            <a:r>
              <a:rPr lang="en-US" sz="1200" b="1" i="0" baseline="0">
                <a:effectLst/>
              </a:rPr>
              <a:t>in active camps</a:t>
            </a:r>
            <a:endParaRPr lang="en-US" sz="1200">
              <a:effectLst/>
            </a:endParaRPr>
          </a:p>
          <a:p>
            <a:pPr>
              <a:defRPr/>
            </a:pPr>
            <a:r>
              <a:rPr lang="en-US" sz="1200" b="1" i="0" baseline="0">
                <a:effectLst/>
              </a:rPr>
              <a:t>Shan(North)</a:t>
            </a:r>
            <a:endParaRPr lang="en-US" sz="12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Analysis!$X$231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Analysis!$W$232:$W$235</c:f>
              <c:strCache>
                <c:ptCount val="4"/>
                <c:pt idx="0">
                  <c:v>#HH reached by regular dedicated hygiene promotion</c:v>
                </c:pt>
                <c:pt idx="1">
                  <c:v>#HH with access to Hand Washing Station</c:v>
                </c:pt>
                <c:pt idx="2">
                  <c:v># HH received soaps</c:v>
                </c:pt>
                <c:pt idx="3">
                  <c:v># HH received Sanitary Pads</c:v>
                </c:pt>
              </c:strCache>
            </c:strRef>
          </c:cat>
          <c:val>
            <c:numRef>
              <c:f>Analysis!$X$232:$X$235</c:f>
              <c:numCache>
                <c:formatCode>0</c:formatCode>
                <c:ptCount val="4"/>
                <c:pt idx="0">
                  <c:v>1713</c:v>
                </c:pt>
                <c:pt idx="1">
                  <c:v>1180.3999999999999</c:v>
                </c:pt>
                <c:pt idx="2">
                  <c:v>574</c:v>
                </c:pt>
                <c:pt idx="3">
                  <c:v>0</c:v>
                </c:pt>
              </c:numCache>
            </c:numRef>
          </c:val>
          <c:extLst xmlns:c16r2="http://schemas.microsoft.com/office/drawing/2015/06/chart">
            <c:ext xmlns:c16="http://schemas.microsoft.com/office/drawing/2014/chart" uri="{C3380CC4-5D6E-409C-BE32-E72D297353CC}">
              <c16:uniqueId val="{00000000-CBDF-46C4-8398-2F2620566A1B}"/>
            </c:ext>
          </c:extLst>
        </c:ser>
        <c:ser>
          <c:idx val="1"/>
          <c:order val="1"/>
          <c:tx>
            <c:strRef>
              <c:f>Analysis!$Y$231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Analysis!$W$232:$W$235</c:f>
              <c:strCache>
                <c:ptCount val="4"/>
                <c:pt idx="0">
                  <c:v>#HH reached by regular dedicated hygiene promotion</c:v>
                </c:pt>
                <c:pt idx="1">
                  <c:v>#HH with access to Hand Washing Station</c:v>
                </c:pt>
                <c:pt idx="2">
                  <c:v># HH received soaps</c:v>
                </c:pt>
                <c:pt idx="3">
                  <c:v># HH received Sanitary Pads</c:v>
                </c:pt>
              </c:strCache>
            </c:strRef>
          </c:cat>
          <c:val>
            <c:numRef>
              <c:f>Analysis!$Y$232:$Y$235</c:f>
              <c:numCache>
                <c:formatCode>0</c:formatCode>
                <c:ptCount val="4"/>
                <c:pt idx="0">
                  <c:v>511</c:v>
                </c:pt>
                <c:pt idx="1">
                  <c:v>1043.6000000000001</c:v>
                </c:pt>
                <c:pt idx="2">
                  <c:v>1650</c:v>
                </c:pt>
                <c:pt idx="3">
                  <c:v>2224</c:v>
                </c:pt>
              </c:numCache>
            </c:numRef>
          </c:val>
          <c:extLst xmlns:c16r2="http://schemas.microsoft.com/office/drawing/2015/06/chart">
            <c:ext xmlns:c16="http://schemas.microsoft.com/office/drawing/2014/chart" uri="{C3380CC4-5D6E-409C-BE32-E72D297353CC}">
              <c16:uniqueId val="{00000001-CBDF-46C4-8398-2F2620566A1B}"/>
            </c:ext>
          </c:extLst>
        </c:ser>
        <c:dLbls>
          <c:showLegendKey val="0"/>
          <c:showVal val="0"/>
          <c:showCatName val="0"/>
          <c:showSerName val="0"/>
          <c:showPercent val="0"/>
          <c:showBubbleSize val="0"/>
        </c:dLbls>
        <c:gapWidth val="150"/>
        <c:overlap val="100"/>
        <c:axId val="517534880"/>
        <c:axId val="517540368"/>
      </c:barChart>
      <c:catAx>
        <c:axId val="517534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7540368"/>
        <c:crosses val="autoZero"/>
        <c:auto val="1"/>
        <c:lblAlgn val="ctr"/>
        <c:lblOffset val="100"/>
        <c:noMultiLvlLbl val="0"/>
      </c:catAx>
      <c:valAx>
        <c:axId val="51754036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7534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Effective drainage</a:t>
            </a:r>
          </a:p>
          <a:p>
            <a:pPr>
              <a:defRPr sz="1200"/>
            </a:pPr>
            <a:r>
              <a:rPr lang="en-US" sz="1200"/>
              <a:t> in active camps</a:t>
            </a:r>
          </a:p>
          <a:p>
            <a:pPr>
              <a:defRPr sz="1200"/>
            </a:pPr>
            <a:r>
              <a:rPr lang="en-US" sz="1200"/>
              <a:t>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Analysis!$B$162</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6EA3-4AE5-BCC7-AFE913165737}"/>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6EA3-4AE5-BCC7-AFE913165737}"/>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6EA3-4AE5-BCC7-AFE913165737}"/>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6EA3-4AE5-BCC7-AFE913165737}"/>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strRef>
          </c:cat>
          <c:val>
            <c:numRef>
              <c:f>Analysis!$C$162:$F$162</c:f>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0-6001-452C-B69E-5437BE745B6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Effective drainage</a:t>
            </a:r>
          </a:p>
          <a:p>
            <a:pPr>
              <a:defRPr sz="1200"/>
            </a:pPr>
            <a:r>
              <a:rPr lang="en-US" sz="1200"/>
              <a:t> in active camps</a:t>
            </a:r>
          </a:p>
          <a:p>
            <a:pPr>
              <a:defRPr sz="1200"/>
            </a:pPr>
            <a:r>
              <a:rPr lang="en-US" sz="1200"/>
              <a:t>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Analysis!$B$163</c:f>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9C6-43B8-91DE-6A2EF8A63A1B}"/>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9C6-43B8-91DE-6A2EF8A63A1B}"/>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9C6-43B8-91DE-6A2EF8A63A1B}"/>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9C6-43B8-91DE-6A2EF8A63A1B}"/>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strRef>
          </c:cat>
          <c:val>
            <c:numRef>
              <c:f>Analysis!$C$163:$F$163</c:f>
              <c:numCache>
                <c:formatCode>General</c:formatCode>
                <c:ptCount val="4"/>
                <c:pt idx="0">
                  <c:v>12</c:v>
                </c:pt>
                <c:pt idx="1">
                  <c:v>1</c:v>
                </c:pt>
                <c:pt idx="2">
                  <c:v>10</c:v>
                </c:pt>
                <c:pt idx="3">
                  <c:v>1</c:v>
                </c:pt>
              </c:numCache>
            </c:numRef>
          </c:val>
          <c:extLst xmlns:c16r2="http://schemas.microsoft.com/office/drawing/2015/06/chart">
            <c:ext xmlns:c16="http://schemas.microsoft.com/office/drawing/2014/chart" uri="{C3380CC4-5D6E-409C-BE32-E72D297353CC}">
              <c16:uniqueId val="{00000008-39C6-43B8-91DE-6A2EF8A63A1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Effective drainage</a:t>
            </a:r>
          </a:p>
          <a:p>
            <a:pPr>
              <a:defRPr sz="1200"/>
            </a:pPr>
            <a:r>
              <a:rPr lang="en-US" sz="1200"/>
              <a:t> in active camps</a:t>
            </a:r>
          </a:p>
          <a:p>
            <a:pPr>
              <a:defRPr sz="1200"/>
            </a:pPr>
            <a:r>
              <a:rPr lang="en-US" sz="1200"/>
              <a:t>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Analysis!$B$164</c:f>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ED64-4863-9E70-B065B74F7F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ED64-4863-9E70-B065B74F7F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ED64-4863-9E70-B065B74F7F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ED64-4863-9E70-B065B74F7F22}"/>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strRef>
          </c:cat>
          <c:val>
            <c:numRef>
              <c:f>Analysis!$C$164:$F$164</c:f>
              <c:numCache>
                <c:formatCode>General</c:formatCode>
                <c:ptCount val="4"/>
                <c:pt idx="0">
                  <c:v>19</c:v>
                </c:pt>
                <c:pt idx="1">
                  <c:v>5</c:v>
                </c:pt>
                <c:pt idx="2">
                  <c:v>3</c:v>
                </c:pt>
                <c:pt idx="3">
                  <c:v>8</c:v>
                </c:pt>
              </c:numCache>
            </c:numRef>
          </c:val>
          <c:extLst xmlns:c16r2="http://schemas.microsoft.com/office/drawing/2015/06/chart">
            <c:ext xmlns:c16="http://schemas.microsoft.com/office/drawing/2014/chart" uri="{C3380CC4-5D6E-409C-BE32-E72D297353CC}">
              <c16:uniqueId val="{00000008-ED64-4863-9E70-B065B74F7F2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Analysis!$B$178</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DC22-4C4F-B666-8182F921E26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DC22-4C4F-B666-8182F921E26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DC22-4C4F-B666-8182F921E26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DC22-4C4F-B666-8182F921E260}"/>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Analysis!$C$177:$F$177</c:f>
              <c:strCache>
                <c:ptCount val="4"/>
                <c:pt idx="0">
                  <c:v>Functional</c:v>
                </c:pt>
                <c:pt idx="1">
                  <c:v>NA</c:v>
                </c:pt>
                <c:pt idx="2">
                  <c:v>Not_Functional</c:v>
                </c:pt>
                <c:pt idx="3">
                  <c:v>Not_inPlace</c:v>
                </c:pt>
              </c:strCache>
            </c:strRef>
          </c:cat>
          <c:val>
            <c:numRef>
              <c:f>Analysis!$C$178:$F$178</c:f>
              <c:numCache>
                <c:formatCode>General</c:formatCode>
                <c:ptCount val="4"/>
                <c:pt idx="0">
                  <c:v>122</c:v>
                </c:pt>
                <c:pt idx="1">
                  <c:v>1</c:v>
                </c:pt>
                <c:pt idx="2">
                  <c:v>2</c:v>
                </c:pt>
                <c:pt idx="3">
                  <c:v>10</c:v>
                </c:pt>
              </c:numCache>
            </c:numRef>
          </c:val>
          <c:extLst xmlns:c16r2="http://schemas.microsoft.com/office/drawing/2015/06/chart">
            <c:ext xmlns:c16="http://schemas.microsoft.com/office/drawing/2014/chart" uri="{C3380CC4-5D6E-409C-BE32-E72D297353CC}">
              <c16:uniqueId val="{00000000-50B8-4F99-A838-C4F3FAD0BFE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Analysis!$B$179</c:f>
              <c:strCache>
                <c:ptCount val="1"/>
                <c:pt idx="0">
                  <c:v>Rakhine</c:v>
                </c:pt>
              </c:strCache>
            </c:strRef>
          </c:tx>
          <c:dPt>
            <c:idx val="0"/>
            <c:bubble3D val="0"/>
            <c:spPr>
              <a:gradFill rotWithShape="1">
                <a:gsLst>
                  <a:gs pos="0">
                    <a:schemeClr val="accent2">
                      <a:shade val="53000"/>
                      <a:satMod val="103000"/>
                      <a:lumMod val="102000"/>
                      <a:tint val="94000"/>
                    </a:schemeClr>
                  </a:gs>
                  <a:gs pos="50000">
                    <a:schemeClr val="accent2">
                      <a:shade val="53000"/>
                      <a:satMod val="110000"/>
                      <a:lumMod val="100000"/>
                      <a:shade val="100000"/>
                    </a:schemeClr>
                  </a:gs>
                  <a:gs pos="100000">
                    <a:schemeClr val="accent2">
                      <a:shade val="53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6-5874-4861-9CAD-8C2A6D7ECFC1}"/>
              </c:ext>
            </c:extLst>
          </c:dPt>
          <c:dPt>
            <c:idx val="1"/>
            <c:bubble3D val="0"/>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7-5874-4861-9CAD-8C2A6D7ECFC1}"/>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8-5874-4861-9CAD-8C2A6D7ECFC1}"/>
              </c:ext>
            </c:extLst>
          </c:dPt>
          <c:dPt>
            <c:idx val="3"/>
            <c:bubble3D val="0"/>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9-5874-4861-9CAD-8C2A6D7ECFC1}"/>
              </c:ext>
            </c:extLst>
          </c:dPt>
          <c:dPt>
            <c:idx val="4"/>
            <c:bubble3D val="0"/>
            <c:spPr>
              <a:gradFill rotWithShape="1">
                <a:gsLst>
                  <a:gs pos="0">
                    <a:schemeClr val="accent2">
                      <a:tint val="54000"/>
                      <a:satMod val="103000"/>
                      <a:lumMod val="102000"/>
                      <a:tint val="94000"/>
                    </a:schemeClr>
                  </a:gs>
                  <a:gs pos="50000">
                    <a:schemeClr val="accent2">
                      <a:tint val="54000"/>
                      <a:satMod val="110000"/>
                      <a:lumMod val="100000"/>
                      <a:shade val="100000"/>
                    </a:schemeClr>
                  </a:gs>
                  <a:gs pos="100000">
                    <a:schemeClr val="accent2">
                      <a:tint val="54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A-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Analysis!$C$177:$G$177</c:f>
              <c:strCache>
                <c:ptCount val="4"/>
                <c:pt idx="0">
                  <c:v>Functional</c:v>
                </c:pt>
                <c:pt idx="1">
                  <c:v>NA</c:v>
                </c:pt>
                <c:pt idx="2">
                  <c:v>Not_Functional</c:v>
                </c:pt>
                <c:pt idx="3">
                  <c:v>Not_inPlace</c:v>
                </c:pt>
              </c:strCache>
            </c:strRef>
          </c:cat>
          <c:val>
            <c:numRef>
              <c:f>Analysis!$C$179:$G$179</c:f>
              <c:numCache>
                <c:formatCode>General</c:formatCode>
                <c:ptCount val="5"/>
                <c:pt idx="0">
                  <c:v>19</c:v>
                </c:pt>
                <c:pt idx="1">
                  <c:v>1</c:v>
                </c:pt>
                <c:pt idx="2">
                  <c:v>3</c:v>
                </c:pt>
                <c:pt idx="3">
                  <c:v>1</c:v>
                </c:pt>
              </c:numCache>
            </c:numRef>
          </c:val>
          <c:extLst xmlns:c16r2="http://schemas.microsoft.com/office/drawing/2015/06/char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xmlns:c16r2="http://schemas.microsoft.com/office/drawing/2015/06/char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Analysis!$B$180</c:f>
              <c:strCache>
                <c:ptCount val="1"/>
                <c:pt idx="0">
                  <c:v>Shan (North)</c:v>
                </c:pt>
              </c:strCache>
            </c:strRef>
          </c:tx>
          <c:dPt>
            <c:idx val="0"/>
            <c:bubble3D val="0"/>
            <c:spPr>
              <a:gradFill rotWithShape="1">
                <a:gsLst>
                  <a:gs pos="0">
                    <a:schemeClr val="accent2">
                      <a:shade val="53000"/>
                      <a:satMod val="103000"/>
                      <a:lumMod val="102000"/>
                      <a:tint val="94000"/>
                    </a:schemeClr>
                  </a:gs>
                  <a:gs pos="50000">
                    <a:schemeClr val="accent2">
                      <a:shade val="53000"/>
                      <a:satMod val="110000"/>
                      <a:lumMod val="100000"/>
                      <a:shade val="100000"/>
                    </a:schemeClr>
                  </a:gs>
                  <a:gs pos="100000">
                    <a:schemeClr val="accent2">
                      <a:shade val="53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5C59-490F-B426-9FB57D35929B}"/>
              </c:ext>
            </c:extLst>
          </c:dPt>
          <c:dPt>
            <c:idx val="1"/>
            <c:bubble3D val="0"/>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5C59-490F-B426-9FB57D35929B}"/>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5C59-490F-B426-9FB57D35929B}"/>
              </c:ext>
            </c:extLst>
          </c:dPt>
          <c:dPt>
            <c:idx val="3"/>
            <c:bubble3D val="0"/>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5C59-490F-B426-9FB57D35929B}"/>
              </c:ext>
            </c:extLst>
          </c:dPt>
          <c:dPt>
            <c:idx val="4"/>
            <c:bubble3D val="0"/>
            <c:spPr>
              <a:gradFill rotWithShape="1">
                <a:gsLst>
                  <a:gs pos="0">
                    <a:schemeClr val="accent2">
                      <a:tint val="54000"/>
                      <a:satMod val="103000"/>
                      <a:lumMod val="102000"/>
                      <a:tint val="94000"/>
                    </a:schemeClr>
                  </a:gs>
                  <a:gs pos="50000">
                    <a:schemeClr val="accent2">
                      <a:tint val="54000"/>
                      <a:satMod val="110000"/>
                      <a:lumMod val="100000"/>
                      <a:shade val="100000"/>
                    </a:schemeClr>
                  </a:gs>
                  <a:gs pos="100000">
                    <a:schemeClr val="accent2">
                      <a:tint val="54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9-5C59-490F-B426-9FB57D35929B}"/>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Analysis!$C$177:$G$177</c:f>
              <c:strCache>
                <c:ptCount val="4"/>
                <c:pt idx="0">
                  <c:v>Functional</c:v>
                </c:pt>
                <c:pt idx="1">
                  <c:v>NA</c:v>
                </c:pt>
                <c:pt idx="2">
                  <c:v>Not_Functional</c:v>
                </c:pt>
                <c:pt idx="3">
                  <c:v>Not_inPlace</c:v>
                </c:pt>
              </c:strCache>
            </c:strRef>
          </c:cat>
          <c:val>
            <c:numRef>
              <c:f>Analysis!$C$180:$G$180</c:f>
              <c:numCache>
                <c:formatCode>General</c:formatCode>
                <c:ptCount val="5"/>
                <c:pt idx="0">
                  <c:v>24</c:v>
                </c:pt>
                <c:pt idx="1">
                  <c:v>5</c:v>
                </c:pt>
                <c:pt idx="2">
                  <c:v>2</c:v>
                </c:pt>
                <c:pt idx="3">
                  <c:v>4</c:v>
                </c:pt>
              </c:numCache>
            </c:numRef>
          </c:val>
          <c:extLst xmlns:c16r2="http://schemas.microsoft.com/office/drawing/2015/06/chart">
            <c:ext xmlns:c16="http://schemas.microsoft.com/office/drawing/2014/chart" uri="{C3380CC4-5D6E-409C-BE32-E72D297353CC}">
              <c16:uniqueId val="{0000000A-5C59-490F-B426-9FB57D35929B}"/>
            </c:ext>
          </c:extLst>
        </c:ser>
        <c:dLbls>
          <c:dLblPos val="bestFit"/>
          <c:showLegendKey val="0"/>
          <c:showVal val="1"/>
          <c:showCatName val="0"/>
          <c:showSerName val="0"/>
          <c:showPercent val="0"/>
          <c:showBubbleSize val="0"/>
          <c:showLeaderLines val="1"/>
        </c:dLbls>
        <c:firstSliceAng val="0"/>
        <c:extLst xmlns:c16r2="http://schemas.microsoft.com/office/drawing/2015/06/char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[2018_11_09_Myanmar_WASH_4W_2018_Q3_FINAL.xlsx]Analysis!K_water1</c:name>
    <c:fmtId val="5"/>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Kachin - Water Point Coverage</a:t>
            </a:r>
            <a:endParaRPr lang="en-US" sz="1200">
              <a:effectLst/>
            </a:endParaRPr>
          </a:p>
          <a:p>
            <a:pPr>
              <a:defRPr sz="1200"/>
            </a:pPr>
            <a:r>
              <a:rPr lang="en-US" sz="1200" b="1" i="0" baseline="0">
                <a:effectLst/>
              </a:rPr>
              <a:t>in active camps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stacked"/>
        <c:varyColors val="0"/>
        <c:ser>
          <c:idx val="0"/>
          <c:order val="0"/>
          <c:tx>
            <c:strRef>
              <c:f>Analysis!$C$40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Analysis!$B$41:$B$42</c:f>
              <c:strCache>
                <c:ptCount val="2"/>
                <c:pt idx="0">
                  <c:v>GCA (500:1)</c:v>
                </c:pt>
                <c:pt idx="1">
                  <c:v>NGCA (500:1)</c:v>
                </c:pt>
              </c:strCache>
            </c:strRef>
          </c:cat>
          <c:val>
            <c:numRef>
              <c:f>Analysis!$C$41:$C$42</c:f>
              <c:numCache>
                <c:formatCode>0</c:formatCode>
                <c:ptCount val="2"/>
                <c:pt idx="0">
                  <c:v>98.045333333333332</c:v>
                </c:pt>
                <c:pt idx="1">
                  <c:v>78.998000000000005</c:v>
                </c:pt>
              </c:numCache>
            </c:numRef>
          </c:val>
        </c:ser>
        <c:ser>
          <c:idx val="1"/>
          <c:order val="1"/>
          <c:tx>
            <c:strRef>
              <c:f>Analysis!$D$40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Analysis!$B$41:$B$42</c:f>
              <c:strCache>
                <c:ptCount val="2"/>
                <c:pt idx="0">
                  <c:v>GCA (500:1)</c:v>
                </c:pt>
                <c:pt idx="1">
                  <c:v>NGCA (500:1)</c:v>
                </c:pt>
              </c:strCache>
            </c:strRef>
          </c:cat>
          <c:val>
            <c:numRef>
              <c:f>Analysis!$D$41:$D$42</c:f>
              <c:numCache>
                <c:formatCode>0</c:formatCode>
                <c:ptCount val="2"/>
                <c:pt idx="0">
                  <c:v>62.796666666666638</c:v>
                </c:pt>
                <c:pt idx="1">
                  <c:v>9.4759999999999991</c:v>
                </c:pt>
              </c:numCache>
            </c:numRef>
          </c:val>
        </c:ser>
        <c:dLbls>
          <c:dLblPos val="ctr"/>
          <c:showLegendKey val="0"/>
          <c:showVal val="1"/>
          <c:showCatName val="0"/>
          <c:showSerName val="0"/>
          <c:showPercent val="0"/>
          <c:showBubbleSize val="0"/>
        </c:dLbls>
        <c:gapWidth val="150"/>
        <c:overlap val="100"/>
        <c:axId val="521191776"/>
        <c:axId val="521194912"/>
      </c:barChart>
      <c:catAx>
        <c:axId val="5211917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194912"/>
        <c:crosses val="autoZero"/>
        <c:auto val="1"/>
        <c:lblAlgn val="ctr"/>
        <c:lblOffset val="100"/>
        <c:noMultiLvlLbl val="0"/>
      </c:catAx>
      <c:valAx>
        <c:axId val="52119491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1917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[2018_11_09_Myanmar_WASH_4W_2018_Q3_FINAL.xlsx]Analysis!R_water1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active camps &amp; Villages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stacked"/>
        <c:varyColors val="0"/>
        <c:ser>
          <c:idx val="0"/>
          <c:order val="0"/>
          <c:tx>
            <c:strRef>
              <c:f>Analysis!$J$40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Analysis!$J$41:$J$42</c:f>
              <c:numCache>
                <c:formatCode>0</c:formatCode>
                <c:ptCount val="2"/>
                <c:pt idx="0">
                  <c:v>227.05800000000002</c:v>
                </c:pt>
                <c:pt idx="1">
                  <c:v>77.408000000000001</c:v>
                </c:pt>
              </c:numCache>
            </c:numRef>
          </c:val>
        </c:ser>
        <c:ser>
          <c:idx val="1"/>
          <c:order val="1"/>
          <c:tx>
            <c:strRef>
              <c:f>Analysis!$K$40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Analysis!$K$41:$K$42</c:f>
              <c:numCache>
                <c:formatCode>0</c:formatCode>
                <c:ptCount val="2"/>
                <c:pt idx="0">
                  <c:v>20.216000000000001</c:v>
                </c:pt>
                <c:pt idx="1">
                  <c:v>81.783999999999992</c:v>
                </c:pt>
              </c:numCache>
            </c:numRef>
          </c:val>
        </c:ser>
        <c:dLbls>
          <c:dLblPos val="ctr"/>
          <c:showLegendKey val="0"/>
          <c:showVal val="1"/>
          <c:showCatName val="0"/>
          <c:showSerName val="0"/>
          <c:showPercent val="0"/>
          <c:showBubbleSize val="0"/>
        </c:dLbls>
        <c:gapWidth val="150"/>
        <c:overlap val="100"/>
        <c:axId val="521194128"/>
        <c:axId val="521187464"/>
      </c:barChart>
      <c:catAx>
        <c:axId val="5211941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187464"/>
        <c:crosses val="autoZero"/>
        <c:auto val="1"/>
        <c:lblAlgn val="ctr"/>
        <c:lblOffset val="100"/>
        <c:noMultiLvlLbl val="0"/>
      </c:catAx>
      <c:valAx>
        <c:axId val="5211874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194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[2018_11_09_Myanmar_WASH_4W_2018_Q3_FINAL.xlsx]Analysis!S_water1</c:name>
    <c:fmtId val="6"/>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Shan (North) - Water Point Coverage</a:t>
            </a:r>
            <a:endParaRPr lang="en-US" sz="1200">
              <a:effectLst/>
            </a:endParaRPr>
          </a:p>
          <a:p>
            <a:pPr>
              <a:defRPr sz="1200"/>
            </a:pPr>
            <a:r>
              <a:rPr lang="en-US" sz="1200" b="1" i="0" baseline="0">
                <a:effectLst/>
              </a:rPr>
              <a:t>in active camps</a:t>
            </a:r>
            <a:endParaRPr lang="en-US" sz="1200">
              <a:effectLst/>
            </a:endParaRPr>
          </a:p>
        </c:rich>
      </c:tx>
      <c:layout>
        <c:manualLayout>
          <c:xMode val="edge"/>
          <c:yMode val="edge"/>
          <c:x val="0.28129855643044621"/>
          <c:y val="4.15045395590142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stacked"/>
        <c:varyColors val="0"/>
        <c:ser>
          <c:idx val="0"/>
          <c:order val="0"/>
          <c:tx>
            <c:strRef>
              <c:f>Analysis!$Q$40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Analysis!$P$41</c:f>
              <c:strCache>
                <c:ptCount val="1"/>
                <c:pt idx="0">
                  <c:v>GCA (500:1)</c:v>
                </c:pt>
              </c:strCache>
            </c:strRef>
          </c:cat>
          <c:val>
            <c:numRef>
              <c:f>Analysis!$Q$41</c:f>
              <c:numCache>
                <c:formatCode>0</c:formatCode>
                <c:ptCount val="1"/>
                <c:pt idx="0">
                  <c:v>19.093999999999998</c:v>
                </c:pt>
              </c:numCache>
            </c:numRef>
          </c:val>
        </c:ser>
        <c:ser>
          <c:idx val="1"/>
          <c:order val="1"/>
          <c:tx>
            <c:strRef>
              <c:f>Analysis!$R$40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Analysis!$P$41</c:f>
              <c:strCache>
                <c:ptCount val="1"/>
                <c:pt idx="0">
                  <c:v>GCA (500:1)</c:v>
                </c:pt>
              </c:strCache>
            </c:strRef>
          </c:cat>
          <c:val>
            <c:numRef>
              <c:f>Analysis!$R$41</c:f>
              <c:numCache>
                <c:formatCode>0</c:formatCode>
                <c:ptCount val="1"/>
                <c:pt idx="0">
                  <c:v>19.753999999999998</c:v>
                </c:pt>
              </c:numCache>
            </c:numRef>
          </c:val>
        </c:ser>
        <c:dLbls>
          <c:dLblPos val="ctr"/>
          <c:showLegendKey val="0"/>
          <c:showVal val="1"/>
          <c:showCatName val="0"/>
          <c:showSerName val="0"/>
          <c:showPercent val="0"/>
          <c:showBubbleSize val="0"/>
        </c:dLbls>
        <c:gapWidth val="150"/>
        <c:overlap val="100"/>
        <c:axId val="521193344"/>
        <c:axId val="521189816"/>
      </c:barChart>
      <c:catAx>
        <c:axId val="5211933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189816"/>
        <c:crosses val="autoZero"/>
        <c:auto val="1"/>
        <c:lblAlgn val="ctr"/>
        <c:lblOffset val="100"/>
        <c:noMultiLvlLbl val="0"/>
      </c:catAx>
      <c:valAx>
        <c:axId val="5211898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193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Hygiene Coverage </a:t>
            </a:r>
            <a:endParaRPr lang="en-US" sz="1200">
              <a:effectLst/>
            </a:endParaRPr>
          </a:p>
          <a:p>
            <a:pPr>
              <a:defRPr sz="1200"/>
            </a:pPr>
            <a:r>
              <a:rPr lang="en-US" sz="1200" b="1" i="0" baseline="0">
                <a:effectLst/>
              </a:rPr>
              <a:t>in active camps</a:t>
            </a:r>
          </a:p>
          <a:p>
            <a:pPr>
              <a:defRPr sz="1200"/>
            </a:pPr>
            <a:r>
              <a:rPr lang="en-US" sz="1200" b="1" i="0" baseline="0">
                <a:effectLst/>
              </a:rPr>
              <a:t>Kachin</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Analysis!$J$231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Analysis!$I$232:$I$235</c:f>
              <c:strCache>
                <c:ptCount val="4"/>
                <c:pt idx="0">
                  <c:v>#HH reached by regular dedicated hygiene promotion</c:v>
                </c:pt>
                <c:pt idx="1">
                  <c:v>#HH with access to Hand Washing Station</c:v>
                </c:pt>
                <c:pt idx="2">
                  <c:v># HH received soaps</c:v>
                </c:pt>
                <c:pt idx="3">
                  <c:v># HH received Sanitary Pads</c:v>
                </c:pt>
              </c:strCache>
            </c:strRef>
          </c:cat>
          <c:val>
            <c:numRef>
              <c:f>Analysis!$J$232:$J$235</c:f>
              <c:numCache>
                <c:formatCode>0</c:formatCode>
                <c:ptCount val="4"/>
                <c:pt idx="0">
                  <c:v>10573.6</c:v>
                </c:pt>
                <c:pt idx="1">
                  <c:v>12160.459999999997</c:v>
                </c:pt>
                <c:pt idx="2">
                  <c:v>6453</c:v>
                </c:pt>
                <c:pt idx="3">
                  <c:v>3484</c:v>
                </c:pt>
              </c:numCache>
            </c:numRef>
          </c:val>
          <c:extLst xmlns:c16r2="http://schemas.microsoft.com/office/drawing/2015/06/chart">
            <c:ext xmlns:c16="http://schemas.microsoft.com/office/drawing/2014/chart" uri="{C3380CC4-5D6E-409C-BE32-E72D297353CC}">
              <c16:uniqueId val="{00000000-8A12-41BD-89DE-DD9C030FDA43}"/>
            </c:ext>
          </c:extLst>
        </c:ser>
        <c:ser>
          <c:idx val="1"/>
          <c:order val="1"/>
          <c:tx>
            <c:strRef>
              <c:f>Analysis!$K$231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Analysis!$I$232:$I$235</c:f>
              <c:strCache>
                <c:ptCount val="4"/>
                <c:pt idx="0">
                  <c:v>#HH reached by regular dedicated hygiene promotion</c:v>
                </c:pt>
                <c:pt idx="1">
                  <c:v>#HH with access to Hand Washing Station</c:v>
                </c:pt>
                <c:pt idx="2">
                  <c:v># HH received soaps</c:v>
                </c:pt>
                <c:pt idx="3">
                  <c:v># HH received Sanitary Pads</c:v>
                </c:pt>
              </c:strCache>
            </c:strRef>
          </c:cat>
          <c:val>
            <c:numRef>
              <c:f>Analysis!$K$232:$K$235</c:f>
              <c:numCache>
                <c:formatCode>0</c:formatCode>
                <c:ptCount val="4"/>
                <c:pt idx="0">
                  <c:v>8012.4</c:v>
                </c:pt>
                <c:pt idx="1">
                  <c:v>6425.5400000000027</c:v>
                </c:pt>
                <c:pt idx="2">
                  <c:v>12133</c:v>
                </c:pt>
                <c:pt idx="3">
                  <c:v>15102</c:v>
                </c:pt>
              </c:numCache>
            </c:numRef>
          </c:val>
          <c:extLst xmlns:c16r2="http://schemas.microsoft.com/office/drawing/2015/06/chart">
            <c:ext xmlns:c16="http://schemas.microsoft.com/office/drawing/2014/chart" uri="{C3380CC4-5D6E-409C-BE32-E72D297353CC}">
              <c16:uniqueId val="{00000001-8A12-41BD-89DE-DD9C030FDA43}"/>
            </c:ext>
          </c:extLst>
        </c:ser>
        <c:dLbls>
          <c:dLblPos val="ctr"/>
          <c:showLegendKey val="0"/>
          <c:showVal val="1"/>
          <c:showCatName val="0"/>
          <c:showSerName val="0"/>
          <c:showPercent val="0"/>
          <c:showBubbleSize val="0"/>
        </c:dLbls>
        <c:gapWidth val="150"/>
        <c:overlap val="100"/>
        <c:axId val="521187856"/>
        <c:axId val="521194520"/>
      </c:barChart>
      <c:catAx>
        <c:axId val="5211878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194520"/>
        <c:crosses val="autoZero"/>
        <c:auto val="1"/>
        <c:lblAlgn val="ctr"/>
        <c:lblOffset val="100"/>
        <c:noMultiLvlLbl val="0"/>
      </c:catAx>
      <c:valAx>
        <c:axId val="5211945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18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Kachin</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Analysis!$B$71</c:f>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E449-4A60-AF8D-062AC400A4E0}"/>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3-E449-4A60-AF8D-062AC400A4E0}"/>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strRef>
          </c:cat>
          <c:val>
            <c:numRef>
              <c:f>Analysis!$C$71:$D$71</c:f>
              <c:numCache>
                <c:formatCode>General</c:formatCode>
                <c:ptCount val="2"/>
                <c:pt idx="0">
                  <c:v>98</c:v>
                </c:pt>
                <c:pt idx="1">
                  <c:v>49</c:v>
                </c:pt>
              </c:numCache>
            </c:numRef>
          </c:val>
          <c:extLst xmlns:c16r2="http://schemas.microsoft.com/office/drawing/2015/06/chart">
            <c:ext xmlns:c16="http://schemas.microsoft.com/office/drawing/2014/chart" uri="{C3380CC4-5D6E-409C-BE32-E72D297353CC}">
              <c16:uniqueId val="{00000004-E449-4A60-AF8D-062AC400A4E0}"/>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1"/>
                <c:order val="1"/>
                <c:tx>
                  <c:strRef>
                    <c:extLst xmlns:c16r2="http://schemas.microsoft.com/office/drawing/2015/06/chart">
                      <c:ext uri="{02D57815-91ED-43cb-92C2-25804820EDAC}">
                        <c15:formulaRef>
                          <c15:sqref>Analysis!$B$72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6-E449-4A60-AF8D-062AC400A4E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8-E449-4A60-AF8D-062AC400A4E0}"/>
                    </c:ext>
                  </c:extLst>
                </c:dPt>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Analysis!$C$72:$D$72</c15:sqref>
                        </c15:formulaRef>
                      </c:ext>
                    </c:extLst>
                    <c:numCache>
                      <c:formatCode>General</c:formatCode>
                      <c:ptCount val="2"/>
                      <c:pt idx="0">
                        <c:v>11</c:v>
                      </c:pt>
                      <c:pt idx="1">
                        <c:v>13</c:v>
                      </c:pt>
                    </c:numCache>
                  </c:numRef>
                </c:val>
                <c:extLst xmlns:c16r2="http://schemas.microsoft.com/office/drawing/2015/06/chart">
                  <c:ext xmlns:c16="http://schemas.microsoft.com/office/drawing/2014/chart" uri="{C3380CC4-5D6E-409C-BE32-E72D297353CC}">
                    <c16:uniqueId val="{00000009-E449-4A60-AF8D-062AC400A4E0}"/>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E449-4A60-AF8D-062AC400A4E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E449-4A60-AF8D-062AC400A4E0}"/>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24</c:v>
                      </c:pt>
                      <c:pt idx="1">
                        <c:v>12</c:v>
                      </c:pt>
                    </c:numCache>
                  </c:numRef>
                </c:val>
                <c:extLst xmlns:c15="http://schemas.microsoft.com/office/drawing/2012/chart" xmlns:c16r2="http://schemas.microsoft.com/office/drawing/2015/06/chart">
                  <c:ext xmlns:c16="http://schemas.microsoft.com/office/drawing/2014/chart" uri="{C3380CC4-5D6E-409C-BE32-E72D297353CC}">
                    <c16:uniqueId val="{0000000E-E449-4A60-AF8D-062AC400A4E0}"/>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Rakhine</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Analysis!$B$72</c:f>
              <c:strCache>
                <c:ptCount val="1"/>
                <c:pt idx="0">
                  <c:v>Rakhine</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Analysis!$C$72:$D$72</c:f>
              <c:numCache>
                <c:formatCode>General</c:formatCode>
                <c:ptCount val="2"/>
                <c:pt idx="0">
                  <c:v>11</c:v>
                </c:pt>
                <c:pt idx="1">
                  <c:v>13</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98</c:v>
                      </c:pt>
                      <c:pt idx="1">
                        <c:v>49</c:v>
                      </c:pt>
                    </c:numCache>
                  </c:numRef>
                </c:val>
                <c:extLst xmlns:c16r2="http://schemas.microsoft.com/office/drawing/2015/06/char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FD78-4584-8A9F-AE81D870BE41}"/>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24</c:v>
                      </c:pt>
                      <c:pt idx="1">
                        <c:v>12</c:v>
                      </c:pt>
                    </c:numCache>
                  </c:numRef>
                </c:val>
                <c:extLst xmlns:c15="http://schemas.microsoft.com/office/drawing/2012/chart" xmlns:c16r2="http://schemas.microsoft.com/office/drawing/2015/06/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Shan (North)</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2"/>
          <c:order val="2"/>
          <c:tx>
            <c:strRef>
              <c:f>Analysis!$B$73</c:f>
              <c:strCache>
                <c:ptCount val="1"/>
                <c:pt idx="0">
                  <c:v>Shan (North)</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86F1-4846-8074-E55332D46B85}"/>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3-86F1-4846-8074-E55332D46B85}"/>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Analysis!$C$73:$D$73</c:f>
              <c:numCache>
                <c:formatCode>General</c:formatCode>
                <c:ptCount val="2"/>
                <c:pt idx="0">
                  <c:v>24</c:v>
                </c:pt>
                <c:pt idx="1">
                  <c:v>12</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86F1-4846-8074-E55332D46B85}"/>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86F1-4846-8074-E55332D46B85}"/>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86F1-4846-8074-E55332D46B85}"/>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98</c:v>
                      </c:pt>
                      <c:pt idx="1">
                        <c:v>49</c:v>
                      </c:pt>
                    </c:numCache>
                  </c:numRef>
                </c:val>
                <c:extLst xmlns:c16r2="http://schemas.microsoft.com/office/drawing/2015/06/chart">
                  <c:ext xmlns:c16="http://schemas.microsoft.com/office/drawing/2014/chart" uri="{C3380CC4-5D6E-409C-BE32-E72D297353CC}">
                    <c16:uniqueId val="{00000009-86F1-4846-8074-E55332D46B85}"/>
                  </c:ext>
                </c:extLst>
              </c15:ser>
            </c15:filteredPieSeries>
            <c15:filteredPie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Analysis!$B$72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86F1-4846-8074-E55332D46B8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86F1-4846-8074-E55332D46B85}"/>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Analysis!$C$72:$D$72</c15:sqref>
                        </c15:formulaRef>
                      </c:ext>
                    </c:extLst>
                    <c:numCache>
                      <c:formatCode>General</c:formatCode>
                      <c:ptCount val="2"/>
                      <c:pt idx="0">
                        <c:v>11</c:v>
                      </c:pt>
                      <c:pt idx="1">
                        <c:v>13</c:v>
                      </c:pt>
                    </c:numCache>
                  </c:numRef>
                </c:val>
                <c:extLst xmlns:c15="http://schemas.microsoft.com/office/drawing/2012/chart" xmlns:c16r2="http://schemas.microsoft.com/office/drawing/2015/06/chart">
                  <c:ext xmlns:c16="http://schemas.microsoft.com/office/drawing/2014/chart" uri="{C3380CC4-5D6E-409C-BE32-E72D297353CC}">
                    <c16:uniqueId val="{0000000E-86F1-4846-8074-E55332D46B85}"/>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Analysis!$G$55</c:f>
              <c:strCache>
                <c:ptCount val="1"/>
                <c:pt idx="0">
                  <c:v>Kachin</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Analysis!$H$54:$I$54</c:f>
              <c:strCache>
                <c:ptCount val="2"/>
                <c:pt idx="0">
                  <c:v>% of FAIL water samples at HH</c:v>
                </c:pt>
                <c:pt idx="1">
                  <c:v>% of FAIL water samples at water source</c:v>
                </c:pt>
              </c:strCache>
            </c:strRef>
          </c:cat>
          <c:val>
            <c:numRef>
              <c:f>Analysis!$H$55:$I$55</c:f>
              <c:numCache>
                <c:formatCode>0%</c:formatCode>
                <c:ptCount val="2"/>
                <c:pt idx="0">
                  <c:v>0.67647551589016741</c:v>
                </c:pt>
                <c:pt idx="1">
                  <c:v>0.81862745098039214</c:v>
                </c:pt>
              </c:numCache>
            </c:numRef>
          </c:val>
          <c:extLst xmlns:c16r2="http://schemas.microsoft.com/office/drawing/2015/06/chart">
            <c:ext xmlns:c16="http://schemas.microsoft.com/office/drawing/2014/chart" uri="{C3380CC4-5D6E-409C-BE32-E72D297353CC}">
              <c16:uniqueId val="{00000000-C8CB-4E55-B486-7E9000988768}"/>
            </c:ext>
          </c:extLst>
        </c:ser>
        <c:dLbls>
          <c:showLegendKey val="0"/>
          <c:showVal val="0"/>
          <c:showCatName val="0"/>
          <c:showSerName val="0"/>
          <c:showPercent val="0"/>
          <c:showBubbleSize val="0"/>
        </c:dLbls>
        <c:gapWidth val="150"/>
        <c:overlap val="100"/>
        <c:axId val="521769208"/>
        <c:axId val="521775088"/>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Analysis!$G$56</c15:sqref>
                        </c15:formulaRef>
                      </c:ext>
                    </c:extLst>
                    <c:strCache>
                      <c:ptCount val="1"/>
                      <c:pt idx="0">
                        <c:v>Rakhine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Analysis!$H$56:$I$56</c15:sqref>
                        </c15:formulaRef>
                      </c:ext>
                    </c:extLst>
                    <c:numCache>
                      <c:formatCode>0%</c:formatCode>
                      <c:ptCount val="2"/>
                      <c:pt idx="0">
                        <c:v>0.58204757263297502</c:v>
                      </c:pt>
                      <c:pt idx="1">
                        <c:v>0.30659146391921277</c:v>
                      </c:pt>
                    </c:numCache>
                  </c:numRef>
                </c:val>
                <c:extLst xmlns:c16r2="http://schemas.microsoft.com/office/drawing/2015/06/chart">
                  <c:ext xmlns:c16="http://schemas.microsoft.com/office/drawing/2014/chart" uri="{C3380CC4-5D6E-409C-BE32-E72D297353CC}">
                    <c16:uniqueId val="{00000001-C8CB-4E55-B486-7E9000988768}"/>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0.45242114123693067</c:v>
                      </c:pt>
                      <c:pt idx="1">
                        <c:v>0.47916666666666674</c:v>
                      </c:pt>
                    </c:numCache>
                  </c:numRef>
                </c:val>
                <c:extLst xmlns:c15="http://schemas.microsoft.com/office/drawing/2012/chart" xmlns:c16r2="http://schemas.microsoft.com/office/drawing/2015/06/chart">
                  <c:ext xmlns:c16="http://schemas.microsoft.com/office/drawing/2014/chart" uri="{C3380CC4-5D6E-409C-BE32-E72D297353CC}">
                    <c16:uniqueId val="{00000002-C8CB-4E55-B486-7E9000988768}"/>
                  </c:ext>
                </c:extLst>
              </c15:ser>
            </c15:filteredBarSeries>
          </c:ext>
        </c:extLst>
      </c:barChart>
      <c:catAx>
        <c:axId val="521769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5088"/>
        <c:crosses val="autoZero"/>
        <c:auto val="1"/>
        <c:lblAlgn val="ctr"/>
        <c:lblOffset val="100"/>
        <c:noMultiLvlLbl val="0"/>
      </c:catAx>
      <c:valAx>
        <c:axId val="5217750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69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1"/>
          <c:order val="1"/>
          <c:tx>
            <c:strRef>
              <c:f>Analysis!$G$56</c:f>
              <c:strCache>
                <c:ptCount val="1"/>
                <c:pt idx="0">
                  <c:v>Rakhine</c:v>
                </c:pt>
              </c:strCache>
              <c:extLst xmlns:c15="http://schemas.microsoft.com/office/drawing/2012/chart" xmlns:c16r2="http://schemas.microsoft.com/office/drawing/2015/06/chart"/>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Analysis!$H$56:$I$56</c:f>
              <c:numCache>
                <c:formatCode>0%</c:formatCode>
                <c:ptCount val="2"/>
                <c:pt idx="0">
                  <c:v>0.58204757263297502</c:v>
                </c:pt>
                <c:pt idx="1">
                  <c:v>0.30659146391921277</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9FCF-4E88-A999-D43CA3C5E3CC}"/>
            </c:ext>
          </c:extLst>
        </c:ser>
        <c:dLbls>
          <c:showLegendKey val="0"/>
          <c:showVal val="0"/>
          <c:showCatName val="0"/>
          <c:showSerName val="0"/>
          <c:showPercent val="0"/>
          <c:showBubbleSize val="0"/>
        </c:dLbls>
        <c:gapWidth val="150"/>
        <c:overlap val="100"/>
        <c:axId val="521771952"/>
        <c:axId val="52177430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2">
                                <a:lumMod val="35000"/>
                                <a:lumOff val="65000"/>
                              </a:schemeClr>
                            </a:solidFill>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0.67647551589016741</c:v>
                      </c:pt>
                      <c:pt idx="1">
                        <c:v>0.81862745098039214</c:v>
                      </c:pt>
                    </c:numCache>
                  </c:numRef>
                </c:val>
                <c:extLst xmlns:c16r2="http://schemas.microsoft.com/office/drawing/2015/06/chart">
                  <c:ext xmlns:c16="http://schemas.microsoft.com/office/drawing/2014/chart" uri="{C3380CC4-5D6E-409C-BE32-E72D297353CC}">
                    <c16:uniqueId val="{00000001-9FCF-4E88-A999-D43CA3C5E3CC}"/>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0.45242114123693067</c:v>
                      </c:pt>
                      <c:pt idx="1">
                        <c:v>0.47916666666666674</c:v>
                      </c:pt>
                    </c:numCache>
                  </c:numRef>
                </c:val>
                <c:extLst xmlns:c15="http://schemas.microsoft.com/office/drawing/2012/chart" xmlns:c16r2="http://schemas.microsoft.com/office/drawing/2015/06/chart">
                  <c:ext xmlns:c16="http://schemas.microsoft.com/office/drawing/2014/chart" uri="{C3380CC4-5D6E-409C-BE32-E72D297353CC}">
                    <c16:uniqueId val="{00000002-9FCF-4E88-A999-D43CA3C5E3CC}"/>
                  </c:ext>
                </c:extLst>
              </c15:ser>
            </c15:filteredBarSeries>
          </c:ext>
        </c:extLst>
      </c:barChart>
      <c:catAx>
        <c:axId val="5217719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4304"/>
        <c:crosses val="autoZero"/>
        <c:auto val="1"/>
        <c:lblAlgn val="ctr"/>
        <c:lblOffset val="100"/>
        <c:noMultiLvlLbl val="0"/>
      </c:catAx>
      <c:valAx>
        <c:axId val="5217743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1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2"/>
          <c:order val="2"/>
          <c:tx>
            <c:strRef>
              <c:f>Analysis!$G$57</c:f>
              <c:strCache>
                <c:ptCount val="1"/>
                <c:pt idx="0">
                  <c:v>Shan (North)</c:v>
                </c:pt>
              </c:strCache>
              <c:extLst xmlns:c15="http://schemas.microsoft.com/office/drawing/2012/chart" xmlns:c16r2="http://schemas.microsoft.com/office/drawing/2015/06/chart"/>
            </c:strRef>
          </c:tx>
          <c:spPr>
            <a:solidFill>
              <a:srgbClr val="0070C0"/>
            </a:solidFill>
            <a:ln>
              <a:noFill/>
            </a:ln>
            <a:effectLst/>
          </c:spPr>
          <c:invertIfNegative val="0"/>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Analysis!$H$57:$I$57</c:f>
              <c:numCache>
                <c:formatCode>0%</c:formatCode>
                <c:ptCount val="2"/>
                <c:pt idx="0">
                  <c:v>0.45242114123693067</c:v>
                </c:pt>
                <c:pt idx="1">
                  <c:v>0.47916666666666674</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1AFE-4161-BA98-C0DACE73B210}"/>
            </c:ext>
          </c:extLst>
        </c:ser>
        <c:dLbls>
          <c:showLegendKey val="0"/>
          <c:showVal val="0"/>
          <c:showCatName val="0"/>
          <c:showSerName val="0"/>
          <c:showPercent val="0"/>
          <c:showBubbleSize val="0"/>
        </c:dLbls>
        <c:gapWidth val="150"/>
        <c:overlap val="100"/>
        <c:axId val="521772736"/>
        <c:axId val="52177312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2">
                                <a:lumMod val="35000"/>
                                <a:lumOff val="65000"/>
                              </a:schemeClr>
                            </a:solidFill>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0.67647551589016741</c:v>
                      </c:pt>
                      <c:pt idx="1">
                        <c:v>0.81862745098039214</c:v>
                      </c:pt>
                    </c:numCache>
                  </c:numRef>
                </c:val>
                <c:extLst xmlns:c16r2="http://schemas.microsoft.com/office/drawing/2015/06/chart">
                  <c:ext xmlns:c16="http://schemas.microsoft.com/office/drawing/2014/chart" uri="{C3380CC4-5D6E-409C-BE32-E72D297353CC}">
                    <c16:uniqueId val="{00000001-1AFE-4161-BA98-C0DACE73B210}"/>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Analysis!$G$56</c15:sqref>
                        </c15:formulaRef>
                      </c:ext>
                    </c:extLst>
                    <c:strCache>
                      <c:ptCount val="1"/>
                      <c:pt idx="0">
                        <c:v>Rakhine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Analysis!$H$56:$I$56</c15:sqref>
                        </c15:formulaRef>
                      </c:ext>
                    </c:extLst>
                    <c:numCache>
                      <c:formatCode>0%</c:formatCode>
                      <c:ptCount val="2"/>
                      <c:pt idx="0">
                        <c:v>0.58204757263297502</c:v>
                      </c:pt>
                      <c:pt idx="1">
                        <c:v>0.30659146391921277</c:v>
                      </c:pt>
                    </c:numCache>
                  </c:numRef>
                </c:val>
                <c:extLst xmlns:c15="http://schemas.microsoft.com/office/drawing/2012/chart" xmlns:c16r2="http://schemas.microsoft.com/office/drawing/2015/06/chart">
                  <c:ext xmlns:c16="http://schemas.microsoft.com/office/drawing/2014/chart" uri="{C3380CC4-5D6E-409C-BE32-E72D297353CC}">
                    <c16:uniqueId val="{00000002-1AFE-4161-BA98-C0DACE73B210}"/>
                  </c:ext>
                </c:extLst>
              </c15:ser>
            </c15:filteredBarSeries>
          </c:ext>
        </c:extLst>
      </c:barChart>
      <c:catAx>
        <c:axId val="521772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3128"/>
        <c:crosses val="autoZero"/>
        <c:auto val="1"/>
        <c:lblAlgn val="ctr"/>
        <c:lblOffset val="100"/>
        <c:noMultiLvlLbl val="0"/>
      </c:catAx>
      <c:valAx>
        <c:axId val="52177312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2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WASH in TLS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Analysis!$D$407</c:f>
              <c:strCache>
                <c:ptCount val="1"/>
                <c:pt idx="0">
                  <c:v> # of hand washing stations with soap</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Analysis!$C$408:$C$410</c:f>
              <c:strCache>
                <c:ptCount val="3"/>
                <c:pt idx="0">
                  <c:v>Kachin</c:v>
                </c:pt>
                <c:pt idx="1">
                  <c:v>Rakhine</c:v>
                </c:pt>
                <c:pt idx="2">
                  <c:v>Shan (North)</c:v>
                </c:pt>
              </c:strCache>
            </c:strRef>
          </c:cat>
          <c:val>
            <c:numRef>
              <c:f>Analysis!$D$408:$D$410</c:f>
              <c:numCache>
                <c:formatCode>_(* #,##0_);_(* \(#,##0\);_(* "-"??_);_(@_)</c:formatCode>
                <c:ptCount val="3"/>
                <c:pt idx="0">
                  <c:v>25</c:v>
                </c:pt>
                <c:pt idx="1">
                  <c:v>16</c:v>
                </c:pt>
                <c:pt idx="2">
                  <c:v>0</c:v>
                </c:pt>
              </c:numCache>
            </c:numRef>
          </c:val>
          <c:extLst xmlns:c16r2="http://schemas.microsoft.com/office/drawing/2015/06/chart">
            <c:ext xmlns:c16="http://schemas.microsoft.com/office/drawing/2014/chart" uri="{C3380CC4-5D6E-409C-BE32-E72D297353CC}">
              <c16:uniqueId val="{00000000-1F90-4947-B704-CECBAFE22087}"/>
            </c:ext>
          </c:extLst>
        </c:ser>
        <c:ser>
          <c:idx val="1"/>
          <c:order val="1"/>
          <c:tx>
            <c:strRef>
              <c:f>Analysis!$F$407</c:f>
              <c:strCache>
                <c:ptCount val="1"/>
                <c:pt idx="0">
                  <c:v> # of children Latrines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Analysis!$C$408:$C$410</c:f>
              <c:strCache>
                <c:ptCount val="3"/>
                <c:pt idx="0">
                  <c:v>Kachin</c:v>
                </c:pt>
                <c:pt idx="1">
                  <c:v>Rakhine</c:v>
                </c:pt>
                <c:pt idx="2">
                  <c:v>Shan (North)</c:v>
                </c:pt>
              </c:strCache>
            </c:strRef>
          </c:cat>
          <c:val>
            <c:numRef>
              <c:f>Analysis!$F$408:$F$410</c:f>
              <c:numCache>
                <c:formatCode>_(* #,##0_);_(* \(#,##0\);_(* "-"??_);_(@_)</c:formatCode>
                <c:ptCount val="3"/>
                <c:pt idx="0">
                  <c:v>4</c:v>
                </c:pt>
                <c:pt idx="1">
                  <c:v>112.53410293410293</c:v>
                </c:pt>
                <c:pt idx="2">
                  <c:v>6</c:v>
                </c:pt>
              </c:numCache>
            </c:numRef>
          </c:val>
          <c:extLst xmlns:c16r2="http://schemas.microsoft.com/office/drawing/2015/06/chart">
            <c:ext xmlns:c16="http://schemas.microsoft.com/office/drawing/2014/chart" uri="{C3380CC4-5D6E-409C-BE32-E72D297353CC}">
              <c16:uniqueId val="{00000001-1F90-4947-B704-CECBAFE22087}"/>
            </c:ext>
          </c:extLst>
        </c:ser>
        <c:ser>
          <c:idx val="2"/>
          <c:order val="2"/>
          <c:tx>
            <c:strRef>
              <c:f>Analysis!$G$407</c:f>
              <c:strCache>
                <c:ptCount val="1"/>
                <c:pt idx="0">
                  <c:v> # of latrines in TLS (schools)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Analysis!$C$408:$C$410</c:f>
              <c:strCache>
                <c:ptCount val="3"/>
                <c:pt idx="0">
                  <c:v>Kachin</c:v>
                </c:pt>
                <c:pt idx="1">
                  <c:v>Rakhine</c:v>
                </c:pt>
                <c:pt idx="2">
                  <c:v>Shan (North)</c:v>
                </c:pt>
              </c:strCache>
            </c:strRef>
          </c:cat>
          <c:val>
            <c:numRef>
              <c:f>Analysis!$G$408:$G$410</c:f>
              <c:numCache>
                <c:formatCode>_(* #,##0_);_(* \(#,##0\);_(* "-"??_);_(@_)</c:formatCode>
                <c:ptCount val="3"/>
                <c:pt idx="0">
                  <c:v>55</c:v>
                </c:pt>
                <c:pt idx="1">
                  <c:v>87</c:v>
                </c:pt>
                <c:pt idx="2">
                  <c:v>1</c:v>
                </c:pt>
              </c:numCache>
            </c:numRef>
          </c:val>
          <c:extLst xmlns:c16r2="http://schemas.microsoft.com/office/drawing/2015/06/chart">
            <c:ext xmlns:c16="http://schemas.microsoft.com/office/drawing/2014/chart" uri="{C3380CC4-5D6E-409C-BE32-E72D297353CC}">
              <c16:uniqueId val="{00000002-1F90-4947-B704-CECBAFE22087}"/>
            </c:ext>
          </c:extLst>
        </c:ser>
        <c:ser>
          <c:idx val="3"/>
          <c:order val="3"/>
          <c:tx>
            <c:strRef>
              <c:f>Analysis!$E$407</c:f>
              <c:strCache>
                <c:ptCount val="1"/>
                <c:pt idx="0">
                  <c:v> # of hand washing stations for TLS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Analysis!$C$408:$C$410</c:f>
              <c:strCache>
                <c:ptCount val="3"/>
                <c:pt idx="0">
                  <c:v>Kachin</c:v>
                </c:pt>
                <c:pt idx="1">
                  <c:v>Rakhine</c:v>
                </c:pt>
                <c:pt idx="2">
                  <c:v>Shan (North)</c:v>
                </c:pt>
              </c:strCache>
            </c:strRef>
          </c:cat>
          <c:val>
            <c:numRef>
              <c:f>Analysis!$E$408:$E$410</c:f>
              <c:numCache>
                <c:formatCode>_(* #,##0_);_(* \(#,##0\);_(* "-"??_);_(@_)</c:formatCode>
                <c:ptCount val="3"/>
                <c:pt idx="0">
                  <c:v>139</c:v>
                </c:pt>
                <c:pt idx="1">
                  <c:v>79</c:v>
                </c:pt>
                <c:pt idx="2">
                  <c:v>0</c:v>
                </c:pt>
              </c:numCache>
            </c:numRef>
          </c:val>
        </c:ser>
        <c:dLbls>
          <c:showLegendKey val="0"/>
          <c:showVal val="0"/>
          <c:showCatName val="0"/>
          <c:showSerName val="0"/>
          <c:showPercent val="0"/>
          <c:showBubbleSize val="0"/>
        </c:dLbls>
        <c:gapWidth val="100"/>
        <c:overlap val="-24"/>
        <c:axId val="521776264"/>
        <c:axId val="521776656"/>
      </c:barChart>
      <c:catAx>
        <c:axId val="521776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6656"/>
        <c:crosses val="autoZero"/>
        <c:auto val="1"/>
        <c:lblAlgn val="ctr"/>
        <c:lblOffset val="100"/>
        <c:noMultiLvlLbl val="0"/>
      </c:catAx>
      <c:valAx>
        <c:axId val="521776656"/>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6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a:t>
            </a:r>
          </a:p>
        </c:rich>
      </c:tx>
      <c:layout>
        <c:manualLayout>
          <c:xMode val="edge"/>
          <c:yMode val="edge"/>
          <c:x val="0.29720225664478145"/>
          <c:y val="6.0724757148786172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242715540023649"/>
          <c:y val="0.12438199410539522"/>
          <c:w val="0.74816781294686108"/>
          <c:h val="0.63270845805019016"/>
        </c:manualLayout>
      </c:layout>
      <c:barChart>
        <c:barDir val="col"/>
        <c:grouping val="stacked"/>
        <c:varyColors val="0"/>
        <c:ser>
          <c:idx val="0"/>
          <c:order val="0"/>
          <c:tx>
            <c:strRef>
              <c:f>Analysis!$B$133</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Analysis!$C$133:$D$133</c:f>
              <c:numCache>
                <c:formatCode>_(* #,##0_);_(* \(#,##0\);_(* "-"??_);_(@_)</c:formatCode>
                <c:ptCount val="2"/>
                <c:pt idx="0">
                  <c:v>2366</c:v>
                </c:pt>
                <c:pt idx="1">
                  <c:v>3432</c:v>
                </c:pt>
              </c:numCache>
            </c:numRef>
          </c:val>
          <c:extLst xmlns:c16r2="http://schemas.microsoft.com/office/drawing/2015/06/chart">
            <c:ext xmlns:c16="http://schemas.microsoft.com/office/drawing/2014/chart" uri="{C3380CC4-5D6E-409C-BE32-E72D297353CC}">
              <c16:uniqueId val="{00000000-11DD-45FB-9A7E-843D5E549A65}"/>
            </c:ext>
          </c:extLst>
        </c:ser>
        <c:ser>
          <c:idx val="1"/>
          <c:order val="1"/>
          <c:tx>
            <c:strRef>
              <c:f>Analysis!$B$134</c:f>
              <c:strCache>
                <c:ptCount val="1"/>
                <c:pt idx="0">
                  <c:v>GAP</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Analysis!$C$134:$D$134</c:f>
              <c:numCache>
                <c:formatCode>_(* #,##0_);_(* \(#,##0\);_(* "-"??_);_(@_)</c:formatCode>
                <c:ptCount val="2"/>
                <c:pt idx="0">
                  <c:v>247</c:v>
                </c:pt>
                <c:pt idx="1">
                  <c:v>0</c:v>
                </c:pt>
              </c:numCache>
            </c:numRef>
          </c:val>
          <c:extLst xmlns:c16r2="http://schemas.microsoft.com/office/drawing/2015/06/chart">
            <c:ext xmlns:c16="http://schemas.microsoft.com/office/drawing/2014/chart" uri="{C3380CC4-5D6E-409C-BE32-E72D297353CC}">
              <c16:uniqueId val="{00000001-11DD-45FB-9A7E-843D5E549A65}"/>
            </c:ext>
          </c:extLst>
        </c:ser>
        <c:dLbls>
          <c:dLblPos val="ctr"/>
          <c:showLegendKey val="0"/>
          <c:showVal val="1"/>
          <c:showCatName val="0"/>
          <c:showSerName val="0"/>
          <c:showPercent val="0"/>
          <c:showBubbleSize val="0"/>
        </c:dLbls>
        <c:gapWidth val="150"/>
        <c:overlap val="100"/>
        <c:axId val="521775872"/>
        <c:axId val="521769600"/>
      </c:barChart>
      <c:catAx>
        <c:axId val="521775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69600"/>
        <c:crosses val="autoZero"/>
        <c:auto val="1"/>
        <c:lblAlgn val="ctr"/>
        <c:lblOffset val="100"/>
        <c:noMultiLvlLbl val="0"/>
      </c:catAx>
      <c:valAx>
        <c:axId val="521769600"/>
        <c:scaling>
          <c:orientation val="minMax"/>
          <c:max val="350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Latrines handed over to families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652480939882514"/>
          <c:y val="0.13587970253718284"/>
          <c:w val="0.89814814814814814"/>
          <c:h val="0.65048885820243241"/>
        </c:manualLayout>
      </c:layout>
      <c:barChart>
        <c:barDir val="col"/>
        <c:grouping val="stacked"/>
        <c:varyColors val="0"/>
        <c:ser>
          <c:idx val="2"/>
          <c:order val="2"/>
          <c:tx>
            <c:strRef>
              <c:f>Analysis!$B$135</c:f>
              <c:strCache>
                <c:ptCount val="1"/>
                <c:pt idx="0">
                  <c:v>Latrines handed over</c:v>
                </c:pt>
              </c:strCache>
            </c:strRef>
          </c:tx>
          <c:spPr>
            <a:solidFill>
              <a:schemeClr val="accent2">
                <a:lumMod val="75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Analysis!$C$135:$D$135</c:f>
              <c:numCache>
                <c:formatCode>_(* #,##0_);_(* \(#,##0\);_(* "-"??_);_(@_)</c:formatCode>
                <c:ptCount val="2"/>
                <c:pt idx="0">
                  <c:v>699</c:v>
                </c:pt>
                <c:pt idx="1">
                  <c:v>383</c:v>
                </c:pt>
              </c:numCache>
            </c:numRef>
          </c:val>
          <c:extLst xmlns:c16r2="http://schemas.microsoft.com/office/drawing/2015/06/chart">
            <c:ext xmlns:c16="http://schemas.microsoft.com/office/drawing/2014/chart" uri="{C3380CC4-5D6E-409C-BE32-E72D297353CC}">
              <c16:uniqueId val="{00000000-EDB8-4005-B0CC-AA882CBF326D}"/>
            </c:ext>
          </c:extLst>
        </c:ser>
        <c:ser>
          <c:idx val="3"/>
          <c:order val="3"/>
          <c:tx>
            <c:strRef>
              <c:f>Analysis!$B$136</c:f>
              <c:strCache>
                <c:ptCount val="1"/>
                <c:pt idx="0">
                  <c:v>Latrines not handed over</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Analysis!$C$136:$D$136</c:f>
              <c:numCache>
                <c:formatCode>_(* #,##0_);_(* \(#,##0\);_(* "-"??_);_(@_)</c:formatCode>
                <c:ptCount val="2"/>
                <c:pt idx="0">
                  <c:v>1914</c:v>
                </c:pt>
                <c:pt idx="1">
                  <c:v>3049</c:v>
                </c:pt>
              </c:numCache>
            </c:numRef>
          </c:val>
          <c:extLst xmlns:c16r2="http://schemas.microsoft.com/office/drawing/2015/06/chart">
            <c:ext xmlns:c16="http://schemas.microsoft.com/office/drawing/2014/chart" uri="{C3380CC4-5D6E-409C-BE32-E72D297353CC}">
              <c16:uniqueId val="{00000001-EDB8-4005-B0CC-AA882CBF326D}"/>
            </c:ext>
          </c:extLst>
        </c:ser>
        <c:dLbls>
          <c:showLegendKey val="0"/>
          <c:showVal val="0"/>
          <c:showCatName val="0"/>
          <c:showSerName val="0"/>
          <c:showPercent val="0"/>
          <c:showBubbleSize val="0"/>
        </c:dLbls>
        <c:gapWidth val="150"/>
        <c:overlap val="100"/>
        <c:axId val="521773912"/>
        <c:axId val="52177352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Analysis!$B$133</c15:sqref>
                        </c15:formulaRef>
                      </c:ext>
                    </c:extLst>
                    <c:strCache>
                      <c:ptCount val="1"/>
                      <c:pt idx="0">
                        <c:v>Coverage</c:v>
                      </c:pt>
                    </c:strCache>
                  </c:strRef>
                </c:tx>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Analysis!$C$132:$D$132</c15:sqref>
                        </c15:formulaRef>
                      </c:ext>
                    </c:extLst>
                    <c:strCache>
                      <c:ptCount val="2"/>
                      <c:pt idx="0">
                        <c:v># in GCA (20:1)</c:v>
                      </c:pt>
                      <c:pt idx="1">
                        <c:v># in NGCA (20:1)</c:v>
                      </c:pt>
                    </c:strCache>
                  </c:strRef>
                </c:cat>
                <c:val>
                  <c:numRef>
                    <c:extLst xmlns:c16r2="http://schemas.microsoft.com/office/drawing/2015/06/chart">
                      <c:ext uri="{02D57815-91ED-43cb-92C2-25804820EDAC}">
                        <c15:formulaRef>
                          <c15:sqref>Analysis!$C$133:$D$133</c15:sqref>
                        </c15:formulaRef>
                      </c:ext>
                    </c:extLst>
                    <c:numCache>
                      <c:formatCode>_(* #,##0_);_(* \(#,##0\);_(* "-"??_);_(@_)</c:formatCode>
                      <c:ptCount val="2"/>
                      <c:pt idx="0">
                        <c:v>2366</c:v>
                      </c:pt>
                      <c:pt idx="1">
                        <c:v>3432</c:v>
                      </c:pt>
                    </c:numCache>
                  </c:numRef>
                </c:val>
                <c:extLst xmlns:c16r2="http://schemas.microsoft.com/office/drawing/2015/06/chart">
                  <c:ext xmlns:c16="http://schemas.microsoft.com/office/drawing/2014/chart" uri="{C3380CC4-5D6E-409C-BE32-E72D297353CC}">
                    <c16:uniqueId val="{00000000-4E65-4764-B72A-B684BBEB32AF}"/>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Analysis!$B$134</c15:sqref>
                        </c15:formulaRef>
                      </c:ext>
                    </c:extLst>
                    <c:strCache>
                      <c:ptCount val="1"/>
                      <c:pt idx="0">
                        <c:v>GAP</c:v>
                      </c:pt>
                    </c:strCache>
                  </c:strRef>
                </c:tx>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Analysis!$C$132:$D$132</c15:sqref>
                        </c15:formulaRef>
                      </c:ext>
                    </c:extLst>
                    <c:strCache>
                      <c:ptCount val="2"/>
                      <c:pt idx="0">
                        <c:v># in GCA (20:1)</c:v>
                      </c:pt>
                      <c:pt idx="1">
                        <c:v># in NGCA (20:1)</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Analysis!$C$134:$D$134</c15:sqref>
                        </c15:formulaRef>
                      </c:ext>
                    </c:extLst>
                    <c:numCache>
                      <c:formatCode>_(* #,##0_);_(* \(#,##0\);_(* "-"??_);_(@_)</c:formatCode>
                      <c:ptCount val="2"/>
                      <c:pt idx="0">
                        <c:v>247</c:v>
                      </c:pt>
                      <c:pt idx="1">
                        <c:v>0</c:v>
                      </c:pt>
                    </c:numCache>
                  </c:numRef>
                </c:val>
                <c:extLst xmlns:c15="http://schemas.microsoft.com/office/drawing/2012/chart" xmlns:c16r2="http://schemas.microsoft.com/office/drawing/2015/06/chart">
                  <c:ext xmlns:c16="http://schemas.microsoft.com/office/drawing/2014/chart" uri="{C3380CC4-5D6E-409C-BE32-E72D297353CC}">
                    <c16:uniqueId val="{00000002-4E65-4764-B72A-B684BBEB32AF}"/>
                  </c:ext>
                </c:extLst>
              </c15:ser>
            </c15:filteredBarSeries>
          </c:ext>
        </c:extLst>
      </c:barChart>
      <c:catAx>
        <c:axId val="5217739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3520"/>
        <c:crosses val="autoZero"/>
        <c:auto val="1"/>
        <c:lblAlgn val="ctr"/>
        <c:lblOffset val="100"/>
        <c:noMultiLvlLbl val="0"/>
      </c:catAx>
      <c:valAx>
        <c:axId val="521773520"/>
        <c:scaling>
          <c:orientation val="minMax"/>
          <c:max val="350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3912"/>
        <c:crosses val="autoZero"/>
        <c:crossBetween val="between"/>
      </c:valAx>
      <c:spPr>
        <a:noFill/>
        <a:ln>
          <a:noFill/>
        </a:ln>
        <a:effectLst/>
      </c:spPr>
    </c:plotArea>
    <c:legend>
      <c:legendPos val="b"/>
      <c:layout>
        <c:manualLayout>
          <c:xMode val="edge"/>
          <c:yMode val="edge"/>
          <c:x val="1.8616112254541406E-2"/>
          <c:y val="0.8708280839895014"/>
          <c:w val="0.93504855152966238"/>
          <c:h val="9.273709536307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Latrine repaired and desludged</a:t>
            </a:r>
            <a:endParaRPr lang="en-US" sz="1200">
              <a:effectLst/>
            </a:endParaRPr>
          </a:p>
        </c:rich>
      </c:tx>
      <c:layout>
        <c:manualLayout>
          <c:xMode val="edge"/>
          <c:yMode val="edge"/>
          <c:x val="0.22438476440444949"/>
          <c:y val="1.666666666666666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936195475565554"/>
          <c:y val="0.13138888888888889"/>
          <c:w val="0.8269872515935508"/>
          <c:h val="0.6126478565179353"/>
        </c:manualLayout>
      </c:layout>
      <c:barChart>
        <c:barDir val="col"/>
        <c:grouping val="clustered"/>
        <c:varyColors val="0"/>
        <c:ser>
          <c:idx val="0"/>
          <c:order val="0"/>
          <c:tx>
            <c:strRef>
              <c:f>Analysis!$B$137</c:f>
              <c:strCache>
                <c:ptCount val="1"/>
                <c:pt idx="0">
                  <c:v># latrines repairs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Analysis!$C$137:$D$137</c:f>
              <c:numCache>
                <c:formatCode>_(* #,##0_);_(* \(#,##0\);_(* "-"??_);_(@_)</c:formatCode>
                <c:ptCount val="2"/>
                <c:pt idx="0">
                  <c:v>107</c:v>
                </c:pt>
                <c:pt idx="1">
                  <c:v>212</c:v>
                </c:pt>
              </c:numCache>
            </c:numRef>
          </c:val>
          <c:extLst xmlns:c16r2="http://schemas.microsoft.com/office/drawing/2015/06/chart">
            <c:ext xmlns:c16="http://schemas.microsoft.com/office/drawing/2014/chart" uri="{C3380CC4-5D6E-409C-BE32-E72D297353CC}">
              <c16:uniqueId val="{00000000-177F-4830-A166-C2511012B919}"/>
            </c:ext>
          </c:extLst>
        </c:ser>
        <c:ser>
          <c:idx val="1"/>
          <c:order val="1"/>
          <c:tx>
            <c:strRef>
              <c:f>Analysis!$B$138</c:f>
              <c:strCache>
                <c:ptCount val="1"/>
                <c:pt idx="0">
                  <c:v># latrines desludged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Analysis!$C$138:$D$138</c:f>
              <c:numCache>
                <c:formatCode>_(* #,##0_);_(* \(#,##0\);_(* "-"??_);_(@_)</c:formatCode>
                <c:ptCount val="2"/>
                <c:pt idx="0">
                  <c:v>461</c:v>
                </c:pt>
                <c:pt idx="1">
                  <c:v>278</c:v>
                </c:pt>
              </c:numCache>
            </c:numRef>
          </c:val>
          <c:extLst xmlns:c16r2="http://schemas.microsoft.com/office/drawing/2015/06/chart">
            <c:ext xmlns:c16="http://schemas.microsoft.com/office/drawing/2014/chart" uri="{C3380CC4-5D6E-409C-BE32-E72D297353CC}">
              <c16:uniqueId val="{00000001-177F-4830-A166-C2511012B919}"/>
            </c:ext>
          </c:extLst>
        </c:ser>
        <c:dLbls>
          <c:dLblPos val="inEnd"/>
          <c:showLegendKey val="0"/>
          <c:showVal val="1"/>
          <c:showCatName val="0"/>
          <c:showSerName val="0"/>
          <c:showPercent val="0"/>
          <c:showBubbleSize val="0"/>
        </c:dLbls>
        <c:gapWidth val="100"/>
        <c:overlap val="-24"/>
        <c:axId val="521774696"/>
        <c:axId val="522094232"/>
      </c:barChart>
      <c:catAx>
        <c:axId val="5217746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4232"/>
        <c:crosses val="autoZero"/>
        <c:auto val="1"/>
        <c:lblAlgn val="ctr"/>
        <c:lblOffset val="100"/>
        <c:noMultiLvlLbl val="0"/>
      </c:catAx>
      <c:valAx>
        <c:axId val="52209423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4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Latrine Functionality</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5190879986155573"/>
          <c:y val="0.23505772657322385"/>
          <c:w val="0.38808398950131229"/>
          <c:h val="0.71010081436328043"/>
        </c:manualLayout>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E5B6-42BD-AEB1-651CA93AFD89}"/>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E5B6-42BD-AEB1-651CA93AFD8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E5B6-42BD-AEB1-651CA93AFD89}"/>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1"/>
              <c:layout>
                <c:manualLayout>
                  <c:x val="4.5203193350831145E-2"/>
                  <c:y val="5.5574146981627298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B6-42BD-AEB1-651CA93AFD89}"/>
                </c:ex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Analysis!$F$133:$F$135</c:f>
              <c:strCache>
                <c:ptCount val="3"/>
                <c:pt idx="0">
                  <c:v>Functioning</c:v>
                </c:pt>
                <c:pt idx="1">
                  <c:v>Reparis</c:v>
                </c:pt>
                <c:pt idx="2">
                  <c:v>Desludging</c:v>
                </c:pt>
              </c:strCache>
            </c:strRef>
          </c:cat>
          <c:val>
            <c:numRef>
              <c:f>Analysis!$G$133:$G$135</c:f>
              <c:numCache>
                <c:formatCode>_(* #,##0_);_(* \(#,##0\);_(* "-"??_);_(@_)</c:formatCode>
                <c:ptCount val="3"/>
                <c:pt idx="0" formatCode="General">
                  <c:v>5798</c:v>
                </c:pt>
                <c:pt idx="1">
                  <c:v>319</c:v>
                </c:pt>
                <c:pt idx="2" formatCode="General">
                  <c:v>739</c:v>
                </c:pt>
              </c:numCache>
            </c:numRef>
          </c:val>
          <c:extLst xmlns:c16r2="http://schemas.microsoft.com/office/drawing/2015/06/chart">
            <c:ext xmlns:c16="http://schemas.microsoft.com/office/drawing/2014/chart" uri="{C3380CC4-5D6E-409C-BE32-E72D297353CC}">
              <c16:uniqueId val="{00000006-E5B6-42BD-AEB1-651CA93AFD8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194079906678329"/>
          <c:y val="0.33213250689701518"/>
          <c:w val="0.28509222805482648"/>
          <c:h val="0.347046037137815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Latrines handed over to families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Analysis!$K$135</c:f>
              <c:strCache>
                <c:ptCount val="1"/>
                <c:pt idx="0">
                  <c:v>Latrines handed over</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Analysis!$L$135:$M$135</c:f>
              <c:numCache>
                <c:formatCode>_(* #,##0_);_(* \(#,##0\);_(* "-"??_);_(@_)</c:formatCode>
                <c:ptCount val="2"/>
                <c:pt idx="0">
                  <c:v>4268</c:v>
                </c:pt>
                <c:pt idx="1">
                  <c:v>2665</c:v>
                </c:pt>
              </c:numCache>
            </c:numRef>
          </c:val>
          <c:extLst xmlns:c16r2="http://schemas.microsoft.com/office/drawing/2015/06/chart">
            <c:ext xmlns:c16="http://schemas.microsoft.com/office/drawing/2014/chart" uri="{C3380CC4-5D6E-409C-BE32-E72D297353CC}">
              <c16:uniqueId val="{00000000-505F-42BD-9152-C078C15A7639}"/>
            </c:ext>
          </c:extLst>
        </c:ser>
        <c:ser>
          <c:idx val="1"/>
          <c:order val="1"/>
          <c:tx>
            <c:strRef>
              <c:f>Analysis!$K$136</c:f>
              <c:strCache>
                <c:ptCount val="1"/>
                <c:pt idx="0">
                  <c:v>Latrines not handed over</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Analysis!$L$136:$M$136</c:f>
              <c:numCache>
                <c:formatCode>_(* #,##0_);_(* \(#,##0\);_(* "-"??_);_(@_)</c:formatCode>
                <c:ptCount val="2"/>
                <c:pt idx="0">
                  <c:v>1882</c:v>
                </c:pt>
                <c:pt idx="1">
                  <c:v>9466</c:v>
                </c:pt>
              </c:numCache>
            </c:numRef>
          </c:val>
          <c:extLst xmlns:c16r2="http://schemas.microsoft.com/office/drawing/2015/06/chart">
            <c:ext xmlns:c16="http://schemas.microsoft.com/office/drawing/2014/chart" uri="{C3380CC4-5D6E-409C-BE32-E72D297353CC}">
              <c16:uniqueId val="{00000001-505F-42BD-9152-C078C15A7639}"/>
            </c:ext>
          </c:extLst>
        </c:ser>
        <c:dLbls>
          <c:dLblPos val="ctr"/>
          <c:showLegendKey val="0"/>
          <c:showVal val="1"/>
          <c:showCatName val="0"/>
          <c:showSerName val="0"/>
          <c:showPercent val="0"/>
          <c:showBubbleSize val="0"/>
        </c:dLbls>
        <c:gapWidth val="150"/>
        <c:overlap val="100"/>
        <c:axId val="522093840"/>
        <c:axId val="522095408"/>
      </c:barChart>
      <c:catAx>
        <c:axId val="5220938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5408"/>
        <c:crosses val="autoZero"/>
        <c:auto val="1"/>
        <c:lblAlgn val="ctr"/>
        <c:lblOffset val="100"/>
        <c:noMultiLvlLbl val="0"/>
      </c:catAx>
      <c:valAx>
        <c:axId val="52209540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a:t>Latrine Coverage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Analysis!$K$133</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Analysis!$L$133:$M$133</c:f>
              <c:numCache>
                <c:formatCode>_(* #,##0_);_(* \(#,##0\);_(* "-"??_);_(@_)</c:formatCode>
                <c:ptCount val="2"/>
                <c:pt idx="0">
                  <c:v>4951</c:v>
                </c:pt>
                <c:pt idx="1">
                  <c:v>3573</c:v>
                </c:pt>
              </c:numCache>
            </c:numRef>
          </c:val>
          <c:extLst xmlns:c16r2="http://schemas.microsoft.com/office/drawing/2015/06/chart">
            <c:ext xmlns:c16="http://schemas.microsoft.com/office/drawing/2014/chart" uri="{C3380CC4-5D6E-409C-BE32-E72D297353CC}">
              <c16:uniqueId val="{00000000-A6C3-4C9D-924E-545947A62E9C}"/>
            </c:ext>
          </c:extLst>
        </c:ser>
        <c:ser>
          <c:idx val="1"/>
          <c:order val="1"/>
          <c:tx>
            <c:strRef>
              <c:f>Analysis!$K$134</c:f>
              <c:strCache>
                <c:ptCount val="1"/>
                <c:pt idx="0">
                  <c:v>GAP</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Analysis!$L$134:$M$134</c:f>
              <c:numCache>
                <c:formatCode>_(* #,##0_);_(* \(#,##0\);_(* "-"??_);_(@_)</c:formatCode>
                <c:ptCount val="2"/>
                <c:pt idx="0">
                  <c:v>1199</c:v>
                </c:pt>
                <c:pt idx="1">
                  <c:v>8558</c:v>
                </c:pt>
              </c:numCache>
            </c:numRef>
          </c:val>
          <c:extLst xmlns:c16r2="http://schemas.microsoft.com/office/drawing/2015/06/char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522089528"/>
        <c:axId val="522094624"/>
      </c:barChart>
      <c:catAx>
        <c:axId val="5220895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4624"/>
        <c:crosses val="autoZero"/>
        <c:auto val="1"/>
        <c:lblAlgn val="ctr"/>
        <c:lblOffset val="100"/>
        <c:noMultiLvlLbl val="0"/>
      </c:catAx>
      <c:valAx>
        <c:axId val="5220946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89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repaired and desludged</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Analysis!$K$137</c:f>
              <c:strCache>
                <c:ptCount val="1"/>
                <c:pt idx="0">
                  <c:v># latrines repairs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Analysis!$L$137:$M$137</c:f>
              <c:numCache>
                <c:formatCode>_(* #,##0_);_(* \(#,##0\);_(* "-"??_);_(@_)</c:formatCode>
                <c:ptCount val="2"/>
                <c:pt idx="0">
                  <c:v>1200</c:v>
                </c:pt>
                <c:pt idx="1">
                  <c:v>200</c:v>
                </c:pt>
              </c:numCache>
            </c:numRef>
          </c:val>
          <c:extLst xmlns:c16r2="http://schemas.microsoft.com/office/drawing/2015/06/chart">
            <c:ext xmlns:c16="http://schemas.microsoft.com/office/drawing/2014/chart" uri="{C3380CC4-5D6E-409C-BE32-E72D297353CC}">
              <c16:uniqueId val="{00000000-D624-4306-9FDE-126985E12BCF}"/>
            </c:ext>
          </c:extLst>
        </c:ser>
        <c:ser>
          <c:idx val="1"/>
          <c:order val="1"/>
          <c:tx>
            <c:strRef>
              <c:f>Analysis!$K$138</c:f>
              <c:strCache>
                <c:ptCount val="1"/>
                <c:pt idx="0">
                  <c:v># latrines desludged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Analysis!$L$138:$M$138</c:f>
              <c:numCache>
                <c:formatCode>_(* #,##0_);_(* \(#,##0\);_(* "-"??_);_(@_)</c:formatCode>
                <c:ptCount val="2"/>
                <c:pt idx="0">
                  <c:v>2885</c:v>
                </c:pt>
                <c:pt idx="1">
                  <c:v>0</c:v>
                </c:pt>
              </c:numCache>
            </c:numRef>
          </c:val>
          <c:extLst xmlns:c16r2="http://schemas.microsoft.com/office/drawing/2015/06/chart">
            <c:ext xmlns:c16="http://schemas.microsoft.com/office/drawing/2014/chart" uri="{C3380CC4-5D6E-409C-BE32-E72D297353CC}">
              <c16:uniqueId val="{00000001-D624-4306-9FDE-126985E12BCF}"/>
            </c:ext>
          </c:extLst>
        </c:ser>
        <c:dLbls>
          <c:dLblPos val="ctr"/>
          <c:showLegendKey val="0"/>
          <c:showVal val="1"/>
          <c:showCatName val="0"/>
          <c:showSerName val="0"/>
          <c:showPercent val="0"/>
          <c:showBubbleSize val="0"/>
        </c:dLbls>
        <c:gapWidth val="100"/>
        <c:overlap val="-24"/>
        <c:axId val="522093056"/>
        <c:axId val="522089920"/>
      </c:barChart>
      <c:catAx>
        <c:axId val="522093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89920"/>
        <c:crosses val="autoZero"/>
        <c:auto val="1"/>
        <c:lblAlgn val="ctr"/>
        <c:lblOffset val="100"/>
        <c:noMultiLvlLbl val="0"/>
      </c:catAx>
      <c:valAx>
        <c:axId val="522089920"/>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r>
              <a:rPr lang="en-US" sz="1200" b="1" i="0" baseline="0">
                <a:effectLst/>
              </a:rPr>
              <a:t>Latrine Functionality</a:t>
            </a:r>
            <a:endParaRPr lang="en-US" sz="12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012E-4C70-8DE8-442D9164B4F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012E-4C70-8DE8-442D9164B4FD}"/>
              </c:ext>
            </c:extLst>
          </c:dPt>
          <c:dLbls>
            <c:dLbl>
              <c:idx val="0"/>
              <c:layout>
                <c:manualLayout>
                  <c:x val="-9.3214457567804027E-2"/>
                  <c:y val="-0.2090044473607465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012E-4C70-8DE8-442D9164B4FD}"/>
                </c:ex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Analysis!$O$133:$O$135</c:f>
              <c:strCache>
                <c:ptCount val="3"/>
                <c:pt idx="0">
                  <c:v>Functioning</c:v>
                </c:pt>
                <c:pt idx="1">
                  <c:v>Reparis</c:v>
                </c:pt>
                <c:pt idx="2">
                  <c:v>Desludging</c:v>
                </c:pt>
              </c:strCache>
            </c:strRef>
          </c:cat>
          <c:val>
            <c:numRef>
              <c:f>Analysis!$P$133:$P$135</c:f>
              <c:numCache>
                <c:formatCode>_(* #,##0_);_(* \(#,##0\);_(* "-"??_);_(@_)</c:formatCode>
                <c:ptCount val="3"/>
                <c:pt idx="0">
                  <c:v>4951</c:v>
                </c:pt>
                <c:pt idx="1">
                  <c:v>1200</c:v>
                </c:pt>
                <c:pt idx="2">
                  <c:v>2885</c:v>
                </c:pt>
              </c:numCache>
            </c:numRef>
          </c:val>
          <c:extLst xmlns:c16r2="http://schemas.microsoft.com/office/drawing/2015/06/char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Analysis!$S$133</c:f>
              <c:strCache>
                <c:ptCount val="1"/>
                <c:pt idx="0">
                  <c:v>Coverage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Analysis!$T$133:$U$133</c15:sqref>
                  </c15:fullRef>
                </c:ext>
              </c:extLst>
              <c:f>Analysis!$T$133</c:f>
              <c:numCache>
                <c:formatCode>_(* #,##0_);_(* \(#,##0\);_(* "-"??_);_(@_)</c:formatCode>
                <c:ptCount val="1"/>
                <c:pt idx="0">
                  <c:v>940</c:v>
                </c:pt>
              </c:numCache>
            </c:numRef>
          </c:val>
          <c:extLst xmlns:c16r2="http://schemas.microsoft.com/office/drawing/2015/06/chart">
            <c:ext xmlns:c16="http://schemas.microsoft.com/office/drawing/2014/chart" uri="{C3380CC4-5D6E-409C-BE32-E72D297353CC}">
              <c16:uniqueId val="{00000000-5769-47EB-833D-C7F3A5603476}"/>
            </c:ext>
          </c:extLst>
        </c:ser>
        <c:ser>
          <c:idx val="1"/>
          <c:order val="1"/>
          <c:tx>
            <c:strRef>
              <c:f>Analysis!$S$134</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Analysis!$T$134:$U$134</c15:sqref>
                  </c15:fullRef>
                </c:ext>
              </c:extLst>
              <c:f>Analysis!$T$134</c:f>
              <c:numCache>
                <c:formatCode>_(* #,##0_);_(* \(#,##0\);_(* "-"??_);_(@_)</c:formatCode>
                <c:ptCount val="1"/>
                <c:pt idx="0">
                  <c:v>0</c:v>
                </c:pt>
              </c:numCache>
            </c:numRef>
          </c:val>
          <c:extLst xmlns:c16r2="http://schemas.microsoft.com/office/drawing/2015/06/chart">
            <c:ext xmlns:c16="http://schemas.microsoft.com/office/drawing/2014/chart" uri="{C3380CC4-5D6E-409C-BE32-E72D297353CC}">
              <c16:uniqueId val="{00000001-5769-47EB-833D-C7F3A5603476}"/>
            </c:ext>
          </c:extLst>
        </c:ser>
        <c:dLbls>
          <c:dLblPos val="ctr"/>
          <c:showLegendKey val="0"/>
          <c:showVal val="1"/>
          <c:showCatName val="0"/>
          <c:showSerName val="0"/>
          <c:showPercent val="0"/>
          <c:showBubbleSize val="0"/>
        </c:dLbls>
        <c:gapWidth val="150"/>
        <c:overlap val="100"/>
        <c:axId val="522095016"/>
        <c:axId val="522090312"/>
      </c:barChart>
      <c:catAx>
        <c:axId val="5220950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0312"/>
        <c:crosses val="autoZero"/>
        <c:auto val="1"/>
        <c:lblAlgn val="ctr"/>
        <c:lblOffset val="100"/>
        <c:noMultiLvlLbl val="0"/>
      </c:catAx>
      <c:valAx>
        <c:axId val="52209031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5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Latrines handed</a:t>
            </a:r>
            <a:r>
              <a:rPr lang="en-US" sz="1200" baseline="0"/>
              <a:t> over to families</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Analysis!$S$135</c:f>
              <c:strCache>
                <c:ptCount val="1"/>
                <c:pt idx="0">
                  <c:v>Latrines handed over</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Analysis!$T$135:$U$135</c15:sqref>
                  </c15:fullRef>
                </c:ext>
              </c:extLst>
              <c:f>Analysis!$T$135</c:f>
              <c:numCache>
                <c:formatCode>_(* #,##0_);_(* \(#,##0\);_(* "-"??_);_(@_)</c:formatCode>
                <c:ptCount val="1"/>
                <c:pt idx="0">
                  <c:v>933</c:v>
                </c:pt>
              </c:numCache>
            </c:numRef>
          </c:val>
          <c:extLst xmlns:c16r2="http://schemas.microsoft.com/office/drawing/2015/06/chart">
            <c:ext xmlns:c16="http://schemas.microsoft.com/office/drawing/2014/chart" uri="{C3380CC4-5D6E-409C-BE32-E72D297353CC}">
              <c16:uniqueId val="{00000000-56C5-41B0-B00A-3A7F63BCC9E4}"/>
            </c:ext>
          </c:extLst>
        </c:ser>
        <c:ser>
          <c:idx val="1"/>
          <c:order val="1"/>
          <c:tx>
            <c:strRef>
              <c:f>Analysis!$S$136</c:f>
              <c:strCache>
                <c:ptCount val="1"/>
                <c:pt idx="0">
                  <c:v>Latrines not handed over</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Analysis!$T$136:$U$136</c15:sqref>
                  </c15:fullRef>
                </c:ext>
              </c:extLst>
              <c:f>Analysis!$T$136</c:f>
              <c:numCache>
                <c:formatCode>_(* #,##0_);_(* \(#,##0\);_(* "-"??_);_(@_)</c:formatCode>
                <c:ptCount val="1"/>
                <c:pt idx="0">
                  <c:v>7</c:v>
                </c:pt>
              </c:numCache>
            </c:numRef>
          </c:val>
          <c:extLst xmlns:c16r2="http://schemas.microsoft.com/office/drawing/2015/06/chart">
            <c:ext xmlns:c16="http://schemas.microsoft.com/office/drawing/2014/chart" uri="{C3380CC4-5D6E-409C-BE32-E72D297353CC}">
              <c16:uniqueId val="{00000001-56C5-41B0-B00A-3A7F63BCC9E4}"/>
            </c:ext>
          </c:extLst>
        </c:ser>
        <c:dLbls>
          <c:dLblPos val="ctr"/>
          <c:showLegendKey val="0"/>
          <c:showVal val="1"/>
          <c:showCatName val="0"/>
          <c:showSerName val="0"/>
          <c:showPercent val="0"/>
          <c:showBubbleSize val="0"/>
        </c:dLbls>
        <c:gapWidth val="150"/>
        <c:overlap val="100"/>
        <c:axId val="522090704"/>
        <c:axId val="522091096"/>
      </c:barChart>
      <c:catAx>
        <c:axId val="5220907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1096"/>
        <c:crosses val="autoZero"/>
        <c:auto val="1"/>
        <c:lblAlgn val="ctr"/>
        <c:lblOffset val="100"/>
        <c:noMultiLvlLbl val="0"/>
      </c:catAx>
      <c:valAx>
        <c:axId val="522091096"/>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0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repaired</a:t>
            </a:r>
            <a:r>
              <a:rPr lang="en-US" sz="1200" baseline="0"/>
              <a:t> and desludged</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Analysis!$S$137</c:f>
              <c:strCache>
                <c:ptCount val="1"/>
                <c:pt idx="0">
                  <c:v># latrines repairs</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Analysis!$T$137:$U$137</c15:sqref>
                  </c15:fullRef>
                </c:ext>
              </c:extLst>
              <c:f>Analysis!$T$137</c:f>
              <c:numCache>
                <c:formatCode>_(* #,##0_);_(* \(#,##0\);_(* "-"??_);_(@_)</c:formatCode>
                <c:ptCount val="1"/>
                <c:pt idx="0">
                  <c:v>107</c:v>
                </c:pt>
              </c:numCache>
            </c:numRef>
          </c:val>
          <c:extLst xmlns:c16r2="http://schemas.microsoft.com/office/drawing/2015/06/chart">
            <c:ext xmlns:c16="http://schemas.microsoft.com/office/drawing/2014/chart" uri="{C3380CC4-5D6E-409C-BE32-E72D297353CC}">
              <c16:uniqueId val="{00000000-33CE-4B6D-9AB7-C8657740D81A}"/>
            </c:ext>
          </c:extLst>
        </c:ser>
        <c:ser>
          <c:idx val="1"/>
          <c:order val="1"/>
          <c:tx>
            <c:strRef>
              <c:f>Analysis!$S$138</c:f>
              <c:strCache>
                <c:ptCount val="1"/>
                <c:pt idx="0">
                  <c:v># latrines desludged</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Analysis!$T$138:$U$138</c15:sqref>
                  </c15:fullRef>
                </c:ext>
              </c:extLst>
              <c:f>Analysis!$T$138</c:f>
              <c:numCache>
                <c:formatCode>_(* #,##0_);_(* \(#,##0\);_(* "-"??_);_(@_)</c:formatCode>
                <c:ptCount val="1"/>
                <c:pt idx="0">
                  <c:v>29</c:v>
                </c:pt>
              </c:numCache>
            </c:numRef>
          </c:val>
          <c:extLst xmlns:c16r2="http://schemas.microsoft.com/office/drawing/2015/06/chart">
            <c:ext xmlns:c16="http://schemas.microsoft.com/office/drawing/2014/chart" uri="{C3380CC4-5D6E-409C-BE32-E72D297353CC}">
              <c16:uniqueId val="{00000001-33CE-4B6D-9AB7-C8657740D81A}"/>
            </c:ext>
          </c:extLst>
        </c:ser>
        <c:dLbls>
          <c:dLblPos val="ctr"/>
          <c:showLegendKey val="0"/>
          <c:showVal val="1"/>
          <c:showCatName val="0"/>
          <c:showSerName val="0"/>
          <c:showPercent val="0"/>
          <c:showBubbleSize val="0"/>
        </c:dLbls>
        <c:gapWidth val="100"/>
        <c:overlap val="-24"/>
        <c:axId val="522091488"/>
        <c:axId val="521771168"/>
      </c:barChart>
      <c:catAx>
        <c:axId val="5220914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1771168"/>
        <c:crosses val="autoZero"/>
        <c:auto val="1"/>
        <c:lblAlgn val="ctr"/>
        <c:lblOffset val="100"/>
        <c:noMultiLvlLbl val="0"/>
      </c:catAx>
      <c:valAx>
        <c:axId val="52177116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209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Latrine Functionality</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CB88-47EA-BC4C-384013D44ABC}"/>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CB88-47EA-BC4C-384013D44AB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CB88-47EA-BC4C-384013D44AB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2"/>
              <c:layout>
                <c:manualLayout>
                  <c:x val="8.8456911636045493E-3"/>
                  <c:y val="6.625218722659667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CB88-47EA-BC4C-384013D44AB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Analysis!$W$133:$W$135</c:f>
              <c:strCache>
                <c:ptCount val="3"/>
                <c:pt idx="0">
                  <c:v>Functioning</c:v>
                </c:pt>
                <c:pt idx="1">
                  <c:v>Repairs</c:v>
                </c:pt>
                <c:pt idx="2">
                  <c:v>Desludging</c:v>
                </c:pt>
              </c:strCache>
            </c:strRef>
          </c:cat>
          <c:val>
            <c:numRef>
              <c:f>Analysis!$X$133:$X$135</c:f>
              <c:numCache>
                <c:formatCode>_(* #,##0_);_(* \(#,##0\);_(* "-"??_);_(@_)</c:formatCode>
                <c:ptCount val="3"/>
                <c:pt idx="0">
                  <c:v>940</c:v>
                </c:pt>
                <c:pt idx="1">
                  <c:v>107</c:v>
                </c:pt>
                <c:pt idx="2">
                  <c:v>29</c:v>
                </c:pt>
              </c:numCache>
            </c:numRef>
          </c:val>
          <c:extLst xmlns:c16r2="http://schemas.microsoft.com/office/drawing/2015/06/chart">
            <c:ext xmlns:c16="http://schemas.microsoft.com/office/drawing/2014/chart" uri="{C3380CC4-5D6E-409C-BE32-E72D297353CC}">
              <c16:uniqueId val="{00000006-CB88-47EA-BC4C-384013D44AB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Kachin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Analysis!$C$408</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9-05E0-4644-B94D-5EE578900F59}"/>
              </c:ext>
            </c:extLst>
          </c:dPt>
          <c:dPt>
            <c:idx val="3"/>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Analysis!$D$407:$H$407</c:f>
              <c:strCache>
                <c:ptCount val="5"/>
                <c:pt idx="0">
                  <c:v> # of hand washing stations with soap</c:v>
                </c:pt>
                <c:pt idx="1">
                  <c:v> # of hand washing stations for TLS</c:v>
                </c:pt>
                <c:pt idx="2">
                  <c:v> # of children Latrines</c:v>
                </c:pt>
                <c:pt idx="3">
                  <c:v> # of latrines in TLS (schools)</c:v>
                </c:pt>
                <c:pt idx="4">
                  <c:v># Water points in TLS</c:v>
                </c:pt>
              </c:strCache>
            </c:strRef>
          </c:cat>
          <c:val>
            <c:numRef>
              <c:f>Analysis!$D$408:$H$408</c:f>
              <c:numCache>
                <c:formatCode>_(* #,##0_);_(* \(#,##0\);_(* "-"??_);_(@_)</c:formatCode>
                <c:ptCount val="5"/>
                <c:pt idx="0">
                  <c:v>25</c:v>
                </c:pt>
                <c:pt idx="1">
                  <c:v>139</c:v>
                </c:pt>
                <c:pt idx="2">
                  <c:v>4</c:v>
                </c:pt>
                <c:pt idx="3">
                  <c:v>55</c:v>
                </c:pt>
                <c:pt idx="4">
                  <c:v>26</c:v>
                </c:pt>
              </c:numCache>
            </c:numRef>
          </c:val>
          <c:extLst xmlns:c16r2="http://schemas.microsoft.com/office/drawing/2015/06/chart">
            <c:ext xmlns:c16="http://schemas.microsoft.com/office/drawing/2014/chart" uri="{C3380CC4-5D6E-409C-BE32-E72D297353CC}">
              <c16:uniqueId val="{00000000-05E0-4644-B94D-5EE578900F59}"/>
            </c:ext>
          </c:extLst>
        </c:ser>
        <c:dLbls>
          <c:showLegendKey val="0"/>
          <c:showVal val="0"/>
          <c:showCatName val="0"/>
          <c:showSerName val="0"/>
          <c:showPercent val="0"/>
          <c:showBubbleSize val="0"/>
        </c:dLbls>
        <c:gapWidth val="115"/>
        <c:overlap val="-20"/>
        <c:axId val="523096192"/>
        <c:axId val="523106776"/>
      </c:barChart>
      <c:catAx>
        <c:axId val="52309619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106776"/>
        <c:crosses val="autoZero"/>
        <c:auto val="1"/>
        <c:lblAlgn val="ctr"/>
        <c:lblOffset val="100"/>
        <c:noMultiLvlLbl val="0"/>
      </c:catAx>
      <c:valAx>
        <c:axId val="523106776"/>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096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Shan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Analysis!$C$410</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702F-4689-B178-0039CEEBCF8F}"/>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702F-4689-B178-0039CEEBCF8F}"/>
              </c:ext>
            </c:extLst>
          </c:dPt>
          <c:dPt>
            <c:idx val="3"/>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Analysis!$D$407:$G$407</c:f>
              <c:strCache>
                <c:ptCount val="4"/>
                <c:pt idx="0">
                  <c:v> # of hand washing stations with soap</c:v>
                </c:pt>
                <c:pt idx="1">
                  <c:v> # of hand washing stations for TLS</c:v>
                </c:pt>
                <c:pt idx="2">
                  <c:v> # of children Latrines</c:v>
                </c:pt>
                <c:pt idx="3">
                  <c:v> # of latrines in TLS (schools)</c:v>
                </c:pt>
              </c:strCache>
            </c:strRef>
          </c:cat>
          <c:val>
            <c:numRef>
              <c:f>Analysis!$D$410:$G$410</c:f>
              <c:numCache>
                <c:formatCode>_(* #,##0_);_(* \(#,##0\);_(* "-"??_);_(@_)</c:formatCode>
                <c:ptCount val="4"/>
                <c:pt idx="0">
                  <c:v>0</c:v>
                </c:pt>
                <c:pt idx="1">
                  <c:v>0</c:v>
                </c:pt>
                <c:pt idx="2">
                  <c:v>6</c:v>
                </c:pt>
                <c:pt idx="3">
                  <c:v>1</c:v>
                </c:pt>
              </c:numCache>
            </c:numRef>
          </c:val>
          <c:extLst xmlns:c16r2="http://schemas.microsoft.com/office/drawing/2015/06/chart">
            <c:ext xmlns:c16="http://schemas.microsoft.com/office/drawing/2014/chart" uri="{C3380CC4-5D6E-409C-BE32-E72D297353CC}">
              <c16:uniqueId val="{00000004-702F-4689-B178-0039CEEBCF8F}"/>
            </c:ext>
          </c:extLst>
        </c:ser>
        <c:dLbls>
          <c:showLegendKey val="0"/>
          <c:showVal val="0"/>
          <c:showCatName val="0"/>
          <c:showSerName val="0"/>
          <c:showPercent val="0"/>
          <c:showBubbleSize val="0"/>
        </c:dLbls>
        <c:gapWidth val="115"/>
        <c:overlap val="-20"/>
        <c:axId val="523103640"/>
        <c:axId val="523101288"/>
      </c:barChart>
      <c:catAx>
        <c:axId val="52310364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101288"/>
        <c:crosses val="autoZero"/>
        <c:auto val="1"/>
        <c:lblAlgn val="ctr"/>
        <c:lblOffset val="100"/>
        <c:noMultiLvlLbl val="0"/>
      </c:catAx>
      <c:valAx>
        <c:axId val="523101288"/>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103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Analysis!$C$409</c:f>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AE8F-4A87-832A-A9C7772CDEF5}"/>
              </c:ext>
            </c:extLst>
          </c:dPt>
          <c:dPt>
            <c:idx val="3"/>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Analysis!$D$407:$G$407</c:f>
              <c:strCache>
                <c:ptCount val="4"/>
                <c:pt idx="0">
                  <c:v> # of hand washing stations with soap</c:v>
                </c:pt>
                <c:pt idx="1">
                  <c:v> # of hand washing stations for TLS</c:v>
                </c:pt>
                <c:pt idx="2">
                  <c:v> # of children Latrines</c:v>
                </c:pt>
                <c:pt idx="3">
                  <c:v> # of latrines in TLS (schools)</c:v>
                </c:pt>
              </c:strCache>
            </c:strRef>
          </c:cat>
          <c:val>
            <c:numRef>
              <c:f>Analysis!$D$409:$G$409</c:f>
              <c:numCache>
                <c:formatCode>_(* #,##0_);_(* \(#,##0\);_(* "-"??_);_(@_)</c:formatCode>
                <c:ptCount val="4"/>
                <c:pt idx="0">
                  <c:v>16</c:v>
                </c:pt>
                <c:pt idx="1">
                  <c:v>79</c:v>
                </c:pt>
                <c:pt idx="2">
                  <c:v>112.53410293410293</c:v>
                </c:pt>
                <c:pt idx="3">
                  <c:v>87</c:v>
                </c:pt>
              </c:numCache>
            </c:numRef>
          </c:val>
          <c:extLst xmlns:c16r2="http://schemas.microsoft.com/office/drawing/2015/06/chart">
            <c:ext xmlns:c16="http://schemas.microsoft.com/office/drawing/2014/chart" uri="{C3380CC4-5D6E-409C-BE32-E72D297353CC}">
              <c16:uniqueId val="{00000004-AE8F-4A87-832A-A9C7772CDEF5}"/>
            </c:ext>
          </c:extLst>
        </c:ser>
        <c:dLbls>
          <c:dLblPos val="outEnd"/>
          <c:showLegendKey val="0"/>
          <c:showVal val="1"/>
          <c:showCatName val="0"/>
          <c:showSerName val="0"/>
          <c:showPercent val="0"/>
          <c:showBubbleSize val="0"/>
        </c:dLbls>
        <c:gapWidth val="115"/>
        <c:overlap val="-20"/>
        <c:axId val="523100112"/>
        <c:axId val="523104032"/>
      </c:barChart>
      <c:catAx>
        <c:axId val="52310011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104032"/>
        <c:crosses val="autoZero"/>
        <c:auto val="1"/>
        <c:lblAlgn val="ctr"/>
        <c:lblOffset val="100"/>
        <c:noMultiLvlLbl val="0"/>
      </c:catAx>
      <c:valAx>
        <c:axId val="52310403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100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[2018_11_09_Myanmar_WASH_4W_2018_Q3_FINAL.xlsx]Analysis!K_Geo</c:name>
    <c:fmtId val="10"/>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Number of Sites - Coverage/Gaps -</a:t>
            </a:r>
            <a:endParaRPr lang="en-US" sz="1200">
              <a:effectLst/>
            </a:endParaRPr>
          </a:p>
        </c:rich>
      </c:tx>
      <c:layout>
        <c:manualLayout>
          <c:xMode val="edge"/>
          <c:yMode val="edge"/>
          <c:x val="0.19549334111013897"/>
          <c:y val="4.897083516734321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875738188976377"/>
          <c:y val="0.23407035114329283"/>
          <c:w val="0.76885553368328952"/>
          <c:h val="0.58652831336492073"/>
        </c:manualLayout>
      </c:layout>
      <c:barChart>
        <c:barDir val="bar"/>
        <c:grouping val="clustered"/>
        <c:varyColors val="0"/>
        <c:ser>
          <c:idx val="0"/>
          <c:order val="0"/>
          <c:tx>
            <c:strRef>
              <c:f>Analysis!$D$286:$D$287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Analysis!$C$288:$C$289</c:f>
              <c:strCache>
                <c:ptCount val="2"/>
                <c:pt idx="0">
                  <c:v>Camp</c:v>
                </c:pt>
                <c:pt idx="1">
                  <c:v>Camp_not registered</c:v>
                </c:pt>
              </c:strCache>
            </c:strRef>
          </c:cat>
          <c:val>
            <c:numRef>
              <c:f>Analysis!$D$288:$D$289</c:f>
              <c:numCache>
                <c:formatCode>General</c:formatCode>
                <c:ptCount val="2"/>
                <c:pt idx="0">
                  <c:v>125</c:v>
                </c:pt>
                <c:pt idx="1">
                  <c:v>22</c:v>
                </c:pt>
              </c:numCache>
            </c:numRef>
          </c:val>
        </c:ser>
        <c:ser>
          <c:idx val="1"/>
          <c:order val="1"/>
          <c:tx>
            <c:strRef>
              <c:f>Analysis!$E$286:$E$287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Analysis!$C$288:$C$289</c:f>
              <c:strCache>
                <c:ptCount val="2"/>
                <c:pt idx="0">
                  <c:v>Camp</c:v>
                </c:pt>
                <c:pt idx="1">
                  <c:v>Camp_not registered</c:v>
                </c:pt>
              </c:strCache>
            </c:strRef>
          </c:cat>
          <c:val>
            <c:numRef>
              <c:f>Analysis!$E$288:$E$289</c:f>
              <c:numCache>
                <c:formatCode>General</c:formatCode>
                <c:ptCount val="2"/>
                <c:pt idx="0">
                  <c:v>19</c:v>
                </c:pt>
                <c:pt idx="1">
                  <c:v>3</c:v>
                </c:pt>
              </c:numCache>
            </c:numRef>
          </c:val>
        </c:ser>
        <c:dLbls>
          <c:showLegendKey val="0"/>
          <c:showVal val="0"/>
          <c:showCatName val="0"/>
          <c:showSerName val="0"/>
          <c:showPercent val="0"/>
          <c:showBubbleSize val="0"/>
        </c:dLbls>
        <c:gapWidth val="100"/>
        <c:axId val="523101680"/>
        <c:axId val="523098152"/>
      </c:barChart>
      <c:catAx>
        <c:axId val="5231016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098152"/>
        <c:crosses val="autoZero"/>
        <c:auto val="1"/>
        <c:lblAlgn val="ctr"/>
        <c:lblOffset val="100"/>
        <c:noMultiLvlLbl val="0"/>
      </c:catAx>
      <c:valAx>
        <c:axId val="52309815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1680"/>
        <c:crosses val="autoZero"/>
        <c:crossBetween val="between"/>
      </c:valAx>
      <c:spPr>
        <a:noFill/>
        <a:ln>
          <a:noFill/>
        </a:ln>
        <a:effectLst/>
      </c:spPr>
    </c:plotArea>
    <c:legend>
      <c:legendPos val="r"/>
      <c:layout>
        <c:manualLayout>
          <c:xMode val="edge"/>
          <c:yMode val="edge"/>
          <c:x val="0.85701662292213476"/>
          <c:y val="0.29254560571232946"/>
          <c:w val="0.14298337707786526"/>
          <c:h val="0.279505061867266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[2018_11_09_Myanmar_WASH_4W_2018_Q3_FINAL.xlsx]Analysis!R_Geo</c:name>
    <c:fmtId val="9"/>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Number of Sites - Coverage/Gaps -</a:t>
            </a:r>
          </a:p>
        </c:rich>
      </c:tx>
      <c:layout>
        <c:manualLayout>
          <c:xMode val="edge"/>
          <c:yMode val="edge"/>
          <c:x val="0.18530161002601947"/>
          <c:y val="2.187326584176977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96085594489122"/>
          <c:y val="0.18660326982618372"/>
          <c:w val="0.75120246332844764"/>
          <c:h val="0.59374132694776072"/>
        </c:manualLayout>
      </c:layout>
      <c:barChart>
        <c:barDir val="bar"/>
        <c:grouping val="clustered"/>
        <c:varyColors val="0"/>
        <c:ser>
          <c:idx val="0"/>
          <c:order val="0"/>
          <c:tx>
            <c:strRef>
              <c:f>Analysis!$I$286:$I$287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Analysis!$I$288:$I$290</c:f>
              <c:numCache>
                <c:formatCode>General</c:formatCode>
                <c:ptCount val="3"/>
                <c:pt idx="0">
                  <c:v>24</c:v>
                </c:pt>
                <c:pt idx="1">
                  <c:v>50</c:v>
                </c:pt>
                <c:pt idx="2">
                  <c:v>80</c:v>
                </c:pt>
              </c:numCache>
            </c:numRef>
          </c:val>
        </c:ser>
        <c:ser>
          <c:idx val="1"/>
          <c:order val="1"/>
          <c:tx>
            <c:strRef>
              <c:f>Analysis!$J$286:$J$287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Analysis!$J$288:$J$290</c:f>
              <c:numCache>
                <c:formatCode>General</c:formatCode>
                <c:ptCount val="3"/>
                <c:pt idx="2">
                  <c:v>58</c:v>
                </c:pt>
              </c:numCache>
            </c:numRef>
          </c:val>
        </c:ser>
        <c:dLbls>
          <c:showLegendKey val="0"/>
          <c:showVal val="0"/>
          <c:showCatName val="0"/>
          <c:showSerName val="0"/>
          <c:showPercent val="0"/>
          <c:showBubbleSize val="0"/>
        </c:dLbls>
        <c:gapWidth val="100"/>
        <c:axId val="523096976"/>
        <c:axId val="523097368"/>
      </c:barChart>
      <c:catAx>
        <c:axId val="52309697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097368"/>
        <c:crosses val="autoZero"/>
        <c:auto val="1"/>
        <c:lblAlgn val="ctr"/>
        <c:lblOffset val="100"/>
        <c:noMultiLvlLbl val="0"/>
      </c:catAx>
      <c:valAx>
        <c:axId val="52309736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096976"/>
        <c:crosses val="autoZero"/>
        <c:crossBetween val="between"/>
      </c:valAx>
      <c:spPr>
        <a:noFill/>
        <a:ln>
          <a:noFill/>
        </a:ln>
        <a:effectLst/>
      </c:spPr>
    </c:plotArea>
    <c:legend>
      <c:legendPos val="r"/>
      <c:layout>
        <c:manualLayout>
          <c:xMode val="edge"/>
          <c:yMode val="edge"/>
          <c:x val="0.855541762360014"/>
          <c:y val="0.32719656311617756"/>
          <c:w val="0.12318568239781898"/>
          <c:h val="0.223882163983233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[2018_11_09_Myanmar_WASH_4W_2018_Q3_FINAL.xlsx]Analysis!S_Geo</c:name>
    <c:fmtId val="16"/>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a:t>Number of Sites - Coverage/Gaps -</a:t>
            </a:r>
          </a:p>
        </c:rich>
      </c:tx>
      <c:layout>
        <c:manualLayout>
          <c:xMode val="edge"/>
          <c:yMode val="edge"/>
          <c:x val="0.1246370910953204"/>
          <c:y val="3.981348700127567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479182826299771"/>
          <c:y val="0.2017504968066309"/>
          <c:w val="0.68926037038666255"/>
          <c:h val="0.58889356005193771"/>
        </c:manualLayout>
      </c:layout>
      <c:barChart>
        <c:barDir val="bar"/>
        <c:grouping val="clustered"/>
        <c:varyColors val="0"/>
        <c:ser>
          <c:idx val="0"/>
          <c:order val="0"/>
          <c:tx>
            <c:strRef>
              <c:f>Analysis!$O$286:$O$287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Analysis!$N$288:$N$290</c:f>
              <c:strCache>
                <c:ptCount val="3"/>
                <c:pt idx="0">
                  <c:v>Camp</c:v>
                </c:pt>
                <c:pt idx="1">
                  <c:v>Camp_not registered</c:v>
                </c:pt>
                <c:pt idx="2">
                  <c:v>New Site</c:v>
                </c:pt>
              </c:strCache>
            </c:strRef>
          </c:cat>
          <c:val>
            <c:numRef>
              <c:f>Analysis!$O$288:$O$290</c:f>
              <c:numCache>
                <c:formatCode>General</c:formatCode>
                <c:ptCount val="3"/>
                <c:pt idx="0">
                  <c:v>34</c:v>
                </c:pt>
                <c:pt idx="1">
                  <c:v>1</c:v>
                </c:pt>
                <c:pt idx="2">
                  <c:v>1</c:v>
                </c:pt>
              </c:numCache>
            </c:numRef>
          </c:val>
        </c:ser>
        <c:ser>
          <c:idx val="1"/>
          <c:order val="1"/>
          <c:tx>
            <c:strRef>
              <c:f>Analysis!$P$286:$P$287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Analysis!$N$288:$N$290</c:f>
              <c:strCache>
                <c:ptCount val="3"/>
                <c:pt idx="0">
                  <c:v>Camp</c:v>
                </c:pt>
                <c:pt idx="1">
                  <c:v>Camp_not registered</c:v>
                </c:pt>
                <c:pt idx="2">
                  <c:v>New Site</c:v>
                </c:pt>
              </c:strCache>
            </c:strRef>
          </c:cat>
          <c:val>
            <c:numRef>
              <c:f>Analysis!$P$288:$P$290</c:f>
              <c:numCache>
                <c:formatCode>General</c:formatCode>
                <c:ptCount val="3"/>
                <c:pt idx="0">
                  <c:v>1</c:v>
                </c:pt>
              </c:numCache>
            </c:numRef>
          </c:val>
        </c:ser>
        <c:dLbls>
          <c:showLegendKey val="0"/>
          <c:showVal val="0"/>
          <c:showCatName val="0"/>
          <c:showSerName val="0"/>
          <c:showPercent val="0"/>
          <c:showBubbleSize val="0"/>
        </c:dLbls>
        <c:gapWidth val="100"/>
        <c:axId val="523102464"/>
        <c:axId val="523096584"/>
      </c:barChart>
      <c:catAx>
        <c:axId val="5231024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096584"/>
        <c:crosses val="autoZero"/>
        <c:auto val="1"/>
        <c:lblAlgn val="ctr"/>
        <c:lblOffset val="100"/>
        <c:noMultiLvlLbl val="0"/>
      </c:catAx>
      <c:valAx>
        <c:axId val="52309658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2464"/>
        <c:crosses val="autoZero"/>
        <c:crossBetween val="between"/>
      </c:valAx>
      <c:spPr>
        <a:noFill/>
        <a:ln>
          <a:noFill/>
        </a:ln>
        <a:effectLst/>
      </c:spPr>
    </c:plotArea>
    <c:legend>
      <c:legendPos val="r"/>
      <c:layout>
        <c:manualLayout>
          <c:xMode val="edge"/>
          <c:yMode val="edge"/>
          <c:x val="0.82983209802781255"/>
          <c:y val="0.27349499223044882"/>
          <c:w val="0.15065565584789706"/>
          <c:h val="0.251398407601284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[2018_11_09_Myanmar_WASH_4W_2018_Q3_FINAL.xlsx]Analysis!W_K_C_G_C</c:name>
    <c:fmtId val="28"/>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Kachin</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3.9769935619676658E-3"/>
              <c:y val="-2.4439922152874057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40000"/>
              <a:lumOff val="60000"/>
            </a:schemeClr>
          </a:solidFill>
          <a:ln>
            <a:noFill/>
          </a:ln>
          <a:effectLst/>
        </c:spPr>
        <c:dLbl>
          <c:idx val="0"/>
          <c:layout>
            <c:manualLayout>
              <c:x val="0"/>
              <c:y val="-2.8201368277858914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dLbl>
          <c:idx val="0"/>
          <c:layout>
            <c:manualLayout>
              <c:x val="0"/>
              <c:y val="-2.4439922152874057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Analysis!$C$82</c:f>
              <c:strCache>
                <c:ptCount val="1"/>
                <c:pt idx="0">
                  <c:v>% WATER Coverage</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Analysis!$B$83:$B$95</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Analysis!$C$83:$C$95</c:f>
              <c:numCache>
                <c:formatCode>0%</c:formatCode>
                <c:ptCount val="13"/>
                <c:pt idx="0">
                  <c:v>0.75</c:v>
                </c:pt>
                <c:pt idx="1">
                  <c:v>0.6</c:v>
                </c:pt>
                <c:pt idx="2">
                  <c:v>0.88302825947334618</c:v>
                </c:pt>
                <c:pt idx="3">
                  <c:v>1</c:v>
                </c:pt>
                <c:pt idx="4">
                  <c:v>1</c:v>
                </c:pt>
                <c:pt idx="5">
                  <c:v>0.66666666666666663</c:v>
                </c:pt>
                <c:pt idx="6">
                  <c:v>1</c:v>
                </c:pt>
                <c:pt idx="7">
                  <c:v>0.88461538461538458</c:v>
                </c:pt>
                <c:pt idx="8">
                  <c:v>1</c:v>
                </c:pt>
                <c:pt idx="9">
                  <c:v>0.5</c:v>
                </c:pt>
                <c:pt idx="10">
                  <c:v>0</c:v>
                </c:pt>
                <c:pt idx="11">
                  <c:v>0.91260162601626016</c:v>
                </c:pt>
                <c:pt idx="12">
                  <c:v>1</c:v>
                </c:pt>
              </c:numCache>
            </c:numRef>
          </c:val>
        </c:ser>
        <c:ser>
          <c:idx val="1"/>
          <c:order val="1"/>
          <c:tx>
            <c:strRef>
              <c:f>Analysis!$D$82</c:f>
              <c:strCache>
                <c:ptCount val="1"/>
                <c:pt idx="0">
                  <c:v>% WATER GAP</c:v>
                </c:pt>
              </c:strCache>
            </c:strRef>
          </c:tx>
          <c:spPr>
            <a:solidFill>
              <a:schemeClr val="accent1">
                <a:lumMod val="40000"/>
                <a:lumOff val="60000"/>
              </a:schemeClr>
            </a:solidFill>
            <a:ln>
              <a:noFill/>
            </a:ln>
            <a:effectLst/>
          </c:spPr>
          <c:invertIfNegative val="0"/>
          <c:dPt>
            <c:idx val="3"/>
            <c:invertIfNegative val="0"/>
            <c:bubble3D val="0"/>
            <c:spPr>
              <a:solidFill>
                <a:schemeClr val="accent1">
                  <a:lumMod val="40000"/>
                  <a:lumOff val="60000"/>
                </a:schemeClr>
              </a:solidFill>
              <a:ln>
                <a:noFill/>
              </a:ln>
              <a:effectLst/>
            </c:spPr>
          </c:dPt>
          <c:dPt>
            <c:idx val="4"/>
            <c:invertIfNegative val="0"/>
            <c:bubble3D val="0"/>
            <c:spPr>
              <a:solidFill>
                <a:schemeClr val="accent1">
                  <a:lumMod val="40000"/>
                  <a:lumOff val="60000"/>
                </a:schemeClr>
              </a:solidFill>
              <a:ln>
                <a:noFill/>
              </a:ln>
              <a:effectLst/>
            </c:spPr>
          </c:dPt>
          <c:dPt>
            <c:idx val="5"/>
            <c:invertIfNegative val="0"/>
            <c:bubble3D val="0"/>
            <c:spPr>
              <a:solidFill>
                <a:schemeClr val="accent1">
                  <a:lumMod val="40000"/>
                  <a:lumOff val="60000"/>
                </a:schemeClr>
              </a:solidFill>
              <a:ln>
                <a:noFill/>
              </a:ln>
              <a:effectLst/>
            </c:spPr>
          </c:dPt>
          <c:dLbls>
            <c:dLbl>
              <c:idx val="3"/>
              <c:layout>
                <c:manualLayout>
                  <c:x val="0"/>
                  <c:y val="-2.443992215287405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820136827785891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3.9769935619676658E-3"/>
                  <c:y val="-2.4439922152874057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Analysis!$B$83:$B$95</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Analysis!$D$83:$D$95</c:f>
              <c:numCache>
                <c:formatCode>0%</c:formatCode>
                <c:ptCount val="13"/>
                <c:pt idx="0">
                  <c:v>0.25</c:v>
                </c:pt>
                <c:pt idx="1">
                  <c:v>0.4</c:v>
                </c:pt>
                <c:pt idx="2">
                  <c:v>0.11697174052665382</c:v>
                </c:pt>
                <c:pt idx="3">
                  <c:v>0</c:v>
                </c:pt>
                <c:pt idx="4">
                  <c:v>0</c:v>
                </c:pt>
                <c:pt idx="5">
                  <c:v>0.33333333333333331</c:v>
                </c:pt>
                <c:pt idx="6">
                  <c:v>0</c:v>
                </c:pt>
                <c:pt idx="7">
                  <c:v>0.11538461538461539</c:v>
                </c:pt>
                <c:pt idx="8">
                  <c:v>0</c:v>
                </c:pt>
                <c:pt idx="9">
                  <c:v>0.5</c:v>
                </c:pt>
                <c:pt idx="10">
                  <c:v>1</c:v>
                </c:pt>
                <c:pt idx="11">
                  <c:v>8.7398373983739813E-2</c:v>
                </c:pt>
                <c:pt idx="12">
                  <c:v>0</c:v>
                </c:pt>
              </c:numCache>
            </c:numRef>
          </c:val>
        </c:ser>
        <c:dLbls>
          <c:showLegendKey val="0"/>
          <c:showVal val="0"/>
          <c:showCatName val="0"/>
          <c:showSerName val="0"/>
          <c:showPercent val="0"/>
          <c:showBubbleSize val="0"/>
        </c:dLbls>
        <c:gapWidth val="150"/>
        <c:overlap val="100"/>
        <c:axId val="523102856"/>
        <c:axId val="523098544"/>
      </c:barChart>
      <c:catAx>
        <c:axId val="5231028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098544"/>
        <c:crosses val="autoZero"/>
        <c:auto val="1"/>
        <c:lblAlgn val="ctr"/>
        <c:lblOffset val="100"/>
        <c:noMultiLvlLbl val="0"/>
      </c:catAx>
      <c:valAx>
        <c:axId val="5230985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2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Analysis!$C$103</c:f>
              <c:strCache>
                <c:ptCount val="1"/>
                <c:pt idx="0">
                  <c:v>% WATER Coverage</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Analysis!$B$104:$B$108</c:f>
              <c:strCache>
                <c:ptCount val="5"/>
                <c:pt idx="0">
                  <c:v>Kyaukpyu</c:v>
                </c:pt>
                <c:pt idx="1">
                  <c:v>Kyauktaw</c:v>
                </c:pt>
                <c:pt idx="2">
                  <c:v>Myebon</c:v>
                </c:pt>
                <c:pt idx="3">
                  <c:v>Pauktaw</c:v>
                </c:pt>
                <c:pt idx="4">
                  <c:v>Sittwe</c:v>
                </c:pt>
              </c:strCache>
            </c:strRef>
          </c:cat>
          <c:val>
            <c:numRef>
              <c:f>Analysis!$C$104:$C$108</c:f>
              <c:numCache>
                <c:formatCode>0%</c:formatCode>
                <c:ptCount val="5"/>
                <c:pt idx="0">
                  <c:v>1</c:v>
                </c:pt>
                <c:pt idx="1">
                  <c:v>1</c:v>
                </c:pt>
                <c:pt idx="2">
                  <c:v>1</c:v>
                </c:pt>
                <c:pt idx="3">
                  <c:v>0.63746189363346295</c:v>
                </c:pt>
                <c:pt idx="4">
                  <c:v>0.9375</c:v>
                </c:pt>
              </c:numCache>
            </c:numRef>
          </c:val>
        </c:ser>
        <c:ser>
          <c:idx val="1"/>
          <c:order val="1"/>
          <c:tx>
            <c:strRef>
              <c:f>Analysis!$D$103</c:f>
              <c:strCache>
                <c:ptCount val="1"/>
                <c:pt idx="0">
                  <c:v>% WATER GAP</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Analysis!$B$104:$B$108</c:f>
              <c:strCache>
                <c:ptCount val="5"/>
                <c:pt idx="0">
                  <c:v>Kyaukpyu</c:v>
                </c:pt>
                <c:pt idx="1">
                  <c:v>Kyauktaw</c:v>
                </c:pt>
                <c:pt idx="2">
                  <c:v>Myebon</c:v>
                </c:pt>
                <c:pt idx="3">
                  <c:v>Pauktaw</c:v>
                </c:pt>
                <c:pt idx="4">
                  <c:v>Sittwe</c:v>
                </c:pt>
              </c:strCache>
            </c:strRef>
          </c:cat>
          <c:val>
            <c:numRef>
              <c:f>Analysis!$D$104:$D$108</c:f>
              <c:numCache>
                <c:formatCode>0%</c:formatCode>
                <c:ptCount val="5"/>
                <c:pt idx="0">
                  <c:v>0</c:v>
                </c:pt>
                <c:pt idx="1">
                  <c:v>0</c:v>
                </c:pt>
                <c:pt idx="2">
                  <c:v>0</c:v>
                </c:pt>
                <c:pt idx="3">
                  <c:v>0.36253810636653705</c:v>
                </c:pt>
                <c:pt idx="4">
                  <c:v>6.25E-2</c:v>
                </c:pt>
              </c:numCache>
            </c:numRef>
          </c:val>
        </c:ser>
        <c:dLbls>
          <c:showLegendKey val="0"/>
          <c:showVal val="0"/>
          <c:showCatName val="0"/>
          <c:showSerName val="0"/>
          <c:showPercent val="0"/>
          <c:showBubbleSize val="0"/>
        </c:dLbls>
        <c:gapWidth val="150"/>
        <c:overlap val="100"/>
        <c:axId val="523103248"/>
        <c:axId val="523098936"/>
      </c:barChart>
      <c:catAx>
        <c:axId val="5231032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098936"/>
        <c:crosses val="autoZero"/>
        <c:auto val="1"/>
        <c:lblAlgn val="ctr"/>
        <c:lblOffset val="100"/>
        <c:noMultiLvlLbl val="0"/>
      </c:catAx>
      <c:valAx>
        <c:axId val="5230989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[2018_11_09_Myanmar_WASH_4W_2018_Q3_FINAL.xlsx]Analysis!W_K_C_G_N</c:name>
    <c:fmtId val="3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New sites</a:t>
            </a:r>
          </a:p>
          <a:p>
            <a:pPr>
              <a:defRPr sz="1200"/>
            </a:pPr>
            <a:r>
              <a:rPr lang="en-US" sz="1200"/>
              <a:t>in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dLbls>
          <c:showLegendKey val="0"/>
          <c:showVal val="0"/>
          <c:showCatName val="0"/>
          <c:showSerName val="0"/>
          <c:showPercent val="0"/>
          <c:showBubbleSize val="0"/>
        </c:dLbls>
        <c:gapWidth val="150"/>
        <c:overlap val="100"/>
        <c:axId val="523104816"/>
        <c:axId val="523107952"/>
      </c:barChart>
      <c:catAx>
        <c:axId val="523104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7952"/>
        <c:crosses val="autoZero"/>
        <c:auto val="1"/>
        <c:lblAlgn val="ctr"/>
        <c:lblOffset val="100"/>
        <c:noMultiLvlLbl val="0"/>
      </c:catAx>
      <c:valAx>
        <c:axId val="52310795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[2018_11_09_Myanmar_WASH_4W_2018_Q3_FINAL.xlsx]Analysis!W_Shan_C_G_C</c:name>
    <c:fmtId val="51"/>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active camps</a:t>
            </a:r>
          </a:p>
          <a:p>
            <a:pPr>
              <a:defRPr sz="1200"/>
            </a:pPr>
            <a:r>
              <a:rPr lang="en-US" sz="1200"/>
              <a:t>in 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Analysis!$U$102</c:f>
              <c:strCache>
                <c:ptCount val="1"/>
                <c:pt idx="0">
                  <c:v>% WATER Coverage</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Analysis!$T$103:$T$109</c:f>
              <c:strCache>
                <c:ptCount val="7"/>
                <c:pt idx="0">
                  <c:v>Hseni</c:v>
                </c:pt>
                <c:pt idx="1">
                  <c:v>Kutkai</c:v>
                </c:pt>
                <c:pt idx="2">
                  <c:v>Manton</c:v>
                </c:pt>
                <c:pt idx="3">
                  <c:v>Muse</c:v>
                </c:pt>
                <c:pt idx="4">
                  <c:v>Namhkan</c:v>
                </c:pt>
                <c:pt idx="5">
                  <c:v>Namtu</c:v>
                </c:pt>
                <c:pt idx="6">
                  <c:v>Nawnghkio</c:v>
                </c:pt>
              </c:strCache>
            </c:strRef>
          </c:cat>
          <c:val>
            <c:numRef>
              <c:f>Analysis!$U$103:$U$109</c:f>
              <c:numCache>
                <c:formatCode>0%</c:formatCode>
                <c:ptCount val="7"/>
                <c:pt idx="0">
                  <c:v>1</c:v>
                </c:pt>
                <c:pt idx="1">
                  <c:v>0.93333333333333335</c:v>
                </c:pt>
                <c:pt idx="2">
                  <c:v>1</c:v>
                </c:pt>
                <c:pt idx="3">
                  <c:v>0.75</c:v>
                </c:pt>
                <c:pt idx="4">
                  <c:v>1</c:v>
                </c:pt>
                <c:pt idx="5">
                  <c:v>1</c:v>
                </c:pt>
                <c:pt idx="6">
                  <c:v>0</c:v>
                </c:pt>
              </c:numCache>
            </c:numRef>
          </c:val>
        </c:ser>
        <c:ser>
          <c:idx val="1"/>
          <c:order val="1"/>
          <c:tx>
            <c:strRef>
              <c:f>Analysis!$V$102</c:f>
              <c:strCache>
                <c:ptCount val="1"/>
                <c:pt idx="0">
                  <c:v>% WATER GAP</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Analysis!$T$103:$T$109</c:f>
              <c:strCache>
                <c:ptCount val="7"/>
                <c:pt idx="0">
                  <c:v>Hseni</c:v>
                </c:pt>
                <c:pt idx="1">
                  <c:v>Kutkai</c:v>
                </c:pt>
                <c:pt idx="2">
                  <c:v>Manton</c:v>
                </c:pt>
                <c:pt idx="3">
                  <c:v>Muse</c:v>
                </c:pt>
                <c:pt idx="4">
                  <c:v>Namhkan</c:v>
                </c:pt>
                <c:pt idx="5">
                  <c:v>Namtu</c:v>
                </c:pt>
                <c:pt idx="6">
                  <c:v>Nawnghkio</c:v>
                </c:pt>
              </c:strCache>
            </c:strRef>
          </c:cat>
          <c:val>
            <c:numRef>
              <c:f>Analysis!$V$103:$V$109</c:f>
              <c:numCache>
                <c:formatCode>0%</c:formatCode>
                <c:ptCount val="7"/>
                <c:pt idx="0">
                  <c:v>0</c:v>
                </c:pt>
                <c:pt idx="1">
                  <c:v>6.6666666666666666E-2</c:v>
                </c:pt>
                <c:pt idx="2">
                  <c:v>0</c:v>
                </c:pt>
                <c:pt idx="3">
                  <c:v>0.25</c:v>
                </c:pt>
                <c:pt idx="4">
                  <c:v>0</c:v>
                </c:pt>
                <c:pt idx="5">
                  <c:v>0</c:v>
                </c:pt>
                <c:pt idx="6">
                  <c:v>1</c:v>
                </c:pt>
              </c:numCache>
            </c:numRef>
          </c:val>
        </c:ser>
        <c:dLbls>
          <c:showLegendKey val="0"/>
          <c:showVal val="0"/>
          <c:showCatName val="0"/>
          <c:showSerName val="0"/>
          <c:showPercent val="0"/>
          <c:showBubbleSize val="0"/>
        </c:dLbls>
        <c:gapWidth val="150"/>
        <c:overlap val="100"/>
        <c:axId val="523105992"/>
        <c:axId val="523106384"/>
      </c:barChart>
      <c:catAx>
        <c:axId val="5231059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6384"/>
        <c:crosses val="autoZero"/>
        <c:auto val="1"/>
        <c:lblAlgn val="ctr"/>
        <c:lblOffset val="100"/>
        <c:noMultiLvlLbl val="0"/>
      </c:catAx>
      <c:valAx>
        <c:axId val="5231063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[2018_11_09_Myanmar_WASH_4W_2018_Q3_FINAL.xlsx]Analysis!W_R_C_G_V</c:name>
    <c:fmtId val="4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Villages</a:t>
            </a:r>
          </a:p>
          <a:p>
            <a:pPr>
              <a:defRPr sz="1200"/>
            </a:pPr>
            <a:r>
              <a:rPr lang="en-US" sz="1200"/>
              <a:t>in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Analysis!$L$102</c:f>
              <c:strCache>
                <c:ptCount val="1"/>
                <c:pt idx="0">
                  <c:v>% WATER Coverage</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Analysis!$K$103:$K$109</c:f>
              <c:strCache>
                <c:ptCount val="7"/>
                <c:pt idx="0">
                  <c:v>Buthidaung</c:v>
                </c:pt>
                <c:pt idx="1">
                  <c:v>Kyauktaw</c:v>
                </c:pt>
                <c:pt idx="2">
                  <c:v>Maungdaw</c:v>
                </c:pt>
                <c:pt idx="3">
                  <c:v>Myebon</c:v>
                </c:pt>
                <c:pt idx="4">
                  <c:v>Pauktaw</c:v>
                </c:pt>
                <c:pt idx="5">
                  <c:v>Rathedaung</c:v>
                </c:pt>
                <c:pt idx="6">
                  <c:v>Sittwe</c:v>
                </c:pt>
              </c:strCache>
            </c:strRef>
          </c:cat>
          <c:val>
            <c:numRef>
              <c:f>Analysis!$L$103:$L$109</c:f>
              <c:numCache>
                <c:formatCode>0%</c:formatCode>
                <c:ptCount val="7"/>
                <c:pt idx="0">
                  <c:v>0.41366752356469583</c:v>
                </c:pt>
                <c:pt idx="1">
                  <c:v>0</c:v>
                </c:pt>
                <c:pt idx="2">
                  <c:v>0.24856046065259116</c:v>
                </c:pt>
                <c:pt idx="3">
                  <c:v>1</c:v>
                </c:pt>
                <c:pt idx="4">
                  <c:v>0.71644579476741599</c:v>
                </c:pt>
                <c:pt idx="5">
                  <c:v>0.78095238095238106</c:v>
                </c:pt>
                <c:pt idx="6">
                  <c:v>0.82054724996008677</c:v>
                </c:pt>
              </c:numCache>
            </c:numRef>
          </c:val>
        </c:ser>
        <c:ser>
          <c:idx val="1"/>
          <c:order val="1"/>
          <c:tx>
            <c:strRef>
              <c:f>Analysis!$M$102</c:f>
              <c:strCache>
                <c:ptCount val="1"/>
                <c:pt idx="0">
                  <c:v>% WATER GAP</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Analysis!$K$103:$K$109</c:f>
              <c:strCache>
                <c:ptCount val="7"/>
                <c:pt idx="0">
                  <c:v>Buthidaung</c:v>
                </c:pt>
                <c:pt idx="1">
                  <c:v>Kyauktaw</c:v>
                </c:pt>
                <c:pt idx="2">
                  <c:v>Maungdaw</c:v>
                </c:pt>
                <c:pt idx="3">
                  <c:v>Myebon</c:v>
                </c:pt>
                <c:pt idx="4">
                  <c:v>Pauktaw</c:v>
                </c:pt>
                <c:pt idx="5">
                  <c:v>Rathedaung</c:v>
                </c:pt>
                <c:pt idx="6">
                  <c:v>Sittwe</c:v>
                </c:pt>
              </c:strCache>
            </c:strRef>
          </c:cat>
          <c:val>
            <c:numRef>
              <c:f>Analysis!$M$103:$M$109</c:f>
              <c:numCache>
                <c:formatCode>0%</c:formatCode>
                <c:ptCount val="7"/>
                <c:pt idx="0">
                  <c:v>0.58633247643530417</c:v>
                </c:pt>
                <c:pt idx="1">
                  <c:v>1</c:v>
                </c:pt>
                <c:pt idx="2">
                  <c:v>0.75143953934740881</c:v>
                </c:pt>
                <c:pt idx="3">
                  <c:v>0</c:v>
                </c:pt>
                <c:pt idx="4">
                  <c:v>0.28355420523258407</c:v>
                </c:pt>
                <c:pt idx="5">
                  <c:v>0.21904761904761905</c:v>
                </c:pt>
                <c:pt idx="6">
                  <c:v>0.17945275003991323</c:v>
                </c:pt>
              </c:numCache>
            </c:numRef>
          </c:val>
        </c:ser>
        <c:dLbls>
          <c:showLegendKey val="0"/>
          <c:showVal val="0"/>
          <c:showCatName val="0"/>
          <c:showSerName val="0"/>
          <c:showPercent val="0"/>
          <c:showBubbleSize val="0"/>
        </c:dLbls>
        <c:gapWidth val="150"/>
        <c:overlap val="100"/>
        <c:axId val="523111088"/>
        <c:axId val="523108736"/>
      </c:barChart>
      <c:catAx>
        <c:axId val="5231110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8736"/>
        <c:crosses val="autoZero"/>
        <c:auto val="1"/>
        <c:lblAlgn val="ctr"/>
        <c:lblOffset val="100"/>
        <c:noMultiLvlLbl val="0"/>
      </c:catAx>
      <c:valAx>
        <c:axId val="5231087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1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[2018_11_09_Myanmar_WASH_4W_2018_Q3_FINAL.xlsx]Analysis!K_L_CG_C</c:name>
    <c:fmtId val="34"/>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a:t>Latrine</a:t>
            </a:r>
            <a:r>
              <a:rPr lang="en-US" sz="1200" baseline="0"/>
              <a:t> Coverage VS GAP in active camps</a:t>
            </a:r>
          </a:p>
          <a:p>
            <a:pPr>
              <a:defRPr/>
            </a:pPr>
            <a:r>
              <a:rPr lang="en-US" sz="1200" baseline="0"/>
              <a:t>in Kachin</a:t>
            </a:r>
            <a:endParaRPr lang="en-US" sz="12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Analysis!$C$189</c:f>
              <c:strCache>
                <c:ptCount val="1"/>
                <c:pt idx="0">
                  <c:v>% Latrine Coverage</c:v>
                </c:pt>
              </c:strCache>
            </c:strRef>
          </c:tx>
          <c:spPr>
            <a:solidFill>
              <a:schemeClr val="accent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Analysis!$B$190:$B$202</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Analysis!$C$190:$C$202</c:f>
              <c:numCache>
                <c:formatCode>0%</c:formatCode>
                <c:ptCount val="13"/>
                <c:pt idx="0">
                  <c:v>0.67606993648366431</c:v>
                </c:pt>
                <c:pt idx="1">
                  <c:v>0.95552855407047388</c:v>
                </c:pt>
                <c:pt idx="2">
                  <c:v>0.82262229565084832</c:v>
                </c:pt>
                <c:pt idx="3">
                  <c:v>0.93623034097108404</c:v>
                </c:pt>
                <c:pt idx="4">
                  <c:v>0.71423719762686488</c:v>
                </c:pt>
                <c:pt idx="5">
                  <c:v>0.62318840579710144</c:v>
                </c:pt>
                <c:pt idx="6">
                  <c:v>0.8200435465112863</c:v>
                </c:pt>
                <c:pt idx="7">
                  <c:v>0.68924531171301395</c:v>
                </c:pt>
                <c:pt idx="8">
                  <c:v>0.56939501779359436</c:v>
                </c:pt>
                <c:pt idx="9">
                  <c:v>0.38587848932676522</c:v>
                </c:pt>
                <c:pt idx="10">
                  <c:v>1</c:v>
                </c:pt>
                <c:pt idx="11">
                  <c:v>0.75989159891598912</c:v>
                </c:pt>
                <c:pt idx="12">
                  <c:v>0.75323119789416526</c:v>
                </c:pt>
              </c:numCache>
            </c:numRef>
          </c:val>
        </c:ser>
        <c:ser>
          <c:idx val="1"/>
          <c:order val="1"/>
          <c:tx>
            <c:strRef>
              <c:f>Analysis!$D$189</c:f>
              <c:strCache>
                <c:ptCount val="1"/>
                <c:pt idx="0">
                  <c:v>%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Analysis!$B$190:$B$202</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Analysis!$D$190:$D$202</c:f>
              <c:numCache>
                <c:formatCode>0%</c:formatCode>
                <c:ptCount val="13"/>
                <c:pt idx="0">
                  <c:v>0.34731664738371615</c:v>
                </c:pt>
                <c:pt idx="1">
                  <c:v>4.374240583232078E-2</c:v>
                </c:pt>
                <c:pt idx="2">
                  <c:v>0.14123629122350467</c:v>
                </c:pt>
                <c:pt idx="3">
                  <c:v>4.3276661514683151E-2</c:v>
                </c:pt>
                <c:pt idx="4">
                  <c:v>0.2877297764765866</c:v>
                </c:pt>
                <c:pt idx="5">
                  <c:v>0.38854952688944788</c:v>
                </c:pt>
                <c:pt idx="6">
                  <c:v>0.17904311585639093</c:v>
                </c:pt>
                <c:pt idx="7">
                  <c:v>0.29048580990882999</c:v>
                </c:pt>
                <c:pt idx="8">
                  <c:v>0.42704626334519569</c:v>
                </c:pt>
                <c:pt idx="9">
                  <c:v>0.61244747024757284</c:v>
                </c:pt>
                <c:pt idx="10">
                  <c:v>0</c:v>
                </c:pt>
                <c:pt idx="11">
                  <c:v>0.23956639566395665</c:v>
                </c:pt>
                <c:pt idx="12">
                  <c:v>0.21428956305623242</c:v>
                </c:pt>
              </c:numCache>
            </c:numRef>
          </c:val>
        </c:ser>
        <c:dLbls>
          <c:showLegendKey val="0"/>
          <c:showVal val="0"/>
          <c:showCatName val="0"/>
          <c:showSerName val="0"/>
          <c:showPercent val="0"/>
          <c:showBubbleSize val="0"/>
        </c:dLbls>
        <c:gapWidth val="150"/>
        <c:overlap val="100"/>
        <c:axId val="523111872"/>
        <c:axId val="523109128"/>
      </c:barChart>
      <c:catAx>
        <c:axId val="523111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9128"/>
        <c:crosses val="autoZero"/>
        <c:auto val="1"/>
        <c:lblAlgn val="ctr"/>
        <c:lblOffset val="100"/>
        <c:noMultiLvlLbl val="0"/>
      </c:catAx>
      <c:valAx>
        <c:axId val="52310912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1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[2018_11_09_Myanmar_WASH_4W_2018_Q3_FINAL.xlsx]Analysis!K_L_CG_N</c:name>
    <c:fmtId val="3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 GAP in New Sites</a:t>
            </a:r>
          </a:p>
          <a:p>
            <a:pPr>
              <a:defRPr sz="1200"/>
            </a:pPr>
            <a:r>
              <a:rPr lang="en-US" sz="1200"/>
              <a:t>in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dLbls>
          <c:showLegendKey val="0"/>
          <c:showVal val="0"/>
          <c:showCatName val="0"/>
          <c:showSerName val="0"/>
          <c:showPercent val="0"/>
          <c:showBubbleSize val="0"/>
        </c:dLbls>
        <c:gapWidth val="150"/>
        <c:overlap val="100"/>
        <c:axId val="523109520"/>
        <c:axId val="523110304"/>
      </c:barChart>
      <c:catAx>
        <c:axId val="523109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10304"/>
        <c:crosses val="autoZero"/>
        <c:auto val="1"/>
        <c:lblAlgn val="ctr"/>
        <c:lblOffset val="100"/>
        <c:noMultiLvlLbl val="0"/>
      </c:catAx>
      <c:valAx>
        <c:axId val="5231103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310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[2018_11_09_Myanmar_WASH_4W_2018_Q3_FINAL.xlsx]Analysis!R_S_CG_C</c:name>
    <c:fmtId val="3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a:t>
            </a:r>
            <a:r>
              <a:rPr lang="en-US" sz="1200" baseline="0"/>
              <a:t> GAP in active camps</a:t>
            </a:r>
          </a:p>
          <a:p>
            <a:pPr>
              <a:defRPr sz="1200"/>
            </a:pPr>
            <a:r>
              <a:rPr lang="en-US" sz="1200" baseline="0"/>
              <a:t>in Rakhine</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Analysis!$C$212</c:f>
              <c:strCache>
                <c:ptCount val="1"/>
                <c:pt idx="0">
                  <c:v>% Latrine Coverage</c:v>
                </c:pt>
              </c:strCache>
            </c:strRef>
          </c:tx>
          <c:spPr>
            <a:solidFill>
              <a:schemeClr val="accent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Analysis!$B$213:$B$217</c:f>
              <c:strCache>
                <c:ptCount val="5"/>
                <c:pt idx="0">
                  <c:v>Kyaukpyu</c:v>
                </c:pt>
                <c:pt idx="1">
                  <c:v>Kyauktaw</c:v>
                </c:pt>
                <c:pt idx="2">
                  <c:v>Myebon</c:v>
                </c:pt>
                <c:pt idx="3">
                  <c:v>Pauktaw</c:v>
                </c:pt>
                <c:pt idx="4">
                  <c:v>Sittwe</c:v>
                </c:pt>
              </c:strCache>
            </c:strRef>
          </c:cat>
          <c:val>
            <c:numRef>
              <c:f>Analysis!$C$213:$C$217</c:f>
              <c:numCache>
                <c:formatCode>0%</c:formatCode>
                <c:ptCount val="5"/>
                <c:pt idx="0">
                  <c:v>1</c:v>
                </c:pt>
                <c:pt idx="1">
                  <c:v>0.44750430292598969</c:v>
                </c:pt>
                <c:pt idx="2">
                  <c:v>1</c:v>
                </c:pt>
                <c:pt idx="3">
                  <c:v>0.61196110973216467</c:v>
                </c:pt>
                <c:pt idx="4">
                  <c:v>0.76799042837568421</c:v>
                </c:pt>
              </c:numCache>
            </c:numRef>
          </c:val>
        </c:ser>
        <c:ser>
          <c:idx val="1"/>
          <c:order val="1"/>
          <c:tx>
            <c:strRef>
              <c:f>Analysis!$D$212</c:f>
              <c:strCache>
                <c:ptCount val="1"/>
                <c:pt idx="0">
                  <c:v>% Latrine GAP</c:v>
                </c:pt>
              </c:strCache>
            </c:strRef>
          </c:tx>
          <c:spPr>
            <a:solidFill>
              <a:schemeClr val="accent2">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Analysis!$B$213:$B$217</c:f>
              <c:strCache>
                <c:ptCount val="5"/>
                <c:pt idx="0">
                  <c:v>Kyaukpyu</c:v>
                </c:pt>
                <c:pt idx="1">
                  <c:v>Kyauktaw</c:v>
                </c:pt>
                <c:pt idx="2">
                  <c:v>Myebon</c:v>
                </c:pt>
                <c:pt idx="3">
                  <c:v>Pauktaw</c:v>
                </c:pt>
                <c:pt idx="4">
                  <c:v>Sittwe</c:v>
                </c:pt>
              </c:strCache>
            </c:strRef>
          </c:cat>
          <c:val>
            <c:numRef>
              <c:f>Analysis!$D$213:$D$217</c:f>
              <c:numCache>
                <c:formatCode>0%</c:formatCode>
                <c:ptCount val="5"/>
                <c:pt idx="0">
                  <c:v>0</c:v>
                </c:pt>
                <c:pt idx="1">
                  <c:v>0.55077452667814109</c:v>
                </c:pt>
                <c:pt idx="2">
                  <c:v>0</c:v>
                </c:pt>
                <c:pt idx="3">
                  <c:v>0.31542268721093464</c:v>
                </c:pt>
                <c:pt idx="4">
                  <c:v>0.11415086394786192</c:v>
                </c:pt>
              </c:numCache>
            </c:numRef>
          </c:val>
        </c:ser>
        <c:dLbls>
          <c:showLegendKey val="0"/>
          <c:showVal val="0"/>
          <c:showCatName val="0"/>
          <c:showSerName val="0"/>
          <c:showPercent val="0"/>
          <c:showBubbleSize val="0"/>
        </c:dLbls>
        <c:gapWidth val="150"/>
        <c:overlap val="100"/>
        <c:axId val="524836648"/>
        <c:axId val="524833904"/>
      </c:barChart>
      <c:catAx>
        <c:axId val="524836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3904"/>
        <c:crosses val="autoZero"/>
        <c:auto val="1"/>
        <c:lblAlgn val="ctr"/>
        <c:lblOffset val="100"/>
        <c:noMultiLvlLbl val="0"/>
      </c:catAx>
      <c:valAx>
        <c:axId val="5248339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6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[2018_11_09_Myanmar_WASH_4W_2018_Q3_FINAL.xlsx]Analysis!R_S_CG_V</c:name>
    <c:fmtId val="4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 GAP in Villages</a:t>
            </a:r>
          </a:p>
          <a:p>
            <a:pPr>
              <a:defRPr sz="1200"/>
            </a:pPr>
            <a:r>
              <a:rPr lang="en-US" sz="1200"/>
              <a:t>in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Analysis!$K$212</c:f>
              <c:strCache>
                <c:ptCount val="1"/>
                <c:pt idx="0">
                  <c:v>% Latrine Coverage</c:v>
                </c:pt>
              </c:strCache>
            </c:strRef>
          </c:tx>
          <c:spPr>
            <a:solidFill>
              <a:schemeClr val="accent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Analysis!$J$213:$J$219</c:f>
              <c:strCache>
                <c:ptCount val="7"/>
                <c:pt idx="0">
                  <c:v>Buthidaung</c:v>
                </c:pt>
                <c:pt idx="1">
                  <c:v>Kyauktaw</c:v>
                </c:pt>
                <c:pt idx="2">
                  <c:v>Maungdaw</c:v>
                </c:pt>
                <c:pt idx="3">
                  <c:v>Myebon</c:v>
                </c:pt>
                <c:pt idx="4">
                  <c:v>Pauktaw</c:v>
                </c:pt>
                <c:pt idx="5">
                  <c:v>Rathedaung</c:v>
                </c:pt>
                <c:pt idx="6">
                  <c:v>Sittwe</c:v>
                </c:pt>
              </c:strCache>
            </c:strRef>
          </c:cat>
          <c:val>
            <c:numRef>
              <c:f>Analysis!$K$213:$K$219</c:f>
              <c:numCache>
                <c:formatCode>0%</c:formatCode>
                <c:ptCount val="7"/>
                <c:pt idx="0">
                  <c:v>3.2322319182179017E-2</c:v>
                </c:pt>
                <c:pt idx="1">
                  <c:v>0.13811198827563295</c:v>
                </c:pt>
                <c:pt idx="2">
                  <c:v>3.5669235972803505E-2</c:v>
                </c:pt>
                <c:pt idx="3">
                  <c:v>1</c:v>
                </c:pt>
                <c:pt idx="4">
                  <c:v>0.48157430389314593</c:v>
                </c:pt>
                <c:pt idx="5">
                  <c:v>0.27257982261269037</c:v>
                </c:pt>
                <c:pt idx="6">
                  <c:v>0.45658538915961661</c:v>
                </c:pt>
              </c:numCache>
            </c:numRef>
          </c:val>
        </c:ser>
        <c:ser>
          <c:idx val="1"/>
          <c:order val="1"/>
          <c:tx>
            <c:strRef>
              <c:f>Analysis!$L$212</c:f>
              <c:strCache>
                <c:ptCount val="1"/>
                <c:pt idx="0">
                  <c:v>%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Analysis!$J$213:$J$219</c:f>
              <c:strCache>
                <c:ptCount val="7"/>
                <c:pt idx="0">
                  <c:v>Buthidaung</c:v>
                </c:pt>
                <c:pt idx="1">
                  <c:v>Kyauktaw</c:v>
                </c:pt>
                <c:pt idx="2">
                  <c:v>Maungdaw</c:v>
                </c:pt>
                <c:pt idx="3">
                  <c:v>Myebon</c:v>
                </c:pt>
                <c:pt idx="4">
                  <c:v>Pauktaw</c:v>
                </c:pt>
                <c:pt idx="5">
                  <c:v>Rathedaung</c:v>
                </c:pt>
                <c:pt idx="6">
                  <c:v>Sittwe</c:v>
                </c:pt>
              </c:strCache>
            </c:strRef>
          </c:cat>
          <c:val>
            <c:numRef>
              <c:f>Analysis!$L$213:$L$219</c:f>
              <c:numCache>
                <c:formatCode>0%</c:formatCode>
                <c:ptCount val="7"/>
                <c:pt idx="0">
                  <c:v>0.96935067697369171</c:v>
                </c:pt>
                <c:pt idx="1">
                  <c:v>0.86182149330792646</c:v>
                </c:pt>
                <c:pt idx="2">
                  <c:v>0.96248619433687743</c:v>
                </c:pt>
                <c:pt idx="3">
                  <c:v>0</c:v>
                </c:pt>
                <c:pt idx="4">
                  <c:v>0.39890830061610516</c:v>
                </c:pt>
                <c:pt idx="5">
                  <c:v>0.72630664061749584</c:v>
                </c:pt>
                <c:pt idx="6">
                  <c:v>0.53977965949143558</c:v>
                </c:pt>
              </c:numCache>
            </c:numRef>
          </c:val>
        </c:ser>
        <c:dLbls>
          <c:showLegendKey val="0"/>
          <c:showVal val="0"/>
          <c:showCatName val="0"/>
          <c:showSerName val="0"/>
          <c:showPercent val="0"/>
          <c:showBubbleSize val="0"/>
        </c:dLbls>
        <c:gapWidth val="150"/>
        <c:overlap val="100"/>
        <c:axId val="524833512"/>
        <c:axId val="524834296"/>
      </c:barChart>
      <c:catAx>
        <c:axId val="5248335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4296"/>
        <c:crosses val="autoZero"/>
        <c:auto val="1"/>
        <c:lblAlgn val="ctr"/>
        <c:lblOffset val="100"/>
        <c:noMultiLvlLbl val="0"/>
      </c:catAx>
      <c:valAx>
        <c:axId val="52483429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3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[2018_11_09_Myanmar_WASH_4W_2018_Q3_FINAL.xlsx]Analysis!S_S_CG_C</c:name>
    <c:fmtId val="48"/>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a:t>
            </a:r>
            <a:r>
              <a:rPr lang="en-US" sz="1200" baseline="0"/>
              <a:t> VS GAP in Camps</a:t>
            </a:r>
          </a:p>
          <a:p>
            <a:pPr>
              <a:defRPr sz="1200"/>
            </a:pPr>
            <a:r>
              <a:rPr lang="en-US" sz="1200" baseline="0"/>
              <a:t>in Shan (North)</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Analysis!$T$212</c:f>
              <c:strCache>
                <c:ptCount val="1"/>
                <c:pt idx="0">
                  <c:v>% Latrine Coverage</c:v>
                </c:pt>
              </c:strCache>
            </c:strRef>
          </c:tx>
          <c:spPr>
            <a:solidFill>
              <a:schemeClr val="accent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Analysis!$S$213:$S$219</c:f>
              <c:strCache>
                <c:ptCount val="7"/>
                <c:pt idx="0">
                  <c:v>Hseni</c:v>
                </c:pt>
                <c:pt idx="1">
                  <c:v>Kutkai</c:v>
                </c:pt>
                <c:pt idx="2">
                  <c:v>Manton</c:v>
                </c:pt>
                <c:pt idx="3">
                  <c:v>Muse</c:v>
                </c:pt>
                <c:pt idx="4">
                  <c:v>Namhkan</c:v>
                </c:pt>
                <c:pt idx="5">
                  <c:v>Namtu</c:v>
                </c:pt>
                <c:pt idx="6">
                  <c:v>Nawnghkio</c:v>
                </c:pt>
              </c:strCache>
            </c:strRef>
          </c:cat>
          <c:val>
            <c:numRef>
              <c:f>Analysis!$T$213:$T$219</c:f>
              <c:numCache>
                <c:formatCode>0%</c:formatCode>
                <c:ptCount val="7"/>
                <c:pt idx="0">
                  <c:v>1</c:v>
                </c:pt>
                <c:pt idx="1">
                  <c:v>0.91358594258650305</c:v>
                </c:pt>
                <c:pt idx="2">
                  <c:v>0.97855750487329429</c:v>
                </c:pt>
                <c:pt idx="3">
                  <c:v>0.7247191011235955</c:v>
                </c:pt>
                <c:pt idx="4">
                  <c:v>0.80775877089345072</c:v>
                </c:pt>
                <c:pt idx="5">
                  <c:v>0.94061658186171804</c:v>
                </c:pt>
                <c:pt idx="6">
                  <c:v>0</c:v>
                </c:pt>
              </c:numCache>
            </c:numRef>
          </c:val>
        </c:ser>
        <c:ser>
          <c:idx val="1"/>
          <c:order val="1"/>
          <c:tx>
            <c:strRef>
              <c:f>Analysis!$U$212</c:f>
              <c:strCache>
                <c:ptCount val="1"/>
                <c:pt idx="0">
                  <c:v>% Latrine GAP</c:v>
                </c:pt>
              </c:strCache>
            </c:strRef>
          </c:tx>
          <c:spPr>
            <a:solidFill>
              <a:schemeClr val="accent2">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Analysis!$S$213:$S$219</c:f>
              <c:strCache>
                <c:ptCount val="7"/>
                <c:pt idx="0">
                  <c:v>Hseni</c:v>
                </c:pt>
                <c:pt idx="1">
                  <c:v>Kutkai</c:v>
                </c:pt>
                <c:pt idx="2">
                  <c:v>Manton</c:v>
                </c:pt>
                <c:pt idx="3">
                  <c:v>Muse</c:v>
                </c:pt>
                <c:pt idx="4">
                  <c:v>Namhkan</c:v>
                </c:pt>
                <c:pt idx="5">
                  <c:v>Namtu</c:v>
                </c:pt>
                <c:pt idx="6">
                  <c:v>Nawnghkio</c:v>
                </c:pt>
              </c:strCache>
            </c:strRef>
          </c:cat>
          <c:val>
            <c:numRef>
              <c:f>Analysis!$U$213:$U$219</c:f>
              <c:numCache>
                <c:formatCode>0%</c:formatCode>
                <c:ptCount val="7"/>
                <c:pt idx="0">
                  <c:v>0</c:v>
                </c:pt>
                <c:pt idx="1">
                  <c:v>7.0684424853862282E-2</c:v>
                </c:pt>
                <c:pt idx="2">
                  <c:v>3.8986354775828458E-2</c:v>
                </c:pt>
                <c:pt idx="3">
                  <c:v>0.27808988764044945</c:v>
                </c:pt>
                <c:pt idx="4">
                  <c:v>0.19406259621787667</c:v>
                </c:pt>
                <c:pt idx="5">
                  <c:v>5.9520246290674303E-2</c:v>
                </c:pt>
                <c:pt idx="6">
                  <c:v>0.90909090909090906</c:v>
                </c:pt>
              </c:numCache>
            </c:numRef>
          </c:val>
        </c:ser>
        <c:dLbls>
          <c:showLegendKey val="0"/>
          <c:showVal val="0"/>
          <c:showCatName val="0"/>
          <c:showSerName val="0"/>
          <c:showPercent val="0"/>
          <c:showBubbleSize val="0"/>
        </c:dLbls>
        <c:gapWidth val="150"/>
        <c:overlap val="100"/>
        <c:axId val="524828808"/>
        <c:axId val="524833120"/>
      </c:barChart>
      <c:catAx>
        <c:axId val="5248288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3120"/>
        <c:crosses val="autoZero"/>
        <c:auto val="1"/>
        <c:lblAlgn val="ctr"/>
        <c:lblOffset val="100"/>
        <c:noMultiLvlLbl val="0"/>
      </c:catAx>
      <c:valAx>
        <c:axId val="5248331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28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[2018_11_09_Myanmar_WASH_4W_2018_Q3_FINAL.xlsx]Analysis!K_H_CG_C</c:name>
    <c:fmtId val="3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Hygiene Coverage VS GAP in active camps</a:t>
            </a:r>
          </a:p>
          <a:p>
            <a:pPr>
              <a:defRPr sz="1200"/>
            </a:pPr>
            <a:r>
              <a:rPr lang="en-US" sz="1200"/>
              <a:t>in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Analysis!$C$246</c:f>
              <c:strCache>
                <c:ptCount val="1"/>
                <c:pt idx="0">
                  <c:v>% Hygiene Coverage</c:v>
                </c:pt>
              </c:strCache>
            </c:strRef>
          </c:tx>
          <c:spPr>
            <a:solidFill>
              <a:schemeClr val="accent6">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Analysis!$B$247:$B$259</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Analysis!$C$247:$C$259</c:f>
              <c:numCache>
                <c:formatCode>0%</c:formatCode>
                <c:ptCount val="13"/>
                <c:pt idx="0">
                  <c:v>0.5</c:v>
                </c:pt>
                <c:pt idx="1">
                  <c:v>0</c:v>
                </c:pt>
                <c:pt idx="2">
                  <c:v>0</c:v>
                </c:pt>
                <c:pt idx="3">
                  <c:v>0.2</c:v>
                </c:pt>
                <c:pt idx="4">
                  <c:v>0</c:v>
                </c:pt>
                <c:pt idx="5">
                  <c:v>0</c:v>
                </c:pt>
                <c:pt idx="6">
                  <c:v>0.31578947368421051</c:v>
                </c:pt>
                <c:pt idx="7">
                  <c:v>0</c:v>
                </c:pt>
                <c:pt idx="8">
                  <c:v>0</c:v>
                </c:pt>
                <c:pt idx="9">
                  <c:v>0.33333333333333331</c:v>
                </c:pt>
                <c:pt idx="10">
                  <c:v>0</c:v>
                </c:pt>
                <c:pt idx="11">
                  <c:v>0</c:v>
                </c:pt>
                <c:pt idx="12">
                  <c:v>0.08</c:v>
                </c:pt>
              </c:numCache>
            </c:numRef>
          </c:val>
        </c:ser>
        <c:ser>
          <c:idx val="1"/>
          <c:order val="1"/>
          <c:tx>
            <c:strRef>
              <c:f>Analysis!$D$246</c:f>
              <c:strCache>
                <c:ptCount val="1"/>
                <c:pt idx="0">
                  <c:v>% Hygiene Gap</c:v>
                </c:pt>
              </c:strCache>
            </c:strRef>
          </c:tx>
          <c:spPr>
            <a:solidFill>
              <a:schemeClr val="accent6">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Analysis!$B$247:$B$259</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Analysis!$D$247:$D$259</c:f>
              <c:numCache>
                <c:formatCode>0%</c:formatCode>
                <c:ptCount val="13"/>
                <c:pt idx="0">
                  <c:v>0.5</c:v>
                </c:pt>
                <c:pt idx="1">
                  <c:v>1</c:v>
                </c:pt>
                <c:pt idx="2">
                  <c:v>1</c:v>
                </c:pt>
                <c:pt idx="3">
                  <c:v>0.8</c:v>
                </c:pt>
                <c:pt idx="4">
                  <c:v>1</c:v>
                </c:pt>
                <c:pt idx="5">
                  <c:v>1</c:v>
                </c:pt>
                <c:pt idx="6">
                  <c:v>0.68421052631578949</c:v>
                </c:pt>
                <c:pt idx="7">
                  <c:v>1</c:v>
                </c:pt>
                <c:pt idx="8">
                  <c:v>1</c:v>
                </c:pt>
                <c:pt idx="9">
                  <c:v>0.66666666666666663</c:v>
                </c:pt>
                <c:pt idx="10">
                  <c:v>1</c:v>
                </c:pt>
                <c:pt idx="11">
                  <c:v>1</c:v>
                </c:pt>
                <c:pt idx="12">
                  <c:v>0.92</c:v>
                </c:pt>
              </c:numCache>
            </c:numRef>
          </c:val>
        </c:ser>
        <c:dLbls>
          <c:showLegendKey val="0"/>
          <c:showVal val="0"/>
          <c:showCatName val="0"/>
          <c:showSerName val="0"/>
          <c:showPercent val="0"/>
          <c:showBubbleSize val="0"/>
        </c:dLbls>
        <c:gapWidth val="150"/>
        <c:overlap val="100"/>
        <c:axId val="524835472"/>
        <c:axId val="524830376"/>
      </c:barChart>
      <c:catAx>
        <c:axId val="5248354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0376"/>
        <c:crosses val="autoZero"/>
        <c:auto val="1"/>
        <c:lblAlgn val="ctr"/>
        <c:lblOffset val="100"/>
        <c:noMultiLvlLbl val="0"/>
      </c:catAx>
      <c:valAx>
        <c:axId val="52483037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5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[2018_11_09_Myanmar_WASH_4W_2018_Q3_FINAL.xlsx]Analysis!K_H_CG_N</c:name>
    <c:fmtId val="4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Hygiene Coverage VS GAP in New Sites</a:t>
            </a:r>
          </a:p>
          <a:p>
            <a:pPr>
              <a:defRPr sz="1200"/>
            </a:pPr>
            <a:r>
              <a:rPr lang="en-US" sz="1200"/>
              <a:t>in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dLbls>
          <c:showLegendKey val="0"/>
          <c:showVal val="0"/>
          <c:showCatName val="0"/>
          <c:showSerName val="0"/>
          <c:showPercent val="0"/>
          <c:showBubbleSize val="0"/>
        </c:dLbls>
        <c:gapWidth val="150"/>
        <c:overlap val="100"/>
        <c:axId val="524838216"/>
        <c:axId val="524839784"/>
      </c:barChart>
      <c:catAx>
        <c:axId val="5248382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9784"/>
        <c:crosses val="autoZero"/>
        <c:auto val="1"/>
        <c:lblAlgn val="ctr"/>
        <c:lblOffset val="100"/>
        <c:noMultiLvlLbl val="0"/>
      </c:catAx>
      <c:valAx>
        <c:axId val="5248397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[2018_11_09_Myanmar_WASH_4W_2018_Q3_FINAL.xlsx]Analysis!R_H_CG_C</c:name>
    <c:fmtId val="45"/>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Hygiene Coverage VS GAP in active camps</a:t>
            </a:r>
          </a:p>
          <a:p>
            <a:pPr>
              <a:defRPr sz="1200"/>
            </a:pPr>
            <a:r>
              <a:rPr lang="en-US" sz="1200"/>
              <a:t>in</a:t>
            </a:r>
            <a:r>
              <a:rPr lang="en-US" sz="1200" baseline="0"/>
              <a:t> Rakhine</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Analysis!$C$268</c:f>
              <c:strCache>
                <c:ptCount val="1"/>
                <c:pt idx="0">
                  <c:v>% Hygiene Coverage</c:v>
                </c:pt>
              </c:strCache>
            </c:strRef>
          </c:tx>
          <c:spPr>
            <a:solidFill>
              <a:schemeClr val="accent6">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Analysis!$B$269:$B$273</c:f>
              <c:strCache>
                <c:ptCount val="5"/>
                <c:pt idx="0">
                  <c:v>Kyaukpyu</c:v>
                </c:pt>
                <c:pt idx="1">
                  <c:v>Kyauktaw</c:v>
                </c:pt>
                <c:pt idx="2">
                  <c:v>Myebon</c:v>
                </c:pt>
                <c:pt idx="3">
                  <c:v>Pauktaw</c:v>
                </c:pt>
                <c:pt idx="4">
                  <c:v>Sittwe</c:v>
                </c:pt>
              </c:strCache>
            </c:strRef>
          </c:cat>
          <c:val>
            <c:numRef>
              <c:f>Analysis!$C$269:$C$273</c:f>
              <c:numCache>
                <c:formatCode>0%</c:formatCode>
                <c:ptCount val="5"/>
                <c:pt idx="0">
                  <c:v>1</c:v>
                </c:pt>
                <c:pt idx="1">
                  <c:v>0</c:v>
                </c:pt>
                <c:pt idx="2">
                  <c:v>1</c:v>
                </c:pt>
                <c:pt idx="3">
                  <c:v>0.8</c:v>
                </c:pt>
                <c:pt idx="4">
                  <c:v>0.875</c:v>
                </c:pt>
              </c:numCache>
            </c:numRef>
          </c:val>
        </c:ser>
        <c:ser>
          <c:idx val="1"/>
          <c:order val="1"/>
          <c:tx>
            <c:strRef>
              <c:f>Analysis!$D$268</c:f>
              <c:strCache>
                <c:ptCount val="1"/>
                <c:pt idx="0">
                  <c:v>% Hygiene Gap</c:v>
                </c:pt>
              </c:strCache>
            </c:strRef>
          </c:tx>
          <c:spPr>
            <a:solidFill>
              <a:schemeClr val="accent6">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Analysis!$B$269:$B$273</c:f>
              <c:strCache>
                <c:ptCount val="5"/>
                <c:pt idx="0">
                  <c:v>Kyaukpyu</c:v>
                </c:pt>
                <c:pt idx="1">
                  <c:v>Kyauktaw</c:v>
                </c:pt>
                <c:pt idx="2">
                  <c:v>Myebon</c:v>
                </c:pt>
                <c:pt idx="3">
                  <c:v>Pauktaw</c:v>
                </c:pt>
                <c:pt idx="4">
                  <c:v>Sittwe</c:v>
                </c:pt>
              </c:strCache>
            </c:strRef>
          </c:cat>
          <c:val>
            <c:numRef>
              <c:f>Analysis!$D$269:$D$273</c:f>
              <c:numCache>
                <c:formatCode>0%</c:formatCode>
                <c:ptCount val="5"/>
                <c:pt idx="0">
                  <c:v>0</c:v>
                </c:pt>
                <c:pt idx="1">
                  <c:v>1</c:v>
                </c:pt>
                <c:pt idx="2">
                  <c:v>0</c:v>
                </c:pt>
                <c:pt idx="3">
                  <c:v>0.2</c:v>
                </c:pt>
                <c:pt idx="4">
                  <c:v>0.125</c:v>
                </c:pt>
              </c:numCache>
            </c:numRef>
          </c:val>
        </c:ser>
        <c:dLbls>
          <c:showLegendKey val="0"/>
          <c:showVal val="0"/>
          <c:showCatName val="0"/>
          <c:showSerName val="0"/>
          <c:showPercent val="0"/>
          <c:showBubbleSize val="0"/>
        </c:dLbls>
        <c:gapWidth val="150"/>
        <c:overlap val="100"/>
        <c:axId val="524829200"/>
        <c:axId val="524834688"/>
      </c:barChart>
      <c:catAx>
        <c:axId val="5248292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4688"/>
        <c:crosses val="autoZero"/>
        <c:auto val="1"/>
        <c:lblAlgn val="ctr"/>
        <c:lblOffset val="100"/>
        <c:noMultiLvlLbl val="0"/>
      </c:catAx>
      <c:valAx>
        <c:axId val="5248346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29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[2018_11_09_Myanmar_WASH_4W_2018_Q3_FINAL.xlsx]Analysis!R_H_CG_V</c:name>
    <c:fmtId val="4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Hygiene Coverage VS GAP in Villages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Analysis!$L$268</c:f>
              <c:strCache>
                <c:ptCount val="1"/>
                <c:pt idx="0">
                  <c:v>%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Analysis!$K$269:$K$275</c:f>
              <c:strCache>
                <c:ptCount val="7"/>
                <c:pt idx="0">
                  <c:v>Buthidaung</c:v>
                </c:pt>
                <c:pt idx="1">
                  <c:v>Kyauktaw</c:v>
                </c:pt>
                <c:pt idx="2">
                  <c:v>Maungdaw</c:v>
                </c:pt>
                <c:pt idx="3">
                  <c:v>Myebon</c:v>
                </c:pt>
                <c:pt idx="4">
                  <c:v>Pauktaw</c:v>
                </c:pt>
                <c:pt idx="5">
                  <c:v>Rathedaung</c:v>
                </c:pt>
                <c:pt idx="6">
                  <c:v>Sittwe</c:v>
                </c:pt>
              </c:strCache>
            </c:strRef>
          </c:cat>
          <c:val>
            <c:numRef>
              <c:f>Analysis!$L$269:$L$275</c:f>
              <c:numCache>
                <c:formatCode>0%</c:formatCode>
                <c:ptCount val="7"/>
                <c:pt idx="0">
                  <c:v>0.83333333333333337</c:v>
                </c:pt>
                <c:pt idx="1">
                  <c:v>0</c:v>
                </c:pt>
                <c:pt idx="2">
                  <c:v>0.7857142857142857</c:v>
                </c:pt>
                <c:pt idx="3">
                  <c:v>1</c:v>
                </c:pt>
                <c:pt idx="4">
                  <c:v>0</c:v>
                </c:pt>
                <c:pt idx="5">
                  <c:v>0</c:v>
                </c:pt>
                <c:pt idx="6">
                  <c:v>0</c:v>
                </c:pt>
              </c:numCache>
            </c:numRef>
          </c:val>
        </c:ser>
        <c:ser>
          <c:idx val="1"/>
          <c:order val="1"/>
          <c:tx>
            <c:strRef>
              <c:f>Analysis!$M$268</c:f>
              <c:strCache>
                <c:ptCount val="1"/>
                <c:pt idx="0">
                  <c:v>% Hygiene Gap</c:v>
                </c:pt>
              </c:strCache>
            </c:strRef>
          </c:tx>
          <c:spPr>
            <a:solidFill>
              <a:schemeClr val="accent6">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Analysis!$K$269:$K$275</c:f>
              <c:strCache>
                <c:ptCount val="7"/>
                <c:pt idx="0">
                  <c:v>Buthidaung</c:v>
                </c:pt>
                <c:pt idx="1">
                  <c:v>Kyauktaw</c:v>
                </c:pt>
                <c:pt idx="2">
                  <c:v>Maungdaw</c:v>
                </c:pt>
                <c:pt idx="3">
                  <c:v>Myebon</c:v>
                </c:pt>
                <c:pt idx="4">
                  <c:v>Pauktaw</c:v>
                </c:pt>
                <c:pt idx="5">
                  <c:v>Rathedaung</c:v>
                </c:pt>
                <c:pt idx="6">
                  <c:v>Sittwe</c:v>
                </c:pt>
              </c:strCache>
            </c:strRef>
          </c:cat>
          <c:val>
            <c:numRef>
              <c:f>Analysis!$M$269:$M$275</c:f>
              <c:numCache>
                <c:formatCode>0%</c:formatCode>
                <c:ptCount val="7"/>
                <c:pt idx="0">
                  <c:v>0.16666666666666666</c:v>
                </c:pt>
                <c:pt idx="1">
                  <c:v>1</c:v>
                </c:pt>
                <c:pt idx="2">
                  <c:v>0.21428571428571427</c:v>
                </c:pt>
                <c:pt idx="3">
                  <c:v>0</c:v>
                </c:pt>
                <c:pt idx="4">
                  <c:v>1</c:v>
                </c:pt>
                <c:pt idx="5">
                  <c:v>1</c:v>
                </c:pt>
                <c:pt idx="6">
                  <c:v>1</c:v>
                </c:pt>
              </c:numCache>
            </c:numRef>
          </c:val>
        </c:ser>
        <c:dLbls>
          <c:showLegendKey val="0"/>
          <c:showVal val="0"/>
          <c:showCatName val="0"/>
          <c:showSerName val="0"/>
          <c:showPercent val="0"/>
          <c:showBubbleSize val="0"/>
        </c:dLbls>
        <c:gapWidth val="150"/>
        <c:overlap val="100"/>
        <c:axId val="524835080"/>
        <c:axId val="524839000"/>
      </c:barChart>
      <c:catAx>
        <c:axId val="5248350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9000"/>
        <c:crosses val="autoZero"/>
        <c:auto val="1"/>
        <c:lblAlgn val="ctr"/>
        <c:lblOffset val="100"/>
        <c:noMultiLvlLbl val="0"/>
      </c:catAx>
      <c:valAx>
        <c:axId val="52483900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5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[2018_11_09_Myanmar_WASH_4W_2018_Q3_FINAL.xlsx]Analysis!S_H_CG_C</c:name>
    <c:fmtId val="5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Hygiene Coverage VS GAP in active camps</a:t>
            </a:r>
          </a:p>
          <a:p>
            <a:pPr>
              <a:defRPr sz="1200"/>
            </a:pPr>
            <a:r>
              <a:rPr lang="en-US" sz="1200"/>
              <a:t>in 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Analysis!$U$268</c:f>
              <c:strCache>
                <c:ptCount val="1"/>
                <c:pt idx="0">
                  <c:v>% Hygiene Coverage</c:v>
                </c:pt>
              </c:strCache>
            </c:strRef>
          </c:tx>
          <c:spPr>
            <a:solidFill>
              <a:schemeClr val="accent6">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Analysis!$T$269:$T$275</c:f>
              <c:strCache>
                <c:ptCount val="7"/>
                <c:pt idx="0">
                  <c:v>Hseni</c:v>
                </c:pt>
                <c:pt idx="1">
                  <c:v>Kutkai</c:v>
                </c:pt>
                <c:pt idx="2">
                  <c:v>Manton</c:v>
                </c:pt>
                <c:pt idx="3">
                  <c:v>Muse</c:v>
                </c:pt>
                <c:pt idx="4">
                  <c:v>Namhkan</c:v>
                </c:pt>
                <c:pt idx="5">
                  <c:v>Namtu</c:v>
                </c:pt>
                <c:pt idx="6">
                  <c:v>Nawnghkio</c:v>
                </c:pt>
              </c:strCache>
            </c:strRef>
          </c:cat>
          <c:val>
            <c:numRef>
              <c:f>Analysis!$U$269:$U$275</c:f>
              <c:numCache>
                <c:formatCode>0%</c:formatCode>
                <c:ptCount val="7"/>
                <c:pt idx="0">
                  <c:v>0</c:v>
                </c:pt>
                <c:pt idx="1">
                  <c:v>0</c:v>
                </c:pt>
                <c:pt idx="2">
                  <c:v>0</c:v>
                </c:pt>
                <c:pt idx="3">
                  <c:v>0</c:v>
                </c:pt>
                <c:pt idx="4">
                  <c:v>0.66666666666666663</c:v>
                </c:pt>
                <c:pt idx="5">
                  <c:v>0</c:v>
                </c:pt>
                <c:pt idx="6">
                  <c:v>0</c:v>
                </c:pt>
              </c:numCache>
            </c:numRef>
          </c:val>
        </c:ser>
        <c:ser>
          <c:idx val="1"/>
          <c:order val="1"/>
          <c:tx>
            <c:strRef>
              <c:f>Analysis!$V$268</c:f>
              <c:strCache>
                <c:ptCount val="1"/>
                <c:pt idx="0">
                  <c:v>% Hygiene Gap</c:v>
                </c:pt>
              </c:strCache>
            </c:strRef>
          </c:tx>
          <c:spPr>
            <a:solidFill>
              <a:schemeClr val="accent6">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Analysis!$T$269:$T$275</c:f>
              <c:strCache>
                <c:ptCount val="7"/>
                <c:pt idx="0">
                  <c:v>Hseni</c:v>
                </c:pt>
                <c:pt idx="1">
                  <c:v>Kutkai</c:v>
                </c:pt>
                <c:pt idx="2">
                  <c:v>Manton</c:v>
                </c:pt>
                <c:pt idx="3">
                  <c:v>Muse</c:v>
                </c:pt>
                <c:pt idx="4">
                  <c:v>Namhkan</c:v>
                </c:pt>
                <c:pt idx="5">
                  <c:v>Namtu</c:v>
                </c:pt>
                <c:pt idx="6">
                  <c:v>Nawnghkio</c:v>
                </c:pt>
              </c:strCache>
            </c:strRef>
          </c:cat>
          <c:val>
            <c:numRef>
              <c:f>Analysis!$V$269:$V$275</c:f>
              <c:numCache>
                <c:formatCode>0%</c:formatCode>
                <c:ptCount val="7"/>
                <c:pt idx="0">
                  <c:v>1</c:v>
                </c:pt>
                <c:pt idx="1">
                  <c:v>1</c:v>
                </c:pt>
                <c:pt idx="2">
                  <c:v>1</c:v>
                </c:pt>
                <c:pt idx="3">
                  <c:v>1</c:v>
                </c:pt>
                <c:pt idx="4">
                  <c:v>0.33333333333333331</c:v>
                </c:pt>
                <c:pt idx="5">
                  <c:v>1</c:v>
                </c:pt>
                <c:pt idx="6">
                  <c:v>1</c:v>
                </c:pt>
              </c:numCache>
            </c:numRef>
          </c:val>
        </c:ser>
        <c:dLbls>
          <c:showLegendKey val="0"/>
          <c:showVal val="0"/>
          <c:showCatName val="0"/>
          <c:showSerName val="0"/>
          <c:showPercent val="0"/>
          <c:showBubbleSize val="0"/>
        </c:dLbls>
        <c:gapWidth val="150"/>
        <c:overlap val="100"/>
        <c:axId val="524839392"/>
        <c:axId val="524840568"/>
      </c:barChart>
      <c:catAx>
        <c:axId val="5248393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40568"/>
        <c:crosses val="autoZero"/>
        <c:auto val="1"/>
        <c:lblAlgn val="ctr"/>
        <c:lblOffset val="100"/>
        <c:noMultiLvlLbl val="0"/>
      </c:catAx>
      <c:valAx>
        <c:axId val="52484056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9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[2018_11_09_Myanmar_WASH_4W_2018_Q3_FINAL.xlsx]Quarterly Dashboard!PivotTable1</c:name>
    <c:fmtId val="1"/>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0" i="0" baseline="0">
                <a:effectLst/>
              </a:rPr>
              <a:t>Qtr Dashboard</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manualLayout>
          <c:layoutTarget val="inner"/>
          <c:xMode val="edge"/>
          <c:yMode val="edge"/>
          <c:x val="0.4026027046954927"/>
          <c:y val="0.11493115019255251"/>
          <c:w val="0.43541081463193887"/>
          <c:h val="0.82620867752909466"/>
        </c:manualLayout>
      </c:layout>
      <c:barChart>
        <c:barDir val="bar"/>
        <c:grouping val="clustered"/>
        <c:varyColors val="0"/>
        <c:ser>
          <c:idx val="0"/>
          <c:order val="0"/>
          <c:tx>
            <c:strRef>
              <c:f>'Quarterly Dashboard'!$D$29</c:f>
              <c:strCache>
                <c:ptCount val="1"/>
                <c:pt idx="0">
                  <c:v>Total Population</c:v>
                </c:pt>
              </c:strCache>
            </c:strRef>
          </c:tx>
          <c:spPr>
            <a:solidFill>
              <a:schemeClr val="tx1"/>
            </a:solidFill>
            <a:ln>
              <a:noFill/>
            </a:ln>
            <a:effectLst/>
          </c:spPr>
          <c:invertIfNegative val="0"/>
          <c:cat>
            <c:multiLvlStrRef>
              <c:f>'Quarterly Dashboard'!$A$30:$C$190</c:f>
              <c:multiLvlStrCache>
                <c:ptCount val="124"/>
                <c:lvl>
                  <c:pt idx="0">
                    <c:v>KBC</c:v>
                  </c:pt>
                  <c:pt idx="1">
                    <c:v>Metta</c:v>
                  </c:pt>
                  <c:pt idx="2">
                    <c:v>None</c:v>
                  </c:pt>
                  <c:pt idx="3">
                    <c:v>SI</c:v>
                  </c:pt>
                  <c:pt idx="4">
                    <c:v>KBC</c:v>
                  </c:pt>
                  <c:pt idx="5">
                    <c:v>KMSS</c:v>
                  </c:pt>
                  <c:pt idx="6">
                    <c:v>Shalom</c:v>
                  </c:pt>
                  <c:pt idx="7">
                    <c:v>KBC</c:v>
                  </c:pt>
                  <c:pt idx="8">
                    <c:v>KMSS</c:v>
                  </c:pt>
                  <c:pt idx="9">
                    <c:v>KMSS,KBC</c:v>
                  </c:pt>
                  <c:pt idx="10">
                    <c:v>None</c:v>
                  </c:pt>
                  <c:pt idx="11">
                    <c:v>Shalom</c:v>
                  </c:pt>
                  <c:pt idx="12">
                    <c:v>KBC</c:v>
                  </c:pt>
                  <c:pt idx="13">
                    <c:v>KMSS</c:v>
                  </c:pt>
                  <c:pt idx="14">
                    <c:v>Metta</c:v>
                  </c:pt>
                  <c:pt idx="15">
                    <c:v>None</c:v>
                  </c:pt>
                  <c:pt idx="16">
                    <c:v>SCI</c:v>
                  </c:pt>
                  <c:pt idx="17">
                    <c:v>WPN</c:v>
                  </c:pt>
                  <c:pt idx="18">
                    <c:v>KBC</c:v>
                  </c:pt>
                  <c:pt idx="19">
                    <c:v>KMSS</c:v>
                  </c:pt>
                  <c:pt idx="20">
                    <c:v>None</c:v>
                  </c:pt>
                  <c:pt idx="21">
                    <c:v>KBC,KMSS</c:v>
                  </c:pt>
                  <c:pt idx="22">
                    <c:v>KBC</c:v>
                  </c:pt>
                  <c:pt idx="23">
                    <c:v>KMSS</c:v>
                  </c:pt>
                  <c:pt idx="24">
                    <c:v>None</c:v>
                  </c:pt>
                  <c:pt idx="25">
                    <c:v>KMSS</c:v>
                  </c:pt>
                  <c:pt idx="26">
                    <c:v>Metta</c:v>
                  </c:pt>
                  <c:pt idx="27">
                    <c:v>None</c:v>
                  </c:pt>
                  <c:pt idx="28">
                    <c:v>SI</c:v>
                  </c:pt>
                  <c:pt idx="29">
                    <c:v>SI, KBC</c:v>
                  </c:pt>
                  <c:pt idx="30">
                    <c:v>WPN</c:v>
                  </c:pt>
                  <c:pt idx="31">
                    <c:v>KBC</c:v>
                  </c:pt>
                  <c:pt idx="32">
                    <c:v>KMSS</c:v>
                  </c:pt>
                  <c:pt idx="33">
                    <c:v>None</c:v>
                  </c:pt>
                  <c:pt idx="34">
                    <c:v>Shalom</c:v>
                  </c:pt>
                  <c:pt idx="35">
                    <c:v>KBC</c:v>
                  </c:pt>
                  <c:pt idx="36">
                    <c:v>None</c:v>
                  </c:pt>
                  <c:pt idx="37">
                    <c:v>KBC</c:v>
                  </c:pt>
                  <c:pt idx="38">
                    <c:v>Metta</c:v>
                  </c:pt>
                  <c:pt idx="39">
                    <c:v>None</c:v>
                  </c:pt>
                  <c:pt idx="40">
                    <c:v>KBC</c:v>
                  </c:pt>
                  <c:pt idx="41">
                    <c:v>None</c:v>
                  </c:pt>
                  <c:pt idx="42">
                    <c:v>KMSS</c:v>
                  </c:pt>
                  <c:pt idx="43">
                    <c:v>None</c:v>
                  </c:pt>
                  <c:pt idx="44">
                    <c:v>KBC</c:v>
                  </c:pt>
                  <c:pt idx="45">
                    <c:v>KMSS</c:v>
                  </c:pt>
                  <c:pt idx="46">
                    <c:v>Metta</c:v>
                  </c:pt>
                  <c:pt idx="47">
                    <c:v>None</c:v>
                  </c:pt>
                  <c:pt idx="48">
                    <c:v>Shalom</c:v>
                  </c:pt>
                  <c:pt idx="49">
                    <c:v>Arche Nova</c:v>
                  </c:pt>
                  <c:pt idx="50">
                    <c:v>MHDO</c:v>
                  </c:pt>
                  <c:pt idx="51">
                    <c:v>None</c:v>
                  </c:pt>
                  <c:pt idx="52">
                    <c:v>None</c:v>
                  </c:pt>
                  <c:pt idx="53">
                    <c:v>Oxfam</c:v>
                  </c:pt>
                  <c:pt idx="54">
                    <c:v>CDN</c:v>
                  </c:pt>
                  <c:pt idx="55">
                    <c:v>MA_UK</c:v>
                  </c:pt>
                  <c:pt idx="56">
                    <c:v>None</c:v>
                  </c:pt>
                  <c:pt idx="57">
                    <c:v>CDN, MA_UK</c:v>
                  </c:pt>
                  <c:pt idx="58">
                    <c:v>Malteser</c:v>
                  </c:pt>
                  <c:pt idx="59">
                    <c:v>MHDO</c:v>
                  </c:pt>
                  <c:pt idx="60">
                    <c:v>None</c:v>
                  </c:pt>
                  <c:pt idx="61">
                    <c:v>None</c:v>
                  </c:pt>
                  <c:pt idx="62">
                    <c:v>None</c:v>
                  </c:pt>
                  <c:pt idx="63">
                    <c:v>RI</c:v>
                  </c:pt>
                  <c:pt idx="64">
                    <c:v>DRC</c:v>
                  </c:pt>
                  <c:pt idx="65">
                    <c:v>SCI</c:v>
                  </c:pt>
                  <c:pt idx="66">
                    <c:v>SI</c:v>
                  </c:pt>
                  <c:pt idx="67">
                    <c:v>None</c:v>
                  </c:pt>
                  <c:pt idx="68">
                    <c:v>MHDO</c:v>
                  </c:pt>
                  <c:pt idx="69">
                    <c:v>None</c:v>
                  </c:pt>
                  <c:pt idx="70">
                    <c:v>CDN</c:v>
                  </c:pt>
                  <c:pt idx="71">
                    <c:v>CDN,(MA_UK)</c:v>
                  </c:pt>
                  <c:pt idx="72">
                    <c:v>DRC</c:v>
                  </c:pt>
                  <c:pt idx="73">
                    <c:v>MA_UK</c:v>
                  </c:pt>
                  <c:pt idx="74">
                    <c:v>None</c:v>
                  </c:pt>
                  <c:pt idx="75">
                    <c:v>Oxfam</c:v>
                  </c:pt>
                  <c:pt idx="76">
                    <c:v>SCI</c:v>
                  </c:pt>
                  <c:pt idx="77">
                    <c:v>SI</c:v>
                  </c:pt>
                  <c:pt idx="78">
                    <c:v>Oxfam,MA_UK</c:v>
                  </c:pt>
                  <c:pt idx="79">
                    <c:v>SCI,MA_UK</c:v>
                  </c:pt>
                  <c:pt idx="80">
                    <c:v>KBC</c:v>
                  </c:pt>
                  <c:pt idx="81">
                    <c:v>Metta</c:v>
                  </c:pt>
                  <c:pt idx="82">
                    <c:v>None</c:v>
                  </c:pt>
                  <c:pt idx="83">
                    <c:v>KBC-HDD-NSS,Metta</c:v>
                  </c:pt>
                  <c:pt idx="84">
                    <c:v>None</c:v>
                  </c:pt>
                  <c:pt idx="85">
                    <c:v>KBC</c:v>
                  </c:pt>
                  <c:pt idx="86">
                    <c:v>KMSS</c:v>
                  </c:pt>
                  <c:pt idx="87">
                    <c:v>KMSS,Metta</c:v>
                  </c:pt>
                  <c:pt idx="88">
                    <c:v>Metta</c:v>
                  </c:pt>
                  <c:pt idx="89">
                    <c:v>Metta, KBC-HDD-NSS</c:v>
                  </c:pt>
                  <c:pt idx="90">
                    <c:v>Metta,KBC-HDD-NSS,KMSS</c:v>
                  </c:pt>
                  <c:pt idx="91">
                    <c:v>Metta,KMSS</c:v>
                  </c:pt>
                  <c:pt idx="92">
                    <c:v>None</c:v>
                  </c:pt>
                  <c:pt idx="93">
                    <c:v>SCI</c:v>
                  </c:pt>
                  <c:pt idx="94">
                    <c:v>SCI, Metta</c:v>
                  </c:pt>
                  <c:pt idx="95">
                    <c:v>SCI,Metta</c:v>
                  </c:pt>
                  <c:pt idx="96">
                    <c:v>SCI,Metta,KBC-HDD-NSS</c:v>
                  </c:pt>
                  <c:pt idx="97">
                    <c:v>KBC-HDD-NSS</c:v>
                  </c:pt>
                  <c:pt idx="98">
                    <c:v>KBC-HDD-NSS,Metta</c:v>
                  </c:pt>
                  <c:pt idx="99">
                    <c:v>KBC-HDD-NSS, Metta</c:v>
                  </c:pt>
                  <c:pt idx="100">
                    <c:v>KMSS</c:v>
                  </c:pt>
                  <c:pt idx="101">
                    <c:v>Metta,KBC-HDD-NSS</c:v>
                  </c:pt>
                  <c:pt idx="102">
                    <c:v>None</c:v>
                  </c:pt>
                  <c:pt idx="103">
                    <c:v>SCI, Metta</c:v>
                  </c:pt>
                  <c:pt idx="104">
                    <c:v>KBC-HDD-NSS,Metta</c:v>
                  </c:pt>
                  <c:pt idx="105">
                    <c:v>KBC</c:v>
                  </c:pt>
                  <c:pt idx="106">
                    <c:v>KMSS</c:v>
                  </c:pt>
                  <c:pt idx="107">
                    <c:v>Metta</c:v>
                  </c:pt>
                  <c:pt idx="108">
                    <c:v>Metta, KBC-HDD-NSS</c:v>
                  </c:pt>
                  <c:pt idx="109">
                    <c:v>None</c:v>
                  </c:pt>
                  <c:pt idx="110">
                    <c:v>KBC-HDD-NSS</c:v>
                  </c:pt>
                  <c:pt idx="111">
                    <c:v>KBC-HDD-NSS,Metta</c:v>
                  </c:pt>
                  <c:pt idx="112">
                    <c:v>KMSS</c:v>
                  </c:pt>
                  <c:pt idx="113">
                    <c:v>SCI</c:v>
                  </c:pt>
                  <c:pt idx="114">
                    <c:v>SCI,KBC-HDD-NSS</c:v>
                  </c:pt>
                  <c:pt idx="115">
                    <c:v>SCI,KMSS</c:v>
                  </c:pt>
                  <c:pt idx="116">
                    <c:v>SCI,Metta</c:v>
                  </c:pt>
                  <c:pt idx="117">
                    <c:v>SCI,Metta,KBC-HDD-NSS</c:v>
                  </c:pt>
                  <c:pt idx="118">
                    <c:v>Metta</c:v>
                  </c:pt>
                  <c:pt idx="119">
                    <c:v>SCI</c:v>
                  </c:pt>
                  <c:pt idx="120">
                    <c:v>SCI,Metta</c:v>
                  </c:pt>
                  <c:pt idx="121">
                    <c:v>SCI,Metta, KBC-HDD-NSS</c:v>
                  </c:pt>
                  <c:pt idx="122">
                    <c:v>SCI,KBC-HDD-NSS,Metta</c:v>
                  </c:pt>
                  <c:pt idx="123">
                    <c:v>Metta</c:v>
                  </c:pt>
                </c:lvl>
                <c:lvl>
                  <c:pt idx="0">
                    <c:v>Bhamo</c:v>
                  </c:pt>
                  <c:pt idx="4">
                    <c:v>Chipwi</c:v>
                  </c:pt>
                  <c:pt idx="7">
                    <c:v>Hpakant</c:v>
                  </c:pt>
                  <c:pt idx="12">
                    <c:v>Mansi</c:v>
                  </c:pt>
                  <c:pt idx="18">
                    <c:v>Mogaung</c:v>
                  </c:pt>
                  <c:pt idx="22">
                    <c:v>Mohnyin</c:v>
                  </c:pt>
                  <c:pt idx="25">
                    <c:v>Momauk</c:v>
                  </c:pt>
                  <c:pt idx="31">
                    <c:v>Myitkyina</c:v>
                  </c:pt>
                  <c:pt idx="35">
                    <c:v>Puta-O</c:v>
                  </c:pt>
                  <c:pt idx="37">
                    <c:v>Shwegu</c:v>
                  </c:pt>
                  <c:pt idx="40">
                    <c:v>Sumprabum</c:v>
                  </c:pt>
                  <c:pt idx="42">
                    <c:v>Tanai</c:v>
                  </c:pt>
                  <c:pt idx="44">
                    <c:v>Waingmaw</c:v>
                  </c:pt>
                  <c:pt idx="49">
                    <c:v>Ann</c:v>
                  </c:pt>
                  <c:pt idx="50">
                    <c:v>Buthidaung</c:v>
                  </c:pt>
                  <c:pt idx="52">
                    <c:v>Kyaukpyu</c:v>
                  </c:pt>
                  <c:pt idx="54">
                    <c:v>Kyauktaw</c:v>
                  </c:pt>
                  <c:pt idx="58">
                    <c:v>Maungdaw</c:v>
                  </c:pt>
                  <c:pt idx="61">
                    <c:v>Minbya</c:v>
                  </c:pt>
                  <c:pt idx="62">
                    <c:v>Mrauk-U</c:v>
                  </c:pt>
                  <c:pt idx="63">
                    <c:v>Myebon</c:v>
                  </c:pt>
                  <c:pt idx="64">
                    <c:v>Pauktaw</c:v>
                  </c:pt>
                  <c:pt idx="67">
                    <c:v>Ponnagyun</c:v>
                  </c:pt>
                  <c:pt idx="68">
                    <c:v>Rathedaung</c:v>
                  </c:pt>
                  <c:pt idx="70">
                    <c:v>Sittwe</c:v>
                  </c:pt>
                  <c:pt idx="80">
                    <c:v>Hseni</c:v>
                  </c:pt>
                  <c:pt idx="84">
                    <c:v>Hsipaw</c:v>
                  </c:pt>
                  <c:pt idx="85">
                    <c:v>Kutkai</c:v>
                  </c:pt>
                  <c:pt idx="100">
                    <c:v>Manton</c:v>
                  </c:pt>
                  <c:pt idx="105">
                    <c:v>Muse</c:v>
                  </c:pt>
                  <c:pt idx="112">
                    <c:v>Namhkan</c:v>
                  </c:pt>
                  <c:pt idx="118">
                    <c:v>Namtu</c:v>
                  </c:pt>
                  <c:pt idx="123">
                    <c:v>Nawnghkio</c:v>
                  </c:pt>
                </c:lvl>
                <c:lvl>
                  <c:pt idx="0">
                    <c:v>Kachin</c:v>
                  </c:pt>
                  <c:pt idx="49">
                    <c:v>Rakhine</c:v>
                  </c:pt>
                  <c:pt idx="80">
                    <c:v>Shan (North)</c:v>
                  </c:pt>
                </c:lvl>
              </c:multiLvlStrCache>
            </c:multiLvlStrRef>
          </c:cat>
          <c:val>
            <c:numRef>
              <c:f>'Quarterly Dashboard'!$D$30:$D$190</c:f>
              <c:numCache>
                <c:formatCode>General</c:formatCode>
                <c:ptCount val="124"/>
                <c:pt idx="0">
                  <c:v>322</c:v>
                </c:pt>
                <c:pt idx="1">
                  <c:v>3834</c:v>
                </c:pt>
                <c:pt idx="2">
                  <c:v>2207</c:v>
                </c:pt>
                <c:pt idx="3">
                  <c:v>22174</c:v>
                </c:pt>
                <c:pt idx="4">
                  <c:v>2469</c:v>
                </c:pt>
                <c:pt idx="5">
                  <c:v>1320</c:v>
                </c:pt>
                <c:pt idx="6">
                  <c:v>3477</c:v>
                </c:pt>
                <c:pt idx="7">
                  <c:v>597</c:v>
                </c:pt>
                <c:pt idx="8">
                  <c:v>2523</c:v>
                </c:pt>
                <c:pt idx="9">
                  <c:v>84</c:v>
                </c:pt>
                <c:pt idx="10">
                  <c:v>454</c:v>
                </c:pt>
                <c:pt idx="11">
                  <c:v>8289</c:v>
                </c:pt>
                <c:pt idx="12">
                  <c:v>5565</c:v>
                </c:pt>
                <c:pt idx="13">
                  <c:v>2688</c:v>
                </c:pt>
                <c:pt idx="14">
                  <c:v>2469</c:v>
                </c:pt>
                <c:pt idx="15">
                  <c:v>3372</c:v>
                </c:pt>
                <c:pt idx="16">
                  <c:v>12309</c:v>
                </c:pt>
                <c:pt idx="17">
                  <c:v>12770</c:v>
                </c:pt>
                <c:pt idx="18">
                  <c:v>1286</c:v>
                </c:pt>
                <c:pt idx="19">
                  <c:v>1589</c:v>
                </c:pt>
                <c:pt idx="20">
                  <c:v>838</c:v>
                </c:pt>
                <c:pt idx="21">
                  <c:v>948</c:v>
                </c:pt>
                <c:pt idx="22">
                  <c:v>587</c:v>
                </c:pt>
                <c:pt idx="23">
                  <c:v>150</c:v>
                </c:pt>
                <c:pt idx="24">
                  <c:v>552</c:v>
                </c:pt>
                <c:pt idx="25">
                  <c:v>1338</c:v>
                </c:pt>
                <c:pt idx="26">
                  <c:v>17391</c:v>
                </c:pt>
                <c:pt idx="27">
                  <c:v>3714</c:v>
                </c:pt>
                <c:pt idx="28">
                  <c:v>16000</c:v>
                </c:pt>
                <c:pt idx="29">
                  <c:v>32123</c:v>
                </c:pt>
                <c:pt idx="30">
                  <c:v>15186</c:v>
                </c:pt>
                <c:pt idx="31">
                  <c:v>20704</c:v>
                </c:pt>
                <c:pt idx="32">
                  <c:v>3090</c:v>
                </c:pt>
                <c:pt idx="33">
                  <c:v>5984</c:v>
                </c:pt>
                <c:pt idx="34">
                  <c:v>1752</c:v>
                </c:pt>
                <c:pt idx="35">
                  <c:v>843</c:v>
                </c:pt>
                <c:pt idx="36">
                  <c:v>393</c:v>
                </c:pt>
                <c:pt idx="37">
                  <c:v>3980</c:v>
                </c:pt>
                <c:pt idx="38">
                  <c:v>1284</c:v>
                </c:pt>
                <c:pt idx="39">
                  <c:v>1691</c:v>
                </c:pt>
                <c:pt idx="40">
                  <c:v>2445</c:v>
                </c:pt>
                <c:pt idx="41">
                  <c:v>96</c:v>
                </c:pt>
                <c:pt idx="42">
                  <c:v>2808</c:v>
                </c:pt>
                <c:pt idx="43">
                  <c:v>1588</c:v>
                </c:pt>
                <c:pt idx="44">
                  <c:v>29548</c:v>
                </c:pt>
                <c:pt idx="45">
                  <c:v>7707</c:v>
                </c:pt>
                <c:pt idx="46">
                  <c:v>21069</c:v>
                </c:pt>
                <c:pt idx="47">
                  <c:v>2128</c:v>
                </c:pt>
                <c:pt idx="48">
                  <c:v>11946</c:v>
                </c:pt>
                <c:pt idx="49">
                  <c:v>44451</c:v>
                </c:pt>
                <c:pt idx="50">
                  <c:v>21999</c:v>
                </c:pt>
                <c:pt idx="51">
                  <c:v>3088</c:v>
                </c:pt>
                <c:pt idx="52">
                  <c:v>633</c:v>
                </c:pt>
                <c:pt idx="53">
                  <c:v>2950</c:v>
                </c:pt>
                <c:pt idx="54">
                  <c:v>65263</c:v>
                </c:pt>
                <c:pt idx="55">
                  <c:v>5428</c:v>
                </c:pt>
                <c:pt idx="56">
                  <c:v>43892</c:v>
                </c:pt>
                <c:pt idx="57">
                  <c:v>919</c:v>
                </c:pt>
                <c:pt idx="58">
                  <c:v>4022</c:v>
                </c:pt>
                <c:pt idx="59">
                  <c:v>23955</c:v>
                </c:pt>
                <c:pt idx="60">
                  <c:v>2410</c:v>
                </c:pt>
                <c:pt idx="61">
                  <c:v>18033</c:v>
                </c:pt>
                <c:pt idx="62">
                  <c:v>8793</c:v>
                </c:pt>
                <c:pt idx="63">
                  <c:v>9156</c:v>
                </c:pt>
                <c:pt idx="64">
                  <c:v>17814</c:v>
                </c:pt>
                <c:pt idx="65">
                  <c:v>29535</c:v>
                </c:pt>
                <c:pt idx="66">
                  <c:v>45116</c:v>
                </c:pt>
                <c:pt idx="67">
                  <c:v>32850</c:v>
                </c:pt>
                <c:pt idx="68">
                  <c:v>27552</c:v>
                </c:pt>
                <c:pt idx="69">
                  <c:v>23770</c:v>
                </c:pt>
                <c:pt idx="70">
                  <c:v>15658</c:v>
                </c:pt>
                <c:pt idx="71">
                  <c:v>4457</c:v>
                </c:pt>
                <c:pt idx="72">
                  <c:v>42924</c:v>
                </c:pt>
                <c:pt idx="73">
                  <c:v>9579</c:v>
                </c:pt>
                <c:pt idx="74">
                  <c:v>18982</c:v>
                </c:pt>
                <c:pt idx="75">
                  <c:v>114071</c:v>
                </c:pt>
                <c:pt idx="76">
                  <c:v>38130</c:v>
                </c:pt>
                <c:pt idx="77">
                  <c:v>130069</c:v>
                </c:pt>
                <c:pt idx="78">
                  <c:v>11900</c:v>
                </c:pt>
                <c:pt idx="79">
                  <c:v>2366</c:v>
                </c:pt>
                <c:pt idx="80">
                  <c:v>173</c:v>
                </c:pt>
                <c:pt idx="81">
                  <c:v>360</c:v>
                </c:pt>
                <c:pt idx="82">
                  <c:v>392</c:v>
                </c:pt>
                <c:pt idx="83">
                  <c:v>439</c:v>
                </c:pt>
                <c:pt idx="84">
                  <c:v>360</c:v>
                </c:pt>
                <c:pt idx="85">
                  <c:v>145</c:v>
                </c:pt>
                <c:pt idx="86">
                  <c:v>111</c:v>
                </c:pt>
                <c:pt idx="87">
                  <c:v>521</c:v>
                </c:pt>
                <c:pt idx="88">
                  <c:v>6706</c:v>
                </c:pt>
                <c:pt idx="89">
                  <c:v>721</c:v>
                </c:pt>
                <c:pt idx="90">
                  <c:v>265</c:v>
                </c:pt>
                <c:pt idx="91">
                  <c:v>111</c:v>
                </c:pt>
                <c:pt idx="92">
                  <c:v>202</c:v>
                </c:pt>
                <c:pt idx="93">
                  <c:v>644</c:v>
                </c:pt>
                <c:pt idx="94">
                  <c:v>810</c:v>
                </c:pt>
                <c:pt idx="95">
                  <c:v>1153</c:v>
                </c:pt>
                <c:pt idx="96">
                  <c:v>156</c:v>
                </c:pt>
                <c:pt idx="97">
                  <c:v>409</c:v>
                </c:pt>
                <c:pt idx="98">
                  <c:v>1141</c:v>
                </c:pt>
                <c:pt idx="99">
                  <c:v>1682</c:v>
                </c:pt>
                <c:pt idx="100">
                  <c:v>513</c:v>
                </c:pt>
                <c:pt idx="101">
                  <c:v>143</c:v>
                </c:pt>
                <c:pt idx="102">
                  <c:v>376</c:v>
                </c:pt>
                <c:pt idx="103">
                  <c:v>300</c:v>
                </c:pt>
                <c:pt idx="104">
                  <c:v>323</c:v>
                </c:pt>
                <c:pt idx="105">
                  <c:v>913</c:v>
                </c:pt>
                <c:pt idx="106">
                  <c:v>342</c:v>
                </c:pt>
                <c:pt idx="107">
                  <c:v>2140</c:v>
                </c:pt>
                <c:pt idx="108">
                  <c:v>207</c:v>
                </c:pt>
                <c:pt idx="109">
                  <c:v>779</c:v>
                </c:pt>
                <c:pt idx="110">
                  <c:v>778</c:v>
                </c:pt>
                <c:pt idx="111">
                  <c:v>414</c:v>
                </c:pt>
                <c:pt idx="112">
                  <c:v>1134</c:v>
                </c:pt>
                <c:pt idx="113">
                  <c:v>359</c:v>
                </c:pt>
                <c:pt idx="114">
                  <c:v>359</c:v>
                </c:pt>
                <c:pt idx="115">
                  <c:v>605</c:v>
                </c:pt>
                <c:pt idx="116">
                  <c:v>3167</c:v>
                </c:pt>
                <c:pt idx="117">
                  <c:v>179</c:v>
                </c:pt>
                <c:pt idx="118">
                  <c:v>683</c:v>
                </c:pt>
                <c:pt idx="119">
                  <c:v>514</c:v>
                </c:pt>
                <c:pt idx="120">
                  <c:v>1117</c:v>
                </c:pt>
                <c:pt idx="121">
                  <c:v>263</c:v>
                </c:pt>
                <c:pt idx="122">
                  <c:v>526</c:v>
                </c:pt>
                <c:pt idx="123">
                  <c:v>88</c:v>
                </c:pt>
              </c:numCache>
            </c:numRef>
          </c:val>
        </c:ser>
        <c:ser>
          <c:idx val="1"/>
          <c:order val="1"/>
          <c:tx>
            <c:strRef>
              <c:f>'Quarterly Dashboard'!$E$29</c:f>
              <c:strCache>
                <c:ptCount val="1"/>
                <c:pt idx="0">
                  <c:v>Number of People adopt basic personal and community hygiene practices</c:v>
                </c:pt>
              </c:strCache>
            </c:strRef>
          </c:tx>
          <c:spPr>
            <a:solidFill>
              <a:schemeClr val="accent6">
                <a:lumMod val="75000"/>
              </a:schemeClr>
            </a:solidFill>
            <a:ln>
              <a:noFill/>
            </a:ln>
            <a:effectLst/>
          </c:spPr>
          <c:invertIfNegative val="0"/>
          <c:cat>
            <c:multiLvlStrRef>
              <c:f>'Quarterly Dashboard'!$A$30:$C$190</c:f>
              <c:multiLvlStrCache>
                <c:ptCount val="124"/>
                <c:lvl>
                  <c:pt idx="0">
                    <c:v>KBC</c:v>
                  </c:pt>
                  <c:pt idx="1">
                    <c:v>Metta</c:v>
                  </c:pt>
                  <c:pt idx="2">
                    <c:v>None</c:v>
                  </c:pt>
                  <c:pt idx="3">
                    <c:v>SI</c:v>
                  </c:pt>
                  <c:pt idx="4">
                    <c:v>KBC</c:v>
                  </c:pt>
                  <c:pt idx="5">
                    <c:v>KMSS</c:v>
                  </c:pt>
                  <c:pt idx="6">
                    <c:v>Shalom</c:v>
                  </c:pt>
                  <c:pt idx="7">
                    <c:v>KBC</c:v>
                  </c:pt>
                  <c:pt idx="8">
                    <c:v>KMSS</c:v>
                  </c:pt>
                  <c:pt idx="9">
                    <c:v>KMSS,KBC</c:v>
                  </c:pt>
                  <c:pt idx="10">
                    <c:v>None</c:v>
                  </c:pt>
                  <c:pt idx="11">
                    <c:v>Shalom</c:v>
                  </c:pt>
                  <c:pt idx="12">
                    <c:v>KBC</c:v>
                  </c:pt>
                  <c:pt idx="13">
                    <c:v>KMSS</c:v>
                  </c:pt>
                  <c:pt idx="14">
                    <c:v>Metta</c:v>
                  </c:pt>
                  <c:pt idx="15">
                    <c:v>None</c:v>
                  </c:pt>
                  <c:pt idx="16">
                    <c:v>SCI</c:v>
                  </c:pt>
                  <c:pt idx="17">
                    <c:v>WPN</c:v>
                  </c:pt>
                  <c:pt idx="18">
                    <c:v>KBC</c:v>
                  </c:pt>
                  <c:pt idx="19">
                    <c:v>KMSS</c:v>
                  </c:pt>
                  <c:pt idx="20">
                    <c:v>None</c:v>
                  </c:pt>
                  <c:pt idx="21">
                    <c:v>KBC,KMSS</c:v>
                  </c:pt>
                  <c:pt idx="22">
                    <c:v>KBC</c:v>
                  </c:pt>
                  <c:pt idx="23">
                    <c:v>KMSS</c:v>
                  </c:pt>
                  <c:pt idx="24">
                    <c:v>None</c:v>
                  </c:pt>
                  <c:pt idx="25">
                    <c:v>KMSS</c:v>
                  </c:pt>
                  <c:pt idx="26">
                    <c:v>Metta</c:v>
                  </c:pt>
                  <c:pt idx="27">
                    <c:v>None</c:v>
                  </c:pt>
                  <c:pt idx="28">
                    <c:v>SI</c:v>
                  </c:pt>
                  <c:pt idx="29">
                    <c:v>SI, KBC</c:v>
                  </c:pt>
                  <c:pt idx="30">
                    <c:v>WPN</c:v>
                  </c:pt>
                  <c:pt idx="31">
                    <c:v>KBC</c:v>
                  </c:pt>
                  <c:pt idx="32">
                    <c:v>KMSS</c:v>
                  </c:pt>
                  <c:pt idx="33">
                    <c:v>None</c:v>
                  </c:pt>
                  <c:pt idx="34">
                    <c:v>Shalom</c:v>
                  </c:pt>
                  <c:pt idx="35">
                    <c:v>KBC</c:v>
                  </c:pt>
                  <c:pt idx="36">
                    <c:v>None</c:v>
                  </c:pt>
                  <c:pt idx="37">
                    <c:v>KBC</c:v>
                  </c:pt>
                  <c:pt idx="38">
                    <c:v>Metta</c:v>
                  </c:pt>
                  <c:pt idx="39">
                    <c:v>None</c:v>
                  </c:pt>
                  <c:pt idx="40">
                    <c:v>KBC</c:v>
                  </c:pt>
                  <c:pt idx="41">
                    <c:v>None</c:v>
                  </c:pt>
                  <c:pt idx="42">
                    <c:v>KMSS</c:v>
                  </c:pt>
                  <c:pt idx="43">
                    <c:v>None</c:v>
                  </c:pt>
                  <c:pt idx="44">
                    <c:v>KBC</c:v>
                  </c:pt>
                  <c:pt idx="45">
                    <c:v>KMSS</c:v>
                  </c:pt>
                  <c:pt idx="46">
                    <c:v>Metta</c:v>
                  </c:pt>
                  <c:pt idx="47">
                    <c:v>None</c:v>
                  </c:pt>
                  <c:pt idx="48">
                    <c:v>Shalom</c:v>
                  </c:pt>
                  <c:pt idx="49">
                    <c:v>Arche Nova</c:v>
                  </c:pt>
                  <c:pt idx="50">
                    <c:v>MHDO</c:v>
                  </c:pt>
                  <c:pt idx="51">
                    <c:v>None</c:v>
                  </c:pt>
                  <c:pt idx="52">
                    <c:v>None</c:v>
                  </c:pt>
                  <c:pt idx="53">
                    <c:v>Oxfam</c:v>
                  </c:pt>
                  <c:pt idx="54">
                    <c:v>CDN</c:v>
                  </c:pt>
                  <c:pt idx="55">
                    <c:v>MA_UK</c:v>
                  </c:pt>
                  <c:pt idx="56">
                    <c:v>None</c:v>
                  </c:pt>
                  <c:pt idx="57">
                    <c:v>CDN, MA_UK</c:v>
                  </c:pt>
                  <c:pt idx="58">
                    <c:v>Malteser</c:v>
                  </c:pt>
                  <c:pt idx="59">
                    <c:v>MHDO</c:v>
                  </c:pt>
                  <c:pt idx="60">
                    <c:v>None</c:v>
                  </c:pt>
                  <c:pt idx="61">
                    <c:v>None</c:v>
                  </c:pt>
                  <c:pt idx="62">
                    <c:v>None</c:v>
                  </c:pt>
                  <c:pt idx="63">
                    <c:v>RI</c:v>
                  </c:pt>
                  <c:pt idx="64">
                    <c:v>DRC</c:v>
                  </c:pt>
                  <c:pt idx="65">
                    <c:v>SCI</c:v>
                  </c:pt>
                  <c:pt idx="66">
                    <c:v>SI</c:v>
                  </c:pt>
                  <c:pt idx="67">
                    <c:v>None</c:v>
                  </c:pt>
                  <c:pt idx="68">
                    <c:v>MHDO</c:v>
                  </c:pt>
                  <c:pt idx="69">
                    <c:v>None</c:v>
                  </c:pt>
                  <c:pt idx="70">
                    <c:v>CDN</c:v>
                  </c:pt>
                  <c:pt idx="71">
                    <c:v>CDN,(MA_UK)</c:v>
                  </c:pt>
                  <c:pt idx="72">
                    <c:v>DRC</c:v>
                  </c:pt>
                  <c:pt idx="73">
                    <c:v>MA_UK</c:v>
                  </c:pt>
                  <c:pt idx="74">
                    <c:v>None</c:v>
                  </c:pt>
                  <c:pt idx="75">
                    <c:v>Oxfam</c:v>
                  </c:pt>
                  <c:pt idx="76">
                    <c:v>SCI</c:v>
                  </c:pt>
                  <c:pt idx="77">
                    <c:v>SI</c:v>
                  </c:pt>
                  <c:pt idx="78">
                    <c:v>Oxfam,MA_UK</c:v>
                  </c:pt>
                  <c:pt idx="79">
                    <c:v>SCI,MA_UK</c:v>
                  </c:pt>
                  <c:pt idx="80">
                    <c:v>KBC</c:v>
                  </c:pt>
                  <c:pt idx="81">
                    <c:v>Metta</c:v>
                  </c:pt>
                  <c:pt idx="82">
                    <c:v>None</c:v>
                  </c:pt>
                  <c:pt idx="83">
                    <c:v>KBC-HDD-NSS,Metta</c:v>
                  </c:pt>
                  <c:pt idx="84">
                    <c:v>None</c:v>
                  </c:pt>
                  <c:pt idx="85">
                    <c:v>KBC</c:v>
                  </c:pt>
                  <c:pt idx="86">
                    <c:v>KMSS</c:v>
                  </c:pt>
                  <c:pt idx="87">
                    <c:v>KMSS,Metta</c:v>
                  </c:pt>
                  <c:pt idx="88">
                    <c:v>Metta</c:v>
                  </c:pt>
                  <c:pt idx="89">
                    <c:v>Metta, KBC-HDD-NSS</c:v>
                  </c:pt>
                  <c:pt idx="90">
                    <c:v>Metta,KBC-HDD-NSS,KMSS</c:v>
                  </c:pt>
                  <c:pt idx="91">
                    <c:v>Metta,KMSS</c:v>
                  </c:pt>
                  <c:pt idx="92">
                    <c:v>None</c:v>
                  </c:pt>
                  <c:pt idx="93">
                    <c:v>SCI</c:v>
                  </c:pt>
                  <c:pt idx="94">
                    <c:v>SCI, Metta</c:v>
                  </c:pt>
                  <c:pt idx="95">
                    <c:v>SCI,Metta</c:v>
                  </c:pt>
                  <c:pt idx="96">
                    <c:v>SCI,Metta,KBC-HDD-NSS</c:v>
                  </c:pt>
                  <c:pt idx="97">
                    <c:v>KBC-HDD-NSS</c:v>
                  </c:pt>
                  <c:pt idx="98">
                    <c:v>KBC-HDD-NSS,Metta</c:v>
                  </c:pt>
                  <c:pt idx="99">
                    <c:v>KBC-HDD-NSS, Metta</c:v>
                  </c:pt>
                  <c:pt idx="100">
                    <c:v>KMSS</c:v>
                  </c:pt>
                  <c:pt idx="101">
                    <c:v>Metta,KBC-HDD-NSS</c:v>
                  </c:pt>
                  <c:pt idx="102">
                    <c:v>None</c:v>
                  </c:pt>
                  <c:pt idx="103">
                    <c:v>SCI, Metta</c:v>
                  </c:pt>
                  <c:pt idx="104">
                    <c:v>KBC-HDD-NSS,Metta</c:v>
                  </c:pt>
                  <c:pt idx="105">
                    <c:v>KBC</c:v>
                  </c:pt>
                  <c:pt idx="106">
                    <c:v>KMSS</c:v>
                  </c:pt>
                  <c:pt idx="107">
                    <c:v>Metta</c:v>
                  </c:pt>
                  <c:pt idx="108">
                    <c:v>Metta, KBC-HDD-NSS</c:v>
                  </c:pt>
                  <c:pt idx="109">
                    <c:v>None</c:v>
                  </c:pt>
                  <c:pt idx="110">
                    <c:v>KBC-HDD-NSS</c:v>
                  </c:pt>
                  <c:pt idx="111">
                    <c:v>KBC-HDD-NSS,Metta</c:v>
                  </c:pt>
                  <c:pt idx="112">
                    <c:v>KMSS</c:v>
                  </c:pt>
                  <c:pt idx="113">
                    <c:v>SCI</c:v>
                  </c:pt>
                  <c:pt idx="114">
                    <c:v>SCI,KBC-HDD-NSS</c:v>
                  </c:pt>
                  <c:pt idx="115">
                    <c:v>SCI,KMSS</c:v>
                  </c:pt>
                  <c:pt idx="116">
                    <c:v>SCI,Metta</c:v>
                  </c:pt>
                  <c:pt idx="117">
                    <c:v>SCI,Metta,KBC-HDD-NSS</c:v>
                  </c:pt>
                  <c:pt idx="118">
                    <c:v>Metta</c:v>
                  </c:pt>
                  <c:pt idx="119">
                    <c:v>SCI</c:v>
                  </c:pt>
                  <c:pt idx="120">
                    <c:v>SCI,Metta</c:v>
                  </c:pt>
                  <c:pt idx="121">
                    <c:v>SCI,Metta, KBC-HDD-NSS</c:v>
                  </c:pt>
                  <c:pt idx="122">
                    <c:v>SCI,KBC-HDD-NSS,Metta</c:v>
                  </c:pt>
                  <c:pt idx="123">
                    <c:v>Metta</c:v>
                  </c:pt>
                </c:lvl>
                <c:lvl>
                  <c:pt idx="0">
                    <c:v>Bhamo</c:v>
                  </c:pt>
                  <c:pt idx="4">
                    <c:v>Chipwi</c:v>
                  </c:pt>
                  <c:pt idx="7">
                    <c:v>Hpakant</c:v>
                  </c:pt>
                  <c:pt idx="12">
                    <c:v>Mansi</c:v>
                  </c:pt>
                  <c:pt idx="18">
                    <c:v>Mogaung</c:v>
                  </c:pt>
                  <c:pt idx="22">
                    <c:v>Mohnyin</c:v>
                  </c:pt>
                  <c:pt idx="25">
                    <c:v>Momauk</c:v>
                  </c:pt>
                  <c:pt idx="31">
                    <c:v>Myitkyina</c:v>
                  </c:pt>
                  <c:pt idx="35">
                    <c:v>Puta-O</c:v>
                  </c:pt>
                  <c:pt idx="37">
                    <c:v>Shwegu</c:v>
                  </c:pt>
                  <c:pt idx="40">
                    <c:v>Sumprabum</c:v>
                  </c:pt>
                  <c:pt idx="42">
                    <c:v>Tanai</c:v>
                  </c:pt>
                  <c:pt idx="44">
                    <c:v>Waingmaw</c:v>
                  </c:pt>
                  <c:pt idx="49">
                    <c:v>Ann</c:v>
                  </c:pt>
                  <c:pt idx="50">
                    <c:v>Buthidaung</c:v>
                  </c:pt>
                  <c:pt idx="52">
                    <c:v>Kyaukpyu</c:v>
                  </c:pt>
                  <c:pt idx="54">
                    <c:v>Kyauktaw</c:v>
                  </c:pt>
                  <c:pt idx="58">
                    <c:v>Maungdaw</c:v>
                  </c:pt>
                  <c:pt idx="61">
                    <c:v>Minbya</c:v>
                  </c:pt>
                  <c:pt idx="62">
                    <c:v>Mrauk-U</c:v>
                  </c:pt>
                  <c:pt idx="63">
                    <c:v>Myebon</c:v>
                  </c:pt>
                  <c:pt idx="64">
                    <c:v>Pauktaw</c:v>
                  </c:pt>
                  <c:pt idx="67">
                    <c:v>Ponnagyun</c:v>
                  </c:pt>
                  <c:pt idx="68">
                    <c:v>Rathedaung</c:v>
                  </c:pt>
                  <c:pt idx="70">
                    <c:v>Sittwe</c:v>
                  </c:pt>
                  <c:pt idx="80">
                    <c:v>Hseni</c:v>
                  </c:pt>
                  <c:pt idx="84">
                    <c:v>Hsipaw</c:v>
                  </c:pt>
                  <c:pt idx="85">
                    <c:v>Kutkai</c:v>
                  </c:pt>
                  <c:pt idx="100">
                    <c:v>Manton</c:v>
                  </c:pt>
                  <c:pt idx="105">
                    <c:v>Muse</c:v>
                  </c:pt>
                  <c:pt idx="112">
                    <c:v>Namhkan</c:v>
                  </c:pt>
                  <c:pt idx="118">
                    <c:v>Namtu</c:v>
                  </c:pt>
                  <c:pt idx="123">
                    <c:v>Nawnghkio</c:v>
                  </c:pt>
                </c:lvl>
                <c:lvl>
                  <c:pt idx="0">
                    <c:v>Kachin</c:v>
                  </c:pt>
                  <c:pt idx="49">
                    <c:v>Rakhine</c:v>
                  </c:pt>
                  <c:pt idx="80">
                    <c:v>Shan (North)</c:v>
                  </c:pt>
                </c:lvl>
              </c:multiLvlStrCache>
            </c:multiLvlStrRef>
          </c:cat>
          <c:val>
            <c:numRef>
              <c:f>'Quarterly Dashboard'!$E$30:$E$190</c:f>
              <c:numCache>
                <c:formatCode>General</c:formatCode>
                <c:ptCount val="124"/>
                <c:pt idx="0">
                  <c:v>0</c:v>
                </c:pt>
                <c:pt idx="1">
                  <c:v>3834</c:v>
                </c:pt>
                <c:pt idx="2">
                  <c:v>0</c:v>
                </c:pt>
                <c:pt idx="3">
                  <c:v>1593</c:v>
                </c:pt>
                <c:pt idx="4">
                  <c:v>0</c:v>
                </c:pt>
                <c:pt idx="5">
                  <c:v>0</c:v>
                </c:pt>
                <c:pt idx="6">
                  <c:v>0</c:v>
                </c:pt>
                <c:pt idx="7">
                  <c:v>0</c:v>
                </c:pt>
                <c:pt idx="8">
                  <c:v>0</c:v>
                </c:pt>
                <c:pt idx="9">
                  <c:v>0</c:v>
                </c:pt>
                <c:pt idx="10">
                  <c:v>0</c:v>
                </c:pt>
                <c:pt idx="11">
                  <c:v>0</c:v>
                </c:pt>
                <c:pt idx="12">
                  <c:v>0</c:v>
                </c:pt>
                <c:pt idx="13">
                  <c:v>0</c:v>
                </c:pt>
                <c:pt idx="14">
                  <c:v>2469</c:v>
                </c:pt>
                <c:pt idx="15">
                  <c:v>0</c:v>
                </c:pt>
                <c:pt idx="16">
                  <c:v>2101</c:v>
                </c:pt>
                <c:pt idx="17">
                  <c:v>0</c:v>
                </c:pt>
                <c:pt idx="18">
                  <c:v>0</c:v>
                </c:pt>
                <c:pt idx="19">
                  <c:v>0</c:v>
                </c:pt>
                <c:pt idx="20">
                  <c:v>0</c:v>
                </c:pt>
                <c:pt idx="21">
                  <c:v>0</c:v>
                </c:pt>
                <c:pt idx="22">
                  <c:v>0</c:v>
                </c:pt>
                <c:pt idx="23">
                  <c:v>0</c:v>
                </c:pt>
                <c:pt idx="24">
                  <c:v>0</c:v>
                </c:pt>
                <c:pt idx="25">
                  <c:v>0</c:v>
                </c:pt>
                <c:pt idx="26">
                  <c:v>7509</c:v>
                </c:pt>
                <c:pt idx="27">
                  <c:v>0</c:v>
                </c:pt>
                <c:pt idx="28">
                  <c:v>2310</c:v>
                </c:pt>
                <c:pt idx="29">
                  <c:v>0</c:v>
                </c:pt>
                <c:pt idx="30">
                  <c:v>0</c:v>
                </c:pt>
                <c:pt idx="31">
                  <c:v>0</c:v>
                </c:pt>
                <c:pt idx="32">
                  <c:v>0</c:v>
                </c:pt>
                <c:pt idx="33">
                  <c:v>0</c:v>
                </c:pt>
                <c:pt idx="34">
                  <c:v>0</c:v>
                </c:pt>
                <c:pt idx="35">
                  <c:v>0</c:v>
                </c:pt>
                <c:pt idx="36">
                  <c:v>0</c:v>
                </c:pt>
                <c:pt idx="37">
                  <c:v>0</c:v>
                </c:pt>
                <c:pt idx="38">
                  <c:v>1284</c:v>
                </c:pt>
                <c:pt idx="39">
                  <c:v>0</c:v>
                </c:pt>
                <c:pt idx="40">
                  <c:v>0</c:v>
                </c:pt>
                <c:pt idx="41">
                  <c:v>0</c:v>
                </c:pt>
                <c:pt idx="42">
                  <c:v>0</c:v>
                </c:pt>
                <c:pt idx="43">
                  <c:v>0</c:v>
                </c:pt>
                <c:pt idx="44">
                  <c:v>0</c:v>
                </c:pt>
                <c:pt idx="45">
                  <c:v>0</c:v>
                </c:pt>
                <c:pt idx="46">
                  <c:v>3764</c:v>
                </c:pt>
                <c:pt idx="47">
                  <c:v>0</c:v>
                </c:pt>
                <c:pt idx="48">
                  <c:v>0</c:v>
                </c:pt>
                <c:pt idx="49">
                  <c:v>0</c:v>
                </c:pt>
                <c:pt idx="50">
                  <c:v>13854</c:v>
                </c:pt>
                <c:pt idx="51">
                  <c:v>0</c:v>
                </c:pt>
                <c:pt idx="52">
                  <c:v>0</c:v>
                </c:pt>
                <c:pt idx="53">
                  <c:v>981</c:v>
                </c:pt>
                <c:pt idx="54">
                  <c:v>0</c:v>
                </c:pt>
                <c:pt idx="55">
                  <c:v>0</c:v>
                </c:pt>
                <c:pt idx="56">
                  <c:v>0</c:v>
                </c:pt>
                <c:pt idx="57">
                  <c:v>0</c:v>
                </c:pt>
                <c:pt idx="58">
                  <c:v>326</c:v>
                </c:pt>
                <c:pt idx="59">
                  <c:v>12490</c:v>
                </c:pt>
                <c:pt idx="60">
                  <c:v>0</c:v>
                </c:pt>
                <c:pt idx="61">
                  <c:v>0</c:v>
                </c:pt>
                <c:pt idx="62">
                  <c:v>0</c:v>
                </c:pt>
                <c:pt idx="63">
                  <c:v>6104</c:v>
                </c:pt>
                <c:pt idx="64">
                  <c:v>17814</c:v>
                </c:pt>
                <c:pt idx="65">
                  <c:v>0</c:v>
                </c:pt>
                <c:pt idx="66">
                  <c:v>26680</c:v>
                </c:pt>
                <c:pt idx="67">
                  <c:v>0</c:v>
                </c:pt>
                <c:pt idx="68">
                  <c:v>0</c:v>
                </c:pt>
                <c:pt idx="69">
                  <c:v>0</c:v>
                </c:pt>
                <c:pt idx="70">
                  <c:v>14296</c:v>
                </c:pt>
                <c:pt idx="71">
                  <c:v>4457</c:v>
                </c:pt>
                <c:pt idx="72">
                  <c:v>42924</c:v>
                </c:pt>
                <c:pt idx="73">
                  <c:v>0</c:v>
                </c:pt>
                <c:pt idx="74">
                  <c:v>0</c:v>
                </c:pt>
                <c:pt idx="75">
                  <c:v>96016</c:v>
                </c:pt>
                <c:pt idx="76">
                  <c:v>0</c:v>
                </c:pt>
                <c:pt idx="77">
                  <c:v>55651</c:v>
                </c:pt>
                <c:pt idx="78">
                  <c:v>11900</c:v>
                </c:pt>
                <c:pt idx="79">
                  <c:v>0</c:v>
                </c:pt>
                <c:pt idx="80">
                  <c:v>0</c:v>
                </c:pt>
                <c:pt idx="81">
                  <c:v>0</c:v>
                </c:pt>
                <c:pt idx="82">
                  <c:v>0</c:v>
                </c:pt>
                <c:pt idx="83">
                  <c:v>0</c:v>
                </c:pt>
                <c:pt idx="84">
                  <c:v>0</c:v>
                </c:pt>
                <c:pt idx="85">
                  <c:v>0</c:v>
                </c:pt>
                <c:pt idx="86">
                  <c:v>0</c:v>
                </c:pt>
                <c:pt idx="87">
                  <c:v>245</c:v>
                </c:pt>
                <c:pt idx="88">
                  <c:v>0</c:v>
                </c:pt>
                <c:pt idx="89">
                  <c:v>0</c:v>
                </c:pt>
                <c:pt idx="90">
                  <c:v>0</c:v>
                </c:pt>
                <c:pt idx="91">
                  <c:v>0</c:v>
                </c:pt>
                <c:pt idx="92">
                  <c:v>0</c:v>
                </c:pt>
                <c:pt idx="93">
                  <c:v>164</c:v>
                </c:pt>
                <c:pt idx="94">
                  <c:v>0</c:v>
                </c:pt>
                <c:pt idx="95">
                  <c:v>141</c:v>
                </c:pt>
                <c:pt idx="96">
                  <c:v>0</c:v>
                </c:pt>
                <c:pt idx="97">
                  <c:v>0</c:v>
                </c:pt>
                <c:pt idx="98">
                  <c:v>0</c:v>
                </c:pt>
                <c:pt idx="99">
                  <c:v>0</c:v>
                </c:pt>
                <c:pt idx="100">
                  <c:v>342</c:v>
                </c:pt>
                <c:pt idx="101">
                  <c:v>0</c:v>
                </c:pt>
                <c:pt idx="102">
                  <c:v>0</c:v>
                </c:pt>
                <c:pt idx="103">
                  <c:v>0</c:v>
                </c:pt>
                <c:pt idx="104">
                  <c:v>0</c:v>
                </c:pt>
                <c:pt idx="105">
                  <c:v>0</c:v>
                </c:pt>
                <c:pt idx="106">
                  <c:v>164</c:v>
                </c:pt>
                <c:pt idx="107">
                  <c:v>0</c:v>
                </c:pt>
                <c:pt idx="108">
                  <c:v>0</c:v>
                </c:pt>
                <c:pt idx="109">
                  <c:v>0</c:v>
                </c:pt>
                <c:pt idx="110">
                  <c:v>0</c:v>
                </c:pt>
                <c:pt idx="111">
                  <c:v>0</c:v>
                </c:pt>
                <c:pt idx="112">
                  <c:v>917</c:v>
                </c:pt>
                <c:pt idx="113">
                  <c:v>359</c:v>
                </c:pt>
                <c:pt idx="114">
                  <c:v>359</c:v>
                </c:pt>
                <c:pt idx="115">
                  <c:v>391</c:v>
                </c:pt>
                <c:pt idx="116">
                  <c:v>2281</c:v>
                </c:pt>
                <c:pt idx="117">
                  <c:v>179</c:v>
                </c:pt>
                <c:pt idx="118">
                  <c:v>0</c:v>
                </c:pt>
                <c:pt idx="119">
                  <c:v>514</c:v>
                </c:pt>
                <c:pt idx="120">
                  <c:v>288</c:v>
                </c:pt>
                <c:pt idx="121">
                  <c:v>0</c:v>
                </c:pt>
                <c:pt idx="122">
                  <c:v>0</c:v>
                </c:pt>
                <c:pt idx="123">
                  <c:v>0</c:v>
                </c:pt>
              </c:numCache>
            </c:numRef>
          </c:val>
        </c:ser>
        <c:ser>
          <c:idx val="2"/>
          <c:order val="2"/>
          <c:tx>
            <c:strRef>
              <c:f>'Quarterly Dashboard'!$F$29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cat>
            <c:multiLvlStrRef>
              <c:f>'Quarterly Dashboard'!$A$30:$C$190</c:f>
              <c:multiLvlStrCache>
                <c:ptCount val="124"/>
                <c:lvl>
                  <c:pt idx="0">
                    <c:v>KBC</c:v>
                  </c:pt>
                  <c:pt idx="1">
                    <c:v>Metta</c:v>
                  </c:pt>
                  <c:pt idx="2">
                    <c:v>None</c:v>
                  </c:pt>
                  <c:pt idx="3">
                    <c:v>SI</c:v>
                  </c:pt>
                  <c:pt idx="4">
                    <c:v>KBC</c:v>
                  </c:pt>
                  <c:pt idx="5">
                    <c:v>KMSS</c:v>
                  </c:pt>
                  <c:pt idx="6">
                    <c:v>Shalom</c:v>
                  </c:pt>
                  <c:pt idx="7">
                    <c:v>KBC</c:v>
                  </c:pt>
                  <c:pt idx="8">
                    <c:v>KMSS</c:v>
                  </c:pt>
                  <c:pt idx="9">
                    <c:v>KMSS,KBC</c:v>
                  </c:pt>
                  <c:pt idx="10">
                    <c:v>None</c:v>
                  </c:pt>
                  <c:pt idx="11">
                    <c:v>Shalom</c:v>
                  </c:pt>
                  <c:pt idx="12">
                    <c:v>KBC</c:v>
                  </c:pt>
                  <c:pt idx="13">
                    <c:v>KMSS</c:v>
                  </c:pt>
                  <c:pt idx="14">
                    <c:v>Metta</c:v>
                  </c:pt>
                  <c:pt idx="15">
                    <c:v>None</c:v>
                  </c:pt>
                  <c:pt idx="16">
                    <c:v>SCI</c:v>
                  </c:pt>
                  <c:pt idx="17">
                    <c:v>WPN</c:v>
                  </c:pt>
                  <c:pt idx="18">
                    <c:v>KBC</c:v>
                  </c:pt>
                  <c:pt idx="19">
                    <c:v>KMSS</c:v>
                  </c:pt>
                  <c:pt idx="20">
                    <c:v>None</c:v>
                  </c:pt>
                  <c:pt idx="21">
                    <c:v>KBC,KMSS</c:v>
                  </c:pt>
                  <c:pt idx="22">
                    <c:v>KBC</c:v>
                  </c:pt>
                  <c:pt idx="23">
                    <c:v>KMSS</c:v>
                  </c:pt>
                  <c:pt idx="24">
                    <c:v>None</c:v>
                  </c:pt>
                  <c:pt idx="25">
                    <c:v>KMSS</c:v>
                  </c:pt>
                  <c:pt idx="26">
                    <c:v>Metta</c:v>
                  </c:pt>
                  <c:pt idx="27">
                    <c:v>None</c:v>
                  </c:pt>
                  <c:pt idx="28">
                    <c:v>SI</c:v>
                  </c:pt>
                  <c:pt idx="29">
                    <c:v>SI, KBC</c:v>
                  </c:pt>
                  <c:pt idx="30">
                    <c:v>WPN</c:v>
                  </c:pt>
                  <c:pt idx="31">
                    <c:v>KBC</c:v>
                  </c:pt>
                  <c:pt idx="32">
                    <c:v>KMSS</c:v>
                  </c:pt>
                  <c:pt idx="33">
                    <c:v>None</c:v>
                  </c:pt>
                  <c:pt idx="34">
                    <c:v>Shalom</c:v>
                  </c:pt>
                  <c:pt idx="35">
                    <c:v>KBC</c:v>
                  </c:pt>
                  <c:pt idx="36">
                    <c:v>None</c:v>
                  </c:pt>
                  <c:pt idx="37">
                    <c:v>KBC</c:v>
                  </c:pt>
                  <c:pt idx="38">
                    <c:v>Metta</c:v>
                  </c:pt>
                  <c:pt idx="39">
                    <c:v>None</c:v>
                  </c:pt>
                  <c:pt idx="40">
                    <c:v>KBC</c:v>
                  </c:pt>
                  <c:pt idx="41">
                    <c:v>None</c:v>
                  </c:pt>
                  <c:pt idx="42">
                    <c:v>KMSS</c:v>
                  </c:pt>
                  <c:pt idx="43">
                    <c:v>None</c:v>
                  </c:pt>
                  <c:pt idx="44">
                    <c:v>KBC</c:v>
                  </c:pt>
                  <c:pt idx="45">
                    <c:v>KMSS</c:v>
                  </c:pt>
                  <c:pt idx="46">
                    <c:v>Metta</c:v>
                  </c:pt>
                  <c:pt idx="47">
                    <c:v>None</c:v>
                  </c:pt>
                  <c:pt idx="48">
                    <c:v>Shalom</c:v>
                  </c:pt>
                  <c:pt idx="49">
                    <c:v>Arche Nova</c:v>
                  </c:pt>
                  <c:pt idx="50">
                    <c:v>MHDO</c:v>
                  </c:pt>
                  <c:pt idx="51">
                    <c:v>None</c:v>
                  </c:pt>
                  <c:pt idx="52">
                    <c:v>None</c:v>
                  </c:pt>
                  <c:pt idx="53">
                    <c:v>Oxfam</c:v>
                  </c:pt>
                  <c:pt idx="54">
                    <c:v>CDN</c:v>
                  </c:pt>
                  <c:pt idx="55">
                    <c:v>MA_UK</c:v>
                  </c:pt>
                  <c:pt idx="56">
                    <c:v>None</c:v>
                  </c:pt>
                  <c:pt idx="57">
                    <c:v>CDN, MA_UK</c:v>
                  </c:pt>
                  <c:pt idx="58">
                    <c:v>Malteser</c:v>
                  </c:pt>
                  <c:pt idx="59">
                    <c:v>MHDO</c:v>
                  </c:pt>
                  <c:pt idx="60">
                    <c:v>None</c:v>
                  </c:pt>
                  <c:pt idx="61">
                    <c:v>None</c:v>
                  </c:pt>
                  <c:pt idx="62">
                    <c:v>None</c:v>
                  </c:pt>
                  <c:pt idx="63">
                    <c:v>RI</c:v>
                  </c:pt>
                  <c:pt idx="64">
                    <c:v>DRC</c:v>
                  </c:pt>
                  <c:pt idx="65">
                    <c:v>SCI</c:v>
                  </c:pt>
                  <c:pt idx="66">
                    <c:v>SI</c:v>
                  </c:pt>
                  <c:pt idx="67">
                    <c:v>None</c:v>
                  </c:pt>
                  <c:pt idx="68">
                    <c:v>MHDO</c:v>
                  </c:pt>
                  <c:pt idx="69">
                    <c:v>None</c:v>
                  </c:pt>
                  <c:pt idx="70">
                    <c:v>CDN</c:v>
                  </c:pt>
                  <c:pt idx="71">
                    <c:v>CDN,(MA_UK)</c:v>
                  </c:pt>
                  <c:pt idx="72">
                    <c:v>DRC</c:v>
                  </c:pt>
                  <c:pt idx="73">
                    <c:v>MA_UK</c:v>
                  </c:pt>
                  <c:pt idx="74">
                    <c:v>None</c:v>
                  </c:pt>
                  <c:pt idx="75">
                    <c:v>Oxfam</c:v>
                  </c:pt>
                  <c:pt idx="76">
                    <c:v>SCI</c:v>
                  </c:pt>
                  <c:pt idx="77">
                    <c:v>SI</c:v>
                  </c:pt>
                  <c:pt idx="78">
                    <c:v>Oxfam,MA_UK</c:v>
                  </c:pt>
                  <c:pt idx="79">
                    <c:v>SCI,MA_UK</c:v>
                  </c:pt>
                  <c:pt idx="80">
                    <c:v>KBC</c:v>
                  </c:pt>
                  <c:pt idx="81">
                    <c:v>Metta</c:v>
                  </c:pt>
                  <c:pt idx="82">
                    <c:v>None</c:v>
                  </c:pt>
                  <c:pt idx="83">
                    <c:v>KBC-HDD-NSS,Metta</c:v>
                  </c:pt>
                  <c:pt idx="84">
                    <c:v>None</c:v>
                  </c:pt>
                  <c:pt idx="85">
                    <c:v>KBC</c:v>
                  </c:pt>
                  <c:pt idx="86">
                    <c:v>KMSS</c:v>
                  </c:pt>
                  <c:pt idx="87">
                    <c:v>KMSS,Metta</c:v>
                  </c:pt>
                  <c:pt idx="88">
                    <c:v>Metta</c:v>
                  </c:pt>
                  <c:pt idx="89">
                    <c:v>Metta, KBC-HDD-NSS</c:v>
                  </c:pt>
                  <c:pt idx="90">
                    <c:v>Metta,KBC-HDD-NSS,KMSS</c:v>
                  </c:pt>
                  <c:pt idx="91">
                    <c:v>Metta,KMSS</c:v>
                  </c:pt>
                  <c:pt idx="92">
                    <c:v>None</c:v>
                  </c:pt>
                  <c:pt idx="93">
                    <c:v>SCI</c:v>
                  </c:pt>
                  <c:pt idx="94">
                    <c:v>SCI, Metta</c:v>
                  </c:pt>
                  <c:pt idx="95">
                    <c:v>SCI,Metta</c:v>
                  </c:pt>
                  <c:pt idx="96">
                    <c:v>SCI,Metta,KBC-HDD-NSS</c:v>
                  </c:pt>
                  <c:pt idx="97">
                    <c:v>KBC-HDD-NSS</c:v>
                  </c:pt>
                  <c:pt idx="98">
                    <c:v>KBC-HDD-NSS,Metta</c:v>
                  </c:pt>
                  <c:pt idx="99">
                    <c:v>KBC-HDD-NSS, Metta</c:v>
                  </c:pt>
                  <c:pt idx="100">
                    <c:v>KMSS</c:v>
                  </c:pt>
                  <c:pt idx="101">
                    <c:v>Metta,KBC-HDD-NSS</c:v>
                  </c:pt>
                  <c:pt idx="102">
                    <c:v>None</c:v>
                  </c:pt>
                  <c:pt idx="103">
                    <c:v>SCI, Metta</c:v>
                  </c:pt>
                  <c:pt idx="104">
                    <c:v>KBC-HDD-NSS,Metta</c:v>
                  </c:pt>
                  <c:pt idx="105">
                    <c:v>KBC</c:v>
                  </c:pt>
                  <c:pt idx="106">
                    <c:v>KMSS</c:v>
                  </c:pt>
                  <c:pt idx="107">
                    <c:v>Metta</c:v>
                  </c:pt>
                  <c:pt idx="108">
                    <c:v>Metta, KBC-HDD-NSS</c:v>
                  </c:pt>
                  <c:pt idx="109">
                    <c:v>None</c:v>
                  </c:pt>
                  <c:pt idx="110">
                    <c:v>KBC-HDD-NSS</c:v>
                  </c:pt>
                  <c:pt idx="111">
                    <c:v>KBC-HDD-NSS,Metta</c:v>
                  </c:pt>
                  <c:pt idx="112">
                    <c:v>KMSS</c:v>
                  </c:pt>
                  <c:pt idx="113">
                    <c:v>SCI</c:v>
                  </c:pt>
                  <c:pt idx="114">
                    <c:v>SCI,KBC-HDD-NSS</c:v>
                  </c:pt>
                  <c:pt idx="115">
                    <c:v>SCI,KMSS</c:v>
                  </c:pt>
                  <c:pt idx="116">
                    <c:v>SCI,Metta</c:v>
                  </c:pt>
                  <c:pt idx="117">
                    <c:v>SCI,Metta,KBC-HDD-NSS</c:v>
                  </c:pt>
                  <c:pt idx="118">
                    <c:v>Metta</c:v>
                  </c:pt>
                  <c:pt idx="119">
                    <c:v>SCI</c:v>
                  </c:pt>
                  <c:pt idx="120">
                    <c:v>SCI,Metta</c:v>
                  </c:pt>
                  <c:pt idx="121">
                    <c:v>SCI,Metta, KBC-HDD-NSS</c:v>
                  </c:pt>
                  <c:pt idx="122">
                    <c:v>SCI,KBC-HDD-NSS,Metta</c:v>
                  </c:pt>
                  <c:pt idx="123">
                    <c:v>Metta</c:v>
                  </c:pt>
                </c:lvl>
                <c:lvl>
                  <c:pt idx="0">
                    <c:v>Bhamo</c:v>
                  </c:pt>
                  <c:pt idx="4">
                    <c:v>Chipwi</c:v>
                  </c:pt>
                  <c:pt idx="7">
                    <c:v>Hpakant</c:v>
                  </c:pt>
                  <c:pt idx="12">
                    <c:v>Mansi</c:v>
                  </c:pt>
                  <c:pt idx="18">
                    <c:v>Mogaung</c:v>
                  </c:pt>
                  <c:pt idx="22">
                    <c:v>Mohnyin</c:v>
                  </c:pt>
                  <c:pt idx="25">
                    <c:v>Momauk</c:v>
                  </c:pt>
                  <c:pt idx="31">
                    <c:v>Myitkyina</c:v>
                  </c:pt>
                  <c:pt idx="35">
                    <c:v>Puta-O</c:v>
                  </c:pt>
                  <c:pt idx="37">
                    <c:v>Shwegu</c:v>
                  </c:pt>
                  <c:pt idx="40">
                    <c:v>Sumprabum</c:v>
                  </c:pt>
                  <c:pt idx="42">
                    <c:v>Tanai</c:v>
                  </c:pt>
                  <c:pt idx="44">
                    <c:v>Waingmaw</c:v>
                  </c:pt>
                  <c:pt idx="49">
                    <c:v>Ann</c:v>
                  </c:pt>
                  <c:pt idx="50">
                    <c:v>Buthidaung</c:v>
                  </c:pt>
                  <c:pt idx="52">
                    <c:v>Kyaukpyu</c:v>
                  </c:pt>
                  <c:pt idx="54">
                    <c:v>Kyauktaw</c:v>
                  </c:pt>
                  <c:pt idx="58">
                    <c:v>Maungdaw</c:v>
                  </c:pt>
                  <c:pt idx="61">
                    <c:v>Minbya</c:v>
                  </c:pt>
                  <c:pt idx="62">
                    <c:v>Mrauk-U</c:v>
                  </c:pt>
                  <c:pt idx="63">
                    <c:v>Myebon</c:v>
                  </c:pt>
                  <c:pt idx="64">
                    <c:v>Pauktaw</c:v>
                  </c:pt>
                  <c:pt idx="67">
                    <c:v>Ponnagyun</c:v>
                  </c:pt>
                  <c:pt idx="68">
                    <c:v>Rathedaung</c:v>
                  </c:pt>
                  <c:pt idx="70">
                    <c:v>Sittwe</c:v>
                  </c:pt>
                  <c:pt idx="80">
                    <c:v>Hseni</c:v>
                  </c:pt>
                  <c:pt idx="84">
                    <c:v>Hsipaw</c:v>
                  </c:pt>
                  <c:pt idx="85">
                    <c:v>Kutkai</c:v>
                  </c:pt>
                  <c:pt idx="100">
                    <c:v>Manton</c:v>
                  </c:pt>
                  <c:pt idx="105">
                    <c:v>Muse</c:v>
                  </c:pt>
                  <c:pt idx="112">
                    <c:v>Namhkan</c:v>
                  </c:pt>
                  <c:pt idx="118">
                    <c:v>Namtu</c:v>
                  </c:pt>
                  <c:pt idx="123">
                    <c:v>Nawnghkio</c:v>
                  </c:pt>
                </c:lvl>
                <c:lvl>
                  <c:pt idx="0">
                    <c:v>Kachin</c:v>
                  </c:pt>
                  <c:pt idx="49">
                    <c:v>Rakhine</c:v>
                  </c:pt>
                  <c:pt idx="80">
                    <c:v>Shan (North)</c:v>
                  </c:pt>
                </c:lvl>
              </c:multiLvlStrCache>
            </c:multiLvlStrRef>
          </c:cat>
          <c:val>
            <c:numRef>
              <c:f>'Quarterly Dashboard'!$F$30:$F$190</c:f>
              <c:numCache>
                <c:formatCode>General</c:formatCode>
                <c:ptCount val="124"/>
                <c:pt idx="0">
                  <c:v>0</c:v>
                </c:pt>
                <c:pt idx="1">
                  <c:v>2538</c:v>
                </c:pt>
                <c:pt idx="2">
                  <c:v>0</c:v>
                </c:pt>
                <c:pt idx="3">
                  <c:v>14873</c:v>
                </c:pt>
                <c:pt idx="4">
                  <c:v>1720</c:v>
                </c:pt>
                <c:pt idx="5">
                  <c:v>1266</c:v>
                </c:pt>
                <c:pt idx="6">
                  <c:v>3477</c:v>
                </c:pt>
                <c:pt idx="7">
                  <c:v>561</c:v>
                </c:pt>
                <c:pt idx="8">
                  <c:v>1701</c:v>
                </c:pt>
                <c:pt idx="9">
                  <c:v>80</c:v>
                </c:pt>
                <c:pt idx="10">
                  <c:v>0</c:v>
                </c:pt>
                <c:pt idx="11">
                  <c:v>7632</c:v>
                </c:pt>
                <c:pt idx="12">
                  <c:v>5565</c:v>
                </c:pt>
                <c:pt idx="13">
                  <c:v>2510</c:v>
                </c:pt>
                <c:pt idx="14">
                  <c:v>2469</c:v>
                </c:pt>
                <c:pt idx="15">
                  <c:v>0</c:v>
                </c:pt>
                <c:pt idx="16">
                  <c:v>11486</c:v>
                </c:pt>
                <c:pt idx="17">
                  <c:v>12269</c:v>
                </c:pt>
                <c:pt idx="18">
                  <c:v>844</c:v>
                </c:pt>
                <c:pt idx="19">
                  <c:v>1075</c:v>
                </c:pt>
                <c:pt idx="20">
                  <c:v>0</c:v>
                </c:pt>
                <c:pt idx="21">
                  <c:v>560</c:v>
                </c:pt>
                <c:pt idx="22">
                  <c:v>300</c:v>
                </c:pt>
                <c:pt idx="23">
                  <c:v>130</c:v>
                </c:pt>
                <c:pt idx="24">
                  <c:v>0</c:v>
                </c:pt>
                <c:pt idx="25">
                  <c:v>1338</c:v>
                </c:pt>
                <c:pt idx="26">
                  <c:v>15303</c:v>
                </c:pt>
                <c:pt idx="27">
                  <c:v>0</c:v>
                </c:pt>
                <c:pt idx="28">
                  <c:v>8131</c:v>
                </c:pt>
                <c:pt idx="29">
                  <c:v>26486</c:v>
                </c:pt>
                <c:pt idx="30">
                  <c:v>15186</c:v>
                </c:pt>
                <c:pt idx="31">
                  <c:v>12727</c:v>
                </c:pt>
                <c:pt idx="32">
                  <c:v>2943</c:v>
                </c:pt>
                <c:pt idx="33">
                  <c:v>0</c:v>
                </c:pt>
                <c:pt idx="34">
                  <c:v>1395</c:v>
                </c:pt>
                <c:pt idx="35">
                  <c:v>480.00000000000011</c:v>
                </c:pt>
                <c:pt idx="36">
                  <c:v>0</c:v>
                </c:pt>
                <c:pt idx="37">
                  <c:v>640</c:v>
                </c:pt>
                <c:pt idx="38">
                  <c:v>1284</c:v>
                </c:pt>
                <c:pt idx="39">
                  <c:v>0</c:v>
                </c:pt>
                <c:pt idx="40">
                  <c:v>2445</c:v>
                </c:pt>
                <c:pt idx="41">
                  <c:v>0</c:v>
                </c:pt>
                <c:pt idx="42">
                  <c:v>1682</c:v>
                </c:pt>
                <c:pt idx="43">
                  <c:v>0</c:v>
                </c:pt>
                <c:pt idx="44">
                  <c:v>28440</c:v>
                </c:pt>
                <c:pt idx="45">
                  <c:v>7707</c:v>
                </c:pt>
                <c:pt idx="46">
                  <c:v>16017</c:v>
                </c:pt>
                <c:pt idx="47">
                  <c:v>600</c:v>
                </c:pt>
                <c:pt idx="48">
                  <c:v>5040</c:v>
                </c:pt>
                <c:pt idx="49">
                  <c:v>0</c:v>
                </c:pt>
                <c:pt idx="50">
                  <c:v>324</c:v>
                </c:pt>
                <c:pt idx="51">
                  <c:v>0</c:v>
                </c:pt>
                <c:pt idx="52">
                  <c:v>633</c:v>
                </c:pt>
                <c:pt idx="53">
                  <c:v>2950</c:v>
                </c:pt>
                <c:pt idx="54">
                  <c:v>2172</c:v>
                </c:pt>
                <c:pt idx="55">
                  <c:v>2160</c:v>
                </c:pt>
                <c:pt idx="56">
                  <c:v>11691</c:v>
                </c:pt>
                <c:pt idx="57">
                  <c:v>438</c:v>
                </c:pt>
                <c:pt idx="58">
                  <c:v>0</c:v>
                </c:pt>
                <c:pt idx="59">
                  <c:v>288</c:v>
                </c:pt>
                <c:pt idx="60">
                  <c:v>0</c:v>
                </c:pt>
                <c:pt idx="61">
                  <c:v>3366</c:v>
                </c:pt>
                <c:pt idx="62">
                  <c:v>306</c:v>
                </c:pt>
                <c:pt idx="63">
                  <c:v>9156</c:v>
                </c:pt>
                <c:pt idx="64">
                  <c:v>7500</c:v>
                </c:pt>
                <c:pt idx="65">
                  <c:v>15480</c:v>
                </c:pt>
                <c:pt idx="66">
                  <c:v>26069</c:v>
                </c:pt>
                <c:pt idx="67">
                  <c:v>6840</c:v>
                </c:pt>
                <c:pt idx="68">
                  <c:v>4842</c:v>
                </c:pt>
                <c:pt idx="69">
                  <c:v>10041</c:v>
                </c:pt>
                <c:pt idx="70">
                  <c:v>15658</c:v>
                </c:pt>
                <c:pt idx="71">
                  <c:v>4457</c:v>
                </c:pt>
                <c:pt idx="72">
                  <c:v>41982</c:v>
                </c:pt>
                <c:pt idx="73">
                  <c:v>96.000000000000014</c:v>
                </c:pt>
                <c:pt idx="74">
                  <c:v>3870</c:v>
                </c:pt>
                <c:pt idx="75">
                  <c:v>89580</c:v>
                </c:pt>
                <c:pt idx="76">
                  <c:v>10789</c:v>
                </c:pt>
                <c:pt idx="77">
                  <c:v>75944</c:v>
                </c:pt>
                <c:pt idx="78">
                  <c:v>7840</c:v>
                </c:pt>
                <c:pt idx="79">
                  <c:v>168</c:v>
                </c:pt>
                <c:pt idx="80">
                  <c:v>173</c:v>
                </c:pt>
                <c:pt idx="81">
                  <c:v>264</c:v>
                </c:pt>
                <c:pt idx="82">
                  <c:v>0</c:v>
                </c:pt>
                <c:pt idx="83">
                  <c:v>417</c:v>
                </c:pt>
                <c:pt idx="84">
                  <c:v>0</c:v>
                </c:pt>
                <c:pt idx="85">
                  <c:v>145</c:v>
                </c:pt>
                <c:pt idx="86">
                  <c:v>111</c:v>
                </c:pt>
                <c:pt idx="87">
                  <c:v>521</c:v>
                </c:pt>
                <c:pt idx="88">
                  <c:v>5628</c:v>
                </c:pt>
                <c:pt idx="89">
                  <c:v>400</c:v>
                </c:pt>
                <c:pt idx="90">
                  <c:v>265</c:v>
                </c:pt>
                <c:pt idx="91">
                  <c:v>111</c:v>
                </c:pt>
                <c:pt idx="92">
                  <c:v>0</c:v>
                </c:pt>
                <c:pt idx="93">
                  <c:v>644</c:v>
                </c:pt>
                <c:pt idx="94">
                  <c:v>810</c:v>
                </c:pt>
                <c:pt idx="95">
                  <c:v>1107</c:v>
                </c:pt>
                <c:pt idx="96">
                  <c:v>156</c:v>
                </c:pt>
                <c:pt idx="97">
                  <c:v>409</c:v>
                </c:pt>
                <c:pt idx="98">
                  <c:v>975</c:v>
                </c:pt>
                <c:pt idx="99">
                  <c:v>1162</c:v>
                </c:pt>
                <c:pt idx="100">
                  <c:v>400</c:v>
                </c:pt>
                <c:pt idx="101">
                  <c:v>143</c:v>
                </c:pt>
                <c:pt idx="102">
                  <c:v>0</c:v>
                </c:pt>
                <c:pt idx="103">
                  <c:v>300</c:v>
                </c:pt>
                <c:pt idx="104">
                  <c:v>323</c:v>
                </c:pt>
                <c:pt idx="105">
                  <c:v>779</c:v>
                </c:pt>
                <c:pt idx="106">
                  <c:v>324</c:v>
                </c:pt>
                <c:pt idx="107">
                  <c:v>1646</c:v>
                </c:pt>
                <c:pt idx="108">
                  <c:v>207</c:v>
                </c:pt>
                <c:pt idx="109">
                  <c:v>0</c:v>
                </c:pt>
                <c:pt idx="110">
                  <c:v>0</c:v>
                </c:pt>
                <c:pt idx="111">
                  <c:v>414</c:v>
                </c:pt>
                <c:pt idx="112">
                  <c:v>1083</c:v>
                </c:pt>
                <c:pt idx="113">
                  <c:v>200</c:v>
                </c:pt>
                <c:pt idx="114">
                  <c:v>200</c:v>
                </c:pt>
                <c:pt idx="115">
                  <c:v>554</c:v>
                </c:pt>
                <c:pt idx="116">
                  <c:v>2016</c:v>
                </c:pt>
                <c:pt idx="117">
                  <c:v>179</c:v>
                </c:pt>
                <c:pt idx="118">
                  <c:v>641</c:v>
                </c:pt>
                <c:pt idx="119">
                  <c:v>400</c:v>
                </c:pt>
                <c:pt idx="120">
                  <c:v>1100</c:v>
                </c:pt>
                <c:pt idx="121">
                  <c:v>263</c:v>
                </c:pt>
                <c:pt idx="122">
                  <c:v>526</c:v>
                </c:pt>
                <c:pt idx="123">
                  <c:v>0</c:v>
                </c:pt>
              </c:numCache>
            </c:numRef>
          </c:val>
        </c:ser>
        <c:ser>
          <c:idx val="3"/>
          <c:order val="3"/>
          <c:tx>
            <c:strRef>
              <c:f>'Quarterly Dashboard'!$G$29</c:f>
              <c:strCache>
                <c:ptCount val="1"/>
                <c:pt idx="0">
                  <c:v>Number of people with equitable and continuous access to sufficient quantity of domestic water</c:v>
                </c:pt>
              </c:strCache>
            </c:strRef>
          </c:tx>
          <c:spPr>
            <a:solidFill>
              <a:srgbClr val="0070C0"/>
            </a:solidFill>
            <a:ln>
              <a:noFill/>
            </a:ln>
            <a:effectLst/>
          </c:spPr>
          <c:invertIfNegative val="0"/>
          <c:cat>
            <c:multiLvlStrRef>
              <c:f>'Quarterly Dashboard'!$A$30:$C$190</c:f>
              <c:multiLvlStrCache>
                <c:ptCount val="124"/>
                <c:lvl>
                  <c:pt idx="0">
                    <c:v>KBC</c:v>
                  </c:pt>
                  <c:pt idx="1">
                    <c:v>Metta</c:v>
                  </c:pt>
                  <c:pt idx="2">
                    <c:v>None</c:v>
                  </c:pt>
                  <c:pt idx="3">
                    <c:v>SI</c:v>
                  </c:pt>
                  <c:pt idx="4">
                    <c:v>KBC</c:v>
                  </c:pt>
                  <c:pt idx="5">
                    <c:v>KMSS</c:v>
                  </c:pt>
                  <c:pt idx="6">
                    <c:v>Shalom</c:v>
                  </c:pt>
                  <c:pt idx="7">
                    <c:v>KBC</c:v>
                  </c:pt>
                  <c:pt idx="8">
                    <c:v>KMSS</c:v>
                  </c:pt>
                  <c:pt idx="9">
                    <c:v>KMSS,KBC</c:v>
                  </c:pt>
                  <c:pt idx="10">
                    <c:v>None</c:v>
                  </c:pt>
                  <c:pt idx="11">
                    <c:v>Shalom</c:v>
                  </c:pt>
                  <c:pt idx="12">
                    <c:v>KBC</c:v>
                  </c:pt>
                  <c:pt idx="13">
                    <c:v>KMSS</c:v>
                  </c:pt>
                  <c:pt idx="14">
                    <c:v>Metta</c:v>
                  </c:pt>
                  <c:pt idx="15">
                    <c:v>None</c:v>
                  </c:pt>
                  <c:pt idx="16">
                    <c:v>SCI</c:v>
                  </c:pt>
                  <c:pt idx="17">
                    <c:v>WPN</c:v>
                  </c:pt>
                  <c:pt idx="18">
                    <c:v>KBC</c:v>
                  </c:pt>
                  <c:pt idx="19">
                    <c:v>KMSS</c:v>
                  </c:pt>
                  <c:pt idx="20">
                    <c:v>None</c:v>
                  </c:pt>
                  <c:pt idx="21">
                    <c:v>KBC,KMSS</c:v>
                  </c:pt>
                  <c:pt idx="22">
                    <c:v>KBC</c:v>
                  </c:pt>
                  <c:pt idx="23">
                    <c:v>KMSS</c:v>
                  </c:pt>
                  <c:pt idx="24">
                    <c:v>None</c:v>
                  </c:pt>
                  <c:pt idx="25">
                    <c:v>KMSS</c:v>
                  </c:pt>
                  <c:pt idx="26">
                    <c:v>Metta</c:v>
                  </c:pt>
                  <c:pt idx="27">
                    <c:v>None</c:v>
                  </c:pt>
                  <c:pt idx="28">
                    <c:v>SI</c:v>
                  </c:pt>
                  <c:pt idx="29">
                    <c:v>SI, KBC</c:v>
                  </c:pt>
                  <c:pt idx="30">
                    <c:v>WPN</c:v>
                  </c:pt>
                  <c:pt idx="31">
                    <c:v>KBC</c:v>
                  </c:pt>
                  <c:pt idx="32">
                    <c:v>KMSS</c:v>
                  </c:pt>
                  <c:pt idx="33">
                    <c:v>None</c:v>
                  </c:pt>
                  <c:pt idx="34">
                    <c:v>Shalom</c:v>
                  </c:pt>
                  <c:pt idx="35">
                    <c:v>KBC</c:v>
                  </c:pt>
                  <c:pt idx="36">
                    <c:v>None</c:v>
                  </c:pt>
                  <c:pt idx="37">
                    <c:v>KBC</c:v>
                  </c:pt>
                  <c:pt idx="38">
                    <c:v>Metta</c:v>
                  </c:pt>
                  <c:pt idx="39">
                    <c:v>None</c:v>
                  </c:pt>
                  <c:pt idx="40">
                    <c:v>KBC</c:v>
                  </c:pt>
                  <c:pt idx="41">
                    <c:v>None</c:v>
                  </c:pt>
                  <c:pt idx="42">
                    <c:v>KMSS</c:v>
                  </c:pt>
                  <c:pt idx="43">
                    <c:v>None</c:v>
                  </c:pt>
                  <c:pt idx="44">
                    <c:v>KBC</c:v>
                  </c:pt>
                  <c:pt idx="45">
                    <c:v>KMSS</c:v>
                  </c:pt>
                  <c:pt idx="46">
                    <c:v>Metta</c:v>
                  </c:pt>
                  <c:pt idx="47">
                    <c:v>None</c:v>
                  </c:pt>
                  <c:pt idx="48">
                    <c:v>Shalom</c:v>
                  </c:pt>
                  <c:pt idx="49">
                    <c:v>Arche Nova</c:v>
                  </c:pt>
                  <c:pt idx="50">
                    <c:v>MHDO</c:v>
                  </c:pt>
                  <c:pt idx="51">
                    <c:v>None</c:v>
                  </c:pt>
                  <c:pt idx="52">
                    <c:v>None</c:v>
                  </c:pt>
                  <c:pt idx="53">
                    <c:v>Oxfam</c:v>
                  </c:pt>
                  <c:pt idx="54">
                    <c:v>CDN</c:v>
                  </c:pt>
                  <c:pt idx="55">
                    <c:v>MA_UK</c:v>
                  </c:pt>
                  <c:pt idx="56">
                    <c:v>None</c:v>
                  </c:pt>
                  <c:pt idx="57">
                    <c:v>CDN, MA_UK</c:v>
                  </c:pt>
                  <c:pt idx="58">
                    <c:v>Malteser</c:v>
                  </c:pt>
                  <c:pt idx="59">
                    <c:v>MHDO</c:v>
                  </c:pt>
                  <c:pt idx="60">
                    <c:v>None</c:v>
                  </c:pt>
                  <c:pt idx="61">
                    <c:v>None</c:v>
                  </c:pt>
                  <c:pt idx="62">
                    <c:v>None</c:v>
                  </c:pt>
                  <c:pt idx="63">
                    <c:v>RI</c:v>
                  </c:pt>
                  <c:pt idx="64">
                    <c:v>DRC</c:v>
                  </c:pt>
                  <c:pt idx="65">
                    <c:v>SCI</c:v>
                  </c:pt>
                  <c:pt idx="66">
                    <c:v>SI</c:v>
                  </c:pt>
                  <c:pt idx="67">
                    <c:v>None</c:v>
                  </c:pt>
                  <c:pt idx="68">
                    <c:v>MHDO</c:v>
                  </c:pt>
                  <c:pt idx="69">
                    <c:v>None</c:v>
                  </c:pt>
                  <c:pt idx="70">
                    <c:v>CDN</c:v>
                  </c:pt>
                  <c:pt idx="71">
                    <c:v>CDN,(MA_UK)</c:v>
                  </c:pt>
                  <c:pt idx="72">
                    <c:v>DRC</c:v>
                  </c:pt>
                  <c:pt idx="73">
                    <c:v>MA_UK</c:v>
                  </c:pt>
                  <c:pt idx="74">
                    <c:v>None</c:v>
                  </c:pt>
                  <c:pt idx="75">
                    <c:v>Oxfam</c:v>
                  </c:pt>
                  <c:pt idx="76">
                    <c:v>SCI</c:v>
                  </c:pt>
                  <c:pt idx="77">
                    <c:v>SI</c:v>
                  </c:pt>
                  <c:pt idx="78">
                    <c:v>Oxfam,MA_UK</c:v>
                  </c:pt>
                  <c:pt idx="79">
                    <c:v>SCI,MA_UK</c:v>
                  </c:pt>
                  <c:pt idx="80">
                    <c:v>KBC</c:v>
                  </c:pt>
                  <c:pt idx="81">
                    <c:v>Metta</c:v>
                  </c:pt>
                  <c:pt idx="82">
                    <c:v>None</c:v>
                  </c:pt>
                  <c:pt idx="83">
                    <c:v>KBC-HDD-NSS,Metta</c:v>
                  </c:pt>
                  <c:pt idx="84">
                    <c:v>None</c:v>
                  </c:pt>
                  <c:pt idx="85">
                    <c:v>KBC</c:v>
                  </c:pt>
                  <c:pt idx="86">
                    <c:v>KMSS</c:v>
                  </c:pt>
                  <c:pt idx="87">
                    <c:v>KMSS,Metta</c:v>
                  </c:pt>
                  <c:pt idx="88">
                    <c:v>Metta</c:v>
                  </c:pt>
                  <c:pt idx="89">
                    <c:v>Metta, KBC-HDD-NSS</c:v>
                  </c:pt>
                  <c:pt idx="90">
                    <c:v>Metta,KBC-HDD-NSS,KMSS</c:v>
                  </c:pt>
                  <c:pt idx="91">
                    <c:v>Metta,KMSS</c:v>
                  </c:pt>
                  <c:pt idx="92">
                    <c:v>None</c:v>
                  </c:pt>
                  <c:pt idx="93">
                    <c:v>SCI</c:v>
                  </c:pt>
                  <c:pt idx="94">
                    <c:v>SCI, Metta</c:v>
                  </c:pt>
                  <c:pt idx="95">
                    <c:v>SCI,Metta</c:v>
                  </c:pt>
                  <c:pt idx="96">
                    <c:v>SCI,Metta,KBC-HDD-NSS</c:v>
                  </c:pt>
                  <c:pt idx="97">
                    <c:v>KBC-HDD-NSS</c:v>
                  </c:pt>
                  <c:pt idx="98">
                    <c:v>KBC-HDD-NSS,Metta</c:v>
                  </c:pt>
                  <c:pt idx="99">
                    <c:v>KBC-HDD-NSS, Metta</c:v>
                  </c:pt>
                  <c:pt idx="100">
                    <c:v>KMSS</c:v>
                  </c:pt>
                  <c:pt idx="101">
                    <c:v>Metta,KBC-HDD-NSS</c:v>
                  </c:pt>
                  <c:pt idx="102">
                    <c:v>None</c:v>
                  </c:pt>
                  <c:pt idx="103">
                    <c:v>SCI, Metta</c:v>
                  </c:pt>
                  <c:pt idx="104">
                    <c:v>KBC-HDD-NSS,Metta</c:v>
                  </c:pt>
                  <c:pt idx="105">
                    <c:v>KBC</c:v>
                  </c:pt>
                  <c:pt idx="106">
                    <c:v>KMSS</c:v>
                  </c:pt>
                  <c:pt idx="107">
                    <c:v>Metta</c:v>
                  </c:pt>
                  <c:pt idx="108">
                    <c:v>Metta, KBC-HDD-NSS</c:v>
                  </c:pt>
                  <c:pt idx="109">
                    <c:v>None</c:v>
                  </c:pt>
                  <c:pt idx="110">
                    <c:v>KBC-HDD-NSS</c:v>
                  </c:pt>
                  <c:pt idx="111">
                    <c:v>KBC-HDD-NSS,Metta</c:v>
                  </c:pt>
                  <c:pt idx="112">
                    <c:v>KMSS</c:v>
                  </c:pt>
                  <c:pt idx="113">
                    <c:v>SCI</c:v>
                  </c:pt>
                  <c:pt idx="114">
                    <c:v>SCI,KBC-HDD-NSS</c:v>
                  </c:pt>
                  <c:pt idx="115">
                    <c:v>SCI,KMSS</c:v>
                  </c:pt>
                  <c:pt idx="116">
                    <c:v>SCI,Metta</c:v>
                  </c:pt>
                  <c:pt idx="117">
                    <c:v>SCI,Metta,KBC-HDD-NSS</c:v>
                  </c:pt>
                  <c:pt idx="118">
                    <c:v>Metta</c:v>
                  </c:pt>
                  <c:pt idx="119">
                    <c:v>SCI</c:v>
                  </c:pt>
                  <c:pt idx="120">
                    <c:v>SCI,Metta</c:v>
                  </c:pt>
                  <c:pt idx="121">
                    <c:v>SCI,Metta, KBC-HDD-NSS</c:v>
                  </c:pt>
                  <c:pt idx="122">
                    <c:v>SCI,KBC-HDD-NSS,Metta</c:v>
                  </c:pt>
                  <c:pt idx="123">
                    <c:v>Metta</c:v>
                  </c:pt>
                </c:lvl>
                <c:lvl>
                  <c:pt idx="0">
                    <c:v>Bhamo</c:v>
                  </c:pt>
                  <c:pt idx="4">
                    <c:v>Chipwi</c:v>
                  </c:pt>
                  <c:pt idx="7">
                    <c:v>Hpakant</c:v>
                  </c:pt>
                  <c:pt idx="12">
                    <c:v>Mansi</c:v>
                  </c:pt>
                  <c:pt idx="18">
                    <c:v>Mogaung</c:v>
                  </c:pt>
                  <c:pt idx="22">
                    <c:v>Mohnyin</c:v>
                  </c:pt>
                  <c:pt idx="25">
                    <c:v>Momauk</c:v>
                  </c:pt>
                  <c:pt idx="31">
                    <c:v>Myitkyina</c:v>
                  </c:pt>
                  <c:pt idx="35">
                    <c:v>Puta-O</c:v>
                  </c:pt>
                  <c:pt idx="37">
                    <c:v>Shwegu</c:v>
                  </c:pt>
                  <c:pt idx="40">
                    <c:v>Sumprabum</c:v>
                  </c:pt>
                  <c:pt idx="42">
                    <c:v>Tanai</c:v>
                  </c:pt>
                  <c:pt idx="44">
                    <c:v>Waingmaw</c:v>
                  </c:pt>
                  <c:pt idx="49">
                    <c:v>Ann</c:v>
                  </c:pt>
                  <c:pt idx="50">
                    <c:v>Buthidaung</c:v>
                  </c:pt>
                  <c:pt idx="52">
                    <c:v>Kyaukpyu</c:v>
                  </c:pt>
                  <c:pt idx="54">
                    <c:v>Kyauktaw</c:v>
                  </c:pt>
                  <c:pt idx="58">
                    <c:v>Maungdaw</c:v>
                  </c:pt>
                  <c:pt idx="61">
                    <c:v>Minbya</c:v>
                  </c:pt>
                  <c:pt idx="62">
                    <c:v>Mrauk-U</c:v>
                  </c:pt>
                  <c:pt idx="63">
                    <c:v>Myebon</c:v>
                  </c:pt>
                  <c:pt idx="64">
                    <c:v>Pauktaw</c:v>
                  </c:pt>
                  <c:pt idx="67">
                    <c:v>Ponnagyun</c:v>
                  </c:pt>
                  <c:pt idx="68">
                    <c:v>Rathedaung</c:v>
                  </c:pt>
                  <c:pt idx="70">
                    <c:v>Sittwe</c:v>
                  </c:pt>
                  <c:pt idx="80">
                    <c:v>Hseni</c:v>
                  </c:pt>
                  <c:pt idx="84">
                    <c:v>Hsipaw</c:v>
                  </c:pt>
                  <c:pt idx="85">
                    <c:v>Kutkai</c:v>
                  </c:pt>
                  <c:pt idx="100">
                    <c:v>Manton</c:v>
                  </c:pt>
                  <c:pt idx="105">
                    <c:v>Muse</c:v>
                  </c:pt>
                  <c:pt idx="112">
                    <c:v>Namhkan</c:v>
                  </c:pt>
                  <c:pt idx="118">
                    <c:v>Namtu</c:v>
                  </c:pt>
                  <c:pt idx="123">
                    <c:v>Nawnghkio</c:v>
                  </c:pt>
                </c:lvl>
                <c:lvl>
                  <c:pt idx="0">
                    <c:v>Kachin</c:v>
                  </c:pt>
                  <c:pt idx="49">
                    <c:v>Rakhine</c:v>
                  </c:pt>
                  <c:pt idx="80">
                    <c:v>Shan (North)</c:v>
                  </c:pt>
                </c:lvl>
              </c:multiLvlStrCache>
            </c:multiLvlStrRef>
          </c:cat>
          <c:val>
            <c:numRef>
              <c:f>'Quarterly Dashboard'!$G$30:$G$190</c:f>
              <c:numCache>
                <c:formatCode>General</c:formatCode>
                <c:ptCount val="124"/>
                <c:pt idx="0">
                  <c:v>0</c:v>
                </c:pt>
                <c:pt idx="1">
                  <c:v>3501</c:v>
                </c:pt>
                <c:pt idx="2">
                  <c:v>0</c:v>
                </c:pt>
                <c:pt idx="3">
                  <c:v>17947</c:v>
                </c:pt>
                <c:pt idx="4">
                  <c:v>2469</c:v>
                </c:pt>
                <c:pt idx="5">
                  <c:v>1240</c:v>
                </c:pt>
                <c:pt idx="6">
                  <c:v>0</c:v>
                </c:pt>
                <c:pt idx="7">
                  <c:v>543</c:v>
                </c:pt>
                <c:pt idx="8">
                  <c:v>2523</c:v>
                </c:pt>
                <c:pt idx="9">
                  <c:v>84</c:v>
                </c:pt>
                <c:pt idx="10">
                  <c:v>0</c:v>
                </c:pt>
                <c:pt idx="11">
                  <c:v>7792</c:v>
                </c:pt>
                <c:pt idx="12">
                  <c:v>5565</c:v>
                </c:pt>
                <c:pt idx="13">
                  <c:v>2688</c:v>
                </c:pt>
                <c:pt idx="14">
                  <c:v>2469</c:v>
                </c:pt>
                <c:pt idx="15">
                  <c:v>0</c:v>
                </c:pt>
                <c:pt idx="16">
                  <c:v>12309</c:v>
                </c:pt>
                <c:pt idx="17">
                  <c:v>12770</c:v>
                </c:pt>
                <c:pt idx="18">
                  <c:v>1132</c:v>
                </c:pt>
                <c:pt idx="19">
                  <c:v>1589</c:v>
                </c:pt>
                <c:pt idx="20">
                  <c:v>0</c:v>
                </c:pt>
                <c:pt idx="21">
                  <c:v>948</c:v>
                </c:pt>
                <c:pt idx="22">
                  <c:v>345</c:v>
                </c:pt>
                <c:pt idx="23">
                  <c:v>150</c:v>
                </c:pt>
                <c:pt idx="24">
                  <c:v>0</c:v>
                </c:pt>
                <c:pt idx="25">
                  <c:v>1338</c:v>
                </c:pt>
                <c:pt idx="26">
                  <c:v>17391</c:v>
                </c:pt>
                <c:pt idx="27">
                  <c:v>0</c:v>
                </c:pt>
                <c:pt idx="28">
                  <c:v>16000</c:v>
                </c:pt>
                <c:pt idx="29">
                  <c:v>32123</c:v>
                </c:pt>
                <c:pt idx="30">
                  <c:v>7053.666666666667</c:v>
                </c:pt>
                <c:pt idx="31">
                  <c:v>18607</c:v>
                </c:pt>
                <c:pt idx="32">
                  <c:v>3090</c:v>
                </c:pt>
                <c:pt idx="33">
                  <c:v>0</c:v>
                </c:pt>
                <c:pt idx="34">
                  <c:v>1752</c:v>
                </c:pt>
                <c:pt idx="35">
                  <c:v>843</c:v>
                </c:pt>
                <c:pt idx="36">
                  <c:v>0</c:v>
                </c:pt>
                <c:pt idx="37">
                  <c:v>2030</c:v>
                </c:pt>
                <c:pt idx="38">
                  <c:v>1284</c:v>
                </c:pt>
                <c:pt idx="39">
                  <c:v>0</c:v>
                </c:pt>
                <c:pt idx="40">
                  <c:v>0</c:v>
                </c:pt>
                <c:pt idx="41">
                  <c:v>0</c:v>
                </c:pt>
                <c:pt idx="42">
                  <c:v>2124.333333333333</c:v>
                </c:pt>
                <c:pt idx="43">
                  <c:v>0</c:v>
                </c:pt>
                <c:pt idx="44">
                  <c:v>29204</c:v>
                </c:pt>
                <c:pt idx="45">
                  <c:v>7707</c:v>
                </c:pt>
                <c:pt idx="46">
                  <c:v>20034.599999999999</c:v>
                </c:pt>
                <c:pt idx="47">
                  <c:v>1230</c:v>
                </c:pt>
                <c:pt idx="48">
                  <c:v>11946</c:v>
                </c:pt>
                <c:pt idx="49">
                  <c:v>0</c:v>
                </c:pt>
                <c:pt idx="50">
                  <c:v>4071</c:v>
                </c:pt>
                <c:pt idx="51">
                  <c:v>2500</c:v>
                </c:pt>
                <c:pt idx="52">
                  <c:v>633</c:v>
                </c:pt>
                <c:pt idx="53">
                  <c:v>2950</c:v>
                </c:pt>
                <c:pt idx="54">
                  <c:v>0</c:v>
                </c:pt>
                <c:pt idx="55">
                  <c:v>1743</c:v>
                </c:pt>
                <c:pt idx="56">
                  <c:v>749.99999999999989</c:v>
                </c:pt>
                <c:pt idx="57">
                  <c:v>0</c:v>
                </c:pt>
                <c:pt idx="58">
                  <c:v>0</c:v>
                </c:pt>
                <c:pt idx="59">
                  <c:v>5715</c:v>
                </c:pt>
                <c:pt idx="60">
                  <c:v>2410</c:v>
                </c:pt>
                <c:pt idx="61">
                  <c:v>5487</c:v>
                </c:pt>
                <c:pt idx="62">
                  <c:v>3264</c:v>
                </c:pt>
                <c:pt idx="63">
                  <c:v>7571</c:v>
                </c:pt>
                <c:pt idx="64">
                  <c:v>17700</c:v>
                </c:pt>
                <c:pt idx="65">
                  <c:v>27870</c:v>
                </c:pt>
                <c:pt idx="66">
                  <c:v>25420.582417582416</c:v>
                </c:pt>
                <c:pt idx="67">
                  <c:v>3000</c:v>
                </c:pt>
                <c:pt idx="68">
                  <c:v>17928</c:v>
                </c:pt>
                <c:pt idx="69">
                  <c:v>17590</c:v>
                </c:pt>
                <c:pt idx="70">
                  <c:v>15658</c:v>
                </c:pt>
                <c:pt idx="71">
                  <c:v>4457</c:v>
                </c:pt>
                <c:pt idx="72">
                  <c:v>42924</c:v>
                </c:pt>
                <c:pt idx="73">
                  <c:v>1390</c:v>
                </c:pt>
                <c:pt idx="74">
                  <c:v>18361</c:v>
                </c:pt>
                <c:pt idx="75">
                  <c:v>101573</c:v>
                </c:pt>
                <c:pt idx="76">
                  <c:v>38130</c:v>
                </c:pt>
                <c:pt idx="77">
                  <c:v>130069</c:v>
                </c:pt>
                <c:pt idx="78">
                  <c:v>11900</c:v>
                </c:pt>
                <c:pt idx="79">
                  <c:v>2366</c:v>
                </c:pt>
                <c:pt idx="80">
                  <c:v>173</c:v>
                </c:pt>
                <c:pt idx="81">
                  <c:v>360</c:v>
                </c:pt>
                <c:pt idx="82">
                  <c:v>0</c:v>
                </c:pt>
                <c:pt idx="83">
                  <c:v>439</c:v>
                </c:pt>
                <c:pt idx="84">
                  <c:v>0</c:v>
                </c:pt>
                <c:pt idx="85">
                  <c:v>145</c:v>
                </c:pt>
                <c:pt idx="86">
                  <c:v>111</c:v>
                </c:pt>
                <c:pt idx="87">
                  <c:v>521</c:v>
                </c:pt>
                <c:pt idx="88">
                  <c:v>6057</c:v>
                </c:pt>
                <c:pt idx="89">
                  <c:v>721</c:v>
                </c:pt>
                <c:pt idx="90">
                  <c:v>265</c:v>
                </c:pt>
                <c:pt idx="91">
                  <c:v>111</c:v>
                </c:pt>
                <c:pt idx="92">
                  <c:v>0</c:v>
                </c:pt>
                <c:pt idx="93">
                  <c:v>644</c:v>
                </c:pt>
                <c:pt idx="94">
                  <c:v>810</c:v>
                </c:pt>
                <c:pt idx="95">
                  <c:v>1153</c:v>
                </c:pt>
                <c:pt idx="96">
                  <c:v>156</c:v>
                </c:pt>
                <c:pt idx="97">
                  <c:v>409</c:v>
                </c:pt>
                <c:pt idx="98">
                  <c:v>831</c:v>
                </c:pt>
                <c:pt idx="99">
                  <c:v>1682</c:v>
                </c:pt>
                <c:pt idx="100">
                  <c:v>513</c:v>
                </c:pt>
                <c:pt idx="101">
                  <c:v>143</c:v>
                </c:pt>
                <c:pt idx="102">
                  <c:v>0</c:v>
                </c:pt>
                <c:pt idx="103">
                  <c:v>300</c:v>
                </c:pt>
                <c:pt idx="104">
                  <c:v>323</c:v>
                </c:pt>
                <c:pt idx="105">
                  <c:v>779</c:v>
                </c:pt>
                <c:pt idx="106">
                  <c:v>342</c:v>
                </c:pt>
                <c:pt idx="107">
                  <c:v>1558</c:v>
                </c:pt>
                <c:pt idx="108">
                  <c:v>207</c:v>
                </c:pt>
                <c:pt idx="109">
                  <c:v>0</c:v>
                </c:pt>
                <c:pt idx="110">
                  <c:v>0</c:v>
                </c:pt>
                <c:pt idx="111">
                  <c:v>414</c:v>
                </c:pt>
                <c:pt idx="112">
                  <c:v>1134</c:v>
                </c:pt>
                <c:pt idx="113">
                  <c:v>359</c:v>
                </c:pt>
                <c:pt idx="114">
                  <c:v>359</c:v>
                </c:pt>
                <c:pt idx="115">
                  <c:v>605</c:v>
                </c:pt>
                <c:pt idx="116">
                  <c:v>2866</c:v>
                </c:pt>
                <c:pt idx="117">
                  <c:v>179</c:v>
                </c:pt>
                <c:pt idx="118">
                  <c:v>683</c:v>
                </c:pt>
                <c:pt idx="119">
                  <c:v>514</c:v>
                </c:pt>
                <c:pt idx="120">
                  <c:v>1117</c:v>
                </c:pt>
                <c:pt idx="121">
                  <c:v>263</c:v>
                </c:pt>
                <c:pt idx="122">
                  <c:v>526</c:v>
                </c:pt>
                <c:pt idx="123">
                  <c:v>0</c:v>
                </c:pt>
              </c:numCache>
            </c:numRef>
          </c:val>
        </c:ser>
        <c:dLbls>
          <c:showLegendKey val="0"/>
          <c:showVal val="0"/>
          <c:showCatName val="0"/>
          <c:showSerName val="0"/>
          <c:showPercent val="0"/>
          <c:showBubbleSize val="0"/>
        </c:dLbls>
        <c:gapWidth val="100"/>
        <c:axId val="524830768"/>
        <c:axId val="524831552"/>
      </c:barChart>
      <c:catAx>
        <c:axId val="52483076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1552"/>
        <c:crosses val="autoZero"/>
        <c:auto val="1"/>
        <c:lblAlgn val="ctr"/>
        <c:lblOffset val="100"/>
        <c:noMultiLvlLbl val="0"/>
      </c:catAx>
      <c:valAx>
        <c:axId val="5248315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0768"/>
        <c:crosses val="autoZero"/>
        <c:crossBetween val="between"/>
      </c:valAx>
      <c:spPr>
        <a:noFill/>
        <a:ln>
          <a:noFill/>
        </a:ln>
        <a:effectLst/>
      </c:spPr>
    </c:plotArea>
    <c:legend>
      <c:legendPos val="r"/>
      <c:layout>
        <c:manualLayout>
          <c:xMode val="edge"/>
          <c:yMode val="edge"/>
          <c:x val="0.7635998223399264"/>
          <c:y val="0.41667769641598734"/>
          <c:w val="0.23499806298409529"/>
          <c:h val="0.408878173139639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active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Analysis!$J$231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Analysis!$I$232:$I$235</c:f>
              <c:strCache>
                <c:ptCount val="4"/>
                <c:pt idx="0">
                  <c:v>#HH reached by regular dedicated hygiene promotion</c:v>
                </c:pt>
                <c:pt idx="1">
                  <c:v>#HH with access to Hand Washing Station</c:v>
                </c:pt>
                <c:pt idx="2">
                  <c:v># HH received soaps</c:v>
                </c:pt>
                <c:pt idx="3">
                  <c:v># HH received Sanitary Pads</c:v>
                </c:pt>
              </c:strCache>
            </c:strRef>
          </c:cat>
          <c:val>
            <c:numRef>
              <c:f>Analysis!$J$232:$J$235</c:f>
              <c:numCache>
                <c:formatCode>0</c:formatCode>
                <c:ptCount val="4"/>
                <c:pt idx="0">
                  <c:v>10573.6</c:v>
                </c:pt>
                <c:pt idx="1">
                  <c:v>12160.459999999997</c:v>
                </c:pt>
                <c:pt idx="2">
                  <c:v>6453</c:v>
                </c:pt>
                <c:pt idx="3">
                  <c:v>3484</c:v>
                </c:pt>
              </c:numCache>
            </c:numRef>
          </c:val>
          <c:extLst xmlns:c16r2="http://schemas.microsoft.com/office/drawing/2015/06/chart">
            <c:ext xmlns:c16="http://schemas.microsoft.com/office/drawing/2014/chart" uri="{C3380CC4-5D6E-409C-BE32-E72D297353CC}">
              <c16:uniqueId val="{00000000-8A12-41BD-89DE-DD9C030FDA43}"/>
            </c:ext>
          </c:extLst>
        </c:ser>
        <c:ser>
          <c:idx val="1"/>
          <c:order val="1"/>
          <c:tx>
            <c:strRef>
              <c:f>Analysis!$K$231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Analysis!$I$232:$I$235</c:f>
              <c:strCache>
                <c:ptCount val="4"/>
                <c:pt idx="0">
                  <c:v>#HH reached by regular dedicated hygiene promotion</c:v>
                </c:pt>
                <c:pt idx="1">
                  <c:v>#HH with access to Hand Washing Station</c:v>
                </c:pt>
                <c:pt idx="2">
                  <c:v># HH received soaps</c:v>
                </c:pt>
                <c:pt idx="3">
                  <c:v># HH received Sanitary Pads</c:v>
                </c:pt>
              </c:strCache>
            </c:strRef>
          </c:cat>
          <c:val>
            <c:numRef>
              <c:f>Analysis!$K$232:$K$235</c:f>
              <c:numCache>
                <c:formatCode>0</c:formatCode>
                <c:ptCount val="4"/>
                <c:pt idx="0">
                  <c:v>8012.4</c:v>
                </c:pt>
                <c:pt idx="1">
                  <c:v>6425.5400000000027</c:v>
                </c:pt>
                <c:pt idx="2">
                  <c:v>12133</c:v>
                </c:pt>
                <c:pt idx="3">
                  <c:v>15102</c:v>
                </c:pt>
              </c:numCache>
            </c:numRef>
          </c:val>
          <c:extLst xmlns:c16r2="http://schemas.microsoft.com/office/drawing/2015/06/chart">
            <c:ext xmlns:c16="http://schemas.microsoft.com/office/drawing/2014/chart" uri="{C3380CC4-5D6E-409C-BE32-E72D297353CC}">
              <c16:uniqueId val="{00000001-8A12-41BD-89DE-DD9C030FDA43}"/>
            </c:ext>
          </c:extLst>
        </c:ser>
        <c:dLbls>
          <c:dLblPos val="ctr"/>
          <c:showLegendKey val="0"/>
          <c:showVal val="1"/>
          <c:showCatName val="0"/>
          <c:showSerName val="0"/>
          <c:showPercent val="0"/>
          <c:showBubbleSize val="0"/>
        </c:dLbls>
        <c:gapWidth val="150"/>
        <c:overlap val="100"/>
        <c:axId val="524835864"/>
        <c:axId val="524836256"/>
      </c:barChart>
      <c:catAx>
        <c:axId val="5248358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4836256"/>
        <c:crosses val="autoZero"/>
        <c:auto val="1"/>
        <c:lblAlgn val="ctr"/>
        <c:lblOffset val="100"/>
        <c:noMultiLvlLbl val="0"/>
      </c:catAx>
      <c:valAx>
        <c:axId val="52483625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4835864"/>
        <c:crosses val="autoZero"/>
        <c:crossBetween val="between"/>
        <c:majorUnit val="4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[2018_11_09_Myanmar_WASH_4W_2018_Q3_FINAL.xlsx]Analysis!K_water1</c:name>
    <c:fmtId val="18"/>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endParaRPr lang="en-US" sz="1400">
              <a:effectLst/>
            </a:endParaRPr>
          </a:p>
          <a:p>
            <a:pPr>
              <a:defRPr sz="1400"/>
            </a:pPr>
            <a:r>
              <a:rPr lang="en-US" sz="1400" b="1" i="0" baseline="0">
                <a:effectLst/>
              </a:rPr>
              <a:t>(in active IDP camps)</a:t>
            </a:r>
            <a:endParaRPr lang="en-US" sz="1400">
              <a:effectLst/>
            </a:endParaRPr>
          </a:p>
        </c:rich>
      </c:tx>
      <c:layout>
        <c:manualLayout>
          <c:xMode val="edge"/>
          <c:yMode val="edge"/>
          <c:x val="0.34565138438551307"/>
          <c:y val="3.292708915793685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Analysis!$B$41:$B$42</c:f>
              <c:strCache>
                <c:ptCount val="2"/>
                <c:pt idx="0">
                  <c:v>GCA (500:1)</c:v>
                </c:pt>
                <c:pt idx="1">
                  <c:v>NGCA (500:1)</c:v>
                </c:pt>
              </c:strCache>
            </c:strRef>
          </c:cat>
          <c:val>
            <c:numRef>
              <c:f>Analysis!$C$41:$C$42</c:f>
              <c:numCache>
                <c:formatCode>0</c:formatCode>
                <c:ptCount val="2"/>
                <c:pt idx="0">
                  <c:v>98.045333333333332</c:v>
                </c:pt>
                <c:pt idx="1">
                  <c:v>78.998000000000005</c:v>
                </c:pt>
              </c:numCache>
            </c:numRef>
          </c:val>
        </c:ser>
        <c:ser>
          <c:idx val="1"/>
          <c:order val="1"/>
          <c:tx>
            <c:strRef>
              <c:f>Analysis!$D$40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Analysis!$B$41:$B$42</c:f>
              <c:strCache>
                <c:ptCount val="2"/>
                <c:pt idx="0">
                  <c:v>GCA (500:1)</c:v>
                </c:pt>
                <c:pt idx="1">
                  <c:v>NGCA (500:1)</c:v>
                </c:pt>
              </c:strCache>
            </c:strRef>
          </c:cat>
          <c:val>
            <c:numRef>
              <c:f>Analysis!$D$41:$D$42</c:f>
              <c:numCache>
                <c:formatCode>0</c:formatCode>
                <c:ptCount val="2"/>
                <c:pt idx="0">
                  <c:v>62.796666666666638</c:v>
                </c:pt>
                <c:pt idx="1">
                  <c:v>9.4759999999999991</c:v>
                </c:pt>
              </c:numCache>
            </c:numRef>
          </c:val>
        </c:ser>
        <c:dLbls>
          <c:dLblPos val="ctr"/>
          <c:showLegendKey val="0"/>
          <c:showVal val="1"/>
          <c:showCatName val="0"/>
          <c:showSerName val="0"/>
          <c:showPercent val="0"/>
          <c:showBubbleSize val="0"/>
        </c:dLbls>
        <c:gapWidth val="150"/>
        <c:overlap val="100"/>
        <c:axId val="524832728"/>
        <c:axId val="524841744"/>
      </c:barChart>
      <c:catAx>
        <c:axId val="5248327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4841744"/>
        <c:crosses val="autoZero"/>
        <c:auto val="1"/>
        <c:lblAlgn val="ctr"/>
        <c:lblOffset val="100"/>
        <c:noMultiLvlLbl val="0"/>
      </c:catAx>
      <c:valAx>
        <c:axId val="5248417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4832728"/>
        <c:crosses val="autoZero"/>
        <c:crossBetween val="between"/>
      </c:valAx>
      <c:spPr>
        <a:noFill/>
        <a:ln>
          <a:noFill/>
        </a:ln>
        <a:effectLst/>
      </c:spPr>
    </c:plotArea>
    <c:legend>
      <c:legendPos val="r"/>
      <c:layout>
        <c:manualLayout>
          <c:xMode val="edge"/>
          <c:yMode val="edge"/>
          <c:x val="0.79526278765910541"/>
          <c:y val="0.39865412656751237"/>
          <c:w val="0.166838198758225"/>
          <c:h val="0.274679623146690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Sites</a:t>
            </a:r>
            <a:r>
              <a:rPr lang="en-US" sz="1400" baseline="0"/>
              <a:t> which made w</a:t>
            </a:r>
            <a:r>
              <a:rPr lang="en-US" sz="1400"/>
              <a:t>ater quality test</a:t>
            </a:r>
            <a:r>
              <a:rPr lang="en-US" sz="1400" baseline="0"/>
              <a:t> </a:t>
            </a:r>
          </a:p>
        </c:rich>
      </c:tx>
      <c:layout>
        <c:manualLayout>
          <c:xMode val="edge"/>
          <c:yMode val="edge"/>
          <c:x val="0.17731774662279884"/>
          <c:y val="1.761006463725693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2.2991472172351889E-2"/>
          <c:y val="0.2477454448712029"/>
          <c:w val="0.38003254039497314"/>
          <c:h val="0.64616707079364943"/>
        </c:manualLayout>
      </c:layout>
      <c:pieChart>
        <c:varyColors val="1"/>
        <c:ser>
          <c:idx val="0"/>
          <c:order val="0"/>
          <c:tx>
            <c:strRef>
              <c:f>Analysis!$B$71</c:f>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59BD-40B5-80B0-001A8221DFDE}"/>
              </c:ext>
            </c:extLst>
          </c:dPt>
          <c:dPt>
            <c:idx val="1"/>
            <c:bubble3D val="0"/>
            <c:explosion val="13"/>
            <c:spPr>
              <a:solidFill>
                <a:srgbClr val="0070C0"/>
              </a:solidFill>
              <a:ln>
                <a:noFill/>
              </a:ln>
              <a:effectLst/>
            </c:spPr>
            <c:extLst xmlns:c16r2="http://schemas.microsoft.com/office/drawing/2015/06/chart">
              <c:ext xmlns:c16="http://schemas.microsoft.com/office/drawing/2014/chart" uri="{C3380CC4-5D6E-409C-BE32-E72D297353CC}">
                <c16:uniqueId val="{00000003-59BD-40B5-80B0-001A8221DFDE}"/>
              </c:ext>
            </c:extLst>
          </c:dPt>
          <c:dLbls>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strRef>
          </c:cat>
          <c:val>
            <c:numRef>
              <c:f>Analysis!$C$71:$D$71</c:f>
              <c:numCache>
                <c:formatCode>General</c:formatCode>
                <c:ptCount val="2"/>
                <c:pt idx="0">
                  <c:v>98</c:v>
                </c:pt>
                <c:pt idx="1">
                  <c:v>49</c:v>
                </c:pt>
              </c:numCache>
            </c:numRef>
          </c:val>
          <c:extLst xmlns:c16r2="http://schemas.microsoft.com/office/drawing/2015/06/chart">
            <c:ext xmlns:c16="http://schemas.microsoft.com/office/drawing/2014/chart" uri="{C3380CC4-5D6E-409C-BE32-E72D297353CC}">
              <c16:uniqueId val="{00000004-59BD-40B5-80B0-001A8221DFDE}"/>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1"/>
                <c:order val="1"/>
                <c:tx>
                  <c:strRef>
                    <c:extLst xmlns:c16r2="http://schemas.microsoft.com/office/drawing/2015/06/chart">
                      <c:ext uri="{02D57815-91ED-43cb-92C2-25804820EDAC}">
                        <c15:formulaRef>
                          <c15:sqref>Analysis!$B$72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6-59BD-40B5-80B0-001A8221DFD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8-59BD-40B5-80B0-001A8221DFDE}"/>
                    </c:ext>
                  </c:extLst>
                </c:dPt>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Analysis!$C$72:$D$72</c15:sqref>
                        </c15:formulaRef>
                      </c:ext>
                    </c:extLst>
                    <c:numCache>
                      <c:formatCode>General</c:formatCode>
                      <c:ptCount val="2"/>
                      <c:pt idx="0">
                        <c:v>11</c:v>
                      </c:pt>
                      <c:pt idx="1">
                        <c:v>13</c:v>
                      </c:pt>
                    </c:numCache>
                  </c:numRef>
                </c:val>
                <c:extLst xmlns:c16r2="http://schemas.microsoft.com/office/drawing/2015/06/chart">
                  <c:ext xmlns:c16="http://schemas.microsoft.com/office/drawing/2014/chart" uri="{C3380CC4-5D6E-409C-BE32-E72D297353CC}">
                    <c16:uniqueId val="{00000009-59BD-40B5-80B0-001A8221DFDE}"/>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59BD-40B5-80B0-001A8221DFD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59BD-40B5-80B0-001A8221DFDE}"/>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24</c:v>
                      </c:pt>
                      <c:pt idx="1">
                        <c:v>12</c:v>
                      </c:pt>
                    </c:numCache>
                  </c:numRef>
                </c:val>
                <c:extLst xmlns:c15="http://schemas.microsoft.com/office/drawing/2012/chart" xmlns:c16r2="http://schemas.microsoft.com/office/drawing/2015/06/chart">
                  <c:ext xmlns:c16="http://schemas.microsoft.com/office/drawing/2014/chart" uri="{C3380CC4-5D6E-409C-BE32-E72D297353CC}">
                    <c16:uniqueId val="{0000000E-59BD-40B5-80B0-001A8221DFDE}"/>
                  </c:ext>
                </c:extLst>
              </c15:ser>
            </c15:filteredPieSeries>
          </c:ext>
        </c:extLst>
      </c:pieChart>
      <c:spPr>
        <a:noFill/>
        <a:ln>
          <a:noFill/>
        </a:ln>
        <a:effectLst/>
      </c:spPr>
    </c:plotArea>
    <c:legend>
      <c:legendPos val="r"/>
      <c:layout>
        <c:manualLayout>
          <c:xMode val="edge"/>
          <c:yMode val="edge"/>
          <c:x val="5.5490717489957708E-2"/>
          <c:y val="0.82932760049730625"/>
          <c:w val="0.34567115626461425"/>
          <c:h val="0.167614656720541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[2018_11_09_Myanmar_WASH_4W_2018_Q3_FINAL.xlsx]Analysis!K_Geo</c:name>
    <c:fmtId val="40"/>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endParaRPr lang="en-US" sz="1400">
              <a:effectLst/>
            </a:endParaRPr>
          </a:p>
        </c:rich>
      </c:tx>
      <c:layout>
        <c:manualLayout>
          <c:xMode val="edge"/>
          <c:yMode val="edge"/>
          <c:x val="0.18915263415704367"/>
          <c:y val="3.240735525417750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65336395369437"/>
          <c:y val="0.23407035114329283"/>
          <c:w val="0.83388992896624581"/>
          <c:h val="0.58652831336492073"/>
        </c:manualLayout>
      </c:layout>
      <c:barChart>
        <c:barDir val="bar"/>
        <c:grouping val="clustered"/>
        <c:varyColors val="0"/>
        <c:ser>
          <c:idx val="0"/>
          <c:order val="0"/>
          <c:tx>
            <c:strRef>
              <c:f>Analysis!$D$286:$D$287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Analysis!$C$288:$C$289</c:f>
              <c:strCache>
                <c:ptCount val="2"/>
                <c:pt idx="0">
                  <c:v>Camp</c:v>
                </c:pt>
                <c:pt idx="1">
                  <c:v>Camp_not registered</c:v>
                </c:pt>
              </c:strCache>
            </c:strRef>
          </c:cat>
          <c:val>
            <c:numRef>
              <c:f>Analysis!$D$288:$D$289</c:f>
              <c:numCache>
                <c:formatCode>General</c:formatCode>
                <c:ptCount val="2"/>
                <c:pt idx="0">
                  <c:v>125</c:v>
                </c:pt>
                <c:pt idx="1">
                  <c:v>22</c:v>
                </c:pt>
              </c:numCache>
            </c:numRef>
          </c:val>
        </c:ser>
        <c:ser>
          <c:idx val="1"/>
          <c:order val="1"/>
          <c:tx>
            <c:strRef>
              <c:f>Analysis!$E$286:$E$287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Analysis!$C$288:$C$289</c:f>
              <c:strCache>
                <c:ptCount val="2"/>
                <c:pt idx="0">
                  <c:v>Camp</c:v>
                </c:pt>
                <c:pt idx="1">
                  <c:v>Camp_not registered</c:v>
                </c:pt>
              </c:strCache>
            </c:strRef>
          </c:cat>
          <c:val>
            <c:numRef>
              <c:f>Analysis!$E$288:$E$289</c:f>
              <c:numCache>
                <c:formatCode>General</c:formatCode>
                <c:ptCount val="2"/>
                <c:pt idx="0">
                  <c:v>19</c:v>
                </c:pt>
                <c:pt idx="1">
                  <c:v>3</c:v>
                </c:pt>
              </c:numCache>
            </c:numRef>
          </c:val>
        </c:ser>
        <c:dLbls>
          <c:showLegendKey val="0"/>
          <c:showVal val="0"/>
          <c:showCatName val="0"/>
          <c:showSerName val="0"/>
          <c:showPercent val="0"/>
          <c:showBubbleSize val="0"/>
        </c:dLbls>
        <c:gapWidth val="100"/>
        <c:axId val="524844488"/>
        <c:axId val="524842528"/>
      </c:barChart>
      <c:catAx>
        <c:axId val="5248444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4842528"/>
        <c:crosses val="autoZero"/>
        <c:auto val="1"/>
        <c:lblAlgn val="ctr"/>
        <c:lblOffset val="100"/>
        <c:noMultiLvlLbl val="0"/>
      </c:catAx>
      <c:valAx>
        <c:axId val="524842528"/>
        <c:scaling>
          <c:orientation val="minMax"/>
          <c:max val="14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4844488"/>
        <c:crosses val="autoZero"/>
        <c:crossBetween val="between"/>
      </c:valAx>
      <c:spPr>
        <a:noFill/>
        <a:ln>
          <a:noFill/>
        </a:ln>
        <a:effectLst/>
      </c:spPr>
    </c:plotArea>
    <c:legend>
      <c:legendPos val="r"/>
      <c:layout>
        <c:manualLayout>
          <c:xMode val="edge"/>
          <c:yMode val="edge"/>
          <c:x val="0.87273581809316403"/>
          <c:y val="0.41433301104795317"/>
          <c:w val="0.11463688355946815"/>
          <c:h val="0.205783057565562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ppl covered against 2018 HRP targets</a:t>
            </a:r>
            <a:endParaRPr lang="en-US" sz="1400">
              <a:effectLst/>
            </a:endParaRPr>
          </a:p>
          <a:p>
            <a:pPr>
              <a:defRPr sz="1400"/>
            </a:pPr>
            <a:r>
              <a:rPr lang="en-US" sz="1400" b="1" i="0" baseline="0">
                <a:effectLst/>
              </a:rPr>
              <a:t> (in IDP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HRP!$H$110</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FD32-408B-BEA6-80B3D1A1C8B5}"/>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FD32-408B-BEA6-80B3D1A1C8B5}"/>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FD32-408B-BEA6-80B3D1A1C8B5}"/>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FD32-408B-BEA6-80B3D1A1C8B5}"/>
              </c:ext>
            </c:extLst>
          </c:dPt>
          <c:dLbls>
            <c:dLbl>
              <c:idx val="3"/>
              <c:layout>
                <c:manualLayout>
                  <c:x val="1.6660959959908683E-2"/>
                  <c:y val="-6.236916900448738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32-408B-BEA6-80B3D1A1C8B5}"/>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HRP!$F$111:$F$116</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HRP!$H$111:$H$116</c:f>
              <c:numCache>
                <c:formatCode>_(* #,##0_);_(* \(#,##0\);_(* "-"??_);_(@_)</c:formatCode>
                <c:ptCount val="6"/>
                <c:pt idx="0">
                  <c:v>52868</c:v>
                </c:pt>
                <c:pt idx="1">
                  <c:v>33085</c:v>
                </c:pt>
                <c:pt idx="2">
                  <c:v>74441</c:v>
                </c:pt>
                <c:pt idx="3">
                  <c:v>34981</c:v>
                </c:pt>
                <c:pt idx="4">
                  <c:v>88001.666666666657</c:v>
                </c:pt>
                <c:pt idx="5">
                  <c:v>88001.666666666657</c:v>
                </c:pt>
              </c:numCache>
            </c:numRef>
          </c:val>
          <c:extLst xmlns:c16r2="http://schemas.microsoft.com/office/drawing/2015/06/chart">
            <c:ext xmlns:c16="http://schemas.microsoft.com/office/drawing/2014/chart" uri="{C3380CC4-5D6E-409C-BE32-E72D297353CC}">
              <c16:uniqueId val="{00000008-FD32-408B-BEA6-80B3D1A1C8B5}"/>
            </c:ext>
          </c:extLst>
        </c:ser>
        <c:ser>
          <c:idx val="1"/>
          <c:order val="1"/>
          <c:tx>
            <c:strRef>
              <c:f>HRP!$I$110</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A-FD32-408B-BEA6-80B3D1A1C8B5}"/>
              </c:ext>
            </c:extLst>
          </c:dPt>
          <c:dPt>
            <c:idx val="1"/>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C-FD32-408B-BEA6-80B3D1A1C8B5}"/>
              </c:ext>
            </c:extLst>
          </c:dPt>
          <c:dPt>
            <c:idx val="2"/>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E-FD32-408B-BEA6-80B3D1A1C8B5}"/>
              </c:ext>
            </c:extLst>
          </c:dPt>
          <c:dPt>
            <c:idx val="3"/>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10-FD32-408B-BEA6-80B3D1A1C8B5}"/>
              </c:ext>
            </c:extLst>
          </c:dPt>
          <c:dLbls>
            <c:dLbl>
              <c:idx val="4"/>
              <c:layout>
                <c:manualLayout>
                  <c:x val="8.6487303187530677E-3"/>
                  <c:y val="2.975548234571935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32-408B-BEA6-80B3D1A1C8B5}"/>
                </c:ext>
                <c:ext xmlns:c15="http://schemas.microsoft.com/office/drawing/2012/chart" uri="{CE6537A1-D6FC-4f65-9D91-7224C49458BB}"/>
              </c:extLst>
            </c:dLbl>
            <c:dLbl>
              <c:idx val="5"/>
              <c:layout>
                <c:manualLayout>
                  <c:x val="9.7757450679221841E-3"/>
                  <c:y val="-2.975548234571986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32-408B-BEA6-80B3D1A1C8B5}"/>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HRP!$F$111:$F$116</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HRP!$I$111:$I$116</c:f>
              <c:numCache>
                <c:formatCode>_(* #,##0_);_(* \(#,##0\);_(* "-"??_);_(@_)</c:formatCode>
                <c:ptCount val="6"/>
                <c:pt idx="0">
                  <c:v>34979</c:v>
                </c:pt>
                <c:pt idx="1">
                  <c:v>54762</c:v>
                </c:pt>
                <c:pt idx="2">
                  <c:v>13406</c:v>
                </c:pt>
                <c:pt idx="3">
                  <c:v>52866</c:v>
                </c:pt>
                <c:pt idx="4">
                  <c:v>-154.66666666665697</c:v>
                </c:pt>
                <c:pt idx="5">
                  <c:v>-154.66666666665697</c:v>
                </c:pt>
              </c:numCache>
            </c:numRef>
          </c:val>
          <c:extLst xmlns:c16r2="http://schemas.microsoft.com/office/drawing/2015/06/chart">
            <c:ext xmlns:c16="http://schemas.microsoft.com/office/drawing/2014/chart" uri="{C3380CC4-5D6E-409C-BE32-E72D297353CC}">
              <c16:uniqueId val="{00000013-FD32-408B-BEA6-80B3D1A1C8B5}"/>
            </c:ext>
          </c:extLst>
        </c:ser>
        <c:dLbls>
          <c:showLegendKey val="0"/>
          <c:showVal val="0"/>
          <c:showCatName val="0"/>
          <c:showSerName val="0"/>
          <c:showPercent val="0"/>
          <c:showBubbleSize val="0"/>
        </c:dLbls>
        <c:gapWidth val="150"/>
        <c:overlap val="100"/>
        <c:axId val="524842920"/>
        <c:axId val="524843312"/>
      </c:barChart>
      <c:catAx>
        <c:axId val="5248429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524843312"/>
        <c:crosses val="autoZero"/>
        <c:auto val="1"/>
        <c:lblAlgn val="ctr"/>
        <c:lblOffset val="100"/>
        <c:noMultiLvlLbl val="0"/>
      </c:catAx>
      <c:valAx>
        <c:axId val="524843312"/>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48429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Effective drainage</a:t>
            </a:r>
          </a:p>
          <a:p>
            <a:pPr>
              <a:defRPr sz="1300"/>
            </a:pPr>
            <a:r>
              <a:rPr lang="en-US" sz="1300"/>
              <a:t> in active camps</a:t>
            </a:r>
          </a:p>
        </c:rich>
      </c:tx>
      <c:layout>
        <c:manualLayout>
          <c:xMode val="edge"/>
          <c:yMode val="edge"/>
          <c:x val="0.31214285714285717"/>
          <c:y val="0"/>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422085234836898"/>
          <c:y val="0.3334924779028276"/>
          <c:w val="0.40587807654749858"/>
          <c:h val="0.81175615309499716"/>
        </c:manualLayout>
      </c:layout>
      <c:pieChart>
        <c:varyColors val="1"/>
        <c:ser>
          <c:idx val="0"/>
          <c:order val="0"/>
          <c:tx>
            <c:strRef>
              <c:f>Analysis!$B$162</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layout>
                <c:manualLayout>
                  <c:x val="6.1947246416120823E-2"/>
                  <c:y val="-0.1394115180991574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3A63-4C59-8DE1-219A0638CA1F}"/>
                </c:ext>
                <c:ext xmlns:c15="http://schemas.microsoft.com/office/drawing/2012/chart" uri="{CE6537A1-D6FC-4f65-9D91-7224C49458BB}"/>
              </c:extLst>
            </c:dLbl>
            <c:dLbl>
              <c:idx val="3"/>
              <c:layout>
                <c:manualLayout>
                  <c:x val="4.4142253079837497E-2"/>
                  <c:y val="0.1262423822946043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63-4C59-8DE1-219A0638CA1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strRef>
          </c:cat>
          <c:val>
            <c:numRef>
              <c:f>Analysis!$C$162:$F$162</c:f>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8-3A63-4C59-8DE1-219A0638CA1F}"/>
            </c:ext>
          </c:extLst>
        </c:ser>
        <c:dLbls>
          <c:dLblPos val="bestFit"/>
          <c:showLegendKey val="0"/>
          <c:showVal val="1"/>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1"/>
                <c:order val="1"/>
                <c:tx>
                  <c:strRef>
                    <c:extLst xmlns:c16r2="http://schemas.microsoft.com/office/drawing/2015/06/chart">
                      <c:ext uri="{02D57815-91ED-43cb-92C2-25804820EDAC}">
                        <c15:formulaRef>
                          <c15:sqref>Analysis!$B$163</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9-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B-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D-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F-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Analysis!$C$163:$F$163</c15:sqref>
                        </c15:formulaRef>
                      </c:ext>
                    </c:extLst>
                    <c:numCache>
                      <c:formatCode>General</c:formatCode>
                      <c:ptCount val="4"/>
                      <c:pt idx="0">
                        <c:v>12</c:v>
                      </c:pt>
                      <c:pt idx="1">
                        <c:v>1</c:v>
                      </c:pt>
                      <c:pt idx="2">
                        <c:v>10</c:v>
                      </c:pt>
                      <c:pt idx="3">
                        <c:v>1</c:v>
                      </c:pt>
                    </c:numCache>
                  </c:numRef>
                </c:val>
                <c:extLst xmlns:c16r2="http://schemas.microsoft.com/office/drawing/2015/06/chart">
                  <c:ext xmlns:c16="http://schemas.microsoft.com/office/drawing/2014/chart" uri="{C3380CC4-5D6E-409C-BE32-E72D297353CC}">
                    <c16:uniqueId val="{00000010-E152-4BF4-82EF-9DB679025329}"/>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Analysis!$B$164</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Analysis!$C$164:$F$164</c15:sqref>
                        </c15:formulaRef>
                      </c:ext>
                    </c:extLst>
                    <c:numCache>
                      <c:formatCode>General</c:formatCode>
                      <c:ptCount val="4"/>
                      <c:pt idx="0">
                        <c:v>19</c:v>
                      </c:pt>
                      <c:pt idx="1">
                        <c:v>5</c:v>
                      </c:pt>
                      <c:pt idx="2">
                        <c:v>3</c:v>
                      </c:pt>
                      <c:pt idx="3">
                        <c:v>8</c:v>
                      </c:pt>
                    </c:numCache>
                  </c:numRef>
                </c:val>
                <c:extLst xmlns:c15="http://schemas.microsoft.com/office/drawing/2012/chart" xmlns:c16r2="http://schemas.microsoft.com/office/drawing/2015/06/chart">
                  <c:ext xmlns:c16="http://schemas.microsoft.com/office/drawing/2014/chart" uri="{C3380CC4-5D6E-409C-BE32-E72D297353CC}">
                    <c16:uniqueId val="{00000019-E152-4BF4-82EF-9DB679025329}"/>
                  </c:ext>
                </c:extLst>
              </c15:ser>
            </c15:filteredPieSeries>
          </c:ext>
        </c:extLst>
      </c:pieChart>
      <c:spPr>
        <a:noFill/>
        <a:ln>
          <a:noFill/>
        </a:ln>
        <a:effectLst/>
      </c:spPr>
    </c:plotArea>
    <c:legend>
      <c:legendPos val="r"/>
      <c:layout>
        <c:manualLayout>
          <c:xMode val="edge"/>
          <c:yMode val="edge"/>
          <c:x val="0.54696550528002663"/>
          <c:y val="0.30745147331636707"/>
          <c:w val="0.41643601015286197"/>
          <c:h val="0.521159515386663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 Effective solid waste management system in place </a:t>
            </a:r>
          </a:p>
        </c:rich>
      </c:tx>
      <c:layout>
        <c:manualLayout>
          <c:xMode val="edge"/>
          <c:yMode val="edge"/>
          <c:x val="0.14584301962254717"/>
          <c:y val="6.9881201956673656E-3"/>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171457912632879E-2"/>
          <c:y val="0.34039535537084475"/>
          <c:w val="0.45006999125109359"/>
          <c:h val="0.67510498687664044"/>
        </c:manualLayout>
      </c:layout>
      <c:pieChart>
        <c:varyColors val="1"/>
        <c:ser>
          <c:idx val="0"/>
          <c:order val="0"/>
          <c:tx>
            <c:strRef>
              <c:f>Analysis!$B$178</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7D04-4B5A-8D19-1128D053B9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layout>
                <c:manualLayout>
                  <c:x val="0.10083595800524935"/>
                  <c:y val="7.585666375036453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7D04-4B5A-8D19-1128D053B922}"/>
                </c:ext>
                <c:ext xmlns:c15="http://schemas.microsoft.com/office/drawing/2012/chart" uri="{CE6537A1-D6FC-4f65-9D91-7224C49458BB}"/>
              </c:extLst>
            </c:dLbl>
            <c:dLbl>
              <c:idx val="2"/>
              <c:layout>
                <c:manualLayout>
                  <c:x val="4.3363541821423268E-2"/>
                  <c:y val="4.3223972003499561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D04-4B5A-8D19-1128D053B922}"/>
                </c:ext>
                <c:ext xmlns:c15="http://schemas.microsoft.com/office/drawing/2012/chart" uri="{CE6537A1-D6FC-4f65-9D91-7224C49458BB}"/>
              </c:extLst>
            </c:dLbl>
            <c:dLbl>
              <c:idx val="3"/>
              <c:layout>
                <c:manualLayout>
                  <c:x val="5.662479690038745E-2"/>
                  <c:y val="0.14276360835330365"/>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D04-4B5A-8D19-1128D053B92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Analysis!$C$177:$F$177</c:f>
              <c:strCache>
                <c:ptCount val="4"/>
                <c:pt idx="0">
                  <c:v>Functional</c:v>
                </c:pt>
                <c:pt idx="1">
                  <c:v>NA</c:v>
                </c:pt>
                <c:pt idx="2">
                  <c:v>Not_Functional</c:v>
                </c:pt>
                <c:pt idx="3">
                  <c:v>Not_inPlace</c:v>
                </c:pt>
              </c:strCache>
            </c:strRef>
          </c:cat>
          <c:val>
            <c:numRef>
              <c:f>Analysis!$C$178:$F$178</c:f>
              <c:numCache>
                <c:formatCode>General</c:formatCode>
                <c:ptCount val="4"/>
                <c:pt idx="0">
                  <c:v>122</c:v>
                </c:pt>
                <c:pt idx="1">
                  <c:v>1</c:v>
                </c:pt>
                <c:pt idx="2">
                  <c:v>2</c:v>
                </c:pt>
                <c:pt idx="3">
                  <c:v>10</c:v>
                </c:pt>
              </c:numCache>
            </c:numRef>
          </c:val>
          <c:extLst xmlns:c16r2="http://schemas.microsoft.com/office/drawing/2015/06/chart">
            <c:ext xmlns:c16="http://schemas.microsoft.com/office/drawing/2014/chart" uri="{C3380CC4-5D6E-409C-BE32-E72D297353CC}">
              <c16:uniqueId val="{0000000A-7D04-4B5A-8D19-1128D053B922}"/>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1"/>
                <c:order val="1"/>
                <c:tx>
                  <c:strRef>
                    <c:extLst xmlns:c16r2="http://schemas.microsoft.com/office/drawing/2015/06/chart">
                      <c:ext uri="{02D57815-91ED-43cb-92C2-25804820EDAC}">
                        <c15:formulaRef>
                          <c15:sqref>Analysis!$B$179</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9-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B-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D-EAC1-48F1-AA19-3F4A7F77555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F-EAC1-48F1-AA19-3F4A7F775559}"/>
                    </c:ext>
                  </c:extLst>
                </c:dPt>
                <c:cat>
                  <c:strRef>
                    <c:extLst xmlns:c16r2="http://schemas.microsoft.com/office/drawing/2015/06/chart">
                      <c:ex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Analysis!$C$179:$F$179</c15:sqref>
                        </c15:formulaRef>
                      </c:ext>
                    </c:extLst>
                    <c:numCache>
                      <c:formatCode>General</c:formatCode>
                      <c:ptCount val="4"/>
                      <c:pt idx="0">
                        <c:v>19</c:v>
                      </c:pt>
                      <c:pt idx="1">
                        <c:v>1</c:v>
                      </c:pt>
                      <c:pt idx="2">
                        <c:v>3</c:v>
                      </c:pt>
                      <c:pt idx="3">
                        <c:v>1</c:v>
                      </c:pt>
                    </c:numCache>
                  </c:numRef>
                </c:val>
                <c:extLst xmlns:c16r2="http://schemas.microsoft.com/office/drawing/2015/06/chart">
                  <c:ext xmlns:c16="http://schemas.microsoft.com/office/drawing/2014/chart" uri="{C3380CC4-5D6E-409C-BE32-E72D297353CC}">
                    <c16:uniqueId val="{00000010-EAC1-48F1-AA19-3F4A7F775559}"/>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Analysis!$B$180</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EAC1-48F1-AA19-3F4A7F77555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EAC1-48F1-AA19-3F4A7F775559}"/>
                    </c:ext>
                  </c:extLst>
                </c:dPt>
                <c:cat>
                  <c:strRef>
                    <c:extLst xmlns:c15="http://schemas.microsoft.com/office/drawing/2012/chart" xmlns:c16r2="http://schemas.microsoft.com/office/drawing/2015/06/chart">
                      <c:ext xmlns:c15="http://schemas.microsoft.com/office/drawing/2012/char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Analysis!$C$180:$F$180</c15:sqref>
                        </c15:formulaRef>
                      </c:ext>
                    </c:extLst>
                    <c:numCache>
                      <c:formatCode>General</c:formatCode>
                      <c:ptCount val="4"/>
                      <c:pt idx="0">
                        <c:v>24</c:v>
                      </c:pt>
                      <c:pt idx="1">
                        <c:v>5</c:v>
                      </c:pt>
                      <c:pt idx="2">
                        <c:v>2</c:v>
                      </c:pt>
                      <c:pt idx="3">
                        <c:v>4</c:v>
                      </c:pt>
                    </c:numCache>
                  </c:numRef>
                </c:val>
                <c:extLst xmlns:c15="http://schemas.microsoft.com/office/drawing/2012/chart" xmlns:c16r2="http://schemas.microsoft.com/office/drawing/2015/06/chart">
                  <c:ext xmlns:c16="http://schemas.microsoft.com/office/drawing/2014/chart" uri="{C3380CC4-5D6E-409C-BE32-E72D297353CC}">
                    <c16:uniqueId val="{00000019-EAC1-48F1-AA19-3F4A7F775559}"/>
                  </c:ext>
                </c:extLst>
              </c15:ser>
            </c15:filteredPieSeries>
          </c:ext>
        </c:extLst>
      </c:pieChart>
      <c:spPr>
        <a:noFill/>
        <a:ln>
          <a:noFill/>
        </a:ln>
        <a:effectLst/>
      </c:spPr>
    </c:plotArea>
    <c:legend>
      <c:legendPos val="r"/>
      <c:layout>
        <c:manualLayout>
          <c:xMode val="edge"/>
          <c:yMode val="edge"/>
          <c:x val="0.56095642981708005"/>
          <c:y val="0.29039617330442391"/>
          <c:w val="0.42002479051433955"/>
          <c:h val="0.550606717638556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baseline="0">
                <a:effectLst/>
              </a:rPr>
              <a:t>Latrine coverage </a:t>
            </a:r>
            <a:endParaRPr lang="en-US" sz="1300">
              <a:effectLst/>
            </a:endParaRPr>
          </a:p>
        </c:rich>
      </c:tx>
      <c:layout>
        <c:manualLayout>
          <c:xMode val="edge"/>
          <c:yMode val="edge"/>
          <c:x val="0.30986262720337476"/>
          <c:y val="1.104188438886213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242719660042495"/>
          <c:y val="0.13832875505257186"/>
          <c:w val="0.76664698162729661"/>
          <c:h val="0.63377112521149126"/>
        </c:manualLayout>
      </c:layout>
      <c:barChart>
        <c:barDir val="col"/>
        <c:grouping val="stacked"/>
        <c:varyColors val="0"/>
        <c:ser>
          <c:idx val="0"/>
          <c:order val="0"/>
          <c:tx>
            <c:strRef>
              <c:f>Analysis!$B$133</c:f>
              <c:strCache>
                <c:ptCount val="1"/>
                <c:pt idx="0">
                  <c:v>Coverage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Analysis!$C$133:$D$133</c:f>
              <c:numCache>
                <c:formatCode>_(* #,##0_);_(* \(#,##0\);_(* "-"??_);_(@_)</c:formatCode>
                <c:ptCount val="2"/>
                <c:pt idx="0">
                  <c:v>2366</c:v>
                </c:pt>
                <c:pt idx="1">
                  <c:v>3432</c:v>
                </c:pt>
              </c:numCache>
            </c:numRef>
          </c:val>
          <c:extLst xmlns:c16r2="http://schemas.microsoft.com/office/drawing/2015/06/chart">
            <c:ext xmlns:c16="http://schemas.microsoft.com/office/drawing/2014/chart" uri="{C3380CC4-5D6E-409C-BE32-E72D297353CC}">
              <c16:uniqueId val="{00000000-EB8D-4AB9-A97C-27DB4BB591A4}"/>
            </c:ext>
          </c:extLst>
        </c:ser>
        <c:ser>
          <c:idx val="1"/>
          <c:order val="1"/>
          <c:tx>
            <c:strRef>
              <c:f>Analysis!$B$134</c:f>
              <c:strCache>
                <c:ptCount val="1"/>
                <c:pt idx="0">
                  <c:v>GAP</c:v>
                </c:pt>
              </c:strCache>
            </c:strRef>
          </c:tx>
          <c:spPr>
            <a:solidFill>
              <a:schemeClr val="accent2">
                <a:lumMod val="60000"/>
                <a:lumOff val="40000"/>
              </a:schemeClr>
            </a:solidFill>
            <a:ln>
              <a:noFill/>
            </a:ln>
            <a:effectLst/>
          </c:spPr>
          <c:invertIfNegative val="0"/>
          <c:dLbls>
            <c:dLbl>
              <c:idx val="1"/>
              <c:layout>
                <c:manualLayout>
                  <c:x val="4.6470781953235635E-3"/>
                  <c:y val="-3.404016560853273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8D-4AB9-A97C-27DB4BB591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Analysis!$C$134:$D$134</c:f>
              <c:numCache>
                <c:formatCode>_(* #,##0_);_(* \(#,##0\);_(* "-"??_);_(@_)</c:formatCode>
                <c:ptCount val="2"/>
                <c:pt idx="0">
                  <c:v>247</c:v>
                </c:pt>
                <c:pt idx="1">
                  <c:v>0</c:v>
                </c:pt>
              </c:numCache>
            </c:numRef>
          </c:val>
          <c:extLst xmlns:c16r2="http://schemas.microsoft.com/office/drawing/2015/06/chart">
            <c:ext xmlns:c16="http://schemas.microsoft.com/office/drawing/2014/chart" uri="{C3380CC4-5D6E-409C-BE32-E72D297353CC}">
              <c16:uniqueId val="{00000002-EB8D-4AB9-A97C-27DB4BB591A4}"/>
            </c:ext>
          </c:extLst>
        </c:ser>
        <c:dLbls>
          <c:dLblPos val="ctr"/>
          <c:showLegendKey val="0"/>
          <c:showVal val="1"/>
          <c:showCatName val="0"/>
          <c:showSerName val="0"/>
          <c:showPercent val="0"/>
          <c:showBubbleSize val="0"/>
        </c:dLbls>
        <c:gapWidth val="150"/>
        <c:overlap val="100"/>
        <c:axId val="526465608"/>
        <c:axId val="526466000"/>
      </c:barChart>
      <c:catAx>
        <c:axId val="526465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6466000"/>
        <c:crosses val="autoZero"/>
        <c:auto val="1"/>
        <c:lblAlgn val="ctr"/>
        <c:lblOffset val="100"/>
        <c:noMultiLvlLbl val="0"/>
      </c:catAx>
      <c:valAx>
        <c:axId val="5264660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6465608"/>
        <c:crosses val="autoZero"/>
        <c:crossBetween val="between"/>
      </c:valAx>
      <c:spPr>
        <a:noFill/>
        <a:ln>
          <a:noFill/>
        </a:ln>
        <a:effectLst/>
      </c:spPr>
    </c:plotArea>
    <c:legend>
      <c:legendPos val="b"/>
      <c:layout>
        <c:manualLayout>
          <c:xMode val="edge"/>
          <c:yMode val="edge"/>
          <c:x val="0.26388017102199973"/>
          <c:y val="0.88680112262056077"/>
          <c:w val="0.47223932390255929"/>
          <c:h val="0.1131988773794391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Latrines handed over to families</a:t>
            </a: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652480939882514"/>
          <c:y val="0.17015052974563591"/>
          <c:w val="0.89814814814814814"/>
          <c:h val="0.61806647603641418"/>
        </c:manualLayout>
      </c:layout>
      <c:barChart>
        <c:barDir val="col"/>
        <c:grouping val="stacked"/>
        <c:varyColors val="0"/>
        <c:ser>
          <c:idx val="2"/>
          <c:order val="2"/>
          <c:tx>
            <c:strRef>
              <c:f>Analysis!$B$135</c:f>
              <c:strCache>
                <c:ptCount val="1"/>
                <c:pt idx="0">
                  <c:v>Latrines handed over</c:v>
                </c:pt>
              </c:strCache>
            </c:strRef>
          </c:tx>
          <c:spPr>
            <a:solidFill>
              <a:schemeClr val="accent2">
                <a:lumMod val="75000"/>
              </a:schemeClr>
            </a:solidFill>
            <a:ln>
              <a:noFill/>
            </a:ln>
            <a:effectLst/>
          </c:spPr>
          <c:invertIfNegative val="0"/>
          <c:dLbls>
            <c:dLbl>
              <c:idx val="1"/>
              <c:layout>
                <c:manualLayout>
                  <c:x val="-1.4844523990794141E-16"/>
                  <c:y val="-5.55409778710749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Analysis!$C$135:$D$135</c:f>
              <c:numCache>
                <c:formatCode>_(* #,##0_);_(* \(#,##0\);_(* "-"??_);_(@_)</c:formatCode>
                <c:ptCount val="2"/>
                <c:pt idx="0">
                  <c:v>699</c:v>
                </c:pt>
                <c:pt idx="1">
                  <c:v>383</c:v>
                </c:pt>
              </c:numCache>
            </c:numRef>
          </c:val>
          <c:extLst xmlns:c16r2="http://schemas.microsoft.com/office/drawing/2015/06/chart">
            <c:ext xmlns:c16="http://schemas.microsoft.com/office/drawing/2014/chart" uri="{C3380CC4-5D6E-409C-BE32-E72D297353CC}">
              <c16:uniqueId val="{00000000-89DD-4829-838C-9132D2EEC9DD}"/>
            </c:ext>
          </c:extLst>
        </c:ser>
        <c:ser>
          <c:idx val="3"/>
          <c:order val="3"/>
          <c:tx>
            <c:strRef>
              <c:f>Analysis!$B$136</c:f>
              <c:strCache>
                <c:ptCount val="1"/>
                <c:pt idx="0">
                  <c:v>Latrines not handed over</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Analysis!$C$136:$D$136</c:f>
              <c:numCache>
                <c:formatCode>_(* #,##0_);_(* \(#,##0\);_(* "-"??_);_(@_)</c:formatCode>
                <c:ptCount val="2"/>
                <c:pt idx="0">
                  <c:v>1914</c:v>
                </c:pt>
                <c:pt idx="1">
                  <c:v>3049</c:v>
                </c:pt>
              </c:numCache>
            </c:numRef>
          </c:val>
          <c:extLst xmlns:c16r2="http://schemas.microsoft.com/office/drawing/2015/06/chart">
            <c:ext xmlns:c16="http://schemas.microsoft.com/office/drawing/2014/chart" uri="{C3380CC4-5D6E-409C-BE32-E72D297353CC}">
              <c16:uniqueId val="{00000001-89DD-4829-838C-9132D2EEC9DD}"/>
            </c:ext>
          </c:extLst>
        </c:ser>
        <c:dLbls>
          <c:showLegendKey val="0"/>
          <c:showVal val="0"/>
          <c:showCatName val="0"/>
          <c:showSerName val="0"/>
          <c:showPercent val="0"/>
          <c:showBubbleSize val="0"/>
        </c:dLbls>
        <c:gapWidth val="150"/>
        <c:overlap val="100"/>
        <c:axId val="526459336"/>
        <c:axId val="52646992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Analysis!$B$133</c15:sqref>
                        </c15:formulaRef>
                      </c:ext>
                    </c:extLst>
                    <c:strCache>
                      <c:ptCount val="1"/>
                      <c:pt idx="0">
                        <c:v>Coverage</c:v>
                      </c:pt>
                    </c:strCache>
                  </c:strRef>
                </c:tx>
                <c:spPr>
                  <a:solidFill>
                    <a:schemeClr val="accent2">
                      <a:shade val="58000"/>
                    </a:schemeClr>
                  </a:solidFill>
                  <a:ln>
                    <a:noFill/>
                  </a:ln>
                  <a:effectLst/>
                </c:spPr>
                <c:invertIfNegative val="0"/>
                <c:cat>
                  <c:strRef>
                    <c:extLst xmlns:c16r2="http://schemas.microsoft.com/office/drawing/2015/06/chart">
                      <c:ext uri="{02D57815-91ED-43cb-92C2-25804820EDAC}">
                        <c15:formulaRef>
                          <c15:sqref>Analysis!$C$132:$D$132</c15:sqref>
                        </c15:formulaRef>
                      </c:ext>
                    </c:extLst>
                    <c:strCache>
                      <c:ptCount val="2"/>
                      <c:pt idx="0">
                        <c:v># in GCA (20:1)</c:v>
                      </c:pt>
                      <c:pt idx="1">
                        <c:v># in NGCA (20:1)</c:v>
                      </c:pt>
                    </c:strCache>
                  </c:strRef>
                </c:cat>
                <c:val>
                  <c:numRef>
                    <c:extLst xmlns:c16r2="http://schemas.microsoft.com/office/drawing/2015/06/chart">
                      <c:ext uri="{02D57815-91ED-43cb-92C2-25804820EDAC}">
                        <c15:formulaRef>
                          <c15:sqref>Analysis!$C$133:$D$133</c15:sqref>
                        </c15:formulaRef>
                      </c:ext>
                    </c:extLst>
                    <c:numCache>
                      <c:formatCode>_(* #,##0_);_(* \(#,##0\);_(* "-"??_);_(@_)</c:formatCode>
                      <c:ptCount val="2"/>
                      <c:pt idx="0">
                        <c:v>2366</c:v>
                      </c:pt>
                      <c:pt idx="1">
                        <c:v>3432</c:v>
                      </c:pt>
                    </c:numCache>
                  </c:numRef>
                </c:val>
                <c:extLst xmlns:c16r2="http://schemas.microsoft.com/office/drawing/2015/06/chart">
                  <c:ext xmlns:c16="http://schemas.microsoft.com/office/drawing/2014/chart" uri="{C3380CC4-5D6E-409C-BE32-E72D297353CC}">
                    <c16:uniqueId val="{00000000-C16D-4B5C-864C-7CC8470434C5}"/>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Analysis!$B$134</c15:sqref>
                        </c15:formulaRef>
                      </c:ext>
                    </c:extLst>
                    <c:strCache>
                      <c:ptCount val="1"/>
                      <c:pt idx="0">
                        <c:v>GAP</c:v>
                      </c:pt>
                    </c:strCache>
                  </c:strRef>
                </c:tx>
                <c:spPr>
                  <a:solidFill>
                    <a:schemeClr val="accent2">
                      <a:shade val="86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Analysis!$C$132:$D$132</c15:sqref>
                        </c15:formulaRef>
                      </c:ext>
                    </c:extLst>
                    <c:strCache>
                      <c:ptCount val="2"/>
                      <c:pt idx="0">
                        <c:v># in GCA (20:1)</c:v>
                      </c:pt>
                      <c:pt idx="1">
                        <c:v># in NGCA (20:1)</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Analysis!$C$134:$D$134</c15:sqref>
                        </c15:formulaRef>
                      </c:ext>
                    </c:extLst>
                    <c:numCache>
                      <c:formatCode>_(* #,##0_);_(* \(#,##0\);_(* "-"??_);_(@_)</c:formatCode>
                      <c:ptCount val="2"/>
                      <c:pt idx="0">
                        <c:v>247</c:v>
                      </c:pt>
                      <c:pt idx="1">
                        <c:v>0</c:v>
                      </c:pt>
                    </c:numCache>
                  </c:numRef>
                </c:val>
                <c:extLst xmlns:c15="http://schemas.microsoft.com/office/drawing/2012/chart" xmlns:c16r2="http://schemas.microsoft.com/office/drawing/2015/06/chart">
                  <c:ext xmlns:c16="http://schemas.microsoft.com/office/drawing/2014/chart" uri="{C3380CC4-5D6E-409C-BE32-E72D297353CC}">
                    <c16:uniqueId val="{00000002-C16D-4B5C-864C-7CC8470434C5}"/>
                  </c:ext>
                </c:extLst>
              </c15:ser>
            </c15:filteredBarSeries>
          </c:ext>
        </c:extLst>
      </c:barChart>
      <c:catAx>
        <c:axId val="526459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6469920"/>
        <c:crosses val="autoZero"/>
        <c:auto val="1"/>
        <c:lblAlgn val="ctr"/>
        <c:lblOffset val="100"/>
        <c:noMultiLvlLbl val="0"/>
      </c:catAx>
      <c:valAx>
        <c:axId val="526469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459336"/>
        <c:crosses val="autoZero"/>
        <c:crossBetween val="between"/>
      </c:valAx>
      <c:spPr>
        <a:noFill/>
        <a:ln>
          <a:noFill/>
        </a:ln>
        <a:effectLst/>
      </c:spPr>
    </c:plotArea>
    <c:legend>
      <c:legendPos val="b"/>
      <c:layout>
        <c:manualLayout>
          <c:xMode val="edge"/>
          <c:yMode val="edge"/>
          <c:x val="8.1527097534068466E-3"/>
          <c:y val="0.88623623518280759"/>
          <c:w val="0.94139148995134225"/>
          <c:h val="0.1073994004468084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Latrine</a:t>
            </a:r>
            <a:r>
              <a:rPr lang="en-US" sz="1300" b="1" baseline="0"/>
              <a:t> repaired and desludged</a:t>
            </a:r>
            <a:endParaRPr lang="en-US" sz="1300" b="1"/>
          </a:p>
        </c:rich>
      </c:tx>
      <c:layout>
        <c:manualLayout>
          <c:xMode val="edge"/>
          <c:yMode val="edge"/>
          <c:x val="0.19381153420296113"/>
          <c:y val="9.257946434396697E-3"/>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36185768361558"/>
          <c:y val="0.10454002389486261"/>
          <c:w val="0.8269872515935508"/>
          <c:h val="0.66112412471738524"/>
        </c:manualLayout>
      </c:layout>
      <c:barChart>
        <c:barDir val="col"/>
        <c:grouping val="clustered"/>
        <c:varyColors val="0"/>
        <c:ser>
          <c:idx val="0"/>
          <c:order val="0"/>
          <c:tx>
            <c:strRef>
              <c:f>Analysis!$B$137</c:f>
              <c:strCache>
                <c:ptCount val="1"/>
                <c:pt idx="0">
                  <c:v># latrines repairs</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Analysis!$C$137:$D$137</c:f>
              <c:numCache>
                <c:formatCode>_(* #,##0_);_(* \(#,##0\);_(* "-"??_);_(@_)</c:formatCode>
                <c:ptCount val="2"/>
                <c:pt idx="0">
                  <c:v>107</c:v>
                </c:pt>
                <c:pt idx="1">
                  <c:v>212</c:v>
                </c:pt>
              </c:numCache>
            </c:numRef>
          </c:val>
          <c:extLst xmlns:c16r2="http://schemas.microsoft.com/office/drawing/2015/06/chart">
            <c:ext xmlns:c16="http://schemas.microsoft.com/office/drawing/2014/chart" uri="{C3380CC4-5D6E-409C-BE32-E72D297353CC}">
              <c16:uniqueId val="{00000000-BE5C-460C-9416-9E341743CD67}"/>
            </c:ext>
          </c:extLst>
        </c:ser>
        <c:ser>
          <c:idx val="1"/>
          <c:order val="1"/>
          <c:tx>
            <c:strRef>
              <c:f>Analysis!$B$138</c:f>
              <c:strCache>
                <c:ptCount val="1"/>
                <c:pt idx="0">
                  <c:v># latrines desludged</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Analysis!$C$138:$D$138</c:f>
              <c:numCache>
                <c:formatCode>_(* #,##0_);_(* \(#,##0\);_(* "-"??_);_(@_)</c:formatCode>
                <c:ptCount val="2"/>
                <c:pt idx="0">
                  <c:v>461</c:v>
                </c:pt>
                <c:pt idx="1">
                  <c:v>278</c:v>
                </c:pt>
              </c:numCache>
            </c:numRef>
          </c:val>
          <c:extLst xmlns:c16r2="http://schemas.microsoft.com/office/drawing/2015/06/chart">
            <c:ext xmlns:c16="http://schemas.microsoft.com/office/drawing/2014/chart" uri="{C3380CC4-5D6E-409C-BE32-E72D297353CC}">
              <c16:uniqueId val="{00000001-BE5C-460C-9416-9E341743CD67}"/>
            </c:ext>
          </c:extLst>
        </c:ser>
        <c:dLbls>
          <c:dLblPos val="inEnd"/>
          <c:showLegendKey val="0"/>
          <c:showVal val="1"/>
          <c:showCatName val="0"/>
          <c:showSerName val="0"/>
          <c:showPercent val="0"/>
          <c:showBubbleSize val="0"/>
        </c:dLbls>
        <c:gapWidth val="219"/>
        <c:overlap val="-27"/>
        <c:axId val="526460512"/>
        <c:axId val="526461688"/>
      </c:barChart>
      <c:catAx>
        <c:axId val="52646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6461688"/>
        <c:crosses val="autoZero"/>
        <c:auto val="1"/>
        <c:lblAlgn val="ctr"/>
        <c:lblOffset val="100"/>
        <c:noMultiLvlLbl val="0"/>
      </c:catAx>
      <c:valAx>
        <c:axId val="526461688"/>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6460512"/>
        <c:crosses val="autoZero"/>
        <c:crossBetween val="between"/>
      </c:valAx>
      <c:spPr>
        <a:noFill/>
        <a:ln>
          <a:noFill/>
        </a:ln>
        <a:effectLst/>
      </c:spPr>
    </c:plotArea>
    <c:legend>
      <c:legendPos val="b"/>
      <c:layout>
        <c:manualLayout>
          <c:xMode val="edge"/>
          <c:yMode val="edge"/>
          <c:x val="5.6487633425753664E-2"/>
          <c:y val="0.87119116830826238"/>
          <c:w val="0.81162792150981122"/>
          <c:h val="0.1238307353157916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Latrine</a:t>
            </a:r>
            <a:r>
              <a:rPr lang="en-US" sz="1300" baseline="0"/>
              <a:t> Functionality</a:t>
            </a:r>
            <a:endParaRPr lang="en-US" sz="1300"/>
          </a:p>
        </c:rich>
      </c:tx>
      <c:overlay val="0"/>
      <c:spPr>
        <a:noFill/>
        <a:ln>
          <a:noFill/>
        </a:ln>
        <a:effectLst/>
      </c:spPr>
    </c:title>
    <c:autoTitleDeleted val="0"/>
    <c:plotArea>
      <c:layout>
        <c:manualLayout>
          <c:layoutTarget val="inner"/>
          <c:xMode val="edge"/>
          <c:yMode val="edge"/>
          <c:x val="0.10309930008748906"/>
          <c:y val="0.30569641294838146"/>
          <c:w val="0.42975065616797903"/>
          <c:h val="0.51570078740157477"/>
        </c:manualLayout>
      </c:layout>
      <c:pieChart>
        <c:varyColors val="1"/>
        <c:ser>
          <c:idx val="1"/>
          <c:order val="0"/>
          <c:dPt>
            <c:idx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F-D4AE-42C3-98C8-A49BC4C43D3C}"/>
              </c:ext>
            </c:extLst>
          </c:dPt>
          <c:dPt>
            <c:idx val="1"/>
            <c:bubble3D val="0"/>
            <c:spPr>
              <a:solidFill>
                <a:schemeClr val="accent2">
                  <a:lumMod val="40000"/>
                  <a:lumOff val="60000"/>
                </a:schemeClr>
              </a:solidFill>
            </c:spPr>
            <c:extLst xmlns:c16r2="http://schemas.microsoft.com/office/drawing/2015/06/chart">
              <c:ext xmlns:c16="http://schemas.microsoft.com/office/drawing/2014/chart" uri="{C3380CC4-5D6E-409C-BE32-E72D297353CC}">
                <c16:uniqueId val="{00000010-D4AE-42C3-98C8-A49BC4C43D3C}"/>
              </c:ext>
            </c:extLst>
          </c:dPt>
          <c:dPt>
            <c:idx val="2"/>
            <c:bubble3D val="0"/>
            <c:extLst xmlns:c16r2="http://schemas.microsoft.com/office/drawing/2015/06/chart">
              <c:ext xmlns:c16="http://schemas.microsoft.com/office/drawing/2014/chart" uri="{C3380CC4-5D6E-409C-BE32-E72D297353CC}">
                <c16:uniqueId val="{00000011-D4AE-42C3-98C8-A49BC4C43D3C}"/>
              </c:ext>
            </c:extLst>
          </c:dPt>
          <c:dLbls>
            <c:dLbl>
              <c:idx val="0"/>
              <c:numFmt formatCode="0%" sourceLinked="0"/>
              <c:spPr>
                <a:noFill/>
                <a:ln>
                  <a:noFill/>
                </a:ln>
                <a:effectLst/>
              </c:spPr>
              <c:txPr>
                <a:bodyPr wrap="square" lIns="38100" tIns="19050" rIns="38100" bIns="19050" anchor="ctr">
                  <a:spAutoFit/>
                </a:bodyPr>
                <a:lstStyle/>
                <a:p>
                  <a:pPr>
                    <a:defRPr sz="1200">
                      <a:solidFill>
                        <a:schemeClr val="bg1"/>
                      </a:solidFill>
                    </a:defRPr>
                  </a:pPr>
                  <a:endParaRPr lang="en-US"/>
                </a:p>
              </c:txPr>
              <c:dLblPos val="bestFit"/>
              <c:showLegendKey val="0"/>
              <c:showVal val="0"/>
              <c:showCatName val="0"/>
              <c:showSerName val="0"/>
              <c:showPercent val="1"/>
              <c:showBubbleSize val="0"/>
            </c:dLbl>
            <c:numFmt formatCode="0%" sourceLinked="0"/>
            <c:spPr>
              <a:noFill/>
              <a:ln>
                <a:noFill/>
              </a:ln>
              <a:effectLst/>
            </c:spPr>
            <c:txPr>
              <a:bodyPr wrap="square" lIns="38100" tIns="19050" rIns="38100" bIns="19050" anchor="ctr">
                <a:spAutoFit/>
              </a:bodyPr>
              <a:lstStyle/>
              <a:p>
                <a:pPr>
                  <a:defRPr sz="1200"/>
                </a:pPr>
                <a:endParaRPr lang="en-US"/>
              </a:p>
            </c:txPr>
            <c:dLblPos val="bestFit"/>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Analysis!$F$133:$F$135</c:f>
              <c:strCache>
                <c:ptCount val="3"/>
                <c:pt idx="0">
                  <c:v>Functioning</c:v>
                </c:pt>
                <c:pt idx="1">
                  <c:v>Reparis</c:v>
                </c:pt>
                <c:pt idx="2">
                  <c:v>Desludging</c:v>
                </c:pt>
              </c:strCache>
            </c:strRef>
          </c:cat>
          <c:val>
            <c:numRef>
              <c:f>Analysis!$G$133:$G$135</c:f>
              <c:numCache>
                <c:formatCode>_(* #,##0_);_(* \(#,##0\);_(* "-"??_);_(@_)</c:formatCode>
                <c:ptCount val="3"/>
                <c:pt idx="0" formatCode="General">
                  <c:v>5798</c:v>
                </c:pt>
                <c:pt idx="1">
                  <c:v>319</c:v>
                </c:pt>
                <c:pt idx="2" formatCode="General">
                  <c:v>739</c:v>
                </c:pt>
              </c:numCache>
            </c:numRef>
          </c:val>
          <c:extLst xmlns:c16r2="http://schemas.microsoft.com/office/drawing/2015/06/chart">
            <c:ext xmlns:c16="http://schemas.microsoft.com/office/drawing/2014/chart" uri="{C3380CC4-5D6E-409C-BE32-E72D297353CC}">
              <c16:uniqueId val="{0000000E-D4AE-42C3-98C8-A49BC4C43D3C}"/>
            </c:ext>
          </c:extLst>
        </c:ser>
        <c:ser>
          <c:idx val="0"/>
          <c:order val="1"/>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8-D4AE-42C3-98C8-A49BC4C43D3C}"/>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A-D4AE-42C3-98C8-A49BC4C43D3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C-D4AE-42C3-98C8-A49BC4C43D3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Analysis!$F$133:$F$135</c:f>
              <c:strCache>
                <c:ptCount val="3"/>
                <c:pt idx="0">
                  <c:v>Functioning</c:v>
                </c:pt>
                <c:pt idx="1">
                  <c:v>Reparis</c:v>
                </c:pt>
                <c:pt idx="2">
                  <c:v>Desludging</c:v>
                </c:pt>
              </c:strCache>
            </c:strRef>
          </c:cat>
          <c:val>
            <c:numRef>
              <c:f>Analysis!$G$133:$G$135</c:f>
              <c:numCache>
                <c:formatCode>_(* #,##0_);_(* \(#,##0\);_(* "-"??_);_(@_)</c:formatCode>
                <c:ptCount val="3"/>
                <c:pt idx="0" formatCode="General">
                  <c:v>5798</c:v>
                </c:pt>
                <c:pt idx="1">
                  <c:v>319</c:v>
                </c:pt>
                <c:pt idx="2" formatCode="General">
                  <c:v>739</c:v>
                </c:pt>
              </c:numCache>
            </c:numRef>
          </c:val>
          <c:extLst xmlns:c16r2="http://schemas.microsoft.com/office/drawing/2015/06/chart">
            <c:ext xmlns:c16="http://schemas.microsoft.com/office/drawing/2014/chart" uri="{C3380CC4-5D6E-409C-BE32-E72D297353CC}">
              <c16:uniqueId val="{0000000D-D4AE-42C3-98C8-A49BC4C43D3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1448053368328959"/>
          <c:y val="0.33213250689701518"/>
          <c:w val="0.35255249343832024"/>
          <c:h val="0.3470460371378156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ln>
      <a:solidFill>
        <a:schemeClr val="accent1">
          <a:lumMod val="20000"/>
          <a:lumOff val="80000"/>
        </a:schemeClr>
      </a:solidFill>
    </a:ln>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Analysis!$G$55</c:f>
              <c:strCache>
                <c:ptCount val="1"/>
                <c:pt idx="0">
                  <c:v>Kachin</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Analysis!$H$54:$I$54</c:f>
              <c:strCache>
                <c:ptCount val="2"/>
                <c:pt idx="0">
                  <c:v>% of FAIL water samples at HH</c:v>
                </c:pt>
                <c:pt idx="1">
                  <c:v>% of FAIL water samples at water source</c:v>
                </c:pt>
              </c:strCache>
            </c:strRef>
          </c:cat>
          <c:val>
            <c:numRef>
              <c:f>Analysis!$H$55:$I$55</c:f>
              <c:numCache>
                <c:formatCode>0%</c:formatCode>
                <c:ptCount val="2"/>
                <c:pt idx="0">
                  <c:v>0.67647551589016741</c:v>
                </c:pt>
                <c:pt idx="1">
                  <c:v>0.81862745098039214</c:v>
                </c:pt>
              </c:numCache>
            </c:numRef>
          </c:val>
          <c:extLst xmlns:c16r2="http://schemas.microsoft.com/office/drawing/2015/06/chart">
            <c:ext xmlns:c16="http://schemas.microsoft.com/office/drawing/2014/chart" uri="{C3380CC4-5D6E-409C-BE32-E72D297353CC}">
              <c16:uniqueId val="{00000000-C8CB-4E55-B486-7E9000988768}"/>
            </c:ext>
          </c:extLst>
        </c:ser>
        <c:dLbls>
          <c:dLblPos val="ctr"/>
          <c:showLegendKey val="0"/>
          <c:showVal val="1"/>
          <c:showCatName val="0"/>
          <c:showSerName val="0"/>
          <c:showPercent val="0"/>
          <c:showBubbleSize val="0"/>
        </c:dLbls>
        <c:gapWidth val="150"/>
        <c:overlap val="100"/>
        <c:axId val="526460120"/>
        <c:axId val="526459728"/>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Analysis!$G$56</c15:sqref>
                        </c15:formulaRef>
                      </c:ext>
                    </c:extLst>
                    <c:strCache>
                      <c:ptCount val="1"/>
                      <c:pt idx="0">
                        <c:v>Rakhine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Analysis!$H$56:$I$56</c15:sqref>
                        </c15:formulaRef>
                      </c:ext>
                    </c:extLst>
                    <c:numCache>
                      <c:formatCode>0%</c:formatCode>
                      <c:ptCount val="2"/>
                      <c:pt idx="0">
                        <c:v>0.58204757263297502</c:v>
                      </c:pt>
                      <c:pt idx="1">
                        <c:v>0.30659146391921277</c:v>
                      </c:pt>
                    </c:numCache>
                  </c:numRef>
                </c:val>
                <c:extLst xmlns:c16r2="http://schemas.microsoft.com/office/drawing/2015/06/chart">
                  <c:ext xmlns:c16="http://schemas.microsoft.com/office/drawing/2014/chart" uri="{C3380CC4-5D6E-409C-BE32-E72D297353CC}">
                    <c16:uniqueId val="{00000001-C8CB-4E55-B486-7E9000988768}"/>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5">
                          <a:tint val="65000"/>
                          <a:satMod val="103000"/>
                          <a:lumMod val="102000"/>
                          <a:tint val="94000"/>
                        </a:schemeClr>
                      </a:gs>
                      <a:gs pos="50000">
                        <a:schemeClr val="accent5">
                          <a:tint val="65000"/>
                          <a:satMod val="110000"/>
                          <a:lumMod val="100000"/>
                          <a:shade val="100000"/>
                        </a:schemeClr>
                      </a:gs>
                      <a:gs pos="100000">
                        <a:schemeClr val="accent5">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0.45242114123693067</c:v>
                      </c:pt>
                      <c:pt idx="1">
                        <c:v>0.47916666666666674</c:v>
                      </c:pt>
                    </c:numCache>
                  </c:numRef>
                </c:val>
                <c:extLst xmlns:c15="http://schemas.microsoft.com/office/drawing/2012/chart" xmlns:c16r2="http://schemas.microsoft.com/office/drawing/2015/06/chart">
                  <c:ext xmlns:c16="http://schemas.microsoft.com/office/drawing/2014/chart" uri="{C3380CC4-5D6E-409C-BE32-E72D297353CC}">
                    <c16:uniqueId val="{00000002-C8CB-4E55-B486-7E9000988768}"/>
                  </c:ext>
                </c:extLst>
              </c15:ser>
            </c15:filteredBarSeries>
          </c:ext>
        </c:extLst>
      </c:barChart>
      <c:catAx>
        <c:axId val="5264601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26459728"/>
        <c:crosses val="autoZero"/>
        <c:auto val="1"/>
        <c:lblAlgn val="ctr"/>
        <c:lblOffset val="100"/>
        <c:noMultiLvlLbl val="0"/>
      </c:catAx>
      <c:valAx>
        <c:axId val="52645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460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i="0" baseline="0">
                <a:effectLst/>
              </a:rPr>
              <a:t>WASH in Temporary Learning Spaces </a:t>
            </a:r>
            <a:endParaRPr lang="en-US" sz="1400" b="1">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Analysis!$C$408</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BD0A-434C-BFE9-8ABE13DC62FB}"/>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D-B709-46A6-BC97-AA9E33A7C330}"/>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BD0A-434C-BFE9-8ABE13DC62FB}"/>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B709-46A6-BC97-AA9E33A7C330}"/>
              </c:ext>
            </c:extLst>
          </c:dPt>
          <c:dPt>
            <c:idx val="4"/>
            <c:invertIfNegative val="0"/>
            <c:bubble3D val="0"/>
            <c:spPr>
              <a:solidFill>
                <a:srgbClr val="0070C0"/>
              </a:solidFill>
              <a:ln>
                <a:noFill/>
              </a:ln>
              <a:effectLst>
                <a:outerShdw blurRad="57150" dist="19050" dir="5400000" algn="ctr" rotWithShape="0">
                  <a:srgbClr val="000000">
                    <a:alpha val="63000"/>
                  </a:srgbClr>
                </a:outerShdw>
              </a:effectLst>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Analysis!$D$407:$H$407</c:f>
              <c:strCache>
                <c:ptCount val="5"/>
                <c:pt idx="0">
                  <c:v> # of hand washing stations with soap</c:v>
                </c:pt>
                <c:pt idx="1">
                  <c:v> # of hand washing stations for TLS</c:v>
                </c:pt>
                <c:pt idx="2">
                  <c:v> # of children Latrines</c:v>
                </c:pt>
                <c:pt idx="3">
                  <c:v> # of latrines in TLS (schools)</c:v>
                </c:pt>
                <c:pt idx="4">
                  <c:v># Water points in TLS</c:v>
                </c:pt>
              </c:strCache>
            </c:strRef>
          </c:cat>
          <c:val>
            <c:numRef>
              <c:f>Analysis!$D$408:$H$408</c:f>
              <c:numCache>
                <c:formatCode>_(* #,##0_);_(* \(#,##0\);_(* "-"??_);_(@_)</c:formatCode>
                <c:ptCount val="5"/>
                <c:pt idx="0">
                  <c:v>25</c:v>
                </c:pt>
                <c:pt idx="1">
                  <c:v>139</c:v>
                </c:pt>
                <c:pt idx="2">
                  <c:v>4</c:v>
                </c:pt>
                <c:pt idx="3">
                  <c:v>55</c:v>
                </c:pt>
                <c:pt idx="4">
                  <c:v>26</c:v>
                </c:pt>
              </c:numCache>
            </c:numRef>
          </c:val>
          <c:extLst xmlns:c16r2="http://schemas.microsoft.com/office/drawing/2015/06/chart">
            <c:ext xmlns:c16="http://schemas.microsoft.com/office/drawing/2014/chart" uri="{C3380CC4-5D6E-409C-BE32-E72D297353CC}">
              <c16:uniqueId val="{00000004-BD0A-434C-BFE9-8ABE13DC62FB}"/>
            </c:ext>
          </c:extLst>
        </c:ser>
        <c:dLbls>
          <c:showLegendKey val="0"/>
          <c:showVal val="0"/>
          <c:showCatName val="0"/>
          <c:showSerName val="0"/>
          <c:showPercent val="0"/>
          <c:showBubbleSize val="0"/>
        </c:dLbls>
        <c:gapWidth val="115"/>
        <c:overlap val="-20"/>
        <c:axId val="526465216"/>
        <c:axId val="526467960"/>
      </c:barChart>
      <c:catAx>
        <c:axId val="526465216"/>
        <c:scaling>
          <c:orientation val="minMax"/>
        </c:scaling>
        <c:delete val="1"/>
        <c:axPos val="l"/>
        <c:numFmt formatCode="General" sourceLinked="1"/>
        <c:majorTickMark val="none"/>
        <c:minorTickMark val="none"/>
        <c:tickLblPos val="nextTo"/>
        <c:crossAx val="526467960"/>
        <c:crosses val="autoZero"/>
        <c:auto val="1"/>
        <c:lblAlgn val="ctr"/>
        <c:lblOffset val="100"/>
        <c:noMultiLvlLbl val="0"/>
      </c:catAx>
      <c:valAx>
        <c:axId val="526467960"/>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526465216"/>
        <c:crosses val="autoZero"/>
        <c:crossBetween val="between"/>
      </c:valAx>
      <c:spPr>
        <a:noFill/>
        <a:ln>
          <a:noFill/>
        </a:ln>
        <a:effectLst/>
      </c:spPr>
    </c:plotArea>
    <c:legend>
      <c:legendPos val="b"/>
      <c:layout>
        <c:manualLayout>
          <c:xMode val="edge"/>
          <c:yMode val="edge"/>
          <c:x val="4.926148886656645E-2"/>
          <c:y val="0.84788481578504282"/>
          <c:w val="0.9362492839597456"/>
          <c:h val="0.1321957901091683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dLbl>
              <c:idx val="0"/>
              <c:layout>
                <c:manualLayout>
                  <c:x val="1.7308993299750004E-2"/>
                  <c:y val="-8.3856458529964154E-17"/>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1.1219083025745705E-2</c:v>
              </c:pt>
            </c:numLit>
          </c:val>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0.27699714446221713</c:v>
              </c:pt>
            </c:numLit>
          </c:val>
        </c:ser>
        <c:ser>
          <c:idx val="2"/>
          <c:order val="2"/>
          <c:tx>
            <c:v>INGO/LNGO</c:v>
          </c:tx>
          <c:spPr>
            <a:solidFill>
              <a:schemeClr val="bg1">
                <a:lumMod val="8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0.71178377251203717</c:v>
              </c:pt>
            </c:numLit>
          </c:val>
        </c:ser>
        <c:dLbls>
          <c:showLegendKey val="0"/>
          <c:showVal val="0"/>
          <c:showCatName val="0"/>
          <c:showSerName val="0"/>
          <c:showPercent val="0"/>
          <c:showBubbleSize val="0"/>
        </c:dLbls>
        <c:gapWidth val="150"/>
        <c:overlap val="100"/>
        <c:axId val="526460904"/>
        <c:axId val="526470312"/>
      </c:barChart>
      <c:catAx>
        <c:axId val="526460904"/>
        <c:scaling>
          <c:orientation val="minMax"/>
        </c:scaling>
        <c:delete val="1"/>
        <c:axPos val="l"/>
        <c:numFmt formatCode="General" sourceLinked="1"/>
        <c:majorTickMark val="none"/>
        <c:minorTickMark val="none"/>
        <c:tickLblPos val="nextTo"/>
        <c:crossAx val="526470312"/>
        <c:crosses val="autoZero"/>
        <c:auto val="1"/>
        <c:lblAlgn val="ctr"/>
        <c:lblOffset val="100"/>
        <c:noMultiLvlLbl val="0"/>
      </c:catAx>
      <c:valAx>
        <c:axId val="5264703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6460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2018-Q3 (US$)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[4]National!$D$3</c:f>
              <c:strCache>
                <c:ptCount val="1"/>
                <c:pt idx="0">
                  <c:v>Cumulative Funding Received for 2018</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[4]National!$B$4</c:f>
              <c:strCache>
                <c:ptCount val="1"/>
                <c:pt idx="0">
                  <c:v>Kachin/Shan</c:v>
                </c:pt>
              </c:strCache>
            </c:strRef>
          </c:cat>
          <c:val>
            <c:numRef>
              <c:extLst>
                <c:ext xmlns:c15="http://schemas.microsoft.com/office/drawing/2012/chart" uri="{02D57815-91ED-43cb-92C2-25804820EDAC}">
                  <c15:fullRef>
                    <c15:sqref>[4]National!$D$4:$D$6</c15:sqref>
                  </c15:fullRef>
                </c:ext>
              </c:extLst>
              <c:f>[4]National!$D$4</c:f>
              <c:numCache>
                <c:formatCode>General</c:formatCode>
                <c:ptCount val="1"/>
                <c:pt idx="0">
                  <c:v>3158601.9917334807</c:v>
                </c:pt>
              </c:numCache>
            </c:numRef>
          </c:val>
          <c:extLst xmlns:c16r2="http://schemas.microsoft.com/office/drawing/2015/06/chart" xmlns:c15="http://schemas.microsoft.com/office/drawing/2012/chart">
            <c:ext xmlns:c16="http://schemas.microsoft.com/office/drawing/2014/chart" uri="{C3380CC4-5D6E-409C-BE32-E72D297353CC}">
              <c16:uniqueId val="{00000000-5296-4004-994E-50883005351E}"/>
            </c:ext>
          </c:extLst>
        </c:ser>
        <c:ser>
          <c:idx val="1"/>
          <c:order val="1"/>
          <c:tx>
            <c:strRef>
              <c:f>[4]National!$E$3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[4]National!$B$4</c:f>
              <c:strCache>
                <c:ptCount val="1"/>
                <c:pt idx="0">
                  <c:v>Kachin/Shan</c:v>
                </c:pt>
              </c:strCache>
            </c:strRef>
          </c:cat>
          <c:val>
            <c:numRef>
              <c:extLst>
                <c:ext xmlns:c15="http://schemas.microsoft.com/office/drawing/2012/chart" uri="{02D57815-91ED-43cb-92C2-25804820EDAC}">
                  <c15:fullRef>
                    <c15:sqref>[4]National!$E$4:$E$6</c15:sqref>
                  </c15:fullRef>
                </c:ext>
              </c:extLst>
              <c:f>[4]National!$E$4</c:f>
              <c:numCache>
                <c:formatCode>General</c:formatCode>
                <c:ptCount val="1"/>
                <c:pt idx="0">
                  <c:v>6541398.0082665198</c:v>
                </c:pt>
              </c:numCache>
            </c:numRef>
          </c:val>
          <c:extLst xmlns:c16r2="http://schemas.microsoft.com/office/drawing/2015/06/chart">
            <c:ext xmlns:c16="http://schemas.microsoft.com/office/drawing/2014/chart" uri="{C3380CC4-5D6E-409C-BE32-E72D297353CC}">
              <c16:uniqueId val="{00000000-1BD1-4A93-BEBF-63ED0A2D5833}"/>
            </c:ext>
          </c:extLst>
        </c:ser>
        <c:dLbls>
          <c:dLblPos val="ctr"/>
          <c:showLegendKey val="0"/>
          <c:showVal val="1"/>
          <c:showCatName val="0"/>
          <c:showSerName val="0"/>
          <c:showPercent val="0"/>
          <c:showBubbleSize val="0"/>
        </c:dLbls>
        <c:gapWidth val="150"/>
        <c:overlap val="100"/>
        <c:axId val="526461296"/>
        <c:axId val="526468744"/>
        <c:extLst xmlns:c16r2="http://schemas.microsoft.com/office/drawing/2015/06/chart"/>
      </c:barChart>
      <c:catAx>
        <c:axId val="5264612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6468744"/>
        <c:crosses val="autoZero"/>
        <c:auto val="1"/>
        <c:lblAlgn val="ctr"/>
        <c:lblOffset val="100"/>
        <c:noMultiLvlLbl val="0"/>
      </c:catAx>
      <c:valAx>
        <c:axId val="52646874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6461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Latrines handed over to families</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Analysis!$K$135</c:f>
              <c:strCache>
                <c:ptCount val="1"/>
                <c:pt idx="0">
                  <c:v>Latrines handed over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Analysis!$L$135:$M$135</c:f>
              <c:numCache>
                <c:formatCode>_(* #,##0_);_(* \(#,##0\);_(* "-"??_);_(@_)</c:formatCode>
                <c:ptCount val="2"/>
                <c:pt idx="0">
                  <c:v>4268</c:v>
                </c:pt>
                <c:pt idx="1">
                  <c:v>2665</c:v>
                </c:pt>
              </c:numCache>
            </c:numRef>
          </c:val>
          <c:extLst xmlns:c16r2="http://schemas.microsoft.com/office/drawing/2015/06/chart">
            <c:ext xmlns:c16="http://schemas.microsoft.com/office/drawing/2014/chart" uri="{C3380CC4-5D6E-409C-BE32-E72D297353CC}">
              <c16:uniqueId val="{00000000-D438-4C53-93B3-9FA74B8C19A7}"/>
            </c:ext>
          </c:extLst>
        </c:ser>
        <c:ser>
          <c:idx val="1"/>
          <c:order val="1"/>
          <c:tx>
            <c:strRef>
              <c:f>Analysis!$K$136</c:f>
              <c:strCache>
                <c:ptCount val="1"/>
                <c:pt idx="0">
                  <c:v>Latrines not handed over</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Analysis!$L$136:$M$136</c:f>
              <c:numCache>
                <c:formatCode>_(* #,##0_);_(* \(#,##0\);_(* "-"??_);_(@_)</c:formatCode>
                <c:ptCount val="2"/>
                <c:pt idx="0">
                  <c:v>1882</c:v>
                </c:pt>
                <c:pt idx="1">
                  <c:v>9466</c:v>
                </c:pt>
              </c:numCache>
            </c:numRef>
          </c:val>
          <c:extLst xmlns:c16r2="http://schemas.microsoft.com/office/drawing/2015/06/chart">
            <c:ext xmlns:c16="http://schemas.microsoft.com/office/drawing/2014/chart" uri="{C3380CC4-5D6E-409C-BE32-E72D297353CC}">
              <c16:uniqueId val="{00000001-D438-4C53-93B3-9FA74B8C19A7}"/>
            </c:ext>
          </c:extLst>
        </c:ser>
        <c:dLbls>
          <c:dLblPos val="ctr"/>
          <c:showLegendKey val="0"/>
          <c:showVal val="1"/>
          <c:showCatName val="0"/>
          <c:showSerName val="0"/>
          <c:showPercent val="0"/>
          <c:showBubbleSize val="0"/>
        </c:dLbls>
        <c:gapWidth val="150"/>
        <c:overlap val="100"/>
        <c:axId val="526462864"/>
        <c:axId val="526464824"/>
      </c:barChart>
      <c:catAx>
        <c:axId val="52646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464824"/>
        <c:crosses val="autoZero"/>
        <c:auto val="1"/>
        <c:lblAlgn val="ctr"/>
        <c:lblOffset val="100"/>
        <c:noMultiLvlLbl val="0"/>
      </c:catAx>
      <c:valAx>
        <c:axId val="5264648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462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Hygiene Coverage in active camps</a:t>
            </a:r>
            <a:endParaRPr lang="en-US" sz="12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Analysis!$Q$231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Analysis!$Q$232:$Q$235</c:f>
              <c:numCache>
                <c:formatCode>_(* #,##0_);_(* \(#,##0\);_(* "-"??_);_(@_)</c:formatCode>
                <c:ptCount val="4"/>
                <c:pt idx="0">
                  <c:v>17140.2</c:v>
                </c:pt>
                <c:pt idx="1">
                  <c:v>15779.2</c:v>
                </c:pt>
                <c:pt idx="2">
                  <c:v>24329</c:v>
                </c:pt>
                <c:pt idx="3">
                  <c:v>24238</c:v>
                </c:pt>
              </c:numCache>
            </c:numRef>
          </c:val>
          <c:extLst xmlns:c16r2="http://schemas.microsoft.com/office/drawing/2015/06/chart">
            <c:ext xmlns:c16="http://schemas.microsoft.com/office/drawing/2014/chart" uri="{C3380CC4-5D6E-409C-BE32-E72D297353CC}">
              <c16:uniqueId val="{00000000-F5FF-4313-84A4-722007FD5F1B}"/>
            </c:ext>
          </c:extLst>
        </c:ser>
        <c:ser>
          <c:idx val="1"/>
          <c:order val="1"/>
          <c:tx>
            <c:strRef>
              <c:f>Analysis!$R$231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Analysis!$R$232:$R$235</c:f>
              <c:numCache>
                <c:formatCode>_(* #,##0_);_(* \(#,##0\);_(* "-"??_);_(@_)</c:formatCode>
                <c:ptCount val="4"/>
                <c:pt idx="0">
                  <c:v>7278.7999999999993</c:v>
                </c:pt>
                <c:pt idx="1">
                  <c:v>8639.7999999999993</c:v>
                </c:pt>
                <c:pt idx="2">
                  <c:v>90</c:v>
                </c:pt>
                <c:pt idx="3">
                  <c:v>181</c:v>
                </c:pt>
              </c:numCache>
            </c:numRef>
          </c:val>
          <c:extLst xmlns:c16r2="http://schemas.microsoft.com/office/drawing/2015/06/char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526464040"/>
        <c:axId val="526470704"/>
      </c:barChart>
      <c:catAx>
        <c:axId val="526464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6470704"/>
        <c:crosses val="autoZero"/>
        <c:auto val="1"/>
        <c:lblAlgn val="ctr"/>
        <c:lblOffset val="100"/>
        <c:noMultiLvlLbl val="0"/>
      </c:catAx>
      <c:valAx>
        <c:axId val="52647070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6464040"/>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18971575565758234"/>
          <c:h val="8.2117363066842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[2018_11_09_Myanmar_WASH_4W_2018_Q3_FINAL.xlsx]Analysis!R_water1</c:name>
    <c:fmtId val="1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Point Coverage</a:t>
            </a:r>
          </a:p>
        </c:rich>
      </c:tx>
      <c:layout>
        <c:manualLayout>
          <c:xMode val="edge"/>
          <c:yMode val="edge"/>
          <c:x val="0.34569490198553171"/>
          <c:y val="1.1025611975724554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24496922737123E-2"/>
          <c:y val="0.20011485735940066"/>
          <c:w val="0.74096349838355224"/>
          <c:h val="0.64443356352553927"/>
        </c:manualLayout>
      </c:layout>
      <c:barChart>
        <c:barDir val="col"/>
        <c:grouping val="stacked"/>
        <c:varyColors val="0"/>
        <c:ser>
          <c:idx val="0"/>
          <c:order val="0"/>
          <c:tx>
            <c:strRef>
              <c:f>Analysis!$J$40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Analysis!$J$41:$J$42</c:f>
              <c:numCache>
                <c:formatCode>0</c:formatCode>
                <c:ptCount val="2"/>
                <c:pt idx="0">
                  <c:v>227.05800000000002</c:v>
                </c:pt>
                <c:pt idx="1">
                  <c:v>77.408000000000001</c:v>
                </c:pt>
              </c:numCache>
            </c:numRef>
          </c:val>
        </c:ser>
        <c:ser>
          <c:idx val="1"/>
          <c:order val="1"/>
          <c:tx>
            <c:strRef>
              <c:f>Analysis!$K$40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Analysis!$K$41:$K$42</c:f>
              <c:numCache>
                <c:formatCode>0</c:formatCode>
                <c:ptCount val="2"/>
                <c:pt idx="0">
                  <c:v>20.216000000000001</c:v>
                </c:pt>
                <c:pt idx="1">
                  <c:v>81.783999999999992</c:v>
                </c:pt>
              </c:numCache>
            </c:numRef>
          </c:val>
        </c:ser>
        <c:dLbls>
          <c:dLblPos val="ctr"/>
          <c:showLegendKey val="0"/>
          <c:showVal val="1"/>
          <c:showCatName val="0"/>
          <c:showSerName val="0"/>
          <c:showPercent val="0"/>
          <c:showBubbleSize val="0"/>
        </c:dLbls>
        <c:gapWidth val="150"/>
        <c:overlap val="100"/>
        <c:axId val="526469136"/>
        <c:axId val="526474624"/>
      </c:barChart>
      <c:catAx>
        <c:axId val="5264691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6474624"/>
        <c:crosses val="autoZero"/>
        <c:auto val="1"/>
        <c:lblAlgn val="ctr"/>
        <c:lblOffset val="100"/>
        <c:noMultiLvlLbl val="0"/>
      </c:catAx>
      <c:valAx>
        <c:axId val="52647462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6469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Effective drainage</a:t>
            </a:r>
          </a:p>
          <a:p>
            <a:pPr>
              <a:defRPr sz="1200"/>
            </a:pPr>
            <a:r>
              <a:rPr lang="en-US" sz="1200"/>
              <a:t> in active camps</a:t>
            </a:r>
          </a:p>
        </c:rich>
      </c:tx>
      <c:layout>
        <c:manualLayout>
          <c:xMode val="edge"/>
          <c:yMode val="edge"/>
          <c:x val="0.31744740740028904"/>
          <c:y val="1.88516803230020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5898566962892472"/>
          <c:y val="0.21514912650547194"/>
          <c:w val="0.42659225812820534"/>
          <c:h val="0.72483671772948577"/>
        </c:manualLayout>
      </c:layout>
      <c:pieChart>
        <c:varyColors val="1"/>
        <c:ser>
          <c:idx val="1"/>
          <c:order val="1"/>
          <c:tx>
            <c:strRef>
              <c:f>Analysis!$B$163</c:f>
              <c:strCache>
                <c:ptCount val="1"/>
                <c:pt idx="0">
                  <c:v>Rakhine</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122C-4636-A191-0ADF6FD821A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122C-4636-A191-0ADF6FD821A0}"/>
              </c:ext>
            </c:extLst>
          </c:dPt>
          <c:dLbls>
            <c:dLbl>
              <c:idx val="0"/>
              <c:layout>
                <c:manualLayout>
                  <c:x val="-2.519505369412511E-2"/>
                  <c:y val="0.12156101629667651"/>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22C-4636-A191-0ADF6FD821A0}"/>
                </c:ex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Analysis!$C$163:$F$163</c:f>
              <c:numCache>
                <c:formatCode>General</c:formatCode>
                <c:ptCount val="4"/>
                <c:pt idx="0">
                  <c:v>12</c:v>
                </c:pt>
                <c:pt idx="1">
                  <c:v>1</c:v>
                </c:pt>
                <c:pt idx="2">
                  <c:v>10</c:v>
                </c:pt>
                <c:pt idx="3">
                  <c:v>1</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122C-4636-A191-0ADF6FD821A0}"/>
            </c:ext>
          </c:extLst>
        </c:ser>
        <c:dLbls>
          <c:dLblPos val="bestFit"/>
          <c:showLegendKey val="0"/>
          <c:showVal val="1"/>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Analysis!$B$162</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3"/>
                    <c:layout>
                      <c:manualLayout>
                        <c:x val="4.4142253079837497E-2"/>
                        <c:y val="0.1262423822946043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63-4C59-8DE1-219A0638CA1F}"/>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Analysis!$C$162:$F$162</c15:sqref>
                        </c15:formulaRef>
                      </c:ext>
                    </c:extLst>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8-3A63-4C59-8DE1-219A0638CA1F}"/>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Analysis!$B$164</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122C-4636-A191-0ADF6FD821A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122C-4636-A191-0ADF6FD821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Analysis!$C$164:$F$164</c15:sqref>
                        </c15:formulaRef>
                      </c:ext>
                    </c:extLst>
                    <c:numCache>
                      <c:formatCode>General</c:formatCode>
                      <c:ptCount val="4"/>
                      <c:pt idx="0">
                        <c:v>19</c:v>
                      </c:pt>
                      <c:pt idx="1">
                        <c:v>5</c:v>
                      </c:pt>
                      <c:pt idx="2">
                        <c:v>3</c:v>
                      </c:pt>
                      <c:pt idx="3">
                        <c:v>8</c:v>
                      </c:pt>
                    </c:numCache>
                  </c:numRef>
                </c:val>
                <c:extLst xmlns:c15="http://schemas.microsoft.com/office/drawing/2012/chart" xmlns:c16r2="http://schemas.microsoft.com/office/drawing/2015/06/chart">
                  <c:ext xmlns:c16="http://schemas.microsoft.com/office/drawing/2014/chart" uri="{C3380CC4-5D6E-409C-BE32-E72D297353CC}">
                    <c16:uniqueId val="{00000019-122C-4636-A191-0ADF6FD821A0}"/>
                  </c:ext>
                </c:extLst>
              </c15:ser>
            </c15:filteredPieSeries>
          </c:ext>
        </c:extLst>
      </c:pieChart>
      <c:spPr>
        <a:noFill/>
        <a:ln>
          <a:noFill/>
        </a:ln>
        <a:effectLst/>
      </c:spPr>
    </c:plotArea>
    <c:legend>
      <c:legendPos val="r"/>
      <c:layout>
        <c:manualLayout>
          <c:xMode val="edge"/>
          <c:yMode val="edge"/>
          <c:x val="0.63697532474841267"/>
          <c:y val="0.31178621840112924"/>
          <c:w val="0.3578265654579012"/>
          <c:h val="0.444357614364535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a:t>
            </a:r>
          </a:p>
        </c:rich>
      </c:tx>
      <c:layout>
        <c:manualLayout>
          <c:xMode val="edge"/>
          <c:yMode val="edge"/>
          <c:x val="0.14399283986715838"/>
          <c:y val="1.867787142859243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354594719545173"/>
          <c:y val="0.20453647540031139"/>
          <c:w val="0.42806429617580249"/>
          <c:h val="0.72063198857561395"/>
        </c:manualLayout>
      </c:layout>
      <c:pieChart>
        <c:varyColors val="1"/>
        <c:ser>
          <c:idx val="1"/>
          <c:order val="1"/>
          <c:tx>
            <c:strRef>
              <c:f>Analysis!$B$179</c:f>
              <c:strCache>
                <c:ptCount val="1"/>
                <c:pt idx="0">
                  <c:v>Rakhine</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E2F0-4F09-9FE6-B32474432E6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E2F0-4F09-9FE6-B32474432E6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E2F0-4F09-9FE6-B32474432E6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E2F0-4F09-9FE6-B32474432E6F}"/>
              </c:ext>
            </c:extLst>
          </c:dPt>
          <c:dLbls>
            <c:dLbl>
              <c:idx val="0"/>
              <c:layout>
                <c:manualLayout>
                  <c:x val="-4.5449023418303792E-2"/>
                  <c:y val="0.1267161818363265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2F0-4F09-9FE6-B32474432E6F}"/>
                </c:ex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Analysis!$C$177:$F$177</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Analysis!$C$179:$F$179</c:f>
              <c:numCache>
                <c:formatCode>General</c:formatCode>
                <c:ptCount val="4"/>
                <c:pt idx="0">
                  <c:v>19</c:v>
                </c:pt>
                <c:pt idx="1">
                  <c:v>1</c:v>
                </c:pt>
                <c:pt idx="2">
                  <c:v>3</c:v>
                </c:pt>
                <c:pt idx="3">
                  <c:v>1</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E2F0-4F09-9FE6-B32474432E6F}"/>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Analysis!$B$178</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7D04-4B5A-8D19-1128D053B9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layout>
                      <c:manualLayout>
                        <c:x val="4.3363541821423268E-2"/>
                        <c:y val="4.3223972003499561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D04-4B5A-8D19-1128D053B922}"/>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Analysis!$C$178:$F$178</c15:sqref>
                        </c15:formulaRef>
                      </c:ext>
                    </c:extLst>
                    <c:numCache>
                      <c:formatCode>General</c:formatCode>
                      <c:ptCount val="4"/>
                      <c:pt idx="0">
                        <c:v>122</c:v>
                      </c:pt>
                      <c:pt idx="1">
                        <c:v>1</c:v>
                      </c:pt>
                      <c:pt idx="2">
                        <c:v>2</c:v>
                      </c:pt>
                      <c:pt idx="3">
                        <c:v>10</c:v>
                      </c:pt>
                    </c:numCache>
                  </c:numRef>
                </c:val>
                <c:extLst xmlns:c16r2="http://schemas.microsoft.com/office/drawing/2015/06/chart">
                  <c:ext xmlns:c16="http://schemas.microsoft.com/office/drawing/2014/chart" uri="{C3380CC4-5D6E-409C-BE32-E72D297353CC}">
                    <c16:uniqueId val="{0000000A-7D04-4B5A-8D19-1128D053B922}"/>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Analysis!$B$180</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E2F0-4F09-9FE6-B32474432E6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E2F0-4F09-9FE6-B32474432E6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E2F0-4F09-9FE6-B32474432E6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E2F0-4F09-9FE6-B32474432E6F}"/>
                    </c:ext>
                  </c:extLst>
                </c:dPt>
                <c:cat>
                  <c:strRef>
                    <c:extLst xmlns:c15="http://schemas.microsoft.com/office/drawing/2012/chart" xmlns:c16r2="http://schemas.microsoft.com/office/drawing/2015/06/chart">
                      <c:ext xmlns:c15="http://schemas.microsoft.com/office/drawing/2012/char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Analysis!$C$180:$F$180</c15:sqref>
                        </c15:formulaRef>
                      </c:ext>
                    </c:extLst>
                    <c:numCache>
                      <c:formatCode>General</c:formatCode>
                      <c:ptCount val="4"/>
                      <c:pt idx="0">
                        <c:v>24</c:v>
                      </c:pt>
                      <c:pt idx="1">
                        <c:v>5</c:v>
                      </c:pt>
                      <c:pt idx="2">
                        <c:v>2</c:v>
                      </c:pt>
                      <c:pt idx="3">
                        <c:v>4</c:v>
                      </c:pt>
                    </c:numCache>
                  </c:numRef>
                </c:val>
                <c:extLst xmlns:c15="http://schemas.microsoft.com/office/drawing/2012/chart" xmlns:c16r2="http://schemas.microsoft.com/office/drawing/2015/06/chart">
                  <c:ext xmlns:c16="http://schemas.microsoft.com/office/drawing/2014/chart" uri="{C3380CC4-5D6E-409C-BE32-E72D297353CC}">
                    <c16:uniqueId val="{00000019-E2F0-4F09-9FE6-B32474432E6F}"/>
                  </c:ext>
                </c:extLst>
              </c15:ser>
            </c15:filteredPieSeries>
          </c:ext>
        </c:extLst>
      </c:pieChart>
      <c:spPr>
        <a:noFill/>
        <a:ln>
          <a:noFill/>
        </a:ln>
        <a:effectLst/>
      </c:spPr>
    </c:plotArea>
    <c:legend>
      <c:legendPos val="r"/>
      <c:layout>
        <c:manualLayout>
          <c:xMode val="edge"/>
          <c:yMode val="edge"/>
          <c:x val="0.62438798869685197"/>
          <c:y val="0.26674987548297341"/>
          <c:w val="0.35849056603773582"/>
          <c:h val="0.446071741032370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of Sites</a:t>
            </a:r>
            <a:r>
              <a:rPr lang="en-US" sz="1200" baseline="0"/>
              <a:t> which made w</a:t>
            </a:r>
            <a:r>
              <a:rPr lang="en-US" sz="1200"/>
              <a:t>ater quality test</a:t>
            </a:r>
            <a:r>
              <a:rPr lang="en-US" sz="1200" baseline="0"/>
              <a:t> </a:t>
            </a:r>
          </a:p>
        </c:rich>
      </c:tx>
      <c:layout>
        <c:manualLayout>
          <c:xMode val="edge"/>
          <c:yMode val="edge"/>
          <c:x val="0.17731774662279884"/>
          <c:y val="1.7610064637256933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2.7661803785919085E-2"/>
          <c:y val="0.16823952763306455"/>
          <c:w val="0.41540332014422748"/>
          <c:h val="0.69515189158829216"/>
        </c:manualLayout>
      </c:layout>
      <c:pieChart>
        <c:varyColors val="1"/>
        <c:ser>
          <c:idx val="1"/>
          <c:order val="1"/>
          <c:tx>
            <c:strRef>
              <c:f>Analysis!$B$72</c:f>
              <c:strCache>
                <c:ptCount val="1"/>
                <c:pt idx="0">
                  <c:v>Rakhine</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85B8-463C-A064-D3371E89311C}"/>
              </c:ext>
            </c:extLst>
          </c:dPt>
          <c:dPt>
            <c:idx val="1"/>
            <c:bubble3D val="0"/>
            <c:explosion val="11"/>
            <c:spPr>
              <a:solidFill>
                <a:srgbClr val="0070C0"/>
              </a:solidFill>
              <a:ln>
                <a:noFill/>
              </a:ln>
              <a:effectLst/>
            </c:spPr>
            <c:extLst xmlns:c16r2="http://schemas.microsoft.com/office/drawing/2015/06/chart">
              <c:ext xmlns:c16="http://schemas.microsoft.com/office/drawing/2014/chart" uri="{C3380CC4-5D6E-409C-BE32-E72D297353CC}">
                <c16:uniqueId val="{00000003-85B8-463C-A064-D3371E89311C}"/>
              </c:ext>
            </c:extLst>
          </c:dPt>
          <c:dLbls>
            <c:dLbl>
              <c:idx val="0"/>
              <c:layout>
                <c:manualLayout>
                  <c:x val="-0.12589577645375377"/>
                  <c:y val="-8.961438936744553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85B8-463C-A064-D3371E89311C}"/>
                </c:ext>
                <c:ext xmlns:c15="http://schemas.microsoft.com/office/drawing/2012/chart" uri="{CE6537A1-D6FC-4f65-9D91-7224C49458BB}"/>
              </c:extLst>
            </c:dLbl>
            <c:dLbl>
              <c:idx val="1"/>
              <c:layout>
                <c:manualLayout>
                  <c:x val="7.1454379856949746E-2"/>
                  <c:y val="4.7357049110801623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85B8-463C-A064-D3371E89311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Analysis!$C$72:$D$72</c:f>
              <c:numCache>
                <c:formatCode>General</c:formatCode>
                <c:ptCount val="2"/>
                <c:pt idx="0">
                  <c:v>11</c:v>
                </c:pt>
                <c:pt idx="1">
                  <c:v>13</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85B8-463C-A064-D3371E89311C}"/>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85B8-463C-A064-D3371E89311C}"/>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85B8-463C-A064-D3371E89311C}"/>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98</c:v>
                      </c:pt>
                      <c:pt idx="1">
                        <c:v>49</c:v>
                      </c:pt>
                    </c:numCache>
                  </c:numRef>
                </c:val>
                <c:extLst xmlns:c16r2="http://schemas.microsoft.com/office/drawing/2015/06/chart">
                  <c:ext xmlns:c16="http://schemas.microsoft.com/office/drawing/2014/chart" uri="{C3380CC4-5D6E-409C-BE32-E72D297353CC}">
                    <c16:uniqueId val="{00000009-85B8-463C-A064-D3371E89311C}"/>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85B8-463C-A064-D3371E89311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85B8-463C-A064-D3371E89311C}"/>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24</c:v>
                      </c:pt>
                      <c:pt idx="1">
                        <c:v>12</c:v>
                      </c:pt>
                    </c:numCache>
                  </c:numRef>
                </c:val>
                <c:extLst xmlns:c15="http://schemas.microsoft.com/office/drawing/2012/chart" xmlns:c16r2="http://schemas.microsoft.com/office/drawing/2015/06/chart">
                  <c:ext xmlns:c16="http://schemas.microsoft.com/office/drawing/2014/chart" uri="{C3380CC4-5D6E-409C-BE32-E72D297353CC}">
                    <c16:uniqueId val="{0000000E-85B8-463C-A064-D3371E89311C}"/>
                  </c:ext>
                </c:extLst>
              </c15:ser>
            </c15:filteredPieSeries>
          </c:ext>
        </c:extLst>
      </c:pieChart>
      <c:spPr>
        <a:noFill/>
        <a:ln>
          <a:noFill/>
        </a:ln>
        <a:effectLst/>
      </c:spPr>
    </c:plotArea>
    <c:legend>
      <c:legendPos val="r"/>
      <c:layout>
        <c:manualLayout>
          <c:xMode val="edge"/>
          <c:yMode val="edge"/>
          <c:x val="6.5737400158611764E-2"/>
          <c:y val="0.84629913802490786"/>
          <c:w val="0.21193132108486443"/>
          <c:h val="0.1536611016546024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200"/>
              <a:t>Funding Received/Gap as of 2018-Q1 </a:t>
            </a:r>
            <a:r>
              <a:rPr lang="en-US" sz="1200" b="1" i="0" u="none" strike="noStrike" baseline="0">
                <a:effectLst/>
              </a:rPr>
              <a:t>(US$)</a:t>
            </a:r>
            <a:endParaRPr lang="en-US" sz="12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1"/>
          <c:order val="1"/>
          <c:tx>
            <c:strRef>
              <c:f>[5]Fund_Analysis_Rakhine!$C$72</c:f>
              <c:strCache>
                <c:ptCount val="1"/>
                <c:pt idx="0">
                  <c:v>Approximate Fund 2018</c:v>
                </c:pt>
              </c:strCache>
            </c:strRef>
          </c:tx>
          <c:spPr>
            <a:solidFill>
              <a:schemeClr val="bg1">
                <a:lumMod val="50000"/>
              </a:schemeClr>
            </a:solidFill>
            <a:ln>
              <a:noFill/>
            </a:ln>
            <a:effectLst>
              <a:outerShdw blurRad="57150" dist="19050" dir="5400000" algn="ctr" rotWithShape="0">
                <a:srgbClr val="000000">
                  <a:alpha val="63000"/>
                </a:srgbClr>
              </a:outerShdw>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[5]Fund_Analysis_Rakhine!$A$73:$A$75</c15:sqref>
                  </c15:fullRef>
                </c:ext>
              </c:extLst>
              <c:f>[5]Fund_Analysis_Rakhine!$A$74</c:f>
              <c:strCache>
                <c:ptCount val="1"/>
                <c:pt idx="0">
                  <c:v>Rakhine</c:v>
                </c:pt>
              </c:strCache>
            </c:strRef>
          </c:cat>
          <c:val>
            <c:numRef>
              <c:extLst>
                <c:ext xmlns:c15="http://schemas.microsoft.com/office/drawing/2012/chart" uri="{02D57815-91ED-43cb-92C2-25804820EDAC}">
                  <c15:fullRef>
                    <c15:sqref>[5]Fund_Analysis_Rakhine!$C$73:$C$75</c15:sqref>
                  </c15:fullRef>
                </c:ext>
              </c:extLst>
              <c:f>[5]Fund_Analysis_Rakhine!$C$74</c:f>
              <c:numCache>
                <c:formatCode>General</c:formatCode>
                <c:ptCount val="1"/>
                <c:pt idx="0">
                  <c:v>6050988.2278582146</c:v>
                </c:pt>
              </c:numCache>
            </c:numRef>
          </c:val>
          <c:extLst xmlns:c16r2="http://schemas.microsoft.com/office/drawing/2015/06/chart">
            <c:ext xmlns:c16="http://schemas.microsoft.com/office/drawing/2014/chart" uri="{C3380CC4-5D6E-409C-BE32-E72D297353CC}">
              <c16:uniqueId val="{00000001-5296-4004-994E-50883005351E}"/>
            </c:ext>
          </c:extLst>
        </c:ser>
        <c:ser>
          <c:idx val="2"/>
          <c:order val="2"/>
          <c:tx>
            <c:strRef>
              <c:f>[5]Fund_Analysis_Rakhine!$D$72</c:f>
              <c:strCache>
                <c:ptCount val="1"/>
                <c:pt idx="0">
                  <c:v>Gap</c:v>
                </c:pt>
              </c:strCache>
            </c:strRef>
          </c:tx>
          <c:spPr>
            <a:solidFill>
              <a:schemeClr val="bg1">
                <a:lumMod val="85000"/>
              </a:schemeClr>
            </a:solidFill>
            <a:ln>
              <a:noFill/>
            </a:ln>
            <a:effectLst>
              <a:outerShdw blurRad="57150" dist="19050" dir="5400000" algn="ctr" rotWithShape="0">
                <a:srgbClr val="000000">
                  <a:alpha val="63000"/>
                </a:srgbClr>
              </a:outerShdw>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[5]Fund_Analysis_Rakhine!$A$73:$A$75</c15:sqref>
                  </c15:fullRef>
                </c:ext>
              </c:extLst>
              <c:f>[5]Fund_Analysis_Rakhine!$A$74</c:f>
              <c:strCache>
                <c:ptCount val="1"/>
                <c:pt idx="0">
                  <c:v>Rakhine</c:v>
                </c:pt>
              </c:strCache>
            </c:strRef>
          </c:cat>
          <c:val>
            <c:numRef>
              <c:extLst>
                <c:ext xmlns:c15="http://schemas.microsoft.com/office/drawing/2012/chart" uri="{02D57815-91ED-43cb-92C2-25804820EDAC}">
                  <c15:fullRef>
                    <c15:sqref>[5]Fund_Analysis_Rakhine!$D$73:$D$75</c15:sqref>
                  </c15:fullRef>
                </c:ext>
              </c:extLst>
              <c:f>[5]Fund_Analysis_Rakhine!$D$74</c:f>
              <c:numCache>
                <c:formatCode>General</c:formatCode>
                <c:ptCount val="1"/>
                <c:pt idx="0">
                  <c:v>15549011.772141784</c:v>
                </c:pt>
              </c:numCache>
            </c:numRef>
          </c:val>
          <c:extLst xmlns:c16r2="http://schemas.microsoft.com/office/drawing/2015/06/chart">
            <c:ext xmlns:c16="http://schemas.microsoft.com/office/drawing/2014/chart" uri="{C3380CC4-5D6E-409C-BE32-E72D297353CC}">
              <c16:uniqueId val="{00000002-5296-4004-994E-50883005351E}"/>
            </c:ext>
          </c:extLst>
        </c:ser>
        <c:dLbls>
          <c:dLblPos val="ctr"/>
          <c:showLegendKey val="0"/>
          <c:showVal val="1"/>
          <c:showCatName val="0"/>
          <c:showSerName val="0"/>
          <c:showPercent val="0"/>
          <c:showBubbleSize val="0"/>
        </c:dLbls>
        <c:gapWidth val="150"/>
        <c:overlap val="100"/>
        <c:axId val="526473448"/>
        <c:axId val="52647188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[5]Fund_Analysis_Rakhine!$B$72</c15:sqref>
                        </c15:formulaRef>
                      </c:ext>
                    </c:extLst>
                    <c:strCache>
                      <c:ptCount val="1"/>
                      <c:pt idx="0">
                        <c:v>Funding requirements</c:v>
                      </c:pt>
                    </c:strCache>
                  </c:strRef>
                </c:tx>
                <c:spPr>
                  <a:gradFill rotWithShape="1">
                    <a:gsLst>
                      <a:gs pos="0">
                        <a:schemeClr val="accent1">
                          <a:shade val="58000"/>
                          <a:satMod val="103000"/>
                          <a:lumMod val="102000"/>
                          <a:tint val="94000"/>
                        </a:schemeClr>
                      </a:gs>
                      <a:gs pos="50000">
                        <a:schemeClr val="accent1">
                          <a:shade val="58000"/>
                          <a:satMod val="110000"/>
                          <a:lumMod val="100000"/>
                          <a:shade val="100000"/>
                        </a:schemeClr>
                      </a:gs>
                      <a:gs pos="100000">
                        <a:schemeClr val="accent1">
                          <a:shade val="58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[5]Fund_Analysis_Rakhine!$A$73:$A$75</c15:sqref>
                        </c15:fullRef>
                        <c15:formulaRef>
                          <c15:sqref>[5]Fund_Analysis_Rakhine!$A$74</c15:sqref>
                        </c15:formulaRef>
                      </c:ext>
                    </c:extLst>
                    <c:strCache>
                      <c:ptCount val="1"/>
                      <c:pt idx="0">
                        <c:v>Rakhine</c:v>
                      </c:pt>
                    </c:strCache>
                  </c:strRef>
                </c:cat>
                <c:val>
                  <c:numRef>
                    <c:extLst>
                      <c:ext uri="{02D57815-91ED-43cb-92C2-25804820EDAC}">
                        <c15:fullRef>
                          <c15:sqref>[5]Fund_Analysis_Rakhine!$B$73:$B$75</c15:sqref>
                        </c15:fullRef>
                        <c15:formulaRef>
                          <c15:sqref>[5]Fund_Analysis_Rakhine!$B$74</c15:sqref>
                        </c15:formulaRef>
                      </c:ext>
                    </c:extLst>
                    <c:numCache>
                      <c:formatCode>General</c:formatCode>
                      <c:ptCount val="1"/>
                      <c:pt idx="0">
                        <c:v>21600000</c:v>
                      </c:pt>
                    </c:numCache>
                  </c:numRef>
                </c:val>
                <c:extLst xmlns:c16r2="http://schemas.microsoft.com/office/drawing/2015/06/chart">
                  <c:ext xmlns:c16="http://schemas.microsoft.com/office/drawing/2014/chart" uri="{C3380CC4-5D6E-409C-BE32-E72D297353CC}">
                    <c16:uniqueId val="{00000000-5296-4004-994E-50883005351E}"/>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[5]Fund_Analysis_Rakhine!$E$72</c15:sqref>
                        </c15:formulaRef>
                      </c:ext>
                    </c:extLst>
                    <c:strCache>
                      <c:ptCount val="1"/>
                      <c:pt idx="0">
                        <c:v>%Gap</c:v>
                      </c:pt>
                    </c:strCache>
                  </c:strRef>
                </c:tx>
                <c:spPr>
                  <a:gradFill rotWithShape="1">
                    <a:gsLst>
                      <a:gs pos="0">
                        <a:schemeClr val="accent1">
                          <a:tint val="58000"/>
                          <a:satMod val="103000"/>
                          <a:lumMod val="102000"/>
                          <a:tint val="94000"/>
                        </a:schemeClr>
                      </a:gs>
                      <a:gs pos="50000">
                        <a:schemeClr val="accent1">
                          <a:tint val="58000"/>
                          <a:satMod val="110000"/>
                          <a:lumMod val="100000"/>
                          <a:shade val="100000"/>
                        </a:schemeClr>
                      </a:gs>
                      <a:gs pos="100000">
                        <a:schemeClr val="accent1">
                          <a:tint val="58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[5]Fund_Analysis_Rakhine!$A$73:$A$75</c15:sqref>
                        </c15:fullRef>
                        <c15:formulaRef>
                          <c15:sqref>[5]Fund_Analysis_Rakhine!$A$74</c15:sqref>
                        </c15:formulaRef>
                      </c:ext>
                    </c:extLst>
                    <c:strCache>
                      <c:ptCount val="1"/>
                      <c:pt idx="0">
                        <c:v>Rakhine</c:v>
                      </c:pt>
                    </c:strCache>
                  </c:strRef>
                </c:cat>
                <c:val>
                  <c:numRef>
                    <c:extLst>
                      <c:ext xmlns:c15="http://schemas.microsoft.com/office/drawing/2012/chart" uri="{02D57815-91ED-43cb-92C2-25804820EDAC}">
                        <c15:fullRef>
                          <c15:sqref>[5]Fund_Analysis_Rakhine!$E$73:$E$75</c15:sqref>
                        </c15:fullRef>
                        <c15:formulaRef>
                          <c15:sqref>[5]Fund_Analysis_Rakhine!$E$74</c15:sqref>
                        </c15:formulaRef>
                      </c:ext>
                    </c:extLst>
                    <c:numCache>
                      <c:formatCode>General</c:formatCode>
                      <c:ptCount val="1"/>
                      <c:pt idx="0">
                        <c:v>0.71986165611767516</c:v>
                      </c:pt>
                    </c:numCache>
                  </c:numRef>
                </c:val>
                <c:extLst xmlns:c15="http://schemas.microsoft.com/office/drawing/2012/chart" xmlns:c16r2="http://schemas.microsoft.com/office/drawing/2015/06/chart">
                  <c:ext xmlns:c16="http://schemas.microsoft.com/office/drawing/2014/chart" uri="{C3380CC4-5D6E-409C-BE32-E72D297353CC}">
                    <c16:uniqueId val="{00000003-5296-4004-994E-50883005351E}"/>
                  </c:ext>
                </c:extLst>
              </c15:ser>
            </c15:filteredBarSeries>
          </c:ext>
        </c:extLst>
      </c:barChart>
      <c:catAx>
        <c:axId val="526473448"/>
        <c:scaling>
          <c:orientation val="minMax"/>
        </c:scaling>
        <c:delete val="1"/>
        <c:axPos val="l"/>
        <c:numFmt formatCode="General" sourceLinked="1"/>
        <c:majorTickMark val="none"/>
        <c:minorTickMark val="none"/>
        <c:tickLblPos val="nextTo"/>
        <c:crossAx val="526471880"/>
        <c:crosses val="autoZero"/>
        <c:auto val="1"/>
        <c:lblAlgn val="ctr"/>
        <c:lblOffset val="100"/>
        <c:noMultiLvlLbl val="0"/>
      </c:catAx>
      <c:valAx>
        <c:axId val="5264718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473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Funding Splits INGO,</a:t>
            </a:r>
            <a:r>
              <a:rPr lang="en-US" sz="1200" baseline="0"/>
              <a:t> </a:t>
            </a:r>
            <a:r>
              <a:rPr lang="en-US" sz="1200"/>
              <a:t>LNGO, UN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bg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bg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0.99405370961742368</c:v>
              </c:pt>
            </c:numLit>
          </c:val>
          <c:extLst xmlns:c16r2="http://schemas.microsoft.com/office/drawing/2015/06/chart">
            <c:ext xmlns:c16="http://schemas.microsoft.com/office/drawing/2014/chart" uri="{C3380CC4-5D6E-409C-BE32-E72D297353CC}">
              <c16:uniqueId val="{00000000-FB36-4FC4-A6F7-5220EEBA99AB}"/>
            </c:ext>
          </c:extLst>
        </c:ser>
        <c:ser>
          <c:idx val="1"/>
          <c:order val="1"/>
          <c:tx>
            <c:v>LNGO</c:v>
          </c:tx>
          <c:spPr>
            <a:solidFill>
              <a:schemeClr val="bg1">
                <a:lumMod val="75000"/>
              </a:schemeClr>
            </a:solidFill>
            <a:ln>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5.9462903825762831E-3</c:v>
              </c:pt>
            </c:numLit>
          </c:val>
          <c:extLst xmlns:c16r2="http://schemas.microsoft.com/office/drawing/2015/06/chart">
            <c:ext xmlns:c16="http://schemas.microsoft.com/office/drawing/2014/chart" uri="{C3380CC4-5D6E-409C-BE32-E72D297353CC}">
              <c16:uniqueId val="{00000001-FB36-4FC4-A6F7-5220EEBA99AB}"/>
            </c:ext>
          </c:extLst>
        </c:ser>
        <c:ser>
          <c:idx val="2"/>
          <c:order val="2"/>
          <c:tx>
            <c:v>GOV</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Lit>
              <c:ptCount val="1"/>
              <c:pt idx="0">
                <c:v>Total</c:v>
              </c:pt>
            </c:strLit>
          </c:cat>
          <c:val>
            <c:numLit>
              <c:formatCode>General</c:formatCode>
              <c:ptCount val="1"/>
              <c:pt idx="0">
                <c:v>0</c:v>
              </c:pt>
            </c:numLit>
          </c:val>
          <c:extLst xmlns:c16r2="http://schemas.microsoft.com/office/drawing/2015/06/chart">
            <c:ext xmlns:c16="http://schemas.microsoft.com/office/drawing/2014/chart" uri="{C3380CC4-5D6E-409C-BE32-E72D297353CC}">
              <c16:uniqueId val="{00000002-FB36-4FC4-A6F7-5220EEBA99AB}"/>
            </c:ext>
          </c:extLst>
        </c:ser>
        <c:dLbls>
          <c:showLegendKey val="0"/>
          <c:showVal val="0"/>
          <c:showCatName val="0"/>
          <c:showSerName val="0"/>
          <c:showPercent val="0"/>
          <c:showBubbleSize val="0"/>
        </c:dLbls>
        <c:gapWidth val="150"/>
        <c:overlap val="100"/>
        <c:axId val="526474232"/>
        <c:axId val="518366528"/>
      </c:barChart>
      <c:catAx>
        <c:axId val="526474232"/>
        <c:scaling>
          <c:orientation val="minMax"/>
        </c:scaling>
        <c:delete val="1"/>
        <c:axPos val="l"/>
        <c:numFmt formatCode="General" sourceLinked="1"/>
        <c:majorTickMark val="none"/>
        <c:minorTickMark val="none"/>
        <c:tickLblPos val="nextTo"/>
        <c:crossAx val="518366528"/>
        <c:crosses val="autoZero"/>
        <c:auto val="1"/>
        <c:lblAlgn val="ctr"/>
        <c:lblOffset val="100"/>
        <c:noMultiLvlLbl val="0"/>
      </c:catAx>
      <c:valAx>
        <c:axId val="51836652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64742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[2018_11_09_Myanmar_WASH_4W_2018_Q3_FINAL.xlsx]Analysis!R_Geo</c:name>
    <c:fmtId val="14"/>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Number of Sites - Coverage/Gaps</a:t>
            </a:r>
          </a:p>
        </c:rich>
      </c:tx>
      <c:layout>
        <c:manualLayout>
          <c:xMode val="edge"/>
          <c:yMode val="edge"/>
          <c:x val="2.6571560019236821E-2"/>
          <c:y val="2.187349404438149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96085594489122"/>
          <c:y val="0.18660326982618372"/>
          <c:w val="0.69059629037582515"/>
          <c:h val="0.59374132694776072"/>
        </c:manualLayout>
      </c:layout>
      <c:barChart>
        <c:barDir val="bar"/>
        <c:grouping val="clustered"/>
        <c:varyColors val="0"/>
        <c:ser>
          <c:idx val="0"/>
          <c:order val="0"/>
          <c:tx>
            <c:strRef>
              <c:f>Analysis!$I$286:$I$287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Analysis!$I$288:$I$290</c:f>
              <c:numCache>
                <c:formatCode>General</c:formatCode>
                <c:ptCount val="3"/>
                <c:pt idx="0">
                  <c:v>24</c:v>
                </c:pt>
                <c:pt idx="1">
                  <c:v>50</c:v>
                </c:pt>
                <c:pt idx="2">
                  <c:v>80</c:v>
                </c:pt>
              </c:numCache>
            </c:numRef>
          </c:val>
        </c:ser>
        <c:ser>
          <c:idx val="1"/>
          <c:order val="1"/>
          <c:tx>
            <c:strRef>
              <c:f>Analysis!$J$286:$J$287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Analysis!$J$288:$J$290</c:f>
              <c:numCache>
                <c:formatCode>General</c:formatCode>
                <c:ptCount val="3"/>
                <c:pt idx="2">
                  <c:v>58</c:v>
                </c:pt>
              </c:numCache>
            </c:numRef>
          </c:val>
        </c:ser>
        <c:dLbls>
          <c:showLegendKey val="0"/>
          <c:showVal val="0"/>
          <c:showCatName val="0"/>
          <c:showSerName val="0"/>
          <c:showPercent val="0"/>
          <c:showBubbleSize val="0"/>
        </c:dLbls>
        <c:gapWidth val="100"/>
        <c:axId val="518368488"/>
        <c:axId val="518368096"/>
      </c:barChart>
      <c:catAx>
        <c:axId val="5183684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8368096"/>
        <c:crosses val="autoZero"/>
        <c:auto val="1"/>
        <c:lblAlgn val="ctr"/>
        <c:lblOffset val="100"/>
        <c:noMultiLvlLbl val="0"/>
      </c:catAx>
      <c:valAx>
        <c:axId val="5183680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8368488"/>
        <c:crosses val="autoZero"/>
        <c:crossBetween val="between"/>
      </c:valAx>
      <c:spPr>
        <a:noFill/>
        <a:ln>
          <a:noFill/>
        </a:ln>
        <a:effectLst/>
      </c:spPr>
    </c:plotArea>
    <c:legend>
      <c:legendPos val="b"/>
      <c:layout>
        <c:manualLayout>
          <c:xMode val="edge"/>
          <c:yMode val="edge"/>
          <c:x val="0.43556289595093733"/>
          <c:y val="0.8634962878691762"/>
          <c:w val="0.12974330627848513"/>
          <c:h val="0.107992320599839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Latrine coverage </a:t>
            </a:r>
            <a:endParaRPr lang="en-US" sz="1200">
              <a:effectLst/>
            </a:endParaRPr>
          </a:p>
        </c:rich>
      </c:tx>
      <c:layout>
        <c:manualLayout>
          <c:xMode val="edge"/>
          <c:yMode val="edge"/>
          <c:x val="0.37097858446173054"/>
          <c:y val="8.294145194024989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Analysis!$K$133</c:f>
              <c:strCache>
                <c:ptCount val="1"/>
                <c:pt idx="0">
                  <c:v>Coverage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Analysis!$L$133:$M$133</c:f>
              <c:numCache>
                <c:formatCode>_(* #,##0_);_(* \(#,##0\);_(* "-"??_);_(@_)</c:formatCode>
                <c:ptCount val="2"/>
                <c:pt idx="0">
                  <c:v>4951</c:v>
                </c:pt>
                <c:pt idx="1">
                  <c:v>3573</c:v>
                </c:pt>
              </c:numCache>
            </c:numRef>
          </c:val>
          <c:extLst xmlns:c16r2="http://schemas.microsoft.com/office/drawing/2015/06/chart">
            <c:ext xmlns:c16="http://schemas.microsoft.com/office/drawing/2014/chart" uri="{C3380CC4-5D6E-409C-BE32-E72D297353CC}">
              <c16:uniqueId val="{00000000-ED9B-4783-A8F8-A5280364F22C}"/>
            </c:ext>
          </c:extLst>
        </c:ser>
        <c:ser>
          <c:idx val="1"/>
          <c:order val="1"/>
          <c:tx>
            <c:strRef>
              <c:f>Analysis!$K$134</c:f>
              <c:strCache>
                <c:ptCount val="1"/>
                <c:pt idx="0">
                  <c:v>GAP</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Analysis!$L$134:$M$134</c:f>
              <c:numCache>
                <c:formatCode>_(* #,##0_);_(* \(#,##0\);_(* "-"??_);_(@_)</c:formatCode>
                <c:ptCount val="2"/>
                <c:pt idx="0">
                  <c:v>1199</c:v>
                </c:pt>
                <c:pt idx="1">
                  <c:v>8558</c:v>
                </c:pt>
              </c:numCache>
            </c:numRef>
          </c:val>
          <c:extLst xmlns:c16r2="http://schemas.microsoft.com/office/drawing/2015/06/chart">
            <c:ext xmlns:c16="http://schemas.microsoft.com/office/drawing/2014/chart" uri="{C3380CC4-5D6E-409C-BE32-E72D297353CC}">
              <c16:uniqueId val="{00000001-ED9B-4783-A8F8-A5280364F22C}"/>
            </c:ext>
          </c:extLst>
        </c:ser>
        <c:dLbls>
          <c:dLblPos val="ctr"/>
          <c:showLegendKey val="0"/>
          <c:showVal val="1"/>
          <c:showCatName val="0"/>
          <c:showSerName val="0"/>
          <c:showPercent val="0"/>
          <c:showBubbleSize val="0"/>
        </c:dLbls>
        <c:gapWidth val="150"/>
        <c:overlap val="100"/>
        <c:axId val="518363000"/>
        <c:axId val="518363392"/>
      </c:barChart>
      <c:catAx>
        <c:axId val="518363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63392"/>
        <c:crosses val="autoZero"/>
        <c:auto val="1"/>
        <c:lblAlgn val="ctr"/>
        <c:lblOffset val="100"/>
        <c:noMultiLvlLbl val="0"/>
      </c:catAx>
      <c:valAx>
        <c:axId val="51836339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63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Latrine repaired and desludged</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Analysis!$K$137</c:f>
              <c:strCache>
                <c:ptCount val="1"/>
                <c:pt idx="0">
                  <c:v># latrines repairs</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Analysis!$L$137:$M$137</c:f>
              <c:numCache>
                <c:formatCode>_(* #,##0_);_(* \(#,##0\);_(* "-"??_);_(@_)</c:formatCode>
                <c:ptCount val="2"/>
                <c:pt idx="0">
                  <c:v>1200</c:v>
                </c:pt>
                <c:pt idx="1">
                  <c:v>200</c:v>
                </c:pt>
              </c:numCache>
            </c:numRef>
          </c:val>
          <c:extLst xmlns:c16r2="http://schemas.microsoft.com/office/drawing/2015/06/chart">
            <c:ext xmlns:c16="http://schemas.microsoft.com/office/drawing/2014/chart" uri="{C3380CC4-5D6E-409C-BE32-E72D297353CC}">
              <c16:uniqueId val="{00000000-F748-468C-8F17-12F68AC79064}"/>
            </c:ext>
          </c:extLst>
        </c:ser>
        <c:ser>
          <c:idx val="1"/>
          <c:order val="1"/>
          <c:tx>
            <c:strRef>
              <c:f>Analysis!$K$138</c:f>
              <c:strCache>
                <c:ptCount val="1"/>
                <c:pt idx="0">
                  <c:v># latrines desludged</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Analysis!$L$138:$M$138</c:f>
              <c:numCache>
                <c:formatCode>_(* #,##0_);_(* \(#,##0\);_(* "-"??_);_(@_)</c:formatCode>
                <c:ptCount val="2"/>
                <c:pt idx="0">
                  <c:v>2885</c:v>
                </c:pt>
                <c:pt idx="1">
                  <c:v>0</c:v>
                </c:pt>
              </c:numCache>
            </c:numRef>
          </c:val>
          <c:extLst xmlns:c16r2="http://schemas.microsoft.com/office/drawing/2015/06/chart">
            <c:ext xmlns:c16="http://schemas.microsoft.com/office/drawing/2014/chart" uri="{C3380CC4-5D6E-409C-BE32-E72D297353CC}">
              <c16:uniqueId val="{00000001-F748-468C-8F17-12F68AC79064}"/>
            </c:ext>
          </c:extLst>
        </c:ser>
        <c:dLbls>
          <c:dLblPos val="ctr"/>
          <c:showLegendKey val="0"/>
          <c:showVal val="1"/>
          <c:showCatName val="0"/>
          <c:showSerName val="0"/>
          <c:showPercent val="0"/>
          <c:showBubbleSize val="0"/>
        </c:dLbls>
        <c:gapWidth val="150"/>
        <c:axId val="518369272"/>
        <c:axId val="518368880"/>
      </c:barChart>
      <c:catAx>
        <c:axId val="51836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68880"/>
        <c:crosses val="autoZero"/>
        <c:auto val="1"/>
        <c:lblAlgn val="ctr"/>
        <c:lblOffset val="100"/>
        <c:noMultiLvlLbl val="0"/>
      </c:catAx>
      <c:valAx>
        <c:axId val="5183688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69272"/>
        <c:crosses val="autoZero"/>
        <c:crossBetween val="between"/>
        <c:majorUnit val="4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Latrine Functionality</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1361-4C52-9488-B12D2B6D9B0F}"/>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1361-4C52-9488-B12D2B6D9B0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1361-4C52-9488-B12D2B6D9B0F}"/>
              </c:ext>
            </c:extLst>
          </c:dPt>
          <c:dLbls>
            <c:dLbl>
              <c:idx val="0"/>
              <c:layout>
                <c:manualLayout>
                  <c:x val="-9.3214457567804027E-2"/>
                  <c:y val="-0.20900444736074658"/>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361-4C52-9488-B12D2B6D9B0F}"/>
                </c:ex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Analysis!$O$133:$O$135</c:f>
              <c:strCache>
                <c:ptCount val="3"/>
                <c:pt idx="0">
                  <c:v>Functioning</c:v>
                </c:pt>
                <c:pt idx="1">
                  <c:v>Reparis</c:v>
                </c:pt>
                <c:pt idx="2">
                  <c:v>Desludging</c:v>
                </c:pt>
              </c:strCache>
            </c:strRef>
          </c:cat>
          <c:val>
            <c:numRef>
              <c:f>Analysis!$P$133:$P$135</c:f>
              <c:numCache>
                <c:formatCode>_(* #,##0_);_(* \(#,##0\);_(* "-"??_);_(@_)</c:formatCode>
                <c:ptCount val="3"/>
                <c:pt idx="0">
                  <c:v>4951</c:v>
                </c:pt>
                <c:pt idx="1">
                  <c:v>1200</c:v>
                </c:pt>
                <c:pt idx="2">
                  <c:v>2885</c:v>
                </c:pt>
              </c:numCache>
            </c:numRef>
          </c:val>
          <c:extLst xmlns:c16r2="http://schemas.microsoft.com/office/drawing/2015/06/chart">
            <c:ext xmlns:c16="http://schemas.microsoft.com/office/drawing/2014/chart" uri="{C3380CC4-5D6E-409C-BE32-E72D297353CC}">
              <c16:uniqueId val="{00000006-1361-4C52-9488-B12D2B6D9B0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1"/>
          <c:order val="1"/>
          <c:tx>
            <c:strRef>
              <c:f>Analysis!$G$56</c:f>
              <c:strCache>
                <c:ptCount val="1"/>
                <c:pt idx="0">
                  <c:v>Rakhine</c:v>
                </c:pt>
              </c:strCache>
              <c:extLst xmlns:c15="http://schemas.microsoft.com/office/drawing/2012/chart" xmlns:c16r2="http://schemas.microsoft.com/office/drawing/2015/06/chart"/>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Analysis!$H$56:$I$56</c:f>
              <c:numCache>
                <c:formatCode>0%</c:formatCode>
                <c:ptCount val="2"/>
                <c:pt idx="0">
                  <c:v>0.58204757263297502</c:v>
                </c:pt>
                <c:pt idx="1">
                  <c:v>0.30659146391921277</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9FCF-4E88-A999-D43CA3C5E3CC}"/>
            </c:ext>
          </c:extLst>
        </c:ser>
        <c:dLbls>
          <c:dLblPos val="ctr"/>
          <c:showLegendKey val="0"/>
          <c:showVal val="1"/>
          <c:showCatName val="0"/>
          <c:showSerName val="0"/>
          <c:showPercent val="0"/>
          <c:showBubbleSize val="0"/>
        </c:dLbls>
        <c:gapWidth val="150"/>
        <c:overlap val="100"/>
        <c:axId val="518364568"/>
        <c:axId val="51836221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0.67647551589016741</c:v>
                      </c:pt>
                      <c:pt idx="1">
                        <c:v>0.81862745098039214</c:v>
                      </c:pt>
                    </c:numCache>
                  </c:numRef>
                </c:val>
                <c:extLst xmlns:c16r2="http://schemas.microsoft.com/office/drawing/2015/06/chart">
                  <c:ext xmlns:c16="http://schemas.microsoft.com/office/drawing/2014/chart" uri="{C3380CC4-5D6E-409C-BE32-E72D297353CC}">
                    <c16:uniqueId val="{00000001-9FCF-4E88-A999-D43CA3C5E3CC}"/>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5">
                          <a:tint val="65000"/>
                          <a:satMod val="103000"/>
                          <a:lumMod val="102000"/>
                          <a:tint val="94000"/>
                        </a:schemeClr>
                      </a:gs>
                      <a:gs pos="50000">
                        <a:schemeClr val="accent5">
                          <a:tint val="65000"/>
                          <a:satMod val="110000"/>
                          <a:lumMod val="100000"/>
                          <a:shade val="100000"/>
                        </a:schemeClr>
                      </a:gs>
                      <a:gs pos="100000">
                        <a:schemeClr val="accent5">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0.45242114123693067</c:v>
                      </c:pt>
                      <c:pt idx="1">
                        <c:v>0.47916666666666674</c:v>
                      </c:pt>
                    </c:numCache>
                  </c:numRef>
                </c:val>
                <c:extLst xmlns:c15="http://schemas.microsoft.com/office/drawing/2012/chart" xmlns:c16r2="http://schemas.microsoft.com/office/drawing/2015/06/chart">
                  <c:ext xmlns:c16="http://schemas.microsoft.com/office/drawing/2014/chart" uri="{C3380CC4-5D6E-409C-BE32-E72D297353CC}">
                    <c16:uniqueId val="{00000002-9FCF-4E88-A999-D43CA3C5E3CC}"/>
                  </c:ext>
                </c:extLst>
              </c15:ser>
            </c15:filteredBarSeries>
          </c:ext>
        </c:extLst>
      </c:barChart>
      <c:catAx>
        <c:axId val="5183645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62216"/>
        <c:crosses val="autoZero"/>
        <c:auto val="1"/>
        <c:lblAlgn val="ctr"/>
        <c:lblOffset val="100"/>
        <c:noMultiLvlLbl val="0"/>
      </c:catAx>
      <c:valAx>
        <c:axId val="518362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64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r>
              <a:rPr lang="en-US" sz="1200" b="1" i="0" baseline="0">
                <a:effectLst/>
              </a:rPr>
              <a:t>Number of ppl Covered against 2018 HRP targets</a:t>
            </a:r>
            <a:endParaRPr lang="en-U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rgbClr val="44546A"/>
                </a:solidFill>
              </a:defRPr>
            </a:pPr>
            <a:r>
              <a:rPr lang="en-US" sz="1200"/>
              <a:t>(Non-IDP)</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HRP!$AA$128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rgbClr val="0070C0"/>
              </a:solidFill>
              <a:ln>
                <a:noFill/>
              </a:ln>
              <a:effectLst/>
            </c:spPr>
          </c:dPt>
          <c:dPt>
            <c:idx val="3"/>
            <c:invertIfNegative val="0"/>
            <c:bubble3D val="0"/>
            <c:spPr>
              <a:solidFill>
                <a:srgbClr val="0070C0"/>
              </a:solidFill>
              <a:ln>
                <a:noFill/>
              </a:ln>
              <a:effectLst/>
            </c:spPr>
          </c:dPt>
          <c:dLbls>
            <c:dLbl>
              <c:idx val="1"/>
              <c:layout>
                <c:manualLayout>
                  <c:x val="9.943077775926035E-3"/>
                  <c:y val="-3.221685067738443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7D-42B2-9B65-739548585F3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HRP!$AA$129:$AA$134</c15:sqref>
                  </c15:fullRef>
                </c:ext>
              </c:extLst>
              <c:f>(HRP!$AA$129,HRP!$AA$131,HRP!$AA$133:$AA$134)</c:f>
              <c:numCache>
                <c:formatCode>_(* #,##0_);_(* \(#,##0\);_(* "-"??_);_(@_)</c:formatCode>
                <c:ptCount val="4"/>
                <c:pt idx="0">
                  <c:v>41157</c:v>
                </c:pt>
                <c:pt idx="1">
                  <c:v>17393</c:v>
                </c:pt>
                <c:pt idx="2">
                  <c:v>30820</c:v>
                </c:pt>
                <c:pt idx="3">
                  <c:v>38481</c:v>
                </c:pt>
              </c:numCache>
            </c:numRef>
          </c:val>
          <c:extLst xmlns:c16r2="http://schemas.microsoft.com/office/drawing/2015/06/chart">
            <c:ext xmlns:c16="http://schemas.microsoft.com/office/drawing/2014/chart" uri="{C3380CC4-5D6E-409C-BE32-E72D297353CC}">
              <c16:uniqueId val="{00000003-057D-42B2-9B65-739548585F31}"/>
            </c:ext>
            <c:ext xmlns:c15="http://schemas.microsoft.com/office/drawing/2012/chart" uri="{02D57815-91ED-43cb-92C2-25804820EDAC}">
              <c15:categoryFilterExceptions>
                <c15:categoryFilterException>
                  <c15:sqref>HRP!$AA$130</c15:sqref>
                  <c15:dLbl>
                    <c:idx val="0"/>
                    <c:layout>
                      <c:manualLayout>
                        <c:x val="2.5272008109784624E-2"/>
                        <c:y val="3.221677271142925E-3"/>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2-057D-42B2-9B65-739548585F31}"/>
                      </c:ext>
                      <c:ext uri="{CE6537A1-D6FC-4f65-9D91-7224C49458BB}"/>
                    </c:extLst>
                  </c15:dLbl>
                </c15:categoryFilterException>
                <c15:categoryFilterException>
                  <c15:sqref>HRP!$AA$132</c15:sqref>
                  <c15:dLbl>
                    <c:idx val="1"/>
                    <c:layout>
                      <c:manualLayout>
                        <c:x val="1.4441147491305397E-2"/>
                        <c:y val="-5.9063400998839084E-17"/>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1-057D-42B2-9B65-739548585F31}"/>
                      </c:ext>
                      <c:ext uri="{CE6537A1-D6FC-4f65-9D91-7224C49458BB}"/>
                    </c:extLst>
                  </c15:dLbl>
                </c15:categoryFilterException>
              </c15:categoryFilterExceptions>
            </c:ext>
          </c:extLst>
        </c:ser>
        <c:ser>
          <c:idx val="1"/>
          <c:order val="1"/>
          <c:tx>
            <c:strRef>
              <c:f>HRP!$AB$128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HRP!$AB$129:$AB$134</c15:sqref>
                  </c15:fullRef>
                </c:ext>
              </c:extLst>
              <c:f>(HRP!$AB$129,HRP!$AB$131,HRP!$AB$133:$AB$134)</c:f>
              <c:numCache>
                <c:formatCode>_(* #,##0_);_(* \(#,##0\);_(* "-"??_);_(@_)</c:formatCode>
                <c:ptCount val="4"/>
                <c:pt idx="0">
                  <c:v>217877</c:v>
                </c:pt>
                <c:pt idx="1">
                  <c:v>241641</c:v>
                </c:pt>
                <c:pt idx="2">
                  <c:v>228214</c:v>
                </c:pt>
                <c:pt idx="3">
                  <c:v>220553</c:v>
                </c:pt>
              </c:numCache>
            </c:numRef>
          </c:val>
          <c:extLst xmlns:c16r2="http://schemas.microsoft.com/office/drawing/2015/06/char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518357904"/>
        <c:axId val="518358296"/>
      </c:barChart>
      <c:catAx>
        <c:axId val="51835790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crossAx val="518358296"/>
        <c:crosses val="autoZero"/>
        <c:auto val="1"/>
        <c:lblAlgn val="ctr"/>
        <c:lblOffset val="100"/>
        <c:noMultiLvlLbl val="0"/>
      </c:catAx>
      <c:valAx>
        <c:axId val="51835829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8357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active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Analysis!$Q$231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Analysis!$Q$232:$Q$235</c:f>
              <c:numCache>
                <c:formatCode>_(* #,##0_);_(* \(#,##0\);_(* "-"??_);_(@_)</c:formatCode>
                <c:ptCount val="4"/>
                <c:pt idx="0">
                  <c:v>17140.2</c:v>
                </c:pt>
                <c:pt idx="1">
                  <c:v>15779.2</c:v>
                </c:pt>
                <c:pt idx="2">
                  <c:v>24329</c:v>
                </c:pt>
                <c:pt idx="3">
                  <c:v>24238</c:v>
                </c:pt>
              </c:numCache>
            </c:numRef>
          </c:val>
          <c:extLst xmlns:c16r2="http://schemas.microsoft.com/office/drawing/2015/06/chart">
            <c:ext xmlns:c16="http://schemas.microsoft.com/office/drawing/2014/chart" uri="{C3380CC4-5D6E-409C-BE32-E72D297353CC}">
              <c16:uniqueId val="{00000000-F5FF-4313-84A4-722007FD5F1B}"/>
            </c:ext>
          </c:extLst>
        </c:ser>
        <c:ser>
          <c:idx val="1"/>
          <c:order val="1"/>
          <c:tx>
            <c:strRef>
              <c:f>Analysis!$R$231</c:f>
              <c:strCache>
                <c:ptCount val="1"/>
                <c:pt idx="0">
                  <c:v>Gap</c:v>
                </c:pt>
              </c:strCache>
            </c:strRef>
          </c:tx>
          <c:spPr>
            <a:solidFill>
              <a:schemeClr val="accent6">
                <a:lumMod val="40000"/>
                <a:lumOff val="60000"/>
              </a:schemeClr>
            </a:solidFill>
            <a:ln>
              <a:noFill/>
            </a:ln>
            <a:effectLst/>
          </c:spPr>
          <c:invertIfNegative val="0"/>
          <c:dLbls>
            <c:dLbl>
              <c:idx val="2"/>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725572556040224E-3"/>
                  <c:y val="-2.8317269361574582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Analysis!$R$232:$R$235</c:f>
              <c:numCache>
                <c:formatCode>_(* #,##0_);_(* \(#,##0\);_(* "-"??_);_(@_)</c:formatCode>
                <c:ptCount val="4"/>
                <c:pt idx="0">
                  <c:v>7278.7999999999993</c:v>
                </c:pt>
                <c:pt idx="1">
                  <c:v>8639.7999999999993</c:v>
                </c:pt>
                <c:pt idx="2">
                  <c:v>90</c:v>
                </c:pt>
                <c:pt idx="3">
                  <c:v>181</c:v>
                </c:pt>
              </c:numCache>
            </c:numRef>
          </c:val>
          <c:extLst xmlns:c16r2="http://schemas.microsoft.com/office/drawing/2015/06/char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518361824"/>
        <c:axId val="518364960"/>
      </c:barChart>
      <c:catAx>
        <c:axId val="5183618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8364960"/>
        <c:crosses val="autoZero"/>
        <c:auto val="1"/>
        <c:lblAlgn val="ctr"/>
        <c:lblOffset val="100"/>
        <c:noMultiLvlLbl val="0"/>
      </c:catAx>
      <c:valAx>
        <c:axId val="518364960"/>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8361824"/>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18971575565758234"/>
          <c:h val="8.211736306684291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[2018_11_09_Myanmar_WASH_4W_2018_Q3_FINAL.xlsx]Analysis!R_water1</c:name>
    <c:fmtId val="1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a:p>
            <a:pPr>
              <a:defRPr sz="1400"/>
            </a:pPr>
            <a:r>
              <a:rPr lang="en-US" sz="1400" b="1" i="0" baseline="0">
                <a:effectLst/>
              </a:rPr>
              <a:t>in active camps &amp; villages</a:t>
            </a:r>
          </a:p>
        </c:rich>
      </c:tx>
      <c:layout>
        <c:manualLayout>
          <c:xMode val="edge"/>
          <c:yMode val="edge"/>
          <c:x val="0.34569490198553171"/>
          <c:y val="1.102561197572455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24496922737123E-2"/>
          <c:y val="0.19490881723727033"/>
          <c:w val="0.74096349838355224"/>
          <c:h val="0.64963962630828387"/>
        </c:manualLayout>
      </c:layout>
      <c:barChart>
        <c:barDir val="col"/>
        <c:grouping val="stacked"/>
        <c:varyColors val="0"/>
        <c:ser>
          <c:idx val="0"/>
          <c:order val="0"/>
          <c:tx>
            <c:strRef>
              <c:f>Analysis!$J$40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Analysis!$J$41:$J$42</c:f>
              <c:numCache>
                <c:formatCode>0</c:formatCode>
                <c:ptCount val="2"/>
                <c:pt idx="0">
                  <c:v>227.05800000000002</c:v>
                </c:pt>
                <c:pt idx="1">
                  <c:v>77.408000000000001</c:v>
                </c:pt>
              </c:numCache>
            </c:numRef>
          </c:val>
        </c:ser>
        <c:ser>
          <c:idx val="1"/>
          <c:order val="1"/>
          <c:tx>
            <c:strRef>
              <c:f>Analysis!$K$40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Analysis!$K$41:$K$42</c:f>
              <c:numCache>
                <c:formatCode>0</c:formatCode>
                <c:ptCount val="2"/>
                <c:pt idx="0">
                  <c:v>20.216000000000001</c:v>
                </c:pt>
                <c:pt idx="1">
                  <c:v>81.783999999999992</c:v>
                </c:pt>
              </c:numCache>
            </c:numRef>
          </c:val>
        </c:ser>
        <c:dLbls>
          <c:dLblPos val="ctr"/>
          <c:showLegendKey val="0"/>
          <c:showVal val="1"/>
          <c:showCatName val="0"/>
          <c:showSerName val="0"/>
          <c:showPercent val="0"/>
          <c:showBubbleSize val="0"/>
        </c:dLbls>
        <c:gapWidth val="150"/>
        <c:overlap val="100"/>
        <c:axId val="518359472"/>
        <c:axId val="518360648"/>
      </c:barChart>
      <c:catAx>
        <c:axId val="5183594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8360648"/>
        <c:crosses val="autoZero"/>
        <c:auto val="1"/>
        <c:lblAlgn val="ctr"/>
        <c:lblOffset val="100"/>
        <c:noMultiLvlLbl val="0"/>
      </c:catAx>
      <c:valAx>
        <c:axId val="5183606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8359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Sites</a:t>
            </a:r>
            <a:r>
              <a:rPr lang="en-US" sz="1400" baseline="0"/>
              <a:t> which made w</a:t>
            </a:r>
            <a:r>
              <a:rPr lang="en-US" sz="1400"/>
              <a:t>ater quality test</a:t>
            </a:r>
            <a:r>
              <a:rPr lang="en-US" sz="1400" baseline="0"/>
              <a:t> </a:t>
            </a:r>
          </a:p>
        </c:rich>
      </c:tx>
      <c:layout>
        <c:manualLayout>
          <c:xMode val="edge"/>
          <c:yMode val="edge"/>
          <c:x val="0.17731774662279884"/>
          <c:y val="1.761006463725693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2.7661803785919085E-2"/>
          <c:y val="0.16823952763306455"/>
          <c:w val="0.41540332014422748"/>
          <c:h val="0.69515189158829216"/>
        </c:manualLayout>
      </c:layout>
      <c:pieChart>
        <c:varyColors val="1"/>
        <c:ser>
          <c:idx val="1"/>
          <c:order val="1"/>
          <c:tx>
            <c:strRef>
              <c:f>Analysis!$B$72</c:f>
              <c:strCache>
                <c:ptCount val="1"/>
                <c:pt idx="0">
                  <c:v>Rakhine</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85B8-463C-A064-D3371E89311C}"/>
              </c:ext>
            </c:extLst>
          </c:dPt>
          <c:dPt>
            <c:idx val="1"/>
            <c:bubble3D val="0"/>
            <c:explosion val="11"/>
            <c:spPr>
              <a:solidFill>
                <a:srgbClr val="0070C0"/>
              </a:solidFill>
              <a:ln>
                <a:noFill/>
              </a:ln>
              <a:effectLst/>
            </c:spPr>
            <c:extLst xmlns:c16r2="http://schemas.microsoft.com/office/drawing/2015/06/chart">
              <c:ext xmlns:c16="http://schemas.microsoft.com/office/drawing/2014/chart" uri="{C3380CC4-5D6E-409C-BE32-E72D297353CC}">
                <c16:uniqueId val="{00000003-85B8-463C-A064-D3371E89311C}"/>
              </c:ext>
            </c:extLst>
          </c:dPt>
          <c:dLbls>
            <c:dLbl>
              <c:idx val="0"/>
              <c:layout>
                <c:manualLayout>
                  <c:x val="-9.4710039735272797E-2"/>
                  <c:y val="9.0218352359878878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85B8-463C-A064-D3371E89311C}"/>
                </c:ext>
                <c:ext xmlns:c15="http://schemas.microsoft.com/office/drawing/2012/chart" uri="{CE6537A1-D6FC-4f65-9D91-7224C49458BB}"/>
              </c:extLst>
            </c:dLbl>
            <c:dLbl>
              <c:idx val="1"/>
              <c:layout>
                <c:manualLayout>
                  <c:x val="8.9646033164157951E-2"/>
                  <c:y val="-0.11131893088180969"/>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85B8-463C-A064-D3371E89311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Analysis!$C$72:$D$72</c:f>
              <c:numCache>
                <c:formatCode>General</c:formatCode>
                <c:ptCount val="2"/>
                <c:pt idx="0">
                  <c:v>11</c:v>
                </c:pt>
                <c:pt idx="1">
                  <c:v>13</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85B8-463C-A064-D3371E89311C}"/>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85B8-463C-A064-D3371E89311C}"/>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85B8-463C-A064-D3371E89311C}"/>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98</c:v>
                      </c:pt>
                      <c:pt idx="1">
                        <c:v>49</c:v>
                      </c:pt>
                    </c:numCache>
                  </c:numRef>
                </c:val>
                <c:extLst xmlns:c16r2="http://schemas.microsoft.com/office/drawing/2015/06/chart">
                  <c:ext xmlns:c16="http://schemas.microsoft.com/office/drawing/2014/chart" uri="{C3380CC4-5D6E-409C-BE32-E72D297353CC}">
                    <c16:uniqueId val="{00000009-85B8-463C-A064-D3371E89311C}"/>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85B8-463C-A064-D3371E89311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85B8-463C-A064-D3371E89311C}"/>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24</c:v>
                      </c:pt>
                      <c:pt idx="1">
                        <c:v>12</c:v>
                      </c:pt>
                    </c:numCache>
                  </c:numRef>
                </c:val>
                <c:extLst xmlns:c15="http://schemas.microsoft.com/office/drawing/2012/chart" xmlns:c16r2="http://schemas.microsoft.com/office/drawing/2015/06/chart">
                  <c:ext xmlns:c16="http://schemas.microsoft.com/office/drawing/2014/chart" uri="{C3380CC4-5D6E-409C-BE32-E72D297353CC}">
                    <c16:uniqueId val="{0000000E-85B8-463C-A064-D3371E89311C}"/>
                  </c:ext>
                </c:extLst>
              </c15:ser>
            </c15:filteredPieSeries>
          </c:ext>
        </c:extLst>
      </c:pieChart>
      <c:spPr>
        <a:noFill/>
        <a:ln>
          <a:noFill/>
        </a:ln>
        <a:effectLst/>
      </c:spPr>
    </c:plotArea>
    <c:legend>
      <c:legendPos val="r"/>
      <c:layout>
        <c:manualLayout>
          <c:xMode val="edge"/>
          <c:yMode val="edge"/>
          <c:x val="7.3533787259747699E-2"/>
          <c:y val="0.88332356705352799"/>
          <c:w val="0.27677210612959929"/>
          <c:h val="0.1113476674833692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96085594489122"/>
          <c:y val="0.18660326982618372"/>
          <c:w val="0.69059629037582515"/>
          <c:h val="0.59374132694776072"/>
        </c:manualLayout>
      </c:layout>
      <c:barChart>
        <c:barDir val="bar"/>
        <c:grouping val="clustered"/>
        <c:varyColors val="0"/>
        <c:ser>
          <c:idx val="0"/>
          <c:order val="0"/>
          <c:tx>
            <c:strRef>
              <c:f>Analysis!$I$286:$I$287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Analysis!$I$288:$I$290</c:f>
              <c:numCache>
                <c:formatCode>General</c:formatCode>
                <c:ptCount val="3"/>
                <c:pt idx="0">
                  <c:v>24</c:v>
                </c:pt>
                <c:pt idx="1">
                  <c:v>50</c:v>
                </c:pt>
                <c:pt idx="2">
                  <c:v>80</c:v>
                </c:pt>
              </c:numCache>
            </c:numRef>
          </c:val>
        </c:ser>
        <c:ser>
          <c:idx val="1"/>
          <c:order val="1"/>
          <c:tx>
            <c:strRef>
              <c:f>Analysis!$J$286:$J$287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Analysis!$J$288:$J$290</c:f>
              <c:numCache>
                <c:formatCode>General</c:formatCode>
                <c:ptCount val="3"/>
                <c:pt idx="2">
                  <c:v>58</c:v>
                </c:pt>
              </c:numCache>
            </c:numRef>
          </c:val>
        </c:ser>
        <c:dLbls>
          <c:showLegendKey val="0"/>
          <c:showVal val="0"/>
          <c:showCatName val="0"/>
          <c:showSerName val="0"/>
          <c:showPercent val="0"/>
          <c:showBubbleSize val="0"/>
        </c:dLbls>
        <c:gapWidth val="100"/>
        <c:axId val="518365744"/>
        <c:axId val="518367704"/>
      </c:barChart>
      <c:catAx>
        <c:axId val="5183657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8367704"/>
        <c:crosses val="autoZero"/>
        <c:auto val="1"/>
        <c:lblAlgn val="ctr"/>
        <c:lblOffset val="100"/>
        <c:noMultiLvlLbl val="0"/>
      </c:catAx>
      <c:valAx>
        <c:axId val="51836770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8365744"/>
        <c:crosses val="autoZero"/>
        <c:crossBetween val="between"/>
      </c:valAx>
      <c:spPr>
        <a:noFill/>
        <a:ln>
          <a:noFill/>
        </a:ln>
        <a:effectLst/>
      </c:spPr>
    </c:plotArea>
    <c:legend>
      <c:legendPos val="b"/>
      <c:layout>
        <c:manualLayout>
          <c:xMode val="edge"/>
          <c:yMode val="edge"/>
          <c:x val="0.37473622996019773"/>
          <c:y val="0.8634962878691762"/>
          <c:w val="0.19056997194589906"/>
          <c:h val="0.1079923205998397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2018 HRP targets</a:t>
            </a:r>
          </a:p>
          <a:p>
            <a:pPr>
              <a:defRPr sz="1400"/>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HRP!$H$128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80AE-4D26-A150-8FAE5CF11C26}"/>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80AE-4D26-A150-8FAE5CF11C26}"/>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80AE-4D26-A150-8FAE5CF11C26}"/>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80AE-4D26-A150-8FAE5CF11C2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HRP!$F$129:$F$134</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HRP!$H$129:$H$134</c:f>
              <c:numCache>
                <c:formatCode>_(* #,##0_);_(* \(#,##0\);_(* "-"??_);_(@_)</c:formatCode>
                <c:ptCount val="6"/>
                <c:pt idx="0">
                  <c:v>85701</c:v>
                </c:pt>
                <c:pt idx="1">
                  <c:v>121645</c:v>
                </c:pt>
                <c:pt idx="2">
                  <c:v>87766</c:v>
                </c:pt>
                <c:pt idx="3">
                  <c:v>121730</c:v>
                </c:pt>
                <c:pt idx="4">
                  <c:v>109906.12454212454</c:v>
                </c:pt>
                <c:pt idx="5">
                  <c:v>113237.12454212455</c:v>
                </c:pt>
              </c:numCache>
            </c:numRef>
          </c:val>
          <c:extLst xmlns:c16r2="http://schemas.microsoft.com/office/drawing/2015/06/chart">
            <c:ext xmlns:c16="http://schemas.microsoft.com/office/drawing/2014/chart" uri="{C3380CC4-5D6E-409C-BE32-E72D297353CC}">
              <c16:uniqueId val="{00000008-80AE-4D26-A150-8FAE5CF11C26}"/>
            </c:ext>
          </c:extLst>
        </c:ser>
        <c:ser>
          <c:idx val="1"/>
          <c:order val="1"/>
          <c:tx>
            <c:strRef>
              <c:f>HRP!$I$128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A-80AE-4D26-A150-8FAE5CF11C26}"/>
              </c:ext>
            </c:extLst>
          </c:dPt>
          <c:dPt>
            <c:idx val="1"/>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C-80AE-4D26-A150-8FAE5CF11C26}"/>
              </c:ext>
            </c:extLst>
          </c:dPt>
          <c:dPt>
            <c:idx val="2"/>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E-80AE-4D26-A150-8FAE5CF11C26}"/>
              </c:ext>
            </c:extLst>
          </c:dPt>
          <c:dPt>
            <c:idx val="3"/>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10-80AE-4D26-A150-8FAE5CF11C26}"/>
              </c:ext>
            </c:extLst>
          </c:dPt>
          <c:dLbls>
            <c:dLbl>
              <c:idx val="3"/>
              <c:layout>
                <c:manualLayout>
                  <c:x val="5.5091809353833093E-2"/>
                  <c:y val="3.549897137417382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8860227107028395E-2"/>
                  <c:y val="-2.811242344706911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AE-4D26-A150-8FAE5CF11C26}"/>
                </c:ext>
                <c:ext xmlns:c15="http://schemas.microsoft.com/office/drawing/2012/chart" uri="{CE6537A1-D6FC-4f65-9D91-7224C49458BB}"/>
              </c:extLst>
            </c:dLbl>
            <c:dLbl>
              <c:idx val="5"/>
              <c:layout>
                <c:manualLayout>
                  <c:x val="2.6553158719743258E-2"/>
                  <c:y val="-2.836614173228346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AE-4D26-A150-8FAE5CF11C26}"/>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HRP!$F$129:$F$134</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HRP!$I$129:$I$134</c:f>
              <c:numCache>
                <c:formatCode>_(* #,##0_);_(* \(#,##0\);_(* "-"??_);_(@_)</c:formatCode>
                <c:ptCount val="6"/>
                <c:pt idx="0">
                  <c:v>34402</c:v>
                </c:pt>
                <c:pt idx="1">
                  <c:v>-1542</c:v>
                </c:pt>
                <c:pt idx="2">
                  <c:v>32337</c:v>
                </c:pt>
                <c:pt idx="3">
                  <c:v>-1627</c:v>
                </c:pt>
                <c:pt idx="4">
                  <c:v>10196.87545787546</c:v>
                </c:pt>
                <c:pt idx="5">
                  <c:v>6865.8754578754451</c:v>
                </c:pt>
              </c:numCache>
            </c:numRef>
          </c:val>
          <c:extLst xmlns:c16r2="http://schemas.microsoft.com/office/drawing/2015/06/chart">
            <c:ext xmlns:c16="http://schemas.microsoft.com/office/drawing/2014/chart" uri="{C3380CC4-5D6E-409C-BE32-E72D297353CC}">
              <c16:uniqueId val="{00000013-80AE-4D26-A150-8FAE5CF11C26}"/>
            </c:ext>
          </c:extLst>
        </c:ser>
        <c:dLbls>
          <c:showLegendKey val="0"/>
          <c:showVal val="0"/>
          <c:showCatName val="0"/>
          <c:showSerName val="0"/>
          <c:showPercent val="0"/>
          <c:showBubbleSize val="0"/>
        </c:dLbls>
        <c:gapWidth val="150"/>
        <c:overlap val="100"/>
        <c:axId val="518366136"/>
        <c:axId val="518362608"/>
      </c:barChart>
      <c:catAx>
        <c:axId val="5183661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518362608"/>
        <c:crosses val="autoZero"/>
        <c:auto val="1"/>
        <c:lblAlgn val="ctr"/>
        <c:lblOffset val="100"/>
        <c:noMultiLvlLbl val="0"/>
      </c:catAx>
      <c:valAx>
        <c:axId val="518362608"/>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18366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1361-4C52-9488-B12D2B6D9B0F}"/>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1361-4C52-9488-B12D2B6D9B0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1361-4C52-9488-B12D2B6D9B0F}"/>
              </c:ext>
            </c:extLst>
          </c:dPt>
          <c:dLbls>
            <c:dLbl>
              <c:idx val="0"/>
              <c:layout>
                <c:manualLayout>
                  <c:x val="-0.15679672226352562"/>
                  <c:y val="-4.469853449621913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361-4C52-9488-B12D2B6D9B0F}"/>
                </c:ex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Analysis!$O$133:$O$135</c:f>
              <c:strCache>
                <c:ptCount val="3"/>
                <c:pt idx="0">
                  <c:v>Functioning</c:v>
                </c:pt>
                <c:pt idx="1">
                  <c:v>Reparis</c:v>
                </c:pt>
                <c:pt idx="2">
                  <c:v>Desludging</c:v>
                </c:pt>
              </c:strCache>
            </c:strRef>
          </c:cat>
          <c:val>
            <c:numRef>
              <c:f>Analysis!$P$133:$P$135</c:f>
              <c:numCache>
                <c:formatCode>_(* #,##0_);_(* \(#,##0\);_(* "-"??_);_(@_)</c:formatCode>
                <c:ptCount val="3"/>
                <c:pt idx="0">
                  <c:v>4951</c:v>
                </c:pt>
                <c:pt idx="1">
                  <c:v>1200</c:v>
                </c:pt>
                <c:pt idx="2">
                  <c:v>2885</c:v>
                </c:pt>
              </c:numCache>
            </c:numRef>
          </c:val>
          <c:extLst xmlns:c16r2="http://schemas.microsoft.com/office/drawing/2015/06/chart">
            <c:ext xmlns:c16="http://schemas.microsoft.com/office/drawing/2014/chart" uri="{C3380CC4-5D6E-409C-BE32-E72D297353CC}">
              <c16:uniqueId val="{00000006-1361-4C52-9488-B12D2B6D9B0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4760485844262772"/>
          <c:y val="0.35344252651041058"/>
          <c:w val="0.33025637390228602"/>
          <c:h val="0.25747234558119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Latrines handed over to families</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255140011999389"/>
          <c:y val="0.17784740449110528"/>
          <c:w val="0.73408816291109003"/>
          <c:h val="0.49109616506270043"/>
        </c:manualLayout>
      </c:layout>
      <c:barChart>
        <c:barDir val="col"/>
        <c:grouping val="stacked"/>
        <c:varyColors val="0"/>
        <c:ser>
          <c:idx val="0"/>
          <c:order val="0"/>
          <c:tx>
            <c:strRef>
              <c:f>Analysis!$K$135</c:f>
              <c:strCache>
                <c:ptCount val="1"/>
                <c:pt idx="0">
                  <c:v>Latrines handed over</c:v>
                </c:pt>
              </c:strCache>
            </c:strRef>
          </c:tx>
          <c:spPr>
            <a:solidFill>
              <a:schemeClr val="accent2">
                <a:shade val="76000"/>
              </a:schemeClr>
            </a:solidFill>
            <a:ln>
              <a:noFill/>
            </a:ln>
            <a:effectLst/>
          </c:spPr>
          <c:invertIfNegative val="0"/>
          <c:dLbls>
            <c:dLbl>
              <c:idx val="1"/>
              <c:layout>
                <c:manualLayout>
                  <c:x val="-7.935482098411592E-3"/>
                  <c:y val="-1.8297702828309653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Analysis!$L$135:$M$135</c:f>
              <c:numCache>
                <c:formatCode>_(* #,##0_);_(* \(#,##0\);_(* "-"??_);_(@_)</c:formatCode>
                <c:ptCount val="2"/>
                <c:pt idx="0">
                  <c:v>4268</c:v>
                </c:pt>
                <c:pt idx="1">
                  <c:v>2665</c:v>
                </c:pt>
              </c:numCache>
            </c:numRef>
          </c:val>
          <c:extLst xmlns:c16r2="http://schemas.microsoft.com/office/drawing/2015/06/chart">
            <c:ext xmlns:c16="http://schemas.microsoft.com/office/drawing/2014/chart" uri="{C3380CC4-5D6E-409C-BE32-E72D297353CC}">
              <c16:uniqueId val="{00000000-D438-4C53-93B3-9FA74B8C19A7}"/>
            </c:ext>
          </c:extLst>
        </c:ser>
        <c:ser>
          <c:idx val="1"/>
          <c:order val="1"/>
          <c:tx>
            <c:strRef>
              <c:f>Analysis!$K$136</c:f>
              <c:strCache>
                <c:ptCount val="1"/>
                <c:pt idx="0">
                  <c:v>Latrines not handed over</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Analysis!$L$136:$M$136</c:f>
              <c:numCache>
                <c:formatCode>_(* #,##0_);_(* \(#,##0\);_(* "-"??_);_(@_)</c:formatCode>
                <c:ptCount val="2"/>
                <c:pt idx="0">
                  <c:v>1882</c:v>
                </c:pt>
                <c:pt idx="1">
                  <c:v>9466</c:v>
                </c:pt>
              </c:numCache>
            </c:numRef>
          </c:val>
          <c:extLst xmlns:c16r2="http://schemas.microsoft.com/office/drawing/2015/06/chart">
            <c:ext xmlns:c16="http://schemas.microsoft.com/office/drawing/2014/chart" uri="{C3380CC4-5D6E-409C-BE32-E72D297353CC}">
              <c16:uniqueId val="{00000001-D438-4C53-93B3-9FA74B8C19A7}"/>
            </c:ext>
          </c:extLst>
        </c:ser>
        <c:dLbls>
          <c:dLblPos val="ctr"/>
          <c:showLegendKey val="0"/>
          <c:showVal val="1"/>
          <c:showCatName val="0"/>
          <c:showSerName val="0"/>
          <c:showPercent val="0"/>
          <c:showBubbleSize val="0"/>
        </c:dLbls>
        <c:gapWidth val="150"/>
        <c:overlap val="100"/>
        <c:axId val="518370448"/>
        <c:axId val="518371624"/>
      </c:barChart>
      <c:catAx>
        <c:axId val="51837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18371624"/>
        <c:crosses val="autoZero"/>
        <c:auto val="1"/>
        <c:lblAlgn val="ctr"/>
        <c:lblOffset val="100"/>
        <c:noMultiLvlLbl val="0"/>
      </c:catAx>
      <c:valAx>
        <c:axId val="5183716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18370448"/>
        <c:crosses val="autoZero"/>
        <c:crossBetween val="between"/>
      </c:valAx>
      <c:spPr>
        <a:noFill/>
        <a:ln>
          <a:noFill/>
        </a:ln>
        <a:effectLst/>
      </c:spPr>
    </c:plotArea>
    <c:legend>
      <c:legendPos val="b"/>
      <c:layout>
        <c:manualLayout>
          <c:xMode val="edge"/>
          <c:yMode val="edge"/>
          <c:x val="0"/>
          <c:y val="0.78931904345290171"/>
          <c:w val="0.98371267766682979"/>
          <c:h val="0.18290317876932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Effective drainage</a:t>
            </a:r>
          </a:p>
          <a:p>
            <a:pPr>
              <a:defRPr sz="1400"/>
            </a:pPr>
            <a:r>
              <a:rPr lang="en-US" sz="1400"/>
              <a:t> in active camps</a:t>
            </a:r>
          </a:p>
        </c:rich>
      </c:tx>
      <c:layout>
        <c:manualLayout>
          <c:xMode val="edge"/>
          <c:yMode val="edge"/>
          <c:x val="0.31744740740028904"/>
          <c:y val="1.8851680323002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9521466483290055E-2"/>
          <c:y val="0.28979476523767861"/>
          <c:w val="0.47782568381436591"/>
          <c:h val="0.56131488772236804"/>
        </c:manualLayout>
      </c:layout>
      <c:pieChart>
        <c:varyColors val="1"/>
        <c:ser>
          <c:idx val="1"/>
          <c:order val="1"/>
          <c:tx>
            <c:strRef>
              <c:f>Analysis!$B$163</c:f>
              <c:strCache>
                <c:ptCount val="1"/>
                <c:pt idx="0">
                  <c:v>Rakhine</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122C-4636-A191-0ADF6FD821A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122C-4636-A191-0ADF6FD821A0}"/>
              </c:ext>
            </c:extLst>
          </c:dPt>
          <c:dLbls>
            <c:dLbl>
              <c:idx val="0"/>
              <c:layout>
                <c:manualLayout>
                  <c:x val="-0.13599219310596675"/>
                  <c:y val="3.8165432608147247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22C-4636-A191-0ADF6FD821A0}"/>
                </c:ext>
                <c:ext xmlns:c15="http://schemas.microsoft.com/office/drawing/2012/chart" uri="{CE6537A1-D6FC-4f65-9D91-7224C49458BB}"/>
              </c:extLst>
            </c:dLbl>
            <c:dLbl>
              <c:idx val="1"/>
              <c:layout>
                <c:manualLayout>
                  <c:x val="1.5859082033313487E-2"/>
                  <c:y val="-0.11372823316208489"/>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Lst>
            </c:dLbl>
            <c:dLbl>
              <c:idx val="3"/>
              <c:layout>
                <c:manualLayout>
                  <c:x val="3.5601505668691198E-2"/>
                  <c:y val="0.18134011586706858"/>
                </c:manualLayout>
              </c:layout>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Analysis!$C$163:$F$163</c:f>
              <c:numCache>
                <c:formatCode>General</c:formatCode>
                <c:ptCount val="4"/>
                <c:pt idx="0">
                  <c:v>12</c:v>
                </c:pt>
                <c:pt idx="1">
                  <c:v>1</c:v>
                </c:pt>
                <c:pt idx="2">
                  <c:v>10</c:v>
                </c:pt>
                <c:pt idx="3">
                  <c:v>1</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122C-4636-A191-0ADF6FD821A0}"/>
            </c:ext>
          </c:extLst>
        </c:ser>
        <c:dLbls>
          <c:dLblPos val="bestFit"/>
          <c:showLegendKey val="0"/>
          <c:showVal val="1"/>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Analysis!$B$162</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3"/>
                    <c:layout>
                      <c:manualLayout>
                        <c:x val="4.4142253079837497E-2"/>
                        <c:y val="0.1262423822946043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63-4C59-8DE1-219A0638CA1F}"/>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Analysis!$C$162:$F$162</c15:sqref>
                        </c15:formulaRef>
                      </c:ext>
                    </c:extLst>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8-3A63-4C59-8DE1-219A0638CA1F}"/>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Analysis!$B$164</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122C-4636-A191-0ADF6FD821A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122C-4636-A191-0ADF6FD821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Analysis!$C$164:$F$164</c15:sqref>
                        </c15:formulaRef>
                      </c:ext>
                    </c:extLst>
                    <c:numCache>
                      <c:formatCode>General</c:formatCode>
                      <c:ptCount val="4"/>
                      <c:pt idx="0">
                        <c:v>19</c:v>
                      </c:pt>
                      <c:pt idx="1">
                        <c:v>5</c:v>
                      </c:pt>
                      <c:pt idx="2">
                        <c:v>3</c:v>
                      </c:pt>
                      <c:pt idx="3">
                        <c:v>8</c:v>
                      </c:pt>
                    </c:numCache>
                  </c:numRef>
                </c:val>
                <c:extLst xmlns:c15="http://schemas.microsoft.com/office/drawing/2012/chart" xmlns:c16r2="http://schemas.microsoft.com/office/drawing/2015/06/chart">
                  <c:ext xmlns:c16="http://schemas.microsoft.com/office/drawing/2014/chart" uri="{C3380CC4-5D6E-409C-BE32-E72D297353CC}">
                    <c16:uniqueId val="{00000019-122C-4636-A191-0ADF6FD821A0}"/>
                  </c:ext>
                </c:extLst>
              </c15:ser>
            </c15:filteredPieSeries>
          </c:ext>
        </c:extLst>
      </c:pieChart>
      <c:spPr>
        <a:noFill/>
        <a:ln>
          <a:noFill/>
        </a:ln>
        <a:effectLst/>
      </c:spPr>
    </c:plotArea>
    <c:legend>
      <c:legendPos val="r"/>
      <c:layout>
        <c:manualLayout>
          <c:xMode val="edge"/>
          <c:yMode val="edge"/>
          <c:x val="0.63697532474841267"/>
          <c:y val="0.31178621840112924"/>
          <c:w val="0.3578265654579012"/>
          <c:h val="0.444357614364535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layout>
        <c:manualLayout>
          <c:xMode val="edge"/>
          <c:yMode val="edge"/>
          <c:x val="0.14399283986715838"/>
          <c:y val="1.867787142859243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67532506851285E-2"/>
          <c:y val="0.2837033391659376"/>
          <c:w val="0.46503530296740553"/>
          <c:h val="0.58233194808982214"/>
        </c:manualLayout>
      </c:layout>
      <c:pieChart>
        <c:varyColors val="1"/>
        <c:ser>
          <c:idx val="1"/>
          <c:order val="1"/>
          <c:tx>
            <c:strRef>
              <c:f>Analysis!$B$179</c:f>
              <c:strCache>
                <c:ptCount val="1"/>
                <c:pt idx="0">
                  <c:v>Rakhine</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E2F0-4F09-9FE6-B32474432E6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E2F0-4F09-9FE6-B32474432E6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E2F0-4F09-9FE6-B32474432E6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E2F0-4F09-9FE6-B32474432E6F}"/>
              </c:ext>
            </c:extLst>
          </c:dPt>
          <c:dLbls>
            <c:dLbl>
              <c:idx val="0"/>
              <c:layout>
                <c:manualLayout>
                  <c:x val="-8.1290411594639178E-2"/>
                  <c:y val="-0.17786476046532881"/>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2F0-4F09-9FE6-B32474432E6F}"/>
                </c:ext>
                <c:ext xmlns:c15="http://schemas.microsoft.com/office/drawing/2012/chart" uri="{CE6537A1-D6FC-4f65-9D91-7224C49458BB}"/>
              </c:extLst>
            </c:dLbl>
            <c:dLbl>
              <c:idx val="1"/>
              <c:layout>
                <c:manualLayout>
                  <c:x val="7.5457188011514367E-2"/>
                  <c:y val="6.9316677601824195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dLbl>
              <c:idx val="3"/>
              <c:layout>
                <c:manualLayout>
                  <c:x val="3.0082532156811097E-2"/>
                  <c:y val="0.17103881442827915"/>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Analysis!$C$177:$F$177</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Analysis!$C$179:$F$179</c:f>
              <c:numCache>
                <c:formatCode>General</c:formatCode>
                <c:ptCount val="4"/>
                <c:pt idx="0">
                  <c:v>19</c:v>
                </c:pt>
                <c:pt idx="1">
                  <c:v>1</c:v>
                </c:pt>
                <c:pt idx="2">
                  <c:v>3</c:v>
                </c:pt>
                <c:pt idx="3">
                  <c:v>1</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E2F0-4F09-9FE6-B32474432E6F}"/>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Analysis!$B$178</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7D04-4B5A-8D19-1128D053B9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layout>
                      <c:manualLayout>
                        <c:x val="4.3363541821423268E-2"/>
                        <c:y val="4.3223972003499561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D04-4B5A-8D19-1128D053B922}"/>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Analysis!$C$178:$F$178</c15:sqref>
                        </c15:formulaRef>
                      </c:ext>
                    </c:extLst>
                    <c:numCache>
                      <c:formatCode>General</c:formatCode>
                      <c:ptCount val="4"/>
                      <c:pt idx="0">
                        <c:v>122</c:v>
                      </c:pt>
                      <c:pt idx="1">
                        <c:v>1</c:v>
                      </c:pt>
                      <c:pt idx="2">
                        <c:v>2</c:v>
                      </c:pt>
                      <c:pt idx="3">
                        <c:v>10</c:v>
                      </c:pt>
                    </c:numCache>
                  </c:numRef>
                </c:val>
                <c:extLst xmlns:c16r2="http://schemas.microsoft.com/office/drawing/2015/06/chart">
                  <c:ext xmlns:c16="http://schemas.microsoft.com/office/drawing/2014/chart" uri="{C3380CC4-5D6E-409C-BE32-E72D297353CC}">
                    <c16:uniqueId val="{0000000A-7D04-4B5A-8D19-1128D053B922}"/>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Analysis!$B$180</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E2F0-4F09-9FE6-B32474432E6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E2F0-4F09-9FE6-B32474432E6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E2F0-4F09-9FE6-B32474432E6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E2F0-4F09-9FE6-B32474432E6F}"/>
                    </c:ext>
                  </c:extLst>
                </c:dPt>
                <c:cat>
                  <c:strRef>
                    <c:extLst xmlns:c15="http://schemas.microsoft.com/office/drawing/2012/chart" xmlns:c16r2="http://schemas.microsoft.com/office/drawing/2015/06/chart">
                      <c:ext xmlns:c15="http://schemas.microsoft.com/office/drawing/2012/char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Analysis!$C$180:$F$180</c15:sqref>
                        </c15:formulaRef>
                      </c:ext>
                    </c:extLst>
                    <c:numCache>
                      <c:formatCode>General</c:formatCode>
                      <c:ptCount val="4"/>
                      <c:pt idx="0">
                        <c:v>24</c:v>
                      </c:pt>
                      <c:pt idx="1">
                        <c:v>5</c:v>
                      </c:pt>
                      <c:pt idx="2">
                        <c:v>2</c:v>
                      </c:pt>
                      <c:pt idx="3">
                        <c:v>4</c:v>
                      </c:pt>
                    </c:numCache>
                  </c:numRef>
                </c:val>
                <c:extLst xmlns:c15="http://schemas.microsoft.com/office/drawing/2012/chart" xmlns:c16r2="http://schemas.microsoft.com/office/drawing/2015/06/chart">
                  <c:ext xmlns:c16="http://schemas.microsoft.com/office/drawing/2014/chart" uri="{C3380CC4-5D6E-409C-BE32-E72D297353CC}">
                    <c16:uniqueId val="{00000019-E2F0-4F09-9FE6-B32474432E6F}"/>
                  </c:ext>
                </c:extLst>
              </c15:ser>
            </c15:filteredPieSeries>
          </c:ext>
        </c:extLst>
      </c:pieChart>
      <c:spPr>
        <a:noFill/>
        <a:ln>
          <a:noFill/>
        </a:ln>
        <a:effectLst/>
      </c:spPr>
    </c:plotArea>
    <c:legend>
      <c:legendPos val="r"/>
      <c:layout>
        <c:manualLayout>
          <c:xMode val="edge"/>
          <c:yMode val="edge"/>
          <c:x val="0.62438801300215829"/>
          <c:y val="0.31767570720326632"/>
          <c:w val="0.35849056603773582"/>
          <c:h val="0.446071741032370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 coverage </a:t>
            </a:r>
            <a:endParaRPr lang="en-US" sz="1400">
              <a:effectLst/>
            </a:endParaRPr>
          </a:p>
        </c:rich>
      </c:tx>
      <c:layout>
        <c:manualLayout>
          <c:xMode val="edge"/>
          <c:yMode val="edge"/>
          <c:x val="0.3631003614412614"/>
          <c:y val="3.68974975395955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239912259071468"/>
          <c:y val="0.16079839053622644"/>
          <c:w val="0.73427010918299018"/>
          <c:h val="0.60931479795679322"/>
        </c:manualLayout>
      </c:layout>
      <c:barChart>
        <c:barDir val="col"/>
        <c:grouping val="stacked"/>
        <c:varyColors val="0"/>
        <c:ser>
          <c:idx val="0"/>
          <c:order val="0"/>
          <c:tx>
            <c:strRef>
              <c:f>Analysis!$K$133</c:f>
              <c:strCache>
                <c:ptCount val="1"/>
                <c:pt idx="0">
                  <c:v>Coverage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Analysis!$L$133:$M$133</c:f>
              <c:numCache>
                <c:formatCode>_(* #,##0_);_(* \(#,##0\);_(* "-"??_);_(@_)</c:formatCode>
                <c:ptCount val="2"/>
                <c:pt idx="0">
                  <c:v>4951</c:v>
                </c:pt>
                <c:pt idx="1">
                  <c:v>3573</c:v>
                </c:pt>
              </c:numCache>
            </c:numRef>
          </c:val>
          <c:extLst xmlns:c16r2="http://schemas.microsoft.com/office/drawing/2015/06/chart">
            <c:ext xmlns:c16="http://schemas.microsoft.com/office/drawing/2014/chart" uri="{C3380CC4-5D6E-409C-BE32-E72D297353CC}">
              <c16:uniqueId val="{00000000-ED9B-4783-A8F8-A5280364F22C}"/>
            </c:ext>
          </c:extLst>
        </c:ser>
        <c:ser>
          <c:idx val="1"/>
          <c:order val="1"/>
          <c:tx>
            <c:strRef>
              <c:f>Analysis!$K$134</c:f>
              <c:strCache>
                <c:ptCount val="1"/>
                <c:pt idx="0">
                  <c:v>GAP</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Analysis!$L$134:$M$134</c:f>
              <c:numCache>
                <c:formatCode>_(* #,##0_);_(* \(#,##0\);_(* "-"??_);_(@_)</c:formatCode>
                <c:ptCount val="2"/>
                <c:pt idx="0">
                  <c:v>1199</c:v>
                </c:pt>
                <c:pt idx="1">
                  <c:v>8558</c:v>
                </c:pt>
              </c:numCache>
            </c:numRef>
          </c:val>
          <c:extLst xmlns:c16r2="http://schemas.microsoft.com/office/drawing/2015/06/chart">
            <c:ext xmlns:c16="http://schemas.microsoft.com/office/drawing/2014/chart" uri="{C3380CC4-5D6E-409C-BE32-E72D297353CC}">
              <c16:uniqueId val="{00000001-ED9B-4783-A8F8-A5280364F22C}"/>
            </c:ext>
          </c:extLst>
        </c:ser>
        <c:dLbls>
          <c:dLblPos val="ctr"/>
          <c:showLegendKey val="0"/>
          <c:showVal val="1"/>
          <c:showCatName val="0"/>
          <c:showSerName val="0"/>
          <c:showPercent val="0"/>
          <c:showBubbleSize val="0"/>
        </c:dLbls>
        <c:gapWidth val="150"/>
        <c:overlap val="100"/>
        <c:axId val="518370840"/>
        <c:axId val="518372800"/>
      </c:barChart>
      <c:catAx>
        <c:axId val="51837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18372800"/>
        <c:crosses val="autoZero"/>
        <c:auto val="1"/>
        <c:lblAlgn val="ctr"/>
        <c:lblOffset val="100"/>
        <c:noMultiLvlLbl val="0"/>
      </c:catAx>
      <c:valAx>
        <c:axId val="5183728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18370840"/>
        <c:crosses val="autoZero"/>
        <c:crossBetween val="between"/>
      </c:valAx>
      <c:spPr>
        <a:noFill/>
        <a:ln>
          <a:noFill/>
        </a:ln>
        <a:effectLst/>
      </c:spPr>
    </c:plotArea>
    <c:legend>
      <c:legendPos val="b"/>
      <c:layout>
        <c:manualLayout>
          <c:xMode val="edge"/>
          <c:yMode val="edge"/>
          <c:x val="0.34772739891012416"/>
          <c:y val="0.9141758848062691"/>
          <c:w val="0.43847635743634455"/>
          <c:h val="8.58241151937308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 repaired and desludged</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854293793165084"/>
          <c:y val="0.1505849928841082"/>
          <c:w val="0.75810578827945407"/>
          <c:h val="0.61547157697259181"/>
        </c:manualLayout>
      </c:layout>
      <c:barChart>
        <c:barDir val="col"/>
        <c:grouping val="clustered"/>
        <c:varyColors val="0"/>
        <c:ser>
          <c:idx val="0"/>
          <c:order val="0"/>
          <c:tx>
            <c:strRef>
              <c:f>Analysis!$K$137</c:f>
              <c:strCache>
                <c:ptCount val="1"/>
                <c:pt idx="0">
                  <c:v># latrines repairs</c:v>
                </c:pt>
              </c:strCache>
            </c:strRef>
          </c:tx>
          <c:spPr>
            <a:solidFill>
              <a:schemeClr val="accent2">
                <a:shade val="76000"/>
              </a:schemeClr>
            </a:solidFill>
            <a:ln>
              <a:noFill/>
            </a:ln>
            <a:effectLst/>
          </c:spPr>
          <c:invertIfNegative val="0"/>
          <c:dLbls>
            <c:dLbl>
              <c:idx val="1"/>
              <c:layout>
                <c:manualLayout>
                  <c:x val="-7.8927186873476614E-3"/>
                  <c:y val="5.755072785296162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Analysis!$L$137:$M$137</c:f>
              <c:numCache>
                <c:formatCode>_(* #,##0_);_(* \(#,##0\);_(* "-"??_);_(@_)</c:formatCode>
                <c:ptCount val="2"/>
                <c:pt idx="0">
                  <c:v>1200</c:v>
                </c:pt>
                <c:pt idx="1">
                  <c:v>200</c:v>
                </c:pt>
              </c:numCache>
            </c:numRef>
          </c:val>
          <c:extLst xmlns:c16r2="http://schemas.microsoft.com/office/drawing/2015/06/chart">
            <c:ext xmlns:c16="http://schemas.microsoft.com/office/drawing/2014/chart" uri="{C3380CC4-5D6E-409C-BE32-E72D297353CC}">
              <c16:uniqueId val="{00000000-F748-468C-8F17-12F68AC79064}"/>
            </c:ext>
          </c:extLst>
        </c:ser>
        <c:ser>
          <c:idx val="1"/>
          <c:order val="1"/>
          <c:tx>
            <c:strRef>
              <c:f>Analysis!$K$138</c:f>
              <c:strCache>
                <c:ptCount val="1"/>
                <c:pt idx="0">
                  <c:v># latrines desludged</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Analysis!$L$138:$M$138</c:f>
              <c:numCache>
                <c:formatCode>_(* #,##0_);_(* \(#,##0\);_(* "-"??_);_(@_)</c:formatCode>
                <c:ptCount val="2"/>
                <c:pt idx="0">
                  <c:v>2885</c:v>
                </c:pt>
                <c:pt idx="1">
                  <c:v>0</c:v>
                </c:pt>
              </c:numCache>
            </c:numRef>
          </c:val>
          <c:extLst xmlns:c16r2="http://schemas.microsoft.com/office/drawing/2015/06/chart">
            <c:ext xmlns:c16="http://schemas.microsoft.com/office/drawing/2014/chart" uri="{C3380CC4-5D6E-409C-BE32-E72D297353CC}">
              <c16:uniqueId val="{00000001-F748-468C-8F17-12F68AC79064}"/>
            </c:ext>
          </c:extLst>
        </c:ser>
        <c:dLbls>
          <c:dLblPos val="ctr"/>
          <c:showLegendKey val="0"/>
          <c:showVal val="1"/>
          <c:showCatName val="0"/>
          <c:showSerName val="0"/>
          <c:showPercent val="0"/>
          <c:showBubbleSize val="0"/>
        </c:dLbls>
        <c:gapWidth val="150"/>
        <c:axId val="529785984"/>
        <c:axId val="529778144"/>
      </c:barChart>
      <c:catAx>
        <c:axId val="52978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9778144"/>
        <c:crosses val="autoZero"/>
        <c:auto val="1"/>
        <c:lblAlgn val="ctr"/>
        <c:lblOffset val="100"/>
        <c:noMultiLvlLbl val="0"/>
      </c:catAx>
      <c:valAx>
        <c:axId val="529778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9785984"/>
        <c:crosses val="autoZero"/>
        <c:crossBetween val="between"/>
        <c:majorUnit val="4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1"/>
          <c:order val="1"/>
          <c:tx>
            <c:strRef>
              <c:f>Analysis!$G$56</c:f>
              <c:strCache>
                <c:ptCount val="1"/>
                <c:pt idx="0">
                  <c:v>Rakhine</c:v>
                </c:pt>
              </c:strCache>
              <c:extLst xmlns:c15="http://schemas.microsoft.com/office/drawing/2012/chart" xmlns:c16r2="http://schemas.microsoft.com/office/drawing/2015/06/chart"/>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Analysis!$H$56:$I$56</c:f>
              <c:numCache>
                <c:formatCode>0%</c:formatCode>
                <c:ptCount val="2"/>
                <c:pt idx="0">
                  <c:v>0.58204757263297502</c:v>
                </c:pt>
                <c:pt idx="1">
                  <c:v>0.30659146391921277</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9FCF-4E88-A999-D43CA3C5E3CC}"/>
            </c:ext>
          </c:extLst>
        </c:ser>
        <c:dLbls>
          <c:dLblPos val="ctr"/>
          <c:showLegendKey val="0"/>
          <c:showVal val="1"/>
          <c:showCatName val="0"/>
          <c:showSerName val="0"/>
          <c:showPercent val="0"/>
          <c:showBubbleSize val="0"/>
        </c:dLbls>
        <c:gapWidth val="150"/>
        <c:overlap val="100"/>
        <c:axId val="529787552"/>
        <c:axId val="52977892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0.67647551589016741</c:v>
                      </c:pt>
                      <c:pt idx="1">
                        <c:v>0.81862745098039214</c:v>
                      </c:pt>
                    </c:numCache>
                  </c:numRef>
                </c:val>
                <c:extLst xmlns:c16r2="http://schemas.microsoft.com/office/drawing/2015/06/chart">
                  <c:ext xmlns:c16="http://schemas.microsoft.com/office/drawing/2014/chart" uri="{C3380CC4-5D6E-409C-BE32-E72D297353CC}">
                    <c16:uniqueId val="{00000001-9FCF-4E88-A999-D43CA3C5E3CC}"/>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5">
                          <a:tint val="65000"/>
                          <a:satMod val="103000"/>
                          <a:lumMod val="102000"/>
                          <a:tint val="94000"/>
                        </a:schemeClr>
                      </a:gs>
                      <a:gs pos="50000">
                        <a:schemeClr val="accent5">
                          <a:tint val="65000"/>
                          <a:satMod val="110000"/>
                          <a:lumMod val="100000"/>
                          <a:shade val="100000"/>
                        </a:schemeClr>
                      </a:gs>
                      <a:gs pos="100000">
                        <a:schemeClr val="accent5">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0.45242114123693067</c:v>
                      </c:pt>
                      <c:pt idx="1">
                        <c:v>0.47916666666666674</c:v>
                      </c:pt>
                    </c:numCache>
                  </c:numRef>
                </c:val>
                <c:extLst xmlns:c15="http://schemas.microsoft.com/office/drawing/2012/chart" xmlns:c16r2="http://schemas.microsoft.com/office/drawing/2015/06/chart">
                  <c:ext xmlns:c16="http://schemas.microsoft.com/office/drawing/2014/chart" uri="{C3380CC4-5D6E-409C-BE32-E72D297353CC}">
                    <c16:uniqueId val="{00000002-9FCF-4E88-A999-D43CA3C5E3CC}"/>
                  </c:ext>
                </c:extLst>
              </c15:ser>
            </c15:filteredBarSeries>
          </c:ext>
        </c:extLst>
      </c:barChart>
      <c:catAx>
        <c:axId val="529787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29778928"/>
        <c:crosses val="autoZero"/>
        <c:auto val="1"/>
        <c:lblAlgn val="ctr"/>
        <c:lblOffset val="100"/>
        <c:noMultiLvlLbl val="0"/>
      </c:catAx>
      <c:valAx>
        <c:axId val="529778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9787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i="0" baseline="0">
                <a:effectLst/>
              </a:rPr>
              <a:t>WASH in Temporary Learning Spaces </a:t>
            </a:r>
            <a:endParaRPr lang="en-US" sz="1400" b="1">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Analysis!$C$409</c:f>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2EA1-4578-B2E8-5263550BFBBA}"/>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9EC5-43F1-A2CA-3245AB393898}"/>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2EA1-4578-B2E8-5263550BFBBA}"/>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4-9EC5-43F1-A2CA-3245AB393898}"/>
              </c:ext>
            </c:extLst>
          </c:dPt>
          <c:dPt>
            <c:idx val="4"/>
            <c:invertIfNegative val="0"/>
            <c:bubble3D val="0"/>
            <c:spPr>
              <a:solidFill>
                <a:srgbClr val="0070C0"/>
              </a:soli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Analysis!$D$407:$H$407</c:f>
              <c:strCache>
                <c:ptCount val="5"/>
                <c:pt idx="0">
                  <c:v> # of hand washing stations with soap</c:v>
                </c:pt>
                <c:pt idx="1">
                  <c:v> # of hand washing stations for TLS</c:v>
                </c:pt>
                <c:pt idx="2">
                  <c:v> # of children Latrines</c:v>
                </c:pt>
                <c:pt idx="3">
                  <c:v> # of latrines in TLS (schools)</c:v>
                </c:pt>
                <c:pt idx="4">
                  <c:v># Water points in TLS</c:v>
                </c:pt>
              </c:strCache>
            </c:strRef>
          </c:cat>
          <c:val>
            <c:numRef>
              <c:f>Analysis!$D$409:$H$409</c:f>
              <c:numCache>
                <c:formatCode>_(* #,##0_);_(* \(#,##0\);_(* "-"??_);_(@_)</c:formatCode>
                <c:ptCount val="5"/>
                <c:pt idx="0">
                  <c:v>16</c:v>
                </c:pt>
                <c:pt idx="1">
                  <c:v>79</c:v>
                </c:pt>
                <c:pt idx="2">
                  <c:v>112.53410293410293</c:v>
                </c:pt>
                <c:pt idx="3">
                  <c:v>87</c:v>
                </c:pt>
                <c:pt idx="4">
                  <c:v>11</c:v>
                </c:pt>
              </c:numCache>
            </c:numRef>
          </c:val>
          <c:extLst xmlns:c16r2="http://schemas.microsoft.com/office/drawing/2015/06/chart">
            <c:ext xmlns:c16="http://schemas.microsoft.com/office/drawing/2014/chart" uri="{C3380CC4-5D6E-409C-BE32-E72D297353CC}">
              <c16:uniqueId val="{00000004-2EA1-4578-B2E8-5263550BFBBA}"/>
            </c:ext>
          </c:extLst>
        </c:ser>
        <c:dLbls>
          <c:dLblPos val="outEnd"/>
          <c:showLegendKey val="0"/>
          <c:showVal val="1"/>
          <c:showCatName val="0"/>
          <c:showSerName val="0"/>
          <c:showPercent val="0"/>
          <c:showBubbleSize val="0"/>
        </c:dLbls>
        <c:gapWidth val="115"/>
        <c:overlap val="-20"/>
        <c:axId val="529777360"/>
        <c:axId val="529777752"/>
      </c:barChart>
      <c:catAx>
        <c:axId val="529777360"/>
        <c:scaling>
          <c:orientation val="minMax"/>
        </c:scaling>
        <c:delete val="1"/>
        <c:axPos val="l"/>
        <c:numFmt formatCode="General" sourceLinked="1"/>
        <c:majorTickMark val="none"/>
        <c:minorTickMark val="none"/>
        <c:tickLblPos val="nextTo"/>
        <c:crossAx val="529777752"/>
        <c:crosses val="autoZero"/>
        <c:auto val="1"/>
        <c:lblAlgn val="ctr"/>
        <c:lblOffset val="100"/>
        <c:noMultiLvlLbl val="0"/>
      </c:catAx>
      <c:valAx>
        <c:axId val="529777752"/>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529777360"/>
        <c:crosses val="autoZero"/>
        <c:crossBetween val="between"/>
      </c:valAx>
      <c:spPr>
        <a:noFill/>
        <a:ln>
          <a:noFill/>
        </a:ln>
        <a:effectLst/>
      </c:spPr>
    </c:plotArea>
    <c:legend>
      <c:legendPos val="b"/>
      <c:layout>
        <c:manualLayout>
          <c:xMode val="edge"/>
          <c:yMode val="edge"/>
          <c:x val="0.12145413688503949"/>
          <c:y val="0.81635558267081021"/>
          <c:w val="0.81369537176242879"/>
          <c:h val="0.159431342268657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2018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(Non-IDP)</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HRP!$AA$128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rgbClr val="0070C0"/>
              </a:solidFill>
              <a:ln>
                <a:noFill/>
              </a:ln>
              <a:effectLst/>
            </c:spPr>
          </c:dPt>
          <c:dPt>
            <c:idx val="3"/>
            <c:invertIfNegative val="0"/>
            <c:bubble3D val="0"/>
            <c:spPr>
              <a:solidFill>
                <a:srgbClr val="0070C0"/>
              </a:solidFill>
              <a:ln>
                <a:noFill/>
              </a:ln>
              <a:effectLst/>
            </c:spPr>
          </c:dPt>
          <c:dLbls>
            <c:dLbl>
              <c:idx val="0"/>
              <c:layout>
                <c:manualLayout>
                  <c:x val="3.1216471481786908E-2"/>
                  <c:y val="-2.473389156622986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0262156910700094E-2"/>
                  <c:y val="-3.221638065264365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7D-42B2-9B65-739548585F31}"/>
                </c:ext>
                <c:ext xmlns:c15="http://schemas.microsoft.com/office/drawing/2012/chart" uri="{CE6537A1-D6FC-4f65-9D91-7224C49458BB}"/>
              </c:extLst>
            </c:dLbl>
            <c:dLbl>
              <c:idx val="2"/>
              <c:layout>
                <c:manualLayout>
                  <c:x val="2.6013726234822426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1216471481786908E-2"/>
                  <c:y val="-2.473389156622986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HRP!$AA$129:$AA$134</c15:sqref>
                  </c15:fullRef>
                </c:ext>
              </c:extLst>
              <c:f>(HRP!$AA$129,HRP!$AA$131,HRP!$AA$133:$AA$134)</c:f>
              <c:numCache>
                <c:formatCode>_(* #,##0_);_(* \(#,##0\);_(* "-"??_);_(@_)</c:formatCode>
                <c:ptCount val="4"/>
                <c:pt idx="0">
                  <c:v>41157</c:v>
                </c:pt>
                <c:pt idx="1">
                  <c:v>17393</c:v>
                </c:pt>
                <c:pt idx="2">
                  <c:v>30820</c:v>
                </c:pt>
                <c:pt idx="3">
                  <c:v>38481</c:v>
                </c:pt>
              </c:numCache>
            </c:numRef>
          </c:val>
          <c:extLst xmlns:c16r2="http://schemas.microsoft.com/office/drawing/2015/06/chart">
            <c:ext xmlns:c16="http://schemas.microsoft.com/office/drawing/2014/chart" uri="{C3380CC4-5D6E-409C-BE32-E72D297353CC}">
              <c16:uniqueId val="{00000003-057D-42B2-9B65-739548585F31}"/>
            </c:ext>
          </c:extLst>
        </c:ser>
        <c:ser>
          <c:idx val="1"/>
          <c:order val="1"/>
          <c:tx>
            <c:strRef>
              <c:f>HRP!$AB$128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HRP!$AB$129:$AB$134</c15:sqref>
                  </c15:fullRef>
                </c:ext>
              </c:extLst>
              <c:f>(HRP!$AB$129,HRP!$AB$131,HRP!$AB$133:$AB$134)</c:f>
              <c:numCache>
                <c:formatCode>_(* #,##0_);_(* \(#,##0\);_(* "-"??_);_(@_)</c:formatCode>
                <c:ptCount val="4"/>
                <c:pt idx="0">
                  <c:v>217877</c:v>
                </c:pt>
                <c:pt idx="1">
                  <c:v>241641</c:v>
                </c:pt>
                <c:pt idx="2">
                  <c:v>228214</c:v>
                </c:pt>
                <c:pt idx="3">
                  <c:v>220553</c:v>
                </c:pt>
              </c:numCache>
            </c:numRef>
          </c:val>
          <c:extLst xmlns:c16r2="http://schemas.microsoft.com/office/drawing/2015/06/char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529779320"/>
        <c:axId val="529779712"/>
      </c:barChart>
      <c:catAx>
        <c:axId val="5297793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529779712"/>
        <c:crosses val="autoZero"/>
        <c:auto val="1"/>
        <c:lblAlgn val="ctr"/>
        <c:lblOffset val="100"/>
        <c:noMultiLvlLbl val="0"/>
      </c:catAx>
      <c:valAx>
        <c:axId val="52977971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793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2018-Q3(US$)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[4]National!$D$3</c:f>
              <c:strCache>
                <c:ptCount val="1"/>
                <c:pt idx="0">
                  <c:v>Cumulative Funding Received for 2018</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[4]National!$B$5</c:f>
              <c:strCache>
                <c:ptCount val="1"/>
                <c:pt idx="0">
                  <c:v>Rakhine</c:v>
                </c:pt>
              </c:strCache>
            </c:strRef>
          </c:cat>
          <c:val>
            <c:numRef>
              <c:extLst>
                <c:ext xmlns:c15="http://schemas.microsoft.com/office/drawing/2012/chart" uri="{02D57815-91ED-43cb-92C2-25804820EDAC}">
                  <c15:fullRef>
                    <c15:sqref>[4]National!$D$4:$D$6</c15:sqref>
                  </c15:fullRef>
                </c:ext>
              </c:extLst>
              <c:f>[4]National!$D$5</c:f>
              <c:numCache>
                <c:formatCode>General</c:formatCode>
                <c:ptCount val="1"/>
                <c:pt idx="0">
                  <c:v>8427561.6677626967</c:v>
                </c:pt>
              </c:numCache>
            </c:numRef>
          </c:val>
          <c:extLst xmlns:c16r2="http://schemas.microsoft.com/office/drawing/2015/06/chart" xmlns:c15="http://schemas.microsoft.com/office/drawing/2012/chart">
            <c:ext xmlns:c16="http://schemas.microsoft.com/office/drawing/2014/chart" uri="{C3380CC4-5D6E-409C-BE32-E72D297353CC}">
              <c16:uniqueId val="{00000000-5296-4004-994E-50883005351E}"/>
            </c:ext>
          </c:extLst>
        </c:ser>
        <c:ser>
          <c:idx val="1"/>
          <c:order val="1"/>
          <c:tx>
            <c:strRef>
              <c:f>[4]National!$E$3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[4]National!$B$5</c:f>
              <c:strCache>
                <c:ptCount val="1"/>
                <c:pt idx="0">
                  <c:v>Rakhine</c:v>
                </c:pt>
              </c:strCache>
            </c:strRef>
          </c:cat>
          <c:val>
            <c:numRef>
              <c:extLst>
                <c:ext xmlns:c15="http://schemas.microsoft.com/office/drawing/2012/chart" uri="{02D57815-91ED-43cb-92C2-25804820EDAC}">
                  <c15:fullRef>
                    <c15:sqref>[4]National!$E$4:$E$6</c15:sqref>
                  </c15:fullRef>
                </c:ext>
              </c:extLst>
              <c:f>[4]National!$E$5</c:f>
              <c:numCache>
                <c:formatCode>General</c:formatCode>
                <c:ptCount val="1"/>
                <c:pt idx="0">
                  <c:v>13172438.332237303</c:v>
                </c:pt>
              </c:numCache>
            </c:numRef>
          </c:val>
          <c:extLst xmlns:c16r2="http://schemas.microsoft.com/office/drawing/2015/06/chart">
            <c:ext xmlns:c16="http://schemas.microsoft.com/office/drawing/2014/chart" uri="{C3380CC4-5D6E-409C-BE32-E72D297353CC}">
              <c16:uniqueId val="{00000000-A42F-42A6-A0FB-F542CA2D31DD}"/>
            </c:ext>
          </c:extLst>
        </c:ser>
        <c:dLbls>
          <c:dLblPos val="ctr"/>
          <c:showLegendKey val="0"/>
          <c:showVal val="1"/>
          <c:showCatName val="0"/>
          <c:showSerName val="0"/>
          <c:showPercent val="0"/>
          <c:showBubbleSize val="0"/>
        </c:dLbls>
        <c:gapWidth val="150"/>
        <c:overlap val="100"/>
        <c:axId val="529782456"/>
        <c:axId val="529783632"/>
        <c:extLst xmlns:c16r2="http://schemas.microsoft.com/office/drawing/2015/06/chart"/>
      </c:barChart>
      <c:catAx>
        <c:axId val="52978245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83632"/>
        <c:crosses val="autoZero"/>
        <c:auto val="1"/>
        <c:lblAlgn val="ctr"/>
        <c:lblOffset val="100"/>
        <c:noMultiLvlLbl val="0"/>
      </c:catAx>
      <c:valAx>
        <c:axId val="52978363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82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0.99573056424588013</c:v>
              </c:pt>
            </c:numLit>
          </c:val>
        </c:ser>
        <c:ser>
          <c:idx val="1"/>
          <c:order val="1"/>
          <c:tx>
            <c:v>LNGO</c:v>
          </c:tx>
          <c:spPr>
            <a:solidFill>
              <a:schemeClr val="bg1">
                <a:lumMod val="65000"/>
              </a:schemeClr>
            </a:solidFill>
            <a:ln>
              <a:noFill/>
            </a:ln>
            <a:effectLst/>
          </c:spPr>
          <c:invertIfNegative val="0"/>
          <c:dLbls>
            <c:dLbl>
              <c:idx val="0"/>
              <c:layout>
                <c:manualLayout>
                  <c:x val="-2.2636003615344239E-2"/>
                  <c:y val="-1.957559493624059E-2"/>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4.2694357541198076E-3</c:v>
              </c:pt>
            </c:numLit>
          </c:val>
        </c:ser>
        <c:ser>
          <c:idx val="2"/>
          <c:order val="2"/>
          <c:tx>
            <c:v>GOV</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Lit>
              <c:ptCount val="1"/>
              <c:pt idx="0">
                <c:v>Total</c:v>
              </c:pt>
            </c:strLit>
          </c:cat>
          <c:val>
            <c:numLit>
              <c:formatCode>General</c:formatCode>
              <c:ptCount val="1"/>
              <c:pt idx="0">
                <c:v>0</c:v>
              </c:pt>
            </c:numLit>
          </c:val>
        </c:ser>
        <c:dLbls>
          <c:showLegendKey val="0"/>
          <c:showVal val="0"/>
          <c:showCatName val="0"/>
          <c:showSerName val="0"/>
          <c:showPercent val="0"/>
          <c:showBubbleSize val="0"/>
        </c:dLbls>
        <c:gapWidth val="150"/>
        <c:overlap val="100"/>
        <c:axId val="529782064"/>
        <c:axId val="529780496"/>
      </c:barChart>
      <c:catAx>
        <c:axId val="529782064"/>
        <c:scaling>
          <c:orientation val="minMax"/>
        </c:scaling>
        <c:delete val="1"/>
        <c:axPos val="l"/>
        <c:numFmt formatCode="General" sourceLinked="1"/>
        <c:majorTickMark val="none"/>
        <c:minorTickMark val="none"/>
        <c:tickLblPos val="nextTo"/>
        <c:crossAx val="529780496"/>
        <c:crosses val="autoZero"/>
        <c:auto val="1"/>
        <c:lblAlgn val="ctr"/>
        <c:lblOffset val="100"/>
        <c:noMultiLvlLbl val="0"/>
      </c:catAx>
      <c:valAx>
        <c:axId val="529780496"/>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82064"/>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active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Analysis!$X$231</c:f>
              <c:strCache>
                <c:ptCount val="1"/>
                <c:pt idx="0">
                  <c:v>Covered</c:v>
                </c:pt>
              </c:strCache>
            </c:strRef>
          </c:tx>
          <c:spPr>
            <a:solidFill>
              <a:schemeClr val="accent6">
                <a:lumMod val="75000"/>
              </a:schemeClr>
            </a:solidFill>
            <a:ln>
              <a:noFill/>
            </a:ln>
            <a:effectLst/>
          </c:spPr>
          <c:invertIfNegative val="0"/>
          <c:dLbls>
            <c:dLbl>
              <c:idx val="3"/>
              <c:layout>
                <c:manualLayout>
                  <c:x val="6.5762431507390027E-3"/>
                  <c:y val="-2.25988700564972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D7-4316-B6E2-4B07A105AAC2}"/>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Analysis!$W$232:$W$235</c:f>
              <c:strCache>
                <c:ptCount val="4"/>
                <c:pt idx="0">
                  <c:v>#HH reached by regular dedicated hygiene promotion</c:v>
                </c:pt>
                <c:pt idx="1">
                  <c:v>#HH with access to Hand Washing Station</c:v>
                </c:pt>
                <c:pt idx="2">
                  <c:v># HH received soaps</c:v>
                </c:pt>
                <c:pt idx="3">
                  <c:v># HH received Sanitary Pads</c:v>
                </c:pt>
              </c:strCache>
            </c:strRef>
          </c:cat>
          <c:val>
            <c:numRef>
              <c:f>Analysis!$X$232:$X$235</c:f>
              <c:numCache>
                <c:formatCode>0</c:formatCode>
                <c:ptCount val="4"/>
                <c:pt idx="0">
                  <c:v>1713</c:v>
                </c:pt>
                <c:pt idx="1">
                  <c:v>1180.3999999999999</c:v>
                </c:pt>
                <c:pt idx="2">
                  <c:v>574</c:v>
                </c:pt>
                <c:pt idx="3">
                  <c:v>0</c:v>
                </c:pt>
              </c:numCache>
            </c:numRef>
          </c:val>
          <c:extLst xmlns:c16r2="http://schemas.microsoft.com/office/drawing/2015/06/chart">
            <c:ext xmlns:c16="http://schemas.microsoft.com/office/drawing/2014/chart" uri="{C3380CC4-5D6E-409C-BE32-E72D297353CC}">
              <c16:uniqueId val="{00000000-CBDF-46C4-8398-2F2620566A1B}"/>
            </c:ext>
          </c:extLst>
        </c:ser>
        <c:ser>
          <c:idx val="1"/>
          <c:order val="1"/>
          <c:tx>
            <c:strRef>
              <c:f>Analysis!$Y$231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Analysis!$W$232:$W$235</c:f>
              <c:strCache>
                <c:ptCount val="4"/>
                <c:pt idx="0">
                  <c:v>#HH reached by regular dedicated hygiene promotion</c:v>
                </c:pt>
                <c:pt idx="1">
                  <c:v>#HH with access to Hand Washing Station</c:v>
                </c:pt>
                <c:pt idx="2">
                  <c:v># HH received soaps</c:v>
                </c:pt>
                <c:pt idx="3">
                  <c:v># HH received Sanitary Pads</c:v>
                </c:pt>
              </c:strCache>
            </c:strRef>
          </c:cat>
          <c:val>
            <c:numRef>
              <c:f>Analysis!$Y$232:$Y$235</c:f>
              <c:numCache>
                <c:formatCode>0</c:formatCode>
                <c:ptCount val="4"/>
                <c:pt idx="0">
                  <c:v>511</c:v>
                </c:pt>
                <c:pt idx="1">
                  <c:v>1043.6000000000001</c:v>
                </c:pt>
                <c:pt idx="2">
                  <c:v>1650</c:v>
                </c:pt>
                <c:pt idx="3">
                  <c:v>2224</c:v>
                </c:pt>
              </c:numCache>
            </c:numRef>
          </c:val>
          <c:extLst xmlns:c16r2="http://schemas.microsoft.com/office/drawing/2015/06/chart">
            <c:ext xmlns:c16="http://schemas.microsoft.com/office/drawing/2014/chart" uri="{C3380CC4-5D6E-409C-BE32-E72D297353CC}">
              <c16:uniqueId val="{00000001-CBDF-46C4-8398-2F2620566A1B}"/>
            </c:ext>
          </c:extLst>
        </c:ser>
        <c:dLbls>
          <c:showLegendKey val="0"/>
          <c:showVal val="0"/>
          <c:showCatName val="0"/>
          <c:showSerName val="0"/>
          <c:showPercent val="0"/>
          <c:showBubbleSize val="0"/>
        </c:dLbls>
        <c:gapWidth val="150"/>
        <c:overlap val="100"/>
        <c:axId val="529787944"/>
        <c:axId val="529783240"/>
      </c:barChart>
      <c:catAx>
        <c:axId val="5297879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83240"/>
        <c:crosses val="autoZero"/>
        <c:auto val="1"/>
        <c:lblAlgn val="ctr"/>
        <c:lblOffset val="100"/>
        <c:noMultiLvlLbl val="0"/>
      </c:catAx>
      <c:valAx>
        <c:axId val="5297832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9787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[2018_11_09_Myanmar_WASH_4W_2018_Q3_FINAL.xlsx]Analysis!S_water1</c:name>
    <c:fmtId val="1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a:p>
            <a:pPr>
              <a:defRPr sz="1400"/>
            </a:pPr>
            <a:r>
              <a:rPr lang="en-US" sz="1400" b="1" i="0" baseline="0">
                <a:effectLst/>
              </a:rPr>
              <a:t>(in active IDP camps)</a:t>
            </a:r>
          </a:p>
        </c:rich>
      </c:tx>
      <c:layout>
        <c:manualLayout>
          <c:xMode val="edge"/>
          <c:yMode val="edge"/>
          <c:x val="0.28129855643044621"/>
          <c:y val="4.150453955901426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Analysis!$Q$40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Analysis!$P$41</c:f>
              <c:strCache>
                <c:ptCount val="1"/>
                <c:pt idx="0">
                  <c:v>GCA (500:1)</c:v>
                </c:pt>
              </c:strCache>
            </c:strRef>
          </c:cat>
          <c:val>
            <c:numRef>
              <c:f>Analysis!$Q$41</c:f>
              <c:numCache>
                <c:formatCode>0</c:formatCode>
                <c:ptCount val="1"/>
                <c:pt idx="0">
                  <c:v>19.093999999999998</c:v>
                </c:pt>
              </c:numCache>
            </c:numRef>
          </c:val>
        </c:ser>
        <c:ser>
          <c:idx val="1"/>
          <c:order val="1"/>
          <c:tx>
            <c:strRef>
              <c:f>Analysis!$R$40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Analysis!$P$41</c:f>
              <c:strCache>
                <c:ptCount val="1"/>
                <c:pt idx="0">
                  <c:v>GCA (500:1)</c:v>
                </c:pt>
              </c:strCache>
            </c:strRef>
          </c:cat>
          <c:val>
            <c:numRef>
              <c:f>Analysis!$R$41</c:f>
              <c:numCache>
                <c:formatCode>0</c:formatCode>
                <c:ptCount val="1"/>
                <c:pt idx="0">
                  <c:v>19.753999999999998</c:v>
                </c:pt>
              </c:numCache>
            </c:numRef>
          </c:val>
        </c:ser>
        <c:dLbls>
          <c:dLblPos val="ctr"/>
          <c:showLegendKey val="0"/>
          <c:showVal val="1"/>
          <c:showCatName val="0"/>
          <c:showSerName val="0"/>
          <c:showPercent val="0"/>
          <c:showBubbleSize val="0"/>
        </c:dLbls>
        <c:gapWidth val="150"/>
        <c:overlap val="100"/>
        <c:axId val="529784024"/>
        <c:axId val="529785592"/>
      </c:barChart>
      <c:catAx>
        <c:axId val="529784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85592"/>
        <c:crosses val="autoZero"/>
        <c:auto val="1"/>
        <c:lblAlgn val="ctr"/>
        <c:lblOffset val="100"/>
        <c:noMultiLvlLbl val="0"/>
      </c:catAx>
      <c:valAx>
        <c:axId val="5297855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9784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[2018_11_09_Myanmar_WASH_4W_2018_Q3_FINAL.xlsx]Analysis!S_Geo</c:name>
    <c:fmtId val="1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a:t>Number of Sites - Coverage/Gaps</a:t>
            </a:r>
          </a:p>
        </c:rich>
      </c:tx>
      <c:layout>
        <c:manualLayout>
          <c:xMode val="edge"/>
          <c:yMode val="edge"/>
          <c:x val="0.24457802740360554"/>
          <c:y val="3.058023229986860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479182826299771"/>
          <c:y val="0.2017504968066309"/>
          <c:w val="0.68926037038666255"/>
          <c:h val="0.58889356005193771"/>
        </c:manualLayout>
      </c:layout>
      <c:barChart>
        <c:barDir val="bar"/>
        <c:grouping val="clustered"/>
        <c:varyColors val="0"/>
        <c:ser>
          <c:idx val="0"/>
          <c:order val="0"/>
          <c:tx>
            <c:strRef>
              <c:f>Analysis!$O$286:$O$287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Analysis!$N$288:$N$290</c:f>
              <c:strCache>
                <c:ptCount val="3"/>
                <c:pt idx="0">
                  <c:v>Camp</c:v>
                </c:pt>
                <c:pt idx="1">
                  <c:v>Camp_not registered</c:v>
                </c:pt>
                <c:pt idx="2">
                  <c:v>New Site</c:v>
                </c:pt>
              </c:strCache>
            </c:strRef>
          </c:cat>
          <c:val>
            <c:numRef>
              <c:f>Analysis!$O$288:$O$290</c:f>
              <c:numCache>
                <c:formatCode>General</c:formatCode>
                <c:ptCount val="3"/>
                <c:pt idx="0">
                  <c:v>34</c:v>
                </c:pt>
                <c:pt idx="1">
                  <c:v>1</c:v>
                </c:pt>
                <c:pt idx="2">
                  <c:v>1</c:v>
                </c:pt>
              </c:numCache>
            </c:numRef>
          </c:val>
        </c:ser>
        <c:ser>
          <c:idx val="1"/>
          <c:order val="1"/>
          <c:tx>
            <c:strRef>
              <c:f>Analysis!$P$286:$P$287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Analysis!$N$288:$N$290</c:f>
              <c:strCache>
                <c:ptCount val="3"/>
                <c:pt idx="0">
                  <c:v>Camp</c:v>
                </c:pt>
                <c:pt idx="1">
                  <c:v>Camp_not registered</c:v>
                </c:pt>
                <c:pt idx="2">
                  <c:v>New Site</c:v>
                </c:pt>
              </c:strCache>
            </c:strRef>
          </c:cat>
          <c:val>
            <c:numRef>
              <c:f>Analysis!$P$288:$P$290</c:f>
              <c:numCache>
                <c:formatCode>General</c:formatCode>
                <c:ptCount val="3"/>
                <c:pt idx="0">
                  <c:v>1</c:v>
                </c:pt>
              </c:numCache>
            </c:numRef>
          </c:val>
        </c:ser>
        <c:dLbls>
          <c:showLegendKey val="0"/>
          <c:showVal val="0"/>
          <c:showCatName val="0"/>
          <c:showSerName val="0"/>
          <c:showPercent val="0"/>
          <c:showBubbleSize val="0"/>
        </c:dLbls>
        <c:gapWidth val="100"/>
        <c:axId val="529781280"/>
        <c:axId val="529781672"/>
      </c:barChart>
      <c:catAx>
        <c:axId val="5297812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81672"/>
        <c:crosses val="autoZero"/>
        <c:auto val="1"/>
        <c:lblAlgn val="ctr"/>
        <c:lblOffset val="100"/>
        <c:noMultiLvlLbl val="0"/>
      </c:catAx>
      <c:valAx>
        <c:axId val="529781672"/>
        <c:scaling>
          <c:orientation val="minMax"/>
          <c:max val="35"/>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81280"/>
        <c:crosses val="autoZero"/>
        <c:crossBetween val="between"/>
      </c:valAx>
      <c:spPr>
        <a:noFill/>
        <a:ln>
          <a:noFill/>
        </a:ln>
        <a:effectLst/>
      </c:spPr>
    </c:plotArea>
    <c:legend>
      <c:legendPos val="b"/>
      <c:layout>
        <c:manualLayout>
          <c:xMode val="edge"/>
          <c:yMode val="edge"/>
          <c:x val="0.36769551533331063"/>
          <c:y val="0.8760478563984162"/>
          <c:w val="0.19630202474690664"/>
          <c:h val="0.123952143601583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Number of ppl Covered against 2018 HRP targets</a:t>
            </a:r>
            <a:endParaRPr lang="en-US" sz="1400">
              <a:effectLst/>
            </a:endParaRPr>
          </a:p>
          <a:p>
            <a:pPr>
              <a:defRPr sz="1400"/>
            </a:pPr>
            <a:r>
              <a:rPr lang="en-US" sz="1400" b="1" i="0" baseline="0">
                <a:effectLst/>
              </a:rPr>
              <a:t> (in IDP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HRP!$H$145</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B5ED-4942-B40E-F08C88DFE4B9}"/>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B5ED-4942-B40E-F08C88DFE4B9}"/>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B5ED-4942-B40E-F08C88DFE4B9}"/>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B5ED-4942-B40E-F08C88DFE4B9}"/>
              </c:ext>
            </c:extLst>
          </c:dPt>
          <c:dLbls>
            <c:dLbl>
              <c:idx val="3"/>
              <c:layout>
                <c:manualLayout>
                  <c:x val="1.9342869418725452E-2"/>
                  <c:y val="-9.06494066389632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5ED-4942-B40E-F08C88DFE4B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HRP!$F$146:$F$151</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HRP!$H$146:$H$151</c:f>
              <c:numCache>
                <c:formatCode>_(* #,##0_);_(* \(#,##0\);_(* "-"??_);_(@_)</c:formatCode>
                <c:ptCount val="6"/>
                <c:pt idx="0">
                  <c:v>8565</c:v>
                </c:pt>
                <c:pt idx="1">
                  <c:v>5550</c:v>
                </c:pt>
                <c:pt idx="2">
                  <c:v>8649</c:v>
                </c:pt>
                <c:pt idx="3">
                  <c:v>942</c:v>
                </c:pt>
                <c:pt idx="4">
                  <c:v>9547</c:v>
                </c:pt>
                <c:pt idx="5">
                  <c:v>9547</c:v>
                </c:pt>
              </c:numCache>
            </c:numRef>
          </c:val>
          <c:extLst xmlns:c16r2="http://schemas.microsoft.com/office/drawing/2015/06/chart">
            <c:ext xmlns:c16="http://schemas.microsoft.com/office/drawing/2014/chart" uri="{C3380CC4-5D6E-409C-BE32-E72D297353CC}">
              <c16:uniqueId val="{00000008-B5ED-4942-B40E-F08C88DFE4B9}"/>
            </c:ext>
          </c:extLst>
        </c:ser>
        <c:ser>
          <c:idx val="1"/>
          <c:order val="1"/>
          <c:tx>
            <c:strRef>
              <c:f>HRP!$I$145</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A-B5ED-4942-B40E-F08C88DFE4B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C-B5ED-4942-B40E-F08C88DFE4B9}"/>
              </c:ext>
            </c:extLst>
          </c:dPt>
          <c:dPt>
            <c:idx val="2"/>
            <c:invertIfNegative val="0"/>
            <c:bubble3D val="0"/>
            <c:spPr>
              <a:solidFill>
                <a:schemeClr val="accent2">
                  <a:lumMod val="60000"/>
                  <a:lumOff val="40000"/>
                </a:schemeClr>
              </a:solidFill>
              <a:ln>
                <a:noFill/>
              </a:ln>
              <a:effectLst/>
            </c:spPr>
            <c:extLst xmlns:c16r2="http://schemas.microsoft.com/office/drawing/2015/06/chart">
              <c:ext xmlns:c16="http://schemas.microsoft.com/office/drawing/2014/chart" uri="{C3380CC4-5D6E-409C-BE32-E72D297353CC}">
                <c16:uniqueId val="{0000000E-B5ED-4942-B40E-F08C88DFE4B9}"/>
              </c:ext>
            </c:extLst>
          </c:dPt>
          <c:dPt>
            <c:idx val="3"/>
            <c:invertIfNegative val="0"/>
            <c:bubble3D val="0"/>
            <c:spPr>
              <a:solidFill>
                <a:schemeClr val="accent2">
                  <a:lumMod val="60000"/>
                  <a:lumOff val="40000"/>
                </a:schemeClr>
              </a:solidFill>
              <a:ln>
                <a:noFill/>
              </a:ln>
              <a:effectLst/>
            </c:spPr>
            <c:extLst xmlns:c16r2="http://schemas.microsoft.com/office/drawing/2015/06/chart">
              <c:ext xmlns:c16="http://schemas.microsoft.com/office/drawing/2014/chart" uri="{C3380CC4-5D6E-409C-BE32-E72D297353CC}">
                <c16:uniqueId val="{00000010-B5ED-4942-B40E-F08C88DFE4B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HRP!$F$146:$F$151</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HRP!$I$146:$I$151</c:f>
              <c:numCache>
                <c:formatCode>_(* #,##0_);_(* \(#,##0\);_(* "-"??_);_(@_)</c:formatCode>
                <c:ptCount val="6"/>
                <c:pt idx="0">
                  <c:v>3085</c:v>
                </c:pt>
                <c:pt idx="1">
                  <c:v>6100</c:v>
                </c:pt>
                <c:pt idx="2">
                  <c:v>3001</c:v>
                </c:pt>
                <c:pt idx="3">
                  <c:v>10708</c:v>
                </c:pt>
                <c:pt idx="4">
                  <c:v>2103</c:v>
                </c:pt>
                <c:pt idx="5">
                  <c:v>2103</c:v>
                </c:pt>
              </c:numCache>
            </c:numRef>
          </c:val>
          <c:extLst xmlns:c16r2="http://schemas.microsoft.com/office/drawing/2015/06/chart">
            <c:ext xmlns:c16="http://schemas.microsoft.com/office/drawing/2014/chart" uri="{C3380CC4-5D6E-409C-BE32-E72D297353CC}">
              <c16:uniqueId val="{00000011-B5ED-4942-B40E-F08C88DFE4B9}"/>
            </c:ext>
          </c:extLst>
        </c:ser>
        <c:dLbls>
          <c:showLegendKey val="0"/>
          <c:showVal val="0"/>
          <c:showCatName val="0"/>
          <c:showSerName val="0"/>
          <c:showPercent val="0"/>
          <c:showBubbleSize val="0"/>
        </c:dLbls>
        <c:gapWidth val="150"/>
        <c:overlap val="100"/>
        <c:axId val="529786768"/>
        <c:axId val="529788728"/>
      </c:barChart>
      <c:catAx>
        <c:axId val="52978676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529788728"/>
        <c:crosses val="autoZero"/>
        <c:auto val="1"/>
        <c:lblAlgn val="ctr"/>
        <c:lblOffset val="100"/>
        <c:noMultiLvlLbl val="0"/>
      </c:catAx>
      <c:valAx>
        <c:axId val="529788728"/>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8676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Sites</a:t>
            </a:r>
            <a:r>
              <a:rPr lang="en-US" sz="1400" baseline="0"/>
              <a:t> which made w</a:t>
            </a:r>
            <a:r>
              <a:rPr lang="en-US" sz="1400"/>
              <a:t>ater quality test</a:t>
            </a:r>
            <a:r>
              <a:rPr lang="en-US" sz="1400" baseline="0"/>
              <a:t> </a:t>
            </a:r>
          </a:p>
        </c:rich>
      </c:tx>
      <c:layout>
        <c:manualLayout>
          <c:xMode val="edge"/>
          <c:yMode val="edge"/>
          <c:x val="0.17731774662279884"/>
          <c:y val="1.761006463725693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008148980671112"/>
          <c:y val="0.20532414698162729"/>
          <c:w val="0.35435970465904504"/>
          <c:h val="0.70230621172353458"/>
        </c:manualLayout>
      </c:layout>
      <c:pieChart>
        <c:varyColors val="1"/>
        <c:ser>
          <c:idx val="2"/>
          <c:order val="2"/>
          <c:tx>
            <c:strRef>
              <c:f>Analysis!$B$73</c:f>
              <c:strCache>
                <c:ptCount val="1"/>
                <c:pt idx="0">
                  <c:v>Shan (North)</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01BB-4664-A85C-365D5B3A80E7}"/>
              </c:ext>
            </c:extLst>
          </c:dPt>
          <c:dPt>
            <c:idx val="1"/>
            <c:bubble3D val="0"/>
            <c:explosion val="11"/>
            <c:spPr>
              <a:solidFill>
                <a:srgbClr val="0070C0"/>
              </a:solidFill>
              <a:ln>
                <a:noFill/>
              </a:ln>
              <a:effectLst/>
            </c:spPr>
            <c:extLst xmlns:c16r2="http://schemas.microsoft.com/office/drawing/2015/06/chart">
              <c:ext xmlns:c16="http://schemas.microsoft.com/office/drawing/2014/chart" uri="{C3380CC4-5D6E-409C-BE32-E72D297353CC}">
                <c16:uniqueId val="{00000003-01BB-4664-A85C-365D5B3A80E7}"/>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Analysis!$C$73:$D$73</c:f>
              <c:numCache>
                <c:formatCode>General</c:formatCode>
                <c:ptCount val="2"/>
                <c:pt idx="0">
                  <c:v>24</c:v>
                </c:pt>
                <c:pt idx="1">
                  <c:v>12</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01BB-4664-A85C-365D5B3A80E7}"/>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01BB-4664-A85C-365D5B3A80E7}"/>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01BB-4664-A85C-365D5B3A80E7}"/>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98</c:v>
                      </c:pt>
                      <c:pt idx="1">
                        <c:v>49</c:v>
                      </c:pt>
                    </c:numCache>
                  </c:numRef>
                </c:val>
                <c:extLst xmlns:c16r2="http://schemas.microsoft.com/office/drawing/2015/06/chart">
                  <c:ext xmlns:c16="http://schemas.microsoft.com/office/drawing/2014/chart" uri="{C3380CC4-5D6E-409C-BE32-E72D297353CC}">
                    <c16:uniqueId val="{00000009-01BB-4664-A85C-365D5B3A80E7}"/>
                  </c:ext>
                </c:extLst>
              </c15:ser>
            </c15:filteredPieSeries>
            <c15:filteredPie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Analysis!$B$72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01BB-4664-A85C-365D5B3A80E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01BB-4664-A85C-365D5B3A80E7}"/>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Analysis!$C$72:$D$72</c15:sqref>
                        </c15:formulaRef>
                      </c:ext>
                    </c:extLst>
                    <c:numCache>
                      <c:formatCode>General</c:formatCode>
                      <c:ptCount val="2"/>
                      <c:pt idx="0">
                        <c:v>11</c:v>
                      </c:pt>
                      <c:pt idx="1">
                        <c:v>13</c:v>
                      </c:pt>
                    </c:numCache>
                  </c:numRef>
                </c:val>
                <c:extLst xmlns:c15="http://schemas.microsoft.com/office/drawing/2012/chart" xmlns:c16r2="http://schemas.microsoft.com/office/drawing/2015/06/chart">
                  <c:ext xmlns:c16="http://schemas.microsoft.com/office/drawing/2014/chart" uri="{C3380CC4-5D6E-409C-BE32-E72D297353CC}">
                    <c16:uniqueId val="{0000000E-01BB-4664-A85C-365D5B3A80E7}"/>
                  </c:ext>
                </c:extLst>
              </c15:ser>
            </c15:filteredPieSeries>
          </c:ext>
        </c:extLst>
      </c:pieChart>
      <c:spPr>
        <a:noFill/>
        <a:ln>
          <a:noFill/>
        </a:ln>
        <a:effectLst/>
      </c:spPr>
    </c:plotArea>
    <c:legend>
      <c:legendPos val="r"/>
      <c:layout>
        <c:manualLayout>
          <c:xMode val="edge"/>
          <c:yMode val="edge"/>
          <c:x val="0.12396889667681958"/>
          <c:y val="0.84266294838145228"/>
          <c:w val="0.33204372790907888"/>
          <c:h val="0.156878558421027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2"/>
          <c:order val="2"/>
          <c:tx>
            <c:strRef>
              <c:f>Analysis!$G$57</c:f>
              <c:strCache>
                <c:ptCount val="1"/>
                <c:pt idx="0">
                  <c:v>Shan (North)</c:v>
                </c:pt>
              </c:strCache>
              <c:extLst xmlns:c15="http://schemas.microsoft.com/office/drawing/2012/chart" xmlns:c16r2="http://schemas.microsoft.com/office/drawing/2015/06/chart"/>
            </c:strRef>
          </c:tx>
          <c:spPr>
            <a:solidFill>
              <a:schemeClr val="accent5"/>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Analysis!$H$57:$I$57</c:f>
              <c:numCache>
                <c:formatCode>0%</c:formatCode>
                <c:ptCount val="2"/>
                <c:pt idx="0">
                  <c:v>0.45242114123693067</c:v>
                </c:pt>
                <c:pt idx="1">
                  <c:v>0.47916666666666674</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99AD-47C7-84A8-EE690E608184}"/>
            </c:ext>
          </c:extLst>
        </c:ser>
        <c:dLbls>
          <c:dLblPos val="ctr"/>
          <c:showLegendKey val="0"/>
          <c:showVal val="1"/>
          <c:showCatName val="0"/>
          <c:showSerName val="0"/>
          <c:showPercent val="0"/>
          <c:showBubbleSize val="0"/>
        </c:dLbls>
        <c:gapWidth val="150"/>
        <c:overlap val="100"/>
        <c:axId val="529791080"/>
        <c:axId val="52979147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0.67647551589016741</c:v>
                      </c:pt>
                      <c:pt idx="1">
                        <c:v>0.81862745098039214</c:v>
                      </c:pt>
                    </c:numCache>
                  </c:numRef>
                </c:val>
                <c:extLst xmlns:c16r2="http://schemas.microsoft.com/office/drawing/2015/06/chart">
                  <c:ext xmlns:c16="http://schemas.microsoft.com/office/drawing/2014/chart" uri="{C3380CC4-5D6E-409C-BE32-E72D297353CC}">
                    <c16:uniqueId val="{00000001-99AD-47C7-84A8-EE690E608184}"/>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Analysis!$G$56</c15:sqref>
                        </c15:formulaRef>
                      </c:ext>
                    </c:extLst>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Analysis!$H$56:$I$56</c15:sqref>
                        </c15:formulaRef>
                      </c:ext>
                    </c:extLst>
                    <c:numCache>
                      <c:formatCode>0%</c:formatCode>
                      <c:ptCount val="2"/>
                      <c:pt idx="0">
                        <c:v>0.58204757263297502</c:v>
                      </c:pt>
                      <c:pt idx="1">
                        <c:v>0.30659146391921277</c:v>
                      </c:pt>
                    </c:numCache>
                  </c:numRef>
                </c:val>
                <c:extLst xmlns:c15="http://schemas.microsoft.com/office/drawing/2012/chart" xmlns:c16r2="http://schemas.microsoft.com/office/drawing/2015/06/chart">
                  <c:ext xmlns:c16="http://schemas.microsoft.com/office/drawing/2014/chart" uri="{C3380CC4-5D6E-409C-BE32-E72D297353CC}">
                    <c16:uniqueId val="{00000002-99AD-47C7-84A8-EE690E608184}"/>
                  </c:ext>
                </c:extLst>
              </c15:ser>
            </c15:filteredBarSeries>
          </c:ext>
        </c:extLst>
      </c:barChart>
      <c:catAx>
        <c:axId val="529791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29791472"/>
        <c:crosses val="autoZero"/>
        <c:auto val="1"/>
        <c:lblAlgn val="ctr"/>
        <c:lblOffset val="100"/>
        <c:noMultiLvlLbl val="0"/>
      </c:catAx>
      <c:valAx>
        <c:axId val="5297914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2979108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Effective drainage</a:t>
            </a:r>
          </a:p>
          <a:p>
            <a:pPr>
              <a:defRPr sz="1400"/>
            </a:pPr>
            <a:r>
              <a:rPr lang="en-US" sz="1400"/>
              <a:t>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92988990399025"/>
          <c:y val="0.35341783212680711"/>
          <c:w val="0.44756796825750988"/>
          <c:h val="0.5682864567977981"/>
        </c:manualLayout>
      </c:layout>
      <c:pieChart>
        <c:varyColors val="1"/>
        <c:ser>
          <c:idx val="2"/>
          <c:order val="2"/>
          <c:tx>
            <c:strRef>
              <c:f>Analysis!$B$164</c:f>
              <c:strCache>
                <c:ptCount val="1"/>
                <c:pt idx="0">
                  <c:v>Shan (North)</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8667-40EB-A08A-ADA6B6C85ECE}"/>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8667-40EB-A08A-ADA6B6C85ECE}"/>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layout>
                <c:manualLayout>
                  <c:x val="9.8610425988626141E-2"/>
                  <c:y val="-9.543127109572097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Lst>
            </c:dLbl>
            <c:dLbl>
              <c:idx val="2"/>
              <c:layout>
                <c:manualLayout>
                  <c:x val="0.10215417070459565"/>
                  <c:y val="-3.4399971669708047E-2"/>
                </c:manualLayout>
              </c:layout>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Analysis!$C$164:$F$164</c:f>
              <c:numCache>
                <c:formatCode>General</c:formatCode>
                <c:ptCount val="4"/>
                <c:pt idx="0">
                  <c:v>19</c:v>
                </c:pt>
                <c:pt idx="1">
                  <c:v>5</c:v>
                </c:pt>
                <c:pt idx="2">
                  <c:v>3</c:v>
                </c:pt>
                <c:pt idx="3">
                  <c:v>8</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8667-40EB-A08A-ADA6B6C85ECE}"/>
            </c:ext>
          </c:extLst>
        </c:ser>
        <c:dLbls>
          <c:dLblPos val="bestFit"/>
          <c:showLegendKey val="0"/>
          <c:showVal val="1"/>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Analysis!$B$162</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3"/>
                    <c:layout>
                      <c:manualLayout>
                        <c:x val="4.4142253079837497E-2"/>
                        <c:y val="0.1262423822946043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63-4C59-8DE1-219A0638CA1F}"/>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Analysis!$C$162:$F$162</c15:sqref>
                        </c15:formulaRef>
                      </c:ext>
                    </c:extLst>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8-3A63-4C59-8DE1-219A0638CA1F}"/>
                  </c:ext>
                </c:extLst>
              </c15:ser>
            </c15:filteredPieSeries>
            <c15:filteredPie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Analysis!$B$163</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8667-40EB-A08A-ADA6B6C85ECE}"/>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8667-40EB-A08A-ADA6B6C85ECE}"/>
                    </c:ext>
                  </c:extLst>
                </c:dPt>
                <c:dLbls>
                  <c:dLbl>
                    <c:idx val="0"/>
                    <c:layout>
                      <c:manualLayout>
                        <c:x val="-6.4180285353954231E-2"/>
                        <c:y val="0.1215608207185609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5="http://schemas.microsoft.com/office/drawing/2012/chart" xmlns:c16r2="http://schemas.microsoft.com/office/drawing/2015/06/chart">
                      <c:ext xmlns:c16="http://schemas.microsoft.com/office/drawing/2014/chart" uri="{C3380CC4-5D6E-409C-BE32-E72D297353CC}">
                        <c16:uniqueId val="{00000012-8667-40EB-A08A-ADA6B6C85ECE}"/>
                      </c:ex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Analysis!$C$163:$F$163</c15:sqref>
                        </c15:formulaRef>
                      </c:ext>
                    </c:extLst>
                    <c:numCache>
                      <c:formatCode>General</c:formatCode>
                      <c:ptCount val="4"/>
                      <c:pt idx="0">
                        <c:v>12</c:v>
                      </c:pt>
                      <c:pt idx="1">
                        <c:v>1</c:v>
                      </c:pt>
                      <c:pt idx="2">
                        <c:v>10</c:v>
                      </c:pt>
                      <c:pt idx="3">
                        <c:v>1</c:v>
                      </c:pt>
                    </c:numCache>
                  </c:numRef>
                </c:val>
                <c:extLst xmlns:c15="http://schemas.microsoft.com/office/drawing/2012/chart" xmlns:c16r2="http://schemas.microsoft.com/office/drawing/2015/06/chart">
                  <c:ext xmlns:c16="http://schemas.microsoft.com/office/drawing/2014/chart" uri="{C3380CC4-5D6E-409C-BE32-E72D297353CC}">
                    <c16:uniqueId val="{00000019-8667-40EB-A08A-ADA6B6C85ECE}"/>
                  </c:ext>
                </c:extLst>
              </c15:ser>
            </c15:filteredPieSeries>
          </c:ext>
        </c:extLst>
      </c:pieChart>
      <c:spPr>
        <a:noFill/>
        <a:ln>
          <a:noFill/>
        </a:ln>
        <a:effectLst/>
      </c:spPr>
    </c:plotArea>
    <c:legend>
      <c:legendPos val="r"/>
      <c:layout>
        <c:manualLayout>
          <c:xMode val="edge"/>
          <c:yMode val="edge"/>
          <c:x val="0.59523049461885758"/>
          <c:y val="0.39908968829050373"/>
          <c:w val="0.40476950538114242"/>
          <c:h val="0.444357614364535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5746710906419715E-2"/>
          <c:y val="0.39223461650626995"/>
          <c:w val="0.50886346753825584"/>
          <c:h val="0.56187007874015749"/>
        </c:manualLayout>
      </c:layout>
      <c:pieChart>
        <c:varyColors val="1"/>
        <c:ser>
          <c:idx val="2"/>
          <c:order val="2"/>
          <c:tx>
            <c:strRef>
              <c:f>Analysis!$B$180</c:f>
              <c:strCache>
                <c:ptCount val="1"/>
                <c:pt idx="0">
                  <c:v>Shan (North)</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CDAF-45DF-AD5D-165F6FDC16B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CDAF-45DF-AD5D-165F6FDC16B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CDAF-45DF-AD5D-165F6FDC16B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CDAF-45DF-AD5D-165F6FDC16B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2"/>
              <c:layout>
                <c:manualLayout>
                  <c:x val="3.0044455681267512E-2"/>
                  <c:y val="5.1743220807969011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CDAF-45DF-AD5D-165F6FDC16B2}"/>
                </c:ext>
                <c:ext xmlns:c15="http://schemas.microsoft.com/office/drawing/2012/chart" uri="{CE6537A1-D6FC-4f65-9D91-7224C49458BB}"/>
              </c:extLst>
            </c:dLbl>
            <c:dLbl>
              <c:idx val="3"/>
              <c:layout>
                <c:manualLayout>
                  <c:x val="8.0617375658231419E-2"/>
                  <c:y val="6.3452901720618252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CDAF-45DF-AD5D-165F6FDC16B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Analysis!$C$177:$F$177</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Analysis!$C$180:$F$180</c:f>
              <c:numCache>
                <c:formatCode>General</c:formatCode>
                <c:ptCount val="4"/>
                <c:pt idx="0">
                  <c:v>24</c:v>
                </c:pt>
                <c:pt idx="1">
                  <c:v>5</c:v>
                </c:pt>
                <c:pt idx="2">
                  <c:v>2</c:v>
                </c:pt>
                <c:pt idx="3">
                  <c:v>4</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CDAF-45DF-AD5D-165F6FDC16B2}"/>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Analysis!$B$178</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7D04-4B5A-8D19-1128D053B9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layout>
                      <c:manualLayout>
                        <c:x val="4.3363541821423268E-2"/>
                        <c:y val="4.3223972003499561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D04-4B5A-8D19-1128D053B922}"/>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Analysis!$C$178:$F$178</c15:sqref>
                        </c15:formulaRef>
                      </c:ext>
                    </c:extLst>
                    <c:numCache>
                      <c:formatCode>General</c:formatCode>
                      <c:ptCount val="4"/>
                      <c:pt idx="0">
                        <c:v>122</c:v>
                      </c:pt>
                      <c:pt idx="1">
                        <c:v>1</c:v>
                      </c:pt>
                      <c:pt idx="2">
                        <c:v>2</c:v>
                      </c:pt>
                      <c:pt idx="3">
                        <c:v>10</c:v>
                      </c:pt>
                    </c:numCache>
                  </c:numRef>
                </c:val>
                <c:extLst xmlns:c16r2="http://schemas.microsoft.com/office/drawing/2015/06/chart">
                  <c:ext xmlns:c16="http://schemas.microsoft.com/office/drawing/2014/chart" uri="{C3380CC4-5D6E-409C-BE32-E72D297353CC}">
                    <c16:uniqueId val="{0000000A-7D04-4B5A-8D19-1128D053B922}"/>
                  </c:ext>
                </c:extLst>
              </c15:ser>
            </c15:filteredPieSeries>
            <c15:filteredPie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Analysis!$B$179</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CDAF-45DF-AD5D-165F6FDC16B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CDAF-45DF-AD5D-165F6FDC16B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CDAF-45DF-AD5D-165F6FDC16B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CDAF-45DF-AD5D-165F6FDC16B2}"/>
                    </c:ext>
                  </c:extLst>
                </c:dPt>
                <c:dLbls>
                  <c:dLbl>
                    <c:idx val="0"/>
                    <c:layout>
                      <c:manualLayout>
                        <c:x val="-0.11369286386371519"/>
                        <c:y val="0.12671624380285798"/>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xmlns:c16r2="http://schemas.microsoft.com/office/drawing/2015/06/chart">
                      <c:ext xmlns:c16="http://schemas.microsoft.com/office/drawing/2014/chart" uri="{C3380CC4-5D6E-409C-BE32-E72D297353CC}">
                        <c16:uniqueId val="{00000012-CDAF-45DF-AD5D-165F6FDC16B2}"/>
                      </c:ex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Analysis!$C$179:$F$179</c15:sqref>
                        </c15:formulaRef>
                      </c:ext>
                    </c:extLst>
                    <c:numCache>
                      <c:formatCode>General</c:formatCode>
                      <c:ptCount val="4"/>
                      <c:pt idx="0">
                        <c:v>19</c:v>
                      </c:pt>
                      <c:pt idx="1">
                        <c:v>1</c:v>
                      </c:pt>
                      <c:pt idx="2">
                        <c:v>3</c:v>
                      </c:pt>
                      <c:pt idx="3">
                        <c:v>1</c:v>
                      </c:pt>
                    </c:numCache>
                  </c:numRef>
                </c:val>
                <c:extLst xmlns:c15="http://schemas.microsoft.com/office/drawing/2012/chart" xmlns:c16r2="http://schemas.microsoft.com/office/drawing/2015/06/chart">
                  <c:ext xmlns:c16="http://schemas.microsoft.com/office/drawing/2014/chart" uri="{C3380CC4-5D6E-409C-BE32-E72D297353CC}">
                    <c16:uniqueId val="{00000019-CDAF-45DF-AD5D-165F6FDC16B2}"/>
                  </c:ext>
                </c:extLst>
              </c15:ser>
            </c15:filteredPieSeries>
          </c:ext>
        </c:extLst>
      </c:pieChart>
      <c:spPr>
        <a:noFill/>
        <a:ln>
          <a:noFill/>
        </a:ln>
        <a:effectLst/>
      </c:spPr>
    </c:plotArea>
    <c:legend>
      <c:legendPos val="r"/>
      <c:layout>
        <c:manualLayout>
          <c:xMode val="edge"/>
          <c:yMode val="edge"/>
          <c:x val="0.57767354475994459"/>
          <c:y val="0.4172185768445611"/>
          <c:w val="0.39716919486818014"/>
          <c:h val="0.446071741032370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 coverage </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Analysis!$S$133</c:f>
              <c:strCache>
                <c:ptCount val="1"/>
                <c:pt idx="0">
                  <c:v>Coverage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Analysis!$T$133:$U$133</c15:sqref>
                  </c15:fullRef>
                </c:ext>
              </c:extLst>
              <c:f>Analysis!$T$133</c:f>
              <c:numCache>
                <c:formatCode>_(* #,##0_);_(* \(#,##0\);_(* "-"??_);_(@_)</c:formatCode>
                <c:ptCount val="1"/>
                <c:pt idx="0">
                  <c:v>940</c:v>
                </c:pt>
              </c:numCache>
            </c:numRef>
          </c:val>
          <c:extLst xmlns:c16r2="http://schemas.microsoft.com/office/drawing/2015/06/chart">
            <c:ext xmlns:c16="http://schemas.microsoft.com/office/drawing/2014/chart" uri="{C3380CC4-5D6E-409C-BE32-E72D297353CC}">
              <c16:uniqueId val="{00000000-ECF2-490F-AB47-E863EB1424C6}"/>
            </c:ext>
          </c:extLst>
        </c:ser>
        <c:ser>
          <c:idx val="1"/>
          <c:order val="1"/>
          <c:tx>
            <c:strRef>
              <c:f>Analysis!$S$134</c:f>
              <c:strCache>
                <c:ptCount val="1"/>
                <c:pt idx="0">
                  <c:v>GAP</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Analysis!$T$134:$U$134</c15:sqref>
                  </c15:fullRef>
                </c:ext>
              </c:extLst>
              <c:f>Analysis!$T$134</c:f>
              <c:numCache>
                <c:formatCode>_(* #,##0_);_(* \(#,##0\);_(* "-"??_);_(@_)</c:formatCode>
                <c:ptCount val="1"/>
                <c:pt idx="0">
                  <c:v>0</c:v>
                </c:pt>
              </c:numCache>
            </c:numRef>
          </c:val>
          <c:extLst xmlns:c16r2="http://schemas.microsoft.com/office/drawing/2015/06/chart">
            <c:ext xmlns:c16="http://schemas.microsoft.com/office/drawing/2014/chart" uri="{C3380CC4-5D6E-409C-BE32-E72D297353CC}">
              <c16:uniqueId val="{00000001-ECF2-490F-AB47-E863EB1424C6}"/>
            </c:ext>
          </c:extLst>
        </c:ser>
        <c:dLbls>
          <c:dLblPos val="ctr"/>
          <c:showLegendKey val="0"/>
          <c:showVal val="1"/>
          <c:showCatName val="0"/>
          <c:showSerName val="0"/>
          <c:showPercent val="0"/>
          <c:showBubbleSize val="0"/>
        </c:dLbls>
        <c:gapWidth val="150"/>
        <c:overlap val="100"/>
        <c:axId val="529790688"/>
        <c:axId val="529796568"/>
      </c:barChart>
      <c:catAx>
        <c:axId val="52979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9796568"/>
        <c:crosses val="autoZero"/>
        <c:auto val="1"/>
        <c:lblAlgn val="ctr"/>
        <c:lblOffset val="100"/>
        <c:noMultiLvlLbl val="0"/>
      </c:catAx>
      <c:valAx>
        <c:axId val="5297965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790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Latrines handed over to families</a:t>
            </a:r>
            <a:endParaRPr lang="en-US"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Analysis!$S$135</c:f>
              <c:strCache>
                <c:ptCount val="1"/>
                <c:pt idx="0">
                  <c:v>Latrines handed over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Analysis!$T$135:$U$135</c15:sqref>
                  </c15:fullRef>
                </c:ext>
              </c:extLst>
              <c:f>Analysis!$T$135</c:f>
              <c:numCache>
                <c:formatCode>_(* #,##0_);_(* \(#,##0\);_(* "-"??_);_(@_)</c:formatCode>
                <c:ptCount val="1"/>
                <c:pt idx="0">
                  <c:v>933</c:v>
                </c:pt>
              </c:numCache>
            </c:numRef>
          </c:val>
          <c:extLst xmlns:c16r2="http://schemas.microsoft.com/office/drawing/2015/06/chart">
            <c:ext xmlns:c16="http://schemas.microsoft.com/office/drawing/2014/chart" uri="{C3380CC4-5D6E-409C-BE32-E72D297353CC}">
              <c16:uniqueId val="{00000000-19C7-4FE3-A428-C7C7FA241793}"/>
            </c:ext>
          </c:extLst>
        </c:ser>
        <c:ser>
          <c:idx val="1"/>
          <c:order val="1"/>
          <c:tx>
            <c:strRef>
              <c:f>Analysis!$S$136</c:f>
              <c:strCache>
                <c:ptCount val="1"/>
                <c:pt idx="0">
                  <c:v>Latrines not handed over</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Analysis!$T$136:$U$136</c15:sqref>
                  </c15:fullRef>
                </c:ext>
              </c:extLst>
              <c:f>Analysis!$T$136</c:f>
              <c:numCache>
                <c:formatCode>_(* #,##0_);_(* \(#,##0\);_(* "-"??_);_(@_)</c:formatCode>
                <c:ptCount val="1"/>
                <c:pt idx="0">
                  <c:v>7</c:v>
                </c:pt>
              </c:numCache>
            </c:numRef>
          </c:val>
          <c:extLst xmlns:c16r2="http://schemas.microsoft.com/office/drawing/2015/06/chart">
            <c:ext xmlns:c16="http://schemas.microsoft.com/office/drawing/2014/chart" uri="{C3380CC4-5D6E-409C-BE32-E72D297353CC}">
              <c16:uniqueId val="{00000001-19C7-4FE3-A428-C7C7FA241793}"/>
            </c:ext>
          </c:extLst>
        </c:ser>
        <c:dLbls>
          <c:dLblPos val="ctr"/>
          <c:showLegendKey val="0"/>
          <c:showVal val="1"/>
          <c:showCatName val="0"/>
          <c:showSerName val="0"/>
          <c:showPercent val="0"/>
          <c:showBubbleSize val="0"/>
        </c:dLbls>
        <c:gapWidth val="150"/>
        <c:overlap val="100"/>
        <c:axId val="529795784"/>
        <c:axId val="529794608"/>
      </c:barChart>
      <c:catAx>
        <c:axId val="52979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9794608"/>
        <c:crosses val="autoZero"/>
        <c:auto val="1"/>
        <c:lblAlgn val="ctr"/>
        <c:lblOffset val="100"/>
        <c:noMultiLvlLbl val="0"/>
      </c:catAx>
      <c:valAx>
        <c:axId val="5297946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795784"/>
        <c:crosses val="autoZero"/>
        <c:crossBetween val="between"/>
      </c:valAx>
      <c:spPr>
        <a:noFill/>
        <a:ln>
          <a:noFill/>
        </a:ln>
        <a:effectLst/>
      </c:spPr>
    </c:plotArea>
    <c:legend>
      <c:legendPos val="b"/>
      <c:layout>
        <c:manualLayout>
          <c:xMode val="edge"/>
          <c:yMode val="edge"/>
          <c:x val="1.6662389402387574E-2"/>
          <c:y val="0.77862392222672294"/>
          <c:w val="0.94780821465008203"/>
          <c:h val="0.18871335892341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 repaired and desludged</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Analysis!$S$137</c:f>
              <c:strCache>
                <c:ptCount val="1"/>
                <c:pt idx="0">
                  <c:v># latrines repairs</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Analysis!$T$137:$U$137</c15:sqref>
                  </c15:fullRef>
                </c:ext>
              </c:extLst>
              <c:f>Analysis!$T$137</c:f>
              <c:numCache>
                <c:formatCode>_(* #,##0_);_(* \(#,##0\);_(* "-"??_);_(@_)</c:formatCode>
                <c:ptCount val="1"/>
                <c:pt idx="0">
                  <c:v>107</c:v>
                </c:pt>
              </c:numCache>
            </c:numRef>
          </c:val>
          <c:extLst xmlns:c16r2="http://schemas.microsoft.com/office/drawing/2015/06/chart">
            <c:ext xmlns:c16="http://schemas.microsoft.com/office/drawing/2014/chart" uri="{C3380CC4-5D6E-409C-BE32-E72D297353CC}">
              <c16:uniqueId val="{00000000-014A-4722-B456-E8907B7553F3}"/>
            </c:ext>
          </c:extLst>
        </c:ser>
        <c:ser>
          <c:idx val="1"/>
          <c:order val="1"/>
          <c:tx>
            <c:strRef>
              <c:f>Analysis!$S$138</c:f>
              <c:strCache>
                <c:ptCount val="1"/>
                <c:pt idx="0">
                  <c:v># latrines desludged</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Analysis!$T$132:$U$132</c15:sqref>
                  </c15:fullRef>
                </c:ext>
              </c:extLst>
              <c:f>Analysis!$T$132</c:f>
              <c:strCache>
                <c:ptCount val="1"/>
                <c:pt idx="0">
                  <c:v># in GCA (20:1)</c:v>
                </c:pt>
              </c:strCache>
            </c:strRef>
          </c:cat>
          <c:val>
            <c:numRef>
              <c:extLst>
                <c:ext xmlns:c15="http://schemas.microsoft.com/office/drawing/2012/chart" uri="{02D57815-91ED-43cb-92C2-25804820EDAC}">
                  <c15:fullRef>
                    <c15:sqref>Analysis!$T$138:$U$138</c15:sqref>
                  </c15:fullRef>
                </c:ext>
              </c:extLst>
              <c:f>Analysis!$T$138</c:f>
              <c:numCache>
                <c:formatCode>_(* #,##0_);_(* \(#,##0\);_(* "-"??_);_(@_)</c:formatCode>
                <c:ptCount val="1"/>
                <c:pt idx="0">
                  <c:v>29</c:v>
                </c:pt>
              </c:numCache>
            </c:numRef>
          </c:val>
          <c:extLst xmlns:c16r2="http://schemas.microsoft.com/office/drawing/2015/06/chart">
            <c:ext xmlns:c16="http://schemas.microsoft.com/office/drawing/2014/chart" uri="{C3380CC4-5D6E-409C-BE32-E72D297353CC}">
              <c16:uniqueId val="{00000001-014A-4722-B456-E8907B7553F3}"/>
            </c:ext>
          </c:extLst>
        </c:ser>
        <c:dLbls>
          <c:dLblPos val="ctr"/>
          <c:showLegendKey val="0"/>
          <c:showVal val="1"/>
          <c:showCatName val="0"/>
          <c:showSerName val="0"/>
          <c:showPercent val="0"/>
          <c:showBubbleSize val="0"/>
        </c:dLbls>
        <c:gapWidth val="150"/>
        <c:axId val="529795000"/>
        <c:axId val="529793432"/>
      </c:barChart>
      <c:catAx>
        <c:axId val="529795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9793432"/>
        <c:crosses val="autoZero"/>
        <c:auto val="1"/>
        <c:lblAlgn val="ctr"/>
        <c:lblOffset val="100"/>
        <c:noMultiLvlLbl val="0"/>
      </c:catAx>
      <c:valAx>
        <c:axId val="5297934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795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5020543773337702"/>
          <c:y val="0.27283286709256394"/>
          <c:w val="0.42181919679444613"/>
          <c:h val="0.5962163402557743"/>
        </c:manualLayout>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2459-4622-81B0-FFE866AD0625}"/>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2459-4622-81B0-FFE866AD062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2459-4622-81B0-FFE866AD0625}"/>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1"/>
              <c:layout>
                <c:manualLayout>
                  <c:x val="7.1359555095156776E-2"/>
                  <c:y val="0.1044311345389093"/>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8458468503612928E-3"/>
                  <c:y val="2.695400512866531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2459-4622-81B0-FFE866AD062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Analysis!$W$133:$W$135</c:f>
              <c:strCache>
                <c:ptCount val="3"/>
                <c:pt idx="0">
                  <c:v>Functioning</c:v>
                </c:pt>
                <c:pt idx="1">
                  <c:v>Repairs</c:v>
                </c:pt>
                <c:pt idx="2">
                  <c:v>Desludging</c:v>
                </c:pt>
              </c:strCache>
            </c:strRef>
          </c:cat>
          <c:val>
            <c:numRef>
              <c:f>Analysis!$X$133:$X$135</c:f>
              <c:numCache>
                <c:formatCode>_(* #,##0_);_(* \(#,##0\);_(* "-"??_);_(@_)</c:formatCode>
                <c:ptCount val="3"/>
                <c:pt idx="0">
                  <c:v>940</c:v>
                </c:pt>
                <c:pt idx="1">
                  <c:v>107</c:v>
                </c:pt>
                <c:pt idx="2">
                  <c:v>29</c:v>
                </c:pt>
              </c:numCache>
            </c:numRef>
          </c:val>
          <c:extLst xmlns:c16r2="http://schemas.microsoft.com/office/drawing/2015/06/chart">
            <c:ext xmlns:c16="http://schemas.microsoft.com/office/drawing/2014/chart" uri="{C3380CC4-5D6E-409C-BE32-E72D297353CC}">
              <c16:uniqueId val="{00000006-2459-4622-81B0-FFE866AD062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1986054787228462"/>
          <c:y val="0.36087212885091968"/>
          <c:w val="0.37154924976081022"/>
          <c:h val="0.4645642237423691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i="0" baseline="0">
                <a:effectLst/>
              </a:rPr>
              <a:t>WASH in Temporary Learning Spaces </a:t>
            </a:r>
            <a:endParaRPr lang="en-US" sz="1400" b="1">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768188441703416E-2"/>
          <c:y val="0.17465235859270486"/>
          <c:w val="0.96846362311659318"/>
          <c:h val="0.63460463205479212"/>
        </c:manualLayout>
      </c:layout>
      <c:barChart>
        <c:barDir val="bar"/>
        <c:grouping val="clustered"/>
        <c:varyColors val="0"/>
        <c:ser>
          <c:idx val="0"/>
          <c:order val="0"/>
          <c:tx>
            <c:strRef>
              <c:f>Analysis!$C$410</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90ED-4ECC-9CB6-AC79A5F1B3C6}"/>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90ED-4ECC-9CB6-AC79A5F1B3C6}"/>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90ED-4ECC-9CB6-AC79A5F1B3C6}"/>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6-0FB9-44F9-B1CE-FCAACCF20A5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Analysis!$D$407:$H$407</c:f>
              <c:strCache>
                <c:ptCount val="5"/>
                <c:pt idx="0">
                  <c:v> # of hand washing stations with soap</c:v>
                </c:pt>
                <c:pt idx="1">
                  <c:v> # of hand washing stations for TLS</c:v>
                </c:pt>
                <c:pt idx="2">
                  <c:v> # of children Latrines</c:v>
                </c:pt>
                <c:pt idx="3">
                  <c:v> # of latrines in TLS (schools)</c:v>
                </c:pt>
                <c:pt idx="4">
                  <c:v># Water points in TLS</c:v>
                </c:pt>
              </c:strCache>
            </c:strRef>
          </c:cat>
          <c:val>
            <c:numRef>
              <c:f>Analysis!$D$410:$H$410</c:f>
              <c:numCache>
                <c:formatCode>_(* #,##0_);_(* \(#,##0\);_(* "-"??_);_(@_)</c:formatCode>
                <c:ptCount val="5"/>
                <c:pt idx="0">
                  <c:v>0</c:v>
                </c:pt>
                <c:pt idx="1">
                  <c:v>0</c:v>
                </c:pt>
                <c:pt idx="2">
                  <c:v>6</c:v>
                </c:pt>
                <c:pt idx="3">
                  <c:v>1</c:v>
                </c:pt>
                <c:pt idx="4">
                  <c:v>0</c:v>
                </c:pt>
              </c:numCache>
            </c:numRef>
          </c:val>
          <c:extLst xmlns:c16r2="http://schemas.microsoft.com/office/drawing/2015/06/chart">
            <c:ext xmlns:c16="http://schemas.microsoft.com/office/drawing/2014/chart" uri="{C3380CC4-5D6E-409C-BE32-E72D297353CC}">
              <c16:uniqueId val="{00000006-90ED-4ECC-9CB6-AC79A5F1B3C6}"/>
            </c:ext>
          </c:extLst>
        </c:ser>
        <c:dLbls>
          <c:showLegendKey val="0"/>
          <c:showVal val="0"/>
          <c:showCatName val="0"/>
          <c:showSerName val="0"/>
          <c:showPercent val="0"/>
          <c:showBubbleSize val="0"/>
        </c:dLbls>
        <c:gapWidth val="115"/>
        <c:overlap val="-20"/>
        <c:axId val="529792648"/>
        <c:axId val="529790296"/>
      </c:barChart>
      <c:catAx>
        <c:axId val="529792648"/>
        <c:scaling>
          <c:orientation val="minMax"/>
        </c:scaling>
        <c:delete val="1"/>
        <c:axPos val="l"/>
        <c:numFmt formatCode="General" sourceLinked="1"/>
        <c:majorTickMark val="none"/>
        <c:minorTickMark val="none"/>
        <c:tickLblPos val="nextTo"/>
        <c:crossAx val="529790296"/>
        <c:crosses val="autoZero"/>
        <c:auto val="1"/>
        <c:lblAlgn val="ctr"/>
        <c:lblOffset val="100"/>
        <c:noMultiLvlLbl val="0"/>
      </c:catAx>
      <c:valAx>
        <c:axId val="52979029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529792648"/>
        <c:crosses val="autoZero"/>
        <c:crossBetween val="between"/>
      </c:valAx>
      <c:spPr>
        <a:noFill/>
        <a:ln>
          <a:noFill/>
        </a:ln>
        <a:effectLst/>
      </c:spPr>
    </c:plotArea>
    <c:legend>
      <c:legendPos val="b"/>
      <c:layout>
        <c:manualLayout>
          <c:xMode val="edge"/>
          <c:yMode val="edge"/>
          <c:x val="1.3808057013796317E-2"/>
          <c:y val="0.81396587063112336"/>
          <c:w val="0.98528513106107385"/>
          <c:h val="0.157780849467117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2018-Q3 (US$)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[4]National!$D$3</c:f>
              <c:strCache>
                <c:ptCount val="1"/>
                <c:pt idx="0">
                  <c:v>Cumulative Funding Received for 2018</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[4]National!$B$4</c:f>
              <c:strCache>
                <c:ptCount val="1"/>
                <c:pt idx="0">
                  <c:v>Kachin/Shan</c:v>
                </c:pt>
              </c:strCache>
            </c:strRef>
          </c:cat>
          <c:val>
            <c:numRef>
              <c:extLst>
                <c:ext xmlns:c15="http://schemas.microsoft.com/office/drawing/2012/chart" uri="{02D57815-91ED-43cb-92C2-25804820EDAC}">
                  <c15:fullRef>
                    <c15:sqref>[4]National!$D$4:$D$6</c15:sqref>
                  </c15:fullRef>
                </c:ext>
              </c:extLst>
              <c:f>[4]National!$D$4</c:f>
              <c:numCache>
                <c:formatCode>General</c:formatCode>
                <c:ptCount val="1"/>
                <c:pt idx="0">
                  <c:v>3158601.9917334807</c:v>
                </c:pt>
              </c:numCache>
            </c:numRef>
          </c:val>
          <c:extLst xmlns:c15="http://schemas.microsoft.com/office/drawing/2012/chart" xmlns:c16r2="http://schemas.microsoft.com/office/drawing/2015/06/chart">
            <c:ext xmlns:c16="http://schemas.microsoft.com/office/drawing/2014/chart" uri="{C3380CC4-5D6E-409C-BE32-E72D297353CC}">
              <c16:uniqueId val="{00000000-5296-4004-994E-50883005351E}"/>
            </c:ext>
          </c:extLst>
        </c:ser>
        <c:ser>
          <c:idx val="1"/>
          <c:order val="1"/>
          <c:tx>
            <c:strRef>
              <c:f>[4]National!$E$3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[4]National!$B$4</c:f>
              <c:strCache>
                <c:ptCount val="1"/>
                <c:pt idx="0">
                  <c:v>Kachin/Shan</c:v>
                </c:pt>
              </c:strCache>
            </c:strRef>
          </c:cat>
          <c:val>
            <c:numRef>
              <c:extLst>
                <c:ext xmlns:c15="http://schemas.microsoft.com/office/drawing/2012/chart" uri="{02D57815-91ED-43cb-92C2-25804820EDAC}">
                  <c15:fullRef>
                    <c15:sqref>[4]National!$E$4:$E$6</c15:sqref>
                  </c15:fullRef>
                </c:ext>
              </c:extLst>
              <c:f>[4]National!$E$4</c:f>
              <c:numCache>
                <c:formatCode>General</c:formatCode>
                <c:ptCount val="1"/>
                <c:pt idx="0">
                  <c:v>6541398.0082665198</c:v>
                </c:pt>
              </c:numCache>
            </c:numRef>
          </c:val>
          <c:extLst xmlns:c16r2="http://schemas.microsoft.com/office/drawing/2015/06/chart">
            <c:ext xmlns:c16="http://schemas.microsoft.com/office/drawing/2014/chart" uri="{C3380CC4-5D6E-409C-BE32-E72D297353CC}">
              <c16:uniqueId val="{00000000-1BD1-4A93-BEBF-63ED0A2D5833}"/>
            </c:ext>
          </c:extLst>
        </c:ser>
        <c:dLbls>
          <c:dLblPos val="ctr"/>
          <c:showLegendKey val="0"/>
          <c:showVal val="1"/>
          <c:showCatName val="0"/>
          <c:showSerName val="0"/>
          <c:showPercent val="0"/>
          <c:showBubbleSize val="0"/>
        </c:dLbls>
        <c:gapWidth val="150"/>
        <c:overlap val="100"/>
        <c:axId val="529771480"/>
        <c:axId val="529771872"/>
        <c:extLst xmlns:c16r2="http://schemas.microsoft.com/office/drawing/2015/06/chart"/>
      </c:barChart>
      <c:catAx>
        <c:axId val="5297714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71872"/>
        <c:crosses val="autoZero"/>
        <c:auto val="1"/>
        <c:lblAlgn val="ctr"/>
        <c:lblOffset val="100"/>
        <c:noMultiLvlLbl val="0"/>
      </c:catAx>
      <c:valAx>
        <c:axId val="5297718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29771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dLbl>
              <c:idx val="0"/>
              <c:layout>
                <c:manualLayout>
                  <c:x val="1.7308993299750004E-2"/>
                  <c:y val="-8.3856458529964154E-17"/>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1.1219083025745705E-2</c:v>
              </c:pt>
            </c:numLit>
          </c:val>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0.27699714446221713</c:v>
              </c:pt>
            </c:numLit>
          </c:val>
        </c:ser>
        <c:ser>
          <c:idx val="2"/>
          <c:order val="2"/>
          <c:tx>
            <c:v>INGO/LNGO</c:v>
          </c:tx>
          <c:spPr>
            <a:solidFill>
              <a:schemeClr val="bg1">
                <a:lumMod val="8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0.71178377251203717</c:v>
              </c:pt>
            </c:numLit>
          </c:val>
        </c:ser>
        <c:dLbls>
          <c:showLegendKey val="0"/>
          <c:showVal val="0"/>
          <c:showCatName val="0"/>
          <c:showSerName val="0"/>
          <c:showPercent val="0"/>
          <c:showBubbleSize val="0"/>
        </c:dLbls>
        <c:gapWidth val="150"/>
        <c:overlap val="100"/>
        <c:axId val="529772264"/>
        <c:axId val="529773048"/>
      </c:barChart>
      <c:catAx>
        <c:axId val="529772264"/>
        <c:scaling>
          <c:orientation val="minMax"/>
        </c:scaling>
        <c:delete val="1"/>
        <c:axPos val="l"/>
        <c:numFmt formatCode="General" sourceLinked="1"/>
        <c:majorTickMark val="none"/>
        <c:minorTickMark val="none"/>
        <c:tickLblPos val="nextTo"/>
        <c:crossAx val="529773048"/>
        <c:crosses val="autoZero"/>
        <c:auto val="1"/>
        <c:lblAlgn val="ctr"/>
        <c:lblOffset val="100"/>
        <c:noMultiLvlLbl val="0"/>
      </c:catAx>
      <c:valAx>
        <c:axId val="529773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9772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[2018_11_09_Myanmar_WASH_4W_2018_Q3_FINAL.xlsx]By Camps!PivotTable1</c:name>
    <c:fmtId val="4"/>
  </c:pivotSource>
  <c:chart>
    <c:title>
      <c:tx>
        <c:strRef>
          <c:f>'By Camps'!$B$34</c:f>
          <c:strCache>
            <c:ptCount val="1"/>
            <c:pt idx="0">
              <c:v>(All)</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s>
    <c:plotArea>
      <c:layout>
        <c:manualLayout>
          <c:layoutTarget val="inner"/>
          <c:xMode val="edge"/>
          <c:yMode val="edge"/>
          <c:x val="0.22539750826490748"/>
          <c:y val="0.11493115019255251"/>
          <c:w val="0.61261601843615388"/>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169"/>
                <c:pt idx="0">
                  <c:v>5 Ward RC Church(lon Khin)</c:v>
                </c:pt>
                <c:pt idx="1">
                  <c:v>AD-2000 Extension camp</c:v>
                </c:pt>
                <c:pt idx="2">
                  <c:v>AD-2000 Tharthana Compound</c:v>
                </c:pt>
                <c:pt idx="3">
                  <c:v>AG Church, Hmaw Si Sa</c:v>
                </c:pt>
                <c:pt idx="4">
                  <c:v>AG Church, Maw Wan</c:v>
                </c:pt>
                <c:pt idx="5">
                  <c:v>Agritural Compound (KBC)</c:v>
                </c:pt>
                <c:pt idx="6">
                  <c:v>Aung Thar Church</c:v>
                </c:pt>
                <c:pt idx="7">
                  <c:v>Baptist Church, Hmaw Si Sar(Lon Khin)</c:v>
                </c:pt>
                <c:pt idx="8">
                  <c:v>Bhamo_Host Families</c:v>
                </c:pt>
                <c:pt idx="9">
                  <c:v>Border Post 8</c:v>
                </c:pt>
                <c:pt idx="10">
                  <c:v>Bum Tsit Pa</c:v>
                </c:pt>
                <c:pt idx="11">
                  <c:v>Chin Church, Seik Mu</c:v>
                </c:pt>
                <c:pt idx="12">
                  <c:v>Chipwi KBC camp</c:v>
                </c:pt>
                <c:pt idx="13">
                  <c:v>Dhama Rakhita, Nyein Chan Tar Yar Ward(Lon Khin)</c:v>
                </c:pt>
                <c:pt idx="14">
                  <c:v>Du Kahtawng Baptist</c:v>
                </c:pt>
                <c:pt idx="15">
                  <c:v>Dum Bung </c:v>
                </c:pt>
                <c:pt idx="16">
                  <c:v>Hka Shi</c:v>
                </c:pt>
                <c:pt idx="17">
                  <c:v>Hkat Cho </c:v>
                </c:pt>
                <c:pt idx="18">
                  <c:v>Hkau Shau (BP 12)</c:v>
                </c:pt>
                <c:pt idx="19">
                  <c:v>Hlaing Naung Baptist</c:v>
                </c:pt>
                <c:pt idx="20">
                  <c:v>Hmaw Wan, Anglican</c:v>
                </c:pt>
                <c:pt idx="21">
                  <c:v>Hopin Host Families</c:v>
                </c:pt>
                <c:pt idx="22">
                  <c:v>Hpakant Baptist Church, Nam Ma Hpit</c:v>
                </c:pt>
                <c:pt idx="23">
                  <c:v>Hpare Hkyer - BP6</c:v>
                </c:pt>
                <c:pt idx="24">
                  <c:v>Hpun Lum Yang </c:v>
                </c:pt>
                <c:pt idx="25">
                  <c:v>Htoi San Church</c:v>
                </c:pt>
                <c:pt idx="26">
                  <c:v>IDP Boarding School, A Len Bum</c:v>
                </c:pt>
                <c:pt idx="27">
                  <c:v>Inn Lel Yan - Host Families</c:v>
                </c:pt>
                <c:pt idx="28">
                  <c:v>Jan Mai Kawng Baptist Church</c:v>
                </c:pt>
                <c:pt idx="29">
                  <c:v>Jan Mai Kawng Catholic Church</c:v>
                </c:pt>
                <c:pt idx="30">
                  <c:v>Je Yang Hka </c:v>
                </c:pt>
                <c:pt idx="31">
                  <c:v>Kachin Su Baptist Church (ECCD)</c:v>
                </c:pt>
                <c:pt idx="32">
                  <c:v>Khar Nan (1) Baptist Church</c:v>
                </c:pt>
                <c:pt idx="33">
                  <c:v>Khun Sint Village</c:v>
                </c:pt>
                <c:pt idx="34">
                  <c:v>Kyun Pin Thar Baptist Church</c:v>
                </c:pt>
                <c:pt idx="35">
                  <c:v>Kyun Taw Baptist Church </c:v>
                </c:pt>
                <c:pt idx="36">
                  <c:v>Laiza Je Yang School</c:v>
                </c:pt>
                <c:pt idx="37">
                  <c:v>Lana Zup Ja</c:v>
                </c:pt>
                <c:pt idx="38">
                  <c:v>Lawk Awng Mare D. (Sinbo Area)</c:v>
                </c:pt>
                <c:pt idx="39">
                  <c:v>Lawng Hkang Shait Yang Camp​ ( Lel Pyin)​ </c:v>
                </c:pt>
                <c:pt idx="40">
                  <c:v>Le Kone Bethlehem Church</c:v>
                </c:pt>
                <c:pt idx="41">
                  <c:v>Le Kone Ziun Baptist Church </c:v>
                </c:pt>
                <c:pt idx="42">
                  <c:v>Lhaovao Baptist Church (LBC)</c:v>
                </c:pt>
                <c:pt idx="43">
                  <c:v>Lisu Baptist Church, Maw Shan Vil,. Seik Mu</c:v>
                </c:pt>
                <c:pt idx="44">
                  <c:v>Lisu Baptist Church, Maw Wan Ward</c:v>
                </c:pt>
                <c:pt idx="45">
                  <c:v>Lisu Boarding-House</c:v>
                </c:pt>
                <c:pt idx="46">
                  <c:v>Loi Je Baptist Church</c:v>
                </c:pt>
                <c:pt idx="47">
                  <c:v>Loi Je Catholic Church</c:v>
                </c:pt>
                <c:pt idx="48">
                  <c:v>Loi Je Lisu Camp</c:v>
                </c:pt>
                <c:pt idx="49">
                  <c:v>Lung Sut</c:v>
                </c:pt>
                <c:pt idx="50">
                  <c:v>Lwegel High School</c:v>
                </c:pt>
                <c:pt idx="51">
                  <c:v>Ma Hawng RC </c:v>
                </c:pt>
                <c:pt idx="52">
                  <c:v>Mading Baptist Church</c:v>
                </c:pt>
                <c:pt idx="53">
                  <c:v>Maga Yang </c:v>
                </c:pt>
                <c:pt idx="54">
                  <c:v>Maina AG Church</c:v>
                </c:pt>
                <c:pt idx="55">
                  <c:v>Maina Catholic Church (St. Joseph)</c:v>
                </c:pt>
                <c:pt idx="56">
                  <c:v>Maina KBC (Bawng Ring)</c:v>
                </c:pt>
                <c:pt idx="57">
                  <c:v>Maina Lawang Baptist Church</c:v>
                </c:pt>
                <c:pt idx="58">
                  <c:v>Maing Khaung</c:v>
                </c:pt>
                <c:pt idx="59">
                  <c:v>Maing Khaung Catholic Church</c:v>
                </c:pt>
                <c:pt idx="60">
                  <c:v>Maliyang Baptist Church</c:v>
                </c:pt>
                <c:pt idx="61">
                  <c:v>Man Bung Catholic compound</c:v>
                </c:pt>
                <c:pt idx="62">
                  <c:v>Man Bung Edin Baptist Church</c:v>
                </c:pt>
                <c:pt idx="63">
                  <c:v>Man Hkring Baptist Church</c:v>
                </c:pt>
                <c:pt idx="64">
                  <c:v>Man Wing Baptist Church</c:v>
                </c:pt>
                <c:pt idx="65">
                  <c:v>Man Wing Baptist Church Cultural Compound</c:v>
                </c:pt>
                <c:pt idx="66">
                  <c:v>Man Wing Catholic Church</c:v>
                </c:pt>
                <c:pt idx="67">
                  <c:v>Man Wing Catholic Church II</c:v>
                </c:pt>
                <c:pt idx="68">
                  <c:v>Man Wing Host Families</c:v>
                </c:pt>
                <c:pt idx="69">
                  <c:v>Mandalay Monestry</c:v>
                </c:pt>
                <c:pt idx="70">
                  <c:v>Mansi Baptist Church</c:v>
                </c:pt>
                <c:pt idx="71">
                  <c:v>Mansi_Host Families</c:v>
                </c:pt>
                <c:pt idx="72">
                  <c:v>Maw Hpawng Hka Nan Baptist Church</c:v>
                </c:pt>
                <c:pt idx="73">
                  <c:v>Maw Hpawng Lhaovo Baptist Church</c:v>
                </c:pt>
                <c:pt idx="74">
                  <c:v>Maw Wan, Mu-yin Baptist Church</c:v>
                </c:pt>
                <c:pt idx="75">
                  <c:v>Moenyin Host Families</c:v>
                </c:pt>
                <c:pt idx="76">
                  <c:v>Momauk Baptist Church</c:v>
                </c:pt>
                <c:pt idx="77">
                  <c:v>Momauk_Host Families</c:v>
                </c:pt>
                <c:pt idx="78">
                  <c:v>Mu-yin Baptist Church</c:v>
                </c:pt>
                <c:pt idx="79">
                  <c:v>Muyin church (Aung Yar pre-school compound)</c:v>
                </c:pt>
                <c:pt idx="80">
                  <c:v>Myo Thit </c:v>
                </c:pt>
                <c:pt idx="81">
                  <c:v>Nam Ma Phyit, COC</c:v>
                </c:pt>
                <c:pt idx="82">
                  <c:v>Nan Kway St. John Catholic Church</c:v>
                </c:pt>
                <c:pt idx="83">
                  <c:v>Nant Hlaing Church</c:v>
                </c:pt>
                <c:pt idx="84">
                  <c:v>Nant Ma Hpit Catholic Church</c:v>
                </c:pt>
                <c:pt idx="85">
                  <c:v>Nat Gyi Kone Baptist Church </c:v>
                </c:pt>
                <c:pt idx="86">
                  <c:v>Nawng Hee Village</c:v>
                </c:pt>
                <c:pt idx="87">
                  <c:v>Nawng Ing (Indawgyi) Baptist Church </c:v>
                </c:pt>
                <c:pt idx="88">
                  <c:v>Ndup Yang</c:v>
                </c:pt>
                <c:pt idx="89">
                  <c:v>Nhkawng Pa </c:v>
                </c:pt>
                <c:pt idx="90">
                  <c:v>Njang Dung Baptist Church </c:v>
                </c:pt>
                <c:pt idx="91">
                  <c:v>Nyaung Na Pin </c:v>
                </c:pt>
                <c:pt idx="92">
                  <c:v>Pa Dauk Myaing(Pa La Na)</c:v>
                </c:pt>
                <c:pt idx="93">
                  <c:v>Pa Kahtawng </c:v>
                </c:pt>
                <c:pt idx="94">
                  <c:v>Pajau - Jan Mai</c:v>
                </c:pt>
                <c:pt idx="95">
                  <c:v>Pan Wa</c:v>
                </c:pt>
                <c:pt idx="96">
                  <c:v>Phan Khar Kone</c:v>
                </c:pt>
                <c:pt idx="97">
                  <c:v>Post 6 Camp</c:v>
                </c:pt>
                <c:pt idx="98">
                  <c:v>Qtr. 2 Lhaovo Baptist Church</c:v>
                </c:pt>
                <c:pt idx="99">
                  <c:v>Qtr. 2 Myoma Baptist Church</c:v>
                </c:pt>
                <c:pt idx="100">
                  <c:v>Qtr. 3 Mu-yin  Baptist Church</c:v>
                </c:pt>
                <c:pt idx="101">
                  <c:v>Qtr. 4 Monestry (Thargaya Thayett Taw)</c:v>
                </c:pt>
                <c:pt idx="102">
                  <c:v>Rawan Baptist Church, Maw Shan Vil., Seik Mu</c:v>
                </c:pt>
                <c:pt idx="103">
                  <c:v>Robert Church</c:v>
                </c:pt>
                <c:pt idx="104">
                  <c:v>Robert -Middle school</c:v>
                </c:pt>
                <c:pt idx="105">
                  <c:v>Sai Nai Baptish Church, Maw Shan Vil., Seki Mu</c:v>
                </c:pt>
                <c:pt idx="106">
                  <c:v>Salang Yang</c:v>
                </c:pt>
                <c:pt idx="107">
                  <c:v>Sar Hmaw - KBC</c:v>
                </c:pt>
                <c:pt idx="108">
                  <c:v>Saw Zam</c:v>
                </c:pt>
                <c:pt idx="109">
                  <c:v>Seng Ja </c:v>
                </c:pt>
                <c:pt idx="110">
                  <c:v>Sha-It Yang</c:v>
                </c:pt>
                <c:pt idx="111">
                  <c:v>Shar Du Zut KBC church </c:v>
                </c:pt>
                <c:pt idx="112">
                  <c:v>Shar Du Zut RC church</c:v>
                </c:pt>
                <c:pt idx="113">
                  <c:v>Shar Du Zut SanPya</c:v>
                </c:pt>
                <c:pt idx="114">
                  <c:v>Shatapru Sut Ngai Tawng</c:v>
                </c:pt>
                <c:pt idx="115">
                  <c:v>Shatapru Thida Aye Baptist Church</c:v>
                </c:pt>
                <c:pt idx="116">
                  <c:v>Shing Jai</c:v>
                </c:pt>
                <c:pt idx="117">
                  <c:v>Shwe Gu Baptist Church</c:v>
                </c:pt>
                <c:pt idx="118">
                  <c:v>Shwe Gu Catholic Church</c:v>
                </c:pt>
                <c:pt idx="119">
                  <c:v>Shwe Zet Baptist Church</c:v>
                </c:pt>
                <c:pt idx="120">
                  <c:v>Sin Bo</c:v>
                </c:pt>
                <c:pt idx="121">
                  <c:v>St. Patrick Catholic Church </c:v>
                </c:pt>
                <c:pt idx="122">
                  <c:v>Sumprabum</c:v>
                </c:pt>
                <c:pt idx="123">
                  <c:v>Tanai CoC</c:v>
                </c:pt>
                <c:pt idx="124">
                  <c:v>Tanai RC Church - Kinsa Ra </c:v>
                </c:pt>
                <c:pt idx="125">
                  <c:v>Tat Kone Baptist Church</c:v>
                </c:pt>
                <c:pt idx="126">
                  <c:v>Tat Kone COC Baptist - Tat Kone Htoi San</c:v>
                </c:pt>
                <c:pt idx="127">
                  <c:v>Tat Kone Emanuel Church</c:v>
                </c:pt>
                <c:pt idx="128">
                  <c:v>Tat Kone Galile Baptist Church</c:v>
                </c:pt>
                <c:pt idx="129">
                  <c:v>Tat Kone San Pya Baptist Church</c:v>
                </c:pt>
                <c:pt idx="130">
                  <c:v>Thargaya Lisu Baptist Church</c:v>
                </c:pt>
                <c:pt idx="131">
                  <c:v>Tote Tan Ward</c:v>
                </c:pt>
                <c:pt idx="132">
                  <c:v>Waingmaw AG Church</c:v>
                </c:pt>
                <c:pt idx="133">
                  <c:v>Ward 2 Sai Taung Baptist Church, Seik Mu </c:v>
                </c:pt>
                <c:pt idx="134">
                  <c:v>Woi Chyai </c:v>
                </c:pt>
                <c:pt idx="135">
                  <c:v>Woi Chyai (Mong Lai)</c:v>
                </c:pt>
                <c:pt idx="136">
                  <c:v>Woi Chyai host families</c:v>
                </c:pt>
                <c:pt idx="137">
                  <c:v>Yoe Kyi Monastery</c:v>
                </c:pt>
                <c:pt idx="138">
                  <c:v>Yumar Baptist Church</c:v>
                </c:pt>
                <c:pt idx="139">
                  <c:v>Tanai AG Church</c:v>
                </c:pt>
                <c:pt idx="140">
                  <c:v>Myo Oo St. Dominic RC Church</c:v>
                </c:pt>
                <c:pt idx="141">
                  <c:v>Lan Gwa St.Paul RC Church</c:v>
                </c:pt>
                <c:pt idx="142">
                  <c:v>Emmanuel AG Church</c:v>
                </c:pt>
                <c:pt idx="143">
                  <c:v>Tang Hpre RC Church</c:v>
                </c:pt>
                <c:pt idx="144">
                  <c:v>Ti Yang Zup</c:v>
                </c:pt>
                <c:pt idx="145">
                  <c:v>Sadung</c:v>
                </c:pt>
                <c:pt idx="146">
                  <c:v>Lawa RC Church</c:v>
                </c:pt>
                <c:pt idx="147">
                  <c:v>Karmaing RC Church</c:v>
                </c:pt>
                <c:pt idx="148">
                  <c:v>Ka Bu Dam CoC</c:v>
                </c:pt>
                <c:pt idx="149">
                  <c:v>Lambraw Yang Rc, Namatee</c:v>
                </c:pt>
                <c:pt idx="150">
                  <c:v>InjangYang  host families</c:v>
                </c:pt>
                <c:pt idx="151">
                  <c:v>Ma Ji Bum</c:v>
                </c:pt>
                <c:pt idx="152">
                  <c:v>Pang Hkawn Yang</c:v>
                </c:pt>
                <c:pt idx="153">
                  <c:v>Lone Khin Catholic Church</c:v>
                </c:pt>
                <c:pt idx="154">
                  <c:v>Zupra</c:v>
                </c:pt>
                <c:pt idx="155">
                  <c:v>Lawt Awng</c:v>
                </c:pt>
                <c:pt idx="156">
                  <c:v>Ban Dang</c:v>
                </c:pt>
                <c:pt idx="157">
                  <c:v>Sut Chyai</c:v>
                </c:pt>
                <c:pt idx="158">
                  <c:v>Da Wei</c:v>
                </c:pt>
                <c:pt idx="159">
                  <c:v>Htai Ra Yang</c:v>
                </c:pt>
                <c:pt idx="160">
                  <c:v>Namatee AG</c:v>
                </c:pt>
                <c:pt idx="161">
                  <c:v>Momauk IDP new Extension camp
(Alen Kawng Lawk)</c:v>
                </c:pt>
                <c:pt idx="162">
                  <c:v>Ma Hawng Baptist Church</c:v>
                </c:pt>
                <c:pt idx="163">
                  <c:v>Tanai KBC Camp</c:v>
                </c:pt>
                <c:pt idx="164">
                  <c:v>Namti Labraw Yang KBC Camp</c:v>
                </c:pt>
                <c:pt idx="165">
                  <c:v>Trinity Camp</c:v>
                </c:pt>
                <c:pt idx="166">
                  <c:v>Jaw Masat Camp</c:v>
                </c:pt>
                <c:pt idx="167">
                  <c:v>Waimaw Baptist Zonal Office 2</c:v>
                </c:pt>
                <c:pt idx="168">
                  <c:v>Pa Dauk Myaing(Pa La Na)-II</c:v>
                </c:pt>
              </c:strCache>
            </c:strRef>
          </c:cat>
          <c:val>
            <c:numRef>
              <c:f>'By Camps'!$B$34</c:f>
              <c:numCache>
                <c:formatCode>General</c:formatCode>
                <c:ptCount val="169"/>
                <c:pt idx="0">
                  <c:v>350</c:v>
                </c:pt>
                <c:pt idx="1">
                  <c:v>356</c:v>
                </c:pt>
                <c:pt idx="2">
                  <c:v>815</c:v>
                </c:pt>
                <c:pt idx="3">
                  <c:v>350</c:v>
                </c:pt>
                <c:pt idx="4">
                  <c:v>81</c:v>
                </c:pt>
                <c:pt idx="5">
                  <c:v>665</c:v>
                </c:pt>
                <c:pt idx="6">
                  <c:v>52</c:v>
                </c:pt>
                <c:pt idx="7">
                  <c:v>228</c:v>
                </c:pt>
                <c:pt idx="8">
                  <c:v>928</c:v>
                </c:pt>
                <c:pt idx="9">
                  <c:v>527</c:v>
                </c:pt>
                <c:pt idx="10">
                  <c:v>1661</c:v>
                </c:pt>
                <c:pt idx="11">
                  <c:v>26</c:v>
                </c:pt>
                <c:pt idx="12">
                  <c:v>519</c:v>
                </c:pt>
                <c:pt idx="13">
                  <c:v>365</c:v>
                </c:pt>
                <c:pt idx="14">
                  <c:v>185</c:v>
                </c:pt>
                <c:pt idx="15">
                  <c:v>446</c:v>
                </c:pt>
                <c:pt idx="16">
                  <c:v>410</c:v>
                </c:pt>
                <c:pt idx="17">
                  <c:v>503</c:v>
                </c:pt>
                <c:pt idx="18">
                  <c:v>903</c:v>
                </c:pt>
                <c:pt idx="19">
                  <c:v>46</c:v>
                </c:pt>
                <c:pt idx="20">
                  <c:v>27</c:v>
                </c:pt>
                <c:pt idx="21">
                  <c:v>121</c:v>
                </c:pt>
                <c:pt idx="22">
                  <c:v>504</c:v>
                </c:pt>
                <c:pt idx="23">
                  <c:v>823</c:v>
                </c:pt>
                <c:pt idx="24">
                  <c:v>3294</c:v>
                </c:pt>
                <c:pt idx="25">
                  <c:v>232</c:v>
                </c:pt>
                <c:pt idx="26">
                  <c:v>862</c:v>
                </c:pt>
                <c:pt idx="27">
                  <c:v>56</c:v>
                </c:pt>
                <c:pt idx="28">
                  <c:v>1114</c:v>
                </c:pt>
                <c:pt idx="29">
                  <c:v>430</c:v>
                </c:pt>
                <c:pt idx="30">
                  <c:v>8486</c:v>
                </c:pt>
                <c:pt idx="31">
                  <c:v>106</c:v>
                </c:pt>
                <c:pt idx="32">
                  <c:v>94</c:v>
                </c:pt>
                <c:pt idx="33">
                  <c:v>18</c:v>
                </c:pt>
                <c:pt idx="34">
                  <c:v>195</c:v>
                </c:pt>
                <c:pt idx="35">
                  <c:v>66</c:v>
                </c:pt>
                <c:pt idx="36">
                  <c:v>2199</c:v>
                </c:pt>
                <c:pt idx="37">
                  <c:v>2581</c:v>
                </c:pt>
                <c:pt idx="38">
                  <c:v>1691</c:v>
                </c:pt>
                <c:pt idx="39">
                  <c:v>656</c:v>
                </c:pt>
                <c:pt idx="40">
                  <c:v>578</c:v>
                </c:pt>
                <c:pt idx="41">
                  <c:v>697</c:v>
                </c:pt>
                <c:pt idx="42">
                  <c:v>640</c:v>
                </c:pt>
                <c:pt idx="43">
                  <c:v>102</c:v>
                </c:pt>
                <c:pt idx="44">
                  <c:v>62</c:v>
                </c:pt>
                <c:pt idx="45">
                  <c:v>757</c:v>
                </c:pt>
                <c:pt idx="46">
                  <c:v>240</c:v>
                </c:pt>
                <c:pt idx="47">
                  <c:v>379</c:v>
                </c:pt>
                <c:pt idx="48">
                  <c:v>1138</c:v>
                </c:pt>
                <c:pt idx="49">
                  <c:v>281</c:v>
                </c:pt>
                <c:pt idx="50">
                  <c:v>2350</c:v>
                </c:pt>
                <c:pt idx="51">
                  <c:v>105</c:v>
                </c:pt>
                <c:pt idx="52">
                  <c:v>178</c:v>
                </c:pt>
                <c:pt idx="53">
                  <c:v>1723</c:v>
                </c:pt>
                <c:pt idx="54">
                  <c:v>1801</c:v>
                </c:pt>
                <c:pt idx="55">
                  <c:v>1492</c:v>
                </c:pt>
                <c:pt idx="56">
                  <c:v>2551</c:v>
                </c:pt>
                <c:pt idx="57">
                  <c:v>193</c:v>
                </c:pt>
                <c:pt idx="58">
                  <c:v>1855</c:v>
                </c:pt>
                <c:pt idx="59">
                  <c:v>803</c:v>
                </c:pt>
                <c:pt idx="60">
                  <c:v>304</c:v>
                </c:pt>
                <c:pt idx="61">
                  <c:v>1172</c:v>
                </c:pt>
                <c:pt idx="62">
                  <c:v>650</c:v>
                </c:pt>
                <c:pt idx="63">
                  <c:v>581</c:v>
                </c:pt>
                <c:pt idx="64">
                  <c:v>647</c:v>
                </c:pt>
                <c:pt idx="65">
                  <c:v>524</c:v>
                </c:pt>
                <c:pt idx="66">
                  <c:v>2338</c:v>
                </c:pt>
                <c:pt idx="67">
                  <c:v>637</c:v>
                </c:pt>
                <c:pt idx="68">
                  <c:v>834</c:v>
                </c:pt>
                <c:pt idx="69">
                  <c:v>13</c:v>
                </c:pt>
                <c:pt idx="70">
                  <c:v>823</c:v>
                </c:pt>
                <c:pt idx="71">
                  <c:v>290</c:v>
                </c:pt>
                <c:pt idx="72">
                  <c:v>97</c:v>
                </c:pt>
                <c:pt idx="73">
                  <c:v>76</c:v>
                </c:pt>
                <c:pt idx="74">
                  <c:v>15</c:v>
                </c:pt>
                <c:pt idx="75">
                  <c:v>63</c:v>
                </c:pt>
                <c:pt idx="76">
                  <c:v>453</c:v>
                </c:pt>
                <c:pt idx="77">
                  <c:v>1067</c:v>
                </c:pt>
                <c:pt idx="78">
                  <c:v>51</c:v>
                </c:pt>
                <c:pt idx="79">
                  <c:v>18</c:v>
                </c:pt>
                <c:pt idx="80">
                  <c:v>153</c:v>
                </c:pt>
                <c:pt idx="81">
                  <c:v>45</c:v>
                </c:pt>
                <c:pt idx="82">
                  <c:v>311</c:v>
                </c:pt>
                <c:pt idx="83">
                  <c:v>111</c:v>
                </c:pt>
                <c:pt idx="84">
                  <c:v>221</c:v>
                </c:pt>
                <c:pt idx="85">
                  <c:v>33</c:v>
                </c:pt>
                <c:pt idx="86">
                  <c:v>86</c:v>
                </c:pt>
                <c:pt idx="87">
                  <c:v>115</c:v>
                </c:pt>
                <c:pt idx="88">
                  <c:v>547</c:v>
                </c:pt>
                <c:pt idx="89">
                  <c:v>1722</c:v>
                </c:pt>
                <c:pt idx="90">
                  <c:v>295</c:v>
                </c:pt>
                <c:pt idx="91">
                  <c:v>300</c:v>
                </c:pt>
                <c:pt idx="92">
                  <c:v>289</c:v>
                </c:pt>
                <c:pt idx="93">
                  <c:v>3316</c:v>
                </c:pt>
                <c:pt idx="94">
                  <c:v>895</c:v>
                </c:pt>
                <c:pt idx="95">
                  <c:v>267</c:v>
                </c:pt>
                <c:pt idx="96">
                  <c:v>778</c:v>
                </c:pt>
                <c:pt idx="97">
                  <c:v>550</c:v>
                </c:pt>
                <c:pt idx="98">
                  <c:v>460</c:v>
                </c:pt>
                <c:pt idx="99">
                  <c:v>322</c:v>
                </c:pt>
                <c:pt idx="100">
                  <c:v>159</c:v>
                </c:pt>
                <c:pt idx="101">
                  <c:v>492</c:v>
                </c:pt>
                <c:pt idx="102">
                  <c:v>37</c:v>
                </c:pt>
                <c:pt idx="103">
                  <c:v>4010</c:v>
                </c:pt>
                <c:pt idx="104">
                  <c:v>1409</c:v>
                </c:pt>
                <c:pt idx="105">
                  <c:v>25</c:v>
                </c:pt>
                <c:pt idx="106">
                  <c:v>268</c:v>
                </c:pt>
                <c:pt idx="107">
                  <c:v>129</c:v>
                </c:pt>
                <c:pt idx="108">
                  <c:v>173</c:v>
                </c:pt>
                <c:pt idx="109">
                  <c:v>253</c:v>
                </c:pt>
                <c:pt idx="110">
                  <c:v>1893</c:v>
                </c:pt>
                <c:pt idx="111">
                  <c:v>120</c:v>
                </c:pt>
                <c:pt idx="112">
                  <c:v>15</c:v>
                </c:pt>
                <c:pt idx="113">
                  <c:v>84</c:v>
                </c:pt>
                <c:pt idx="114">
                  <c:v>569</c:v>
                </c:pt>
                <c:pt idx="115">
                  <c:v>114</c:v>
                </c:pt>
                <c:pt idx="116">
                  <c:v>962</c:v>
                </c:pt>
                <c:pt idx="117">
                  <c:v>259</c:v>
                </c:pt>
                <c:pt idx="118">
                  <c:v>169</c:v>
                </c:pt>
                <c:pt idx="119">
                  <c:v>501</c:v>
                </c:pt>
                <c:pt idx="120">
                  <c:v>101</c:v>
                </c:pt>
                <c:pt idx="121">
                  <c:v>50</c:v>
                </c:pt>
                <c:pt idx="122">
                  <c:v>32</c:v>
                </c:pt>
                <c:pt idx="123">
                  <c:v>152</c:v>
                </c:pt>
                <c:pt idx="124">
                  <c:v>129</c:v>
                </c:pt>
                <c:pt idx="125">
                  <c:v>369</c:v>
                </c:pt>
                <c:pt idx="126">
                  <c:v>266</c:v>
                </c:pt>
                <c:pt idx="127">
                  <c:v>31</c:v>
                </c:pt>
                <c:pt idx="128">
                  <c:v>171</c:v>
                </c:pt>
                <c:pt idx="129">
                  <c:v>239</c:v>
                </c:pt>
                <c:pt idx="130">
                  <c:v>190</c:v>
                </c:pt>
                <c:pt idx="131">
                  <c:v>75</c:v>
                </c:pt>
                <c:pt idx="132">
                  <c:v>291</c:v>
                </c:pt>
                <c:pt idx="133">
                  <c:v>173</c:v>
                </c:pt>
                <c:pt idx="134">
                  <c:v>2902</c:v>
                </c:pt>
                <c:pt idx="135">
                  <c:v>709</c:v>
                </c:pt>
                <c:pt idx="136">
                  <c:v>2550</c:v>
                </c:pt>
                <c:pt idx="137">
                  <c:v>75</c:v>
                </c:pt>
                <c:pt idx="138">
                  <c:v>67</c:v>
                </c:pt>
                <c:pt idx="139">
                  <c:v>205</c:v>
                </c:pt>
                <c:pt idx="140">
                  <c:v>220</c:v>
                </c:pt>
                <c:pt idx="141">
                  <c:v>321</c:v>
                </c:pt>
                <c:pt idx="142">
                  <c:v>96</c:v>
                </c:pt>
                <c:pt idx="143">
                  <c:v>1043</c:v>
                </c:pt>
                <c:pt idx="144">
                  <c:v>87</c:v>
                </c:pt>
                <c:pt idx="145">
                  <c:v>449</c:v>
                </c:pt>
                <c:pt idx="146">
                  <c:v>171</c:v>
                </c:pt>
                <c:pt idx="147">
                  <c:v>56</c:v>
                </c:pt>
                <c:pt idx="148">
                  <c:v>46</c:v>
                </c:pt>
                <c:pt idx="149">
                  <c:v>419</c:v>
                </c:pt>
                <c:pt idx="150">
                  <c:v>228</c:v>
                </c:pt>
                <c:pt idx="151">
                  <c:v>566</c:v>
                </c:pt>
                <c:pt idx="152">
                  <c:v>1015</c:v>
                </c:pt>
                <c:pt idx="153">
                  <c:v>321</c:v>
                </c:pt>
                <c:pt idx="154">
                  <c:v>324</c:v>
                </c:pt>
                <c:pt idx="155">
                  <c:v>252</c:v>
                </c:pt>
                <c:pt idx="156">
                  <c:v>103</c:v>
                </c:pt>
                <c:pt idx="157">
                  <c:v>270</c:v>
                </c:pt>
                <c:pt idx="158">
                  <c:v>381</c:v>
                </c:pt>
                <c:pt idx="159">
                  <c:v>121</c:v>
                </c:pt>
                <c:pt idx="160">
                  <c:v>154</c:v>
                </c:pt>
                <c:pt idx="161">
                  <c:v>161</c:v>
                </c:pt>
                <c:pt idx="162">
                  <c:v>98</c:v>
                </c:pt>
                <c:pt idx="163">
                  <c:v>450</c:v>
                </c:pt>
                <c:pt idx="164">
                  <c:v>474</c:v>
                </c:pt>
                <c:pt idx="165">
                  <c:v>724</c:v>
                </c:pt>
                <c:pt idx="166">
                  <c:v>489</c:v>
                </c:pt>
                <c:pt idx="167">
                  <c:v>344</c:v>
                </c:pt>
                <c:pt idx="168">
                  <c:v>212</c:v>
                </c:pt>
              </c:numCache>
            </c:numRef>
          </c:val>
        </c:ser>
        <c:ser>
          <c:idx val="1"/>
          <c:order val="1"/>
          <c:tx>
            <c:strRef>
              <c:f>'By Camps'!$B$34</c:f>
              <c:strCache>
                <c:ptCount val="1"/>
                <c:pt idx="0">
                  <c:v>Number of People adopt basic personal and community hygiene practices</c:v>
                </c:pt>
              </c:strCache>
            </c:strRef>
          </c:tx>
          <c:spPr>
            <a:solidFill>
              <a:schemeClr val="accent6">
                <a:lumMod val="75000"/>
              </a:schemeClr>
            </a:solidFill>
            <a:ln>
              <a:noFill/>
            </a:ln>
            <a:effectLst/>
          </c:spPr>
          <c:invertIfNegative val="0"/>
          <c:cat>
            <c:strRef>
              <c:f>'By Camps'!$B$34</c:f>
              <c:strCache>
                <c:ptCount val="169"/>
                <c:pt idx="0">
                  <c:v>5 Ward RC Church(lon Khin)</c:v>
                </c:pt>
                <c:pt idx="1">
                  <c:v>AD-2000 Extension camp</c:v>
                </c:pt>
                <c:pt idx="2">
                  <c:v>AD-2000 Tharthana Compound</c:v>
                </c:pt>
                <c:pt idx="3">
                  <c:v>AG Church, Hmaw Si Sa</c:v>
                </c:pt>
                <c:pt idx="4">
                  <c:v>AG Church, Maw Wan</c:v>
                </c:pt>
                <c:pt idx="5">
                  <c:v>Agritural Compound (KBC)</c:v>
                </c:pt>
                <c:pt idx="6">
                  <c:v>Aung Thar Church</c:v>
                </c:pt>
                <c:pt idx="7">
                  <c:v>Baptist Church, Hmaw Si Sar(Lon Khin)</c:v>
                </c:pt>
                <c:pt idx="8">
                  <c:v>Bhamo_Host Families</c:v>
                </c:pt>
                <c:pt idx="9">
                  <c:v>Border Post 8</c:v>
                </c:pt>
                <c:pt idx="10">
                  <c:v>Bum Tsit Pa</c:v>
                </c:pt>
                <c:pt idx="11">
                  <c:v>Chin Church, Seik Mu</c:v>
                </c:pt>
                <c:pt idx="12">
                  <c:v>Chipwi KBC camp</c:v>
                </c:pt>
                <c:pt idx="13">
                  <c:v>Dhama Rakhita, Nyein Chan Tar Yar Ward(Lon Khin)</c:v>
                </c:pt>
                <c:pt idx="14">
                  <c:v>Du Kahtawng Baptist</c:v>
                </c:pt>
                <c:pt idx="15">
                  <c:v>Dum Bung </c:v>
                </c:pt>
                <c:pt idx="16">
                  <c:v>Hka Shi</c:v>
                </c:pt>
                <c:pt idx="17">
                  <c:v>Hkat Cho </c:v>
                </c:pt>
                <c:pt idx="18">
                  <c:v>Hkau Shau (BP 12)</c:v>
                </c:pt>
                <c:pt idx="19">
                  <c:v>Hlaing Naung Baptist</c:v>
                </c:pt>
                <c:pt idx="20">
                  <c:v>Hmaw Wan, Anglican</c:v>
                </c:pt>
                <c:pt idx="21">
                  <c:v>Hopin Host Families</c:v>
                </c:pt>
                <c:pt idx="22">
                  <c:v>Hpakant Baptist Church, Nam Ma Hpit</c:v>
                </c:pt>
                <c:pt idx="23">
                  <c:v>Hpare Hkyer - BP6</c:v>
                </c:pt>
                <c:pt idx="24">
                  <c:v>Hpun Lum Yang </c:v>
                </c:pt>
                <c:pt idx="25">
                  <c:v>Htoi San Church</c:v>
                </c:pt>
                <c:pt idx="26">
                  <c:v>IDP Boarding School, A Len Bum</c:v>
                </c:pt>
                <c:pt idx="27">
                  <c:v>Inn Lel Yan - Host Families</c:v>
                </c:pt>
                <c:pt idx="28">
                  <c:v>Jan Mai Kawng Baptist Church</c:v>
                </c:pt>
                <c:pt idx="29">
                  <c:v>Jan Mai Kawng Catholic Church</c:v>
                </c:pt>
                <c:pt idx="30">
                  <c:v>Je Yang Hka </c:v>
                </c:pt>
                <c:pt idx="31">
                  <c:v>Kachin Su Baptist Church (ECCD)</c:v>
                </c:pt>
                <c:pt idx="32">
                  <c:v>Khar Nan (1) Baptist Church</c:v>
                </c:pt>
                <c:pt idx="33">
                  <c:v>Khun Sint Village</c:v>
                </c:pt>
                <c:pt idx="34">
                  <c:v>Kyun Pin Thar Baptist Church</c:v>
                </c:pt>
                <c:pt idx="35">
                  <c:v>Kyun Taw Baptist Church </c:v>
                </c:pt>
                <c:pt idx="36">
                  <c:v>Laiza Je Yang School</c:v>
                </c:pt>
                <c:pt idx="37">
                  <c:v>Lana Zup Ja</c:v>
                </c:pt>
                <c:pt idx="38">
                  <c:v>Lawk Awng Mare D. (Sinbo Area)</c:v>
                </c:pt>
                <c:pt idx="39">
                  <c:v>Lawng Hkang Shait Yang Camp​ ( Lel Pyin)​ </c:v>
                </c:pt>
                <c:pt idx="40">
                  <c:v>Le Kone Bethlehem Church</c:v>
                </c:pt>
                <c:pt idx="41">
                  <c:v>Le Kone Ziun Baptist Church </c:v>
                </c:pt>
                <c:pt idx="42">
                  <c:v>Lhaovao Baptist Church (LBC)</c:v>
                </c:pt>
                <c:pt idx="43">
                  <c:v>Lisu Baptist Church, Maw Shan Vil,. Seik Mu</c:v>
                </c:pt>
                <c:pt idx="44">
                  <c:v>Lisu Baptist Church, Maw Wan Ward</c:v>
                </c:pt>
                <c:pt idx="45">
                  <c:v>Lisu Boarding-House</c:v>
                </c:pt>
                <c:pt idx="46">
                  <c:v>Loi Je Baptist Church</c:v>
                </c:pt>
                <c:pt idx="47">
                  <c:v>Loi Je Catholic Church</c:v>
                </c:pt>
                <c:pt idx="48">
                  <c:v>Loi Je Lisu Camp</c:v>
                </c:pt>
                <c:pt idx="49">
                  <c:v>Lung Sut</c:v>
                </c:pt>
                <c:pt idx="50">
                  <c:v>Lwegel High School</c:v>
                </c:pt>
                <c:pt idx="51">
                  <c:v>Ma Hawng RC </c:v>
                </c:pt>
                <c:pt idx="52">
                  <c:v>Mading Baptist Church</c:v>
                </c:pt>
                <c:pt idx="53">
                  <c:v>Maga Yang </c:v>
                </c:pt>
                <c:pt idx="54">
                  <c:v>Maina AG Church</c:v>
                </c:pt>
                <c:pt idx="55">
                  <c:v>Maina Catholic Church (St. Joseph)</c:v>
                </c:pt>
                <c:pt idx="56">
                  <c:v>Maina KBC (Bawng Ring)</c:v>
                </c:pt>
                <c:pt idx="57">
                  <c:v>Maina Lawang Baptist Church</c:v>
                </c:pt>
                <c:pt idx="58">
                  <c:v>Maing Khaung</c:v>
                </c:pt>
                <c:pt idx="59">
                  <c:v>Maing Khaung Catholic Church</c:v>
                </c:pt>
                <c:pt idx="60">
                  <c:v>Maliyang Baptist Church</c:v>
                </c:pt>
                <c:pt idx="61">
                  <c:v>Man Bung Catholic compound</c:v>
                </c:pt>
                <c:pt idx="62">
                  <c:v>Man Bung Edin Baptist Church</c:v>
                </c:pt>
                <c:pt idx="63">
                  <c:v>Man Hkring Baptist Church</c:v>
                </c:pt>
                <c:pt idx="64">
                  <c:v>Man Wing Baptist Church</c:v>
                </c:pt>
                <c:pt idx="65">
                  <c:v>Man Wing Baptist Church Cultural Compound</c:v>
                </c:pt>
                <c:pt idx="66">
                  <c:v>Man Wing Catholic Church</c:v>
                </c:pt>
                <c:pt idx="67">
                  <c:v>Man Wing Catholic Church II</c:v>
                </c:pt>
                <c:pt idx="68">
                  <c:v>Man Wing Host Families</c:v>
                </c:pt>
                <c:pt idx="69">
                  <c:v>Mandalay Monestry</c:v>
                </c:pt>
                <c:pt idx="70">
                  <c:v>Mansi Baptist Church</c:v>
                </c:pt>
                <c:pt idx="71">
                  <c:v>Mansi_Host Families</c:v>
                </c:pt>
                <c:pt idx="72">
                  <c:v>Maw Hpawng Hka Nan Baptist Church</c:v>
                </c:pt>
                <c:pt idx="73">
                  <c:v>Maw Hpawng Lhaovo Baptist Church</c:v>
                </c:pt>
                <c:pt idx="74">
                  <c:v>Maw Wan, Mu-yin Baptist Church</c:v>
                </c:pt>
                <c:pt idx="75">
                  <c:v>Moenyin Host Families</c:v>
                </c:pt>
                <c:pt idx="76">
                  <c:v>Momauk Baptist Church</c:v>
                </c:pt>
                <c:pt idx="77">
                  <c:v>Momauk_Host Families</c:v>
                </c:pt>
                <c:pt idx="78">
                  <c:v>Mu-yin Baptist Church</c:v>
                </c:pt>
                <c:pt idx="79">
                  <c:v>Muyin church (Aung Yar pre-school compound)</c:v>
                </c:pt>
                <c:pt idx="80">
                  <c:v>Myo Thit </c:v>
                </c:pt>
                <c:pt idx="81">
                  <c:v>Nam Ma Phyit, COC</c:v>
                </c:pt>
                <c:pt idx="82">
                  <c:v>Nan Kway St. John Catholic Church</c:v>
                </c:pt>
                <c:pt idx="83">
                  <c:v>Nant Hlaing Church</c:v>
                </c:pt>
                <c:pt idx="84">
                  <c:v>Nant Ma Hpit Catholic Church</c:v>
                </c:pt>
                <c:pt idx="85">
                  <c:v>Nat Gyi Kone Baptist Church </c:v>
                </c:pt>
                <c:pt idx="86">
                  <c:v>Nawng Hee Village</c:v>
                </c:pt>
                <c:pt idx="87">
                  <c:v>Nawng Ing (Indawgyi) Baptist Church </c:v>
                </c:pt>
                <c:pt idx="88">
                  <c:v>Ndup Yang</c:v>
                </c:pt>
                <c:pt idx="89">
                  <c:v>Nhkawng Pa </c:v>
                </c:pt>
                <c:pt idx="90">
                  <c:v>Njang Dung Baptist Church </c:v>
                </c:pt>
                <c:pt idx="91">
                  <c:v>Nyaung Na Pin </c:v>
                </c:pt>
                <c:pt idx="92">
                  <c:v>Pa Dauk Myaing(Pa La Na)</c:v>
                </c:pt>
                <c:pt idx="93">
                  <c:v>Pa Kahtawng </c:v>
                </c:pt>
                <c:pt idx="94">
                  <c:v>Pajau - Jan Mai</c:v>
                </c:pt>
                <c:pt idx="95">
                  <c:v>Pan Wa</c:v>
                </c:pt>
                <c:pt idx="96">
                  <c:v>Phan Khar Kone</c:v>
                </c:pt>
                <c:pt idx="97">
                  <c:v>Post 6 Camp</c:v>
                </c:pt>
                <c:pt idx="98">
                  <c:v>Qtr. 2 Lhaovo Baptist Church</c:v>
                </c:pt>
                <c:pt idx="99">
                  <c:v>Qtr. 2 Myoma Baptist Church</c:v>
                </c:pt>
                <c:pt idx="100">
                  <c:v>Qtr. 3 Mu-yin  Baptist Church</c:v>
                </c:pt>
                <c:pt idx="101">
                  <c:v>Qtr. 4 Monestry (Thargaya Thayett Taw)</c:v>
                </c:pt>
                <c:pt idx="102">
                  <c:v>Rawan Baptist Church, Maw Shan Vil., Seik Mu</c:v>
                </c:pt>
                <c:pt idx="103">
                  <c:v>Robert Church</c:v>
                </c:pt>
                <c:pt idx="104">
                  <c:v>Robert -Middle school</c:v>
                </c:pt>
                <c:pt idx="105">
                  <c:v>Sai Nai Baptish Church, Maw Shan Vil., Seki Mu</c:v>
                </c:pt>
                <c:pt idx="106">
                  <c:v>Salang Yang</c:v>
                </c:pt>
                <c:pt idx="107">
                  <c:v>Sar Hmaw - KBC</c:v>
                </c:pt>
                <c:pt idx="108">
                  <c:v>Saw Zam</c:v>
                </c:pt>
                <c:pt idx="109">
                  <c:v>Seng Ja </c:v>
                </c:pt>
                <c:pt idx="110">
                  <c:v>Sha-It Yang</c:v>
                </c:pt>
                <c:pt idx="111">
                  <c:v>Shar Du Zut KBC church </c:v>
                </c:pt>
                <c:pt idx="112">
                  <c:v>Shar Du Zut RC church</c:v>
                </c:pt>
                <c:pt idx="113">
                  <c:v>Shar Du Zut SanPya</c:v>
                </c:pt>
                <c:pt idx="114">
                  <c:v>Shatapru Sut Ngai Tawng</c:v>
                </c:pt>
                <c:pt idx="115">
                  <c:v>Shatapru Thida Aye Baptist Church</c:v>
                </c:pt>
                <c:pt idx="116">
                  <c:v>Shing Jai</c:v>
                </c:pt>
                <c:pt idx="117">
                  <c:v>Shwe Gu Baptist Church</c:v>
                </c:pt>
                <c:pt idx="118">
                  <c:v>Shwe Gu Catholic Church</c:v>
                </c:pt>
                <c:pt idx="119">
                  <c:v>Shwe Zet Baptist Church</c:v>
                </c:pt>
                <c:pt idx="120">
                  <c:v>Sin Bo</c:v>
                </c:pt>
                <c:pt idx="121">
                  <c:v>St. Patrick Catholic Church </c:v>
                </c:pt>
                <c:pt idx="122">
                  <c:v>Sumprabum</c:v>
                </c:pt>
                <c:pt idx="123">
                  <c:v>Tanai CoC</c:v>
                </c:pt>
                <c:pt idx="124">
                  <c:v>Tanai RC Church - Kinsa Ra </c:v>
                </c:pt>
                <c:pt idx="125">
                  <c:v>Tat Kone Baptist Church</c:v>
                </c:pt>
                <c:pt idx="126">
                  <c:v>Tat Kone COC Baptist - Tat Kone Htoi San</c:v>
                </c:pt>
                <c:pt idx="127">
                  <c:v>Tat Kone Emanuel Church</c:v>
                </c:pt>
                <c:pt idx="128">
                  <c:v>Tat Kone Galile Baptist Church</c:v>
                </c:pt>
                <c:pt idx="129">
                  <c:v>Tat Kone San Pya Baptist Church</c:v>
                </c:pt>
                <c:pt idx="130">
                  <c:v>Thargaya Lisu Baptist Church</c:v>
                </c:pt>
                <c:pt idx="131">
                  <c:v>Tote Tan Ward</c:v>
                </c:pt>
                <c:pt idx="132">
                  <c:v>Waingmaw AG Church</c:v>
                </c:pt>
                <c:pt idx="133">
                  <c:v>Ward 2 Sai Taung Baptist Church, Seik Mu </c:v>
                </c:pt>
                <c:pt idx="134">
                  <c:v>Woi Chyai </c:v>
                </c:pt>
                <c:pt idx="135">
                  <c:v>Woi Chyai (Mong Lai)</c:v>
                </c:pt>
                <c:pt idx="136">
                  <c:v>Woi Chyai host families</c:v>
                </c:pt>
                <c:pt idx="137">
                  <c:v>Yoe Kyi Monastery</c:v>
                </c:pt>
                <c:pt idx="138">
                  <c:v>Yumar Baptist Church</c:v>
                </c:pt>
                <c:pt idx="139">
                  <c:v>Tanai AG Church</c:v>
                </c:pt>
                <c:pt idx="140">
                  <c:v>Myo Oo St. Dominic RC Church</c:v>
                </c:pt>
                <c:pt idx="141">
                  <c:v>Lan Gwa St.Paul RC Church</c:v>
                </c:pt>
                <c:pt idx="142">
                  <c:v>Emmanuel AG Church</c:v>
                </c:pt>
                <c:pt idx="143">
                  <c:v>Tang Hpre RC Church</c:v>
                </c:pt>
                <c:pt idx="144">
                  <c:v>Ti Yang Zup</c:v>
                </c:pt>
                <c:pt idx="145">
                  <c:v>Sadung</c:v>
                </c:pt>
                <c:pt idx="146">
                  <c:v>Lawa RC Church</c:v>
                </c:pt>
                <c:pt idx="147">
                  <c:v>Karmaing RC Church</c:v>
                </c:pt>
                <c:pt idx="148">
                  <c:v>Ka Bu Dam CoC</c:v>
                </c:pt>
                <c:pt idx="149">
                  <c:v>Lambraw Yang Rc, Namatee</c:v>
                </c:pt>
                <c:pt idx="150">
                  <c:v>InjangYang  host families</c:v>
                </c:pt>
                <c:pt idx="151">
                  <c:v>Ma Ji Bum</c:v>
                </c:pt>
                <c:pt idx="152">
                  <c:v>Pang Hkawn Yang</c:v>
                </c:pt>
                <c:pt idx="153">
                  <c:v>Lone Khin Catholic Church</c:v>
                </c:pt>
                <c:pt idx="154">
                  <c:v>Zupra</c:v>
                </c:pt>
                <c:pt idx="155">
                  <c:v>Lawt Awng</c:v>
                </c:pt>
                <c:pt idx="156">
                  <c:v>Ban Dang</c:v>
                </c:pt>
                <c:pt idx="157">
                  <c:v>Sut Chyai</c:v>
                </c:pt>
                <c:pt idx="158">
                  <c:v>Da Wei</c:v>
                </c:pt>
                <c:pt idx="159">
                  <c:v>Htai Ra Yang</c:v>
                </c:pt>
                <c:pt idx="160">
                  <c:v>Namatee AG</c:v>
                </c:pt>
                <c:pt idx="161">
                  <c:v>Momauk IDP new Extension camp
(Alen Kawng Lawk)</c:v>
                </c:pt>
                <c:pt idx="162">
                  <c:v>Ma Hawng Baptist Church</c:v>
                </c:pt>
                <c:pt idx="163">
                  <c:v>Tanai KBC Camp</c:v>
                </c:pt>
                <c:pt idx="164">
                  <c:v>Namti Labraw Yang KBC Camp</c:v>
                </c:pt>
                <c:pt idx="165">
                  <c:v>Trinity Camp</c:v>
                </c:pt>
                <c:pt idx="166">
                  <c:v>Jaw Masat Camp</c:v>
                </c:pt>
                <c:pt idx="167">
                  <c:v>Waimaw Baptist Zonal Office 2</c:v>
                </c:pt>
                <c:pt idx="168">
                  <c:v>Pa Dauk Myaing(Pa La Na)-II</c:v>
                </c:pt>
              </c:strCache>
            </c:strRef>
          </c:cat>
          <c:val>
            <c:numRef>
              <c:f>'By Camps'!$B$34</c:f>
              <c:numCache>
                <c:formatCode>General</c:formatCode>
                <c:ptCount val="169"/>
                <c:pt idx="0">
                  <c:v>0</c:v>
                </c:pt>
                <c:pt idx="1">
                  <c:v>0</c:v>
                </c:pt>
                <c:pt idx="2">
                  <c:v>0</c:v>
                </c:pt>
                <c:pt idx="3">
                  <c:v>0</c:v>
                </c:pt>
                <c:pt idx="4">
                  <c:v>0</c:v>
                </c:pt>
                <c:pt idx="5">
                  <c:v>665</c:v>
                </c:pt>
                <c:pt idx="6">
                  <c:v>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232</c:v>
                </c:pt>
                <c:pt idx="26">
                  <c:v>862</c:v>
                </c:pt>
                <c:pt idx="27">
                  <c:v>0</c:v>
                </c:pt>
                <c:pt idx="28">
                  <c:v>0</c:v>
                </c:pt>
                <c:pt idx="29">
                  <c:v>0</c:v>
                </c:pt>
                <c:pt idx="30">
                  <c:v>0</c:v>
                </c:pt>
                <c:pt idx="31">
                  <c:v>106</c:v>
                </c:pt>
                <c:pt idx="32">
                  <c:v>94</c:v>
                </c:pt>
                <c:pt idx="33">
                  <c:v>0</c:v>
                </c:pt>
                <c:pt idx="34">
                  <c:v>0</c:v>
                </c:pt>
                <c:pt idx="35">
                  <c:v>0</c:v>
                </c:pt>
                <c:pt idx="36">
                  <c:v>0</c:v>
                </c:pt>
                <c:pt idx="37">
                  <c:v>0</c:v>
                </c:pt>
                <c:pt idx="38">
                  <c:v>0</c:v>
                </c:pt>
                <c:pt idx="39">
                  <c:v>0</c:v>
                </c:pt>
                <c:pt idx="40">
                  <c:v>0</c:v>
                </c:pt>
                <c:pt idx="41">
                  <c:v>0</c:v>
                </c:pt>
                <c:pt idx="42">
                  <c:v>0</c:v>
                </c:pt>
                <c:pt idx="43">
                  <c:v>0</c:v>
                </c:pt>
                <c:pt idx="44">
                  <c:v>0</c:v>
                </c:pt>
                <c:pt idx="45">
                  <c:v>757</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1172</c:v>
                </c:pt>
                <c:pt idx="62">
                  <c:v>0</c:v>
                </c:pt>
                <c:pt idx="63">
                  <c:v>0</c:v>
                </c:pt>
                <c:pt idx="64">
                  <c:v>0</c:v>
                </c:pt>
                <c:pt idx="65">
                  <c:v>524</c:v>
                </c:pt>
                <c:pt idx="66">
                  <c:v>0</c:v>
                </c:pt>
                <c:pt idx="67">
                  <c:v>0</c:v>
                </c:pt>
                <c:pt idx="68">
                  <c:v>0</c:v>
                </c:pt>
                <c:pt idx="69">
                  <c:v>13</c:v>
                </c:pt>
                <c:pt idx="70">
                  <c:v>823</c:v>
                </c:pt>
                <c:pt idx="71">
                  <c:v>0</c:v>
                </c:pt>
                <c:pt idx="72">
                  <c:v>0</c:v>
                </c:pt>
                <c:pt idx="73">
                  <c:v>0</c:v>
                </c:pt>
                <c:pt idx="74">
                  <c:v>0</c:v>
                </c:pt>
                <c:pt idx="75">
                  <c:v>0</c:v>
                </c:pt>
                <c:pt idx="76">
                  <c:v>453</c:v>
                </c:pt>
                <c:pt idx="77">
                  <c:v>0</c:v>
                </c:pt>
                <c:pt idx="78">
                  <c:v>51</c:v>
                </c:pt>
                <c:pt idx="79">
                  <c:v>0</c:v>
                </c:pt>
                <c:pt idx="80">
                  <c:v>0</c:v>
                </c:pt>
                <c:pt idx="81">
                  <c:v>0</c:v>
                </c:pt>
                <c:pt idx="82">
                  <c:v>0</c:v>
                </c:pt>
                <c:pt idx="83">
                  <c:v>111</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259</c:v>
                </c:pt>
                <c:pt idx="118">
                  <c:v>169</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2902</c:v>
                </c:pt>
                <c:pt idx="135">
                  <c:v>0</c:v>
                </c:pt>
                <c:pt idx="136">
                  <c:v>0</c:v>
                </c:pt>
                <c:pt idx="137">
                  <c:v>75</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numCache>
            </c:numRef>
          </c:val>
        </c:ser>
        <c:ser>
          <c:idx val="2"/>
          <c:order val="2"/>
          <c:tx>
            <c:strRef>
              <c:f>'By Camps'!$B$34</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cat>
            <c:strRef>
              <c:f>'By Camps'!$B$34</c:f>
              <c:strCache>
                <c:ptCount val="169"/>
                <c:pt idx="0">
                  <c:v>5 Ward RC Church(lon Khin)</c:v>
                </c:pt>
                <c:pt idx="1">
                  <c:v>AD-2000 Extension camp</c:v>
                </c:pt>
                <c:pt idx="2">
                  <c:v>AD-2000 Tharthana Compound</c:v>
                </c:pt>
                <c:pt idx="3">
                  <c:v>AG Church, Hmaw Si Sa</c:v>
                </c:pt>
                <c:pt idx="4">
                  <c:v>AG Church, Maw Wan</c:v>
                </c:pt>
                <c:pt idx="5">
                  <c:v>Agritural Compound (KBC)</c:v>
                </c:pt>
                <c:pt idx="6">
                  <c:v>Aung Thar Church</c:v>
                </c:pt>
                <c:pt idx="7">
                  <c:v>Baptist Church, Hmaw Si Sar(Lon Khin)</c:v>
                </c:pt>
                <c:pt idx="8">
                  <c:v>Bhamo_Host Families</c:v>
                </c:pt>
                <c:pt idx="9">
                  <c:v>Border Post 8</c:v>
                </c:pt>
                <c:pt idx="10">
                  <c:v>Bum Tsit Pa</c:v>
                </c:pt>
                <c:pt idx="11">
                  <c:v>Chin Church, Seik Mu</c:v>
                </c:pt>
                <c:pt idx="12">
                  <c:v>Chipwi KBC camp</c:v>
                </c:pt>
                <c:pt idx="13">
                  <c:v>Dhama Rakhita, Nyein Chan Tar Yar Ward(Lon Khin)</c:v>
                </c:pt>
                <c:pt idx="14">
                  <c:v>Du Kahtawng Baptist</c:v>
                </c:pt>
                <c:pt idx="15">
                  <c:v>Dum Bung </c:v>
                </c:pt>
                <c:pt idx="16">
                  <c:v>Hka Shi</c:v>
                </c:pt>
                <c:pt idx="17">
                  <c:v>Hkat Cho </c:v>
                </c:pt>
                <c:pt idx="18">
                  <c:v>Hkau Shau (BP 12)</c:v>
                </c:pt>
                <c:pt idx="19">
                  <c:v>Hlaing Naung Baptist</c:v>
                </c:pt>
                <c:pt idx="20">
                  <c:v>Hmaw Wan, Anglican</c:v>
                </c:pt>
                <c:pt idx="21">
                  <c:v>Hopin Host Families</c:v>
                </c:pt>
                <c:pt idx="22">
                  <c:v>Hpakant Baptist Church, Nam Ma Hpit</c:v>
                </c:pt>
                <c:pt idx="23">
                  <c:v>Hpare Hkyer - BP6</c:v>
                </c:pt>
                <c:pt idx="24">
                  <c:v>Hpun Lum Yang </c:v>
                </c:pt>
                <c:pt idx="25">
                  <c:v>Htoi San Church</c:v>
                </c:pt>
                <c:pt idx="26">
                  <c:v>IDP Boarding School, A Len Bum</c:v>
                </c:pt>
                <c:pt idx="27">
                  <c:v>Inn Lel Yan - Host Families</c:v>
                </c:pt>
                <c:pt idx="28">
                  <c:v>Jan Mai Kawng Baptist Church</c:v>
                </c:pt>
                <c:pt idx="29">
                  <c:v>Jan Mai Kawng Catholic Church</c:v>
                </c:pt>
                <c:pt idx="30">
                  <c:v>Je Yang Hka </c:v>
                </c:pt>
                <c:pt idx="31">
                  <c:v>Kachin Su Baptist Church (ECCD)</c:v>
                </c:pt>
                <c:pt idx="32">
                  <c:v>Khar Nan (1) Baptist Church</c:v>
                </c:pt>
                <c:pt idx="33">
                  <c:v>Khun Sint Village</c:v>
                </c:pt>
                <c:pt idx="34">
                  <c:v>Kyun Pin Thar Baptist Church</c:v>
                </c:pt>
                <c:pt idx="35">
                  <c:v>Kyun Taw Baptist Church </c:v>
                </c:pt>
                <c:pt idx="36">
                  <c:v>Laiza Je Yang School</c:v>
                </c:pt>
                <c:pt idx="37">
                  <c:v>Lana Zup Ja</c:v>
                </c:pt>
                <c:pt idx="38">
                  <c:v>Lawk Awng Mare D. (Sinbo Area)</c:v>
                </c:pt>
                <c:pt idx="39">
                  <c:v>Lawng Hkang Shait Yang Camp​ ( Lel Pyin)​ </c:v>
                </c:pt>
                <c:pt idx="40">
                  <c:v>Le Kone Bethlehem Church</c:v>
                </c:pt>
                <c:pt idx="41">
                  <c:v>Le Kone Ziun Baptist Church </c:v>
                </c:pt>
                <c:pt idx="42">
                  <c:v>Lhaovao Baptist Church (LBC)</c:v>
                </c:pt>
                <c:pt idx="43">
                  <c:v>Lisu Baptist Church, Maw Shan Vil,. Seik Mu</c:v>
                </c:pt>
                <c:pt idx="44">
                  <c:v>Lisu Baptist Church, Maw Wan Ward</c:v>
                </c:pt>
                <c:pt idx="45">
                  <c:v>Lisu Boarding-House</c:v>
                </c:pt>
                <c:pt idx="46">
                  <c:v>Loi Je Baptist Church</c:v>
                </c:pt>
                <c:pt idx="47">
                  <c:v>Loi Je Catholic Church</c:v>
                </c:pt>
                <c:pt idx="48">
                  <c:v>Loi Je Lisu Camp</c:v>
                </c:pt>
                <c:pt idx="49">
                  <c:v>Lung Sut</c:v>
                </c:pt>
                <c:pt idx="50">
                  <c:v>Lwegel High School</c:v>
                </c:pt>
                <c:pt idx="51">
                  <c:v>Ma Hawng RC </c:v>
                </c:pt>
                <c:pt idx="52">
                  <c:v>Mading Baptist Church</c:v>
                </c:pt>
                <c:pt idx="53">
                  <c:v>Maga Yang </c:v>
                </c:pt>
                <c:pt idx="54">
                  <c:v>Maina AG Church</c:v>
                </c:pt>
                <c:pt idx="55">
                  <c:v>Maina Catholic Church (St. Joseph)</c:v>
                </c:pt>
                <c:pt idx="56">
                  <c:v>Maina KBC (Bawng Ring)</c:v>
                </c:pt>
                <c:pt idx="57">
                  <c:v>Maina Lawang Baptist Church</c:v>
                </c:pt>
                <c:pt idx="58">
                  <c:v>Maing Khaung</c:v>
                </c:pt>
                <c:pt idx="59">
                  <c:v>Maing Khaung Catholic Church</c:v>
                </c:pt>
                <c:pt idx="60">
                  <c:v>Maliyang Baptist Church</c:v>
                </c:pt>
                <c:pt idx="61">
                  <c:v>Man Bung Catholic compound</c:v>
                </c:pt>
                <c:pt idx="62">
                  <c:v>Man Bung Edin Baptist Church</c:v>
                </c:pt>
                <c:pt idx="63">
                  <c:v>Man Hkring Baptist Church</c:v>
                </c:pt>
                <c:pt idx="64">
                  <c:v>Man Wing Baptist Church</c:v>
                </c:pt>
                <c:pt idx="65">
                  <c:v>Man Wing Baptist Church Cultural Compound</c:v>
                </c:pt>
                <c:pt idx="66">
                  <c:v>Man Wing Catholic Church</c:v>
                </c:pt>
                <c:pt idx="67">
                  <c:v>Man Wing Catholic Church II</c:v>
                </c:pt>
                <c:pt idx="68">
                  <c:v>Man Wing Host Families</c:v>
                </c:pt>
                <c:pt idx="69">
                  <c:v>Mandalay Monestry</c:v>
                </c:pt>
                <c:pt idx="70">
                  <c:v>Mansi Baptist Church</c:v>
                </c:pt>
                <c:pt idx="71">
                  <c:v>Mansi_Host Families</c:v>
                </c:pt>
                <c:pt idx="72">
                  <c:v>Maw Hpawng Hka Nan Baptist Church</c:v>
                </c:pt>
                <c:pt idx="73">
                  <c:v>Maw Hpawng Lhaovo Baptist Church</c:v>
                </c:pt>
                <c:pt idx="74">
                  <c:v>Maw Wan, Mu-yin Baptist Church</c:v>
                </c:pt>
                <c:pt idx="75">
                  <c:v>Moenyin Host Families</c:v>
                </c:pt>
                <c:pt idx="76">
                  <c:v>Momauk Baptist Church</c:v>
                </c:pt>
                <c:pt idx="77">
                  <c:v>Momauk_Host Families</c:v>
                </c:pt>
                <c:pt idx="78">
                  <c:v>Mu-yin Baptist Church</c:v>
                </c:pt>
                <c:pt idx="79">
                  <c:v>Muyin church (Aung Yar pre-school compound)</c:v>
                </c:pt>
                <c:pt idx="80">
                  <c:v>Myo Thit </c:v>
                </c:pt>
                <c:pt idx="81">
                  <c:v>Nam Ma Phyit, COC</c:v>
                </c:pt>
                <c:pt idx="82">
                  <c:v>Nan Kway St. John Catholic Church</c:v>
                </c:pt>
                <c:pt idx="83">
                  <c:v>Nant Hlaing Church</c:v>
                </c:pt>
                <c:pt idx="84">
                  <c:v>Nant Ma Hpit Catholic Church</c:v>
                </c:pt>
                <c:pt idx="85">
                  <c:v>Nat Gyi Kone Baptist Church </c:v>
                </c:pt>
                <c:pt idx="86">
                  <c:v>Nawng Hee Village</c:v>
                </c:pt>
                <c:pt idx="87">
                  <c:v>Nawng Ing (Indawgyi) Baptist Church </c:v>
                </c:pt>
                <c:pt idx="88">
                  <c:v>Ndup Yang</c:v>
                </c:pt>
                <c:pt idx="89">
                  <c:v>Nhkawng Pa </c:v>
                </c:pt>
                <c:pt idx="90">
                  <c:v>Njang Dung Baptist Church </c:v>
                </c:pt>
                <c:pt idx="91">
                  <c:v>Nyaung Na Pin </c:v>
                </c:pt>
                <c:pt idx="92">
                  <c:v>Pa Dauk Myaing(Pa La Na)</c:v>
                </c:pt>
                <c:pt idx="93">
                  <c:v>Pa Kahtawng </c:v>
                </c:pt>
                <c:pt idx="94">
                  <c:v>Pajau - Jan Mai</c:v>
                </c:pt>
                <c:pt idx="95">
                  <c:v>Pan Wa</c:v>
                </c:pt>
                <c:pt idx="96">
                  <c:v>Phan Khar Kone</c:v>
                </c:pt>
                <c:pt idx="97">
                  <c:v>Post 6 Camp</c:v>
                </c:pt>
                <c:pt idx="98">
                  <c:v>Qtr. 2 Lhaovo Baptist Church</c:v>
                </c:pt>
                <c:pt idx="99">
                  <c:v>Qtr. 2 Myoma Baptist Church</c:v>
                </c:pt>
                <c:pt idx="100">
                  <c:v>Qtr. 3 Mu-yin  Baptist Church</c:v>
                </c:pt>
                <c:pt idx="101">
                  <c:v>Qtr. 4 Monestry (Thargaya Thayett Taw)</c:v>
                </c:pt>
                <c:pt idx="102">
                  <c:v>Rawan Baptist Church, Maw Shan Vil., Seik Mu</c:v>
                </c:pt>
                <c:pt idx="103">
                  <c:v>Robert Church</c:v>
                </c:pt>
                <c:pt idx="104">
                  <c:v>Robert -Middle school</c:v>
                </c:pt>
                <c:pt idx="105">
                  <c:v>Sai Nai Baptish Church, Maw Shan Vil., Seki Mu</c:v>
                </c:pt>
                <c:pt idx="106">
                  <c:v>Salang Yang</c:v>
                </c:pt>
                <c:pt idx="107">
                  <c:v>Sar Hmaw - KBC</c:v>
                </c:pt>
                <c:pt idx="108">
                  <c:v>Saw Zam</c:v>
                </c:pt>
                <c:pt idx="109">
                  <c:v>Seng Ja </c:v>
                </c:pt>
                <c:pt idx="110">
                  <c:v>Sha-It Yang</c:v>
                </c:pt>
                <c:pt idx="111">
                  <c:v>Shar Du Zut KBC church </c:v>
                </c:pt>
                <c:pt idx="112">
                  <c:v>Shar Du Zut RC church</c:v>
                </c:pt>
                <c:pt idx="113">
                  <c:v>Shar Du Zut SanPya</c:v>
                </c:pt>
                <c:pt idx="114">
                  <c:v>Shatapru Sut Ngai Tawng</c:v>
                </c:pt>
                <c:pt idx="115">
                  <c:v>Shatapru Thida Aye Baptist Church</c:v>
                </c:pt>
                <c:pt idx="116">
                  <c:v>Shing Jai</c:v>
                </c:pt>
                <c:pt idx="117">
                  <c:v>Shwe Gu Baptist Church</c:v>
                </c:pt>
                <c:pt idx="118">
                  <c:v>Shwe Gu Catholic Church</c:v>
                </c:pt>
                <c:pt idx="119">
                  <c:v>Shwe Zet Baptist Church</c:v>
                </c:pt>
                <c:pt idx="120">
                  <c:v>Sin Bo</c:v>
                </c:pt>
                <c:pt idx="121">
                  <c:v>St. Patrick Catholic Church </c:v>
                </c:pt>
                <c:pt idx="122">
                  <c:v>Sumprabum</c:v>
                </c:pt>
                <c:pt idx="123">
                  <c:v>Tanai CoC</c:v>
                </c:pt>
                <c:pt idx="124">
                  <c:v>Tanai RC Church - Kinsa Ra </c:v>
                </c:pt>
                <c:pt idx="125">
                  <c:v>Tat Kone Baptist Church</c:v>
                </c:pt>
                <c:pt idx="126">
                  <c:v>Tat Kone COC Baptist - Tat Kone Htoi San</c:v>
                </c:pt>
                <c:pt idx="127">
                  <c:v>Tat Kone Emanuel Church</c:v>
                </c:pt>
                <c:pt idx="128">
                  <c:v>Tat Kone Galile Baptist Church</c:v>
                </c:pt>
                <c:pt idx="129">
                  <c:v>Tat Kone San Pya Baptist Church</c:v>
                </c:pt>
                <c:pt idx="130">
                  <c:v>Thargaya Lisu Baptist Church</c:v>
                </c:pt>
                <c:pt idx="131">
                  <c:v>Tote Tan Ward</c:v>
                </c:pt>
                <c:pt idx="132">
                  <c:v>Waingmaw AG Church</c:v>
                </c:pt>
                <c:pt idx="133">
                  <c:v>Ward 2 Sai Taung Baptist Church, Seik Mu </c:v>
                </c:pt>
                <c:pt idx="134">
                  <c:v>Woi Chyai </c:v>
                </c:pt>
                <c:pt idx="135">
                  <c:v>Woi Chyai (Mong Lai)</c:v>
                </c:pt>
                <c:pt idx="136">
                  <c:v>Woi Chyai host families</c:v>
                </c:pt>
                <c:pt idx="137">
                  <c:v>Yoe Kyi Monastery</c:v>
                </c:pt>
                <c:pt idx="138">
                  <c:v>Yumar Baptist Church</c:v>
                </c:pt>
                <c:pt idx="139">
                  <c:v>Tanai AG Church</c:v>
                </c:pt>
                <c:pt idx="140">
                  <c:v>Myo Oo St. Dominic RC Church</c:v>
                </c:pt>
                <c:pt idx="141">
                  <c:v>Lan Gwa St.Paul RC Church</c:v>
                </c:pt>
                <c:pt idx="142">
                  <c:v>Emmanuel AG Church</c:v>
                </c:pt>
                <c:pt idx="143">
                  <c:v>Tang Hpre RC Church</c:v>
                </c:pt>
                <c:pt idx="144">
                  <c:v>Ti Yang Zup</c:v>
                </c:pt>
                <c:pt idx="145">
                  <c:v>Sadung</c:v>
                </c:pt>
                <c:pt idx="146">
                  <c:v>Lawa RC Church</c:v>
                </c:pt>
                <c:pt idx="147">
                  <c:v>Karmaing RC Church</c:v>
                </c:pt>
                <c:pt idx="148">
                  <c:v>Ka Bu Dam CoC</c:v>
                </c:pt>
                <c:pt idx="149">
                  <c:v>Lambraw Yang Rc, Namatee</c:v>
                </c:pt>
                <c:pt idx="150">
                  <c:v>InjangYang  host families</c:v>
                </c:pt>
                <c:pt idx="151">
                  <c:v>Ma Ji Bum</c:v>
                </c:pt>
                <c:pt idx="152">
                  <c:v>Pang Hkawn Yang</c:v>
                </c:pt>
                <c:pt idx="153">
                  <c:v>Lone Khin Catholic Church</c:v>
                </c:pt>
                <c:pt idx="154">
                  <c:v>Zupra</c:v>
                </c:pt>
                <c:pt idx="155">
                  <c:v>Lawt Awng</c:v>
                </c:pt>
                <c:pt idx="156">
                  <c:v>Ban Dang</c:v>
                </c:pt>
                <c:pt idx="157">
                  <c:v>Sut Chyai</c:v>
                </c:pt>
                <c:pt idx="158">
                  <c:v>Da Wei</c:v>
                </c:pt>
                <c:pt idx="159">
                  <c:v>Htai Ra Yang</c:v>
                </c:pt>
                <c:pt idx="160">
                  <c:v>Namatee AG</c:v>
                </c:pt>
                <c:pt idx="161">
                  <c:v>Momauk IDP new Extension camp
(Alen Kawng Lawk)</c:v>
                </c:pt>
                <c:pt idx="162">
                  <c:v>Ma Hawng Baptist Church</c:v>
                </c:pt>
                <c:pt idx="163">
                  <c:v>Tanai KBC Camp</c:v>
                </c:pt>
                <c:pt idx="164">
                  <c:v>Namti Labraw Yang KBC Camp</c:v>
                </c:pt>
                <c:pt idx="165">
                  <c:v>Trinity Camp</c:v>
                </c:pt>
                <c:pt idx="166">
                  <c:v>Jaw Masat Camp</c:v>
                </c:pt>
                <c:pt idx="167">
                  <c:v>Waimaw Baptist Zonal Office 2</c:v>
                </c:pt>
                <c:pt idx="168">
                  <c:v>Pa Dauk Myaing(Pa La Na)-II</c:v>
                </c:pt>
              </c:strCache>
            </c:strRef>
          </c:cat>
          <c:val>
            <c:numRef>
              <c:f>'By Camps'!$B$34</c:f>
              <c:numCache>
                <c:formatCode>General</c:formatCode>
                <c:ptCount val="169"/>
                <c:pt idx="0">
                  <c:v>320</c:v>
                </c:pt>
                <c:pt idx="1">
                  <c:v>260</c:v>
                </c:pt>
                <c:pt idx="2">
                  <c:v>720</c:v>
                </c:pt>
                <c:pt idx="3">
                  <c:v>350</c:v>
                </c:pt>
                <c:pt idx="4">
                  <c:v>80</c:v>
                </c:pt>
                <c:pt idx="5">
                  <c:v>480</c:v>
                </c:pt>
                <c:pt idx="6">
                  <c:v>40</c:v>
                </c:pt>
                <c:pt idx="7">
                  <c:v>200</c:v>
                </c:pt>
                <c:pt idx="8">
                  <c:v>0</c:v>
                </c:pt>
                <c:pt idx="9">
                  <c:v>527</c:v>
                </c:pt>
                <c:pt idx="10">
                  <c:v>1661</c:v>
                </c:pt>
                <c:pt idx="11">
                  <c:v>26</c:v>
                </c:pt>
                <c:pt idx="12">
                  <c:v>519</c:v>
                </c:pt>
                <c:pt idx="13">
                  <c:v>365</c:v>
                </c:pt>
                <c:pt idx="14">
                  <c:v>140</c:v>
                </c:pt>
                <c:pt idx="15">
                  <c:v>446</c:v>
                </c:pt>
                <c:pt idx="16">
                  <c:v>200</c:v>
                </c:pt>
                <c:pt idx="17">
                  <c:v>320</c:v>
                </c:pt>
                <c:pt idx="18">
                  <c:v>903</c:v>
                </c:pt>
                <c:pt idx="19">
                  <c:v>46</c:v>
                </c:pt>
                <c:pt idx="20">
                  <c:v>0</c:v>
                </c:pt>
                <c:pt idx="21">
                  <c:v>0</c:v>
                </c:pt>
                <c:pt idx="22">
                  <c:v>504</c:v>
                </c:pt>
                <c:pt idx="23">
                  <c:v>640</c:v>
                </c:pt>
                <c:pt idx="24">
                  <c:v>3294</c:v>
                </c:pt>
                <c:pt idx="25">
                  <c:v>140</c:v>
                </c:pt>
                <c:pt idx="26">
                  <c:v>400</c:v>
                </c:pt>
                <c:pt idx="27">
                  <c:v>0</c:v>
                </c:pt>
                <c:pt idx="28">
                  <c:v>860</c:v>
                </c:pt>
                <c:pt idx="29">
                  <c:v>430</c:v>
                </c:pt>
                <c:pt idx="30">
                  <c:v>8486</c:v>
                </c:pt>
                <c:pt idx="31">
                  <c:v>80</c:v>
                </c:pt>
                <c:pt idx="32">
                  <c:v>94</c:v>
                </c:pt>
                <c:pt idx="33">
                  <c:v>0</c:v>
                </c:pt>
                <c:pt idx="34">
                  <c:v>160</c:v>
                </c:pt>
                <c:pt idx="35">
                  <c:v>66</c:v>
                </c:pt>
                <c:pt idx="36">
                  <c:v>320</c:v>
                </c:pt>
                <c:pt idx="37">
                  <c:v>2080</c:v>
                </c:pt>
                <c:pt idx="38">
                  <c:v>0</c:v>
                </c:pt>
                <c:pt idx="39">
                  <c:v>560</c:v>
                </c:pt>
                <c:pt idx="40">
                  <c:v>160</c:v>
                </c:pt>
                <c:pt idx="41">
                  <c:v>640</c:v>
                </c:pt>
                <c:pt idx="42">
                  <c:v>640</c:v>
                </c:pt>
                <c:pt idx="43">
                  <c:v>102</c:v>
                </c:pt>
                <c:pt idx="44">
                  <c:v>62</c:v>
                </c:pt>
                <c:pt idx="45">
                  <c:v>460.00000000000006</c:v>
                </c:pt>
                <c:pt idx="46">
                  <c:v>240</c:v>
                </c:pt>
                <c:pt idx="47">
                  <c:v>320</c:v>
                </c:pt>
                <c:pt idx="48">
                  <c:v>800</c:v>
                </c:pt>
                <c:pt idx="49">
                  <c:v>160.00000000000003</c:v>
                </c:pt>
                <c:pt idx="50">
                  <c:v>720</c:v>
                </c:pt>
                <c:pt idx="51">
                  <c:v>105</c:v>
                </c:pt>
                <c:pt idx="52">
                  <c:v>120</c:v>
                </c:pt>
                <c:pt idx="53">
                  <c:v>1723</c:v>
                </c:pt>
                <c:pt idx="54">
                  <c:v>580</c:v>
                </c:pt>
                <c:pt idx="55">
                  <c:v>1492</c:v>
                </c:pt>
                <c:pt idx="56">
                  <c:v>2551</c:v>
                </c:pt>
                <c:pt idx="57">
                  <c:v>193</c:v>
                </c:pt>
                <c:pt idx="58">
                  <c:v>1855</c:v>
                </c:pt>
                <c:pt idx="59">
                  <c:v>803</c:v>
                </c:pt>
                <c:pt idx="60">
                  <c:v>140</c:v>
                </c:pt>
                <c:pt idx="61">
                  <c:v>940.00000000000011</c:v>
                </c:pt>
                <c:pt idx="62">
                  <c:v>560</c:v>
                </c:pt>
                <c:pt idx="63">
                  <c:v>581</c:v>
                </c:pt>
                <c:pt idx="64">
                  <c:v>360</c:v>
                </c:pt>
                <c:pt idx="65">
                  <c:v>524</c:v>
                </c:pt>
                <c:pt idx="66">
                  <c:v>2338</c:v>
                </c:pt>
                <c:pt idx="67">
                  <c:v>637</c:v>
                </c:pt>
                <c:pt idx="68">
                  <c:v>0</c:v>
                </c:pt>
                <c:pt idx="69">
                  <c:v>13</c:v>
                </c:pt>
                <c:pt idx="70">
                  <c:v>823</c:v>
                </c:pt>
                <c:pt idx="71">
                  <c:v>0</c:v>
                </c:pt>
                <c:pt idx="72">
                  <c:v>60</c:v>
                </c:pt>
                <c:pt idx="73">
                  <c:v>60</c:v>
                </c:pt>
                <c:pt idx="74">
                  <c:v>0</c:v>
                </c:pt>
                <c:pt idx="75">
                  <c:v>0</c:v>
                </c:pt>
                <c:pt idx="76">
                  <c:v>200</c:v>
                </c:pt>
                <c:pt idx="77">
                  <c:v>0</c:v>
                </c:pt>
                <c:pt idx="78">
                  <c:v>51</c:v>
                </c:pt>
                <c:pt idx="79">
                  <c:v>18</c:v>
                </c:pt>
                <c:pt idx="80">
                  <c:v>0</c:v>
                </c:pt>
                <c:pt idx="81">
                  <c:v>45</c:v>
                </c:pt>
                <c:pt idx="82">
                  <c:v>311</c:v>
                </c:pt>
                <c:pt idx="83">
                  <c:v>80</c:v>
                </c:pt>
                <c:pt idx="84">
                  <c:v>221</c:v>
                </c:pt>
                <c:pt idx="85">
                  <c:v>33</c:v>
                </c:pt>
                <c:pt idx="86">
                  <c:v>80</c:v>
                </c:pt>
                <c:pt idx="87">
                  <c:v>100</c:v>
                </c:pt>
                <c:pt idx="88">
                  <c:v>547</c:v>
                </c:pt>
                <c:pt idx="89">
                  <c:v>1722</c:v>
                </c:pt>
                <c:pt idx="90">
                  <c:v>200</c:v>
                </c:pt>
                <c:pt idx="91">
                  <c:v>300</c:v>
                </c:pt>
                <c:pt idx="92">
                  <c:v>240</c:v>
                </c:pt>
                <c:pt idx="93">
                  <c:v>3316</c:v>
                </c:pt>
                <c:pt idx="94">
                  <c:v>895</c:v>
                </c:pt>
                <c:pt idx="95">
                  <c:v>267</c:v>
                </c:pt>
                <c:pt idx="96">
                  <c:v>778</c:v>
                </c:pt>
                <c:pt idx="97">
                  <c:v>550</c:v>
                </c:pt>
                <c:pt idx="98">
                  <c:v>80</c:v>
                </c:pt>
                <c:pt idx="99">
                  <c:v>199.99999999999997</c:v>
                </c:pt>
                <c:pt idx="100">
                  <c:v>60.000000000000007</c:v>
                </c:pt>
                <c:pt idx="101">
                  <c:v>320</c:v>
                </c:pt>
                <c:pt idx="102">
                  <c:v>37</c:v>
                </c:pt>
                <c:pt idx="103">
                  <c:v>3200</c:v>
                </c:pt>
                <c:pt idx="104">
                  <c:v>0</c:v>
                </c:pt>
                <c:pt idx="105">
                  <c:v>0</c:v>
                </c:pt>
                <c:pt idx="106">
                  <c:v>268</c:v>
                </c:pt>
                <c:pt idx="107">
                  <c:v>129</c:v>
                </c:pt>
                <c:pt idx="108">
                  <c:v>173</c:v>
                </c:pt>
                <c:pt idx="109">
                  <c:v>253</c:v>
                </c:pt>
                <c:pt idx="110">
                  <c:v>1893</c:v>
                </c:pt>
                <c:pt idx="111">
                  <c:v>120</c:v>
                </c:pt>
                <c:pt idx="112">
                  <c:v>15</c:v>
                </c:pt>
                <c:pt idx="113">
                  <c:v>80</c:v>
                </c:pt>
                <c:pt idx="114">
                  <c:v>260</c:v>
                </c:pt>
                <c:pt idx="115">
                  <c:v>114</c:v>
                </c:pt>
                <c:pt idx="116">
                  <c:v>962</c:v>
                </c:pt>
                <c:pt idx="117">
                  <c:v>259</c:v>
                </c:pt>
                <c:pt idx="118">
                  <c:v>169</c:v>
                </c:pt>
                <c:pt idx="119">
                  <c:v>340</c:v>
                </c:pt>
                <c:pt idx="120">
                  <c:v>101</c:v>
                </c:pt>
                <c:pt idx="121">
                  <c:v>50</c:v>
                </c:pt>
                <c:pt idx="122">
                  <c:v>0</c:v>
                </c:pt>
                <c:pt idx="123">
                  <c:v>152</c:v>
                </c:pt>
                <c:pt idx="124">
                  <c:v>129</c:v>
                </c:pt>
                <c:pt idx="125">
                  <c:v>220</c:v>
                </c:pt>
                <c:pt idx="126">
                  <c:v>200</c:v>
                </c:pt>
                <c:pt idx="127">
                  <c:v>31</c:v>
                </c:pt>
                <c:pt idx="128">
                  <c:v>100</c:v>
                </c:pt>
                <c:pt idx="129">
                  <c:v>239</c:v>
                </c:pt>
                <c:pt idx="130">
                  <c:v>80</c:v>
                </c:pt>
                <c:pt idx="131">
                  <c:v>0</c:v>
                </c:pt>
                <c:pt idx="132">
                  <c:v>160</c:v>
                </c:pt>
                <c:pt idx="133">
                  <c:v>173</c:v>
                </c:pt>
                <c:pt idx="134">
                  <c:v>1920.0000000000002</c:v>
                </c:pt>
                <c:pt idx="135">
                  <c:v>709</c:v>
                </c:pt>
                <c:pt idx="136">
                  <c:v>2550</c:v>
                </c:pt>
                <c:pt idx="137">
                  <c:v>75</c:v>
                </c:pt>
                <c:pt idx="138">
                  <c:v>40</c:v>
                </c:pt>
                <c:pt idx="139">
                  <c:v>40</c:v>
                </c:pt>
                <c:pt idx="140">
                  <c:v>140</c:v>
                </c:pt>
                <c:pt idx="141">
                  <c:v>160</c:v>
                </c:pt>
                <c:pt idx="142">
                  <c:v>80</c:v>
                </c:pt>
                <c:pt idx="143">
                  <c:v>0</c:v>
                </c:pt>
                <c:pt idx="144">
                  <c:v>87</c:v>
                </c:pt>
                <c:pt idx="145">
                  <c:v>0</c:v>
                </c:pt>
                <c:pt idx="146">
                  <c:v>0</c:v>
                </c:pt>
                <c:pt idx="147">
                  <c:v>0</c:v>
                </c:pt>
                <c:pt idx="148">
                  <c:v>0</c:v>
                </c:pt>
                <c:pt idx="149">
                  <c:v>0</c:v>
                </c:pt>
                <c:pt idx="150">
                  <c:v>0</c:v>
                </c:pt>
                <c:pt idx="151">
                  <c:v>0</c:v>
                </c:pt>
                <c:pt idx="152">
                  <c:v>320</c:v>
                </c:pt>
                <c:pt idx="153">
                  <c:v>179.99999999999997</c:v>
                </c:pt>
                <c:pt idx="154">
                  <c:v>0</c:v>
                </c:pt>
                <c:pt idx="155">
                  <c:v>0</c:v>
                </c:pt>
                <c:pt idx="156">
                  <c:v>0</c:v>
                </c:pt>
                <c:pt idx="157">
                  <c:v>0</c:v>
                </c:pt>
                <c:pt idx="158">
                  <c:v>0</c:v>
                </c:pt>
                <c:pt idx="159">
                  <c:v>0</c:v>
                </c:pt>
                <c:pt idx="160">
                  <c:v>39.999999999999993</c:v>
                </c:pt>
                <c:pt idx="161">
                  <c:v>0</c:v>
                </c:pt>
                <c:pt idx="162">
                  <c:v>40</c:v>
                </c:pt>
                <c:pt idx="163">
                  <c:v>380</c:v>
                </c:pt>
                <c:pt idx="164">
                  <c:v>240.00000000000003</c:v>
                </c:pt>
                <c:pt idx="165">
                  <c:v>200</c:v>
                </c:pt>
                <c:pt idx="166">
                  <c:v>320</c:v>
                </c:pt>
                <c:pt idx="167">
                  <c:v>120</c:v>
                </c:pt>
                <c:pt idx="168">
                  <c:v>0</c:v>
                </c:pt>
              </c:numCache>
            </c:numRef>
          </c:val>
        </c:ser>
        <c:ser>
          <c:idx val="3"/>
          <c:order val="3"/>
          <c:tx>
            <c:strRef>
              <c:f>'By Camps'!$B$34</c:f>
              <c:strCache>
                <c:ptCount val="1"/>
                <c:pt idx="0">
                  <c:v>Number of people with equitable and continuous access to sufficient quantity of domestic water</c:v>
                </c:pt>
              </c:strCache>
            </c:strRef>
          </c:tx>
          <c:spPr>
            <a:solidFill>
              <a:srgbClr val="0070C0"/>
            </a:solidFill>
            <a:ln>
              <a:noFill/>
            </a:ln>
            <a:effectLst/>
          </c:spPr>
          <c:invertIfNegative val="0"/>
          <c:cat>
            <c:strRef>
              <c:f>'By Camps'!$B$34</c:f>
              <c:strCache>
                <c:ptCount val="169"/>
                <c:pt idx="0">
                  <c:v>5 Ward RC Church(lon Khin)</c:v>
                </c:pt>
                <c:pt idx="1">
                  <c:v>AD-2000 Extension camp</c:v>
                </c:pt>
                <c:pt idx="2">
                  <c:v>AD-2000 Tharthana Compound</c:v>
                </c:pt>
                <c:pt idx="3">
                  <c:v>AG Church, Hmaw Si Sa</c:v>
                </c:pt>
                <c:pt idx="4">
                  <c:v>AG Church, Maw Wan</c:v>
                </c:pt>
                <c:pt idx="5">
                  <c:v>Agritural Compound (KBC)</c:v>
                </c:pt>
                <c:pt idx="6">
                  <c:v>Aung Thar Church</c:v>
                </c:pt>
                <c:pt idx="7">
                  <c:v>Baptist Church, Hmaw Si Sar(Lon Khin)</c:v>
                </c:pt>
                <c:pt idx="8">
                  <c:v>Bhamo_Host Families</c:v>
                </c:pt>
                <c:pt idx="9">
                  <c:v>Border Post 8</c:v>
                </c:pt>
                <c:pt idx="10">
                  <c:v>Bum Tsit Pa</c:v>
                </c:pt>
                <c:pt idx="11">
                  <c:v>Chin Church, Seik Mu</c:v>
                </c:pt>
                <c:pt idx="12">
                  <c:v>Chipwi KBC camp</c:v>
                </c:pt>
                <c:pt idx="13">
                  <c:v>Dhama Rakhita, Nyein Chan Tar Yar Ward(Lon Khin)</c:v>
                </c:pt>
                <c:pt idx="14">
                  <c:v>Du Kahtawng Baptist</c:v>
                </c:pt>
                <c:pt idx="15">
                  <c:v>Dum Bung </c:v>
                </c:pt>
                <c:pt idx="16">
                  <c:v>Hka Shi</c:v>
                </c:pt>
                <c:pt idx="17">
                  <c:v>Hkat Cho </c:v>
                </c:pt>
                <c:pt idx="18">
                  <c:v>Hkau Shau (BP 12)</c:v>
                </c:pt>
                <c:pt idx="19">
                  <c:v>Hlaing Naung Baptist</c:v>
                </c:pt>
                <c:pt idx="20">
                  <c:v>Hmaw Wan, Anglican</c:v>
                </c:pt>
                <c:pt idx="21">
                  <c:v>Hopin Host Families</c:v>
                </c:pt>
                <c:pt idx="22">
                  <c:v>Hpakant Baptist Church, Nam Ma Hpit</c:v>
                </c:pt>
                <c:pt idx="23">
                  <c:v>Hpare Hkyer - BP6</c:v>
                </c:pt>
                <c:pt idx="24">
                  <c:v>Hpun Lum Yang </c:v>
                </c:pt>
                <c:pt idx="25">
                  <c:v>Htoi San Church</c:v>
                </c:pt>
                <c:pt idx="26">
                  <c:v>IDP Boarding School, A Len Bum</c:v>
                </c:pt>
                <c:pt idx="27">
                  <c:v>Inn Lel Yan - Host Families</c:v>
                </c:pt>
                <c:pt idx="28">
                  <c:v>Jan Mai Kawng Baptist Church</c:v>
                </c:pt>
                <c:pt idx="29">
                  <c:v>Jan Mai Kawng Catholic Church</c:v>
                </c:pt>
                <c:pt idx="30">
                  <c:v>Je Yang Hka </c:v>
                </c:pt>
                <c:pt idx="31">
                  <c:v>Kachin Su Baptist Church (ECCD)</c:v>
                </c:pt>
                <c:pt idx="32">
                  <c:v>Khar Nan (1) Baptist Church</c:v>
                </c:pt>
                <c:pt idx="33">
                  <c:v>Khun Sint Village</c:v>
                </c:pt>
                <c:pt idx="34">
                  <c:v>Kyun Pin Thar Baptist Church</c:v>
                </c:pt>
                <c:pt idx="35">
                  <c:v>Kyun Taw Baptist Church </c:v>
                </c:pt>
                <c:pt idx="36">
                  <c:v>Laiza Je Yang School</c:v>
                </c:pt>
                <c:pt idx="37">
                  <c:v>Lana Zup Ja</c:v>
                </c:pt>
                <c:pt idx="38">
                  <c:v>Lawk Awng Mare D. (Sinbo Area)</c:v>
                </c:pt>
                <c:pt idx="39">
                  <c:v>Lawng Hkang Shait Yang Camp​ ( Lel Pyin)​ </c:v>
                </c:pt>
                <c:pt idx="40">
                  <c:v>Le Kone Bethlehem Church</c:v>
                </c:pt>
                <c:pt idx="41">
                  <c:v>Le Kone Ziun Baptist Church </c:v>
                </c:pt>
                <c:pt idx="42">
                  <c:v>Lhaovao Baptist Church (LBC)</c:v>
                </c:pt>
                <c:pt idx="43">
                  <c:v>Lisu Baptist Church, Maw Shan Vil,. Seik Mu</c:v>
                </c:pt>
                <c:pt idx="44">
                  <c:v>Lisu Baptist Church, Maw Wan Ward</c:v>
                </c:pt>
                <c:pt idx="45">
                  <c:v>Lisu Boarding-House</c:v>
                </c:pt>
                <c:pt idx="46">
                  <c:v>Loi Je Baptist Church</c:v>
                </c:pt>
                <c:pt idx="47">
                  <c:v>Loi Je Catholic Church</c:v>
                </c:pt>
                <c:pt idx="48">
                  <c:v>Loi Je Lisu Camp</c:v>
                </c:pt>
                <c:pt idx="49">
                  <c:v>Lung Sut</c:v>
                </c:pt>
                <c:pt idx="50">
                  <c:v>Lwegel High School</c:v>
                </c:pt>
                <c:pt idx="51">
                  <c:v>Ma Hawng RC </c:v>
                </c:pt>
                <c:pt idx="52">
                  <c:v>Mading Baptist Church</c:v>
                </c:pt>
                <c:pt idx="53">
                  <c:v>Maga Yang </c:v>
                </c:pt>
                <c:pt idx="54">
                  <c:v>Maina AG Church</c:v>
                </c:pt>
                <c:pt idx="55">
                  <c:v>Maina Catholic Church (St. Joseph)</c:v>
                </c:pt>
                <c:pt idx="56">
                  <c:v>Maina KBC (Bawng Ring)</c:v>
                </c:pt>
                <c:pt idx="57">
                  <c:v>Maina Lawang Baptist Church</c:v>
                </c:pt>
                <c:pt idx="58">
                  <c:v>Maing Khaung</c:v>
                </c:pt>
                <c:pt idx="59">
                  <c:v>Maing Khaung Catholic Church</c:v>
                </c:pt>
                <c:pt idx="60">
                  <c:v>Maliyang Baptist Church</c:v>
                </c:pt>
                <c:pt idx="61">
                  <c:v>Man Bung Catholic compound</c:v>
                </c:pt>
                <c:pt idx="62">
                  <c:v>Man Bung Edin Baptist Church</c:v>
                </c:pt>
                <c:pt idx="63">
                  <c:v>Man Hkring Baptist Church</c:v>
                </c:pt>
                <c:pt idx="64">
                  <c:v>Man Wing Baptist Church</c:v>
                </c:pt>
                <c:pt idx="65">
                  <c:v>Man Wing Baptist Church Cultural Compound</c:v>
                </c:pt>
                <c:pt idx="66">
                  <c:v>Man Wing Catholic Church</c:v>
                </c:pt>
                <c:pt idx="67">
                  <c:v>Man Wing Catholic Church II</c:v>
                </c:pt>
                <c:pt idx="68">
                  <c:v>Man Wing Host Families</c:v>
                </c:pt>
                <c:pt idx="69">
                  <c:v>Mandalay Monestry</c:v>
                </c:pt>
                <c:pt idx="70">
                  <c:v>Mansi Baptist Church</c:v>
                </c:pt>
                <c:pt idx="71">
                  <c:v>Mansi_Host Families</c:v>
                </c:pt>
                <c:pt idx="72">
                  <c:v>Maw Hpawng Hka Nan Baptist Church</c:v>
                </c:pt>
                <c:pt idx="73">
                  <c:v>Maw Hpawng Lhaovo Baptist Church</c:v>
                </c:pt>
                <c:pt idx="74">
                  <c:v>Maw Wan, Mu-yin Baptist Church</c:v>
                </c:pt>
                <c:pt idx="75">
                  <c:v>Moenyin Host Families</c:v>
                </c:pt>
                <c:pt idx="76">
                  <c:v>Momauk Baptist Church</c:v>
                </c:pt>
                <c:pt idx="77">
                  <c:v>Momauk_Host Families</c:v>
                </c:pt>
                <c:pt idx="78">
                  <c:v>Mu-yin Baptist Church</c:v>
                </c:pt>
                <c:pt idx="79">
                  <c:v>Muyin church (Aung Yar pre-school compound)</c:v>
                </c:pt>
                <c:pt idx="80">
                  <c:v>Myo Thit </c:v>
                </c:pt>
                <c:pt idx="81">
                  <c:v>Nam Ma Phyit, COC</c:v>
                </c:pt>
                <c:pt idx="82">
                  <c:v>Nan Kway St. John Catholic Church</c:v>
                </c:pt>
                <c:pt idx="83">
                  <c:v>Nant Hlaing Church</c:v>
                </c:pt>
                <c:pt idx="84">
                  <c:v>Nant Ma Hpit Catholic Church</c:v>
                </c:pt>
                <c:pt idx="85">
                  <c:v>Nat Gyi Kone Baptist Church </c:v>
                </c:pt>
                <c:pt idx="86">
                  <c:v>Nawng Hee Village</c:v>
                </c:pt>
                <c:pt idx="87">
                  <c:v>Nawng Ing (Indawgyi) Baptist Church </c:v>
                </c:pt>
                <c:pt idx="88">
                  <c:v>Ndup Yang</c:v>
                </c:pt>
                <c:pt idx="89">
                  <c:v>Nhkawng Pa </c:v>
                </c:pt>
                <c:pt idx="90">
                  <c:v>Njang Dung Baptist Church </c:v>
                </c:pt>
                <c:pt idx="91">
                  <c:v>Nyaung Na Pin </c:v>
                </c:pt>
                <c:pt idx="92">
                  <c:v>Pa Dauk Myaing(Pa La Na)</c:v>
                </c:pt>
                <c:pt idx="93">
                  <c:v>Pa Kahtawng </c:v>
                </c:pt>
                <c:pt idx="94">
                  <c:v>Pajau - Jan Mai</c:v>
                </c:pt>
                <c:pt idx="95">
                  <c:v>Pan Wa</c:v>
                </c:pt>
                <c:pt idx="96">
                  <c:v>Phan Khar Kone</c:v>
                </c:pt>
                <c:pt idx="97">
                  <c:v>Post 6 Camp</c:v>
                </c:pt>
                <c:pt idx="98">
                  <c:v>Qtr. 2 Lhaovo Baptist Church</c:v>
                </c:pt>
                <c:pt idx="99">
                  <c:v>Qtr. 2 Myoma Baptist Church</c:v>
                </c:pt>
                <c:pt idx="100">
                  <c:v>Qtr. 3 Mu-yin  Baptist Church</c:v>
                </c:pt>
                <c:pt idx="101">
                  <c:v>Qtr. 4 Monestry (Thargaya Thayett Taw)</c:v>
                </c:pt>
                <c:pt idx="102">
                  <c:v>Rawan Baptist Church, Maw Shan Vil., Seik Mu</c:v>
                </c:pt>
                <c:pt idx="103">
                  <c:v>Robert Church</c:v>
                </c:pt>
                <c:pt idx="104">
                  <c:v>Robert -Middle school</c:v>
                </c:pt>
                <c:pt idx="105">
                  <c:v>Sai Nai Baptish Church, Maw Shan Vil., Seki Mu</c:v>
                </c:pt>
                <c:pt idx="106">
                  <c:v>Salang Yang</c:v>
                </c:pt>
                <c:pt idx="107">
                  <c:v>Sar Hmaw - KBC</c:v>
                </c:pt>
                <c:pt idx="108">
                  <c:v>Saw Zam</c:v>
                </c:pt>
                <c:pt idx="109">
                  <c:v>Seng Ja </c:v>
                </c:pt>
                <c:pt idx="110">
                  <c:v>Sha-It Yang</c:v>
                </c:pt>
                <c:pt idx="111">
                  <c:v>Shar Du Zut KBC church </c:v>
                </c:pt>
                <c:pt idx="112">
                  <c:v>Shar Du Zut RC church</c:v>
                </c:pt>
                <c:pt idx="113">
                  <c:v>Shar Du Zut SanPya</c:v>
                </c:pt>
                <c:pt idx="114">
                  <c:v>Shatapru Sut Ngai Tawng</c:v>
                </c:pt>
                <c:pt idx="115">
                  <c:v>Shatapru Thida Aye Baptist Church</c:v>
                </c:pt>
                <c:pt idx="116">
                  <c:v>Shing Jai</c:v>
                </c:pt>
                <c:pt idx="117">
                  <c:v>Shwe Gu Baptist Church</c:v>
                </c:pt>
                <c:pt idx="118">
                  <c:v>Shwe Gu Catholic Church</c:v>
                </c:pt>
                <c:pt idx="119">
                  <c:v>Shwe Zet Baptist Church</c:v>
                </c:pt>
                <c:pt idx="120">
                  <c:v>Sin Bo</c:v>
                </c:pt>
                <c:pt idx="121">
                  <c:v>St. Patrick Catholic Church </c:v>
                </c:pt>
                <c:pt idx="122">
                  <c:v>Sumprabum</c:v>
                </c:pt>
                <c:pt idx="123">
                  <c:v>Tanai CoC</c:v>
                </c:pt>
                <c:pt idx="124">
                  <c:v>Tanai RC Church - Kinsa Ra </c:v>
                </c:pt>
                <c:pt idx="125">
                  <c:v>Tat Kone Baptist Church</c:v>
                </c:pt>
                <c:pt idx="126">
                  <c:v>Tat Kone COC Baptist - Tat Kone Htoi San</c:v>
                </c:pt>
                <c:pt idx="127">
                  <c:v>Tat Kone Emanuel Church</c:v>
                </c:pt>
                <c:pt idx="128">
                  <c:v>Tat Kone Galile Baptist Church</c:v>
                </c:pt>
                <c:pt idx="129">
                  <c:v>Tat Kone San Pya Baptist Church</c:v>
                </c:pt>
                <c:pt idx="130">
                  <c:v>Thargaya Lisu Baptist Church</c:v>
                </c:pt>
                <c:pt idx="131">
                  <c:v>Tote Tan Ward</c:v>
                </c:pt>
                <c:pt idx="132">
                  <c:v>Waingmaw AG Church</c:v>
                </c:pt>
                <c:pt idx="133">
                  <c:v>Ward 2 Sai Taung Baptist Church, Seik Mu </c:v>
                </c:pt>
                <c:pt idx="134">
                  <c:v>Woi Chyai </c:v>
                </c:pt>
                <c:pt idx="135">
                  <c:v>Woi Chyai (Mong Lai)</c:v>
                </c:pt>
                <c:pt idx="136">
                  <c:v>Woi Chyai host families</c:v>
                </c:pt>
                <c:pt idx="137">
                  <c:v>Yoe Kyi Monastery</c:v>
                </c:pt>
                <c:pt idx="138">
                  <c:v>Yumar Baptist Church</c:v>
                </c:pt>
                <c:pt idx="139">
                  <c:v>Tanai AG Church</c:v>
                </c:pt>
                <c:pt idx="140">
                  <c:v>Myo Oo St. Dominic RC Church</c:v>
                </c:pt>
                <c:pt idx="141">
                  <c:v>Lan Gwa St.Paul RC Church</c:v>
                </c:pt>
                <c:pt idx="142">
                  <c:v>Emmanuel AG Church</c:v>
                </c:pt>
                <c:pt idx="143">
                  <c:v>Tang Hpre RC Church</c:v>
                </c:pt>
                <c:pt idx="144">
                  <c:v>Ti Yang Zup</c:v>
                </c:pt>
                <c:pt idx="145">
                  <c:v>Sadung</c:v>
                </c:pt>
                <c:pt idx="146">
                  <c:v>Lawa RC Church</c:v>
                </c:pt>
                <c:pt idx="147">
                  <c:v>Karmaing RC Church</c:v>
                </c:pt>
                <c:pt idx="148">
                  <c:v>Ka Bu Dam CoC</c:v>
                </c:pt>
                <c:pt idx="149">
                  <c:v>Lambraw Yang Rc, Namatee</c:v>
                </c:pt>
                <c:pt idx="150">
                  <c:v>InjangYang  host families</c:v>
                </c:pt>
                <c:pt idx="151">
                  <c:v>Ma Ji Bum</c:v>
                </c:pt>
                <c:pt idx="152">
                  <c:v>Pang Hkawn Yang</c:v>
                </c:pt>
                <c:pt idx="153">
                  <c:v>Lone Khin Catholic Church</c:v>
                </c:pt>
                <c:pt idx="154">
                  <c:v>Zupra</c:v>
                </c:pt>
                <c:pt idx="155">
                  <c:v>Lawt Awng</c:v>
                </c:pt>
                <c:pt idx="156">
                  <c:v>Ban Dang</c:v>
                </c:pt>
                <c:pt idx="157">
                  <c:v>Sut Chyai</c:v>
                </c:pt>
                <c:pt idx="158">
                  <c:v>Da Wei</c:v>
                </c:pt>
                <c:pt idx="159">
                  <c:v>Htai Ra Yang</c:v>
                </c:pt>
                <c:pt idx="160">
                  <c:v>Namatee AG</c:v>
                </c:pt>
                <c:pt idx="161">
                  <c:v>Momauk IDP new Extension camp
(Alen Kawng Lawk)</c:v>
                </c:pt>
                <c:pt idx="162">
                  <c:v>Ma Hawng Baptist Church</c:v>
                </c:pt>
                <c:pt idx="163">
                  <c:v>Tanai KBC Camp</c:v>
                </c:pt>
                <c:pt idx="164">
                  <c:v>Namti Labraw Yang KBC Camp</c:v>
                </c:pt>
                <c:pt idx="165">
                  <c:v>Trinity Camp</c:v>
                </c:pt>
                <c:pt idx="166">
                  <c:v>Jaw Masat Camp</c:v>
                </c:pt>
                <c:pt idx="167">
                  <c:v>Waimaw Baptist Zonal Office 2</c:v>
                </c:pt>
                <c:pt idx="168">
                  <c:v>Pa Dauk Myaing(Pa La Na)-II</c:v>
                </c:pt>
              </c:strCache>
            </c:strRef>
          </c:cat>
          <c:val>
            <c:numRef>
              <c:f>'By Camps'!$B$34</c:f>
              <c:numCache>
                <c:formatCode>General</c:formatCode>
                <c:ptCount val="169"/>
                <c:pt idx="0">
                  <c:v>350</c:v>
                </c:pt>
                <c:pt idx="1">
                  <c:v>356</c:v>
                </c:pt>
                <c:pt idx="2">
                  <c:v>815</c:v>
                </c:pt>
                <c:pt idx="3">
                  <c:v>350</c:v>
                </c:pt>
                <c:pt idx="4">
                  <c:v>81</c:v>
                </c:pt>
                <c:pt idx="5">
                  <c:v>665</c:v>
                </c:pt>
                <c:pt idx="6">
                  <c:v>52</c:v>
                </c:pt>
                <c:pt idx="7">
                  <c:v>228</c:v>
                </c:pt>
                <c:pt idx="8">
                  <c:v>0</c:v>
                </c:pt>
                <c:pt idx="9">
                  <c:v>527</c:v>
                </c:pt>
                <c:pt idx="10">
                  <c:v>1661</c:v>
                </c:pt>
                <c:pt idx="11">
                  <c:v>0</c:v>
                </c:pt>
                <c:pt idx="12">
                  <c:v>0</c:v>
                </c:pt>
                <c:pt idx="13">
                  <c:v>365</c:v>
                </c:pt>
                <c:pt idx="14">
                  <c:v>185</c:v>
                </c:pt>
                <c:pt idx="15">
                  <c:v>446</c:v>
                </c:pt>
                <c:pt idx="16">
                  <c:v>410</c:v>
                </c:pt>
                <c:pt idx="17">
                  <c:v>503</c:v>
                </c:pt>
                <c:pt idx="18">
                  <c:v>903</c:v>
                </c:pt>
                <c:pt idx="19">
                  <c:v>46</c:v>
                </c:pt>
                <c:pt idx="20">
                  <c:v>27</c:v>
                </c:pt>
                <c:pt idx="21">
                  <c:v>0</c:v>
                </c:pt>
                <c:pt idx="22">
                  <c:v>504</c:v>
                </c:pt>
                <c:pt idx="23">
                  <c:v>823</c:v>
                </c:pt>
                <c:pt idx="24">
                  <c:v>3294</c:v>
                </c:pt>
                <c:pt idx="25">
                  <c:v>232</c:v>
                </c:pt>
                <c:pt idx="26">
                  <c:v>862</c:v>
                </c:pt>
                <c:pt idx="27">
                  <c:v>0</c:v>
                </c:pt>
                <c:pt idx="28">
                  <c:v>1114</c:v>
                </c:pt>
                <c:pt idx="29">
                  <c:v>430</c:v>
                </c:pt>
                <c:pt idx="30">
                  <c:v>8486</c:v>
                </c:pt>
                <c:pt idx="31">
                  <c:v>106</c:v>
                </c:pt>
                <c:pt idx="32">
                  <c:v>94</c:v>
                </c:pt>
                <c:pt idx="33">
                  <c:v>0</c:v>
                </c:pt>
                <c:pt idx="34">
                  <c:v>195</c:v>
                </c:pt>
                <c:pt idx="35">
                  <c:v>66</c:v>
                </c:pt>
                <c:pt idx="36">
                  <c:v>2199</c:v>
                </c:pt>
                <c:pt idx="37">
                  <c:v>2581</c:v>
                </c:pt>
                <c:pt idx="38">
                  <c:v>0</c:v>
                </c:pt>
                <c:pt idx="39">
                  <c:v>656</c:v>
                </c:pt>
                <c:pt idx="40">
                  <c:v>578</c:v>
                </c:pt>
                <c:pt idx="41">
                  <c:v>697</c:v>
                </c:pt>
                <c:pt idx="42">
                  <c:v>0</c:v>
                </c:pt>
                <c:pt idx="43">
                  <c:v>102</c:v>
                </c:pt>
                <c:pt idx="44">
                  <c:v>62</c:v>
                </c:pt>
                <c:pt idx="45">
                  <c:v>757</c:v>
                </c:pt>
                <c:pt idx="46">
                  <c:v>240</c:v>
                </c:pt>
                <c:pt idx="47">
                  <c:v>379</c:v>
                </c:pt>
                <c:pt idx="48">
                  <c:v>1138</c:v>
                </c:pt>
                <c:pt idx="49">
                  <c:v>281</c:v>
                </c:pt>
                <c:pt idx="50">
                  <c:v>2350</c:v>
                </c:pt>
                <c:pt idx="51">
                  <c:v>105</c:v>
                </c:pt>
                <c:pt idx="52">
                  <c:v>178</c:v>
                </c:pt>
                <c:pt idx="53">
                  <c:v>1723</c:v>
                </c:pt>
                <c:pt idx="54">
                  <c:v>1801</c:v>
                </c:pt>
                <c:pt idx="55">
                  <c:v>1492</c:v>
                </c:pt>
                <c:pt idx="56">
                  <c:v>2551</c:v>
                </c:pt>
                <c:pt idx="57">
                  <c:v>193</c:v>
                </c:pt>
                <c:pt idx="58">
                  <c:v>1855</c:v>
                </c:pt>
                <c:pt idx="59">
                  <c:v>803</c:v>
                </c:pt>
                <c:pt idx="60">
                  <c:v>304</c:v>
                </c:pt>
                <c:pt idx="61">
                  <c:v>1172</c:v>
                </c:pt>
                <c:pt idx="62">
                  <c:v>650</c:v>
                </c:pt>
                <c:pt idx="63">
                  <c:v>581</c:v>
                </c:pt>
                <c:pt idx="64">
                  <c:v>647</c:v>
                </c:pt>
                <c:pt idx="65">
                  <c:v>524</c:v>
                </c:pt>
                <c:pt idx="66">
                  <c:v>2338</c:v>
                </c:pt>
                <c:pt idx="67">
                  <c:v>637</c:v>
                </c:pt>
                <c:pt idx="68">
                  <c:v>0</c:v>
                </c:pt>
                <c:pt idx="69">
                  <c:v>13</c:v>
                </c:pt>
                <c:pt idx="70">
                  <c:v>823</c:v>
                </c:pt>
                <c:pt idx="71">
                  <c:v>0</c:v>
                </c:pt>
                <c:pt idx="72">
                  <c:v>97</c:v>
                </c:pt>
                <c:pt idx="73">
                  <c:v>76</c:v>
                </c:pt>
                <c:pt idx="74">
                  <c:v>15</c:v>
                </c:pt>
                <c:pt idx="75">
                  <c:v>0</c:v>
                </c:pt>
                <c:pt idx="76">
                  <c:v>453</c:v>
                </c:pt>
                <c:pt idx="77">
                  <c:v>0</c:v>
                </c:pt>
                <c:pt idx="78">
                  <c:v>51</c:v>
                </c:pt>
                <c:pt idx="79">
                  <c:v>0</c:v>
                </c:pt>
                <c:pt idx="80">
                  <c:v>0</c:v>
                </c:pt>
                <c:pt idx="81">
                  <c:v>45</c:v>
                </c:pt>
                <c:pt idx="82">
                  <c:v>311</c:v>
                </c:pt>
                <c:pt idx="83">
                  <c:v>0</c:v>
                </c:pt>
                <c:pt idx="84">
                  <c:v>221</c:v>
                </c:pt>
                <c:pt idx="85">
                  <c:v>33</c:v>
                </c:pt>
                <c:pt idx="86">
                  <c:v>86</c:v>
                </c:pt>
                <c:pt idx="87">
                  <c:v>115</c:v>
                </c:pt>
                <c:pt idx="88">
                  <c:v>0</c:v>
                </c:pt>
                <c:pt idx="89">
                  <c:v>1722</c:v>
                </c:pt>
                <c:pt idx="90">
                  <c:v>295</c:v>
                </c:pt>
                <c:pt idx="91">
                  <c:v>300</c:v>
                </c:pt>
                <c:pt idx="92">
                  <c:v>289</c:v>
                </c:pt>
                <c:pt idx="93">
                  <c:v>3316</c:v>
                </c:pt>
                <c:pt idx="94">
                  <c:v>895</c:v>
                </c:pt>
                <c:pt idx="95">
                  <c:v>267</c:v>
                </c:pt>
                <c:pt idx="96">
                  <c:v>778</c:v>
                </c:pt>
                <c:pt idx="97">
                  <c:v>550</c:v>
                </c:pt>
                <c:pt idx="98">
                  <c:v>460</c:v>
                </c:pt>
                <c:pt idx="99">
                  <c:v>322</c:v>
                </c:pt>
                <c:pt idx="100">
                  <c:v>159</c:v>
                </c:pt>
                <c:pt idx="101">
                  <c:v>492</c:v>
                </c:pt>
                <c:pt idx="102">
                  <c:v>37</c:v>
                </c:pt>
                <c:pt idx="103">
                  <c:v>4010</c:v>
                </c:pt>
                <c:pt idx="104">
                  <c:v>0</c:v>
                </c:pt>
                <c:pt idx="105">
                  <c:v>25</c:v>
                </c:pt>
                <c:pt idx="106">
                  <c:v>0</c:v>
                </c:pt>
                <c:pt idx="107">
                  <c:v>129</c:v>
                </c:pt>
                <c:pt idx="108">
                  <c:v>173</c:v>
                </c:pt>
                <c:pt idx="109">
                  <c:v>253</c:v>
                </c:pt>
                <c:pt idx="110">
                  <c:v>1893</c:v>
                </c:pt>
                <c:pt idx="111">
                  <c:v>120</c:v>
                </c:pt>
                <c:pt idx="112">
                  <c:v>15</c:v>
                </c:pt>
                <c:pt idx="113">
                  <c:v>84</c:v>
                </c:pt>
                <c:pt idx="114">
                  <c:v>569</c:v>
                </c:pt>
                <c:pt idx="115">
                  <c:v>114</c:v>
                </c:pt>
                <c:pt idx="116">
                  <c:v>962</c:v>
                </c:pt>
                <c:pt idx="117">
                  <c:v>259</c:v>
                </c:pt>
                <c:pt idx="118">
                  <c:v>169</c:v>
                </c:pt>
                <c:pt idx="119">
                  <c:v>501</c:v>
                </c:pt>
                <c:pt idx="120">
                  <c:v>101</c:v>
                </c:pt>
                <c:pt idx="121">
                  <c:v>50</c:v>
                </c:pt>
                <c:pt idx="122">
                  <c:v>0</c:v>
                </c:pt>
                <c:pt idx="123">
                  <c:v>152</c:v>
                </c:pt>
                <c:pt idx="124">
                  <c:v>129</c:v>
                </c:pt>
                <c:pt idx="125">
                  <c:v>369</c:v>
                </c:pt>
                <c:pt idx="126">
                  <c:v>266</c:v>
                </c:pt>
                <c:pt idx="127">
                  <c:v>31</c:v>
                </c:pt>
                <c:pt idx="128">
                  <c:v>171</c:v>
                </c:pt>
                <c:pt idx="129">
                  <c:v>239</c:v>
                </c:pt>
                <c:pt idx="130">
                  <c:v>190</c:v>
                </c:pt>
                <c:pt idx="131">
                  <c:v>0</c:v>
                </c:pt>
                <c:pt idx="132">
                  <c:v>291</c:v>
                </c:pt>
                <c:pt idx="133">
                  <c:v>33.333333333333336</c:v>
                </c:pt>
                <c:pt idx="134">
                  <c:v>2902</c:v>
                </c:pt>
                <c:pt idx="135">
                  <c:v>709</c:v>
                </c:pt>
                <c:pt idx="136">
                  <c:v>2550</c:v>
                </c:pt>
                <c:pt idx="137">
                  <c:v>75</c:v>
                </c:pt>
                <c:pt idx="138">
                  <c:v>67</c:v>
                </c:pt>
                <c:pt idx="139">
                  <c:v>133.33333333333334</c:v>
                </c:pt>
                <c:pt idx="140">
                  <c:v>220</c:v>
                </c:pt>
                <c:pt idx="141">
                  <c:v>321</c:v>
                </c:pt>
                <c:pt idx="142">
                  <c:v>96</c:v>
                </c:pt>
                <c:pt idx="143">
                  <c:v>0</c:v>
                </c:pt>
                <c:pt idx="144">
                  <c:v>0</c:v>
                </c:pt>
                <c:pt idx="145">
                  <c:v>0</c:v>
                </c:pt>
                <c:pt idx="146">
                  <c:v>0</c:v>
                </c:pt>
                <c:pt idx="147">
                  <c:v>0</c:v>
                </c:pt>
                <c:pt idx="148">
                  <c:v>0</c:v>
                </c:pt>
                <c:pt idx="149">
                  <c:v>0</c:v>
                </c:pt>
                <c:pt idx="150">
                  <c:v>0</c:v>
                </c:pt>
                <c:pt idx="151">
                  <c:v>0</c:v>
                </c:pt>
                <c:pt idx="152">
                  <c:v>1015</c:v>
                </c:pt>
                <c:pt idx="153">
                  <c:v>321</c:v>
                </c:pt>
                <c:pt idx="154">
                  <c:v>0</c:v>
                </c:pt>
                <c:pt idx="155">
                  <c:v>0</c:v>
                </c:pt>
                <c:pt idx="156">
                  <c:v>0</c:v>
                </c:pt>
                <c:pt idx="157">
                  <c:v>0</c:v>
                </c:pt>
                <c:pt idx="158">
                  <c:v>0</c:v>
                </c:pt>
                <c:pt idx="159">
                  <c:v>0</c:v>
                </c:pt>
                <c:pt idx="160">
                  <c:v>154</c:v>
                </c:pt>
                <c:pt idx="161">
                  <c:v>0</c:v>
                </c:pt>
                <c:pt idx="162">
                  <c:v>98</c:v>
                </c:pt>
                <c:pt idx="163">
                  <c:v>450</c:v>
                </c:pt>
                <c:pt idx="164">
                  <c:v>474</c:v>
                </c:pt>
                <c:pt idx="165">
                  <c:v>724</c:v>
                </c:pt>
                <c:pt idx="166">
                  <c:v>489</c:v>
                </c:pt>
                <c:pt idx="167">
                  <c:v>344</c:v>
                </c:pt>
                <c:pt idx="168">
                  <c:v>0</c:v>
                </c:pt>
              </c:numCache>
            </c:numRef>
          </c:val>
        </c:ser>
        <c:dLbls>
          <c:showLegendKey val="0"/>
          <c:showVal val="0"/>
          <c:showCatName val="0"/>
          <c:showSerName val="0"/>
          <c:showPercent val="0"/>
          <c:showBubbleSize val="0"/>
        </c:dLbls>
        <c:gapWidth val="100"/>
        <c:axId val="529775400"/>
        <c:axId val="529775008"/>
      </c:barChart>
      <c:catAx>
        <c:axId val="52977540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529775008"/>
        <c:crosses val="autoZero"/>
        <c:auto val="1"/>
        <c:lblAlgn val="ctr"/>
        <c:lblOffset val="100"/>
        <c:noMultiLvlLbl val="0"/>
      </c:catAx>
      <c:valAx>
        <c:axId val="529775008"/>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529775400"/>
        <c:crosses val="autoZero"/>
        <c:crossBetween val="between"/>
      </c:valAx>
      <c:spPr>
        <a:noFill/>
        <a:ln>
          <a:noFill/>
        </a:ln>
        <a:effectLst/>
      </c:spPr>
    </c:plotArea>
    <c:legend>
      <c:legendPos val="r"/>
      <c:layout>
        <c:manualLayout>
          <c:xMode val="edge"/>
          <c:yMode val="edge"/>
          <c:x val="0.83852548601251686"/>
          <c:y val="0.22990727458670238"/>
          <c:w val="0.16007236166071845"/>
          <c:h val="0.59564859496892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withinLinear" id="15">
  <a:schemeClr val="accent2"/>
</cs:colorStyle>
</file>

<file path=xl/charts/colors21.xml><?xml version="1.0" encoding="utf-8"?>
<cs:colorStyle xmlns:cs="http://schemas.microsoft.com/office/drawing/2012/chartStyle" xmlns:a="http://schemas.openxmlformats.org/drawingml/2006/main" meth="withinLinear" id="15">
  <a:schemeClr val="accent2"/>
</cs:colorStyle>
</file>

<file path=xl/charts/colors22.xml><?xml version="1.0" encoding="utf-8"?>
<cs:colorStyle xmlns:cs="http://schemas.microsoft.com/office/drawing/2012/chartStyle" xmlns:a="http://schemas.openxmlformats.org/drawingml/2006/main" meth="withinLinear" id="15">
  <a:schemeClr val="accent2"/>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9">
  <a:schemeClr val="accent6"/>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5">
  <a:schemeClr val="accent2"/>
</cs:colorStyle>
</file>

<file path=xl/charts/colors35.xml><?xml version="1.0" encoding="utf-8"?>
<cs:colorStyle xmlns:cs="http://schemas.microsoft.com/office/drawing/2012/chartStyle" xmlns:a="http://schemas.openxmlformats.org/drawingml/2006/main" meth="withinLinear" id="15">
  <a:schemeClr val="accent2"/>
</cs:colorStyle>
</file>

<file path=xl/charts/colors36.xml><?xml version="1.0" encoding="utf-8"?>
<cs:colorStyle xmlns:cs="http://schemas.microsoft.com/office/drawing/2012/chartStyle" xmlns:a="http://schemas.openxmlformats.org/drawingml/2006/main" meth="withinLinear" id="15">
  <a:schemeClr val="accent2"/>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5">
  <a:schemeClr val="accent2"/>
</cs:colorStyle>
</file>

<file path=xl/charts/colors39.xml><?xml version="1.0" encoding="utf-8"?>
<cs:colorStyle xmlns:cs="http://schemas.microsoft.com/office/drawing/2012/chartStyle" xmlns:a="http://schemas.openxmlformats.org/drawingml/2006/main" meth="withinLinear" id="15">
  <a:schemeClr val="accent2"/>
</cs:colorStyle>
</file>

<file path=xl/charts/colors40.xml><?xml version="1.0" encoding="utf-8"?>
<cs:colorStyle xmlns:cs="http://schemas.microsoft.com/office/drawing/2012/chartStyle" xmlns:a="http://schemas.openxmlformats.org/drawingml/2006/main" meth="withinLinear" id="15">
  <a:schemeClr val="accent2"/>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5">
  <a:schemeClr val="accent2"/>
</cs:colorStyle>
</file>

<file path=xl/charts/colors43.xml><?xml version="1.0" encoding="utf-8"?>
<cs:colorStyle xmlns:cs="http://schemas.microsoft.com/office/drawing/2012/chartStyle" xmlns:a="http://schemas.openxmlformats.org/drawingml/2006/main" meth="withinLinear" id="15">
  <a:schemeClr val="accent2"/>
</cs:colorStyle>
</file>

<file path=xl/charts/colors44.xml><?xml version="1.0" encoding="utf-8"?>
<cs:colorStyle xmlns:cs="http://schemas.microsoft.com/office/drawing/2012/chartStyle" xmlns:a="http://schemas.openxmlformats.org/drawingml/2006/main" meth="withinLinear" id="15">
  <a:schemeClr val="accent2"/>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withinLinear" id="19">
  <a:schemeClr val="accent6"/>
</cs:colorStyle>
</file>

<file path=xl/charts/colors69.xml><?xml version="1.0" encoding="utf-8"?>
<cs:colorStyle xmlns:cs="http://schemas.microsoft.com/office/drawing/2012/chartStyle" xmlns:a="http://schemas.openxmlformats.org/drawingml/2006/main" meth="withinLinear" id="14">
  <a:schemeClr val="accent1"/>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 id="15">
  <a:schemeClr val="accent2"/>
</cs:colorStyle>
</file>

<file path=xl/charts/colors74.xml><?xml version="1.0" encoding="utf-8"?>
<cs:colorStyle xmlns:cs="http://schemas.microsoft.com/office/drawing/2012/chartStyle" xmlns:a="http://schemas.openxmlformats.org/drawingml/2006/main" meth="withinLinear" id="15">
  <a:schemeClr val="accent2"/>
</cs:colorStyle>
</file>

<file path=xl/charts/colors75.xml><?xml version="1.0" encoding="utf-8"?>
<cs:colorStyle xmlns:cs="http://schemas.microsoft.com/office/drawing/2012/chartStyle" xmlns:a="http://schemas.openxmlformats.org/drawingml/2006/main" meth="withinLinear" id="15">
  <a:schemeClr val="accent2"/>
</cs:colorStyle>
</file>

<file path=xl/charts/colors76.xml><?xml version="1.0" encoding="utf-8"?>
<cs:colorStyle xmlns:cs="http://schemas.microsoft.com/office/drawing/2012/chartStyle" xmlns:a="http://schemas.openxmlformats.org/drawingml/2006/main" meth="withinLinear" id="15">
  <a:schemeClr val="accent2"/>
</cs:colorStyle>
</file>

<file path=xl/charts/colors77.xml><?xml version="1.0" encoding="utf-8"?>
<cs:colorStyle xmlns:cs="http://schemas.microsoft.com/office/drawing/2012/chartStyle" xmlns:a="http://schemas.openxmlformats.org/drawingml/2006/main" meth="withinLinear" id="15">
  <a:schemeClr val="accent2"/>
</cs:colorStyle>
</file>

<file path=xl/charts/colors78.xml><?xml version="1.0" encoding="utf-8"?>
<cs:colorStyle xmlns:cs="http://schemas.microsoft.com/office/drawing/2012/chartStyle" xmlns:a="http://schemas.openxmlformats.org/drawingml/2006/main" meth="withinLinear" id="18">
  <a:schemeClr val="accent5"/>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withinLinear" id="14">
  <a:schemeClr val="accent1"/>
</cs:colorStyle>
</file>

<file path=xl/charts/colors82.xml><?xml version="1.0" encoding="utf-8"?>
<cs:colorStyle xmlns:cs="http://schemas.microsoft.com/office/drawing/2012/chartStyle" xmlns:a="http://schemas.openxmlformats.org/drawingml/2006/main" meth="withinLinear" id="15">
  <a:schemeClr val="accent2"/>
</cs:colorStyle>
</file>

<file path=xl/charts/colors83.xml><?xml version="1.0" encoding="utf-8"?>
<cs:colorStyle xmlns:cs="http://schemas.microsoft.com/office/drawing/2012/chartStyle" xmlns:a="http://schemas.openxmlformats.org/drawingml/2006/main" meth="withinLinear" id="19">
  <a:schemeClr val="accent6"/>
</cs:colorStyle>
</file>

<file path=xl/charts/colors84.xml><?xml version="1.0" encoding="utf-8"?>
<cs:colorStyle xmlns:cs="http://schemas.microsoft.com/office/drawing/2012/chartStyle" xmlns:a="http://schemas.openxmlformats.org/drawingml/2006/main" meth="withinLinear" id="14">
  <a:schemeClr val="accent1"/>
</cs:colorStyle>
</file>

<file path=xl/charts/colors85.xml><?xml version="1.0" encoding="utf-8"?>
<cs:colorStyle xmlns:cs="http://schemas.microsoft.com/office/drawing/2012/chartStyle" xmlns:a="http://schemas.openxmlformats.org/drawingml/2006/main" meth="withinLinear" id="15">
  <a:schemeClr val="accent2"/>
</cs:colorStyle>
</file>

<file path=xl/charts/colors86.xml><?xml version="1.0" encoding="utf-8"?>
<cs:colorStyle xmlns:cs="http://schemas.microsoft.com/office/drawing/2012/chartStyle" xmlns:a="http://schemas.openxmlformats.org/drawingml/2006/main" meth="withinLinear" id="15">
  <a:schemeClr val="accent2"/>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withinLinear" id="14">
  <a:schemeClr val="accent1"/>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withinLinear" id="15">
  <a:schemeClr val="accent2"/>
</cs:colorStyle>
</file>

<file path=xl/charts/colors92.xml><?xml version="1.0" encoding="utf-8"?>
<cs:colorStyle xmlns:cs="http://schemas.microsoft.com/office/drawing/2012/chartStyle" xmlns:a="http://schemas.openxmlformats.org/drawingml/2006/main" meth="withinLinear" id="15">
  <a:schemeClr val="accent2"/>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withinLinear" id="18">
  <a:schemeClr val="accent5"/>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withinLinear" id="19">
  <a:schemeClr val="accent6"/>
</cs:colorStyle>
</file>

<file path=xl/charts/colors97.xml><?xml version="1.0" encoding="utf-8"?>
<cs:colorStyle xmlns:cs="http://schemas.microsoft.com/office/drawing/2012/chartStyle" xmlns:a="http://schemas.openxmlformats.org/drawingml/2006/main" meth="withinLinear" id="14">
  <a:schemeClr val="accent1"/>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withinLinear" id="15">
  <a:schemeClr val="accent2"/>
</cs:colorStyle>
</file>

<file path=xl/charts/colors103.xml><?xml version="1.0" encoding="utf-8"?>
<cs:colorStyle xmlns:cs="http://schemas.microsoft.com/office/drawing/2012/chartStyle" xmlns:a="http://schemas.openxmlformats.org/drawingml/2006/main" meth="withinLinear" id="15">
  <a:schemeClr val="accent2"/>
</cs:colorStyle>
</file>

<file path=xl/charts/colors104.xml><?xml version="1.0" encoding="utf-8"?>
<cs:colorStyle xmlns:cs="http://schemas.microsoft.com/office/drawing/2012/chartStyle" xmlns:a="http://schemas.openxmlformats.org/drawingml/2006/main" meth="withinLinear" id="15">
  <a:schemeClr val="accent2"/>
</cs:colorStyle>
</file>

<file path=xl/charts/colors105.xml><?xml version="1.0" encoding="utf-8"?>
<cs:colorStyle xmlns:cs="http://schemas.microsoft.com/office/drawing/2012/chartStyle" xmlns:a="http://schemas.openxmlformats.org/drawingml/2006/main" meth="withinLinear" id="15">
  <a:schemeClr val="accent2"/>
</cs:colorStyle>
</file>

<file path=xl/charts/colors106.xml><?xml version="1.0" encoding="utf-8"?>
<cs:colorStyle xmlns:cs="http://schemas.microsoft.com/office/drawing/2012/chartStyle" xmlns:a="http://schemas.openxmlformats.org/drawingml/2006/main" meth="withinLinear" id="15">
  <a:schemeClr val="accent2"/>
</cs:colorStyle>
</file>

<file path=xl/charts/colors107.xml><?xml version="1.0" encoding="utf-8"?>
<cs:colorStyle xmlns:cs="http://schemas.microsoft.com/office/drawing/2012/chartStyle" xmlns:a="http://schemas.openxmlformats.org/drawingml/2006/main" meth="withinLinear" id="18">
  <a:schemeClr val="accent5"/>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withinLinear" id="14">
  <a:schemeClr val="accent1"/>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withinLinear" id="19">
  <a:schemeClr val="accent6"/>
</cs:colorStyle>
</file>

<file path=xl/charts/colors113.xml><?xml version="1.0" encoding="utf-8"?>
<cs:colorStyle xmlns:cs="http://schemas.microsoft.com/office/drawing/2012/chartStyle" xmlns:a="http://schemas.openxmlformats.org/drawingml/2006/main" meth="withinLinear" id="14">
  <a:schemeClr val="accent1"/>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withinLinear" id="14">
  <a:schemeClr val="accent1"/>
</cs:colorStyle>
</file>

<file path=xl/charts/colors118.xml><?xml version="1.0" encoding="utf-8"?>
<cs:colorStyle xmlns:cs="http://schemas.microsoft.com/office/drawing/2012/chartStyle" xmlns:a="http://schemas.openxmlformats.org/drawingml/2006/main" meth="withinLinear" id="15">
  <a:schemeClr val="accent2"/>
</cs:colorStyle>
</file>

<file path=xl/charts/colors119.xml><?xml version="1.0" encoding="utf-8"?>
<cs:colorStyle xmlns:cs="http://schemas.microsoft.com/office/drawing/2012/chartStyle" xmlns:a="http://schemas.openxmlformats.org/drawingml/2006/main" meth="withinLinear" id="15">
  <a:schemeClr val="accent2"/>
</cs:colorStyle>
</file>

<file path=xl/charts/colors120.xml><?xml version="1.0" encoding="utf-8"?>
<cs:colorStyle xmlns:cs="http://schemas.microsoft.com/office/drawing/2012/chartStyle" xmlns:a="http://schemas.openxmlformats.org/drawingml/2006/main" meth="withinLinear" id="15">
  <a:schemeClr val="accent2"/>
</cs:colorStyle>
</file>

<file path=xl/charts/colors121.xml><?xml version="1.0" encoding="utf-8"?>
<cs:colorStyle xmlns:cs="http://schemas.microsoft.com/office/drawing/2012/chartStyle" xmlns:a="http://schemas.openxmlformats.org/drawingml/2006/main" meth="withinLinear" id="15">
  <a:schemeClr val="accent2"/>
</cs:colorStyle>
</file>

<file path=xl/charts/colors122.xml><?xml version="1.0" encoding="utf-8"?>
<cs:colorStyle xmlns:cs="http://schemas.microsoft.com/office/drawing/2012/chartStyle" xmlns:a="http://schemas.openxmlformats.org/drawingml/2006/main" meth="withinLinear" id="15">
  <a:schemeClr val="accent2"/>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withinLinear" id="14">
  <a:schemeClr val="accent1"/>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27.xml"/><Relationship Id="rId18" Type="http://schemas.openxmlformats.org/officeDocument/2006/relationships/chart" Target="../charts/chart32.xml"/><Relationship Id="rId26" Type="http://schemas.openxmlformats.org/officeDocument/2006/relationships/chart" Target="../charts/chart40.xml"/><Relationship Id="rId39" Type="http://schemas.openxmlformats.org/officeDocument/2006/relationships/chart" Target="../charts/chart53.xml"/><Relationship Id="rId3" Type="http://schemas.openxmlformats.org/officeDocument/2006/relationships/chart" Target="../charts/chart17.xml"/><Relationship Id="rId21" Type="http://schemas.openxmlformats.org/officeDocument/2006/relationships/chart" Target="../charts/chart35.xml"/><Relationship Id="rId34" Type="http://schemas.openxmlformats.org/officeDocument/2006/relationships/chart" Target="../charts/chart48.xml"/><Relationship Id="rId42" Type="http://schemas.openxmlformats.org/officeDocument/2006/relationships/chart" Target="../charts/chart56.xml"/><Relationship Id="rId47" Type="http://schemas.openxmlformats.org/officeDocument/2006/relationships/chart" Target="../charts/chart61.xml"/><Relationship Id="rId50" Type="http://schemas.openxmlformats.org/officeDocument/2006/relationships/chart" Target="../charts/chart64.xml"/><Relationship Id="rId7" Type="http://schemas.openxmlformats.org/officeDocument/2006/relationships/chart" Target="../charts/chart21.xml"/><Relationship Id="rId12" Type="http://schemas.openxmlformats.org/officeDocument/2006/relationships/chart" Target="../charts/chart26.xml"/><Relationship Id="rId17" Type="http://schemas.openxmlformats.org/officeDocument/2006/relationships/chart" Target="../charts/chart31.xml"/><Relationship Id="rId25" Type="http://schemas.openxmlformats.org/officeDocument/2006/relationships/chart" Target="../charts/chart39.xml"/><Relationship Id="rId33" Type="http://schemas.openxmlformats.org/officeDocument/2006/relationships/chart" Target="../charts/chart47.xml"/><Relationship Id="rId38" Type="http://schemas.openxmlformats.org/officeDocument/2006/relationships/chart" Target="../charts/chart52.xml"/><Relationship Id="rId46" Type="http://schemas.openxmlformats.org/officeDocument/2006/relationships/chart" Target="../charts/chart60.xml"/><Relationship Id="rId2" Type="http://schemas.openxmlformats.org/officeDocument/2006/relationships/chart" Target="../charts/chart16.xml"/><Relationship Id="rId16" Type="http://schemas.openxmlformats.org/officeDocument/2006/relationships/chart" Target="../charts/chart30.xml"/><Relationship Id="rId20" Type="http://schemas.openxmlformats.org/officeDocument/2006/relationships/chart" Target="../charts/chart34.xml"/><Relationship Id="rId29" Type="http://schemas.openxmlformats.org/officeDocument/2006/relationships/chart" Target="../charts/chart43.xml"/><Relationship Id="rId41" Type="http://schemas.openxmlformats.org/officeDocument/2006/relationships/chart" Target="../charts/chart55.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24" Type="http://schemas.openxmlformats.org/officeDocument/2006/relationships/chart" Target="../charts/chart38.xml"/><Relationship Id="rId32" Type="http://schemas.openxmlformats.org/officeDocument/2006/relationships/chart" Target="../charts/chart46.xml"/><Relationship Id="rId37" Type="http://schemas.openxmlformats.org/officeDocument/2006/relationships/chart" Target="../charts/chart51.xml"/><Relationship Id="rId40" Type="http://schemas.openxmlformats.org/officeDocument/2006/relationships/chart" Target="../charts/chart54.xml"/><Relationship Id="rId45" Type="http://schemas.openxmlformats.org/officeDocument/2006/relationships/chart" Target="../charts/chart59.xml"/><Relationship Id="rId5" Type="http://schemas.openxmlformats.org/officeDocument/2006/relationships/chart" Target="../charts/chart19.xml"/><Relationship Id="rId15" Type="http://schemas.openxmlformats.org/officeDocument/2006/relationships/chart" Target="../charts/chart29.xml"/><Relationship Id="rId23" Type="http://schemas.openxmlformats.org/officeDocument/2006/relationships/chart" Target="../charts/chart37.xml"/><Relationship Id="rId28" Type="http://schemas.openxmlformats.org/officeDocument/2006/relationships/chart" Target="../charts/chart42.xml"/><Relationship Id="rId36" Type="http://schemas.openxmlformats.org/officeDocument/2006/relationships/chart" Target="../charts/chart50.xml"/><Relationship Id="rId49" Type="http://schemas.openxmlformats.org/officeDocument/2006/relationships/chart" Target="../charts/chart63.xml"/><Relationship Id="rId10" Type="http://schemas.openxmlformats.org/officeDocument/2006/relationships/chart" Target="../charts/chart24.xml"/><Relationship Id="rId19" Type="http://schemas.openxmlformats.org/officeDocument/2006/relationships/chart" Target="../charts/chart33.xml"/><Relationship Id="rId31" Type="http://schemas.openxmlformats.org/officeDocument/2006/relationships/chart" Target="../charts/chart45.xml"/><Relationship Id="rId44" Type="http://schemas.openxmlformats.org/officeDocument/2006/relationships/chart" Target="../charts/chart58.xml"/><Relationship Id="rId52" Type="http://schemas.openxmlformats.org/officeDocument/2006/relationships/chart" Target="../charts/chart66.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 Id="rId22" Type="http://schemas.openxmlformats.org/officeDocument/2006/relationships/chart" Target="../charts/chart36.xml"/><Relationship Id="rId27" Type="http://schemas.openxmlformats.org/officeDocument/2006/relationships/chart" Target="../charts/chart41.xml"/><Relationship Id="rId30" Type="http://schemas.openxmlformats.org/officeDocument/2006/relationships/chart" Target="../charts/chart44.xml"/><Relationship Id="rId35" Type="http://schemas.openxmlformats.org/officeDocument/2006/relationships/chart" Target="../charts/chart49.xml"/><Relationship Id="rId43" Type="http://schemas.openxmlformats.org/officeDocument/2006/relationships/chart" Target="../charts/chart57.xml"/><Relationship Id="rId48" Type="http://schemas.openxmlformats.org/officeDocument/2006/relationships/chart" Target="../charts/chart62.xml"/><Relationship Id="rId8" Type="http://schemas.openxmlformats.org/officeDocument/2006/relationships/chart" Target="../charts/chart22.xml"/><Relationship Id="rId51" Type="http://schemas.openxmlformats.org/officeDocument/2006/relationships/chart" Target="../charts/chart6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3" Type="http://schemas.openxmlformats.org/officeDocument/2006/relationships/chart" Target="../charts/chart70.xml"/><Relationship Id="rId7" Type="http://schemas.openxmlformats.org/officeDocument/2006/relationships/chart" Target="../charts/chart73.xml"/><Relationship Id="rId12" Type="http://schemas.openxmlformats.org/officeDocument/2006/relationships/chart" Target="../charts/chart78.xml"/><Relationship Id="rId17" Type="http://schemas.openxmlformats.org/officeDocument/2006/relationships/chart" Target="../charts/chart82.xml"/><Relationship Id="rId2" Type="http://schemas.openxmlformats.org/officeDocument/2006/relationships/chart" Target="../charts/chart69.xml"/><Relationship Id="rId16" Type="http://schemas.openxmlformats.org/officeDocument/2006/relationships/chart" Target="../charts/chart81.xml"/><Relationship Id="rId1" Type="http://schemas.openxmlformats.org/officeDocument/2006/relationships/chart" Target="../charts/chart68.xml"/><Relationship Id="rId6" Type="http://schemas.openxmlformats.org/officeDocument/2006/relationships/chart" Target="../charts/chart72.xml"/><Relationship Id="rId11" Type="http://schemas.openxmlformats.org/officeDocument/2006/relationships/chart" Target="../charts/chart77.xml"/><Relationship Id="rId5" Type="http://schemas.openxmlformats.org/officeDocument/2006/relationships/hyperlink" Target="#Analysis!A302"/><Relationship Id="rId15" Type="http://schemas.openxmlformats.org/officeDocument/2006/relationships/image" Target="../media/image2.jpeg"/><Relationship Id="rId10" Type="http://schemas.openxmlformats.org/officeDocument/2006/relationships/chart" Target="../charts/chart76.xml"/><Relationship Id="rId4" Type="http://schemas.openxmlformats.org/officeDocument/2006/relationships/chart" Target="../charts/chart71.xml"/><Relationship Id="rId9" Type="http://schemas.openxmlformats.org/officeDocument/2006/relationships/chart" Target="../charts/chart75.xml"/><Relationship Id="rId14" Type="http://schemas.openxmlformats.org/officeDocument/2006/relationships/chart" Target="../charts/chart80.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88.xml"/><Relationship Id="rId13" Type="http://schemas.openxmlformats.org/officeDocument/2006/relationships/chart" Target="../charts/chart92.xml"/><Relationship Id="rId3" Type="http://schemas.openxmlformats.org/officeDocument/2006/relationships/chart" Target="../charts/chart84.xml"/><Relationship Id="rId7" Type="http://schemas.openxmlformats.org/officeDocument/2006/relationships/image" Target="../media/image4.png"/><Relationship Id="rId12" Type="http://schemas.openxmlformats.org/officeDocument/2006/relationships/hyperlink" Target="#Analysis!A300"/><Relationship Id="rId17" Type="http://schemas.openxmlformats.org/officeDocument/2006/relationships/chart" Target="../charts/chart96.xml"/><Relationship Id="rId2" Type="http://schemas.openxmlformats.org/officeDocument/2006/relationships/image" Target="../media/image3.png"/><Relationship Id="rId16" Type="http://schemas.openxmlformats.org/officeDocument/2006/relationships/chart" Target="../charts/chart95.xml"/><Relationship Id="rId1" Type="http://schemas.openxmlformats.org/officeDocument/2006/relationships/chart" Target="../charts/chart83.xml"/><Relationship Id="rId6" Type="http://schemas.openxmlformats.org/officeDocument/2006/relationships/chart" Target="../charts/chart87.xml"/><Relationship Id="rId11" Type="http://schemas.openxmlformats.org/officeDocument/2006/relationships/chart" Target="../charts/chart91.xml"/><Relationship Id="rId5" Type="http://schemas.openxmlformats.org/officeDocument/2006/relationships/chart" Target="../charts/chart86.xml"/><Relationship Id="rId15" Type="http://schemas.openxmlformats.org/officeDocument/2006/relationships/chart" Target="../charts/chart94.xml"/><Relationship Id="rId10" Type="http://schemas.openxmlformats.org/officeDocument/2006/relationships/chart" Target="../charts/chart90.xml"/><Relationship Id="rId4" Type="http://schemas.openxmlformats.org/officeDocument/2006/relationships/chart" Target="../charts/chart85.xml"/><Relationship Id="rId9" Type="http://schemas.openxmlformats.org/officeDocument/2006/relationships/chart" Target="../charts/chart89.xml"/><Relationship Id="rId14" Type="http://schemas.openxmlformats.org/officeDocument/2006/relationships/chart" Target="../charts/chart93.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03.xml"/><Relationship Id="rId13" Type="http://schemas.openxmlformats.org/officeDocument/2006/relationships/chart" Target="../charts/chart108.xml"/><Relationship Id="rId18" Type="http://schemas.openxmlformats.org/officeDocument/2006/relationships/chart" Target="../charts/chart112.xml"/><Relationship Id="rId3" Type="http://schemas.openxmlformats.org/officeDocument/2006/relationships/chart" Target="../charts/chart99.xml"/><Relationship Id="rId7" Type="http://schemas.openxmlformats.org/officeDocument/2006/relationships/chart" Target="../charts/chart102.xml"/><Relationship Id="rId12" Type="http://schemas.openxmlformats.org/officeDocument/2006/relationships/chart" Target="../charts/chart107.xml"/><Relationship Id="rId17" Type="http://schemas.openxmlformats.org/officeDocument/2006/relationships/chart" Target="../charts/chart111.xml"/><Relationship Id="rId2" Type="http://schemas.openxmlformats.org/officeDocument/2006/relationships/chart" Target="../charts/chart98.xml"/><Relationship Id="rId16" Type="http://schemas.openxmlformats.org/officeDocument/2006/relationships/image" Target="../media/image5.jpeg"/><Relationship Id="rId1" Type="http://schemas.openxmlformats.org/officeDocument/2006/relationships/chart" Target="../charts/chart97.xml"/><Relationship Id="rId6" Type="http://schemas.openxmlformats.org/officeDocument/2006/relationships/chart" Target="../charts/chart101.xml"/><Relationship Id="rId11" Type="http://schemas.openxmlformats.org/officeDocument/2006/relationships/chart" Target="../charts/chart106.xml"/><Relationship Id="rId5" Type="http://schemas.openxmlformats.org/officeDocument/2006/relationships/hyperlink" Target="#Analysis!A302"/><Relationship Id="rId15" Type="http://schemas.openxmlformats.org/officeDocument/2006/relationships/chart" Target="../charts/chart110.xml"/><Relationship Id="rId10" Type="http://schemas.openxmlformats.org/officeDocument/2006/relationships/chart" Target="../charts/chart105.xml"/><Relationship Id="rId4" Type="http://schemas.openxmlformats.org/officeDocument/2006/relationships/chart" Target="../charts/chart100.xml"/><Relationship Id="rId9" Type="http://schemas.openxmlformats.org/officeDocument/2006/relationships/chart" Target="../charts/chart104.xml"/><Relationship Id="rId14" Type="http://schemas.openxmlformats.org/officeDocument/2006/relationships/chart" Target="../charts/chart109.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119.xml"/><Relationship Id="rId13" Type="http://schemas.openxmlformats.org/officeDocument/2006/relationships/chart" Target="../charts/chart124.xml"/><Relationship Id="rId3" Type="http://schemas.openxmlformats.org/officeDocument/2006/relationships/chart" Target="../charts/chart115.xml"/><Relationship Id="rId7" Type="http://schemas.openxmlformats.org/officeDocument/2006/relationships/chart" Target="../charts/chart118.xml"/><Relationship Id="rId12" Type="http://schemas.openxmlformats.org/officeDocument/2006/relationships/chart" Target="../charts/chart123.xml"/><Relationship Id="rId17" Type="http://schemas.openxmlformats.org/officeDocument/2006/relationships/chart" Target="../charts/chart127.xml"/><Relationship Id="rId2" Type="http://schemas.openxmlformats.org/officeDocument/2006/relationships/chart" Target="../charts/chart114.xml"/><Relationship Id="rId16" Type="http://schemas.openxmlformats.org/officeDocument/2006/relationships/chart" Target="../charts/chart126.xml"/><Relationship Id="rId1" Type="http://schemas.openxmlformats.org/officeDocument/2006/relationships/chart" Target="../charts/chart113.xml"/><Relationship Id="rId6" Type="http://schemas.openxmlformats.org/officeDocument/2006/relationships/chart" Target="../charts/chart117.xml"/><Relationship Id="rId11" Type="http://schemas.openxmlformats.org/officeDocument/2006/relationships/chart" Target="../charts/chart122.xml"/><Relationship Id="rId5" Type="http://schemas.openxmlformats.org/officeDocument/2006/relationships/chart" Target="../charts/chart116.xml"/><Relationship Id="rId15" Type="http://schemas.openxmlformats.org/officeDocument/2006/relationships/image" Target="../media/image6.jpeg"/><Relationship Id="rId10" Type="http://schemas.openxmlformats.org/officeDocument/2006/relationships/chart" Target="../charts/chart121.xml"/><Relationship Id="rId4" Type="http://schemas.openxmlformats.org/officeDocument/2006/relationships/hyperlink" Target="#Analysis!A302"/><Relationship Id="rId9" Type="http://schemas.openxmlformats.org/officeDocument/2006/relationships/chart" Target="../charts/chart120.xml"/><Relationship Id="rId14" Type="http://schemas.openxmlformats.org/officeDocument/2006/relationships/chart" Target="../charts/chart12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8.xm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55</xdr:row>
      <xdr:rowOff>0</xdr:rowOff>
    </xdr:from>
    <xdr:to>
      <xdr:col>4</xdr:col>
      <xdr:colOff>276224</xdr:colOff>
      <xdr:row>66</xdr:row>
      <xdr:rowOff>28575</xdr:rowOff>
    </xdr:to>
    <xdr:pic>
      <xdr:nvPicPr>
        <xdr:cNvPr id="2" name="Picture 1">
          <a:extLst>
            <a:ext uri="{FF2B5EF4-FFF2-40B4-BE49-F238E27FC236}">
              <a16:creationId xmlns:a16="http://schemas.microsoft.com/office/drawing/2014/main" xmlns=""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323850" y="20516850"/>
          <a:ext cx="7238999" cy="21240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314326</xdr:colOff>
      <xdr:row>53</xdr:row>
      <xdr:rowOff>0</xdr:rowOff>
    </xdr:from>
    <xdr:to>
      <xdr:col>3</xdr:col>
      <xdr:colOff>2324100</xdr:colOff>
      <xdr:row>64</xdr:row>
      <xdr:rowOff>28575</xdr:rowOff>
    </xdr:to>
    <xdr:pic>
      <xdr:nvPicPr>
        <xdr:cNvPr id="2" name="Picture 1">
          <a:extLst>
            <a:ext uri="{FF2B5EF4-FFF2-40B4-BE49-F238E27FC236}">
              <a16:creationId xmlns:a16="http://schemas.microsoft.com/office/drawing/2014/main" xmlns=""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314326" y="18059400"/>
          <a:ext cx="7238999" cy="21240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169623</xdr:colOff>
      <xdr:row>48</xdr:row>
      <xdr:rowOff>8390</xdr:rowOff>
    </xdr:from>
    <xdr:to>
      <xdr:col>10</xdr:col>
      <xdr:colOff>521917</xdr:colOff>
      <xdr:row>57</xdr:row>
      <xdr:rowOff>182672</xdr:rowOff>
    </xdr:to>
    <xdr:graphicFrame macro="">
      <xdr:nvGraphicFramePr>
        <xdr:cNvPr id="4" name="Chart 3">
          <a:extLst>
            <a:ext uri="{FF2B5EF4-FFF2-40B4-BE49-F238E27FC236}">
              <a16:creationId xmlns=""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619942</xdr:colOff>
      <xdr:row>48</xdr:row>
      <xdr:rowOff>13608</xdr:rowOff>
    </xdr:from>
    <xdr:to>
      <xdr:col>18</xdr:col>
      <xdr:colOff>26097</xdr:colOff>
      <xdr:row>58</xdr:row>
      <xdr:rowOff>10851</xdr:rowOff>
    </xdr:to>
    <xdr:graphicFrame macro="">
      <xdr:nvGraphicFramePr>
        <xdr:cNvPr id="5" name="Chart 4">
          <a:extLst>
            <a:ext uri="{FF2B5EF4-FFF2-40B4-BE49-F238E27FC236}">
              <a16:creationId xmlns=""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156575</xdr:colOff>
      <xdr:row>58</xdr:row>
      <xdr:rowOff>186978</xdr:rowOff>
    </xdr:from>
    <xdr:to>
      <xdr:col>10</xdr:col>
      <xdr:colOff>495822</xdr:colOff>
      <xdr:row>70</xdr:row>
      <xdr:rowOff>91336</xdr:rowOff>
    </xdr:to>
    <xdr:graphicFrame macro="">
      <xdr:nvGraphicFramePr>
        <xdr:cNvPr id="6" name="Chart 5">
          <a:extLst>
            <a:ext uri="{FF2B5EF4-FFF2-40B4-BE49-F238E27FC236}">
              <a16:creationId xmlns=""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606893</xdr:colOff>
      <xdr:row>58</xdr:row>
      <xdr:rowOff>193899</xdr:rowOff>
    </xdr:from>
    <xdr:to>
      <xdr:col>18</xdr:col>
      <xdr:colOff>52192</xdr:colOff>
      <xdr:row>70</xdr:row>
      <xdr:rowOff>107578</xdr:rowOff>
    </xdr:to>
    <xdr:graphicFrame macro="">
      <xdr:nvGraphicFramePr>
        <xdr:cNvPr id="7" name="Chart 6">
          <a:extLst>
            <a:ext uri="{FF2B5EF4-FFF2-40B4-BE49-F238E27FC236}">
              <a16:creationId xmlns=""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156575</xdr:colOff>
      <xdr:row>71</xdr:row>
      <xdr:rowOff>70894</xdr:rowOff>
    </xdr:from>
    <xdr:to>
      <xdr:col>10</xdr:col>
      <xdr:colOff>521917</xdr:colOff>
      <xdr:row>81</xdr:row>
      <xdr:rowOff>66824</xdr:rowOff>
    </xdr:to>
    <xdr:graphicFrame macro="">
      <xdr:nvGraphicFramePr>
        <xdr:cNvPr id="8" name="Chart 7">
          <a:extLst>
            <a:ext uri="{FF2B5EF4-FFF2-40B4-BE49-F238E27FC236}">
              <a16:creationId xmlns=""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619941</xdr:colOff>
      <xdr:row>71</xdr:row>
      <xdr:rowOff>74764</xdr:rowOff>
    </xdr:from>
    <xdr:to>
      <xdr:col>18</xdr:col>
      <xdr:colOff>117432</xdr:colOff>
      <xdr:row>81</xdr:row>
      <xdr:rowOff>26585</xdr:rowOff>
    </xdr:to>
    <xdr:graphicFrame macro="">
      <xdr:nvGraphicFramePr>
        <xdr:cNvPr id="9" name="Chart 8">
          <a:extLst>
            <a:ext uri="{FF2B5EF4-FFF2-40B4-BE49-F238E27FC236}">
              <a16:creationId xmlns=""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232253</xdr:colOff>
      <xdr:row>95</xdr:row>
      <xdr:rowOff>194153</xdr:rowOff>
    </xdr:from>
    <xdr:to>
      <xdr:col>19</xdr:col>
      <xdr:colOff>548014</xdr:colOff>
      <xdr:row>101</xdr:row>
      <xdr:rowOff>352294</xdr:rowOff>
    </xdr:to>
    <xdr:graphicFrame macro="">
      <xdr:nvGraphicFramePr>
        <xdr:cNvPr id="12" name="Chart 11">
          <a:extLst>
            <a:ext uri="{FF2B5EF4-FFF2-40B4-BE49-F238E27FC236}">
              <a16:creationId xmlns=""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109</xdr:row>
      <xdr:rowOff>0</xdr:rowOff>
    </xdr:from>
    <xdr:to>
      <xdr:col>20</xdr:col>
      <xdr:colOff>315761</xdr:colOff>
      <xdr:row>116</xdr:row>
      <xdr:rowOff>79853</xdr:rowOff>
    </xdr:to>
    <xdr:graphicFrame macro="">
      <xdr:nvGraphicFramePr>
        <xdr:cNvPr id="15" name="Chart 14">
          <a:extLst>
            <a:ext uri="{FF2B5EF4-FFF2-40B4-BE49-F238E27FC236}">
              <a16:creationId xmlns=""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416788</xdr:colOff>
      <xdr:row>126</xdr:row>
      <xdr:rowOff>141960</xdr:rowOff>
    </xdr:from>
    <xdr:to>
      <xdr:col>19</xdr:col>
      <xdr:colOff>723601</xdr:colOff>
      <xdr:row>135</xdr:row>
      <xdr:rowOff>75678</xdr:rowOff>
    </xdr:to>
    <xdr:graphicFrame macro="">
      <xdr:nvGraphicFramePr>
        <xdr:cNvPr id="16" name="Chart 15">
          <a:extLst>
            <a:ext uri="{FF2B5EF4-FFF2-40B4-BE49-F238E27FC236}">
              <a16:creationId xmlns=""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454067</xdr:colOff>
      <xdr:row>139</xdr:row>
      <xdr:rowOff>76720</xdr:rowOff>
    </xdr:from>
    <xdr:to>
      <xdr:col>20</xdr:col>
      <xdr:colOff>430583</xdr:colOff>
      <xdr:row>149</xdr:row>
      <xdr:rowOff>378389</xdr:rowOff>
    </xdr:to>
    <xdr:graphicFrame macro="">
      <xdr:nvGraphicFramePr>
        <xdr:cNvPr id="17" name="Chart 16">
          <a:extLst>
            <a:ext uri="{FF2B5EF4-FFF2-40B4-BE49-F238E27FC236}">
              <a16:creationId xmlns="" xmlns:a16="http://schemas.microsoft.com/office/drawing/2014/main" id="{00000000-0008-0000-04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29</xdr:col>
      <xdr:colOff>13048</xdr:colOff>
      <xdr:row>94</xdr:row>
      <xdr:rowOff>130480</xdr:rowOff>
    </xdr:from>
    <xdr:to>
      <xdr:col>39</xdr:col>
      <xdr:colOff>589767</xdr:colOff>
      <xdr:row>101</xdr:row>
      <xdr:rowOff>92902</xdr:rowOff>
    </xdr:to>
    <xdr:graphicFrame macro="">
      <xdr:nvGraphicFramePr>
        <xdr:cNvPr id="18" name="Chart 17">
          <a:extLst>
            <a:ext uri="{FF2B5EF4-FFF2-40B4-BE49-F238E27FC236}">
              <a16:creationId xmlns=""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29</xdr:col>
      <xdr:colOff>36535</xdr:colOff>
      <xdr:row>127</xdr:row>
      <xdr:rowOff>115865</xdr:rowOff>
    </xdr:from>
    <xdr:to>
      <xdr:col>39</xdr:col>
      <xdr:colOff>26096</xdr:colOff>
      <xdr:row>133</xdr:row>
      <xdr:rowOff>469726</xdr:rowOff>
    </xdr:to>
    <xdr:graphicFrame macro="">
      <xdr:nvGraphicFramePr>
        <xdr:cNvPr id="20" name="Chart 19">
          <a:extLst>
            <a:ext uri="{FF2B5EF4-FFF2-40B4-BE49-F238E27FC236}">
              <a16:creationId xmlns="" xmlns:a16="http://schemas.microsoft.com/office/drawing/2014/main" id="{00000000-0008-0000-04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48</xdr:col>
      <xdr:colOff>500061</xdr:colOff>
      <xdr:row>95</xdr:row>
      <xdr:rowOff>426242</xdr:rowOff>
    </xdr:from>
    <xdr:to>
      <xdr:col>57</xdr:col>
      <xdr:colOff>511969</xdr:colOff>
      <xdr:row>100</xdr:row>
      <xdr:rowOff>476249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190499</xdr:colOff>
      <xdr:row>22</xdr:row>
      <xdr:rowOff>157161</xdr:rowOff>
    </xdr:from>
    <xdr:to>
      <xdr:col>21</xdr:col>
      <xdr:colOff>1609725</xdr:colOff>
      <xdr:row>42</xdr:row>
      <xdr:rowOff>142875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604158</xdr:colOff>
      <xdr:row>225</xdr:row>
      <xdr:rowOff>110217</xdr:rowOff>
    </xdr:from>
    <xdr:to>
      <xdr:col>20</xdr:col>
      <xdr:colOff>421822</xdr:colOff>
      <xdr:row>239</xdr:row>
      <xdr:rowOff>81642</xdr:rowOff>
    </xdr:to>
    <xdr:graphicFrame macro="">
      <xdr:nvGraphicFramePr>
        <xdr:cNvPr id="10" name="Chart 9">
          <a:extLst>
            <a:ext uri="{FF2B5EF4-FFF2-40B4-BE49-F238E27FC236}">
              <a16:creationId xmlns="" xmlns:a16="http://schemas.microsoft.com/office/drawing/2014/main" id="{00000000-0008-0000-09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529998</xdr:colOff>
      <xdr:row>225</xdr:row>
      <xdr:rowOff>87085</xdr:rowOff>
    </xdr:from>
    <xdr:to>
      <xdr:col>27</xdr:col>
      <xdr:colOff>434748</xdr:colOff>
      <xdr:row>239</xdr:row>
      <xdr:rowOff>10885</xdr:rowOff>
    </xdr:to>
    <xdr:graphicFrame macro="">
      <xdr:nvGraphicFramePr>
        <xdr:cNvPr id="17" name="Chart 16">
          <a:extLst>
            <a:ext uri="{FF2B5EF4-FFF2-40B4-BE49-F238E27FC236}">
              <a16:creationId xmlns="" xmlns:a16="http://schemas.microsoft.com/office/drawing/2014/main" id="{00000000-0008-0000-09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76200</xdr:colOff>
      <xdr:row>151</xdr:row>
      <xdr:rowOff>180975</xdr:rowOff>
    </xdr:from>
    <xdr:to>
      <xdr:col>10</xdr:col>
      <xdr:colOff>342900</xdr:colOff>
      <xdr:row>163</xdr:row>
      <xdr:rowOff>180975</xdr:rowOff>
    </xdr:to>
    <xdr:graphicFrame macro="">
      <xdr:nvGraphicFramePr>
        <xdr:cNvPr id="31" name="Chart 30">
          <a:extLst>
            <a:ext uri="{FF2B5EF4-FFF2-40B4-BE49-F238E27FC236}">
              <a16:creationId xmlns="" xmlns:a16="http://schemas.microsoft.com/office/drawing/2014/main" id="{00000000-0008-0000-09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400050</xdr:colOff>
      <xdr:row>151</xdr:row>
      <xdr:rowOff>180975</xdr:rowOff>
    </xdr:from>
    <xdr:to>
      <xdr:col>14</xdr:col>
      <xdr:colOff>666750</xdr:colOff>
      <xdr:row>163</xdr:row>
      <xdr:rowOff>180975</xdr:rowOff>
    </xdr:to>
    <xdr:graphicFrame macro="">
      <xdr:nvGraphicFramePr>
        <xdr:cNvPr id="36" name="Chart 35">
          <a:extLst>
            <a:ext uri="{FF2B5EF4-FFF2-40B4-BE49-F238E27FC236}">
              <a16:creationId xmlns=""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151</xdr:row>
      <xdr:rowOff>180974</xdr:rowOff>
    </xdr:from>
    <xdr:to>
      <xdr:col>19</xdr:col>
      <xdr:colOff>295275</xdr:colOff>
      <xdr:row>163</xdr:row>
      <xdr:rowOff>180974</xdr:rowOff>
    </xdr:to>
    <xdr:graphicFrame macro="">
      <xdr:nvGraphicFramePr>
        <xdr:cNvPr id="37" name="Chart 36">
          <a:extLst>
            <a:ext uri="{FF2B5EF4-FFF2-40B4-BE49-F238E27FC236}">
              <a16:creationId xmlns=""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76200</xdr:colOff>
      <xdr:row>168</xdr:row>
      <xdr:rowOff>38100</xdr:rowOff>
    </xdr:from>
    <xdr:to>
      <xdr:col>10</xdr:col>
      <xdr:colOff>342900</xdr:colOff>
      <xdr:row>180</xdr:row>
      <xdr:rowOff>38100</xdr:rowOff>
    </xdr:to>
    <xdr:graphicFrame macro="">
      <xdr:nvGraphicFramePr>
        <xdr:cNvPr id="28" name="Chart 27">
          <a:extLst>
            <a:ext uri="{FF2B5EF4-FFF2-40B4-BE49-F238E27FC236}">
              <a16:creationId xmlns="" xmlns:a16="http://schemas.microsoft.com/office/drawing/2014/main" id="{00000000-0008-0000-09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419101</xdr:colOff>
      <xdr:row>168</xdr:row>
      <xdr:rowOff>47624</xdr:rowOff>
    </xdr:from>
    <xdr:to>
      <xdr:col>14</xdr:col>
      <xdr:colOff>685801</xdr:colOff>
      <xdr:row>180</xdr:row>
      <xdr:rowOff>47624</xdr:rowOff>
    </xdr:to>
    <xdr:graphicFrame macro="">
      <xdr:nvGraphicFramePr>
        <xdr:cNvPr id="35" name="Chart 34">
          <a:extLst>
            <a:ext uri="{FF2B5EF4-FFF2-40B4-BE49-F238E27FC236}">
              <a16:creationId xmlns=""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95250</xdr:colOff>
      <xdr:row>168</xdr:row>
      <xdr:rowOff>47625</xdr:rowOff>
    </xdr:from>
    <xdr:to>
      <xdr:col>19</xdr:col>
      <xdr:colOff>361950</xdr:colOff>
      <xdr:row>180</xdr:row>
      <xdr:rowOff>47625</xdr:rowOff>
    </xdr:to>
    <xdr:graphicFrame macro="">
      <xdr:nvGraphicFramePr>
        <xdr:cNvPr id="38" name="Chart 37">
          <a:extLst>
            <a:ext uri="{FF2B5EF4-FFF2-40B4-BE49-F238E27FC236}">
              <a16:creationId xmlns=""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9525</xdr:colOff>
      <xdr:row>32</xdr:row>
      <xdr:rowOff>38099</xdr:rowOff>
    </xdr:from>
    <xdr:to>
      <xdr:col>7</xdr:col>
      <xdr:colOff>523875</xdr:colOff>
      <xdr:row>45</xdr:row>
      <xdr:rowOff>28574</xdr:rowOff>
    </xdr:to>
    <xdr:graphicFrame macro="">
      <xdr:nvGraphicFramePr>
        <xdr:cNvPr id="29" name="Chart 28">
          <a:extLst>
            <a:ext uri="{FF2B5EF4-FFF2-40B4-BE49-F238E27FC236}">
              <a16:creationId xmlns="" xmlns:a16="http://schemas.microsoft.com/office/drawing/2014/main" id="{00000000-0008-0000-09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61912</xdr:colOff>
      <xdr:row>32</xdr:row>
      <xdr:rowOff>47625</xdr:rowOff>
    </xdr:from>
    <xdr:to>
      <xdr:col>14</xdr:col>
      <xdr:colOff>633412</xdr:colOff>
      <xdr:row>45</xdr:row>
      <xdr:rowOff>38100</xdr:rowOff>
    </xdr:to>
    <xdr:graphicFrame macro="">
      <xdr:nvGraphicFramePr>
        <xdr:cNvPr id="34" name="Chart 33">
          <a:extLst>
            <a:ext uri="{FF2B5EF4-FFF2-40B4-BE49-F238E27FC236}">
              <a16:creationId xmlns="" xmlns:a16="http://schemas.microsoft.com/office/drawing/2014/main" id="{00000000-0008-0000-09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119062</xdr:colOff>
      <xdr:row>32</xdr:row>
      <xdr:rowOff>1</xdr:rowOff>
    </xdr:from>
    <xdr:to>
      <xdr:col>22</xdr:col>
      <xdr:colOff>385762</xdr:colOff>
      <xdr:row>44</xdr:row>
      <xdr:rowOff>152401</xdr:rowOff>
    </xdr:to>
    <xdr:graphicFrame macro="">
      <xdr:nvGraphicFramePr>
        <xdr:cNvPr id="39" name="Chart 38">
          <a:extLst>
            <a:ext uri="{FF2B5EF4-FFF2-40B4-BE49-F238E27FC236}">
              <a16:creationId xmlns="" xmlns:a16="http://schemas.microsoft.com/office/drawing/2014/main" id="{00000000-0008-0000-09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66677</xdr:colOff>
      <xdr:row>225</xdr:row>
      <xdr:rowOff>76200</xdr:rowOff>
    </xdr:from>
    <xdr:to>
      <xdr:col>13</xdr:col>
      <xdr:colOff>481543</xdr:colOff>
      <xdr:row>239</xdr:row>
      <xdr:rowOff>70115</xdr:rowOff>
    </xdr:to>
    <xdr:graphicFrame macro="">
      <xdr:nvGraphicFramePr>
        <xdr:cNvPr id="40" name="Chart 39">
          <a:extLst>
            <a:ext uri="{FF2B5EF4-FFF2-40B4-BE49-F238E27FC236}">
              <a16:creationId xmlns=""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809624</xdr:colOff>
      <xdr:row>58</xdr:row>
      <xdr:rowOff>171448</xdr:rowOff>
    </xdr:from>
    <xdr:to>
      <xdr:col>9</xdr:col>
      <xdr:colOff>485774</xdr:colOff>
      <xdr:row>71</xdr:row>
      <xdr:rowOff>47623</xdr:rowOff>
    </xdr:to>
    <xdr:graphicFrame macro="">
      <xdr:nvGraphicFramePr>
        <xdr:cNvPr id="41" name="Chart 40">
          <a:extLst>
            <a:ext uri="{FF2B5EF4-FFF2-40B4-BE49-F238E27FC236}">
              <a16:creationId xmlns="" xmlns:a16="http://schemas.microsoft.com/office/drawing/2014/main" id="{00000000-0008-0000-09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295274</xdr:colOff>
      <xdr:row>58</xdr:row>
      <xdr:rowOff>200024</xdr:rowOff>
    </xdr:from>
    <xdr:to>
      <xdr:col>14</xdr:col>
      <xdr:colOff>104774</xdr:colOff>
      <xdr:row>71</xdr:row>
      <xdr:rowOff>76199</xdr:rowOff>
    </xdr:to>
    <xdr:graphicFrame macro="">
      <xdr:nvGraphicFramePr>
        <xdr:cNvPr id="42" name="Chart 41">
          <a:extLst>
            <a:ext uri="{FF2B5EF4-FFF2-40B4-BE49-F238E27FC236}">
              <a16:creationId xmlns=""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419099</xdr:colOff>
      <xdr:row>58</xdr:row>
      <xdr:rowOff>152399</xdr:rowOff>
    </xdr:from>
    <xdr:to>
      <xdr:col>18</xdr:col>
      <xdr:colOff>228599</xdr:colOff>
      <xdr:row>71</xdr:row>
      <xdr:rowOff>28574</xdr:rowOff>
    </xdr:to>
    <xdr:graphicFrame macro="">
      <xdr:nvGraphicFramePr>
        <xdr:cNvPr id="43" name="Chart 42">
          <a:extLst>
            <a:ext uri="{FF2B5EF4-FFF2-40B4-BE49-F238E27FC236}">
              <a16:creationId xmlns="" xmlns:a16="http://schemas.microsoft.com/office/drawing/2014/main" id="{00000000-0008-0000-09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2031114</xdr:colOff>
      <xdr:row>58</xdr:row>
      <xdr:rowOff>139699</xdr:rowOff>
    </xdr:from>
    <xdr:to>
      <xdr:col>8</xdr:col>
      <xdr:colOff>754763</xdr:colOff>
      <xdr:row>70</xdr:row>
      <xdr:rowOff>7405</xdr:rowOff>
    </xdr:to>
    <xdr:graphicFrame macro="">
      <xdr:nvGraphicFramePr>
        <xdr:cNvPr id="44" name="Chart 43">
          <a:extLst>
            <a:ext uri="{FF2B5EF4-FFF2-40B4-BE49-F238E27FC236}">
              <a16:creationId xmlns="" xmlns:a16="http://schemas.microsoft.com/office/drawing/2014/main" id="{00000000-0008-0000-09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718470</xdr:colOff>
      <xdr:row>47</xdr:row>
      <xdr:rowOff>146514</xdr:rowOff>
    </xdr:from>
    <xdr:to>
      <xdr:col>13</xdr:col>
      <xdr:colOff>522940</xdr:colOff>
      <xdr:row>57</xdr:row>
      <xdr:rowOff>14100</xdr:rowOff>
    </xdr:to>
    <xdr:graphicFrame macro="">
      <xdr:nvGraphicFramePr>
        <xdr:cNvPr id="45" name="Chart 44">
          <a:extLst>
            <a:ext uri="{FF2B5EF4-FFF2-40B4-BE49-F238E27FC236}">
              <a16:creationId xmlns="" xmlns:a16="http://schemas.microsoft.com/office/drawing/2014/main" id="{00000000-0008-0000-09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409575</xdr:colOff>
      <xdr:row>47</xdr:row>
      <xdr:rowOff>152400</xdr:rowOff>
    </xdr:from>
    <xdr:to>
      <xdr:col>18</xdr:col>
      <xdr:colOff>219075</xdr:colOff>
      <xdr:row>57</xdr:row>
      <xdr:rowOff>19050</xdr:rowOff>
    </xdr:to>
    <xdr:graphicFrame macro="">
      <xdr:nvGraphicFramePr>
        <xdr:cNvPr id="46" name="Chart 45">
          <a:extLst>
            <a:ext uri="{FF2B5EF4-FFF2-40B4-BE49-F238E27FC236}">
              <a16:creationId xmlns="" xmlns:a16="http://schemas.microsoft.com/office/drawing/2014/main" id="{00000000-0008-0000-09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862012</xdr:colOff>
      <xdr:row>306</xdr:row>
      <xdr:rowOff>142875</xdr:rowOff>
    </xdr:from>
    <xdr:to>
      <xdr:col>14</xdr:col>
      <xdr:colOff>358687</xdr:colOff>
      <xdr:row>314</xdr:row>
      <xdr:rowOff>171449</xdr:rowOff>
    </xdr:to>
    <mc:AlternateContent xmlns:mc="http://schemas.openxmlformats.org/markup-compatibility/2006" xmlns:a14="http://schemas.microsoft.com/office/drawing/2010/main">
      <mc:Choice Requires="a14">
        <xdr:graphicFrame macro="">
          <xdr:nvGraphicFramePr>
            <xdr:cNvPr id="3" name="State">
              <a:extLst>
                <a:ext uri="{FF2B5EF4-FFF2-40B4-BE49-F238E27FC236}">
                  <a16:creationId xmlns="" xmlns:a16="http://schemas.microsoft.com/office/drawing/2014/main" id="{00000000-0008-0000-0900-00000300000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5411450" y="62793563"/>
              <a:ext cx="1830300" cy="1552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576262</xdr:colOff>
      <xdr:row>306</xdr:row>
      <xdr:rowOff>133350</xdr:rowOff>
    </xdr:from>
    <xdr:to>
      <xdr:col>16</xdr:col>
      <xdr:colOff>668118</xdr:colOff>
      <xdr:row>317</xdr:row>
      <xdr:rowOff>0</xdr:rowOff>
    </xdr:to>
    <mc:AlternateContent xmlns:mc="http://schemas.openxmlformats.org/markup-compatibility/2006" xmlns:a14="http://schemas.microsoft.com/office/drawing/2010/main">
      <mc:Choice Requires="a14">
        <xdr:graphicFrame macro="">
          <xdr:nvGraphicFramePr>
            <xdr:cNvPr id="5" name="Location Type">
              <a:extLst>
                <a:ext uri="{FF2B5EF4-FFF2-40B4-BE49-F238E27FC236}">
                  <a16:creationId xmlns=""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Location Type"/>
            </a:graphicData>
          </a:graphic>
        </xdr:graphicFrame>
      </mc:Choice>
      <mc:Fallback xmlns="">
        <xdr:sp macro="" textlink="">
          <xdr:nvSpPr>
            <xdr:cNvPr id="0" name=""/>
            <xdr:cNvSpPr>
              <a:spLocks noTextEdit="1"/>
            </xdr:cNvSpPr>
          </xdr:nvSpPr>
          <xdr:spPr>
            <a:xfrm>
              <a:off x="17459325" y="62784038"/>
              <a:ext cx="1853981" cy="1962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786834</xdr:colOff>
      <xdr:row>397</xdr:row>
      <xdr:rowOff>104774</xdr:rowOff>
    </xdr:from>
    <xdr:to>
      <xdr:col>20</xdr:col>
      <xdr:colOff>668791</xdr:colOff>
      <xdr:row>411</xdr:row>
      <xdr:rowOff>66674</xdr:rowOff>
    </xdr:to>
    <xdr:graphicFrame macro="">
      <xdr:nvGraphicFramePr>
        <xdr:cNvPr id="6" name="Chart 5">
          <a:extLst>
            <a:ext uri="{FF2B5EF4-FFF2-40B4-BE49-F238E27FC236}">
              <a16:creationId xmlns=""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568325</xdr:colOff>
      <xdr:row>130</xdr:row>
      <xdr:rowOff>138908</xdr:rowOff>
    </xdr:from>
    <xdr:to>
      <xdr:col>7</xdr:col>
      <xdr:colOff>616768</xdr:colOff>
      <xdr:row>147</xdr:row>
      <xdr:rowOff>166575</xdr:rowOff>
    </xdr:to>
    <xdr:grpSp>
      <xdr:nvGrpSpPr>
        <xdr:cNvPr id="4" name="Group 3"/>
        <xdr:cNvGrpSpPr/>
      </xdr:nvGrpSpPr>
      <xdr:grpSpPr>
        <a:xfrm>
          <a:off x="568325" y="27560325"/>
          <a:ext cx="9774526" cy="4049333"/>
          <a:chOff x="695325" y="15468602"/>
          <a:chExt cx="5871393" cy="4618717"/>
        </a:xfrm>
      </xdr:grpSpPr>
      <xdr:graphicFrame macro="">
        <xdr:nvGraphicFramePr>
          <xdr:cNvPr id="9" name="Chart 8">
            <a:extLst>
              <a:ext uri="{FF2B5EF4-FFF2-40B4-BE49-F238E27FC236}">
                <a16:creationId xmlns="" xmlns:a16="http://schemas.microsoft.com/office/drawing/2014/main" id="{00000000-0008-0000-0900-000009000000}"/>
              </a:ext>
            </a:extLst>
          </xdr:cNvPr>
          <xdr:cNvGraphicFramePr/>
        </xdr:nvGraphicFramePr>
        <xdr:xfrm>
          <a:off x="3638549" y="15468602"/>
          <a:ext cx="2926080" cy="2295376"/>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11" name="Chart 10">
            <a:extLst>
              <a:ext uri="{FF2B5EF4-FFF2-40B4-BE49-F238E27FC236}">
                <a16:creationId xmlns="" xmlns:a16="http://schemas.microsoft.com/office/drawing/2014/main" id="{00000000-0008-0000-0900-00000B000000}"/>
              </a:ext>
            </a:extLst>
          </xdr:cNvPr>
          <xdr:cNvGraphicFramePr/>
        </xdr:nvGraphicFramePr>
        <xdr:xfrm>
          <a:off x="720676" y="17801319"/>
          <a:ext cx="2926080" cy="2286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15" name="Chart 14">
            <a:extLst>
              <a:ext uri="{FF2B5EF4-FFF2-40B4-BE49-F238E27FC236}">
                <a16:creationId xmlns="" xmlns:a16="http://schemas.microsoft.com/office/drawing/2014/main" id="{00000000-0008-0000-0900-00000F000000}"/>
              </a:ext>
            </a:extLst>
          </xdr:cNvPr>
          <xdr:cNvGraphicFramePr/>
        </xdr:nvGraphicFramePr>
        <xdr:xfrm>
          <a:off x="3640638" y="17790007"/>
          <a:ext cx="2926080" cy="2286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14" name="Chart 13">
            <a:extLst>
              <a:ext uri="{FF2B5EF4-FFF2-40B4-BE49-F238E27FC236}">
                <a16:creationId xmlns="" xmlns:a16="http://schemas.microsoft.com/office/drawing/2014/main" id="{00000000-0008-0000-0900-00000E000000}"/>
              </a:ext>
            </a:extLst>
          </xdr:cNvPr>
          <xdr:cNvGraphicFramePr/>
        </xdr:nvGraphicFramePr>
        <xdr:xfrm>
          <a:off x="695325" y="15492411"/>
          <a:ext cx="2926080" cy="228599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9</xdr:col>
      <xdr:colOff>692943</xdr:colOff>
      <xdr:row>130</xdr:row>
      <xdr:rowOff>104773</xdr:rowOff>
    </xdr:from>
    <xdr:to>
      <xdr:col>16</xdr:col>
      <xdr:colOff>559593</xdr:colOff>
      <xdr:row>147</xdr:row>
      <xdr:rowOff>66673</xdr:rowOff>
    </xdr:to>
    <xdr:grpSp>
      <xdr:nvGrpSpPr>
        <xdr:cNvPr id="2" name="Group 1"/>
        <xdr:cNvGrpSpPr/>
      </xdr:nvGrpSpPr>
      <xdr:grpSpPr>
        <a:xfrm>
          <a:off x="12832026" y="27526190"/>
          <a:ext cx="6333067" cy="3983566"/>
          <a:chOff x="6724651" y="15440025"/>
          <a:chExt cx="5878827" cy="4562475"/>
        </a:xfrm>
      </xdr:grpSpPr>
      <xdr:graphicFrame macro="">
        <xdr:nvGraphicFramePr>
          <xdr:cNvPr id="7" name="Chart 6">
            <a:extLst>
              <a:ext uri="{FF2B5EF4-FFF2-40B4-BE49-F238E27FC236}">
                <a16:creationId xmlns="" xmlns:a16="http://schemas.microsoft.com/office/drawing/2014/main" id="{00000000-0008-0000-0900-000007000000}"/>
              </a:ext>
            </a:extLst>
          </xdr:cNvPr>
          <xdr:cNvGraphicFramePr/>
        </xdr:nvGraphicFramePr>
        <xdr:xfrm>
          <a:off x="6734175" y="17706975"/>
          <a:ext cx="2926080" cy="2285999"/>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8" name="Chart 7">
            <a:extLst>
              <a:ext uri="{FF2B5EF4-FFF2-40B4-BE49-F238E27FC236}">
                <a16:creationId xmlns="" xmlns:a16="http://schemas.microsoft.com/office/drawing/2014/main" id="{00000000-0008-0000-0900-000008000000}"/>
              </a:ext>
            </a:extLst>
          </xdr:cNvPr>
          <xdr:cNvGraphicFramePr/>
        </xdr:nvGraphicFramePr>
        <xdr:xfrm>
          <a:off x="9677398" y="15449547"/>
          <a:ext cx="2926080" cy="2286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32" name="Chart 31">
            <a:extLst>
              <a:ext uri="{FF2B5EF4-FFF2-40B4-BE49-F238E27FC236}">
                <a16:creationId xmlns="" xmlns:a16="http://schemas.microsoft.com/office/drawing/2014/main" id="{00000000-0008-0000-0900-000020000000}"/>
              </a:ext>
            </a:extLst>
          </xdr:cNvPr>
          <xdr:cNvGraphicFramePr>
            <a:graphicFrameLocks/>
          </xdr:cNvGraphicFramePr>
        </xdr:nvGraphicFramePr>
        <xdr:xfrm>
          <a:off x="9667875" y="17716500"/>
          <a:ext cx="2926080" cy="2286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16" name="Chart 15">
            <a:extLst>
              <a:ext uri="{FF2B5EF4-FFF2-40B4-BE49-F238E27FC236}">
                <a16:creationId xmlns="" xmlns:a16="http://schemas.microsoft.com/office/drawing/2014/main" id="{00000000-0008-0000-0900-000010000000}"/>
              </a:ext>
            </a:extLst>
          </xdr:cNvPr>
          <xdr:cNvGraphicFramePr/>
        </xdr:nvGraphicFramePr>
        <xdr:xfrm>
          <a:off x="6724651" y="15440025"/>
          <a:ext cx="2926080" cy="2286000"/>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24</xdr:col>
      <xdr:colOff>242094</xdr:colOff>
      <xdr:row>121</xdr:row>
      <xdr:rowOff>330198</xdr:rowOff>
    </xdr:from>
    <xdr:to>
      <xdr:col>32</xdr:col>
      <xdr:colOff>686119</xdr:colOff>
      <xdr:row>137</xdr:row>
      <xdr:rowOff>280721</xdr:rowOff>
    </xdr:to>
    <xdr:grpSp>
      <xdr:nvGrpSpPr>
        <xdr:cNvPr id="12" name="Group 11"/>
        <xdr:cNvGrpSpPr/>
      </xdr:nvGrpSpPr>
      <xdr:grpSpPr>
        <a:xfrm>
          <a:off x="25134094" y="25222198"/>
          <a:ext cx="6286025" cy="4395523"/>
          <a:chOff x="12944475" y="15440025"/>
          <a:chExt cx="5869305" cy="4600575"/>
        </a:xfrm>
      </xdr:grpSpPr>
      <xdr:graphicFrame macro="">
        <xdr:nvGraphicFramePr>
          <xdr:cNvPr id="13" name="Chart 12">
            <a:extLst>
              <a:ext uri="{FF2B5EF4-FFF2-40B4-BE49-F238E27FC236}">
                <a16:creationId xmlns="" xmlns:a16="http://schemas.microsoft.com/office/drawing/2014/main" id="{00000000-0008-0000-0900-00000D000000}"/>
              </a:ext>
            </a:extLst>
          </xdr:cNvPr>
          <xdr:cNvGraphicFramePr/>
        </xdr:nvGraphicFramePr>
        <xdr:xfrm>
          <a:off x="15868651" y="15440025"/>
          <a:ext cx="2926080" cy="2286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47" name="Chart 46">
            <a:extLst>
              <a:ext uri="{FF2B5EF4-FFF2-40B4-BE49-F238E27FC236}">
                <a16:creationId xmlns="" xmlns:a16="http://schemas.microsoft.com/office/drawing/2014/main" id="{00000000-0008-0000-0900-00002F000000}"/>
              </a:ext>
            </a:extLst>
          </xdr:cNvPr>
          <xdr:cNvGraphicFramePr>
            <a:graphicFrameLocks/>
          </xdr:cNvGraphicFramePr>
        </xdr:nvGraphicFramePr>
        <xdr:xfrm>
          <a:off x="12944475" y="17745075"/>
          <a:ext cx="2926080" cy="2286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48" name="Chart 47">
            <a:extLst>
              <a:ext uri="{FF2B5EF4-FFF2-40B4-BE49-F238E27FC236}">
                <a16:creationId xmlns="" xmlns:a16="http://schemas.microsoft.com/office/drawing/2014/main" id="{00000000-0008-0000-0900-000030000000}"/>
              </a:ext>
            </a:extLst>
          </xdr:cNvPr>
          <xdr:cNvGraphicFramePr>
            <a:graphicFrameLocks/>
          </xdr:cNvGraphicFramePr>
        </xdr:nvGraphicFramePr>
        <xdr:xfrm>
          <a:off x="15887700" y="17754600"/>
          <a:ext cx="2926080" cy="2286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18" name="Chart 17">
            <a:extLst>
              <a:ext uri="{FF2B5EF4-FFF2-40B4-BE49-F238E27FC236}">
                <a16:creationId xmlns="" xmlns:a16="http://schemas.microsoft.com/office/drawing/2014/main" id="{00000000-0008-0000-0900-000012000000}"/>
              </a:ext>
            </a:extLst>
          </xdr:cNvPr>
          <xdr:cNvGraphicFramePr/>
        </xdr:nvGraphicFramePr>
        <xdr:xfrm>
          <a:off x="12949236" y="15444787"/>
          <a:ext cx="2926080" cy="2286000"/>
        </xdr:xfrm>
        <a:graphic>
          <a:graphicData uri="http://schemas.openxmlformats.org/drawingml/2006/chart">
            <c:chart xmlns:c="http://schemas.openxmlformats.org/drawingml/2006/chart" xmlns:r="http://schemas.openxmlformats.org/officeDocument/2006/relationships" r:id="rId31"/>
          </a:graphicData>
        </a:graphic>
      </xdr:graphicFrame>
    </xdr:grpSp>
    <xdr:clientData/>
  </xdr:twoCellAnchor>
  <xdr:twoCellAnchor>
    <xdr:from>
      <xdr:col>1</xdr:col>
      <xdr:colOff>261937</xdr:colOff>
      <xdr:row>410</xdr:row>
      <xdr:rowOff>178593</xdr:rowOff>
    </xdr:from>
    <xdr:to>
      <xdr:col>6</xdr:col>
      <xdr:colOff>604837</xdr:colOff>
      <xdr:row>426</xdr:row>
      <xdr:rowOff>35718</xdr:rowOff>
    </xdr:to>
    <xdr:graphicFrame macro="">
      <xdr:nvGraphicFramePr>
        <xdr:cNvPr id="22" name="Chart 21">
          <a:extLst>
            <a:ext uri="{FF2B5EF4-FFF2-40B4-BE49-F238E27FC236}">
              <a16:creationId xmlns="" xmlns:a16="http://schemas.microsoft.com/office/drawing/2014/main" id="{5C5BC1FE-5138-4416-ABC9-565E39ED8B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314325</xdr:colOff>
      <xdr:row>411</xdr:row>
      <xdr:rowOff>171450</xdr:rowOff>
    </xdr:from>
    <xdr:to>
      <xdr:col>19</xdr:col>
      <xdr:colOff>485775</xdr:colOff>
      <xdr:row>425</xdr:row>
      <xdr:rowOff>114300</xdr:rowOff>
    </xdr:to>
    <xdr:graphicFrame macro="">
      <xdr:nvGraphicFramePr>
        <xdr:cNvPr id="49" name="Chart 48">
          <a:extLst>
            <a:ext uri="{FF2B5EF4-FFF2-40B4-BE49-F238E27FC236}">
              <a16:creationId xmlns="" xmlns:a16="http://schemas.microsoft.com/office/drawing/2014/main" id="{AD0D16B2-DF8E-4235-8285-6633CAD12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685800</xdr:colOff>
      <xdr:row>411</xdr:row>
      <xdr:rowOff>180975</xdr:rowOff>
    </xdr:from>
    <xdr:to>
      <xdr:col>13</xdr:col>
      <xdr:colOff>123825</xdr:colOff>
      <xdr:row>425</xdr:row>
      <xdr:rowOff>123825</xdr:rowOff>
    </xdr:to>
    <xdr:graphicFrame macro="">
      <xdr:nvGraphicFramePr>
        <xdr:cNvPr id="50" name="Chart 49">
          <a:extLst>
            <a:ext uri="{FF2B5EF4-FFF2-40B4-BE49-F238E27FC236}">
              <a16:creationId xmlns="" xmlns:a16="http://schemas.microsoft.com/office/drawing/2014/main" id="{832F53F6-F6A6-4AB2-9CE1-F0FFA857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526597</xdr:colOff>
      <xdr:row>290</xdr:row>
      <xdr:rowOff>44903</xdr:rowOff>
    </xdr:from>
    <xdr:to>
      <xdr:col>5</xdr:col>
      <xdr:colOff>440871</xdr:colOff>
      <xdr:row>299</xdr:row>
      <xdr:rowOff>83003</xdr:rowOff>
    </xdr:to>
    <xdr:graphicFrame macro="">
      <xdr:nvGraphicFramePr>
        <xdr:cNvPr id="52" name="Chart 51">
          <a:extLst>
            <a:ext uri="{FF2B5EF4-FFF2-40B4-BE49-F238E27FC236}">
              <a16:creationId xmlns=""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107496</xdr:colOff>
      <xdr:row>290</xdr:row>
      <xdr:rowOff>57150</xdr:rowOff>
    </xdr:from>
    <xdr:to>
      <xdr:col>12</xdr:col>
      <xdr:colOff>107496</xdr:colOff>
      <xdr:row>300</xdr:row>
      <xdr:rowOff>66675</xdr:rowOff>
    </xdr:to>
    <xdr:graphicFrame macro="">
      <xdr:nvGraphicFramePr>
        <xdr:cNvPr id="55" name="Chart 54">
          <a:extLst>
            <a:ext uri="{FF2B5EF4-FFF2-40B4-BE49-F238E27FC236}">
              <a16:creationId xmlns=""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314325</xdr:colOff>
      <xdr:row>290</xdr:row>
      <xdr:rowOff>66675</xdr:rowOff>
    </xdr:from>
    <xdr:to>
      <xdr:col>11</xdr:col>
      <xdr:colOff>342900</xdr:colOff>
      <xdr:row>291</xdr:row>
      <xdr:rowOff>123825</xdr:rowOff>
    </xdr:to>
    <xdr:sp macro="" textlink="$I$284">
      <xdr:nvSpPr>
        <xdr:cNvPr id="60" name="Rectangle 59"/>
        <xdr:cNvSpPr/>
      </xdr:nvSpPr>
      <xdr:spPr>
        <a:xfrm>
          <a:off x="9610725" y="34585275"/>
          <a:ext cx="7620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fld id="{79A1B2D0-5AF1-4DD3-9BFC-24E0A51D2A30}" type="TxLink">
            <a:rPr lang="en-US" sz="1200" b="1" i="0" u="none" strike="noStrike">
              <a:solidFill>
                <a:srgbClr val="44546A"/>
              </a:solidFill>
              <a:latin typeface="Calibri"/>
            </a:rPr>
            <a:pPr/>
            <a:t>Rakhine</a:t>
          </a:fld>
          <a:endParaRPr lang="en-US" sz="1200" b="1">
            <a:solidFill>
              <a:srgbClr val="44546A"/>
            </a:solidFill>
          </a:endParaRPr>
        </a:p>
      </xdr:txBody>
    </xdr:sp>
    <xdr:clientData/>
  </xdr:twoCellAnchor>
  <xdr:twoCellAnchor>
    <xdr:from>
      <xdr:col>12</xdr:col>
      <xdr:colOff>561976</xdr:colOff>
      <xdr:row>289</xdr:row>
      <xdr:rowOff>142875</xdr:rowOff>
    </xdr:from>
    <xdr:to>
      <xdr:col>18</xdr:col>
      <xdr:colOff>66676</xdr:colOff>
      <xdr:row>299</xdr:row>
      <xdr:rowOff>152400</xdr:rowOff>
    </xdr:to>
    <xdr:graphicFrame macro="">
      <xdr:nvGraphicFramePr>
        <xdr:cNvPr id="62" name="Chart 61">
          <a:extLst>
            <a:ext uri="{FF2B5EF4-FFF2-40B4-BE49-F238E27FC236}">
              <a16:creationId xmlns=""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xdr:col>
      <xdr:colOff>407533</xdr:colOff>
      <xdr:row>75</xdr:row>
      <xdr:rowOff>186417</xdr:rowOff>
    </xdr:from>
    <xdr:to>
      <xdr:col>11</xdr:col>
      <xdr:colOff>576262</xdr:colOff>
      <xdr:row>92</xdr:row>
      <xdr:rowOff>95250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xdr:col>
      <xdr:colOff>464567</xdr:colOff>
      <xdr:row>96</xdr:row>
      <xdr:rowOff>64016</xdr:rowOff>
    </xdr:from>
    <xdr:to>
      <xdr:col>9</xdr:col>
      <xdr:colOff>344702</xdr:colOff>
      <xdr:row>110</xdr:row>
      <xdr:rowOff>142357</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15</xdr:col>
      <xdr:colOff>164814</xdr:colOff>
      <xdr:row>76</xdr:row>
      <xdr:rowOff>35745</xdr:rowOff>
    </xdr:from>
    <xdr:to>
      <xdr:col>21</xdr:col>
      <xdr:colOff>306084</xdr:colOff>
      <xdr:row>89</xdr:row>
      <xdr:rowOff>81979</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22</xdr:col>
      <xdr:colOff>539393</xdr:colOff>
      <xdr:row>96</xdr:row>
      <xdr:rowOff>78554</xdr:rowOff>
    </xdr:from>
    <xdr:to>
      <xdr:col>28</xdr:col>
      <xdr:colOff>520129</xdr:colOff>
      <xdr:row>108</xdr:row>
      <xdr:rowOff>114085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100601</xdr:colOff>
      <xdr:row>95</xdr:row>
      <xdr:rowOff>132065</xdr:rowOff>
    </xdr:from>
    <xdr:to>
      <xdr:col>18</xdr:col>
      <xdr:colOff>370297</xdr:colOff>
      <xdr:row>107</xdr:row>
      <xdr:rowOff>156894</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xdr:col>
      <xdr:colOff>368155</xdr:colOff>
      <xdr:row>184</xdr:row>
      <xdr:rowOff>132066</xdr:rowOff>
    </xdr:from>
    <xdr:to>
      <xdr:col>10</xdr:col>
      <xdr:colOff>535112</xdr:colOff>
      <xdr:row>202</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14</xdr:col>
      <xdr:colOff>250432</xdr:colOff>
      <xdr:row>184</xdr:row>
      <xdr:rowOff>46448</xdr:rowOff>
    </xdr:from>
    <xdr:to>
      <xdr:col>20</xdr:col>
      <xdr:colOff>391702</xdr:colOff>
      <xdr:row>198</xdr:row>
      <xdr:rowOff>60575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xdr:col>
      <xdr:colOff>89898</xdr:colOff>
      <xdr:row>205</xdr:row>
      <xdr:rowOff>174874</xdr:rowOff>
    </xdr:from>
    <xdr:to>
      <xdr:col>8</xdr:col>
      <xdr:colOff>659258</xdr:colOff>
      <xdr:row>219</xdr:row>
      <xdr:rowOff>71276</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207623</xdr:colOff>
      <xdr:row>205</xdr:row>
      <xdr:rowOff>174875</xdr:rowOff>
    </xdr:from>
    <xdr:to>
      <xdr:col>17</xdr:col>
      <xdr:colOff>231168</xdr:colOff>
      <xdr:row>219</xdr:row>
      <xdr:rowOff>71277</xdr:rowOff>
    </xdr:to>
    <xdr:graphicFrame macro="">
      <xdr:nvGraphicFramePr>
        <xdr:cNvPr id="53" name="Chart 5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218326</xdr:colOff>
      <xdr:row>204</xdr:row>
      <xdr:rowOff>196279</xdr:rowOff>
    </xdr:from>
    <xdr:to>
      <xdr:col>27</xdr:col>
      <xdr:colOff>199062</xdr:colOff>
      <xdr:row>218</xdr:row>
      <xdr:rowOff>92681</xdr:rowOff>
    </xdr:to>
    <xdr:graphicFrame macro="">
      <xdr:nvGraphicFramePr>
        <xdr:cNvPr id="54" name="Chart 5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4</xdr:col>
      <xdr:colOff>143410</xdr:colOff>
      <xdr:row>240</xdr:row>
      <xdr:rowOff>117725</xdr:rowOff>
    </xdr:from>
    <xdr:to>
      <xdr:col>9</xdr:col>
      <xdr:colOff>470899</xdr:colOff>
      <xdr:row>259</xdr:row>
      <xdr:rowOff>10703</xdr:rowOff>
    </xdr:to>
    <xdr:graphicFrame macro="">
      <xdr:nvGraphicFramePr>
        <xdr:cNvPr id="56" name="Chart 5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13</xdr:col>
      <xdr:colOff>646417</xdr:colOff>
      <xdr:row>240</xdr:row>
      <xdr:rowOff>121363</xdr:rowOff>
    </xdr:from>
    <xdr:to>
      <xdr:col>19</xdr:col>
      <xdr:colOff>177658</xdr:colOff>
      <xdr:row>254</xdr:row>
      <xdr:rowOff>167597</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4</xdr:col>
      <xdr:colOff>154112</xdr:colOff>
      <xdr:row>260</xdr:row>
      <xdr:rowOff>142767</xdr:rowOff>
    </xdr:from>
    <xdr:to>
      <xdr:col>9</xdr:col>
      <xdr:colOff>470899</xdr:colOff>
      <xdr:row>274</xdr:row>
      <xdr:rowOff>189001</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13</xdr:col>
      <xdr:colOff>186219</xdr:colOff>
      <xdr:row>261</xdr:row>
      <xdr:rowOff>25044</xdr:rowOff>
    </xdr:from>
    <xdr:to>
      <xdr:col>18</xdr:col>
      <xdr:colOff>455915</xdr:colOff>
      <xdr:row>275</xdr:row>
      <xdr:rowOff>49873</xdr:rowOff>
    </xdr:to>
    <xdr:graphicFrame macro="">
      <xdr:nvGraphicFramePr>
        <xdr:cNvPr id="59" name="Chart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22</xdr:col>
      <xdr:colOff>132707</xdr:colOff>
      <xdr:row>260</xdr:row>
      <xdr:rowOff>78554</xdr:rowOff>
    </xdr:from>
    <xdr:to>
      <xdr:col>28</xdr:col>
      <xdr:colOff>113443</xdr:colOff>
      <xdr:row>274</xdr:row>
      <xdr:rowOff>114086</xdr:rowOff>
    </xdr:to>
    <xdr:graphicFrame macro="">
      <xdr:nvGraphicFramePr>
        <xdr:cNvPr id="61" name="Chart 6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17</xdr:col>
      <xdr:colOff>154782</xdr:colOff>
      <xdr:row>306</xdr:row>
      <xdr:rowOff>100013</xdr:rowOff>
    </xdr:from>
    <xdr:to>
      <xdr:col>19</xdr:col>
      <xdr:colOff>245269</xdr:colOff>
      <xdr:row>318</xdr:row>
      <xdr:rowOff>23812</xdr:rowOff>
    </xdr:to>
    <mc:AlternateContent xmlns:mc="http://schemas.openxmlformats.org/markup-compatibility/2006" xmlns:a14="http://schemas.microsoft.com/office/drawing/2010/main">
      <mc:Choice Requires="a14">
        <xdr:graphicFrame macro="">
          <xdr:nvGraphicFramePr>
            <xdr:cNvPr id="21" name="Type of accommodation"/>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9538157" y="62750701"/>
              <a:ext cx="1828800" cy="22097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623888</xdr:colOff>
      <xdr:row>317</xdr:row>
      <xdr:rowOff>169069</xdr:rowOff>
    </xdr:from>
    <xdr:to>
      <xdr:col>16</xdr:col>
      <xdr:colOff>690563</xdr:colOff>
      <xdr:row>324</xdr:row>
      <xdr:rowOff>154780</xdr:rowOff>
    </xdr:to>
    <mc:AlternateContent xmlns:mc="http://schemas.openxmlformats.org/markup-compatibility/2006" xmlns:a14="http://schemas.microsoft.com/office/drawing/2010/main">
      <mc:Choice Requires="a14">
        <xdr:graphicFrame macro="">
          <xdr:nvGraphicFramePr>
            <xdr:cNvPr id="24" name="Location Type 1 1"/>
            <xdr:cNvGraphicFramePr/>
          </xdr:nvGraphicFramePr>
          <xdr:xfrm>
            <a:off x="0" y="0"/>
            <a:ext cx="0" cy="0"/>
          </xdr:xfrm>
          <a:graphic>
            <a:graphicData uri="http://schemas.microsoft.com/office/drawing/2010/slicer">
              <sle:slicer xmlns:sle="http://schemas.microsoft.com/office/drawing/2010/slicer" name="Location Type 1 1"/>
            </a:graphicData>
          </a:graphic>
        </xdr:graphicFrame>
      </mc:Choice>
      <mc:Fallback xmlns="">
        <xdr:sp macro="" textlink="">
          <xdr:nvSpPr>
            <xdr:cNvPr id="0" name=""/>
            <xdr:cNvSpPr>
              <a:spLocks noTextEdit="1"/>
            </xdr:cNvSpPr>
          </xdr:nvSpPr>
          <xdr:spPr>
            <a:xfrm>
              <a:off x="17506951" y="64915257"/>
              <a:ext cx="1828800" cy="131921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c:userShapes xmlns:c="http://schemas.openxmlformats.org/drawingml/2006/chart">
  <cdr:relSizeAnchor xmlns:cdr="http://schemas.openxmlformats.org/drawingml/2006/chartDrawing">
    <cdr:from>
      <cdr:x>0.67865</cdr:x>
      <cdr:y>0.04503</cdr:y>
    </cdr:from>
    <cdr:to>
      <cdr:x>0.84069</cdr:x>
      <cdr:y>0.21273</cdr:y>
    </cdr:to>
    <cdr:sp macro="" textlink="Analysis!$D$284">
      <cdr:nvSpPr>
        <cdr:cNvPr id="2" name="Rectangle 1"/>
        <cdr:cNvSpPr/>
      </cdr:nvSpPr>
      <cdr:spPr>
        <a:xfrm xmlns:a="http://schemas.openxmlformats.org/drawingml/2006/main">
          <a:off x="3146179" y="78927"/>
          <a:ext cx="751210" cy="29391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fld id="{62834084-897D-404A-8CDC-6436CAA3BB56}" type="TxLink">
            <a:rPr lang="en-US" sz="1200" b="1" i="0" u="none" strike="noStrike">
              <a:solidFill>
                <a:srgbClr val="44546A"/>
              </a:solidFill>
              <a:latin typeface="Calibri"/>
            </a:rPr>
            <a:pPr/>
            <a:t>Kachin</a:t>
          </a:fld>
          <a:endParaRPr lang="en-US" sz="1200" b="1">
            <a:solidFill>
              <a:srgbClr val="44546A"/>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0.68618</cdr:x>
      <cdr:y>0.01862</cdr:y>
    </cdr:from>
    <cdr:to>
      <cdr:x>0.94146</cdr:x>
      <cdr:y>0.16946</cdr:y>
    </cdr:to>
    <cdr:sp macro="" textlink="Analysis!$O$284">
      <cdr:nvSpPr>
        <cdr:cNvPr id="2" name="Rectangle 1"/>
        <cdr:cNvSpPr/>
      </cdr:nvSpPr>
      <cdr:spPr>
        <a:xfrm xmlns:a="http://schemas.openxmlformats.org/drawingml/2006/main">
          <a:off x="2679699" y="31750"/>
          <a:ext cx="996949" cy="2571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fld id="{0E3EA2C8-F9BE-4A20-91F5-47A5F210F96C}" type="TxLink">
            <a:rPr lang="en-US" sz="1200" b="1" i="0" u="none" strike="noStrike">
              <a:solidFill>
                <a:srgbClr val="44546A"/>
              </a:solidFill>
              <a:latin typeface="Calibri"/>
            </a:rPr>
            <a:pPr/>
            <a:t>Shan (North)</a:t>
          </a:fld>
          <a:endParaRPr lang="en-US" sz="1800" b="1">
            <a:solidFill>
              <a:srgbClr val="44546A"/>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508000</xdr:colOff>
      <xdr:row>0</xdr:row>
      <xdr:rowOff>23812</xdr:rowOff>
    </xdr:from>
    <xdr:to>
      <xdr:col>6</xdr:col>
      <xdr:colOff>1767416</xdr:colOff>
      <xdr:row>25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67733</xdr:colOff>
      <xdr:row>7</xdr:row>
      <xdr:rowOff>175684</xdr:rowOff>
    </xdr:from>
    <xdr:to>
      <xdr:col>2</xdr:col>
      <xdr:colOff>1115483</xdr:colOff>
      <xdr:row>19</xdr:row>
      <xdr:rowOff>137583</xdr:rowOff>
    </xdr:to>
    <mc:AlternateContent xmlns:mc="http://schemas.openxmlformats.org/markup-compatibility/2006" xmlns:a14="http://schemas.microsoft.com/office/drawing/2010/main">
      <mc:Choice Requires="a14">
        <xdr:graphicFrame macro="">
          <xdr:nvGraphicFramePr>
            <xdr:cNvPr id="3" name="WASH focal Agency"/>
            <xdr:cNvGraphicFramePr/>
          </xdr:nvGraphicFramePr>
          <xdr:xfrm>
            <a:off x="0" y="0"/>
            <a:ext cx="0" cy="0"/>
          </xdr:xfrm>
          <a:graphic>
            <a:graphicData uri="http://schemas.microsoft.com/office/drawing/2010/slicer">
              <sle:slicer xmlns:sle="http://schemas.microsoft.com/office/drawing/2010/slicer" name="WASH focal Agency"/>
            </a:graphicData>
          </a:graphic>
        </xdr:graphicFrame>
      </mc:Choice>
      <mc:Fallback xmlns="">
        <xdr:sp macro="" textlink="">
          <xdr:nvSpPr>
            <xdr:cNvPr id="0" name=""/>
            <xdr:cNvSpPr>
              <a:spLocks noTextEdit="1"/>
            </xdr:cNvSpPr>
          </xdr:nvSpPr>
          <xdr:spPr>
            <a:xfrm>
              <a:off x="67733" y="1583267"/>
              <a:ext cx="4688417" cy="237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38100</xdr:rowOff>
    </xdr:from>
    <xdr:to>
      <xdr:col>0</xdr:col>
      <xdr:colOff>1828800</xdr:colOff>
      <xdr:row>7</xdr:row>
      <xdr:rowOff>95250</xdr:rowOff>
    </xdr:to>
    <mc:AlternateContent xmlns:mc="http://schemas.openxmlformats.org/markup-compatibility/2006" xmlns:a14="http://schemas.microsoft.com/office/drawing/2010/main">
      <mc:Choice Requires="a14">
        <xdr:graphicFrame macro="">
          <xdr:nvGraphicFramePr>
            <xdr:cNvPr id="4" name="State 1"/>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8100"/>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1257300</xdr:colOff>
      <xdr:row>0</xdr:row>
      <xdr:rowOff>9525</xdr:rowOff>
    </xdr:from>
    <xdr:to>
      <xdr:col>4</xdr:col>
      <xdr:colOff>222250</xdr:colOff>
      <xdr:row>25</xdr:row>
      <xdr:rowOff>137583</xdr:rowOff>
    </xdr:to>
    <mc:AlternateContent xmlns:mc="http://schemas.openxmlformats.org/markup-compatibility/2006" xmlns:a14="http://schemas.microsoft.com/office/drawing/2010/main">
      <mc:Choice Requires="a14">
        <xdr:graphicFrame macro="">
          <xdr:nvGraphicFramePr>
            <xdr:cNvPr id="5" name="Township"/>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1904999</xdr:colOff>
      <xdr:row>0</xdr:row>
      <xdr:rowOff>28575</xdr:rowOff>
    </xdr:from>
    <xdr:to>
      <xdr:col>2</xdr:col>
      <xdr:colOff>1209674</xdr:colOff>
      <xdr:row>7</xdr:row>
      <xdr:rowOff>66675</xdr:rowOff>
    </xdr:to>
    <mc:AlternateContent xmlns:mc="http://schemas.openxmlformats.org/markup-compatibility/2006" xmlns:a14="http://schemas.microsoft.com/office/drawing/2010/main">
      <mc:Choice Requires="a14">
        <xdr:graphicFrame macro="">
          <xdr:nvGraphicFramePr>
            <xdr:cNvPr id="6" name="Location Type 1"/>
            <xdr:cNvGraphicFramePr/>
          </xdr:nvGraphicFramePr>
          <xdr:xfrm>
            <a:off x="0" y="0"/>
            <a:ext cx="0" cy="0"/>
          </xdr:xfrm>
          <a:graphic>
            <a:graphicData uri="http://schemas.microsoft.com/office/drawing/2010/slicer">
              <sle:slicer xmlns:sle="http://schemas.microsoft.com/office/drawing/2010/slicer" name="Location Type 1"/>
            </a:graphicData>
          </a:graphic>
        </xdr:graphicFrame>
      </mc:Choice>
      <mc:Fallback xmlns="">
        <xdr:sp macro="" textlink="">
          <xdr:nvSpPr>
            <xdr:cNvPr id="0" name=""/>
            <xdr:cNvSpPr>
              <a:spLocks noTextEdit="1"/>
            </xdr:cNvSpPr>
          </xdr:nvSpPr>
          <xdr:spPr>
            <a:xfrm>
              <a:off x="1904999" y="28575"/>
              <a:ext cx="2945342" cy="144568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1931459</xdr:colOff>
      <xdr:row>0</xdr:row>
      <xdr:rowOff>102658</xdr:rowOff>
    </xdr:from>
    <xdr:to>
      <xdr:col>6</xdr:col>
      <xdr:colOff>3760259</xdr:colOff>
      <xdr:row>9</xdr:row>
      <xdr:rowOff>42333</xdr:rowOff>
    </xdr:to>
    <mc:AlternateContent xmlns:mc="http://schemas.openxmlformats.org/markup-compatibility/2006" xmlns:a14="http://schemas.microsoft.com/office/drawing/2010/main">
      <mc:Choice Requires="a14">
        <xdr:graphicFrame macro="">
          <xdr:nvGraphicFramePr>
            <xdr:cNvPr id="7" name="Reporting Period"/>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5753292" y="102658"/>
              <a:ext cx="1828800" cy="1749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c:userShapes xmlns:c="http://schemas.openxmlformats.org/drawingml/2006/chart">
  <cdr:relSizeAnchor xmlns:cdr="http://schemas.openxmlformats.org/drawingml/2006/chartDrawing">
    <cdr:from>
      <cdr:x>0.25647</cdr:x>
      <cdr:y>0.0163</cdr:y>
    </cdr:from>
    <cdr:to>
      <cdr:x>0.41307</cdr:x>
      <cdr:y>0.0773</cdr:y>
    </cdr:to>
    <cdr:sp macro="" textlink="'Quarterly Dashboard'!$B$27">
      <cdr:nvSpPr>
        <cdr:cNvPr id="2" name="Rectangle 1"/>
        <cdr:cNvSpPr/>
      </cdr:nvSpPr>
      <cdr:spPr>
        <a:xfrm xmlns:a="http://schemas.openxmlformats.org/drawingml/2006/main">
          <a:off x="2201333" y="82021"/>
          <a:ext cx="1344083" cy="30691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600" b="0" i="0" u="none" strike="noStrike">
              <a:solidFill>
                <a:srgbClr val="44546A"/>
              </a:solidFill>
              <a:latin typeface="Calibri"/>
            </a:rPr>
            <a:pPr algn="r"/>
            <a:t>(All)</a:t>
          </a:fld>
          <a:endParaRPr lang="en-US" sz="1400" b="0">
            <a:solidFill>
              <a:srgbClr val="44546A"/>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193038</xdr:colOff>
      <xdr:row>76</xdr:row>
      <xdr:rowOff>14779</xdr:rowOff>
    </xdr:from>
    <xdr:to>
      <xdr:col>18</xdr:col>
      <xdr:colOff>359451</xdr:colOff>
      <xdr:row>92</xdr:row>
      <xdr:rowOff>127038</xdr:rowOff>
    </xdr:to>
    <xdr:graphicFrame macro="">
      <xdr:nvGraphicFramePr>
        <xdr:cNvPr id="3" name="Chart 2">
          <a:extLst>
            <a:ext uri="{FF2B5EF4-FFF2-40B4-BE49-F238E27FC236}">
              <a16:creationId xmlns=""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96286</xdr:colOff>
      <xdr:row>30</xdr:row>
      <xdr:rowOff>340568</xdr:rowOff>
    </xdr:from>
    <xdr:to>
      <xdr:col>13</xdr:col>
      <xdr:colOff>644446</xdr:colOff>
      <xdr:row>47</xdr:row>
      <xdr:rowOff>235972</xdr:rowOff>
    </xdr:to>
    <xdr:graphicFrame macro="">
      <xdr:nvGraphicFramePr>
        <xdr:cNvPr id="4" name="Chart 3">
          <a:extLst>
            <a:ext uri="{FF2B5EF4-FFF2-40B4-BE49-F238E27FC236}">
              <a16:creationId xmlns=""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723025</xdr:colOff>
      <xdr:row>31</xdr:row>
      <xdr:rowOff>110522</xdr:rowOff>
    </xdr:from>
    <xdr:to>
      <xdr:col>18</xdr:col>
      <xdr:colOff>318209</xdr:colOff>
      <xdr:row>47</xdr:row>
      <xdr:rowOff>218964</xdr:rowOff>
    </xdr:to>
    <xdr:graphicFrame macro="">
      <xdr:nvGraphicFramePr>
        <xdr:cNvPr id="7" name="Chart 6">
          <a:extLst>
            <a:ext uri="{FF2B5EF4-FFF2-40B4-BE49-F238E27FC236}">
              <a16:creationId xmlns=""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192104</xdr:colOff>
      <xdr:row>88</xdr:row>
      <xdr:rowOff>22807</xdr:rowOff>
    </xdr:from>
    <xdr:to>
      <xdr:col>7</xdr:col>
      <xdr:colOff>33337</xdr:colOff>
      <xdr:row>92</xdr:row>
      <xdr:rowOff>107156</xdr:rowOff>
    </xdr:to>
    <xdr:sp macro="" textlink="">
      <xdr:nvSpPr>
        <xdr:cNvPr id="8" name="Rectangle 7">
          <a:extLst>
            <a:ext uri="{FF2B5EF4-FFF2-40B4-BE49-F238E27FC236}">
              <a16:creationId xmlns="" xmlns:a16="http://schemas.microsoft.com/office/drawing/2014/main" id="{00000000-0008-0000-0A00-00001E000000}"/>
            </a:ext>
          </a:extLst>
        </xdr:cNvPr>
        <xdr:cNvSpPr/>
      </xdr:nvSpPr>
      <xdr:spPr>
        <a:xfrm>
          <a:off x="311167" y="17632151"/>
          <a:ext cx="6139639" cy="893974"/>
        </a:xfrm>
        <a:prstGeom prst="rect">
          <a:avLst/>
        </a:prstGeom>
        <a:ln>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400" b="1" i="0" u="none" strike="noStrike">
            <a:solidFill>
              <a:schemeClr val="bg1">
                <a:lumMod val="50000"/>
              </a:schemeClr>
            </a:solidFill>
            <a:effectLst/>
            <a:latin typeface="+mn-lt"/>
            <a:ea typeface="+mn-ea"/>
            <a:cs typeface="+mn-cs"/>
          </a:endParaRPr>
        </a:p>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CIDA, DFID, ECHO, GFFO, HARP, Irish Aid, LDS , MHF, MoFA Lux, UNICEF, WHH-BMZ,</a:t>
          </a:r>
          <a:r>
            <a:rPr lang="en-US" sz="1400" b="0" i="0" u="none" strike="noStrike" baseline="0">
              <a:solidFill>
                <a:schemeClr val="bg1">
                  <a:lumMod val="50000"/>
                </a:schemeClr>
              </a:solidFill>
              <a:effectLst/>
              <a:latin typeface="+mn-lt"/>
              <a:ea typeface="+mn-ea"/>
              <a:cs typeface="+mn-cs"/>
            </a:rPr>
            <a:t> AA (Caritas), SANYA, FFO, USAID, OFDA</a:t>
          </a:r>
          <a:endParaRPr lang="en-US" sz="1400">
            <a:solidFill>
              <a:schemeClr val="bg1">
                <a:lumMod val="50000"/>
              </a:schemeClr>
            </a:solidFill>
          </a:endParaRPr>
        </a:p>
      </xdr:txBody>
    </xdr:sp>
    <xdr:clientData/>
  </xdr:twoCellAnchor>
  <xdr:twoCellAnchor>
    <xdr:from>
      <xdr:col>1</xdr:col>
      <xdr:colOff>99412</xdr:colOff>
      <xdr:row>93</xdr:row>
      <xdr:rowOff>47623</xdr:rowOff>
    </xdr:from>
    <xdr:to>
      <xdr:col>7</xdr:col>
      <xdr:colOff>50007</xdr:colOff>
      <xdr:row>106</xdr:row>
      <xdr:rowOff>68518</xdr:rowOff>
    </xdr:to>
    <xdr:grpSp>
      <xdr:nvGrpSpPr>
        <xdr:cNvPr id="9" name="Group 8">
          <a:extLst>
            <a:ext uri="{FF2B5EF4-FFF2-40B4-BE49-F238E27FC236}">
              <a16:creationId xmlns="" xmlns:a16="http://schemas.microsoft.com/office/drawing/2014/main" id="{00000000-0008-0000-0A00-000005000000}"/>
            </a:ext>
          </a:extLst>
        </xdr:cNvPr>
        <xdr:cNvGrpSpPr/>
      </xdr:nvGrpSpPr>
      <xdr:grpSpPr>
        <a:xfrm>
          <a:off x="215321" y="17727505"/>
          <a:ext cx="6235105" cy="2529653"/>
          <a:chOff x="-24494074" y="6972935"/>
          <a:chExt cx="9921636" cy="921154"/>
        </a:xfrm>
      </xdr:grpSpPr>
      <xdr:graphicFrame macro="">
        <xdr:nvGraphicFramePr>
          <xdr:cNvPr id="10" name="Chart 9">
            <a:extLst>
              <a:ext uri="{FF2B5EF4-FFF2-40B4-BE49-F238E27FC236}">
                <a16:creationId xmlns="" xmlns:a16="http://schemas.microsoft.com/office/drawing/2014/main" id="{00000000-0008-0000-0A00-000017000000}"/>
              </a:ext>
            </a:extLst>
          </xdr:cNvPr>
          <xdr:cNvGraphicFramePr>
            <a:graphicFrameLocks/>
          </xdr:cNvGraphicFramePr>
        </xdr:nvGraphicFramePr>
        <xdr:xfrm>
          <a:off x="-24494074" y="6972935"/>
          <a:ext cx="9921636" cy="921154"/>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hlinkClick xmlns:r="http://schemas.openxmlformats.org/officeDocument/2006/relationships" r:id="rId5"/>
            <a:extLst>
              <a:ext uri="{FF2B5EF4-FFF2-40B4-BE49-F238E27FC236}">
                <a16:creationId xmlns="" xmlns:a16="http://schemas.microsoft.com/office/drawing/2014/main" id="{00000000-0008-0000-0A00-000011000000}"/>
              </a:ext>
            </a:extLst>
          </xdr:cNvPr>
          <xdr:cNvSpPr txBox="1"/>
        </xdr:nvSpPr>
        <xdr:spPr>
          <a:xfrm>
            <a:off x="-17109320" y="7067765"/>
            <a:ext cx="2362965" cy="21531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76730</xdr:colOff>
      <xdr:row>1</xdr:row>
      <xdr:rowOff>73268</xdr:rowOff>
    </xdr:from>
    <xdr:to>
      <xdr:col>18</xdr:col>
      <xdr:colOff>243143</xdr:colOff>
      <xdr:row>28</xdr:row>
      <xdr:rowOff>123630</xdr:rowOff>
    </xdr:to>
    <xdr:graphicFrame macro="">
      <xdr:nvGraphicFramePr>
        <xdr:cNvPr id="15" name="Chart 14">
          <a:extLst>
            <a:ext uri="{FF2B5EF4-FFF2-40B4-BE49-F238E27FC236}">
              <a16:creationId xmlns=""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434922</xdr:colOff>
      <xdr:row>36</xdr:row>
      <xdr:rowOff>54231</xdr:rowOff>
    </xdr:from>
    <xdr:to>
      <xdr:col>17</xdr:col>
      <xdr:colOff>242447</xdr:colOff>
      <xdr:row>37</xdr:row>
      <xdr:rowOff>91604</xdr:rowOff>
    </xdr:to>
    <xdr:cxnSp macro="">
      <xdr:nvCxnSpPr>
        <xdr:cNvPr id="16" name="Connector: Elbow 6">
          <a:extLst>
            <a:ext uri="{FF2B5EF4-FFF2-40B4-BE49-F238E27FC236}">
              <a16:creationId xmlns="" xmlns:a16="http://schemas.microsoft.com/office/drawing/2014/main" id="{00000000-0008-0000-0A00-000007000000}"/>
            </a:ext>
          </a:extLst>
        </xdr:cNvPr>
        <xdr:cNvCxnSpPr/>
      </xdr:nvCxnSpPr>
      <xdr:spPr>
        <a:xfrm>
          <a:off x="12094836" y="6590352"/>
          <a:ext cx="2840197" cy="201597"/>
        </a:xfrm>
        <a:prstGeom prst="bentConnector3">
          <a:avLst>
            <a:gd name="adj1" fmla="val 99494"/>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233452</xdr:colOff>
      <xdr:row>50</xdr:row>
      <xdr:rowOff>40964</xdr:rowOff>
    </xdr:from>
    <xdr:to>
      <xdr:col>18</xdr:col>
      <xdr:colOff>193782</xdr:colOff>
      <xdr:row>72</xdr:row>
      <xdr:rowOff>4179</xdr:rowOff>
    </xdr:to>
    <xdr:grpSp>
      <xdr:nvGrpSpPr>
        <xdr:cNvPr id="2" name="Group 1"/>
        <xdr:cNvGrpSpPr/>
      </xdr:nvGrpSpPr>
      <xdr:grpSpPr>
        <a:xfrm>
          <a:off x="6633871" y="8973467"/>
          <a:ext cx="8921831" cy="4658659"/>
          <a:chOff x="6650921" y="9530245"/>
          <a:chExt cx="8925736" cy="4844778"/>
        </a:xfrm>
      </xdr:grpSpPr>
      <xdr:graphicFrame macro="">
        <xdr:nvGraphicFramePr>
          <xdr:cNvPr id="5" name="Chart 4">
            <a:extLst>
              <a:ext uri="{FF2B5EF4-FFF2-40B4-BE49-F238E27FC236}">
                <a16:creationId xmlns="" xmlns:a16="http://schemas.microsoft.com/office/drawing/2014/main" id="{00000000-0008-0000-0A00-000009000000}"/>
              </a:ext>
            </a:extLst>
          </xdr:cNvPr>
          <xdr:cNvGraphicFramePr>
            <a:graphicFrameLocks/>
          </xdr:cNvGraphicFramePr>
        </xdr:nvGraphicFramePr>
        <xdr:xfrm>
          <a:off x="9762365" y="12045872"/>
          <a:ext cx="2922833" cy="2306566"/>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6" name="Chart 5">
            <a:extLst>
              <a:ext uri="{FF2B5EF4-FFF2-40B4-BE49-F238E27FC236}">
                <a16:creationId xmlns="" xmlns:a16="http://schemas.microsoft.com/office/drawing/2014/main" id="{00000000-0008-0000-0A00-00000D000000}"/>
              </a:ext>
            </a:extLst>
          </xdr:cNvPr>
          <xdr:cNvGraphicFramePr>
            <a:graphicFrameLocks/>
          </xdr:cNvGraphicFramePr>
        </xdr:nvGraphicFramePr>
        <xdr:xfrm>
          <a:off x="12812892" y="12027301"/>
          <a:ext cx="2763765" cy="2306566"/>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2" name="Chart 11">
            <a:extLst>
              <a:ext uri="{FF2B5EF4-FFF2-40B4-BE49-F238E27FC236}">
                <a16:creationId xmlns="" xmlns:a16="http://schemas.microsoft.com/office/drawing/2014/main" id="{00000000-0008-0000-0A00-000024000000}"/>
              </a:ext>
            </a:extLst>
          </xdr:cNvPr>
          <xdr:cNvGraphicFramePr>
            <a:graphicFrameLocks/>
          </xdr:cNvGraphicFramePr>
        </xdr:nvGraphicFramePr>
        <xdr:xfrm>
          <a:off x="6650921" y="9548381"/>
          <a:ext cx="3014098" cy="2348127"/>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3" name="Chart 12">
            <a:extLst>
              <a:ext uri="{FF2B5EF4-FFF2-40B4-BE49-F238E27FC236}">
                <a16:creationId xmlns="" xmlns:a16="http://schemas.microsoft.com/office/drawing/2014/main" id="{00000000-0008-0000-0A00-000025000000}"/>
              </a:ext>
            </a:extLst>
          </xdr:cNvPr>
          <xdr:cNvGraphicFramePr>
            <a:graphicFrameLocks/>
          </xdr:cNvGraphicFramePr>
        </xdr:nvGraphicFramePr>
        <xdr:xfrm>
          <a:off x="6660257" y="12043214"/>
          <a:ext cx="3014098" cy="2331809"/>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4" name="Chart 13">
            <a:extLst>
              <a:ext uri="{FF2B5EF4-FFF2-40B4-BE49-F238E27FC236}">
                <a16:creationId xmlns="" xmlns:a16="http://schemas.microsoft.com/office/drawing/2014/main" id="{00000000-0008-0000-0A00-000026000000}"/>
              </a:ext>
            </a:extLst>
          </xdr:cNvPr>
          <xdr:cNvGraphicFramePr>
            <a:graphicFrameLocks/>
          </xdr:cNvGraphicFramePr>
        </xdr:nvGraphicFramePr>
        <xdr:xfrm>
          <a:off x="9752097" y="9538984"/>
          <a:ext cx="3004519" cy="2352433"/>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7" name="Chart 16">
            <a:extLst>
              <a:ext uri="{FF2B5EF4-FFF2-40B4-BE49-F238E27FC236}">
                <a16:creationId xmlns="" xmlns:a16="http://schemas.microsoft.com/office/drawing/2014/main" id="{00000000-0008-0000-0A00-00001F000000}"/>
              </a:ext>
            </a:extLst>
          </xdr:cNvPr>
          <xdr:cNvGraphicFramePr>
            <a:graphicFrameLocks/>
          </xdr:cNvGraphicFramePr>
        </xdr:nvGraphicFramePr>
        <xdr:xfrm>
          <a:off x="12809306" y="9530245"/>
          <a:ext cx="2763765" cy="2352433"/>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7</xdr:col>
      <xdr:colOff>106836</xdr:colOff>
      <xdr:row>48</xdr:row>
      <xdr:rowOff>2390</xdr:rowOff>
    </xdr:from>
    <xdr:to>
      <xdr:col>18</xdr:col>
      <xdr:colOff>273249</xdr:colOff>
      <xdr:row>49</xdr:row>
      <xdr:rowOff>218728</xdr:rowOff>
    </xdr:to>
    <xdr:sp macro="" textlink="">
      <xdr:nvSpPr>
        <xdr:cNvPr id="18" name="TextBox 17">
          <a:extLst>
            <a:ext uri="{FF2B5EF4-FFF2-40B4-BE49-F238E27FC236}">
              <a16:creationId xmlns="" xmlns:a16="http://schemas.microsoft.com/office/drawing/2014/main" id="{00000000-0008-0000-0A00-000023000000}"/>
            </a:ext>
          </a:extLst>
        </xdr:cNvPr>
        <xdr:cNvSpPr txBox="1"/>
      </xdr:nvSpPr>
      <xdr:spPr>
        <a:xfrm>
          <a:off x="6511577" y="8903338"/>
          <a:ext cx="9144000" cy="4572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7</xdr:col>
      <xdr:colOff>176289</xdr:colOff>
      <xdr:row>72</xdr:row>
      <xdr:rowOff>147590</xdr:rowOff>
    </xdr:from>
    <xdr:to>
      <xdr:col>18</xdr:col>
      <xdr:colOff>342702</xdr:colOff>
      <xdr:row>75</xdr:row>
      <xdr:rowOff>13583</xdr:rowOff>
    </xdr:to>
    <xdr:sp macro="" textlink="">
      <xdr:nvSpPr>
        <xdr:cNvPr id="19" name="TextBox 45">
          <a:extLst>
            <a:ext uri="{FF2B5EF4-FFF2-40B4-BE49-F238E27FC236}">
              <a16:creationId xmlns="" xmlns:a16="http://schemas.microsoft.com/office/drawing/2014/main" id="{00000000-0008-0000-0A00-00002D000000}"/>
            </a:ext>
          </a:extLst>
        </xdr:cNvPr>
        <xdr:cNvSpPr txBox="1"/>
      </xdr:nvSpPr>
      <xdr:spPr>
        <a:xfrm>
          <a:off x="6581030" y="14391297"/>
          <a:ext cx="9144000" cy="4572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Hygiene Items 			                                      </a:t>
          </a:r>
          <a:endParaRPr lang="en-US" sz="1200">
            <a:solidFill>
              <a:schemeClr val="bg1"/>
            </a:solidFill>
            <a:effectLst/>
          </a:endParaRPr>
        </a:p>
      </xdr:txBody>
    </xdr:sp>
    <xdr:clientData/>
  </xdr:twoCellAnchor>
  <xdr:twoCellAnchor>
    <xdr:from>
      <xdr:col>7</xdr:col>
      <xdr:colOff>102916</xdr:colOff>
      <xdr:row>29</xdr:row>
      <xdr:rowOff>12864</xdr:rowOff>
    </xdr:from>
    <xdr:to>
      <xdr:col>18</xdr:col>
      <xdr:colOff>269329</xdr:colOff>
      <xdr:row>30</xdr:row>
      <xdr:rowOff>305839</xdr:rowOff>
    </xdr:to>
    <xdr:sp macro="" textlink="">
      <xdr:nvSpPr>
        <xdr:cNvPr id="20" name="Rectangle 19">
          <a:extLst>
            <a:ext uri="{FF2B5EF4-FFF2-40B4-BE49-F238E27FC236}">
              <a16:creationId xmlns="" xmlns:a16="http://schemas.microsoft.com/office/drawing/2014/main" id="{00000000-0008-0000-0A00-00002E000000}"/>
            </a:ext>
          </a:extLst>
        </xdr:cNvPr>
        <xdr:cNvSpPr/>
      </xdr:nvSpPr>
      <xdr:spPr>
        <a:xfrm>
          <a:off x="6507657" y="5191398"/>
          <a:ext cx="9144000" cy="4572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14</xdr:col>
      <xdr:colOff>1613228</xdr:colOff>
      <xdr:row>36</xdr:row>
      <xdr:rowOff>154782</xdr:rowOff>
    </xdr:from>
    <xdr:to>
      <xdr:col>18</xdr:col>
      <xdr:colOff>307264</xdr:colOff>
      <xdr:row>47</xdr:row>
      <xdr:rowOff>225669</xdr:rowOff>
    </xdr:to>
    <xdr:graphicFrame macro="">
      <xdr:nvGraphicFramePr>
        <xdr:cNvPr id="22" name="Chart 21">
          <a:extLst>
            <a:ext uri="{FF2B5EF4-FFF2-40B4-BE49-F238E27FC236}">
              <a16:creationId xmlns="" xmlns:a16="http://schemas.microsoft.com/office/drawing/2014/main" id="{00000000-0008-0000-0A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192951</xdr:colOff>
      <xdr:row>93</xdr:row>
      <xdr:rowOff>65691</xdr:rowOff>
    </xdr:from>
    <xdr:to>
      <xdr:col>18</xdr:col>
      <xdr:colOff>359364</xdr:colOff>
      <xdr:row>106</xdr:row>
      <xdr:rowOff>71438</xdr:rowOff>
    </xdr:to>
    <xdr:graphicFrame macro="">
      <xdr:nvGraphicFramePr>
        <xdr:cNvPr id="23" name="Chart 22">
          <a:extLst>
            <a:ext uri="{FF2B5EF4-FFF2-40B4-BE49-F238E27FC236}">
              <a16:creationId xmlns="" xmlns:a16="http://schemas.microsoft.com/office/drawing/2014/main" id="{308718F3-57CD-41D7-8391-A420F1F35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32107</xdr:colOff>
      <xdr:row>1</xdr:row>
      <xdr:rowOff>32107</xdr:rowOff>
    </xdr:from>
    <xdr:to>
      <xdr:col>7</xdr:col>
      <xdr:colOff>10702</xdr:colOff>
      <xdr:row>46</xdr:row>
      <xdr:rowOff>118755</xdr:rowOff>
    </xdr:to>
    <xdr:pic>
      <xdr:nvPicPr>
        <xdr:cNvPr id="21" name="Picture 2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9832" y="428090"/>
          <a:ext cx="6250112" cy="7824373"/>
        </a:xfrm>
        <a:prstGeom prst="rect">
          <a:avLst/>
        </a:prstGeom>
      </xdr:spPr>
    </xdr:pic>
    <xdr:clientData/>
  </xdr:twoCellAnchor>
  <xdr:twoCellAnchor>
    <xdr:from>
      <xdr:col>1</xdr:col>
      <xdr:colOff>42807</xdr:colOff>
      <xdr:row>75</xdr:row>
      <xdr:rowOff>21402</xdr:rowOff>
    </xdr:from>
    <xdr:to>
      <xdr:col>7</xdr:col>
      <xdr:colOff>32105</xdr:colOff>
      <xdr:row>87</xdr:row>
      <xdr:rowOff>64212</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35719</xdr:colOff>
      <xdr:row>62</xdr:row>
      <xdr:rowOff>142877</xdr:rowOff>
    </xdr:from>
    <xdr:to>
      <xdr:col>7</xdr:col>
      <xdr:colOff>11906</xdr:colOff>
      <xdr:row>74</xdr:row>
      <xdr:rowOff>119064</xdr:rowOff>
    </xdr:to>
    <xdr:graphicFrame macro="">
      <xdr:nvGraphicFramePr>
        <xdr:cNvPr id="26" name="Chart 25">
          <a:extLst>
            <a:ext uri="{FF2B5EF4-FFF2-40B4-BE49-F238E27FC236}">
              <a16:creationId xmlns:a16="http://schemas.microsoft.com/office/drawing/2014/main" xmlns=""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0.29371</cdr:x>
      <cdr:y>0.49014</cdr:y>
    </cdr:from>
    <cdr:to>
      <cdr:x>0.4136</cdr:x>
      <cdr:y>0.5302</cdr:y>
    </cdr:to>
    <cdr:sp macro="" textlink="">
      <cdr:nvSpPr>
        <cdr:cNvPr id="2" name="TextBox 22"/>
        <cdr:cNvSpPr txBox="1"/>
      </cdr:nvSpPr>
      <cdr:spPr>
        <a:xfrm xmlns:a="http://schemas.openxmlformats.org/drawingml/2006/main">
          <a:off x="2682081" y="2277268"/>
          <a:ext cx="1094827" cy="1861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1">
              <a:solidFill>
                <a:schemeClr val="accent3">
                  <a:lumMod val="50000"/>
                </a:schemeClr>
              </a:solidFill>
            </a:rPr>
            <a:t>(Cumulative)</a:t>
          </a:r>
        </a:p>
      </cdr:txBody>
    </cdr:sp>
  </cdr:relSizeAnchor>
</c:userShapes>
</file>

<file path=xl/drawings/drawing11.xml><?xml version="1.0" encoding="utf-8"?>
<xdr:wsDr xmlns:xdr="http://schemas.openxmlformats.org/drawingml/2006/spreadsheetDrawing" xmlns:a="http://schemas.openxmlformats.org/drawingml/2006/main">
  <xdr:twoCellAnchor>
    <xdr:from>
      <xdr:col>16</xdr:col>
      <xdr:colOff>466588</xdr:colOff>
      <xdr:row>34</xdr:row>
      <xdr:rowOff>11907</xdr:rowOff>
    </xdr:from>
    <xdr:to>
      <xdr:col>21</xdr:col>
      <xdr:colOff>605381</xdr:colOff>
      <xdr:row>42</xdr:row>
      <xdr:rowOff>440532</xdr:rowOff>
    </xdr:to>
    <xdr:graphicFrame macro="">
      <xdr:nvGraphicFramePr>
        <xdr:cNvPr id="2" name="Chart 1">
          <a:extLst>
            <a:ext uri="{FF2B5EF4-FFF2-40B4-BE49-F238E27FC236}">
              <a16:creationId xmlns=""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57149</xdr:rowOff>
    </xdr:from>
    <xdr:to>
      <xdr:col>8</xdr:col>
      <xdr:colOff>178384</xdr:colOff>
      <xdr:row>43</xdr:row>
      <xdr:rowOff>15875</xdr:rowOff>
    </xdr:to>
    <xdr:pic>
      <xdr:nvPicPr>
        <xdr:cNvPr id="3" name="Picture 2">
          <a:extLst>
            <a:ext uri="{FF2B5EF4-FFF2-40B4-BE49-F238E27FC236}">
              <a16:creationId xmlns="" xmlns:a16="http://schemas.microsoft.com/office/drawing/2014/main" id="{00000000-0008-0000-0B00-00001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338" b="11932"/>
        <a:stretch/>
      </xdr:blipFill>
      <xdr:spPr>
        <a:xfrm>
          <a:off x="0" y="374649"/>
          <a:ext cx="7068134" cy="7673976"/>
        </a:xfrm>
        <a:prstGeom prst="rect">
          <a:avLst/>
        </a:prstGeom>
      </xdr:spPr>
    </xdr:pic>
    <xdr:clientData/>
  </xdr:twoCellAnchor>
  <xdr:twoCellAnchor>
    <xdr:from>
      <xdr:col>16</xdr:col>
      <xdr:colOff>494703</xdr:colOff>
      <xdr:row>44</xdr:row>
      <xdr:rowOff>265814</xdr:rowOff>
    </xdr:from>
    <xdr:to>
      <xdr:col>28</xdr:col>
      <xdr:colOff>1317994</xdr:colOff>
      <xdr:row>53</xdr:row>
      <xdr:rowOff>15875</xdr:rowOff>
    </xdr:to>
    <xdr:graphicFrame macro="">
      <xdr:nvGraphicFramePr>
        <xdr:cNvPr id="5" name="Chart 4">
          <a:extLst>
            <a:ext uri="{FF2B5EF4-FFF2-40B4-BE49-F238E27FC236}">
              <a16:creationId xmlns=""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491521</xdr:colOff>
      <xdr:row>3</xdr:row>
      <xdr:rowOff>23812</xdr:rowOff>
    </xdr:from>
    <xdr:to>
      <xdr:col>24</xdr:col>
      <xdr:colOff>269875</xdr:colOff>
      <xdr:row>18</xdr:row>
      <xdr:rowOff>1</xdr:rowOff>
    </xdr:to>
    <xdr:graphicFrame macro="">
      <xdr:nvGraphicFramePr>
        <xdr:cNvPr id="6" name="Chart 5">
          <a:extLst>
            <a:ext uri="{FF2B5EF4-FFF2-40B4-BE49-F238E27FC236}">
              <a16:creationId xmlns=""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11903</xdr:colOff>
      <xdr:row>34</xdr:row>
      <xdr:rowOff>66270</xdr:rowOff>
    </xdr:from>
    <xdr:to>
      <xdr:col>26</xdr:col>
      <xdr:colOff>446652</xdr:colOff>
      <xdr:row>42</xdr:row>
      <xdr:rowOff>321469</xdr:rowOff>
    </xdr:to>
    <xdr:graphicFrame macro="">
      <xdr:nvGraphicFramePr>
        <xdr:cNvPr id="7" name="Chart 6">
          <a:extLst>
            <a:ext uri="{FF2B5EF4-FFF2-40B4-BE49-F238E27FC236}">
              <a16:creationId xmlns=""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347774</xdr:colOff>
      <xdr:row>34</xdr:row>
      <xdr:rowOff>76213</xdr:rowOff>
    </xdr:from>
    <xdr:to>
      <xdr:col>28</xdr:col>
      <xdr:colOff>1307749</xdr:colOff>
      <xdr:row>42</xdr:row>
      <xdr:rowOff>345281</xdr:rowOff>
    </xdr:to>
    <xdr:graphicFrame macro="">
      <xdr:nvGraphicFramePr>
        <xdr:cNvPr id="8" name="Chart 7">
          <a:extLst>
            <a:ext uri="{FF2B5EF4-FFF2-40B4-BE49-F238E27FC236}">
              <a16:creationId xmlns=""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574225</xdr:colOff>
      <xdr:row>1</xdr:row>
      <xdr:rowOff>145645</xdr:rowOff>
    </xdr:from>
    <xdr:to>
      <xdr:col>6</xdr:col>
      <xdr:colOff>766715</xdr:colOff>
      <xdr:row>14</xdr:row>
      <xdr:rowOff>147115</xdr:rowOff>
    </xdr:to>
    <xdr:pic>
      <xdr:nvPicPr>
        <xdr:cNvPr id="9" name="Picture 8">
          <a:extLst>
            <a:ext uri="{FF2B5EF4-FFF2-40B4-BE49-F238E27FC236}">
              <a16:creationId xmlns=""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60500" y="459970"/>
          <a:ext cx="1068790" cy="2106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32523</xdr:colOff>
      <xdr:row>38</xdr:row>
      <xdr:rowOff>62659</xdr:rowOff>
    </xdr:from>
    <xdr:to>
      <xdr:col>16</xdr:col>
      <xdr:colOff>446768</xdr:colOff>
      <xdr:row>41</xdr:row>
      <xdr:rowOff>119063</xdr:rowOff>
    </xdr:to>
    <xdr:sp macro="" textlink="">
      <xdr:nvSpPr>
        <xdr:cNvPr id="10" name="Rectangle 9">
          <a:extLst>
            <a:ext uri="{FF2B5EF4-FFF2-40B4-BE49-F238E27FC236}">
              <a16:creationId xmlns="" xmlns:a16="http://schemas.microsoft.com/office/drawing/2014/main" id="{00000000-0008-0000-0B00-000002000000}"/>
            </a:ext>
          </a:extLst>
        </xdr:cNvPr>
        <xdr:cNvSpPr/>
      </xdr:nvSpPr>
      <xdr:spPr>
        <a:xfrm>
          <a:off x="6233298" y="6815884"/>
          <a:ext cx="7681820" cy="485029"/>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200" b="1" i="0" u="none" strike="noStrike">
              <a:solidFill>
                <a:schemeClr val="bg1">
                  <a:lumMod val="50000"/>
                </a:schemeClr>
              </a:solidFill>
              <a:effectLst/>
              <a:latin typeface="+mn-lt"/>
              <a:ea typeface="+mn-ea"/>
              <a:cs typeface="+mn-cs"/>
            </a:rPr>
            <a:t>DONORS: </a:t>
          </a:r>
          <a:r>
            <a:rPr lang="en-US" sz="1200" b="0" i="0" u="none" strike="noStrike">
              <a:solidFill>
                <a:schemeClr val="bg1">
                  <a:lumMod val="50000"/>
                </a:schemeClr>
              </a:solidFill>
              <a:effectLst/>
              <a:latin typeface="+mn-lt"/>
              <a:ea typeface="+mn-ea"/>
              <a:cs typeface="+mn-cs"/>
            </a:rPr>
            <a:t>BMZ, DRC internal, ECHO, German Humanitarain Assistance (AA), GIZ, HARP, HIF, LIFT, MdP, MHF, OFDA, Ole Kirk's Foundation, SDC, UNICEF, USA, USA (OFDA)  </a:t>
          </a:r>
          <a:r>
            <a:rPr lang="en-US" sz="1200">
              <a:solidFill>
                <a:schemeClr val="bg1">
                  <a:lumMod val="50000"/>
                </a:schemeClr>
              </a:solidFill>
            </a:rPr>
            <a:t> </a:t>
          </a:r>
        </a:p>
      </xdr:txBody>
    </xdr:sp>
    <xdr:clientData/>
  </xdr:twoCellAnchor>
  <xdr:twoCellAnchor>
    <xdr:from>
      <xdr:col>6</xdr:col>
      <xdr:colOff>285152</xdr:colOff>
      <xdr:row>25</xdr:row>
      <xdr:rowOff>201581</xdr:rowOff>
    </xdr:from>
    <xdr:to>
      <xdr:col>7</xdr:col>
      <xdr:colOff>563412</xdr:colOff>
      <xdr:row>27</xdr:row>
      <xdr:rowOff>85066</xdr:rowOff>
    </xdr:to>
    <xdr:sp macro="" textlink="">
      <xdr:nvSpPr>
        <xdr:cNvPr id="11" name="Rectangle 10">
          <a:extLst>
            <a:ext uri="{FF2B5EF4-FFF2-40B4-BE49-F238E27FC236}">
              <a16:creationId xmlns="" xmlns:a16="http://schemas.microsoft.com/office/drawing/2014/main" id="{00000000-0008-0000-0B00-000004000000}"/>
            </a:ext>
          </a:extLst>
        </xdr:cNvPr>
        <xdr:cNvSpPr/>
      </xdr:nvSpPr>
      <xdr:spPr>
        <a:xfrm>
          <a:off x="5647727" y="4364006"/>
          <a:ext cx="1116460" cy="2454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i="1">
              <a:solidFill>
                <a:srgbClr val="0070C0"/>
              </a:solidFill>
            </a:rPr>
            <a:t>Bay</a:t>
          </a:r>
          <a:r>
            <a:rPr lang="en-US" sz="1100" i="1" baseline="0">
              <a:solidFill>
                <a:srgbClr val="0070C0"/>
              </a:solidFill>
            </a:rPr>
            <a:t> of Bengal</a:t>
          </a:r>
          <a:endParaRPr lang="en-US" sz="1100" i="1">
            <a:solidFill>
              <a:srgbClr val="0070C0"/>
            </a:solidFill>
          </a:endParaRPr>
        </a:p>
      </xdr:txBody>
    </xdr:sp>
    <xdr:clientData/>
  </xdr:twoCellAnchor>
  <xdr:twoCellAnchor>
    <xdr:from>
      <xdr:col>24</xdr:col>
      <xdr:colOff>288018</xdr:colOff>
      <xdr:row>2</xdr:row>
      <xdr:rowOff>154781</xdr:rowOff>
    </xdr:from>
    <xdr:to>
      <xdr:col>28</xdr:col>
      <xdr:colOff>1319893</xdr:colOff>
      <xdr:row>18</xdr:row>
      <xdr:rowOff>10426</xdr:rowOff>
    </xdr:to>
    <xdr:graphicFrame macro="">
      <xdr:nvGraphicFramePr>
        <xdr:cNvPr id="12" name="Chart 11">
          <a:extLst>
            <a:ext uri="{FF2B5EF4-FFF2-40B4-BE49-F238E27FC236}">
              <a16:creationId xmlns=""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35983</xdr:colOff>
      <xdr:row>29</xdr:row>
      <xdr:rowOff>112788</xdr:rowOff>
    </xdr:from>
    <xdr:to>
      <xdr:col>11</xdr:col>
      <xdr:colOff>1259416</xdr:colOff>
      <xdr:row>38</xdr:row>
      <xdr:rowOff>22981</xdr:rowOff>
    </xdr:to>
    <xdr:graphicFrame macro="">
      <xdr:nvGraphicFramePr>
        <xdr:cNvPr id="13" name="Chart 12">
          <a:extLst>
            <a:ext uri="{FF2B5EF4-FFF2-40B4-BE49-F238E27FC236}">
              <a16:creationId xmlns=""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1155700</xdr:colOff>
      <xdr:row>29</xdr:row>
      <xdr:rowOff>100088</xdr:rowOff>
    </xdr:from>
    <xdr:to>
      <xdr:col>16</xdr:col>
      <xdr:colOff>444500</xdr:colOff>
      <xdr:row>38</xdr:row>
      <xdr:rowOff>10281</xdr:rowOff>
    </xdr:to>
    <xdr:graphicFrame macro="">
      <xdr:nvGraphicFramePr>
        <xdr:cNvPr id="14" name="Chart 13">
          <a:extLst>
            <a:ext uri="{FF2B5EF4-FFF2-40B4-BE49-F238E27FC236}">
              <a16:creationId xmlns=""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38100</xdr:colOff>
      <xdr:row>41</xdr:row>
      <xdr:rowOff>110970</xdr:rowOff>
    </xdr:from>
    <xdr:to>
      <xdr:col>16</xdr:col>
      <xdr:colOff>464343</xdr:colOff>
      <xdr:row>45</xdr:row>
      <xdr:rowOff>190500</xdr:rowOff>
    </xdr:to>
    <xdr:grpSp>
      <xdr:nvGrpSpPr>
        <xdr:cNvPr id="15" name="Group 14">
          <a:extLst>
            <a:ext uri="{FF2B5EF4-FFF2-40B4-BE49-F238E27FC236}">
              <a16:creationId xmlns="" xmlns:a16="http://schemas.microsoft.com/office/drawing/2014/main" id="{00000000-0008-0000-0B00-000005000000}"/>
            </a:ext>
          </a:extLst>
        </xdr:cNvPr>
        <xdr:cNvGrpSpPr/>
      </xdr:nvGrpSpPr>
      <xdr:grpSpPr>
        <a:xfrm>
          <a:off x="6240426" y="7443005"/>
          <a:ext cx="7691824" cy="1873774"/>
          <a:chOff x="6910423" y="7259680"/>
          <a:chExt cx="6379545" cy="2506182"/>
        </a:xfrm>
      </xdr:grpSpPr>
      <xdr:graphicFrame macro="">
        <xdr:nvGraphicFramePr>
          <xdr:cNvPr id="16" name="Chart 15">
            <a:extLst>
              <a:ext uri="{FF2B5EF4-FFF2-40B4-BE49-F238E27FC236}">
                <a16:creationId xmlns="" xmlns:a16="http://schemas.microsoft.com/office/drawing/2014/main" id="{00000000-0008-0000-0B00-000012000000}"/>
              </a:ext>
            </a:extLst>
          </xdr:cNvPr>
          <xdr:cNvGraphicFramePr>
            <a:graphicFrameLocks/>
          </xdr:cNvGraphicFramePr>
        </xdr:nvGraphicFramePr>
        <xdr:xfrm>
          <a:off x="6910423" y="7259680"/>
          <a:ext cx="6361075" cy="2506182"/>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17" name="TextBox 16">
            <a:hlinkClick xmlns:r="http://schemas.openxmlformats.org/officeDocument/2006/relationships" r:id="rId12"/>
            <a:extLst>
              <a:ext uri="{FF2B5EF4-FFF2-40B4-BE49-F238E27FC236}">
                <a16:creationId xmlns="" xmlns:a16="http://schemas.microsoft.com/office/drawing/2014/main" id="{00000000-0008-0000-0B00-00001C000000}"/>
              </a:ext>
            </a:extLst>
          </xdr:cNvPr>
          <xdr:cNvSpPr txBox="1"/>
        </xdr:nvSpPr>
        <xdr:spPr>
          <a:xfrm>
            <a:off x="12445545" y="7343336"/>
            <a:ext cx="844423" cy="592406"/>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More</a:t>
            </a:r>
            <a:r>
              <a:rPr lang="en-US" sz="1100" b="1" baseline="0">
                <a:solidFill>
                  <a:schemeClr val="bg1"/>
                </a:solidFill>
              </a:rPr>
              <a:t> info on gaps </a:t>
            </a:r>
            <a:r>
              <a:rPr lang="en-US" sz="800" b="1" baseline="0">
                <a:solidFill>
                  <a:schemeClr val="bg1"/>
                </a:solidFill>
              </a:rPr>
              <a:t>(click here)</a:t>
            </a:r>
            <a:endParaRPr lang="en-US" sz="800" b="1">
              <a:solidFill>
                <a:schemeClr val="bg1"/>
              </a:solidFill>
            </a:endParaRPr>
          </a:p>
        </xdr:txBody>
      </xdr:sp>
    </xdr:grpSp>
    <xdr:clientData/>
  </xdr:twoCellAnchor>
  <xdr:twoCellAnchor>
    <xdr:from>
      <xdr:col>16</xdr:col>
      <xdr:colOff>471714</xdr:colOff>
      <xdr:row>1</xdr:row>
      <xdr:rowOff>70140</xdr:rowOff>
    </xdr:from>
    <xdr:to>
      <xdr:col>28</xdr:col>
      <xdr:colOff>1289978</xdr:colOff>
      <xdr:row>3</xdr:row>
      <xdr:rowOff>12192</xdr:rowOff>
    </xdr:to>
    <xdr:sp macro="" textlink="">
      <xdr:nvSpPr>
        <xdr:cNvPr id="18" name="Rectangle 17">
          <a:extLst>
            <a:ext uri="{FF2B5EF4-FFF2-40B4-BE49-F238E27FC236}">
              <a16:creationId xmlns="" xmlns:a16="http://schemas.microsoft.com/office/drawing/2014/main" id="{00000000-0008-0000-0B00-000006000000}"/>
            </a:ext>
          </a:extLst>
        </xdr:cNvPr>
        <xdr:cNvSpPr/>
      </xdr:nvSpPr>
      <xdr:spPr>
        <a:xfrm>
          <a:off x="13939621" y="380256"/>
          <a:ext cx="9601200" cy="27432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WATER Quantity                                                                                                                               WATER Quality</a:t>
          </a:r>
        </a:p>
      </xdr:txBody>
    </xdr:sp>
    <xdr:clientData/>
  </xdr:twoCellAnchor>
  <xdr:twoCellAnchor>
    <xdr:from>
      <xdr:col>16</xdr:col>
      <xdr:colOff>476250</xdr:colOff>
      <xdr:row>19</xdr:row>
      <xdr:rowOff>19844</xdr:rowOff>
    </xdr:from>
    <xdr:to>
      <xdr:col>22</xdr:col>
      <xdr:colOff>16329</xdr:colOff>
      <xdr:row>34</xdr:row>
      <xdr:rowOff>71437</xdr:rowOff>
    </xdr:to>
    <xdr:graphicFrame macro="">
      <xdr:nvGraphicFramePr>
        <xdr:cNvPr id="20" name="Chart 19">
          <a:extLst>
            <a:ext uri="{FF2B5EF4-FFF2-40B4-BE49-F238E27FC236}">
              <a16:creationId xmlns=""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617427</xdr:colOff>
      <xdr:row>20</xdr:row>
      <xdr:rowOff>3864</xdr:rowOff>
    </xdr:from>
    <xdr:to>
      <xdr:col>26</xdr:col>
      <xdr:colOff>441554</xdr:colOff>
      <xdr:row>34</xdr:row>
      <xdr:rowOff>47625</xdr:rowOff>
    </xdr:to>
    <xdr:graphicFrame macro="">
      <xdr:nvGraphicFramePr>
        <xdr:cNvPr id="21" name="Chart 20">
          <a:extLst>
            <a:ext uri="{FF2B5EF4-FFF2-40B4-BE49-F238E27FC236}">
              <a16:creationId xmlns=""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478782</xdr:colOff>
      <xdr:row>18</xdr:row>
      <xdr:rowOff>68036</xdr:rowOff>
    </xdr:from>
    <xdr:to>
      <xdr:col>28</xdr:col>
      <xdr:colOff>1297046</xdr:colOff>
      <xdr:row>20</xdr:row>
      <xdr:rowOff>11906</xdr:rowOff>
    </xdr:to>
    <xdr:sp macro="" textlink="">
      <xdr:nvSpPr>
        <xdr:cNvPr id="22" name="TextBox 21">
          <a:extLst>
            <a:ext uri="{FF2B5EF4-FFF2-40B4-BE49-F238E27FC236}">
              <a16:creationId xmlns="" xmlns:a16="http://schemas.microsoft.com/office/drawing/2014/main" id="{00000000-0008-0000-0B00-00001F000000}"/>
            </a:ext>
          </a:extLst>
        </xdr:cNvPr>
        <xdr:cNvSpPr txBox="1"/>
      </xdr:nvSpPr>
      <xdr:spPr>
        <a:xfrm>
          <a:off x="13946689" y="3202426"/>
          <a:ext cx="9601200" cy="276137"/>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Sanitation Facilities 			                                                         Sanitation services</a:t>
          </a:r>
          <a:endParaRPr lang="en-US" sz="1200">
            <a:solidFill>
              <a:schemeClr val="bg1"/>
            </a:solidFill>
            <a:effectLst/>
          </a:endParaRPr>
        </a:p>
      </xdr:txBody>
    </xdr:sp>
    <xdr:clientData/>
  </xdr:twoCellAnchor>
  <xdr:twoCellAnchor>
    <xdr:from>
      <xdr:col>16</xdr:col>
      <xdr:colOff>464342</xdr:colOff>
      <xdr:row>42</xdr:row>
      <xdr:rowOff>333377</xdr:rowOff>
    </xdr:from>
    <xdr:to>
      <xdr:col>28</xdr:col>
      <xdr:colOff>1282606</xdr:colOff>
      <xdr:row>44</xdr:row>
      <xdr:rowOff>153598</xdr:rowOff>
    </xdr:to>
    <xdr:sp macro="" textlink="">
      <xdr:nvSpPr>
        <xdr:cNvPr id="23" name="TextBox 45">
          <a:extLst>
            <a:ext uri="{FF2B5EF4-FFF2-40B4-BE49-F238E27FC236}">
              <a16:creationId xmlns="" xmlns:a16="http://schemas.microsoft.com/office/drawing/2014/main" id="{00000000-0008-0000-0B00-000029000000}"/>
            </a:ext>
          </a:extLst>
        </xdr:cNvPr>
        <xdr:cNvSpPr txBox="1"/>
      </xdr:nvSpPr>
      <xdr:spPr>
        <a:xfrm>
          <a:off x="13932249" y="8274569"/>
          <a:ext cx="9601200" cy="27432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Hygiene Items 			                                      </a:t>
          </a:r>
          <a:endParaRPr lang="en-US" sz="1200">
            <a:solidFill>
              <a:schemeClr val="bg1"/>
            </a:solidFill>
            <a:effectLst/>
          </a:endParaRPr>
        </a:p>
      </xdr:txBody>
    </xdr:sp>
    <xdr:clientData/>
  </xdr:twoCellAnchor>
  <xdr:twoCellAnchor>
    <xdr:from>
      <xdr:col>26</xdr:col>
      <xdr:colOff>472849</xdr:colOff>
      <xdr:row>20</xdr:row>
      <xdr:rowOff>132669</xdr:rowOff>
    </xdr:from>
    <xdr:to>
      <xdr:col>28</xdr:col>
      <xdr:colOff>1332820</xdr:colOff>
      <xdr:row>34</xdr:row>
      <xdr:rowOff>23812</xdr:rowOff>
    </xdr:to>
    <xdr:graphicFrame macro="">
      <xdr:nvGraphicFramePr>
        <xdr:cNvPr id="24" name="Chart 23">
          <a:extLst>
            <a:ext uri="{FF2B5EF4-FFF2-40B4-BE49-F238E27FC236}">
              <a16:creationId xmlns=""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122465</xdr:colOff>
      <xdr:row>7</xdr:row>
      <xdr:rowOff>-1</xdr:rowOff>
    </xdr:from>
    <xdr:to>
      <xdr:col>28</xdr:col>
      <xdr:colOff>1224643</xdr:colOff>
      <xdr:row>17</xdr:row>
      <xdr:rowOff>122464</xdr:rowOff>
    </xdr:to>
    <xdr:graphicFrame macro="">
      <xdr:nvGraphicFramePr>
        <xdr:cNvPr id="25" name="Chart 24">
          <a:extLst>
            <a:ext uri="{FF2B5EF4-FFF2-40B4-BE49-F238E27FC236}">
              <a16:creationId xmlns=""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22150</xdr:colOff>
      <xdr:row>1</xdr:row>
      <xdr:rowOff>121831</xdr:rowOff>
    </xdr:from>
    <xdr:to>
      <xdr:col>16</xdr:col>
      <xdr:colOff>443022</xdr:colOff>
      <xdr:row>29</xdr:row>
      <xdr:rowOff>33227</xdr:rowOff>
    </xdr:to>
    <xdr:graphicFrame macro="">
      <xdr:nvGraphicFramePr>
        <xdr:cNvPr id="27" name="Chart 26">
          <a:extLst>
            <a:ext uri="{FF2B5EF4-FFF2-40B4-BE49-F238E27FC236}">
              <a16:creationId xmlns=""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0.18928</cdr:x>
      <cdr:y>0.11042</cdr:y>
    </cdr:from>
    <cdr:to>
      <cdr:x>0.76633</cdr:x>
      <cdr:y>0.22196</cdr:y>
    </cdr:to>
    <cdr:grpSp>
      <cdr:nvGrpSpPr>
        <cdr:cNvPr id="12" name="Group 11">
          <a:extLst xmlns:a="http://schemas.openxmlformats.org/drawingml/2006/main">
            <a:ext uri="{FF2B5EF4-FFF2-40B4-BE49-F238E27FC236}">
              <a16:creationId xmlns="" xmlns:a16="http://schemas.microsoft.com/office/drawing/2014/main" id="{BD850A98-C5B7-4E84-BE64-46C2141B3123}"/>
            </a:ext>
          </a:extLst>
        </cdr:cNvPr>
        <cdr:cNvGrpSpPr/>
      </cdr:nvGrpSpPr>
      <cdr:grpSpPr>
        <a:xfrm xmlns:a="http://schemas.openxmlformats.org/drawingml/2006/main">
          <a:off x="929048" y="277572"/>
          <a:ext cx="2832351" cy="280388"/>
          <a:chOff x="902607" y="281966"/>
          <a:chExt cx="2751666" cy="284835"/>
        </a:xfrm>
      </cdr:grpSpPr>
      <cdr:cxnSp macro="">
        <cdr:nvCxnSpPr>
          <cdr:cNvPr id="3" name="Connector: Elbow 2">
            <a:extLst xmlns:a="http://schemas.openxmlformats.org/drawingml/2006/main">
              <a:ext uri="{FF2B5EF4-FFF2-40B4-BE49-F238E27FC236}">
                <a16:creationId xmlns="" xmlns:a16="http://schemas.microsoft.com/office/drawing/2014/main" id="{84415940-AC22-41DC-8A0F-BA56FECA2780}"/>
              </a:ext>
            </a:extLst>
          </cdr:cNvPr>
          <cdr:cNvCxnSpPr/>
        </cdr:nvCxnSpPr>
        <cdr:spPr>
          <a:xfrm xmlns:a="http://schemas.openxmlformats.org/drawingml/2006/main">
            <a:off x="1082523" y="281966"/>
            <a:ext cx="2571750" cy="284835"/>
          </a:xfrm>
          <a:prstGeom xmlns:a="http://schemas.openxmlformats.org/drawingml/2006/main" prst="bentConnector3">
            <a:avLst>
              <a:gd name="adj1" fmla="val 99794"/>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1" name="Straight Connector 10">
            <a:extLst xmlns:a="http://schemas.openxmlformats.org/drawingml/2006/main">
              <a:ext uri="{FF2B5EF4-FFF2-40B4-BE49-F238E27FC236}">
                <a16:creationId xmlns="" xmlns:a16="http://schemas.microsoft.com/office/drawing/2014/main" id="{033ABF3E-1E9D-4003-9DC6-1FA7DCBE6713}"/>
              </a:ext>
            </a:extLst>
          </cdr:cNvPr>
          <cdr:cNvCxnSpPr/>
        </cdr:nvCxnSpPr>
        <cdr:spPr>
          <a:xfrm xmlns:a="http://schemas.openxmlformats.org/drawingml/2006/main" flipV="1">
            <a:off x="902607" y="281966"/>
            <a:ext cx="179916" cy="1587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3.xml><?xml version="1.0" encoding="utf-8"?>
<xdr:wsDr xmlns:xdr="http://schemas.openxmlformats.org/drawingml/2006/spreadsheetDrawing" xmlns:a="http://schemas.openxmlformats.org/drawingml/2006/main">
  <xdr:twoCellAnchor>
    <xdr:from>
      <xdr:col>7</xdr:col>
      <xdr:colOff>198329</xdr:colOff>
      <xdr:row>78</xdr:row>
      <xdr:rowOff>91523</xdr:rowOff>
    </xdr:from>
    <xdr:to>
      <xdr:col>20</xdr:col>
      <xdr:colOff>186681</xdr:colOff>
      <xdr:row>94</xdr:row>
      <xdr:rowOff>71437</xdr:rowOff>
    </xdr:to>
    <xdr:graphicFrame macro="">
      <xdr:nvGraphicFramePr>
        <xdr:cNvPr id="5" name="Chart 4">
          <a:extLst>
            <a:ext uri="{FF2B5EF4-FFF2-40B4-BE49-F238E27FC236}">
              <a16:creationId xmlns=""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259496</xdr:colOff>
      <xdr:row>35</xdr:row>
      <xdr:rowOff>330222</xdr:rowOff>
    </xdr:from>
    <xdr:to>
      <xdr:col>13</xdr:col>
      <xdr:colOff>308115</xdr:colOff>
      <xdr:row>46</xdr:row>
      <xdr:rowOff>346634</xdr:rowOff>
    </xdr:to>
    <xdr:graphicFrame macro="">
      <xdr:nvGraphicFramePr>
        <xdr:cNvPr id="6" name="Chart 5">
          <a:extLst>
            <a:ext uri="{FF2B5EF4-FFF2-40B4-BE49-F238E27FC236}">
              <a16:creationId xmlns=""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75384</xdr:colOff>
      <xdr:row>90</xdr:row>
      <xdr:rowOff>117427</xdr:rowOff>
    </xdr:from>
    <xdr:to>
      <xdr:col>7</xdr:col>
      <xdr:colOff>71437</xdr:colOff>
      <xdr:row>94</xdr:row>
      <xdr:rowOff>11907</xdr:rowOff>
    </xdr:to>
    <xdr:sp macro="" textlink="">
      <xdr:nvSpPr>
        <xdr:cNvPr id="9" name="Rectangle 8">
          <a:extLst>
            <a:ext uri="{FF2B5EF4-FFF2-40B4-BE49-F238E27FC236}">
              <a16:creationId xmlns="" xmlns:a16="http://schemas.microsoft.com/office/drawing/2014/main" id="{00000000-0008-0000-0B00-000002000000}"/>
            </a:ext>
          </a:extLst>
        </xdr:cNvPr>
        <xdr:cNvSpPr/>
      </xdr:nvSpPr>
      <xdr:spPr>
        <a:xfrm>
          <a:off x="75384" y="18881677"/>
          <a:ext cx="6461147" cy="704105"/>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BMZ, DRC internal, ECHO, German Humanitarain Assistance (AA), GIZ, HARP, HIF, LIFT, MHF, FFO, OFDA, Ole Kirk's Foundation, SDC, UNICEF, USA, USA (OFDA)  </a:t>
          </a:r>
          <a:r>
            <a:rPr lang="en-US" sz="1400">
              <a:solidFill>
                <a:schemeClr val="bg1">
                  <a:lumMod val="50000"/>
                </a:schemeClr>
              </a:solidFill>
            </a:rPr>
            <a:t> </a:t>
          </a:r>
        </a:p>
      </xdr:txBody>
    </xdr:sp>
    <xdr:clientData/>
  </xdr:twoCellAnchor>
  <xdr:twoCellAnchor>
    <xdr:from>
      <xdr:col>13</xdr:col>
      <xdr:colOff>346669</xdr:colOff>
      <xdr:row>35</xdr:row>
      <xdr:rowOff>292885</xdr:rowOff>
    </xdr:from>
    <xdr:to>
      <xdr:col>20</xdr:col>
      <xdr:colOff>223815</xdr:colOff>
      <xdr:row>46</xdr:row>
      <xdr:rowOff>357188</xdr:rowOff>
    </xdr:to>
    <xdr:graphicFrame macro="">
      <xdr:nvGraphicFramePr>
        <xdr:cNvPr id="10" name="Chart 9">
          <a:extLst>
            <a:ext uri="{FF2B5EF4-FFF2-40B4-BE49-F238E27FC236}">
              <a16:creationId xmlns=""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21430</xdr:colOff>
      <xdr:row>95</xdr:row>
      <xdr:rowOff>37154</xdr:rowOff>
    </xdr:from>
    <xdr:to>
      <xdr:col>7</xdr:col>
      <xdr:colOff>47625</xdr:colOff>
      <xdr:row>111</xdr:row>
      <xdr:rowOff>29922</xdr:rowOff>
    </xdr:to>
    <xdr:grpSp>
      <xdr:nvGrpSpPr>
        <xdr:cNvPr id="12" name="Group 11">
          <a:extLst>
            <a:ext uri="{FF2B5EF4-FFF2-40B4-BE49-F238E27FC236}">
              <a16:creationId xmlns="" xmlns:a16="http://schemas.microsoft.com/office/drawing/2014/main" id="{00000000-0008-0000-0B00-000005000000}"/>
            </a:ext>
          </a:extLst>
        </xdr:cNvPr>
        <xdr:cNvGrpSpPr/>
      </xdr:nvGrpSpPr>
      <xdr:grpSpPr>
        <a:xfrm>
          <a:off x="21430" y="19737642"/>
          <a:ext cx="6658847" cy="3152280"/>
          <a:chOff x="6910423" y="7259679"/>
          <a:chExt cx="6379546" cy="4387397"/>
        </a:xfrm>
      </xdr:grpSpPr>
      <xdr:graphicFrame macro="">
        <xdr:nvGraphicFramePr>
          <xdr:cNvPr id="13" name="Chart 12">
            <a:extLst>
              <a:ext uri="{FF2B5EF4-FFF2-40B4-BE49-F238E27FC236}">
                <a16:creationId xmlns="" xmlns:a16="http://schemas.microsoft.com/office/drawing/2014/main" id="{00000000-0008-0000-0B00-000012000000}"/>
              </a:ext>
            </a:extLst>
          </xdr:cNvPr>
          <xdr:cNvGraphicFramePr>
            <a:graphicFrameLocks/>
          </xdr:cNvGraphicFramePr>
        </xdr:nvGraphicFramePr>
        <xdr:xfrm>
          <a:off x="6910423" y="7259679"/>
          <a:ext cx="6361075" cy="4387397"/>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4" name="TextBox 13">
            <a:hlinkClick xmlns:r="http://schemas.openxmlformats.org/officeDocument/2006/relationships" r:id="rId5"/>
            <a:extLst>
              <a:ext uri="{FF2B5EF4-FFF2-40B4-BE49-F238E27FC236}">
                <a16:creationId xmlns="" xmlns:a16="http://schemas.microsoft.com/office/drawing/2014/main" id="{00000000-0008-0000-0B00-00001C000000}"/>
              </a:ext>
            </a:extLst>
          </xdr:cNvPr>
          <xdr:cNvSpPr txBox="1"/>
        </xdr:nvSpPr>
        <xdr:spPr>
          <a:xfrm>
            <a:off x="11909216" y="7343335"/>
            <a:ext cx="1380753" cy="80111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276364</xdr:colOff>
      <xdr:row>33</xdr:row>
      <xdr:rowOff>45896</xdr:rowOff>
    </xdr:from>
    <xdr:to>
      <xdr:col>20</xdr:col>
      <xdr:colOff>90218</xdr:colOff>
      <xdr:row>35</xdr:row>
      <xdr:rowOff>176524</xdr:rowOff>
    </xdr:to>
    <xdr:sp macro="" textlink="">
      <xdr:nvSpPr>
        <xdr:cNvPr id="15" name="Rectangle 14">
          <a:extLst>
            <a:ext uri="{FF2B5EF4-FFF2-40B4-BE49-F238E27FC236}">
              <a16:creationId xmlns="" xmlns:a16="http://schemas.microsoft.com/office/drawing/2014/main" id="{00000000-0008-0000-0B00-000006000000}"/>
            </a:ext>
          </a:extLst>
        </xdr:cNvPr>
        <xdr:cNvSpPr/>
      </xdr:nvSpPr>
      <xdr:spPr>
        <a:xfrm>
          <a:off x="6644507" y="5584003"/>
          <a:ext cx="9692640" cy="4572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7</xdr:col>
      <xdr:colOff>263981</xdr:colOff>
      <xdr:row>1</xdr:row>
      <xdr:rowOff>42180</xdr:rowOff>
    </xdr:from>
    <xdr:to>
      <xdr:col>13</xdr:col>
      <xdr:colOff>470265</xdr:colOff>
      <xdr:row>32</xdr:row>
      <xdr:rowOff>9523</xdr:rowOff>
    </xdr:to>
    <xdr:graphicFrame macro="">
      <xdr:nvGraphicFramePr>
        <xdr:cNvPr id="16" name="Chart 15">
          <a:extLst>
            <a:ext uri="{FF2B5EF4-FFF2-40B4-BE49-F238E27FC236}">
              <a16:creationId xmlns=""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320350</xdr:colOff>
      <xdr:row>48</xdr:row>
      <xdr:rowOff>115113</xdr:rowOff>
    </xdr:from>
    <xdr:to>
      <xdr:col>20</xdr:col>
      <xdr:colOff>298263</xdr:colOff>
      <xdr:row>74</xdr:row>
      <xdr:rowOff>50850</xdr:rowOff>
    </xdr:to>
    <xdr:grpSp>
      <xdr:nvGrpSpPr>
        <xdr:cNvPr id="11" name="Group 10"/>
        <xdr:cNvGrpSpPr/>
      </xdr:nvGrpSpPr>
      <xdr:grpSpPr>
        <a:xfrm>
          <a:off x="6953002" y="9268406"/>
          <a:ext cx="9863005" cy="6336072"/>
          <a:chOff x="6953002" y="9268406"/>
          <a:chExt cx="9863005" cy="6312840"/>
        </a:xfrm>
      </xdr:grpSpPr>
      <xdr:graphicFrame macro="">
        <xdr:nvGraphicFramePr>
          <xdr:cNvPr id="3" name="Chart 2">
            <a:extLst>
              <a:ext uri="{FF2B5EF4-FFF2-40B4-BE49-F238E27FC236}">
                <a16:creationId xmlns="" xmlns:a16="http://schemas.microsoft.com/office/drawing/2014/main" id="{00000000-0008-0000-0B00-00002A000000}"/>
              </a:ext>
            </a:extLst>
          </xdr:cNvPr>
          <xdr:cNvGraphicFramePr>
            <a:graphicFrameLocks/>
          </xdr:cNvGraphicFramePr>
        </xdr:nvGraphicFramePr>
        <xdr:xfrm>
          <a:off x="13342172" y="9297197"/>
          <a:ext cx="3420437" cy="351582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4" name="Chart 3">
            <a:extLst>
              <a:ext uri="{FF2B5EF4-FFF2-40B4-BE49-F238E27FC236}">
                <a16:creationId xmlns="" xmlns:a16="http://schemas.microsoft.com/office/drawing/2014/main" id="{00000000-0008-0000-0B00-000023000000}"/>
              </a:ext>
            </a:extLst>
          </xdr:cNvPr>
          <xdr:cNvGraphicFramePr>
            <a:graphicFrameLocks/>
          </xdr:cNvGraphicFramePr>
        </xdr:nvGraphicFramePr>
        <xdr:xfrm>
          <a:off x="6953002" y="12907741"/>
          <a:ext cx="3202956" cy="2673505"/>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7" name="Chart 6">
            <a:extLst>
              <a:ext uri="{FF2B5EF4-FFF2-40B4-BE49-F238E27FC236}">
                <a16:creationId xmlns="" xmlns:a16="http://schemas.microsoft.com/office/drawing/2014/main" id="{00000000-0008-0000-0B00-000017000000}"/>
              </a:ext>
            </a:extLst>
          </xdr:cNvPr>
          <xdr:cNvGraphicFramePr>
            <a:graphicFrameLocks/>
          </xdr:cNvGraphicFramePr>
        </xdr:nvGraphicFramePr>
        <xdr:xfrm>
          <a:off x="10194243" y="12906768"/>
          <a:ext cx="3218156" cy="2673505"/>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8" name="Chart 7">
            <a:extLst>
              <a:ext uri="{FF2B5EF4-FFF2-40B4-BE49-F238E27FC236}">
                <a16:creationId xmlns="" xmlns:a16="http://schemas.microsoft.com/office/drawing/2014/main" id="{00000000-0008-0000-0B00-000018000000}"/>
              </a:ext>
            </a:extLst>
          </xdr:cNvPr>
          <xdr:cNvGraphicFramePr>
            <a:graphicFrameLocks/>
          </xdr:cNvGraphicFramePr>
        </xdr:nvGraphicFramePr>
        <xdr:xfrm>
          <a:off x="13402374" y="12903558"/>
          <a:ext cx="3413633" cy="2673505"/>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7" name="Chart 16">
            <a:extLst>
              <a:ext uri="{FF2B5EF4-FFF2-40B4-BE49-F238E27FC236}">
                <a16:creationId xmlns="" xmlns:a16="http://schemas.microsoft.com/office/drawing/2014/main" id="{00000000-0008-0000-0B00-000028000000}"/>
              </a:ext>
            </a:extLst>
          </xdr:cNvPr>
          <xdr:cNvGraphicFramePr>
            <a:graphicFrameLocks/>
          </xdr:cNvGraphicFramePr>
        </xdr:nvGraphicFramePr>
        <xdr:xfrm>
          <a:off x="6957799" y="9274861"/>
          <a:ext cx="3205162" cy="351582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 xmlns:a16="http://schemas.microsoft.com/office/drawing/2014/main" id="{00000000-0008-0000-0B00-00002D000000}"/>
              </a:ext>
            </a:extLst>
          </xdr:cNvPr>
          <xdr:cNvGraphicFramePr>
            <a:graphicFrameLocks/>
          </xdr:cNvGraphicFramePr>
        </xdr:nvGraphicFramePr>
        <xdr:xfrm>
          <a:off x="10197157" y="9268406"/>
          <a:ext cx="3218156" cy="351582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7</xdr:col>
      <xdr:colOff>253688</xdr:colOff>
      <xdr:row>46</xdr:row>
      <xdr:rowOff>380999</xdr:rowOff>
    </xdr:from>
    <xdr:to>
      <xdr:col>20</xdr:col>
      <xdr:colOff>193817</xdr:colOff>
      <xdr:row>48</xdr:row>
      <xdr:rowOff>123824</xdr:rowOff>
    </xdr:to>
    <xdr:sp macro="" textlink="">
      <xdr:nvSpPr>
        <xdr:cNvPr id="19" name="TextBox 18">
          <a:extLst>
            <a:ext uri="{FF2B5EF4-FFF2-40B4-BE49-F238E27FC236}">
              <a16:creationId xmlns="" xmlns:a16="http://schemas.microsoft.com/office/drawing/2014/main" id="{00000000-0008-0000-0B00-00001F000000}"/>
            </a:ext>
          </a:extLst>
        </xdr:cNvPr>
        <xdr:cNvSpPr txBox="1"/>
      </xdr:nvSpPr>
      <xdr:spPr>
        <a:xfrm>
          <a:off x="6718782" y="8965405"/>
          <a:ext cx="9869941" cy="4572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7</xdr:col>
      <xdr:colOff>285450</xdr:colOff>
      <xdr:row>75</xdr:row>
      <xdr:rowOff>33753</xdr:rowOff>
    </xdr:from>
    <xdr:to>
      <xdr:col>20</xdr:col>
      <xdr:colOff>190744</xdr:colOff>
      <xdr:row>77</xdr:row>
      <xdr:rowOff>82739</xdr:rowOff>
    </xdr:to>
    <xdr:sp macro="" textlink="">
      <xdr:nvSpPr>
        <xdr:cNvPr id="20" name="TextBox 45">
          <a:extLst>
            <a:ext uri="{FF2B5EF4-FFF2-40B4-BE49-F238E27FC236}">
              <a16:creationId xmlns="" xmlns:a16="http://schemas.microsoft.com/office/drawing/2014/main" id="{00000000-0008-0000-0B00-000029000000}"/>
            </a:ext>
          </a:extLst>
        </xdr:cNvPr>
        <xdr:cNvSpPr txBox="1"/>
      </xdr:nvSpPr>
      <xdr:spPr>
        <a:xfrm>
          <a:off x="6653593" y="15232932"/>
          <a:ext cx="9784080" cy="4572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15</xdr:col>
      <xdr:colOff>445594</xdr:colOff>
      <xdr:row>38</xdr:row>
      <xdr:rowOff>141584</xdr:rowOff>
    </xdr:from>
    <xdr:to>
      <xdr:col>20</xdr:col>
      <xdr:colOff>177674</xdr:colOff>
      <xdr:row>46</xdr:row>
      <xdr:rowOff>198477</xdr:rowOff>
    </xdr:to>
    <xdr:graphicFrame macro="">
      <xdr:nvGraphicFramePr>
        <xdr:cNvPr id="21" name="Chart 20">
          <a:extLst>
            <a:ext uri="{FF2B5EF4-FFF2-40B4-BE49-F238E27FC236}">
              <a16:creationId xmlns=""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206147</xdr:colOff>
      <xdr:row>95</xdr:row>
      <xdr:rowOff>24360</xdr:rowOff>
    </xdr:from>
    <xdr:to>
      <xdr:col>20</xdr:col>
      <xdr:colOff>193193</xdr:colOff>
      <xdr:row>111</xdr:row>
      <xdr:rowOff>11908</xdr:rowOff>
    </xdr:to>
    <xdr:graphicFrame macro="">
      <xdr:nvGraphicFramePr>
        <xdr:cNvPr id="22" name="Chart 21">
          <a:extLst>
            <a:ext uri="{FF2B5EF4-FFF2-40B4-BE49-F238E27FC236}">
              <a16:creationId xmlns="" xmlns:a16="http://schemas.microsoft.com/office/drawing/2014/main" id="{500DADEE-7F66-40AF-9C7E-D8D51CD00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576600</xdr:colOff>
      <xdr:row>1</xdr:row>
      <xdr:rowOff>51024</xdr:rowOff>
    </xdr:from>
    <xdr:to>
      <xdr:col>20</xdr:col>
      <xdr:colOff>184170</xdr:colOff>
      <xdr:row>32</xdr:row>
      <xdr:rowOff>18367</xdr:rowOff>
    </xdr:to>
    <xdr:graphicFrame macro="">
      <xdr:nvGraphicFramePr>
        <xdr:cNvPr id="23" name="Chart 22">
          <a:extLst>
            <a:ext uri="{FF2B5EF4-FFF2-40B4-BE49-F238E27FC236}">
              <a16:creationId xmlns=""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11615</xdr:colOff>
      <xdr:row>1</xdr:row>
      <xdr:rowOff>46464</xdr:rowOff>
    </xdr:from>
    <xdr:to>
      <xdr:col>6</xdr:col>
      <xdr:colOff>906036</xdr:colOff>
      <xdr:row>47</xdr:row>
      <xdr:rowOff>183875</xdr:rowOff>
    </xdr:to>
    <xdr:pic>
      <xdr:nvPicPr>
        <xdr:cNvPr id="2" name="Picture 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615" y="360092"/>
          <a:ext cx="6597805" cy="8756374"/>
        </a:xfrm>
        <a:prstGeom prst="rect">
          <a:avLst/>
        </a:prstGeom>
      </xdr:spPr>
    </xdr:pic>
    <xdr:clientData/>
  </xdr:twoCellAnchor>
  <xdr:twoCellAnchor>
    <xdr:from>
      <xdr:col>1</xdr:col>
      <xdr:colOff>23232</xdr:colOff>
      <xdr:row>65</xdr:row>
      <xdr:rowOff>127774</xdr:rowOff>
    </xdr:from>
    <xdr:to>
      <xdr:col>7</xdr:col>
      <xdr:colOff>0</xdr:colOff>
      <xdr:row>77</xdr:row>
      <xdr:rowOff>162622</xdr:rowOff>
    </xdr:to>
    <xdr:graphicFrame macro="">
      <xdr:nvGraphicFramePr>
        <xdr:cNvPr id="25" name="Chart 24">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23232</xdr:colOff>
      <xdr:row>78</xdr:row>
      <xdr:rowOff>81311</xdr:rowOff>
    </xdr:from>
    <xdr:to>
      <xdr:col>7</xdr:col>
      <xdr:colOff>46464</xdr:colOff>
      <xdr:row>89</xdr:row>
      <xdr:rowOff>162622</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0.16847</cdr:x>
      <cdr:y>0.15817</cdr:y>
    </cdr:from>
    <cdr:to>
      <cdr:x>0.74552</cdr:x>
      <cdr:y>0.26971</cdr:y>
    </cdr:to>
    <cdr:grpSp>
      <cdr:nvGrpSpPr>
        <cdr:cNvPr id="12" name="Group 11">
          <a:extLst xmlns:a="http://schemas.openxmlformats.org/drawingml/2006/main">
            <a:ext uri="{FF2B5EF4-FFF2-40B4-BE49-F238E27FC236}">
              <a16:creationId xmlns="" xmlns:a16="http://schemas.microsoft.com/office/drawing/2014/main" id="{BD850A98-C5B7-4E84-BE64-46C2141B3123}"/>
            </a:ext>
          </a:extLst>
        </cdr:cNvPr>
        <cdr:cNvGrpSpPr/>
      </cdr:nvGrpSpPr>
      <cdr:grpSpPr>
        <a:xfrm xmlns:a="http://schemas.openxmlformats.org/drawingml/2006/main">
          <a:off x="863832" y="419884"/>
          <a:ext cx="2958831" cy="296099"/>
          <a:chOff x="902607" y="281966"/>
          <a:chExt cx="2751666" cy="284835"/>
        </a:xfrm>
      </cdr:grpSpPr>
      <cdr:cxnSp macro="">
        <cdr:nvCxnSpPr>
          <cdr:cNvPr id="3" name="Connector: Elbow 2">
            <a:extLst xmlns:a="http://schemas.openxmlformats.org/drawingml/2006/main">
              <a:ext uri="{FF2B5EF4-FFF2-40B4-BE49-F238E27FC236}">
                <a16:creationId xmlns="" xmlns:a16="http://schemas.microsoft.com/office/drawing/2014/main" id="{84415940-AC22-41DC-8A0F-BA56FECA2780}"/>
              </a:ext>
            </a:extLst>
          </cdr:cNvPr>
          <cdr:cNvCxnSpPr/>
        </cdr:nvCxnSpPr>
        <cdr:spPr>
          <a:xfrm xmlns:a="http://schemas.openxmlformats.org/drawingml/2006/main">
            <a:off x="1082523" y="281966"/>
            <a:ext cx="2571750" cy="284835"/>
          </a:xfrm>
          <a:prstGeom xmlns:a="http://schemas.openxmlformats.org/drawingml/2006/main" prst="bentConnector3">
            <a:avLst>
              <a:gd name="adj1" fmla="val 99794"/>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1" name="Straight Connector 10">
            <a:extLst xmlns:a="http://schemas.openxmlformats.org/drawingml/2006/main">
              <a:ext uri="{FF2B5EF4-FFF2-40B4-BE49-F238E27FC236}">
                <a16:creationId xmlns="" xmlns:a16="http://schemas.microsoft.com/office/drawing/2014/main" id="{033ABF3E-1E9D-4003-9DC6-1FA7DCBE6713}"/>
              </a:ext>
            </a:extLst>
          </cdr:cNvPr>
          <cdr:cNvCxnSpPr/>
        </cdr:nvCxnSpPr>
        <cdr:spPr>
          <a:xfrm xmlns:a="http://schemas.openxmlformats.org/drawingml/2006/main" flipV="1">
            <a:off x="902607" y="281966"/>
            <a:ext cx="179916" cy="1587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5.xml><?xml version="1.0" encoding="utf-8"?>
<c:userShapes xmlns:c="http://schemas.openxmlformats.org/drawingml/2006/chart">
  <cdr:relSizeAnchor xmlns:cdr="http://schemas.openxmlformats.org/drawingml/2006/chartDrawing">
    <cdr:from>
      <cdr:x>0.27204</cdr:x>
      <cdr:y>0.4647</cdr:y>
    </cdr:from>
    <cdr:to>
      <cdr:x>0.49819</cdr:x>
      <cdr:y>0.50186</cdr:y>
    </cdr:to>
    <cdr:sp macro="" textlink="">
      <cdr:nvSpPr>
        <cdr:cNvPr id="2" name="TextBox 22"/>
        <cdr:cNvSpPr txBox="1"/>
      </cdr:nvSpPr>
      <cdr:spPr>
        <a:xfrm xmlns:a="http://schemas.openxmlformats.org/drawingml/2006/main">
          <a:off x="1316928" y="2327507"/>
          <a:ext cx="1094827" cy="1861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1">
              <a:solidFill>
                <a:schemeClr val="accent3">
                  <a:lumMod val="50000"/>
                </a:schemeClr>
              </a:solidFill>
            </a:rPr>
            <a:t>(Cumulative)</a:t>
          </a: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303946</xdr:colOff>
      <xdr:row>67</xdr:row>
      <xdr:rowOff>22291</xdr:rowOff>
    </xdr:from>
    <xdr:to>
      <xdr:col>17</xdr:col>
      <xdr:colOff>578321</xdr:colOff>
      <xdr:row>84</xdr:row>
      <xdr:rowOff>191091</xdr:rowOff>
    </xdr:to>
    <xdr:graphicFrame macro="">
      <xdr:nvGraphicFramePr>
        <xdr:cNvPr id="2" name="Chart 1">
          <a:extLst>
            <a:ext uri="{FF2B5EF4-FFF2-40B4-BE49-F238E27FC236}">
              <a16:creationId xmlns=""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302760</xdr:colOff>
      <xdr:row>32</xdr:row>
      <xdr:rowOff>37652</xdr:rowOff>
    </xdr:from>
    <xdr:to>
      <xdr:col>13</xdr:col>
      <xdr:colOff>302760</xdr:colOff>
      <xdr:row>41</xdr:row>
      <xdr:rowOff>19983</xdr:rowOff>
    </xdr:to>
    <xdr:graphicFrame macro="">
      <xdr:nvGraphicFramePr>
        <xdr:cNvPr id="3" name="Chart 2">
          <a:extLst>
            <a:ext uri="{FF2B5EF4-FFF2-40B4-BE49-F238E27FC236}">
              <a16:creationId xmlns=""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68228</xdr:colOff>
      <xdr:row>81</xdr:row>
      <xdr:rowOff>192077</xdr:rowOff>
    </xdr:from>
    <xdr:to>
      <xdr:col>7</xdr:col>
      <xdr:colOff>6179</xdr:colOff>
      <xdr:row>85</xdr:row>
      <xdr:rowOff>43793</xdr:rowOff>
    </xdr:to>
    <xdr:sp macro="" textlink="">
      <xdr:nvSpPr>
        <xdr:cNvPr id="4" name="Rectangle 3">
          <a:extLst>
            <a:ext uri="{FF2B5EF4-FFF2-40B4-BE49-F238E27FC236}">
              <a16:creationId xmlns="" xmlns:a16="http://schemas.microsoft.com/office/drawing/2014/main" id="{00000000-0008-0000-0C00-00001A000000}"/>
            </a:ext>
          </a:extLst>
        </xdr:cNvPr>
        <xdr:cNvSpPr/>
      </xdr:nvSpPr>
      <xdr:spPr>
        <a:xfrm>
          <a:off x="68228" y="17961129"/>
          <a:ext cx="7130968" cy="639992"/>
        </a:xfrm>
        <a:prstGeom prst="rect">
          <a:avLst/>
        </a:prstGeom>
        <a:ln>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bg1">
                  <a:lumMod val="50000"/>
                </a:schemeClr>
              </a:solidFill>
              <a:effectLst/>
              <a:latin typeface="+mn-lt"/>
              <a:ea typeface="+mn-ea"/>
              <a:cs typeface="+mn-cs"/>
            </a:rPr>
            <a:t>DONORS: </a:t>
          </a:r>
          <a:r>
            <a:rPr kumimoji="0" lang="en-US" sz="1400" b="0" i="0" u="none" strike="noStrike" kern="0" cap="none" spc="0" normalizeH="0" baseline="0" noProof="0">
              <a:ln>
                <a:noFill/>
              </a:ln>
              <a:solidFill>
                <a:prstClr val="white">
                  <a:lumMod val="50000"/>
                </a:prstClr>
              </a:solidFill>
              <a:effectLst/>
              <a:uLnTx/>
              <a:uFillTx/>
              <a:latin typeface="+mn-lt"/>
              <a:ea typeface="+mn-ea"/>
              <a:cs typeface="+mn-cs"/>
            </a:rPr>
            <a:t>CIDA, DFID, ECHO, GFFO, HARP, Irish Aid, LDS , MHF, MoFA Lux, UNICEF, WHH-BMZ, AA (Caritas), SANYA, FFO, USAID, OFDA</a:t>
          </a:r>
        </a:p>
      </xdr:txBody>
    </xdr:sp>
    <xdr:clientData/>
  </xdr:twoCellAnchor>
  <xdr:twoCellAnchor>
    <xdr:from>
      <xdr:col>1</xdr:col>
      <xdr:colOff>18041</xdr:colOff>
      <xdr:row>85</xdr:row>
      <xdr:rowOff>83812</xdr:rowOff>
    </xdr:from>
    <xdr:to>
      <xdr:col>7</xdr:col>
      <xdr:colOff>37635</xdr:colOff>
      <xdr:row>98</xdr:row>
      <xdr:rowOff>116633</xdr:rowOff>
    </xdr:to>
    <xdr:grpSp>
      <xdr:nvGrpSpPr>
        <xdr:cNvPr id="7" name="Group 6">
          <a:extLst>
            <a:ext uri="{FF2B5EF4-FFF2-40B4-BE49-F238E27FC236}">
              <a16:creationId xmlns="" xmlns:a16="http://schemas.microsoft.com/office/drawing/2014/main" id="{00000000-0008-0000-0C00-000002000000}"/>
            </a:ext>
          </a:extLst>
        </xdr:cNvPr>
        <xdr:cNvGrpSpPr/>
      </xdr:nvGrpSpPr>
      <xdr:grpSpPr>
        <a:xfrm>
          <a:off x="105627" y="18641140"/>
          <a:ext cx="7125025" cy="2594717"/>
          <a:chOff x="10001855" y="3770159"/>
          <a:chExt cx="5602819" cy="1812925"/>
        </a:xfrm>
      </xdr:grpSpPr>
      <xdr:graphicFrame macro="">
        <xdr:nvGraphicFramePr>
          <xdr:cNvPr id="8" name="Chart 7">
            <a:extLst>
              <a:ext uri="{FF2B5EF4-FFF2-40B4-BE49-F238E27FC236}">
                <a16:creationId xmlns="" xmlns:a16="http://schemas.microsoft.com/office/drawing/2014/main" id="{00000000-0008-0000-0C00-00000F000000}"/>
              </a:ext>
            </a:extLst>
          </xdr:cNvPr>
          <xdr:cNvGraphicFramePr>
            <a:graphicFrameLocks/>
          </xdr:cNvGraphicFramePr>
        </xdr:nvGraphicFramePr>
        <xdr:xfrm>
          <a:off x="10001855" y="3770159"/>
          <a:ext cx="5602819" cy="181292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hlinkClick xmlns:r="http://schemas.openxmlformats.org/officeDocument/2006/relationships" r:id="rId4"/>
            <a:extLst>
              <a:ext uri="{FF2B5EF4-FFF2-40B4-BE49-F238E27FC236}">
                <a16:creationId xmlns="" xmlns:a16="http://schemas.microsoft.com/office/drawing/2014/main" id="{00000000-0008-0000-0C00-000012000000}"/>
              </a:ext>
            </a:extLst>
          </xdr:cNvPr>
          <xdr:cNvSpPr txBox="1"/>
        </xdr:nvSpPr>
        <xdr:spPr>
          <a:xfrm>
            <a:off x="14780691" y="3834052"/>
            <a:ext cx="790019" cy="356008"/>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More</a:t>
            </a:r>
            <a:r>
              <a:rPr lang="en-US" sz="1100" b="1" baseline="0">
                <a:solidFill>
                  <a:schemeClr val="bg1"/>
                </a:solidFill>
              </a:rPr>
              <a:t> info on gaps </a:t>
            </a:r>
            <a:r>
              <a:rPr lang="en-US" sz="800" b="1" baseline="0">
                <a:solidFill>
                  <a:schemeClr val="bg1"/>
                </a:solidFill>
              </a:rPr>
              <a:t>(click here)</a:t>
            </a:r>
            <a:endParaRPr lang="en-US" sz="800" b="1">
              <a:solidFill>
                <a:schemeClr val="bg1"/>
              </a:solidFill>
            </a:endParaRPr>
          </a:p>
        </xdr:txBody>
      </xdr:sp>
    </xdr:grpSp>
    <xdr:clientData/>
  </xdr:twoCellAnchor>
  <xdr:twoCellAnchor>
    <xdr:from>
      <xdr:col>8</xdr:col>
      <xdr:colOff>33628</xdr:colOff>
      <xdr:row>1</xdr:row>
      <xdr:rowOff>67642</xdr:rowOff>
    </xdr:from>
    <xdr:to>
      <xdr:col>17</xdr:col>
      <xdr:colOff>554026</xdr:colOff>
      <xdr:row>29</xdr:row>
      <xdr:rowOff>193261</xdr:rowOff>
    </xdr:to>
    <xdr:graphicFrame macro="">
      <xdr:nvGraphicFramePr>
        <xdr:cNvPr id="10" name="Chart 9">
          <a:extLst>
            <a:ext uri="{FF2B5EF4-FFF2-40B4-BE49-F238E27FC236}">
              <a16:creationId xmlns=""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459293</xdr:colOff>
      <xdr:row>32</xdr:row>
      <xdr:rowOff>41252</xdr:rowOff>
    </xdr:from>
    <xdr:to>
      <xdr:col>17</xdr:col>
      <xdr:colOff>573593</xdr:colOff>
      <xdr:row>41</xdr:row>
      <xdr:rowOff>23583</xdr:rowOff>
    </xdr:to>
    <xdr:grpSp>
      <xdr:nvGrpSpPr>
        <xdr:cNvPr id="14" name="Group 13">
          <a:extLst>
            <a:ext uri="{FF2B5EF4-FFF2-40B4-BE49-F238E27FC236}">
              <a16:creationId xmlns="" xmlns:a16="http://schemas.microsoft.com/office/drawing/2014/main" id="{00000000-0008-0000-0C00-000006000000}"/>
            </a:ext>
          </a:extLst>
        </xdr:cNvPr>
        <xdr:cNvGrpSpPr/>
      </xdr:nvGrpSpPr>
      <xdr:grpSpPr>
        <a:xfrm>
          <a:off x="11757914" y="6675907"/>
          <a:ext cx="4548351" cy="2741297"/>
          <a:chOff x="18880562" y="844756"/>
          <a:chExt cx="4530117" cy="2155716"/>
        </a:xfrm>
      </xdr:grpSpPr>
      <xdr:graphicFrame macro="">
        <xdr:nvGraphicFramePr>
          <xdr:cNvPr id="15" name="Chart 14">
            <a:extLst>
              <a:ext uri="{FF2B5EF4-FFF2-40B4-BE49-F238E27FC236}">
                <a16:creationId xmlns="" xmlns:a16="http://schemas.microsoft.com/office/drawing/2014/main" id="{00000000-0008-0000-0C00-00001C000000}"/>
              </a:ext>
            </a:extLst>
          </xdr:cNvPr>
          <xdr:cNvGraphicFramePr>
            <a:graphicFrameLocks/>
          </xdr:cNvGraphicFramePr>
        </xdr:nvGraphicFramePr>
        <xdr:xfrm>
          <a:off x="18880562" y="844756"/>
          <a:ext cx="4530117" cy="2155716"/>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6" name="Chart 15">
            <a:extLst>
              <a:ext uri="{FF2B5EF4-FFF2-40B4-BE49-F238E27FC236}">
                <a16:creationId xmlns="" xmlns:a16="http://schemas.microsoft.com/office/drawing/2014/main" id="{00000000-0008-0000-0C00-00001B000000}"/>
              </a:ext>
            </a:extLst>
          </xdr:cNvPr>
          <xdr:cNvGraphicFramePr>
            <a:graphicFrameLocks/>
          </xdr:cNvGraphicFramePr>
        </xdr:nvGraphicFramePr>
        <xdr:xfrm>
          <a:off x="20970135" y="1512922"/>
          <a:ext cx="2379310" cy="1429845"/>
        </xdr:xfrm>
        <a:graphic>
          <a:graphicData uri="http://schemas.openxmlformats.org/drawingml/2006/chart">
            <c:chart xmlns:c="http://schemas.openxmlformats.org/drawingml/2006/chart" xmlns:r="http://schemas.openxmlformats.org/officeDocument/2006/relationships" r:id="rId7"/>
          </a:graphicData>
        </a:graphic>
      </xdr:graphicFrame>
      <xdr:cxnSp macro="">
        <xdr:nvCxnSpPr>
          <xdr:cNvPr id="17" name="Connector: Elbow 4">
            <a:extLst>
              <a:ext uri="{FF2B5EF4-FFF2-40B4-BE49-F238E27FC236}">
                <a16:creationId xmlns="" xmlns:a16="http://schemas.microsoft.com/office/drawing/2014/main" id="{00000000-0008-0000-0C00-000005000000}"/>
              </a:ext>
            </a:extLst>
          </xdr:cNvPr>
          <xdr:cNvCxnSpPr/>
        </xdr:nvCxnSpPr>
        <xdr:spPr>
          <a:xfrm>
            <a:off x="20043892" y="1235941"/>
            <a:ext cx="2648598" cy="264794"/>
          </a:xfrm>
          <a:prstGeom prst="bentConnector3">
            <a:avLst>
              <a:gd name="adj1" fmla="val 99106"/>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11574</xdr:colOff>
      <xdr:row>45</xdr:row>
      <xdr:rowOff>142181</xdr:rowOff>
    </xdr:from>
    <xdr:to>
      <xdr:col>17</xdr:col>
      <xdr:colOff>521169</xdr:colOff>
      <xdr:row>64</xdr:row>
      <xdr:rowOff>15012</xdr:rowOff>
    </xdr:to>
    <xdr:grpSp>
      <xdr:nvGrpSpPr>
        <xdr:cNvPr id="25" name="Group 24"/>
        <xdr:cNvGrpSpPr/>
      </xdr:nvGrpSpPr>
      <xdr:grpSpPr>
        <a:xfrm>
          <a:off x="7423557" y="10192698"/>
          <a:ext cx="8830284" cy="4241193"/>
          <a:chOff x="7423557" y="10192698"/>
          <a:chExt cx="8830284" cy="4241193"/>
        </a:xfrm>
      </xdr:grpSpPr>
      <xdr:graphicFrame macro="">
        <xdr:nvGraphicFramePr>
          <xdr:cNvPr id="5" name="Chart 4">
            <a:extLst>
              <a:ext uri="{FF2B5EF4-FFF2-40B4-BE49-F238E27FC236}">
                <a16:creationId xmlns="" xmlns:a16="http://schemas.microsoft.com/office/drawing/2014/main" id="{00000000-0008-0000-0C00-000027000000}"/>
              </a:ext>
            </a:extLst>
          </xdr:cNvPr>
          <xdr:cNvGraphicFramePr>
            <a:graphicFrameLocks/>
          </xdr:cNvGraphicFramePr>
        </xdr:nvGraphicFramePr>
        <xdr:xfrm>
          <a:off x="10203492" y="12289369"/>
          <a:ext cx="2974698" cy="214452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6" name="Chart 5">
            <a:extLst>
              <a:ext uri="{FF2B5EF4-FFF2-40B4-BE49-F238E27FC236}">
                <a16:creationId xmlns="" xmlns:a16="http://schemas.microsoft.com/office/drawing/2014/main" id="{00000000-0008-0000-0C00-000028000000}"/>
              </a:ext>
            </a:extLst>
          </xdr:cNvPr>
          <xdr:cNvGraphicFramePr>
            <a:graphicFrameLocks/>
          </xdr:cNvGraphicFramePr>
        </xdr:nvGraphicFramePr>
        <xdr:xfrm>
          <a:off x="13306218" y="12246509"/>
          <a:ext cx="2947623" cy="2140714"/>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Chart 10">
            <a:extLst>
              <a:ext uri="{FF2B5EF4-FFF2-40B4-BE49-F238E27FC236}">
                <a16:creationId xmlns="" xmlns:a16="http://schemas.microsoft.com/office/drawing/2014/main" id="{00000000-0008-0000-0C00-000020000000}"/>
              </a:ext>
            </a:extLst>
          </xdr:cNvPr>
          <xdr:cNvGraphicFramePr>
            <a:graphicFrameLocks/>
          </xdr:cNvGraphicFramePr>
        </xdr:nvGraphicFramePr>
        <xdr:xfrm>
          <a:off x="7424569" y="10192698"/>
          <a:ext cx="2715991" cy="195491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2" name="Chart 11">
            <a:extLst>
              <a:ext uri="{FF2B5EF4-FFF2-40B4-BE49-F238E27FC236}">
                <a16:creationId xmlns="" xmlns:a16="http://schemas.microsoft.com/office/drawing/2014/main" id="{00000000-0008-0000-0C00-000021000000}"/>
              </a:ext>
            </a:extLst>
          </xdr:cNvPr>
          <xdr:cNvGraphicFramePr>
            <a:graphicFrameLocks/>
          </xdr:cNvGraphicFramePr>
        </xdr:nvGraphicFramePr>
        <xdr:xfrm>
          <a:off x="7423557" y="12266919"/>
          <a:ext cx="2715991" cy="2140714"/>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3" name="Chart 12">
            <a:extLst>
              <a:ext uri="{FF2B5EF4-FFF2-40B4-BE49-F238E27FC236}">
                <a16:creationId xmlns="" xmlns:a16="http://schemas.microsoft.com/office/drawing/2014/main" id="{00000000-0008-0000-0C00-000022000000}"/>
              </a:ext>
            </a:extLst>
          </xdr:cNvPr>
          <xdr:cNvGraphicFramePr>
            <a:graphicFrameLocks/>
          </xdr:cNvGraphicFramePr>
        </xdr:nvGraphicFramePr>
        <xdr:xfrm>
          <a:off x="10199278" y="10224591"/>
          <a:ext cx="2974698" cy="1923741"/>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8" name="Chart 17">
            <a:extLst>
              <a:ext uri="{FF2B5EF4-FFF2-40B4-BE49-F238E27FC236}">
                <a16:creationId xmlns="" xmlns:a16="http://schemas.microsoft.com/office/drawing/2014/main" id="{00000000-0008-0000-0C00-00002F000000}"/>
              </a:ext>
            </a:extLst>
          </xdr:cNvPr>
          <xdr:cNvGraphicFramePr>
            <a:graphicFrameLocks/>
          </xdr:cNvGraphicFramePr>
        </xdr:nvGraphicFramePr>
        <xdr:xfrm>
          <a:off x="13295174" y="10205426"/>
          <a:ext cx="2949349" cy="1935862"/>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10114</xdr:colOff>
      <xdr:row>30</xdr:row>
      <xdr:rowOff>146226</xdr:rowOff>
    </xdr:from>
    <xdr:to>
      <xdr:col>17</xdr:col>
      <xdr:colOff>504053</xdr:colOff>
      <xdr:row>31</xdr:row>
      <xdr:rowOff>92665</xdr:rowOff>
    </xdr:to>
    <xdr:sp macro="" textlink="">
      <xdr:nvSpPr>
        <xdr:cNvPr id="19" name="Rectangle 18">
          <a:extLst>
            <a:ext uri="{FF2B5EF4-FFF2-40B4-BE49-F238E27FC236}">
              <a16:creationId xmlns="" xmlns:a16="http://schemas.microsoft.com/office/drawing/2014/main" id="{00000000-0008-0000-0C00-000030000000}"/>
            </a:ext>
          </a:extLst>
        </xdr:cNvPr>
        <xdr:cNvSpPr/>
      </xdr:nvSpPr>
      <xdr:spPr>
        <a:xfrm>
          <a:off x="7385185" y="5942869"/>
          <a:ext cx="8794297" cy="46351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7</xdr:col>
      <xdr:colOff>312105</xdr:colOff>
      <xdr:row>41</xdr:row>
      <xdr:rowOff>116447</xdr:rowOff>
    </xdr:from>
    <xdr:to>
      <xdr:col>17</xdr:col>
      <xdr:colOff>502605</xdr:colOff>
      <xdr:row>45</xdr:row>
      <xdr:rowOff>37643</xdr:rowOff>
    </xdr:to>
    <xdr:sp macro="" textlink="">
      <xdr:nvSpPr>
        <xdr:cNvPr id="20" name="TextBox 19">
          <a:extLst>
            <a:ext uri="{FF2B5EF4-FFF2-40B4-BE49-F238E27FC236}">
              <a16:creationId xmlns="" xmlns:a16="http://schemas.microsoft.com/office/drawing/2014/main" id="{00000000-0008-0000-0C00-000034000000}"/>
            </a:ext>
          </a:extLst>
        </xdr:cNvPr>
        <xdr:cNvSpPr txBox="1"/>
      </xdr:nvSpPr>
      <xdr:spPr>
        <a:xfrm>
          <a:off x="7374212" y="9491768"/>
          <a:ext cx="8803822" cy="574339"/>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7</xdr:col>
      <xdr:colOff>300680</xdr:colOff>
      <xdr:row>64</xdr:row>
      <xdr:rowOff>63634</xdr:rowOff>
    </xdr:from>
    <xdr:to>
      <xdr:col>17</xdr:col>
      <xdr:colOff>519755</xdr:colOff>
      <xdr:row>66</xdr:row>
      <xdr:rowOff>134311</xdr:rowOff>
    </xdr:to>
    <xdr:sp macro="" textlink="">
      <xdr:nvSpPr>
        <xdr:cNvPr id="21" name="TextBox 45">
          <a:extLst>
            <a:ext uri="{FF2B5EF4-FFF2-40B4-BE49-F238E27FC236}">
              <a16:creationId xmlns="" xmlns:a16="http://schemas.microsoft.com/office/drawing/2014/main" id="{00000000-0008-0000-0C00-000035000000}"/>
            </a:ext>
          </a:extLst>
        </xdr:cNvPr>
        <xdr:cNvSpPr txBox="1"/>
      </xdr:nvSpPr>
      <xdr:spPr>
        <a:xfrm>
          <a:off x="7362787" y="14990670"/>
          <a:ext cx="8832397" cy="478891"/>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endParaRPr lang="en-US" sz="1400">
            <a:solidFill>
              <a:schemeClr val="bg1"/>
            </a:solidFill>
            <a:effectLst/>
          </a:endParaRPr>
        </a:p>
      </xdr:txBody>
    </xdr:sp>
    <xdr:clientData/>
  </xdr:twoCellAnchor>
  <xdr:twoCellAnchor>
    <xdr:from>
      <xdr:col>7</xdr:col>
      <xdr:colOff>303260</xdr:colOff>
      <xdr:row>85</xdr:row>
      <xdr:rowOff>85196</xdr:rowOff>
    </xdr:from>
    <xdr:to>
      <xdr:col>17</xdr:col>
      <xdr:colOff>559074</xdr:colOff>
      <xdr:row>98</xdr:row>
      <xdr:rowOff>128835</xdr:rowOff>
    </xdr:to>
    <xdr:graphicFrame macro="">
      <xdr:nvGraphicFramePr>
        <xdr:cNvPr id="22" name="Chart 21">
          <a:extLst>
            <a:ext uri="{FF2B5EF4-FFF2-40B4-BE49-F238E27FC236}">
              <a16:creationId xmlns="" xmlns:a16="http://schemas.microsoft.com/office/drawing/2014/main" id="{A521F450-18C4-4463-B8E6-F991980D6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2</xdr:colOff>
      <xdr:row>1</xdr:row>
      <xdr:rowOff>54741</xdr:rowOff>
    </xdr:from>
    <xdr:to>
      <xdr:col>7</xdr:col>
      <xdr:colOff>10949</xdr:colOff>
      <xdr:row>46</xdr:row>
      <xdr:rowOff>126425</xdr:rowOff>
    </xdr:to>
    <xdr:pic>
      <xdr:nvPicPr>
        <xdr:cNvPr id="24" name="Picture 23"/>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7588" y="525517"/>
          <a:ext cx="7116378" cy="9815649"/>
        </a:xfrm>
        <a:prstGeom prst="rect">
          <a:avLst/>
        </a:prstGeom>
      </xdr:spPr>
    </xdr:pic>
    <xdr:clientData/>
  </xdr:twoCellAnchor>
  <xdr:twoCellAnchor>
    <xdr:from>
      <xdr:col>1</xdr:col>
      <xdr:colOff>10949</xdr:colOff>
      <xdr:row>56</xdr:row>
      <xdr:rowOff>131380</xdr:rowOff>
    </xdr:from>
    <xdr:to>
      <xdr:col>7</xdr:col>
      <xdr:colOff>0</xdr:colOff>
      <xdr:row>68</xdr:row>
      <xdr:rowOff>131379</xdr:rowOff>
    </xdr:to>
    <xdr:graphicFrame macro="">
      <xdr:nvGraphicFramePr>
        <xdr:cNvPr id="26" name="Chart 25">
          <a:extLst>
            <a:ext uri="{FF2B5EF4-FFF2-40B4-BE49-F238E27FC236}">
              <a16:creationId xmlns=""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75407</xdr:colOff>
      <xdr:row>69</xdr:row>
      <xdr:rowOff>29031</xdr:rowOff>
    </xdr:from>
    <xdr:to>
      <xdr:col>6</xdr:col>
      <xdr:colOff>832069</xdr:colOff>
      <xdr:row>81</xdr:row>
      <xdr:rowOff>76638</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306553</xdr:colOff>
      <xdr:row>15</xdr:row>
      <xdr:rowOff>142326</xdr:rowOff>
    </xdr:from>
    <xdr:to>
      <xdr:col>12</xdr:col>
      <xdr:colOff>492673</xdr:colOff>
      <xdr:row>16</xdr:row>
      <xdr:rowOff>164223</xdr:rowOff>
    </xdr:to>
    <xdr:sp macro="" textlink="">
      <xdr:nvSpPr>
        <xdr:cNvPr id="23" name="TextBox 22"/>
        <xdr:cNvSpPr txBox="1"/>
      </xdr:nvSpPr>
      <xdr:spPr>
        <a:xfrm>
          <a:off x="9919139" y="3065516"/>
          <a:ext cx="1094827" cy="18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3">
                  <a:lumMod val="50000"/>
                </a:schemeClr>
              </a:solidFill>
            </a:rPr>
            <a:t>(Cumulative)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3524249</xdr:colOff>
      <xdr:row>3</xdr:row>
      <xdr:rowOff>23812</xdr:rowOff>
    </xdr:from>
    <xdr:to>
      <xdr:col>7</xdr:col>
      <xdr:colOff>550332</xdr:colOff>
      <xdr:row>30</xdr:row>
      <xdr:rowOff>148167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10</xdr:row>
      <xdr:rowOff>196851</xdr:rowOff>
    </xdr:from>
    <xdr:to>
      <xdr:col>2</xdr:col>
      <xdr:colOff>31750</xdr:colOff>
      <xdr:row>22</xdr:row>
      <xdr:rowOff>158750</xdr:rowOff>
    </xdr:to>
    <mc:AlternateContent xmlns:mc="http://schemas.openxmlformats.org/markup-compatibility/2006" xmlns:a14="http://schemas.microsoft.com/office/drawing/2010/main">
      <mc:Choice Requires="a14">
        <xdr:graphicFrame macro="">
          <xdr:nvGraphicFramePr>
            <xdr:cNvPr id="3" name="WASH focal Agency 1"/>
            <xdr:cNvGraphicFramePr/>
          </xdr:nvGraphicFramePr>
          <xdr:xfrm>
            <a:off x="0" y="0"/>
            <a:ext cx="0" cy="0"/>
          </xdr:xfrm>
          <a:graphic>
            <a:graphicData uri="http://schemas.microsoft.com/office/drawing/2010/slicer">
              <sle:slicer xmlns:sle="http://schemas.microsoft.com/office/drawing/2010/slicer" name="WASH focal Agency 1"/>
            </a:graphicData>
          </a:graphic>
        </xdr:graphicFrame>
      </mc:Choice>
      <mc:Fallback xmlns="">
        <xdr:sp macro="" textlink="">
          <xdr:nvSpPr>
            <xdr:cNvPr id="0" name=""/>
            <xdr:cNvSpPr>
              <a:spLocks noTextEdit="1"/>
            </xdr:cNvSpPr>
          </xdr:nvSpPr>
          <xdr:spPr>
            <a:xfrm>
              <a:off x="0" y="2345268"/>
              <a:ext cx="4688417" cy="237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xdr:row>
      <xdr:rowOff>38100</xdr:rowOff>
    </xdr:from>
    <xdr:to>
      <xdr:col>0</xdr:col>
      <xdr:colOff>1828800</xdr:colOff>
      <xdr:row>10</xdr:row>
      <xdr:rowOff>95249</xdr:rowOff>
    </xdr:to>
    <mc:AlternateContent xmlns:mc="http://schemas.openxmlformats.org/markup-compatibility/2006" xmlns:a14="http://schemas.microsoft.com/office/drawing/2010/main">
      <mc:Choice Requires="a14">
        <xdr:graphicFrame macro="">
          <xdr:nvGraphicFramePr>
            <xdr:cNvPr id="4" name="State 2"/>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778933"/>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1013883</xdr:colOff>
      <xdr:row>2</xdr:row>
      <xdr:rowOff>168275</xdr:rowOff>
    </xdr:from>
    <xdr:to>
      <xdr:col>3</xdr:col>
      <xdr:colOff>1397000</xdr:colOff>
      <xdr:row>28</xdr:row>
      <xdr:rowOff>95249</xdr:rowOff>
    </xdr:to>
    <mc:AlternateContent xmlns:mc="http://schemas.openxmlformats.org/markup-compatibility/2006" xmlns:a14="http://schemas.microsoft.com/office/drawing/2010/main">
      <mc:Choice Requires="a14">
        <xdr:graphicFrame macro="">
          <xdr:nvGraphicFramePr>
            <xdr:cNvPr id="5" name="Township 1"/>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5670550" y="7080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1904999</xdr:colOff>
      <xdr:row>3</xdr:row>
      <xdr:rowOff>28575</xdr:rowOff>
    </xdr:from>
    <xdr:to>
      <xdr:col>2</xdr:col>
      <xdr:colOff>42333</xdr:colOff>
      <xdr:row>10</xdr:row>
      <xdr:rowOff>66674</xdr:rowOff>
    </xdr:to>
    <mc:AlternateContent xmlns:mc="http://schemas.openxmlformats.org/markup-compatibility/2006" xmlns:a14="http://schemas.microsoft.com/office/drawing/2010/main">
      <mc:Choice Requires="a14">
        <xdr:graphicFrame macro="">
          <xdr:nvGraphicFramePr>
            <xdr:cNvPr id="6" name="Location Type 2"/>
            <xdr:cNvGraphicFramePr/>
          </xdr:nvGraphicFramePr>
          <xdr:xfrm>
            <a:off x="0" y="0"/>
            <a:ext cx="0" cy="0"/>
          </xdr:xfrm>
          <a:graphic>
            <a:graphicData uri="http://schemas.microsoft.com/office/drawing/2010/slicer">
              <sle:slicer xmlns:sle="http://schemas.microsoft.com/office/drawing/2010/slicer" name="Location Type 2"/>
            </a:graphicData>
          </a:graphic>
        </xdr:graphicFrame>
      </mc:Choice>
      <mc:Fallback xmlns="">
        <xdr:sp macro="" textlink="">
          <xdr:nvSpPr>
            <xdr:cNvPr id="0" name=""/>
            <xdr:cNvSpPr>
              <a:spLocks noTextEdit="1"/>
            </xdr:cNvSpPr>
          </xdr:nvSpPr>
          <xdr:spPr>
            <a:xfrm>
              <a:off x="1904999" y="769408"/>
              <a:ext cx="2794001" cy="144568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 xmlns:a16="http://schemas.microsoft.com/office/drawing/2014/main" id="{00000000-0008-0000-0E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haw/Mee%20Mee/2.%20Information%20Management/B_%204%20W/KO%20myo%20min%20soe/Myanmar_WASH_4W_2018_Q1_2018-05-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7/20170404_New_4W_Corefile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18/2018_Q3/2018-10-30_Funding%20Matrix_2018_Q3_Consolidate_Final_Upda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18/2018_Q1/2018-05-31_Funding%20Matrix__Consolidate%20%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P Calculations"/>
      <sheetName val="Indicator Summary  Eng"/>
      <sheetName val="Indicator Summary MM "/>
      <sheetName val="Guide"/>
      <sheetName val="HRP"/>
      <sheetName val="Sheet1"/>
      <sheetName val="DATABASE"/>
      <sheetName val="Analysis"/>
      <sheetName val="Shan(n)"/>
      <sheetName val="Kachin"/>
      <sheetName val="Site_DB"/>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Indicator Summary "/>
      <sheetName val="SiteDatabase"/>
      <sheetName val="DATABASE"/>
      <sheetName val="WASH Trends 2014-2017"/>
      <sheetName val="Tables"/>
      <sheetName val="TrendPivot"/>
      <sheetName val="DRAFT-1"/>
      <sheetName val="Lookup"/>
      <sheetName val="Sheet2"/>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bysite"/>
      <sheetName val="Sheet2"/>
      <sheetName val="Rakhine_funding_matrix"/>
      <sheetName val="Kachin-shan_funding_matrix"/>
      <sheetName val="National_Analysis by donor"/>
      <sheetName val="National"/>
      <sheetName val="Rakhine_funding_matrix1"/>
      <sheetName val="Sheet1"/>
      <sheetName val="Fund_Analysis_Rakhine"/>
      <sheetName val="Fund_Analysis_Kachin-shan"/>
      <sheetName val="Rakhine Analysis 2"/>
      <sheetName val="Kachin Analysis 2"/>
    </sheetNames>
    <sheetDataSet>
      <sheetData sheetId="0"/>
      <sheetData sheetId="1"/>
      <sheetData sheetId="2"/>
      <sheetData sheetId="3"/>
      <sheetData sheetId="4"/>
      <sheetData sheetId="5">
        <row r="3">
          <cell r="D3" t="str">
            <v>Cumulative Funding Received for 2018</v>
          </cell>
          <cell r="E3" t="str">
            <v>Gap</v>
          </cell>
        </row>
        <row r="4">
          <cell r="B4" t="str">
            <v>Kachin/Shan</v>
          </cell>
          <cell r="D4">
            <v>3158601.9917334807</v>
          </cell>
          <cell r="E4">
            <v>6541398.0082665198</v>
          </cell>
        </row>
        <row r="5">
          <cell r="B5" t="str">
            <v>Rakhine</v>
          </cell>
          <cell r="D5">
            <v>8427561.6677626967</v>
          </cell>
          <cell r="E5">
            <v>13172438.332237303</v>
          </cell>
        </row>
        <row r="6">
          <cell r="B6" t="str">
            <v>National (Total)</v>
          </cell>
          <cell r="D6">
            <v>11586163.659496177</v>
          </cell>
          <cell r="E6">
            <v>19713836.340503823</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Charts2018"/>
      <sheetName val="Kachin-shan_funding_matrix1"/>
      <sheetName val="Donor Report"/>
      <sheetName val="Rakhine_funding_matrix1"/>
      <sheetName val="Timeline"/>
      <sheetName val="Rakhine_funding_timeline"/>
      <sheetName val="Rakhine Analysis 2"/>
      <sheetName val="Rakhine_funding_matrix"/>
      <sheetName val="Kachin-shan_funding_matrix"/>
      <sheetName val="Fund_Analysis_Rakhine"/>
      <sheetName val="Kachin Analysis 2"/>
      <sheetName val="Fund_Analysis_Kachin-shan"/>
      <sheetName val="Nation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2">
          <cell r="B72" t="str">
            <v>Funding requirements</v>
          </cell>
          <cell r="C72" t="str">
            <v>Approximate Fund 2018</v>
          </cell>
          <cell r="D72" t="str">
            <v>Gap</v>
          </cell>
          <cell r="E72" t="str">
            <v>%Gap</v>
          </cell>
        </row>
        <row r="73">
          <cell r="A73" t="str">
            <v>Kachin/Shan</v>
          </cell>
          <cell r="B73">
            <v>9700000</v>
          </cell>
          <cell r="C73">
            <v>1944515.5121868772</v>
          </cell>
          <cell r="D73">
            <v>7755484.4878131226</v>
          </cell>
          <cell r="E73">
            <v>0.79953448327970333</v>
          </cell>
        </row>
        <row r="74">
          <cell r="A74" t="str">
            <v>Rakhine</v>
          </cell>
          <cell r="B74">
            <v>21600000</v>
          </cell>
          <cell r="C74">
            <v>6050988.2278582146</v>
          </cell>
          <cell r="D74">
            <v>15549011.772141784</v>
          </cell>
          <cell r="E74">
            <v>0.71986165611767516</v>
          </cell>
        </row>
        <row r="75">
          <cell r="A75" t="str">
            <v>National (Total)</v>
          </cell>
          <cell r="B75">
            <v>31300000</v>
          </cell>
          <cell r="C75">
            <v>7995503.7400450921</v>
          </cell>
          <cell r="D75">
            <v>23304496.259954907</v>
          </cell>
          <cell r="E75">
            <v>0.74455259616469349</v>
          </cell>
        </row>
      </sheetData>
      <sheetData sheetId="11" refreshError="1"/>
      <sheetData sheetId="12" refreshError="1"/>
      <sheetData sheetId="13" refreshError="1"/>
      <sheetData sheetId="1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e Mee Thaw" refreshedDate="43418.629305671297" createdVersion="6" refreshedVersion="5" minRefreshableVersion="3" recordCount="1212">
  <cacheSource type="worksheet">
    <worksheetSource name="WWWW"/>
  </cacheSource>
  <cacheFields count="97">
    <cacheField name="Reporting Period" numFmtId="0">
      <sharedItems containsBlank="1" count="9">
        <s v="2018_Q3"/>
        <s v="2018_Q2"/>
        <s v="2018_Q1"/>
        <m u="1"/>
        <s v="2017_Q4" u="1"/>
        <s v="2018  Q1" u="1"/>
        <s v="2018-Q1" u="1"/>
        <s v="2017_Q3" u="1"/>
        <s v="2018 -Q1" u="1"/>
      </sharedItems>
    </cacheField>
    <cacheField name="WASH focal Agency" numFmtId="0">
      <sharedItems containsBlank="1" count="54">
        <s v="SI"/>
        <s v="Metta"/>
        <s v="None"/>
        <s v="KBC"/>
        <s v="Shalom"/>
        <s v="KMSS"/>
        <s v="WPN"/>
        <s v="SCI"/>
        <s v="KBC,KMSS"/>
        <s v="SI, KBC"/>
        <s v="Arche Nova"/>
        <s v="MHDO"/>
        <s v="CDN"/>
        <s v="MA_UK"/>
        <s v="CDN, MA_UK"/>
        <s v="Malteser"/>
        <s v="RI"/>
        <s v="Oxfam"/>
        <s v="DRC"/>
        <s v="SCI,MA_UK"/>
        <s v="Oxfam,MA_UK"/>
        <s v="KBC-HDD-NSS,Metta"/>
        <s v="SCI,Metta,KBC-HDD-NSS"/>
        <s v="KMSS,Metta"/>
        <s v="SCI,Metta"/>
        <s v="KBC-HDD-NSS"/>
        <s v="SCI, Metta"/>
        <s v="SCI,KBC-HDD-NSS,Metta"/>
        <s v="KBC-HDD-NSS, Metta"/>
        <s v="KMSS,KBC"/>
        <s v="CDN,(MA_UK)"/>
        <s v="Metta, KBC-HDD-NSS"/>
        <s v="Metta,KBC-HDD-NSS,KMSS"/>
        <s v="Metta,KMSS"/>
        <s v="Metta,KBC-HDD-NSS"/>
        <s v="SCI,KMSS"/>
        <s v="SCI,KBC-HDD-NSS"/>
        <s v="SCI,Metta, KBC-HDD-NSS"/>
        <m u="1"/>
        <s v="CARE, CDN" u="1"/>
        <s v="Metta,SCI" u="1"/>
        <s v="Oxfam,(MA_UK)" u="1"/>
        <s v="SI,KBC" u="1"/>
        <s v="MHDO,UNICEF" u="1"/>
        <s v="UNICEF" u="1"/>
        <s v="ACF, CDN" u="1"/>
        <s v="SI,(MA_UK)" u="1"/>
        <s v="CARE" u="1"/>
        <s v="KMSS,SCI" u="1"/>
        <s v="Metta,ICRC" u="1"/>
        <s v="CDN,MA_UK" u="1"/>
        <s v="ACF" u="1"/>
        <s v="SCI,(MA_UK)" u="1"/>
        <s v="Malteser,UNICEF" u="1"/>
      </sharedItems>
    </cacheField>
    <cacheField name="State" numFmtId="0">
      <sharedItems containsBlank="1" count="4">
        <s v="Kachin"/>
        <s v="Rakhine"/>
        <s v="Shan (North)"/>
        <m u="1"/>
      </sharedItems>
    </cacheField>
    <cacheField name="Township" numFmtId="0">
      <sharedItems count="39">
        <s v="Bhamo"/>
        <s v="Chipwi"/>
        <s v="Hpakant"/>
        <s v="Mansi"/>
        <s v="Mogaung"/>
        <s v="Mohnyin"/>
        <s v="Momauk"/>
        <s v="Myitkyina"/>
        <s v="Puta-O"/>
        <s v="Shwegu"/>
        <s v="Sumprabum"/>
        <s v="Tanai"/>
        <s v="Waingmaw"/>
        <s v="Ann"/>
        <s v="Buthidaung"/>
        <s v="Kyaukpyu"/>
        <s v="Pauktaw"/>
        <s v="Kyauktaw"/>
        <s v="Sittwe"/>
        <s v="Maungdaw"/>
        <s v="Minbya"/>
        <s v="Mrauk-U"/>
        <s v="Myebon"/>
        <s v="Ponnagyun"/>
        <s v="Rathedaung"/>
        <s v="Hseni"/>
        <s v="Hsipaw"/>
        <s v="Kutkai"/>
        <s v="Namtu"/>
        <s v="Manton"/>
        <s v="Muse"/>
        <s v="Namhkan"/>
        <s v="Nawnghkio"/>
        <s v="Mohyin" u="1"/>
        <s v="Pangsang" u="1"/>
        <s v="Lashio" u="1"/>
        <s v="Namatee" u="1"/>
        <s v="Mai Ja Yang " u="1"/>
        <s v="Ramree" u="1"/>
      </sharedItems>
    </cacheField>
    <cacheField name="Site Name" numFmtId="0">
      <sharedItems count="713">
        <s v="AD-2000 Extension camp"/>
        <s v="AD-2000 Tharthana Compound"/>
        <s v="Aung Thar Church"/>
        <s v="Bhamo_Host Families"/>
        <s v="Htoi San Church"/>
        <s v="Lisu Boarding-House"/>
        <s v="Momauk IDP new Extension camp_x000a_(Alen Kawng Lawk)"/>
        <s v="Mu-yin Baptist Church"/>
        <s v="Nant Hlaing Church"/>
        <s v="Phan Khar Kone"/>
        <s v="Robert Church"/>
        <s v="Robert -Middle school"/>
        <s v="Yoe Kyi Monastery"/>
        <s v="Chipwi KBC camp"/>
        <s v="Hpare Hkyer - BP6"/>
        <s v="Lhaovao Baptist Church (LBC)"/>
        <s v="Pan Wa"/>
        <s v="Saw Zam"/>
        <s v="5 Ward RC Church(lon Khin)"/>
        <s v="AG Church, Hmaw Si Sa"/>
        <s v="AG Church, Maw Wan"/>
        <s v="Baptist Church, Hmaw Si Sar(Lon Khin)"/>
        <s v="Chin Church, Seik Mu"/>
        <s v="Dhama Rakhita, Nyein Chan Tar Yar Ward(Lon Khin)"/>
        <s v="Hlaing Naung Baptist"/>
        <s v="Hmaw Wan, Anglican"/>
        <s v="Hpakant Baptist Church, Nam Ma Hpit"/>
        <s v="Karmaing RC Church"/>
        <s v="Lawa RC Church"/>
        <s v="Lawng Hkang Shait Yang Camp​ ( Lel Pyin)​ "/>
        <s v="Lisu Baptist Church, Maw Shan Vil,. Seik Mu"/>
        <s v="Lisu Baptist Church, Maw Wan Ward"/>
        <s v="Lone Khin Catholic Church"/>
        <s v="Maw Wan, Mu-yin Baptist Church"/>
        <s v="Muyin church (Aung Yar pre-school compound)"/>
        <s v="Nam Ma Phyit, COC"/>
        <s v="Nant Ma Hpit Catholic Church"/>
        <s v="Rawan Baptist Church, Maw Shan Vil., Seik Mu"/>
        <s v="Sai Nai Baptish Church, Maw Shan Vil., Seki Mu"/>
        <s v="Shar Du Zut KBC church "/>
        <s v="Shar Du Zut RC church"/>
        <s v="Shar Du Zut SanPya"/>
        <s v="Ward 2 Sai Taung Baptist Church, Seik Mu "/>
        <s v="Yumar Baptist Church"/>
        <s v="Bum Tsit Pa"/>
        <s v="Lana Zup Ja"/>
        <s v="Maing Khaung"/>
        <s v="Maing Khaung Catholic Church"/>
        <s v="Man Wing Baptist Church"/>
        <s v="Man Wing Baptist Church Cultural Compound"/>
        <s v="Man Wing Catholic Church"/>
        <s v="Man Wing Catholic Church II"/>
        <s v="Man Wing Host Families"/>
        <s v="Mansi Baptist Church"/>
        <s v="Mansi_Host Families"/>
        <s v="Sin Bo"/>
        <s v="Emmanuel AG Church"/>
        <s v="Kyun Taw Baptist Church "/>
        <s v="Lambraw Yang Rc, Namatee"/>
        <s v="Lan Gwa St.Paul RC Church"/>
        <s v="Ma Hawng Baptist Church"/>
        <s v="Ma Hawng RC "/>
        <s v="Myo Oo St. Dominic RC Church"/>
        <s v="Namatee AG"/>
        <s v="Namti Labraw Yang KBC Camp"/>
        <s v="Nat Gyi Kone Baptist Church "/>
        <s v="Sar Hmaw - KBC"/>
        <s v="Hopin Host Families"/>
        <s v="Htai Ra Yang"/>
        <s v="Moenyin Host Families"/>
        <s v="Nawng Ing (Indawgyi) Baptist Church "/>
        <s v="St. Patrick Catholic Church "/>
        <s v="Agritural Compound (KBC)"/>
        <s v="Dum Bung "/>
        <s v="Hpun Lum Yang "/>
        <s v="Je Yang Hka "/>
        <s v="Kachin Su Baptist Church (ECCD)"/>
        <s v="Khar Nan (1) Baptist Church"/>
        <s v="Khun Sint Village"/>
        <s v="Laiza Je Yang School"/>
        <s v="Loi Je Baptist Church"/>
        <s v="Loi Je Catholic Church"/>
        <s v="Loi Je Lisu Camp"/>
        <s v="Lwegel High School"/>
        <s v="Man Bung Catholic compound"/>
        <s v="Man Bung Edin Baptist Church"/>
        <s v="Mandalay Monestry"/>
        <s v="Momauk Baptist Church"/>
        <s v="Momauk_Host Families"/>
        <s v="Myo Thit "/>
        <s v="Nhkawng Pa "/>
        <s v="Nyaung Na Pin "/>
        <s v="Pa Kahtawng "/>
        <s v="Seng Ja "/>
        <s v="Ban Dang"/>
        <s v="Du Kahtawng Baptist"/>
        <s v="Jan Mai Kawng Baptist Church"/>
        <s v="Jan Mai Kawng Catholic Church"/>
        <s v="Jaw Masat Camp"/>
        <s v="Ka Bu Dam CoC"/>
        <s v="Kyun Pin Thar Baptist Church"/>
        <s v="Lawk Awng Mare D. (Sinbo Area)"/>
        <s v="Lawt Awng"/>
        <s v="Le Kone Bethlehem Church"/>
        <s v="Le Kone Ziun Baptist Church "/>
        <s v="Maliyang Baptist Church"/>
        <s v="Man Hkring Baptist Church"/>
        <s v="Maw Hpawng Hka Nan Baptist Church"/>
        <s v="Maw Hpawng Lhaovo Baptist Church"/>
        <s v="Nan Kway St. John Catholic Church"/>
        <s v="Njang Dung Baptist Church "/>
        <s v="Pa Dauk Myaing(Pa La Na)"/>
        <s v="Pa Dauk Myaing(Pa La Na)-II"/>
        <s v="Shatapru Sut Ngai Tawng"/>
        <s v="Shatapru Thida Aye Baptist Church"/>
        <s v="Shwe Zet Baptist Church"/>
        <s v="Tang Hpre RC Church"/>
        <s v="Tat Kone Baptist Church"/>
        <s v="Tat Kone COC Baptist - Tat Kone Htoi San"/>
        <s v="Tat Kone Emanuel Church"/>
        <s v="Tat Kone Galile Baptist Church"/>
        <s v="Tat Kone San Pya Baptist Church"/>
        <s v="Ti Yang Zup"/>
        <s v="Trinity Camp"/>
        <s v="Inn Lel Yan - Host Families"/>
        <s v="Lung Sut"/>
        <s v="Tote Tan Ward"/>
        <s v="Da Wei"/>
        <s v="Pang Hkawn Yang"/>
        <s v="Shwe Gu Baptist Church"/>
        <s v="Shwe Gu Catholic Church"/>
        <s v="Sut Chyai"/>
        <s v="Zupra"/>
        <s v="Ndup Yang"/>
        <s v="Salang Yang"/>
        <s v="Sumprabum"/>
        <s v="InjangYang  host families"/>
        <s v="Ma Ji Bum"/>
        <s v="Tanai AG Church"/>
        <s v="Tanai CoC"/>
        <s v="Tanai KBC Camp"/>
        <s v="Tanai RC Church - Kinsa Ra "/>
        <s v="Border Post 8"/>
        <s v="Hka Shi"/>
        <s v="Hkat Cho "/>
        <s v="Hkau Shau (BP 12)"/>
        <s v="IDP Boarding School, A Len Bum"/>
        <s v="Mading Baptist Church"/>
        <s v="Maga Yang "/>
        <s v="Maina AG Church"/>
        <s v="Maina Catholic Church (St. Joseph)"/>
        <s v="Maina KBC (Bawng Ring)"/>
        <s v="Maina Lawang Baptist Church"/>
        <s v="Nawng Hee Village"/>
        <s v="Pajau - Jan Mai"/>
        <s v="Post 6 Camp"/>
        <s v="Qtr. 2 Lhaovo Baptist Church"/>
        <s v="Qtr. 2 Myoma Baptist Church"/>
        <s v="Qtr. 3 Mu-yin  Baptist Church"/>
        <s v="Qtr. 4 Monestry (Thargaya Thayett Taw)"/>
        <s v="Sadung"/>
        <s v="Sha-It Yang"/>
        <s v="Shing Jai"/>
        <s v="Thargaya Lisu Baptist Church"/>
        <s v="Waimaw Baptist Zonal Office 2"/>
        <s v="Waingmaw AG Church"/>
        <s v="Woi Chyai "/>
        <s v="Woi Chyai (Mong Lai)"/>
        <s v="Woi Chyai host families"/>
        <s v="Chin Kone"/>
        <s v="Dar Let (North)"/>
        <s v="Dar Let (South)"/>
        <s v="Dar Let Ah Lel Kyun"/>
        <s v="Kan Za Li"/>
        <s v="Kha Yan Kyun"/>
        <s v="Kwayt Shey Ywar Thit_x000a_(Kwayt Shay)"/>
        <s v="Kyeik Chaung"/>
        <s v="Laung Sat"/>
        <s v="Lun Kyaw"/>
        <s v="Mei Za Li Kaing"/>
        <s v="Mingalar on"/>
        <s v="Nat Maw (Upper)"/>
        <s v="Nga Let Kya"/>
        <s v="Nyaung Chaung_ann"/>
        <s v="Oe Pone"/>
        <s v="Pyaung Chaung"/>
        <s v="Sa Khan Maw"/>
        <s v="Shan Kone"/>
        <s v="Sin U Taik"/>
        <s v="Swi Chaung"/>
        <s v="Taik Maw"/>
        <s v="Tan Chaung"/>
        <s v="Taung Chauk"/>
        <s v="Wet Mee To"/>
        <s v="Ywar Haung Ah Htet"/>
        <s v="Za Yat Kwin"/>
        <s v="Zu Kaing"/>
        <s v="Inn Hpauk"/>
        <s v="Kin Chaung"/>
        <s v="Kin Taung (Taung + Myauk)"/>
        <s v="Kyein Chaung"/>
        <s v="Nga Kyi Tauk Daing Nat"/>
        <s v="Pale Taung"/>
        <s v="Sein Hnyin Pyar_Tha Pyay Taw"/>
        <s v="Ka Nyin Taw"/>
        <s v="Ah Nauk Ywe"/>
        <s v="Ah Htet Gar Pu"/>
        <s v="Ah Lel Mu"/>
        <s v="Ah Pauk Wa"/>
        <s v="Ahla Madi"/>
        <s v="Doke Kan Chaung"/>
        <s v="Gar Pu (Lower)"/>
        <s v="Gaw Yaw Ma Ni"/>
        <s v="Goke Pi Htaunt"/>
        <s v="Goke Pi Htaunt (Rakhine)"/>
        <s v="Hla Nyo Kan"/>
        <s v="In Bar Yi"/>
        <s v="Kar Di (Middle)"/>
        <s v="Kar Di Ha Yar"/>
        <s v="Khaung Htoke"/>
        <s v="Kyar Nyo Inn"/>
        <s v="Kyauk Se"/>
        <s v="Kyaung Swae Phyu"/>
        <s v="La Mu Ta Pin"/>
        <s v="Let Saung Kauk"/>
        <s v="Min Thar Seik"/>
        <s v="Nay Pu Khan"/>
        <s v="Nga Ta Paung"/>
        <s v="Ngar Saung Bet"/>
        <s v="Ngar Yauk Kaing"/>
        <s v="Basare"/>
        <s v="Oke Taung Pyin"/>
        <s v="Pa Lat Kay"/>
        <s v="Palae' Kaine"/>
        <s v="Pi Htu_Wa Lar Kan"/>
        <s v="Pin Zaing"/>
        <s v="Pon Nar"/>
        <s v="Pyaing Chaung"/>
        <s v="Pyar"/>
        <s v="Pyaung Seik"/>
        <s v="Pyein Chaung"/>
        <s v="Sabei Hla"/>
        <s v="San Thar Pyin"/>
        <s v="Sapar Seik (Shari)"/>
        <s v="Shauk Chaung"/>
        <s v="Shwe Hlaing"/>
        <s v="Shwe Hlaing Rakhine"/>
        <s v="Taung Htaung"/>
        <s v="Taung Htaung Ha Yar"/>
        <s v="Taung Htaung Hayar_Wa Lar Kan (Ku Lar)"/>
        <s v="Taung Pauk"/>
        <s v="Tha Yet Oak"/>
        <s v="Tha Yet Oke Ywar Haung"/>
        <s v="Thin Ga Net"/>
        <s v="Thone Gwa"/>
        <s v="Win Su"/>
        <s v="Yun Nyar"/>
        <s v="Ywar Thit Kay"/>
        <s v="Aung Thar Yar (NaTaLa)"/>
        <s v="Baw Di Kone"/>
        <s v="Hpar Wut Chaung"/>
        <s v="Ka Nyin"/>
        <s v="Kyet Yoe Pyin (Ywa Ma)"/>
        <s v="Min Ga Lar Gyi"/>
        <s v="Ngan Chaung_Gone Nar"/>
        <s v="Paung Zar"/>
        <s v="Ta Man Thar (Thar Zay)_(Myo)"/>
        <s v="Tha Ray Kon Baung"/>
        <s v="Thar Yar Kone"/>
        <s v="Thin Baw Hla (Rakhine) (Thar Yar Gone)"/>
        <s v="Yai Myet Taung Ywa Thit"/>
        <s v="Ywet Nyo Taung ( Rakhine)"/>
        <s v="Zin Paing Nyar"/>
        <s v="Chaik Taung"/>
        <s v="Cheit Taung"/>
        <s v="Kan Chaung Wa"/>
        <s v="Kan Ni"/>
        <s v="San Htoe Tan"/>
        <s v="Shwe Ta Mar"/>
        <s v="Shwe Zin Khin (Rakhine)"/>
        <s v="Tha Dar"/>
        <s v="Ah Htet See Maung"/>
        <s v="Bu Chaung"/>
        <s v="Let Than Chi (Haung)"/>
        <s v="Let Than Chi (Ywar Thit)"/>
        <s v="Oke Kan"/>
        <s v="Kan Thar Htwat Wa"/>
        <s v="Baw Du Pha 1"/>
        <s v="Ah Nauk Ye Ku Lar"/>
        <s v="Baw Du Pha 2"/>
        <s v="Dar Pai"/>
        <s v="Dar Pai (IDP in host families)"/>
        <s v="Hmanzi "/>
        <s v="Sin Aing"/>
        <s v="Khaung Doke Khar"/>
        <s v="Sin Tet Maw (Host)"/>
        <s v="Sin Tet Maw Rakhine(Baw Da Li)"/>
        <s v="Dar Peit"/>
        <s v="Kar Di"/>
        <s v="Kywe Lan Chaung"/>
        <s v="Maw"/>
        <s v="Myet Tauk"/>
        <s v="Pet Khwet Seik"/>
        <s v="Pyin Hlyar Shey"/>
        <s v="Tan Khoe"/>
        <s v="Tan Zwei"/>
        <s v="Tauk Sone"/>
        <s v="Thar Si"/>
        <s v="U Htoe Dan "/>
        <s v="Yin Chaung"/>
        <s v="Yoe Ngu"/>
        <s v="Ah Htet Nan Yar (Muslim)"/>
        <s v="Ah Nauk Pyin"/>
        <s v="Aung Thar Yar"/>
        <s v="Chin Ywa(Pyaing Taung)"/>
        <s v="Chut Pyin"/>
        <s v="Kan Pyin"/>
        <s v="Kone Tan"/>
        <s v="Kyauk Sar Taing"/>
        <s v="Kyone Pyin"/>
        <s v="Lone Tin"/>
        <s v="Mi Chaung Yae Thauk"/>
        <s v="Mi Nyo Htaunt"/>
        <s v="Mi Nyo Htaunt_Thar Si"/>
        <s v="Naw Wai"/>
        <s v="Nyaung Pin Gyi (Ku Lar)"/>
        <s v="Nyaung Pin Gyi (Rakhine)"/>
        <s v="Nyaung Pin Hla"/>
        <s v="Thit Ka Toe"/>
        <s v="Yan Aung Pyin"/>
        <s v="Zee kone Tan (or) Kon Tan Zay"/>
        <s v="Ah Lar Than"/>
        <s v="Aung Daing "/>
        <s v="Bar Sa Yar Host"/>
        <s v="Kyauk Ta Lone"/>
        <s v="Baw Du Pha (IDP in host families)"/>
        <s v="Kyein Ni Pyin"/>
        <s v="Maw Ti Ngar"/>
        <s v="Baw Du Pha village"/>
        <s v="Nget Chaung 1"/>
        <s v="Nget Chaung 2"/>
        <s v="Dar Paing Village"/>
        <s v="Daung Pyauk Kay"/>
        <s v="NiDin"/>
        <s v="Ohn Taw Chay"/>
        <s v="Kyan Taw"/>
        <s v="Kyet Taw Pyin"/>
        <s v="Ohn Taw Gyi (North)"/>
        <s v="Me la zi Kone"/>
        <s v="Nga Pwint Gyi"/>
        <s v="Nga/ Pun Ywar Shey"/>
        <s v="Nga/Pun Ywar Gyi"/>
        <s v="Ohn Taw Gyi (South)"/>
        <s v="Ohn Taw Gyi"/>
        <s v="Phwe Yar Kone"/>
        <s v="Say Tha Mar Gyi"/>
        <s v="Phwe Yar Gone village"/>
        <s v="Sin Tet Maw"/>
        <s v="Pyin Shey"/>
        <s v="Sat Roe Kya 1"/>
        <s v="Sat Roe Kya 2"/>
        <s v="Taung Paw"/>
        <s v="Say Tha Mar Gyi village"/>
        <s v="Say Tha Mar Nge"/>
        <s v="Set Yone Su 1"/>
        <s v="Set Yone Su 3 (Mingan)"/>
        <s v="Taw Kan"/>
        <s v="Thae Chaung"/>
        <s v="Thae Chaung(Rakhine)"/>
        <s v="Thar Yar Kone (M)"/>
        <s v="Thea Chaung Ku Lar"/>
        <s v="Thea Chaung Let Tha Mar Kone"/>
        <s v="Thein Tan"/>
        <s v="Thet Kae Pyin "/>
        <s v="Thet Kae Pyin Village (IDPs in host family)"/>
        <s v="Thet Kay Pyin Ywar Ma"/>
        <s v="War Bo"/>
        <s v="Yae Chan Pyin"/>
        <s v="Yar Tan"/>
        <s v="Zaw Pu Gyar"/>
        <s v="Nam Sa Larp"/>
        <s v="Tsan Lun - Namjarap"/>
        <s v="Man Kaung/Naung Ti Kyar Village"/>
        <s v="Kone Khem Camp"/>
        <s v="Kutkai downtown (KBC Church)"/>
        <s v="Kutkai downtown (KBC Church-2)"/>
        <s v="Kutkai downtown (RC Church)"/>
        <s v="Mai Yu Lay New (Ta'ang)"/>
        <s v="Kyu Sot"/>
        <s v="Mine Yu Lay village ( Old)"/>
        <s v="Lisu Baptist Church"/>
        <s v="Mungji Pa Dabang (Baptist Church)"/>
        <s v="Mungji Pa Dabang (Catholic Church)"/>
        <s v="Nam Hpak Ka Mare "/>
        <s v="Nam Hpak Ka Ta'ang ( Aung Tha Pyay)"/>
        <s v="New Pang Ku "/>
        <s v="Pan Law"/>
        <s v="Zup Aung Camp"/>
        <s v="Man Loi"/>
        <s v="Mandung - Jinghpaw"/>
        <s v="Mandung - RC"/>
        <s v="Hpai Kawng"/>
        <s v="Hpai Kawng Mare"/>
        <s v="Muse Baptist Church"/>
        <s v="Muse Catholic Church"/>
        <s v="Man Sa"/>
        <s v="Nam Hkam - Nay Win Ni (Palawng)"/>
        <s v="Mong Wee Shan"/>
        <s v="Mung Hawm "/>
        <s v="Nam Hkam Catholic Church ( St. Thomas I)"/>
        <s v="Nam Hkam (KBC Jaw Wang)"/>
        <s v="Nam Hkam (KBC Jaw Wang) II"/>
        <s v="Nam Tu Baptist"/>
        <s v="Lisu Church Namtu"/>
        <s v="Namhkan - Pang Long KBC"/>
        <s v="Pan Ta Pyae"/>
        <s v="Mee Pho Kone"/>
        <s v="Kutkhai KBC-2 (Block-6)"/>
        <s v="Nam Hkawng"/>
        <s v="Ta Gun Taing Monastery (Shwe Kyi Na)"/>
        <s v="Ah Hla Sin"/>
        <s v="Bu May"/>
        <s v="Chi Laing Hpin"/>
        <s v="Done Pyin Village"/>
        <s v="Hla May Shwe"/>
        <s v="Kywi Te"/>
        <s v="Nga/Tauk Tet"/>
        <s v="Ohn Taw Shey"/>
        <s v="Narte"/>
        <s v="Jwan Jaw KBC"/>
        <s v="Ramree Town" u="1"/>
        <s v="Tanai KBC Church " u="1"/>
        <s v="Gyit Chaung" u="1"/>
        <s v="Sa Pe Kong A Nauk Ywa" u="1"/>
        <s v="Mang Hawng Baptist Church" u="1"/>
        <s v="Pyu Chaing" u="1"/>
        <s v="Hindu" u="1"/>
        <s v="Thein Taung pyin (Dine Net)" u="1"/>
        <s v="Tha Yet Taung" u="1"/>
        <s v="Ywa Gyi (Tha Yet Kin Ma Nu)" u="1"/>
        <s v="Hpaung Taw Pyin" u="1"/>
        <s v="Maw Htet" u="1"/>
        <s v="Zee Khaung" u="1"/>
        <s v="Lambraw Yang KBC, Namatee" u="1"/>
        <s v="Dar Shey" u="1"/>
        <s v="Let Wea Det Pyin Shey" u="1"/>
        <s v="Godzilla (Hteik Tu Pauk Myauk)" u="1"/>
        <s v="Kyauk Hlay Kar" u="1"/>
        <s v="Zin Kha Mar" u="1"/>
        <s v="Mardilla" u="1"/>
        <s v="Lu Fan Pyin" u="1"/>
        <s v="Kyee Kan Pyin ( Temoprary Tent)" u="1"/>
        <s v="Muslim (Aley Ywa)" u="1"/>
        <s v="Ohn Chaung" u="1"/>
        <s v="Langui" u="1"/>
        <s v="Kat Pa Kaung" u="1"/>
        <s v="Inn Chaung (Muslim)" u="1"/>
        <s v="Nant Yar Gaing (Nant Yar Gaing)" u="1"/>
        <s v="Set Yone Su 3" u="1"/>
        <s v="Laung Don (Myo)" u="1"/>
        <s v="Koe Tan Kauk" u="1"/>
        <s v="Trinity KBC Church" u="1"/>
        <s v="Shwe Zar (Middle)" u="1"/>
        <s v="Maw Staw Bis" u="1"/>
        <s v="Ywa thit Kay" u="1"/>
        <s v="Ah Htet Nan Yar" u="1"/>
        <s v="Kun Thee Pin" u="1"/>
        <s v="Ah Nauk" u="1"/>
        <s v="Kyaung Taung" u="1"/>
        <s v="Tat Oo Anauk" u="1"/>
        <s v="Thit Tone Na Gwa Sone (Ywa Ma)" u="1"/>
        <s v="Ramree Ward 6" u="1"/>
        <s v="Wa Hmyaung" u="1"/>
        <s v="Kyauk Ka Lay" u="1"/>
        <s v="Kyar Nyo Pyin (Muslim)" u="1"/>
        <s v="Nga San Baw (Moke Soe Chaung) (Ywar Haung)" u="1"/>
        <s v="Ni Lin Paw" u="1"/>
        <s v="Rakhine Ywa" u="1"/>
        <s v="Aung Pa" u="1"/>
        <s v="Faw Tay Ali " u="1"/>
        <s v="Ah Du" u="1"/>
        <s v="Kan Pyi Tha Zi" u="1"/>
        <s v="Ta Man Thar Ah Nauk (Rakhine)" u="1"/>
        <s v="Nur Ru Lar" u="1"/>
        <s v="Kyauk Yan (Rakhine)" u="1"/>
        <s v="Inn Din (Rakhine)" u="1"/>
        <s v="Ba Da Nar" u="1"/>
        <s v="Kon Tan (U Daung Ah Nauk)" u="1"/>
        <s v="Thein Taung pyin (Muslim)" u="1"/>
        <s v="Thein Tan (Rakhine)" u="1"/>
        <s v="Kyauk Pan Du (NTL)" u="1"/>
        <s v="Tha Yet Oke Ywar Thit" u="1"/>
        <s v="Palay Taung Ywa Thit" u="1"/>
        <s v="Ahr Kar Taung" u="1"/>
        <s v="Min Gyi (Tu Lar Tu Li)" u="1"/>
        <s v="Nam Hpak Ka Ta'ang" u="1"/>
        <s v="Phyar Pyin" u="1"/>
        <s v="Thi Ho Kyun Tha Dar ( Myo/ Temporary)" u="1"/>
        <s v="Maung Ni" u="1"/>
        <s v="Kyauk Yit Muslim" u="1"/>
        <s v="DPA" u="1"/>
        <s v="Shwe Zar (North)" u="1"/>
        <s v="Mai Yu Lay Ta'ang" u="1"/>
        <s v="Ywar Gyi (Middle)" u="1"/>
        <s v="Bomu Ywa" u="1"/>
        <s v="Ngar Sar Kyu" u="1"/>
        <s v="Ashit Ywa_M" u="1"/>
        <s v="Thein Tan (Muslim)" u="1"/>
        <s v="Kha Yay Myaing (NaTaLa)" u="1"/>
        <s v="Wai Thar Le" u="1"/>
        <s v="Thu U Lar" u="1"/>
        <s v="Thar Zay Kone (Thar Zi Kone)" u="1"/>
        <s v="Ashit Ywa_R" u="1"/>
        <s v="Rakhine Ywa_R" u="1"/>
        <s v="Pa Da Kar Ywar Thit" u="1"/>
        <s v="Inn Chaung (Daing Net)" u="1"/>
        <s v="Chan Pyin" u="1"/>
        <s v="Mee Taik" u="1"/>
        <s v="Chin Ywar Min Pyin" u="1"/>
        <s v="Chin Pyin" u="1"/>
        <s v="Ah Bu Gyar" u="1"/>
        <s v="Shwe Zar (west)" u="1"/>
        <s v="Pyaing Taung" u="1"/>
        <s v="Myauk Ywa" u="1"/>
        <s v="Kyauk Yit RK" u="1"/>
        <s v="Sin Oe" u="1"/>
        <s v="Honsara (Zaw Ma Tat)" u="1"/>
        <s v="Yai Mya" u="1"/>
        <s v="Let Wea Det Pyin Shey_Ywar Thit" u="1"/>
        <s v="Pyin  Hla Zay Ywa" u="1"/>
        <s v="Aung Thay Pyay (San Suri)" u="1"/>
        <s v="Pe Tha Du" u="1"/>
        <s v="A Lei Ywar" u="1"/>
        <s v="Pan Taw Pyin" u="1"/>
        <s v="Thit Tone Nar Gwa Son" u="1"/>
        <s v="Myoma Myauk (Chitta Ywa)" u="1"/>
        <s v="Kha Maung Seik North" u="1"/>
        <s v="Mee Chaung Zay_Ywar Thit" u="1"/>
        <s v="Khat Pa Kaung" u="1"/>
        <s v="Kine Gyi (Rakhine)" u="1"/>
        <s v="Min Ga Lar Ahr Sheik Kyar" u="1"/>
        <s v="Lin Bar Gone Nar" u="1"/>
        <s v="Pyin Hpyu" u="1"/>
        <s v="Phas Kawri" u="1"/>
        <s v="Myo U" u="1"/>
        <s v="Let Wea Det" u="1"/>
        <s v="Say Tha Ma" u="1"/>
        <s v="Tha Yet Oke" u="1"/>
        <s v="Thaing Ta Poke" u="1"/>
        <s v="Kha Yu Chaung (Muslim)" u="1"/>
        <s v="Nga Khu Ya (Myauk Ywar)" u="1"/>
        <s v="Ka Nyin Chaung" u="1"/>
        <s v="Nyaung Chaung" u="1"/>
        <s v="Shwe Zar _Hindu" u="1"/>
        <s v="Lan Gwa KBC Church" u="1"/>
        <s v="Be Lar Mi" u="1"/>
        <s v="Doe Tan" u="1"/>
        <s v="Kyet Mauk Taung (Myauk Ywar)" u="1"/>
        <s v="Nwar Yone Taung" u="1"/>
        <s v="Gaung Gyi" u="1"/>
        <s v="Zaw Ma Tat ( Kyine Gyi)" u="1"/>
        <s v="Ywar Gyi" u="1"/>
        <s v="Wa Lar Kan" u="1"/>
        <s v="A Lei Ywar " u="1"/>
        <s v="San Go Taung" u="1"/>
        <s v="Ywet Nyo Taung" u="1"/>
        <s v="Hla Tha Ma" u="1"/>
        <s v="Oe Hpauk Ywar Thit" u="1"/>
        <s v="U Daung (NaTaLa)" u="1"/>
        <s v="Gwa Sone Rakhine" u="1"/>
        <s v="Pyin Chay" u="1"/>
        <s v="Kan Sit" u="1"/>
        <s v="Kyauk Pyin Seik" u="1"/>
        <s v="Kywe Ta Ma" u="1"/>
        <s v="Thea Chaung Ywar Thit Kay" u="1"/>
        <s v="Shwe Yin Aye" u="1"/>
        <s v="Done Thein" u="1"/>
        <s v="Kan Kyar Myauk" u="1"/>
        <s v="Nawng Nan, Jaw Ma Sat KBC Church" u="1"/>
        <s v="Zon Mar" u="1"/>
        <s v="Myaung Nar" u="1"/>
        <s v="Hin Thar Ra" u="1"/>
        <s v="Saw Kina Ma" u="1"/>
        <s v="Phwe Ra" u="1"/>
        <s v="Taung (Pale Taung)" u="1"/>
        <s v="Shwe Yin Aye (NaTaLa)" u="1"/>
        <s v="Yae Nauk Ngar Thar (Daing Nat)" u="1"/>
        <s v="That Kaing Nyar (Thet)" u="1"/>
        <s v="Laung Chaung (Daing Net)" u="1"/>
        <s v="Ah Htet Nan Yar (Rakhine)" u="1"/>
        <s v="Nga Khu Ya" u="1"/>
        <s v="Kan Beit" u="1"/>
        <s v="Play Taung Ywa Gyi North" u="1"/>
        <s v="Man wing gyi (host school)" u="1"/>
        <s v="Rakhine" u="1"/>
        <s v="Kyun Pauk Ku Lar" u="1"/>
        <s v="Yet Khone Taing" u="1"/>
        <s v="Thea Chaung Pyu Su" u="1"/>
        <s v="Zay Teit Taung" u="1"/>
        <s v="Aung Ba La" u="1"/>
        <s v="Let Wea Det Pyin Shey_Tha Pyay Taw" u="1"/>
        <s v="Sa Bai Pin Yin" u="1"/>
        <s v="Bethela KBC church" u="1"/>
        <s v="Hpar Wut Chaung (Myauk Ywar)" u="1"/>
        <s v="Mine Yu Lay village" u="1"/>
        <s v="Chaung Pauk" u="1"/>
        <s v="Ah Nauk Ka Maung Seik" u="1"/>
        <s v="Taung Chaung" u="1"/>
        <s v="Aung Thay Pyay (NaTaLa)" u="1"/>
        <s v="Than Chay RK" u="1"/>
        <s v="Inn Din_new village" u="1"/>
        <s v="Thit Taw Ywa" u="1"/>
        <s v="Dar Gyi Zar" u="1"/>
        <s v="Yae Myet" u="1"/>
        <s v="Gwa Sone Muslim" u="1"/>
        <s v="Chein Khar Li" u="1"/>
        <s v="Nga Ku Ya (Ku Lar)" u="1"/>
        <s v="Kyauk Yan Thar Si" u="1"/>
        <s v="Raza Bil" u="1"/>
        <s v="Kan Tha Ya" u="1"/>
        <s v="War Net Chun" u="1"/>
        <s v="Kan Paing Nar" u="1"/>
        <s v="Pauk Pin Yin" u="1"/>
        <s v="Taung Ywa" u="1"/>
        <s v="Kyee Kan Pyin ( Surrounding)" u="1"/>
        <s v="Nan Yah Gone Ahtet" u="1"/>
        <s v="Zay Di Pyin" u="1"/>
        <s v="Baw Li " u="1"/>
        <s v="Baw Ya Par" u="1"/>
        <s v="Wa Khote Chaung" u="1"/>
        <s v="Kyar Nyo Pyin (Rakhine)_x000a_+ Pyar Yae" u="1"/>
        <s v="Alay Mushee" u="1"/>
        <s v="Sin Khone Taing (Rakhine)" u="1"/>
        <s v="Du Than Dar" u="1"/>
        <s v="Pyaing Taung (Rakhine)" u="1"/>
        <s v="U Yin Thar" u="1"/>
        <s v="Ah Kyaw (Arisha Para)" u="1"/>
        <s v="Thet Kaing Ngyar" u="1"/>
        <s v="Sin Thay Pyin (Zay Di Pyin)" u="1"/>
        <s v="Shwe Zar Kat Pa Kaung" u="1"/>
        <s v="Wa Lar Kann" u="1"/>
        <s v="Tanai AG Church " u="1"/>
        <s v="Namtu RC" u="1"/>
        <s v="Taung Pyo ( 3Quarter)" u="1"/>
        <s v="Say Taung" u="1"/>
        <s v="Ywa Haung_M" u="1"/>
        <s v="Muslim (Taung Ywa)" u="1"/>
        <s v="Din Gar" u="1"/>
        <s v="Kan Kyar Taung " u="1"/>
        <s v="Nat Chaung (Garapyin)" u="1"/>
        <s v="Mingalar Nyunt (NaTaLa)" u="1"/>
        <s v="Ah Myet Taung" u="1"/>
        <s v="Ywa Haung_R" u="1"/>
        <s v="Ywa Ma" u="1"/>
        <s v="Let Thar Ywa" u="1"/>
        <s v="Girl Boarding house, A Len Bum" u="1"/>
        <s v="Ma Gyi Koung" u="1"/>
        <s v="Kar Di (Kywe Cho Maw)" u="1"/>
        <s v="Zedi Taung (Muslim)" u="1"/>
        <s v="Oke Hpo (Oe Hpauk)" u="1"/>
        <s v="Kyauk Pan Du" u="1"/>
        <s v="Majee Ywa" u="1"/>
        <s v="Si Tar (Pa Zun Chaung)" u="1"/>
        <s v="Sin Khone Taing (Ku Lar)" u="1"/>
        <s v="Gudar Pyin" u="1"/>
        <s v="Ka Nyin Tan" u="1"/>
        <s v="Lam Bar Gone Nah" u="1"/>
        <s v="Taungchay Ywa Muslim" u="1"/>
        <s v="Nga/ Pun Ywar Gyi" u="1"/>
        <s v="Maung Hpyu (Da Pyu Chaung)" u="1"/>
        <s v="Kyet Mauk Taung (Taung Ywar)" u="1"/>
        <s v="Zaw Ma Tat ( Myo/ Relocation)" u="1"/>
        <s v="Gaung Nyar" u="1"/>
        <s v="Navy Seik" u="1"/>
        <s v="Wet Ma Kya" u="1"/>
        <s v="Min Kha Maung (NaTaLa)" u="1"/>
        <s v="Ywa Thar Yar" u="1"/>
        <s v="Thit Tone Na Gwa Sone (Daung Ywa)" u="1"/>
        <s v="Ngwe Taung" u="1"/>
        <s v="Ah Lel Ywa" u="1"/>
        <s v="La Baw Zar" u="1"/>
        <s v="Hpar Wut Chaung (Ywar Thit)" u="1"/>
        <s v="Gone Nar" u="1"/>
        <s v="Fatar" u="1"/>
        <s v="San Pai Pin Yin" u="1"/>
        <s v="Ngan Chaung" u="1"/>
        <s v="Myaunk Ywa_R" u="1"/>
        <s v="Rakhine Min Pyin" u="1"/>
        <s v="Thaung Paing Nyar" u="1"/>
        <s v="Koun Tan" u="1"/>
        <s v="Gan Gaw Myaing ( Na Ta La )" u="1"/>
        <s v="Zaw Ma Tat" u="1"/>
        <s v="Sar Kon Boke (Hindu Para)" u="1"/>
        <s v="Wet Kyein (Myo)" u="1"/>
        <s v="Ward-6 (Lay Myaing)" u="1"/>
        <s v="Ka Doe Seik" u="1"/>
        <s v="Pann Phaw Pyin" u="1"/>
        <s v="Ywar Thar Yar" u="1"/>
        <s v="Taung Pyo ( 1 Quarter)" u="1"/>
        <s v="Taung Pyo ( 2 Quarter)" u="1"/>
        <s v="Taung Pyo ( 4 Quarter)" u="1"/>
        <s v="Taung Maw" u="1"/>
        <s v="Shat Shar Taung" u="1"/>
        <s v="Kyauk Sar Dine" u="1"/>
        <s v="Pa Dauk Myaing (Pa La Na) II" u="1"/>
        <s v="Boys Boarding house, A Len Bum" u="1"/>
        <s v="Aung Sit Pyin ( Done Pike)" u="1"/>
        <s v="Aung Mingalar (NaTaLa)" u="1"/>
        <s v="Thit Tone Nar Lay Myo" u="1"/>
        <s v="Myauk Ywar" u="1"/>
        <s v="Tha Pyay Seik" u="1"/>
        <s v="Aung Zay Ya (Su See)" u="1"/>
        <s v="Than Du" u="1"/>
      </sharedItems>
    </cacheField>
    <cacheField name="Total HH" numFmtId="0">
      <sharedItems containsSemiMixedTypes="0" containsString="0" containsNumber="1" containsInteger="1" minValue="3" maxValue="2428"/>
    </cacheField>
    <cacheField name="Total PoP " numFmtId="1">
      <sharedItems containsSemiMixedTypes="0" containsString="0" containsNumber="1" containsInteger="1" minValue="13" maxValue="13302"/>
    </cacheField>
    <cacheField name="#of students at TLS" numFmtId="0">
      <sharedItems containsBlank="1" containsMixedTypes="1" containsNumber="1" containsInteger="1" minValue="0" maxValue="944"/>
    </cacheField>
    <cacheField name="Primary Donor covering WASH activities at site " numFmtId="0">
      <sharedItems containsBlank="1"/>
    </cacheField>
    <cacheField name="Expected end of funding for WASH activties at site" numFmtId="165">
      <sharedItems containsDate="1" containsBlank="1" containsMixedTypes="1" minDate="2017-07-31T00:00:00" maxDate="2021-01-01T00:00:00"/>
    </cacheField>
    <cacheField name="# Work days (approx) lost in this site due to access restrictions" numFmtId="0">
      <sharedItems containsString="0" containsBlank="1" containsNumber="1" containsInteger="1" minValue="0" maxValue="36"/>
    </cacheField>
    <cacheField name="WASH Committee part of camp management structures " numFmtId="0">
      <sharedItems containsBlank="1"/>
    </cacheField>
    <cacheField name="% Women on camp WASH committee" numFmtId="0">
      <sharedItems containsBlank="1" containsMixedTypes="1" containsNumber="1" minValue="0" maxValue="1"/>
    </cacheField>
    <cacheField name="%Women in leadership positions in wash committees" numFmtId="0">
      <sharedItems containsBlank="1" containsMixedTypes="1" containsNumber="1" minValue="0" maxValue="1"/>
    </cacheField>
    <cacheField name="# Functioning protected hand dug well" numFmtId="0">
      <sharedItems containsString="0" containsBlank="1" containsNumber="1" containsInteger="1" minValue="0" maxValue="50"/>
    </cacheField>
    <cacheField name="# Functioning Tube wells/boreholes " numFmtId="0">
      <sharedItems containsString="0" containsBlank="1" containsNumber="1" containsInteger="1" minValue="0" maxValue="185"/>
    </cacheField>
    <cacheField name="# Litres/Day provided" numFmtId="0">
      <sharedItems containsString="0" containsBlank="1" containsNumber="1" minValue="0" maxValue="9331200"/>
    </cacheField>
    <cacheField name="# Existing protected/fenced ponds " numFmtId="0">
      <sharedItems containsString="0" containsBlank="1" containsNumber="1" containsInteger="1" minValue="0" maxValue="8"/>
    </cacheField>
    <cacheField name="# Water points fully handed over" numFmtId="0">
      <sharedItems containsBlank="1" containsMixedTypes="1" containsNumber="1" containsInteger="1" minValue="0" maxValue="234"/>
    </cacheField>
    <cacheField name="# Water points in TLS" numFmtId="0">
      <sharedItems containsString="0" containsBlank="1" containsNumber="1" containsInteger="1" minValue="0" maxValue="8"/>
    </cacheField>
    <cacheField name="# of Water tested at source" numFmtId="0">
      <sharedItems containsString="0" containsBlank="1" containsNumber="1" containsInteger="1" minValue="0" maxValue="211"/>
    </cacheField>
    <cacheField name="# of Water passed at source" numFmtId="0">
      <sharedItems containsString="0" containsBlank="1" containsNumber="1" minValue="0" maxValue="198"/>
    </cacheField>
    <cacheField name="# of Water tested at HH" numFmtId="0">
      <sharedItems containsString="0" containsBlank="1" containsNumber="1" containsInteger="1" minValue="0" maxValue="204"/>
    </cacheField>
    <cacheField name="# of Water passed at HH" numFmtId="0">
      <sharedItems containsString="0" containsBlank="1" containsNumber="1" minValue="0" maxValue="156"/>
    </cacheField>
    <cacheField name="# of hand washing station for TLS" numFmtId="1">
      <sharedItems containsString="0" containsBlank="1" containsNumber="1" containsInteger="1" minValue="0" maxValue="51"/>
    </cacheField>
    <cacheField name="WATER Comments" numFmtId="1">
      <sharedItems containsBlank="1" containsMixedTypes="1" containsNumber="1" containsInteger="1" minValue="0" maxValue="14"/>
    </cacheField>
    <cacheField name="# Existing functional latrines" numFmtId="0">
      <sharedItems containsString="0" containsBlank="1" containsNumber="1" containsInteger="1" minValue="0" maxValue="608"/>
    </cacheField>
    <cacheField name="# Existing latrines dysfunctional" numFmtId="0">
      <sharedItems containsString="0" containsBlank="1" containsNumber="1" containsInteger="1" minValue="0" maxValue="347"/>
    </cacheField>
    <cacheField name="# of latrines desludged" numFmtId="0">
      <sharedItems containsString="0" containsBlank="1" containsNumber="1" containsInteger="1" minValue="0" maxValue="450"/>
    </cacheField>
    <cacheField name="How often desludged the latrines in a year?" numFmtId="0">
      <sharedItems containsBlank="1"/>
    </cacheField>
    <cacheField name="# Latrines fully handed over" numFmtId="1">
      <sharedItems containsString="0" containsBlank="1" containsNumber="1" containsInteger="1" minValue="0" maxValue="788"/>
    </cacheField>
    <cacheField name="effective solid waste management system" numFmtId="0">
      <sharedItems containsBlank="1" containsMixedTypes="1" containsNumber="1" containsInteger="1" minValue="0" maxValue="0" count="6">
        <s v="Functional"/>
        <s v="NA"/>
        <m/>
        <s v="Not_Functional"/>
        <s v="Not_inPlace"/>
        <n v="0" u="1"/>
      </sharedItems>
    </cacheField>
    <cacheField name="Does the camp have surface water drainage" numFmtId="0">
      <sharedItems containsBlank="1" containsMixedTypes="1" containsNumber="1" containsInteger="1" minValue="0" maxValue="12" count="7">
        <s v="Functional"/>
        <s v="NA"/>
        <s v="Not_Functional"/>
        <m/>
        <s v="Not_inPlace"/>
        <n v="0" u="1"/>
        <n v="12" u="1"/>
      </sharedItems>
    </cacheField>
    <cacheField name="# of children Latrine " numFmtId="0">
      <sharedItems containsString="0" containsBlank="1" containsNumber="1" minValue="0" maxValue="32"/>
    </cacheField>
    <cacheField name="# of latrines in TLS (schools)" numFmtId="0">
      <sharedItems containsString="0" containsBlank="1" containsNumber="1" containsInteger="1" minValue="0" maxValue="30"/>
    </cacheField>
    <cacheField name="Sanitation Comments" numFmtId="1">
      <sharedItems containsBlank="1" containsMixedTypes="1" containsNumber="1" containsInteger="1" minValue="0" maxValue="0"/>
    </cacheField>
    <cacheField name="%HHs with access to functional hand washing stations" numFmtId="9">
      <sharedItems containsString="0" containsBlank="1" containsNumber="1" minValue="0" maxValue="15"/>
    </cacheField>
    <cacheField name="Type of handwashing approach" numFmtId="0">
      <sharedItems containsBlank="1"/>
    </cacheField>
    <cacheField name="# Individual functioning bathing spaces " numFmtId="0">
      <sharedItems containsString="0" containsBlank="1" containsNumber="1" containsInteger="1" minValue="0" maxValue="2428"/>
    </cacheField>
    <cacheField name="# Communal functioning bathing spaces " numFmtId="0">
      <sharedItems containsBlank="1" containsMixedTypes="1" containsNumber="1" containsInteger="1" minValue="0" maxValue="49"/>
    </cacheField>
    <cacheField name="# Hygiene Promoters " numFmtId="0">
      <sharedItems containsString="0" containsBlank="1" containsNumber="1" containsInteger="1" minValue="0" maxValue="1167"/>
    </cacheField>
    <cacheField name="# HH received soaps" numFmtId="0">
      <sharedItems containsString="0" containsBlank="1" containsNumber="1" containsInteger="1" minValue="0" maxValue="2428"/>
    </cacheField>
    <cacheField name="# HH received Sanitary Pads" numFmtId="0">
      <sharedItems containsString="0" containsBlank="1" containsNumber="1" containsInteger="1" minValue="0" maxValue="2428"/>
    </cacheField>
    <cacheField name="Is sufficient soap available for TLS?" numFmtId="0">
      <sharedItems containsBlank="1" count="3">
        <m/>
        <s v="No"/>
        <s v="Yes"/>
      </sharedItems>
    </cacheField>
    <cacheField name="# HP activities in TLS" numFmtId="0">
      <sharedItems containsString="0" containsBlank="1" containsNumber="1" containsInteger="1" minValue="1" maxValue="13"/>
    </cacheField>
    <cacheField name="# paid camp based WASH skilled labor" numFmtId="0">
      <sharedItems containsString="0" containsBlank="1" containsNumber="1" containsInteger="1" minValue="0" maxValue="60"/>
    </cacheField>
    <cacheField name="Number of paid camp based unskilled WASH unskilled labor" numFmtId="0">
      <sharedItems containsString="0" containsBlank="1" containsNumber="1" containsInteger="1" minValue="0" maxValue="150"/>
    </cacheField>
    <cacheField name="Hygiene Comments" numFmtId="1">
      <sharedItems containsBlank="1" containsMixedTypes="1" containsNumber="1" containsInteger="1" minValue="0" maxValue="0"/>
    </cacheField>
    <cacheField name="%of Water samples which passed at water source" numFmtId="9">
      <sharedItems containsMixedTypes="1" containsNumber="1" minValue="0" maxValue="1"/>
    </cacheField>
    <cacheField name="%Water samples which passed at HH" numFmtId="9">
      <sharedItems containsMixedTypes="1" containsNumber="1" minValue="0" maxValue="1"/>
    </cacheField>
    <cacheField name="Warter quality test made" numFmtId="1">
      <sharedItems count="2">
        <s v="Tested"/>
        <s v="No Test"/>
      </sharedItems>
    </cacheField>
    <cacheField name="Access to safe drinking water for Camp" numFmtId="9">
      <sharedItems containsSemiMixedTypes="0" containsString="0" containsNumber="1" minValue="0" maxValue="1"/>
    </cacheField>
    <cacheField name="Access to safe drinking water for Village" numFmtId="9">
      <sharedItems containsSemiMixedTypes="0" containsString="0" containsNumber="1" minValue="0" maxValue="1"/>
    </cacheField>
    <cacheField name="%Equitable and continuous access to sufficient quantity of safe drinking water" numFmtId="9">
      <sharedItems containsSemiMixedTypes="0" containsString="0" containsNumber="1" minValue="0" maxValue="1"/>
    </cacheField>
    <cacheField name="#ppl Equitable and continuous access to sufficient quantity of safe drinking water_1" numFmtId="1">
      <sharedItems containsSemiMixedTypes="0" containsString="0" containsNumber="1" minValue="0" maxValue="13302"/>
    </cacheField>
    <cacheField name="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1750"/>
    </cacheField>
    <cacheField name="%Equitable and continuous access to sufficient quantity of domestic water borehole n ponds" numFmtId="9">
      <sharedItems containsSemiMixedTypes="0" containsString="0" containsNumber="1" minValue="0" maxValue="1"/>
    </cacheField>
    <cacheField name="#people Equitable and continuous access to sufficient quantity of domestic water borehole n ponds_2" numFmtId="1">
      <sharedItems containsSemiMixedTypes="0" containsString="0" containsNumber="1" minValue="0" maxValue="13302"/>
    </cacheField>
    <cacheField name="#Water points coverage" numFmtId="1">
      <sharedItems containsString="0" containsBlank="1" containsNumber="1" minValue="0" maxValue="26.603999999999999"/>
    </cacheField>
    <cacheField name="%equitable and continuous access to sufficient quantity of safe drinking and domestic water's GAP" numFmtId="9">
      <sharedItems containsSemiMixedTypes="0" containsString="0" containsNumber="1" minValue="0" maxValue="1"/>
    </cacheField>
    <cacheField name="#people needs equitable and continuous access to sufficient quantity of safe drinking and domestic water GAP" numFmtId="1">
      <sharedItems containsSemiMixedTypes="0" containsString="0" containsNumber="1" minValue="0" maxValue="4820"/>
    </cacheField>
    <cacheField name="#Potential required new water points" numFmtId="1">
      <sharedItems containsSemiMixedTypes="0" containsString="0" containsNumber="1" minValue="0" maxValue="10"/>
    </cacheField>
    <cacheField name="Total required water points" numFmtId="1">
      <sharedItems containsSemiMixedTypes="0" containsString="0" containsNumber="1" containsInteger="1" minValue="1" maxValue="27"/>
    </cacheField>
    <cacheField name="Total # of latrine" numFmtId="1">
      <sharedItems containsSemiMixedTypes="0" containsString="0" containsNumber="1" containsInteger="1" minValue="0" maxValue="788"/>
    </cacheField>
    <cacheField name="% people access to functioning Latrine" numFmtId="9">
      <sharedItems containsSemiMixedTypes="0" containsString="0" containsNumber="1" minValue="0" maxValue="1"/>
    </cacheField>
    <cacheField name="#people access to functioning Latrine_3" numFmtId="1">
      <sharedItems containsSemiMixedTypes="0" containsString="0" containsNumber="1" minValue="0" maxValue="12121"/>
    </cacheField>
    <cacheField name="% of Latrine Gap" numFmtId="9">
      <sharedItems containsSemiMixedTypes="0" containsString="0" containsNumber="1" minValue="0" maxValue="1"/>
    </cacheField>
    <cacheField name="# potential required new latrines" numFmtId="1">
      <sharedItems containsSemiMixedTypes="0" containsString="0" containsNumber="1" containsInteger="1" minValue="0" maxValue="802"/>
    </cacheField>
    <cacheField name="Total required Latrines" numFmtId="1">
      <sharedItems containsSemiMixedTypes="0" containsString="0" containsNumber="1" containsInteger="1" minValue="1" maxValue="803"/>
    </cacheField>
    <cacheField name="% Latrines requiring  repairs" numFmtId="9">
      <sharedItems containsSemiMixedTypes="0" containsString="0" containsNumber="1" minValue="0" maxValue="0.5714285714285714"/>
    </cacheField>
    <cacheField name="# people with access to continuous sanitation services desluding_4" numFmtId="1">
      <sharedItems containsMixedTypes="1" containsNumber="1" containsInteger="1" minValue="0" maxValue="9000"/>
    </cacheField>
    <cacheField name="# people reached by regular dedicated hygiene promotion_5" numFmtId="1">
      <sharedItems containsSemiMixedTypes="0" containsString="0" containsNumber="1" containsInteger="1" minValue="0" maxValue="12121"/>
    </cacheField>
    <cacheField name="% of HHs with access to Sanitary pad more than #%" numFmtId="1">
      <sharedItems containsSemiMixedTypes="0" containsString="0" containsNumber="1" containsInteger="1" minValue="0" maxValue="1"/>
    </cacheField>
    <cacheField name="Ratio of Hyiene promoters to people less than #" numFmtId="1">
      <sharedItems containsSemiMixedTypes="0" containsString="0" containsNumber="1" containsInteger="1" minValue="0" maxValue="1"/>
    </cacheField>
    <cacheField name="% of HHs with access to soap more than #%" numFmtId="1">
      <sharedItems containsSemiMixedTypes="0" containsString="0" containsNumber="1" containsInteger="1" minValue="0" maxValue="1"/>
    </cacheField>
    <cacheField name="People adopt basic personal and community hygiene practices" numFmtId="1">
      <sharedItems containsSemiMixedTypes="0" containsString="0" containsNumber="1" containsInteger="1" minValue="0" maxValue="13302"/>
    </cacheField>
    <cacheField name="Hygiene Coverage%" numFmtId="9">
      <sharedItems containsSemiMixedTypes="0" containsString="0" containsNumber="1" containsInteger="1" minValue="0" maxValue="1"/>
    </cacheField>
    <cacheField name="Hygiene Gap%" numFmtId="9">
      <sharedItems containsSemiMixedTypes="0" containsString="0" containsNumber="1" containsInteg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 of HH with access to Sanitary Pad" numFmtId="9">
      <sharedItems containsSemiMixedTypes="0" containsString="0" containsNumber="1" minValue="0" maxValue="1"/>
    </cacheField>
    <cacheField name="# People with access to soap" numFmtId="1">
      <sharedItems containsSemiMixedTypes="0" containsString="0" containsNumber="1" containsInteger="1" minValue="0" maxValue="12140"/>
    </cacheField>
    <cacheField name="# People with access to Sanity Pads" numFmtId="1">
      <sharedItems containsSemiMixedTypes="0" containsString="0" containsNumber="1" containsInteger="1" minValue="0" maxValue="12140"/>
    </cacheField>
    <cacheField name="# People received regular supply of hygiene items_6" numFmtId="1">
      <sharedItems containsSemiMixedTypes="0" containsString="0" containsNumber="1" containsInteger="1" minValue="0" maxValue="12140"/>
    </cacheField>
    <cacheField name="#HH with access to Hand Washing Station" numFmtId="1">
      <sharedItems containsSemiMixedTypes="0" containsString="0" containsNumber="1" minValue="0" maxValue="2428"/>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numFmtId="0">
      <sharedItems containsMixedTypes="1" containsNumber="1" containsInteger="1" minValue="0" maxValue="0" count="6">
        <s v="Camp_not registered"/>
        <s v="Camp"/>
        <s v="Village_Not HRP"/>
        <s v="Village"/>
        <s v="New Site"/>
        <n v="0" u="1"/>
      </sharedItems>
    </cacheField>
    <cacheField name="Location Type 1" numFmtId="0">
      <sharedItems count="3">
        <s v="Camp"/>
        <s v="Village Type Camp"/>
        <s v="Village"/>
      </sharedItems>
    </cacheField>
    <cacheField name="Type of accommodation" numFmtId="0">
      <sharedItems containsMixedTypes="1" containsNumber="1" containsInteger="1" minValue="0" maxValue="0" count="14">
        <s v="camp"/>
        <s v="Host Families"/>
        <s v="Camp like setting"/>
        <s v="Closed Camp"/>
        <s v="School"/>
        <s v="Boarding School"/>
        <s v="Village_Not HRP"/>
        <s v="Village"/>
        <s v="Relocated"/>
        <s v="Planned Camp"/>
        <s v="Returned"/>
        <s v="Individual House"/>
        <s v="Self Settled Camp"/>
        <n v="0" u="1"/>
      </sharedItems>
    </cacheField>
    <cacheField name="Ethnic or GCA/NGCA" numFmtId="0">
      <sharedItems containsMixedTypes="1" containsNumber="1" minValue="0" maxValue="97.49136" count="351">
        <s v="GCA"/>
        <s v="NGCA"/>
        <s v="Chin+Rakhine"/>
        <s v="Rakhine"/>
        <s v="Chin"/>
        <s v="Muslim"/>
        <s v="Daing Net"/>
        <s v="Mro"/>
        <n v="0"/>
        <s v="Rakhine, Mro, Khami"/>
        <s v="Dinet"/>
        <s v="Mixed"/>
        <s v="Maramargyi"/>
        <n v="20.260789871215799" u="1"/>
        <n v="24.200972" u="1"/>
        <n v="20.206778" u="1"/>
        <n v="20.785699844360401" u="1"/>
        <n v="25.401061110000001" u="1"/>
        <n v="20.268000000000001" u="1"/>
        <n v="23.099304" u="1"/>
        <n v="25.423209" u="1"/>
        <n v="24.207332999999998" u="1"/>
        <n v="25.305008999999998" u="1"/>
        <n v="19.985679626464801" u="1"/>
        <n v="20.229290008544901" u="1"/>
        <n v="23.591999999999999" u="1"/>
        <n v="23.38503" u="1"/>
        <n v="19.646549224853501" u="1"/>
        <n v="20.392137999999999" u="1"/>
        <n v="26.541930000000001" u="1"/>
        <n v="19.7062797546387" u="1"/>
        <n v="20.632720946999999" u="1"/>
        <n v="20.179417000000001" u="1"/>
        <n v="20.630609511999999" u="1"/>
        <n v="19.615800857543899" u="1"/>
        <n v="20.785770416259801" u="1"/>
        <n v="25.668399999999998" u="1"/>
        <n v="20.155805999999998" u="1"/>
        <n v="20.179939999999998" u="1"/>
        <n v="24.268292826086999" u="1"/>
        <n v="24.377054000000001" u="1"/>
        <n v="20.207284999999999" u="1"/>
        <n v="20.723630905151399" u="1"/>
        <n v="19.738719940185501" u="1"/>
        <n v="25.265277999999999" u="1"/>
        <n v="20.910375595092798" u="1"/>
        <n v="19.955690383911101" u="1"/>
        <n v="20.569759368896499" u="1"/>
        <n v="97.49136" u="1"/>
        <n v="20.185917" u="1"/>
        <n v="19.925739288330099" u="1"/>
        <n v="20.204370498657202" u="1"/>
        <n v="24.222349999999999" u="1"/>
        <n v="20.396680832000001" u="1"/>
        <n v="24.2744" u="1"/>
        <n v="20.697229385376001" u="1"/>
        <n v="20.786739349365199" u="1"/>
        <n v="23.353999999999999" u="1"/>
        <n v="20.478969573974599" u="1"/>
        <n v="24.006789000000001" u="1"/>
        <n v="20.8490600585938" u="1"/>
        <n v="19.434253692626999" u="1"/>
        <n v="20.151471999999998" u="1"/>
        <n v="23.83013" u="1"/>
        <n v="20.202525000000001" u="1"/>
        <n v="20.057860999999999" u="1"/>
        <n v="20.218299999999999" u="1"/>
        <n v="20.480100631713899" u="1"/>
        <n v="20.335864000000001" u="1"/>
        <n v="25.296579999999999" u="1"/>
        <n v="23.250678000000001" u="1"/>
        <n v="20.821479797363299" u="1"/>
        <n v="23.827870999999998" u="1"/>
        <n v="23.611999999999998" u="1"/>
        <n v="27.311699999999998" u="1"/>
        <n v="19.988599777221701" u="1"/>
        <n v="20.148584" u="1"/>
        <n v="25.321710740740698" u="1"/>
        <n v="19.421102000000001" u="1"/>
        <n v="19.988689422607401" u="1"/>
        <n v="25.351724999999998" u="1"/>
        <n v="20.851089477539102" u="1"/>
        <n v="20.865687000000001" u="1"/>
        <n v="19.619289398193398" u="1"/>
        <n v="23.682887999999998" u="1"/>
        <n v="21.007270812988299" u="1"/>
        <n v="20.037655000000001" u="1"/>
        <n v="19.591590881347699" u="1"/>
        <n v="20.1438598632813" u="1"/>
        <n v="20.182987000000001" u="1"/>
        <n v="20.506580353" u="1"/>
        <n v="20.697889328002901" u="1"/>
        <n v="20.720213000000001" u="1"/>
        <n v="19.989589691162099" u="1"/>
        <n v="24.260719999999999" u="1"/>
        <n v="25.4118005797101" u="1"/>
        <n v="20.394809723000002" u="1"/>
        <n v="20.78332" u="1"/>
        <n v="20.453830718994102" u="1"/>
        <n v="25.616509000000001" u="1"/>
        <n v="24.263786" u="1"/>
        <n v="24.980250000000002" u="1"/>
        <n v="20.6080207824707" u="1"/>
        <n v="24.404876999999999" u="1"/>
        <n v="24.205417000000001" u="1"/>
        <n v="23.447111" u="1"/>
        <n v="19.962713241577099" u="1"/>
        <n v="23.835319999999999" u="1"/>
        <n v="24.764959999999999" u="1"/>
        <n v="20.824777999999998" u="1"/>
        <n v="20.731571197509801" u="1"/>
        <n v="24.251232000000002" u="1"/>
        <n v="19.991359710693398" u="1"/>
        <n v="20.181405999999999" u="1"/>
        <n v="21.0094203948975" u="1"/>
        <n v="24.661905999999998" u="1"/>
        <n v="20.090183" u="1"/>
        <n v="19.930080413818398" u="1"/>
        <n v="20.946010589599599" u="1"/>
        <n v="20.587142" u="1"/>
        <n v="20.486930847168001" u="1"/>
        <n v="24.996279999999999" u="1"/>
        <n v="20.8550128936768" u="1"/>
        <n v="20.167421999999998" u="1"/>
        <n v="19.9947109222412" u="1"/>
        <n v="25.613894999999999" u="1"/>
        <n v="25.440928" u="1"/>
        <n v="23.828520000000001" u="1"/>
        <n v="25.493819999999999" u="1"/>
        <n v="24.002433" u="1"/>
        <n v="23.094290000000001" u="1"/>
        <n v="20.608819961999998" u="1"/>
        <n v="24.245100000000001" u="1"/>
        <n v="25.404752999999999" u="1"/>
        <n v="20.0641" u="1"/>
        <n v="97.013800000000003" u="1"/>
        <n v="20.064226000000001" u="1"/>
        <n v="20.148910522460898" u="1"/>
        <n v="25.60867" u="1"/>
        <n v="25.350809000000002" u="1"/>
        <n v="20.272630691528299" u="1"/>
        <n v="20.805734000000001" u="1"/>
        <n v="27.248964999999998" u="1"/>
        <n v="25.409612685185198" u="1"/>
        <n v="19.686580657958999" u="1"/>
        <n v="97.010629910000006" u="1"/>
        <n v="20.5199794769287" u="1"/>
        <n v="23.460349999999998" u="1"/>
        <n v="24.118618999999999" u="1"/>
        <n v="24.32638" u="1"/>
        <n v="20.644098281860401" u="1"/>
        <n v="20.181742" u="1"/>
        <n v="24.250689999999999" u="1"/>
        <n v="19.627199172973601" u="1"/>
        <n v="20.581470489501999" u="1"/>
        <n v="20.703550338745099" u="1"/>
        <n v="25.423817" u="1"/>
        <n v="25.889410000000002" u="1"/>
        <n v="20.489089965820298" u="1"/>
        <n v="20.202400000000001" u="1"/>
        <n v="25.615960999999999" u="1"/>
        <n v="20.0839" u="1"/>
        <n v="25.599250000000001" u="1"/>
        <n v="25.3540362037037" u="1"/>
        <n v="20.39902" u="1"/>
        <n v="25.30442" u="1"/>
        <n v="20.2302" u="1"/>
        <n v="19.9044303894043" u="1"/>
        <n v="20.185092000000001" u="1"/>
        <n v="25.61842" u="1"/>
        <n v="25.200333000000001" u="1"/>
        <n v="20.509660720999999" u="1"/>
        <n v="25.345918166666699" u="1"/>
        <n v="19.721389770507798" u="1"/>
        <n v="20.859569549560501" u="1"/>
        <n v="24.24766" u="1"/>
        <n v="24.200367" u="1"/>
        <n v="20.705930709838899" u="1"/>
        <n v="25.51352" u="1"/>
        <n v="27.337499999999999" u="1"/>
        <n v="24.29138" u="1"/>
        <n v="20.494340897000001" u="1"/>
        <n v="25.647649999999999" u="1"/>
        <n v="20.645240783999999" u="1"/>
        <n v="23.4008" u="1"/>
        <n v="25.417733999999999" u="1"/>
        <n v="23.354268999999999" u="1"/>
        <n v="24.755253" u="1"/>
        <n v="20.361530303999999" u="1"/>
        <n v="20.183790206909201" u="1"/>
        <n v="22.765999999999998" u="1"/>
        <n v="20.245159149169901" u="1"/>
        <n v="25.351250396825399" u="1"/>
        <n v="25.3959740909091" u="1"/>
        <n v="20.831729888916001" u="1"/>
        <n v="20.555610656738299" u="1"/>
        <n v="24.752471" u="1"/>
        <n v="24.461033" u="1"/>
        <n v="20.8950595855713" u="1"/>
        <n v="25.220278" u="1"/>
        <n v="23.463000000000001" u="1"/>
        <n v="25.637309999999999" u="1"/>
        <n v="20.424389999999999" u="1"/>
        <n v="23.838190000000001" u="1"/>
        <n v="20.339799880981399" u="1"/>
        <n v="25.422194000000001" u="1"/>
        <n v="20.201499999999999" u="1"/>
        <n v="20.4625244140625" u="1"/>
        <n v="20.677059173583999" u="1"/>
        <n v="20.987419128418001" u="1"/>
        <n v="20.399269" u="1"/>
        <n v="24.129059999999999" u="1"/>
        <n v="20.108101999999999" u="1"/>
        <n v="20.464775085449201" u="1"/>
        <n v="23.829599000000002" u="1"/>
        <n v="20.886997999999998" u="1"/>
        <n v="25.582065" u="1"/>
        <n v="20.041981" u="1"/>
        <n v="23.828150000000001" u="1"/>
        <n v="25.351965" u="1"/>
        <n v="20.926780700683601" u="1"/>
        <n v="97.104997409999996" u="1"/>
        <n v="24.056132999999999" u="1"/>
        <n v="20.709970473999999" u="1"/>
        <n v="23.833477999999999" u="1"/>
        <n v="25.404015000000001" u="1"/>
        <n v="20.894269943237301" u="1"/>
        <n v="20.292100000000001" u="1"/>
        <n v="20.495670318603501" u="1"/>
        <n v="20.128488999999998" u="1"/>
        <n v="20.864519119262699" u="1"/>
        <n v="97.431079999999994" u="1"/>
        <n v="20.398889541999999" u="1"/>
        <n v="20.181778000000001" u="1"/>
        <n v="23.450914000000001" u="1"/>
        <n v="20.803529739379901" u="1"/>
        <n v="20.463909149169901" u="1"/>
        <n v="19.726810455322301" u="1"/>
        <n v="25.225000000000001" u="1"/>
        <n v="23.372409999999999" u="1"/>
        <n v="23.694130000000001" u="1"/>
        <n v="19.725629806518601" u="1"/>
        <n v="23.588920000000002" u="1"/>
        <n v="26.548506" u="1"/>
        <n v="20.8037109375" u="1"/>
        <n v="20.711349487304702" u="1"/>
        <n v="20.651939392089801" u="1"/>
        <n v="20.805580139160199" u="1"/>
        <n v="20.218471527099599" u="1"/>
        <n v="25.360463124999999" u="1"/>
        <n v="25.617998" u="1"/>
        <n v="24.200361000000001" u="1"/>
        <n v="20.1573600769043" u="1"/>
        <n v="25.374343974359" u="1"/>
        <n v="20.18994" u="1"/>
        <n v="20.497299194335898" u="1"/>
        <n v="24.08738" u="1"/>
        <n v="20.681715011596701" u="1"/>
        <n v="20.482030868999999" u="1"/>
        <n v="25.3660036111111" u="1"/>
        <n v="20.866529464721701" u="1"/>
        <n v="25.356632000000001" u="1"/>
        <n v="20.191719055175799" u="1"/>
        <n v="25.577559999999998" u="1"/>
        <n v="20.806400299072301" u="1"/>
        <n v="24.831944" u="1"/>
        <n v="25.371049444444399" u="1"/>
        <n v="20.099340438842798" u="1"/>
        <n v="23.933098999999999" u="1"/>
        <n v="20.46994972229" u="1"/>
        <n v="20.1585" u="1"/>
        <n v="23.24661" u="1"/>
        <n v="20.1934604644775" u="1"/>
        <n v="24.998349999999999" u="1"/>
        <n v="20.716699600219702" u="1"/>
        <n v="25.415667500000001" u="1"/>
        <n v="20.713259999999998" u="1"/>
        <n v="24.764800000000001" u="1"/>
        <n v="20.564739227" u="1"/>
        <n v="20.696819999999999" u="1"/>
        <n v="25.920006000000001" u="1"/>
        <n v="19.484790802001999" u="1"/>
        <n v="24.006319999999999" u="1"/>
        <n v="20.235199999999999" u="1"/>
        <n v="23.841646999999998" u="1"/>
        <n v="20.807970046997099" u="1"/>
        <n v="20.809240341186499" u="1"/>
        <n v="25.305669999999999" u="1"/>
        <n v="25.415482000000001" u="1"/>
        <n v="19.639009475708001" u="1"/>
        <n v="20.286720275878899" u="1"/>
        <n v="20.180194" u="1"/>
        <n v="20.073437999999999" u="1"/>
        <n v="22.677008000000001" u="1"/>
        <n v="20.162599563598601" u="1"/>
        <n v="25.299679999999999" u="1"/>
        <n v="23.972453000000002" u="1"/>
        <n v="25.362420757575801" u="1"/>
        <n v="23.976571" u="1"/>
        <n v="24.688338999999999" u="1"/>
        <n v="20.872400283813501" u="1"/>
        <n v="25.412313000000001" u="1"/>
        <n v="25.566510000000001" u="1"/>
        <n v="20.502599716186499" u="1"/>
        <n v="25.645959999999999" u="1"/>
        <n v="25.635300000000001" u="1"/>
        <n v="25.6145" u="1"/>
        <n v="20.194370269775401" u="1"/>
        <n v="25.754110000000001" u="1"/>
        <n v="20.903770446777301" u="1"/>
        <n v="25.428910999999999" u="1"/>
        <n v="20.470119476318398" u="1"/>
        <n v="25.410569299999999" u="1"/>
        <n v="20.0087699890137" u="1"/>
        <n v="25.424529444444399" u="1"/>
        <n v="20.903369903564499" u="1"/>
        <n v="23.850999999999999" u="1"/>
        <n v="20.596279144" u="1"/>
        <n v="23.400155999999999" u="1"/>
        <n v="20.473930358886701" u="1"/>
        <n v="19.611209869384801" u="1"/>
        <n v="19.610979080200199" u="1"/>
        <n v="20.1975498199463" u="1"/>
        <n v="21.025630950927699" u="1"/>
        <n v="25.611160000000002" u="1"/>
        <n v="24.260466999999998" u="1"/>
        <n v="24.200433" u="1"/>
        <n v="20.782770156860401" u="1"/>
        <n v="20.936040878295898" u="1"/>
        <n v="25.333683333333301" u="1"/>
        <n v="25.56551" u="1"/>
        <n v="26.569633" u="1"/>
        <n v="20.127127999999999" u="1"/>
        <n v="25.656009999999998" u="1"/>
        <n v="20.627639770507798" u="1"/>
        <n v="25.403476999999999" u="1"/>
        <n v="20.16846" u="1"/>
        <n v="20.5047302246094" u="1"/>
        <n v="24.378167000000001" u="1"/>
        <n v="23.821380000000001" u="1"/>
        <n v="20.212700000000002" u="1"/>
        <n v="25.3510167948718" u="1"/>
        <n v="24.253067000000001" u="1"/>
        <n v="24.24953" u="1"/>
        <n v="24.251860000000001" u="1"/>
        <n v="25.887339999999998" u="1"/>
        <n v="25.418084" u="1"/>
        <n v="19.424576999999999" u="1"/>
        <n v="24.2631743589744" u="1"/>
        <n v="20.727589999999999" u="1"/>
        <n v="21.000970840454102" u="1"/>
      </sharedItems>
    </cacheField>
    <cacheField name="Lat" numFmtId="0">
      <sharedItems containsSemiMixedTypes="0" containsString="0" containsNumber="1" minValue="0" maxValue="97.49136"/>
    </cacheField>
    <cacheField name="Long" numFmtId="0">
      <sharedItems containsSemiMixedTypes="0" containsString="0" containsNumber="1" minValue="0" maxValue="98.475719999999995"/>
    </cacheField>
    <cacheField name="Pcode" numFmtId="0">
      <sharedItems containsMixedTypes="1" containsNumber="1" containsInteger="1" minValue="0" maxValue="220977"/>
    </cacheField>
    <cacheField name="Covered" numFmtId="0">
      <sharedItems containsBlank="1" count="4">
        <s v="Covered"/>
        <s v="Notcovered"/>
        <m u="1"/>
        <e v="#REF!" u="1"/>
      </sharedItems>
    </cacheField>
    <cacheField name="Remark" numFmtId="0">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212">
  <r>
    <x v="0"/>
    <x v="0"/>
    <x v="0"/>
    <x v="0"/>
    <x v="0"/>
    <n v="70"/>
    <n v="356"/>
    <m/>
    <s v="ECHO/OFDA"/>
    <s v="31/12/2018, 30/06/2019"/>
    <n v="0"/>
    <s v="Yes"/>
    <n v="0"/>
    <n v="0"/>
    <n v="0"/>
    <n v="10"/>
    <n v="2228400"/>
    <n v="0"/>
    <n v="0"/>
    <m/>
    <n v="0"/>
    <n v="0"/>
    <n v="10"/>
    <n v="9"/>
    <n v="0"/>
    <s v="WASH committee data is combine with AD 2000 camp"/>
    <n v="13"/>
    <n v="0"/>
    <m/>
    <s v="Monthly"/>
    <n v="0"/>
    <x v="0"/>
    <x v="0"/>
    <n v="0"/>
    <n v="0"/>
    <s v="The data is combine with AD 2000 camp"/>
    <n v="1"/>
    <s v="Both"/>
    <n v="0"/>
    <n v="2"/>
    <n v="1"/>
    <n v="32"/>
    <n v="32"/>
    <x v="0"/>
    <m/>
    <n v="1"/>
    <n v="0"/>
    <s v="For this camp all of data informations are combine with AD 2000, not separated. "/>
    <s v="no test"/>
    <n v="0.9"/>
    <x v="0"/>
    <n v="1"/>
    <n v="1"/>
    <n v="1"/>
    <n v="356"/>
    <n v="0"/>
    <n v="0"/>
    <n v="1"/>
    <n v="356"/>
    <n v="0.71199999999999997"/>
    <n v="0"/>
    <n v="0"/>
    <n v="0.28800000000000003"/>
    <n v="1"/>
    <n v="13"/>
    <n v="0.7303370786516854"/>
    <n v="260"/>
    <n v="0.28089887640449435"/>
    <n v="5"/>
    <n v="18"/>
    <n v="0"/>
    <n v="0"/>
    <n v="356"/>
    <n v="0"/>
    <n v="1"/>
    <n v="0"/>
    <n v="0"/>
    <n v="0"/>
    <n v="1"/>
    <n v="1"/>
    <n v="0.45714285714285713"/>
    <n v="0.45714285714285713"/>
    <n v="160"/>
    <n v="160"/>
    <n v="160"/>
    <n v="70"/>
    <n v="0"/>
    <n v="0"/>
    <x v="0"/>
    <x v="0"/>
    <x v="0"/>
    <x v="0"/>
    <n v="0"/>
    <n v="0"/>
    <n v="0"/>
    <x v="0"/>
    <m/>
  </r>
  <r>
    <x v="0"/>
    <x v="0"/>
    <x v="0"/>
    <x v="0"/>
    <x v="1"/>
    <n v="166"/>
    <n v="815"/>
    <m/>
    <s v="ECHO/OFDA"/>
    <s v="31/12/2018, 30/06/2019"/>
    <n v="0"/>
    <s v="Yes"/>
    <n v="0.47619047619047616"/>
    <n v="0"/>
    <n v="0"/>
    <n v="1"/>
    <n v="6624400"/>
    <n v="0"/>
    <n v="0"/>
    <m/>
    <n v="0"/>
    <n v="0"/>
    <n v="11"/>
    <n v="7"/>
    <n v="0"/>
    <m/>
    <n v="36"/>
    <n v="0"/>
    <n v="39"/>
    <s v="Monthly"/>
    <n v="0"/>
    <x v="0"/>
    <x v="0"/>
    <n v="0"/>
    <n v="0"/>
    <m/>
    <n v="1"/>
    <s v="Both"/>
    <n v="0"/>
    <n v="3"/>
    <n v="2"/>
    <n v="162"/>
    <n v="162"/>
    <x v="0"/>
    <m/>
    <n v="4"/>
    <n v="0"/>
    <s v="Nill"/>
    <s v="no test"/>
    <n v="0.63636363636363635"/>
    <x v="0"/>
    <n v="1"/>
    <n v="1"/>
    <n v="1"/>
    <n v="815"/>
    <n v="0"/>
    <n v="0"/>
    <n v="1"/>
    <n v="815"/>
    <n v="1.63"/>
    <n v="0"/>
    <n v="0"/>
    <n v="0.37000000000000011"/>
    <n v="2"/>
    <n v="36"/>
    <n v="0.8834355828220859"/>
    <n v="720"/>
    <n v="0.12269938650306748"/>
    <n v="5"/>
    <n v="41"/>
    <n v="0"/>
    <n v="780"/>
    <n v="815"/>
    <n v="0"/>
    <n v="1"/>
    <n v="0"/>
    <n v="0"/>
    <n v="0"/>
    <n v="1"/>
    <n v="1"/>
    <n v="0.97590361445783136"/>
    <n v="0.97590361445783136"/>
    <n v="810"/>
    <n v="810"/>
    <n v="810"/>
    <n v="166"/>
    <s v="Yes"/>
    <s v="KMSS-BMO"/>
    <x v="1"/>
    <x v="0"/>
    <x v="0"/>
    <x v="0"/>
    <n v="24.260719999999999"/>
    <n v="97.238829999999993"/>
    <s v="MMR001CMP050"/>
    <x v="0"/>
    <m/>
  </r>
  <r>
    <x v="0"/>
    <x v="1"/>
    <x v="0"/>
    <x v="0"/>
    <x v="2"/>
    <n v="11"/>
    <n v="52"/>
    <m/>
    <s v="USAID"/>
    <d v="2018-09-01T00:00:00"/>
    <n v="0"/>
    <s v="No"/>
    <n v="0"/>
    <n v="0"/>
    <n v="1"/>
    <n v="1"/>
    <n v="0"/>
    <n v="0"/>
    <n v="0"/>
    <m/>
    <m/>
    <m/>
    <m/>
    <m/>
    <m/>
    <m/>
    <n v="2"/>
    <n v="0"/>
    <m/>
    <m/>
    <n v="0"/>
    <x v="0"/>
    <x v="0"/>
    <m/>
    <m/>
    <m/>
    <n v="0"/>
    <s v="Both"/>
    <n v="0"/>
    <n v="1"/>
    <n v="0"/>
    <n v="11"/>
    <n v="11"/>
    <x v="0"/>
    <m/>
    <m/>
    <m/>
    <m/>
    <s v="no test"/>
    <s v="no test"/>
    <x v="1"/>
    <n v="1"/>
    <n v="1"/>
    <n v="1"/>
    <n v="52"/>
    <n v="0"/>
    <n v="0"/>
    <n v="1"/>
    <n v="52"/>
    <n v="0.104"/>
    <n v="0"/>
    <n v="0"/>
    <n v="0.89600000000000002"/>
    <n v="1"/>
    <n v="2"/>
    <n v="0.76923076923076927"/>
    <n v="40"/>
    <n v="0.38461538461538458"/>
    <n v="1"/>
    <n v="3"/>
    <n v="0"/>
    <n v="0"/>
    <n v="0"/>
    <n v="1"/>
    <n v="0"/>
    <n v="1"/>
    <n v="52"/>
    <n v="1"/>
    <n v="0"/>
    <n v="0"/>
    <n v="1"/>
    <n v="1"/>
    <n v="55"/>
    <n v="55"/>
    <n v="55"/>
    <n v="0"/>
    <s v="Yes"/>
    <s v="KBC"/>
    <x v="1"/>
    <x v="0"/>
    <x v="0"/>
    <x v="0"/>
    <n v="24.260466999999998"/>
    <n v="97.252650000000003"/>
    <s v="MMR001CMP194"/>
    <x v="0"/>
    <m/>
  </r>
  <r>
    <x v="0"/>
    <x v="2"/>
    <x v="0"/>
    <x v="0"/>
    <x v="3"/>
    <n v="190"/>
    <n v="928"/>
    <m/>
    <m/>
    <m/>
    <m/>
    <s v="No"/>
    <n v="0"/>
    <n v="0"/>
    <m/>
    <m/>
    <m/>
    <m/>
    <m/>
    <m/>
    <m/>
    <m/>
    <m/>
    <m/>
    <m/>
    <m/>
    <n v="0"/>
    <m/>
    <m/>
    <m/>
    <m/>
    <x v="1"/>
    <x v="1"/>
    <m/>
    <m/>
    <m/>
    <m/>
    <m/>
    <m/>
    <m/>
    <m/>
    <m/>
    <m/>
    <x v="0"/>
    <m/>
    <m/>
    <m/>
    <m/>
    <s v="no test"/>
    <s v="no test"/>
    <x v="1"/>
    <n v="0"/>
    <n v="0"/>
    <n v="0"/>
    <n v="0"/>
    <n v="0"/>
    <n v="0"/>
    <n v="0"/>
    <n v="0"/>
    <n v="0"/>
    <n v="1"/>
    <n v="928"/>
    <n v="2"/>
    <n v="2"/>
    <n v="0"/>
    <n v="0"/>
    <n v="0"/>
    <n v="0.99137931034482762"/>
    <n v="46"/>
    <n v="46"/>
    <n v="0"/>
    <n v="0"/>
    <n v="0"/>
    <n v="0"/>
    <n v="0"/>
    <n v="0"/>
    <n v="0"/>
    <n v="0"/>
    <n v="1"/>
    <n v="0"/>
    <n v="0"/>
    <n v="0"/>
    <n v="0"/>
    <n v="0"/>
    <n v="0"/>
    <n v="0"/>
    <n v="0"/>
    <s v="uncovered"/>
    <x v="1"/>
    <x v="0"/>
    <x v="1"/>
    <x v="0"/>
    <n v="24.263786"/>
    <n v="97.228835000000004"/>
    <s v="MMR001CMP163"/>
    <x v="1"/>
    <m/>
  </r>
  <r>
    <x v="0"/>
    <x v="1"/>
    <x v="0"/>
    <x v="0"/>
    <x v="4"/>
    <n v="39"/>
    <n v="232"/>
    <m/>
    <s v="USAID, Christian AID, HIDA, WHH ( AA )"/>
    <s v="9/1/2018,1-dec-2018"/>
    <n v="0"/>
    <s v="Yes"/>
    <n v="0.4"/>
    <n v="0.2"/>
    <n v="0"/>
    <n v="2"/>
    <n v="0"/>
    <n v="0"/>
    <n v="0"/>
    <m/>
    <m/>
    <m/>
    <m/>
    <m/>
    <m/>
    <m/>
    <n v="7"/>
    <n v="0"/>
    <m/>
    <m/>
    <n v="0"/>
    <x v="0"/>
    <x v="2"/>
    <m/>
    <m/>
    <m/>
    <n v="1"/>
    <s v="Both"/>
    <n v="0"/>
    <n v="2"/>
    <n v="2"/>
    <n v="39"/>
    <n v="39"/>
    <x v="0"/>
    <m/>
    <m/>
    <m/>
    <m/>
    <s v="no test"/>
    <s v="no test"/>
    <x v="1"/>
    <n v="1"/>
    <n v="1"/>
    <n v="1"/>
    <n v="232"/>
    <n v="0"/>
    <n v="0"/>
    <n v="1"/>
    <n v="232"/>
    <n v="0.46400000000000002"/>
    <n v="0"/>
    <n v="0"/>
    <n v="0.53600000000000003"/>
    <n v="1"/>
    <n v="7"/>
    <n v="0.60344827586206895"/>
    <n v="140"/>
    <n v="0.43103448275862072"/>
    <n v="5"/>
    <n v="12"/>
    <n v="0"/>
    <n v="0"/>
    <n v="232"/>
    <n v="1"/>
    <n v="1"/>
    <n v="1"/>
    <n v="232"/>
    <n v="1"/>
    <n v="0"/>
    <n v="1"/>
    <n v="1"/>
    <n v="1"/>
    <n v="195"/>
    <n v="195"/>
    <n v="195"/>
    <n v="39"/>
    <s v="Yes"/>
    <s v="KBC"/>
    <x v="1"/>
    <x v="0"/>
    <x v="0"/>
    <x v="0"/>
    <n v="24.24766"/>
    <n v="97.236919999999998"/>
    <s v="MMR001CMP052"/>
    <x v="0"/>
    <m/>
  </r>
  <r>
    <x v="0"/>
    <x v="1"/>
    <x v="0"/>
    <x v="0"/>
    <x v="5"/>
    <n v="131"/>
    <n v="757"/>
    <m/>
    <s v="USAID, Christian AID, HIDA"/>
    <s v="9/1/2018,1-dec-2018"/>
    <n v="0"/>
    <s v="Yes"/>
    <n v="0.9"/>
    <n v="0.9"/>
    <n v="3"/>
    <n v="1"/>
    <n v="0"/>
    <n v="0"/>
    <n v="0"/>
    <m/>
    <m/>
    <m/>
    <m/>
    <m/>
    <m/>
    <m/>
    <n v="23"/>
    <n v="0"/>
    <n v="4"/>
    <m/>
    <n v="0"/>
    <x v="0"/>
    <x v="2"/>
    <m/>
    <m/>
    <m/>
    <n v="1"/>
    <s v="Both"/>
    <n v="0"/>
    <n v="5"/>
    <n v="2"/>
    <n v="131"/>
    <n v="131"/>
    <x v="0"/>
    <m/>
    <m/>
    <m/>
    <m/>
    <s v="no test"/>
    <s v="no test"/>
    <x v="1"/>
    <n v="1"/>
    <n v="1"/>
    <n v="1"/>
    <n v="757"/>
    <n v="0"/>
    <n v="0"/>
    <n v="1"/>
    <n v="757"/>
    <n v="1.514"/>
    <n v="0"/>
    <n v="0"/>
    <n v="0.48599999999999999"/>
    <n v="2"/>
    <n v="23"/>
    <n v="0.607661822985469"/>
    <n v="460.00000000000006"/>
    <n v="0.39630118890356669"/>
    <n v="15"/>
    <n v="38"/>
    <n v="0"/>
    <n v="80"/>
    <n v="757"/>
    <n v="1"/>
    <n v="1"/>
    <n v="1"/>
    <n v="757"/>
    <n v="1"/>
    <n v="0"/>
    <n v="1"/>
    <n v="1"/>
    <n v="1"/>
    <n v="655"/>
    <n v="655"/>
    <n v="655"/>
    <n v="131"/>
    <s v="Yes"/>
    <s v="Shalom"/>
    <x v="1"/>
    <x v="0"/>
    <x v="0"/>
    <x v="0"/>
    <n v="24.2631743589744"/>
    <n v="97.240183461538507"/>
    <s v="MMR001CMP049"/>
    <x v="0"/>
    <m/>
  </r>
  <r>
    <x v="0"/>
    <x v="3"/>
    <x v="0"/>
    <x v="0"/>
    <x v="6"/>
    <n v="37"/>
    <n v="161"/>
    <m/>
    <s v="ADRA/CANADA"/>
    <d v="2018-12-31T00:00:00"/>
    <n v="0"/>
    <s v="Yes"/>
    <n v="0.8"/>
    <n v="0.6"/>
    <m/>
    <m/>
    <m/>
    <m/>
    <m/>
    <m/>
    <m/>
    <m/>
    <m/>
    <m/>
    <m/>
    <m/>
    <m/>
    <m/>
    <m/>
    <m/>
    <m/>
    <x v="2"/>
    <x v="3"/>
    <m/>
    <m/>
    <m/>
    <m/>
    <m/>
    <m/>
    <m/>
    <m/>
    <m/>
    <m/>
    <x v="0"/>
    <m/>
    <m/>
    <m/>
    <m/>
    <s v="no test"/>
    <s v="no test"/>
    <x v="1"/>
    <n v="0"/>
    <n v="0"/>
    <n v="0"/>
    <n v="0"/>
    <n v="0"/>
    <n v="0"/>
    <n v="0"/>
    <n v="0"/>
    <n v="0"/>
    <n v="1"/>
    <n v="161"/>
    <n v="1"/>
    <n v="1"/>
    <n v="0"/>
    <n v="0"/>
    <n v="0"/>
    <n v="0.99378881987577627"/>
    <n v="8"/>
    <n v="8"/>
    <n v="0"/>
    <n v="0"/>
    <n v="0"/>
    <n v="0"/>
    <n v="0"/>
    <n v="0"/>
    <n v="0"/>
    <n v="0"/>
    <n v="1"/>
    <n v="0"/>
    <n v="0"/>
    <n v="0"/>
    <n v="0"/>
    <n v="0"/>
    <n v="0"/>
    <n v="0"/>
    <n v="0"/>
    <n v="0"/>
    <x v="0"/>
    <x v="0"/>
    <x v="0"/>
    <x v="0"/>
    <n v="0"/>
    <n v="0"/>
    <n v="0"/>
    <x v="0"/>
    <m/>
  </r>
  <r>
    <x v="0"/>
    <x v="1"/>
    <x v="0"/>
    <x v="0"/>
    <x v="7"/>
    <n v="11"/>
    <n v="51"/>
    <m/>
    <s v="USAID"/>
    <d v="2018-09-01T00:00:00"/>
    <n v="0"/>
    <s v="No"/>
    <n v="0"/>
    <n v="0"/>
    <n v="0"/>
    <n v="1"/>
    <n v="0"/>
    <n v="0"/>
    <n v="0"/>
    <m/>
    <m/>
    <m/>
    <m/>
    <m/>
    <m/>
    <m/>
    <n v="4"/>
    <n v="0"/>
    <m/>
    <m/>
    <n v="0"/>
    <x v="0"/>
    <x v="0"/>
    <m/>
    <m/>
    <m/>
    <n v="1"/>
    <s v="Both"/>
    <n v="0"/>
    <n v="2"/>
    <n v="1"/>
    <n v="11"/>
    <n v="11"/>
    <x v="0"/>
    <m/>
    <m/>
    <m/>
    <m/>
    <s v="no test"/>
    <s v="no test"/>
    <x v="1"/>
    <n v="1"/>
    <n v="1"/>
    <n v="1"/>
    <n v="51"/>
    <n v="0"/>
    <n v="0"/>
    <n v="1"/>
    <n v="51"/>
    <n v="0.10199999999999999"/>
    <n v="0"/>
    <n v="0"/>
    <n v="0.89800000000000002"/>
    <n v="1"/>
    <n v="4"/>
    <n v="1"/>
    <n v="51"/>
    <n v="0"/>
    <n v="0"/>
    <n v="3"/>
    <n v="0"/>
    <n v="0"/>
    <n v="51"/>
    <n v="1"/>
    <n v="1"/>
    <n v="1"/>
    <n v="51"/>
    <n v="1"/>
    <n v="0"/>
    <n v="1"/>
    <n v="1"/>
    <n v="1"/>
    <n v="55"/>
    <n v="55"/>
    <n v="55"/>
    <n v="11"/>
    <s v="Yes"/>
    <s v="Shalom"/>
    <x v="1"/>
    <x v="0"/>
    <x v="0"/>
    <x v="0"/>
    <n v="24.253067000000001"/>
    <n v="97.234200000000001"/>
    <s v="MMR001CMP051"/>
    <x v="0"/>
    <m/>
  </r>
  <r>
    <x v="0"/>
    <x v="1"/>
    <x v="0"/>
    <x v="0"/>
    <x v="8"/>
    <n v="21"/>
    <n v="111"/>
    <m/>
    <s v="USAID"/>
    <d v="2018-09-01T00:00:00"/>
    <n v="0"/>
    <s v="Yes"/>
    <n v="0.9"/>
    <n v="0.9"/>
    <n v="0"/>
    <n v="0"/>
    <n v="0"/>
    <n v="0"/>
    <n v="0"/>
    <m/>
    <m/>
    <m/>
    <m/>
    <m/>
    <m/>
    <m/>
    <n v="4"/>
    <n v="0"/>
    <n v="2"/>
    <m/>
    <n v="0"/>
    <x v="0"/>
    <x v="0"/>
    <m/>
    <m/>
    <m/>
    <n v="1"/>
    <s v="Both"/>
    <n v="0"/>
    <n v="2"/>
    <n v="2"/>
    <n v="21"/>
    <n v="21"/>
    <x v="0"/>
    <m/>
    <m/>
    <m/>
    <m/>
    <s v="no test"/>
    <s v="no test"/>
    <x v="1"/>
    <n v="0"/>
    <n v="0"/>
    <n v="0"/>
    <n v="0"/>
    <n v="0"/>
    <n v="0"/>
    <n v="0"/>
    <n v="0"/>
    <n v="0"/>
    <n v="1"/>
    <n v="111"/>
    <n v="1"/>
    <n v="1"/>
    <n v="4"/>
    <n v="0.72072072072072069"/>
    <n v="80"/>
    <n v="0.3603603603603604"/>
    <n v="2"/>
    <n v="6"/>
    <n v="0"/>
    <n v="40"/>
    <n v="111"/>
    <n v="1"/>
    <n v="1"/>
    <n v="1"/>
    <n v="111"/>
    <n v="1"/>
    <n v="0"/>
    <n v="1"/>
    <n v="1"/>
    <n v="1"/>
    <n v="105"/>
    <n v="105"/>
    <n v="105"/>
    <n v="21"/>
    <s v="Yes"/>
    <s v="KMSS-BMO"/>
    <x v="1"/>
    <x v="0"/>
    <x v="0"/>
    <x v="0"/>
    <n v="24.32638"/>
    <n v="97.315860000000001"/>
    <s v="MMR001CMP054"/>
    <x v="0"/>
    <m/>
  </r>
  <r>
    <x v="0"/>
    <x v="0"/>
    <x v="0"/>
    <x v="0"/>
    <x v="9"/>
    <n v="148"/>
    <n v="778"/>
    <m/>
    <s v="ECHO/OFDA"/>
    <s v="31/12/2018, 30/06/2019"/>
    <n v="0"/>
    <s v="Yes"/>
    <n v="0.65217391304347827"/>
    <n v="0"/>
    <n v="0"/>
    <n v="4"/>
    <n v="9119700"/>
    <n v="0"/>
    <n v="0"/>
    <m/>
    <n v="0"/>
    <n v="0"/>
    <n v="23"/>
    <n v="23"/>
    <n v="0"/>
    <m/>
    <n v="43"/>
    <n v="0"/>
    <n v="37"/>
    <s v="Monthly"/>
    <n v="0"/>
    <x v="0"/>
    <x v="0"/>
    <n v="0"/>
    <n v="0"/>
    <m/>
    <n v="1"/>
    <s v="Both"/>
    <n v="0"/>
    <n v="9"/>
    <n v="3"/>
    <n v="139"/>
    <n v="136"/>
    <x v="0"/>
    <m/>
    <n v="5"/>
    <n v="0"/>
    <s v="Nill"/>
    <s v="no test"/>
    <n v="1"/>
    <x v="0"/>
    <n v="1"/>
    <n v="1"/>
    <n v="1"/>
    <n v="778"/>
    <n v="0"/>
    <n v="0"/>
    <n v="1"/>
    <n v="778"/>
    <n v="1.556"/>
    <n v="0"/>
    <n v="0"/>
    <n v="0.44399999999999995"/>
    <n v="2"/>
    <n v="43"/>
    <n v="1"/>
    <n v="778"/>
    <n v="0"/>
    <n v="0"/>
    <n v="39"/>
    <n v="0"/>
    <n v="740"/>
    <n v="778"/>
    <n v="0"/>
    <n v="1"/>
    <n v="0"/>
    <n v="0"/>
    <n v="0"/>
    <n v="1"/>
    <n v="1"/>
    <n v="0.93918918918918914"/>
    <n v="0.91891891891891897"/>
    <n v="695"/>
    <n v="680"/>
    <n v="695"/>
    <n v="148"/>
    <s v="Yes"/>
    <s v="KBC"/>
    <x v="1"/>
    <x v="0"/>
    <x v="0"/>
    <x v="0"/>
    <n v="24.222349999999999"/>
    <n v="97.252650000000003"/>
    <s v="MMR001CMP193"/>
    <x v="0"/>
    <m/>
  </r>
  <r>
    <x v="0"/>
    <x v="0"/>
    <x v="0"/>
    <x v="0"/>
    <x v="10"/>
    <n v="638"/>
    <n v="4010"/>
    <m/>
    <s v="ECHO/OFDA"/>
    <s v="31/12/2018, 30/06/2019"/>
    <n v="0"/>
    <s v="Yes"/>
    <n v="0.43478260869565216"/>
    <n v="0"/>
    <n v="0"/>
    <n v="22"/>
    <n v="5382000"/>
    <n v="0"/>
    <n v="0"/>
    <m/>
    <n v="0"/>
    <n v="0"/>
    <n v="25"/>
    <n v="22"/>
    <n v="0"/>
    <m/>
    <n v="160"/>
    <n v="0"/>
    <n v="100"/>
    <s v="Monthly"/>
    <n v="0"/>
    <x v="0"/>
    <x v="0"/>
    <n v="0"/>
    <n v="0"/>
    <m/>
    <n v="1"/>
    <s v="Both"/>
    <n v="0"/>
    <n v="16"/>
    <n v="5"/>
    <n v="461"/>
    <n v="496"/>
    <x v="0"/>
    <m/>
    <n v="8"/>
    <n v="0"/>
    <s v="Nill"/>
    <s v="no test"/>
    <n v="0.88"/>
    <x v="0"/>
    <n v="1"/>
    <n v="1"/>
    <n v="1"/>
    <n v="4010"/>
    <n v="0"/>
    <n v="0"/>
    <n v="1"/>
    <n v="4010"/>
    <n v="8.02"/>
    <n v="0"/>
    <n v="0"/>
    <n v="0"/>
    <n v="8"/>
    <n v="160"/>
    <n v="0.79800498753117211"/>
    <n v="3200"/>
    <n v="0.20448877805486285"/>
    <n v="41"/>
    <n v="201"/>
    <n v="0"/>
    <n v="2000"/>
    <n v="2500"/>
    <n v="0"/>
    <n v="0"/>
    <n v="0"/>
    <n v="0"/>
    <n v="0"/>
    <n v="1"/>
    <n v="0.62344139650872821"/>
    <n v="0.72257053291536055"/>
    <n v="0.77742946708463945"/>
    <n v="2305"/>
    <n v="2480"/>
    <n v="2480"/>
    <n v="638"/>
    <s v="Yes"/>
    <s v="KBC"/>
    <x v="1"/>
    <x v="0"/>
    <x v="0"/>
    <x v="0"/>
    <n v="24.268292826086999"/>
    <n v="97.229116811594196"/>
    <s v="MMR001CMP047"/>
    <x v="0"/>
    <m/>
  </r>
  <r>
    <x v="0"/>
    <x v="0"/>
    <x v="0"/>
    <x v="0"/>
    <x v="11"/>
    <n v="281"/>
    <n v="1409"/>
    <m/>
    <s v="ECHO/OFDA"/>
    <s v="31/12/2018, 30/06/2019"/>
    <n v="0"/>
    <s v="No"/>
    <n v="0"/>
    <n v="0"/>
    <n v="0"/>
    <n v="0"/>
    <n v="0"/>
    <n v="0"/>
    <n v="0"/>
    <m/>
    <n v="0"/>
    <n v="0"/>
    <n v="0"/>
    <n v="0"/>
    <n v="39"/>
    <m/>
    <n v="0"/>
    <n v="0"/>
    <n v="0"/>
    <s v="Monthly"/>
    <n v="0"/>
    <x v="0"/>
    <x v="0"/>
    <n v="0"/>
    <n v="0"/>
    <m/>
    <n v="1"/>
    <s v="Both"/>
    <n v="0"/>
    <n v="0"/>
    <n v="0"/>
    <m/>
    <n v="0"/>
    <x v="0"/>
    <m/>
    <n v="0"/>
    <n v="0"/>
    <s v="Nill"/>
    <s v="no test"/>
    <s v="no test"/>
    <x v="1"/>
    <n v="0"/>
    <n v="0"/>
    <n v="0"/>
    <n v="0"/>
    <n v="0"/>
    <n v="0"/>
    <n v="0"/>
    <n v="0"/>
    <n v="0"/>
    <n v="1"/>
    <n v="1409"/>
    <n v="3"/>
    <n v="3"/>
    <n v="0"/>
    <n v="0"/>
    <n v="0"/>
    <n v="0.99361249112845984"/>
    <n v="70"/>
    <n v="70"/>
    <n v="0"/>
    <n v="0"/>
    <n v="0"/>
    <n v="0"/>
    <n v="0"/>
    <n v="0"/>
    <n v="0"/>
    <n v="0"/>
    <n v="1"/>
    <n v="0"/>
    <n v="0"/>
    <n v="0"/>
    <n v="0"/>
    <n v="0"/>
    <n v="0"/>
    <n v="281"/>
    <s v="No"/>
    <n v="0"/>
    <x v="0"/>
    <x v="0"/>
    <x v="0"/>
    <x v="0"/>
    <n v="0"/>
    <n v="0"/>
    <n v="0"/>
    <x v="0"/>
    <s v="to ask"/>
  </r>
  <r>
    <x v="0"/>
    <x v="1"/>
    <x v="0"/>
    <x v="0"/>
    <x v="12"/>
    <n v="13"/>
    <n v="75"/>
    <m/>
    <s v="USAID"/>
    <d v="2018-09-01T00:00:00"/>
    <n v="0"/>
    <s v="No"/>
    <n v="0"/>
    <n v="0"/>
    <n v="0"/>
    <n v="1"/>
    <n v="0"/>
    <n v="0"/>
    <n v="0"/>
    <m/>
    <m/>
    <m/>
    <m/>
    <m/>
    <m/>
    <m/>
    <n v="10"/>
    <n v="0"/>
    <m/>
    <m/>
    <n v="0"/>
    <x v="0"/>
    <x v="0"/>
    <m/>
    <m/>
    <m/>
    <n v="1"/>
    <s v="Both"/>
    <n v="0"/>
    <n v="2"/>
    <n v="1"/>
    <n v="13"/>
    <n v="13"/>
    <x v="0"/>
    <m/>
    <m/>
    <m/>
    <m/>
    <s v="no test"/>
    <s v="no test"/>
    <x v="1"/>
    <n v="1"/>
    <n v="1"/>
    <n v="1"/>
    <n v="75"/>
    <n v="0"/>
    <n v="0"/>
    <n v="1"/>
    <n v="75"/>
    <n v="0.15"/>
    <n v="0"/>
    <n v="0"/>
    <n v="0.85"/>
    <n v="1"/>
    <n v="10"/>
    <n v="1"/>
    <n v="75"/>
    <n v="0"/>
    <n v="0"/>
    <n v="4"/>
    <n v="0"/>
    <n v="0"/>
    <n v="75"/>
    <n v="1"/>
    <n v="1"/>
    <n v="1"/>
    <n v="75"/>
    <n v="1"/>
    <n v="0"/>
    <n v="1"/>
    <n v="1"/>
    <n v="1"/>
    <n v="65"/>
    <n v="65"/>
    <n v="65"/>
    <n v="13"/>
    <s v="Yes"/>
    <s v="Shalom"/>
    <x v="1"/>
    <x v="0"/>
    <x v="0"/>
    <x v="0"/>
    <n v="24.24953"/>
    <n v="97.240639999999999"/>
    <s v="MMR001CMP053"/>
    <x v="0"/>
    <m/>
  </r>
  <r>
    <x v="0"/>
    <x v="4"/>
    <x v="0"/>
    <x v="1"/>
    <x v="13"/>
    <n v="108"/>
    <n v="519"/>
    <m/>
    <s v="UNICEF/OFDA"/>
    <d v="2017-07-31T00:00:00"/>
    <n v="0"/>
    <s v="Yes"/>
    <n v="0.6"/>
    <n v="1"/>
    <n v="0"/>
    <n v="0"/>
    <n v="0"/>
    <n v="0"/>
    <n v="1"/>
    <m/>
    <n v="2"/>
    <n v="0"/>
    <n v="3"/>
    <n v="0"/>
    <n v="0"/>
    <s v="We need to check with how many litre/day of gravity system when we will go field trip to Chihpwi"/>
    <n v="26"/>
    <n v="4"/>
    <n v="0"/>
    <m/>
    <n v="26"/>
    <x v="3"/>
    <x v="2"/>
    <n v="0"/>
    <n v="0"/>
    <m/>
    <n v="0.5"/>
    <s v="Communal"/>
    <n v="0"/>
    <n v="5"/>
    <n v="0"/>
    <n v="0"/>
    <n v="0"/>
    <x v="0"/>
    <m/>
    <n v="1"/>
    <m/>
    <m/>
    <n v="0"/>
    <n v="0"/>
    <x v="0"/>
    <n v="0"/>
    <n v="0"/>
    <n v="0"/>
    <n v="0"/>
    <n v="0"/>
    <n v="0"/>
    <n v="0"/>
    <n v="0"/>
    <n v="0"/>
    <n v="1"/>
    <n v="519"/>
    <n v="1"/>
    <n v="1"/>
    <n v="30"/>
    <n v="1"/>
    <n v="519"/>
    <n v="0"/>
    <n v="0"/>
    <n v="26"/>
    <n v="0.13333333333333333"/>
    <n v="0"/>
    <n v="0"/>
    <n v="0"/>
    <n v="0"/>
    <n v="0"/>
    <n v="0"/>
    <n v="0"/>
    <n v="1"/>
    <n v="0"/>
    <n v="0"/>
    <n v="0"/>
    <n v="0"/>
    <n v="0"/>
    <n v="0"/>
    <n v="54"/>
    <s v="Yes"/>
    <s v="Shalom"/>
    <x v="1"/>
    <x v="0"/>
    <x v="0"/>
    <x v="0"/>
    <n v="25.889410000000002"/>
    <n v="98.131550000000004"/>
    <s v="MMR001CMP042"/>
    <x v="0"/>
    <m/>
  </r>
  <r>
    <x v="0"/>
    <x v="3"/>
    <x v="0"/>
    <x v="1"/>
    <x v="14"/>
    <n v="160"/>
    <n v="823"/>
    <m/>
    <s v="Plan/GFFO,ADRA/CANADA  "/>
    <s v="30/04/2019,31/12/2018"/>
    <n v="0"/>
    <s v="Yes"/>
    <n v="0.6"/>
    <n v="0.5"/>
    <n v="0"/>
    <n v="0"/>
    <n v="349920"/>
    <n v="0"/>
    <n v="0"/>
    <m/>
    <n v="0"/>
    <n v="0"/>
    <n v="0"/>
    <n v="0"/>
    <n v="0"/>
    <m/>
    <n v="32"/>
    <n v="0"/>
    <n v="0"/>
    <m/>
    <n v="0"/>
    <x v="0"/>
    <x v="0"/>
    <m/>
    <n v="5"/>
    <m/>
    <n v="0.6"/>
    <s v="Both"/>
    <n v="0"/>
    <n v="4"/>
    <n v="3"/>
    <n v="0"/>
    <n v="0"/>
    <x v="0"/>
    <m/>
    <m/>
    <m/>
    <m/>
    <s v="no test"/>
    <s v="no test"/>
    <x v="1"/>
    <n v="1"/>
    <n v="1"/>
    <n v="1"/>
    <n v="823"/>
    <n v="0"/>
    <n v="0"/>
    <n v="1"/>
    <n v="823"/>
    <n v="1.6459999999999999"/>
    <n v="0"/>
    <n v="0"/>
    <n v="0.35400000000000009"/>
    <n v="2"/>
    <n v="32"/>
    <n v="0.77764277035236939"/>
    <n v="640"/>
    <n v="0.2187120291616039"/>
    <n v="9"/>
    <n v="41"/>
    <n v="0"/>
    <n v="0"/>
    <n v="823"/>
    <n v="0"/>
    <n v="1"/>
    <n v="0"/>
    <n v="0"/>
    <n v="0"/>
    <n v="1"/>
    <n v="1"/>
    <n v="0"/>
    <n v="0"/>
    <n v="0"/>
    <n v="0"/>
    <n v="0"/>
    <n v="96"/>
    <s v="Yes"/>
    <s v="KBC"/>
    <x v="1"/>
    <x v="0"/>
    <x v="0"/>
    <x v="1"/>
    <n v="25.754110000000001"/>
    <n v="98.475719999999995"/>
    <s v="MMR001CMP043"/>
    <x v="0"/>
    <m/>
  </r>
  <r>
    <x v="0"/>
    <x v="4"/>
    <x v="0"/>
    <x v="1"/>
    <x v="15"/>
    <n v="143"/>
    <n v="640"/>
    <m/>
    <s v="OFDA"/>
    <d v="2017-07-31T00:00:00"/>
    <n v="0"/>
    <s v="Yes"/>
    <n v="0.43"/>
    <n v="0"/>
    <n v="0"/>
    <n v="0"/>
    <n v="0"/>
    <n v="0"/>
    <n v="2"/>
    <m/>
    <n v="2"/>
    <n v="2"/>
    <n v="3"/>
    <n v="1"/>
    <n v="0"/>
    <m/>
    <n v="39"/>
    <n v="2"/>
    <n v="0"/>
    <m/>
    <n v="39"/>
    <x v="3"/>
    <x v="2"/>
    <n v="0"/>
    <n v="0"/>
    <m/>
    <n v="0.3"/>
    <s v="Communal"/>
    <n v="0"/>
    <n v="9"/>
    <n v="0"/>
    <n v="0"/>
    <n v="0"/>
    <x v="0"/>
    <m/>
    <n v="1"/>
    <m/>
    <m/>
    <n v="1"/>
    <n v="0.33333333333333331"/>
    <x v="0"/>
    <n v="0"/>
    <n v="0"/>
    <n v="0"/>
    <n v="0"/>
    <n v="0"/>
    <n v="0"/>
    <n v="0"/>
    <n v="0"/>
    <n v="0"/>
    <n v="1"/>
    <n v="640"/>
    <n v="1"/>
    <n v="1"/>
    <n v="41"/>
    <n v="1"/>
    <n v="640"/>
    <n v="0"/>
    <n v="0"/>
    <n v="32"/>
    <n v="4.878048780487805E-2"/>
    <n v="0"/>
    <n v="0"/>
    <n v="0"/>
    <n v="0"/>
    <n v="0"/>
    <n v="0"/>
    <n v="0"/>
    <n v="1"/>
    <n v="0"/>
    <n v="0"/>
    <n v="0"/>
    <n v="0"/>
    <n v="0"/>
    <n v="0"/>
    <n v="42.9"/>
    <s v="Yes"/>
    <s v="Shalom"/>
    <x v="1"/>
    <x v="0"/>
    <x v="0"/>
    <x v="0"/>
    <n v="25.887339999999998"/>
    <n v="98.129990000000006"/>
    <s v="MMR001CMP195"/>
    <x v="0"/>
    <m/>
  </r>
  <r>
    <x v="0"/>
    <x v="5"/>
    <x v="0"/>
    <x v="1"/>
    <x v="16"/>
    <n v="57"/>
    <n v="267"/>
    <m/>
    <s v="DFID/UNICEF"/>
    <d v="2018-12-31T00:00:00"/>
    <n v="0"/>
    <s v="Yes"/>
    <n v="0.6"/>
    <n v="0.3"/>
    <n v="0"/>
    <n v="0"/>
    <n v="6000"/>
    <n v="0"/>
    <n v="4"/>
    <m/>
    <n v="0"/>
    <n v="0"/>
    <n v="0"/>
    <n v="0"/>
    <n v="0"/>
    <s v="Need to be renovation of GFS"/>
    <n v="16"/>
    <n v="0"/>
    <n v="0"/>
    <s v="one time"/>
    <n v="8"/>
    <x v="0"/>
    <x v="2"/>
    <n v="0"/>
    <n v="0"/>
    <m/>
    <n v="0"/>
    <s v="Communal"/>
    <n v="0"/>
    <n v="3"/>
    <n v="1"/>
    <n v="0"/>
    <n v="0"/>
    <x v="1"/>
    <m/>
    <m/>
    <m/>
    <m/>
    <s v="no test"/>
    <s v="no test"/>
    <x v="1"/>
    <n v="1"/>
    <n v="1"/>
    <n v="1"/>
    <n v="267"/>
    <n v="0"/>
    <n v="0"/>
    <n v="1"/>
    <n v="267"/>
    <n v="0.53400000000000003"/>
    <n v="0"/>
    <n v="0"/>
    <n v="0.46599999999999997"/>
    <n v="1"/>
    <n v="16"/>
    <n v="1"/>
    <n v="267"/>
    <n v="0"/>
    <n v="0"/>
    <n v="13"/>
    <n v="0"/>
    <n v="0"/>
    <n v="267"/>
    <n v="0"/>
    <n v="1"/>
    <n v="0"/>
    <n v="0"/>
    <n v="0"/>
    <n v="1"/>
    <n v="1"/>
    <n v="0"/>
    <n v="0"/>
    <n v="0"/>
    <n v="0"/>
    <n v="0"/>
    <n v="0"/>
    <s v="Yes"/>
    <s v="KMSS-MYT"/>
    <x v="1"/>
    <x v="0"/>
    <x v="0"/>
    <x v="0"/>
    <n v="25.60867"/>
    <n v="98.377780000000001"/>
    <s v="MMR001CMP210"/>
    <x v="0"/>
    <m/>
  </r>
  <r>
    <x v="0"/>
    <x v="5"/>
    <x v="0"/>
    <x v="1"/>
    <x v="17"/>
    <n v="30"/>
    <n v="173"/>
    <m/>
    <s v="DFID/UNICEF"/>
    <d v="2018-12-31T00:00:00"/>
    <n v="0"/>
    <s v="Yes"/>
    <n v="0.4"/>
    <n v="0.3"/>
    <n v="0"/>
    <n v="0"/>
    <n v="5000"/>
    <n v="0"/>
    <n v="2"/>
    <m/>
    <n v="0"/>
    <n v="0"/>
    <n v="0"/>
    <n v="0"/>
    <n v="0"/>
    <m/>
    <n v="10"/>
    <n v="0"/>
    <n v="0"/>
    <m/>
    <n v="0"/>
    <x v="0"/>
    <x v="2"/>
    <n v="0"/>
    <n v="0"/>
    <m/>
    <n v="0"/>
    <s v="Communal"/>
    <n v="0"/>
    <n v="0"/>
    <n v="1"/>
    <n v="0"/>
    <n v="0"/>
    <x v="1"/>
    <m/>
    <m/>
    <m/>
    <m/>
    <s v="no test"/>
    <s v="no test"/>
    <x v="1"/>
    <n v="1"/>
    <n v="1"/>
    <n v="1"/>
    <n v="173"/>
    <n v="0"/>
    <n v="0"/>
    <n v="1"/>
    <n v="173"/>
    <n v="0.34599999999999997"/>
    <n v="0"/>
    <n v="0"/>
    <n v="0.65400000000000003"/>
    <n v="1"/>
    <n v="10"/>
    <n v="1"/>
    <n v="173"/>
    <n v="0"/>
    <n v="0"/>
    <n v="9"/>
    <n v="0"/>
    <n v="0"/>
    <n v="173"/>
    <n v="0"/>
    <n v="1"/>
    <n v="0"/>
    <n v="0"/>
    <n v="0"/>
    <n v="1"/>
    <n v="1"/>
    <n v="0"/>
    <n v="0"/>
    <n v="0"/>
    <n v="0"/>
    <n v="0"/>
    <n v="0"/>
    <s v="Yes"/>
    <s v="KMSS-MYT"/>
    <x v="1"/>
    <x v="0"/>
    <x v="0"/>
    <x v="0"/>
    <n v="25.645959999999999"/>
    <n v="98.356260000000006"/>
    <s v="MMR001CMP225"/>
    <x v="0"/>
    <m/>
  </r>
  <r>
    <x v="0"/>
    <x v="5"/>
    <x v="0"/>
    <x v="2"/>
    <x v="18"/>
    <n v="70"/>
    <n v="350"/>
    <m/>
    <s v="DFID/UNICEF"/>
    <d v="2018-12-31T00:00:00"/>
    <n v="0"/>
    <s v="Yes"/>
    <n v="0.5"/>
    <n v="0.1"/>
    <n v="2"/>
    <n v="0"/>
    <n v="7000"/>
    <n v="0"/>
    <n v="3"/>
    <m/>
    <n v="1"/>
    <n v="0"/>
    <n v="12"/>
    <n v="1"/>
    <n v="0"/>
    <m/>
    <n v="16"/>
    <n v="0"/>
    <n v="0"/>
    <s v="one time"/>
    <n v="8"/>
    <x v="0"/>
    <x v="2"/>
    <n v="0"/>
    <n v="0"/>
    <m/>
    <n v="0"/>
    <s v="Communal"/>
    <n v="0"/>
    <n v="3"/>
    <n v="2"/>
    <n v="0"/>
    <n v="0"/>
    <x v="1"/>
    <m/>
    <m/>
    <m/>
    <m/>
    <n v="0"/>
    <n v="8.3333333333333329E-2"/>
    <x v="0"/>
    <n v="1"/>
    <n v="1"/>
    <n v="1"/>
    <n v="350"/>
    <n v="0"/>
    <n v="0"/>
    <n v="1"/>
    <n v="350"/>
    <n v="0.7"/>
    <n v="0"/>
    <n v="0"/>
    <n v="0.30000000000000004"/>
    <n v="1"/>
    <n v="16"/>
    <n v="0.91428571428571426"/>
    <n v="320"/>
    <n v="0.11428571428571428"/>
    <n v="2"/>
    <n v="18"/>
    <n v="0"/>
    <n v="0"/>
    <n v="350"/>
    <n v="0"/>
    <n v="1"/>
    <n v="0"/>
    <n v="0"/>
    <n v="0"/>
    <n v="1"/>
    <n v="1"/>
    <n v="0"/>
    <n v="0"/>
    <n v="0"/>
    <n v="0"/>
    <n v="0"/>
    <n v="0"/>
    <s v="Yes"/>
    <s v="KMSS-MYT"/>
    <x v="1"/>
    <x v="0"/>
    <x v="0"/>
    <x v="0"/>
    <n v="25.656009999999998"/>
    <n v="96.361609999999999"/>
    <s v="MMR001CMP168"/>
    <x v="0"/>
    <m/>
  </r>
  <r>
    <x v="0"/>
    <x v="4"/>
    <x v="0"/>
    <x v="2"/>
    <x v="19"/>
    <n v="65"/>
    <n v="350"/>
    <m/>
    <s v="OFDA"/>
    <d v="2017-07-31T00:00:00"/>
    <n v="0"/>
    <s v="Yes"/>
    <n v="0.2"/>
    <n v="1"/>
    <n v="2"/>
    <n v="1"/>
    <n v="1500"/>
    <n v="0"/>
    <n v="3"/>
    <m/>
    <n v="2"/>
    <n v="0"/>
    <n v="1"/>
    <n v="0"/>
    <n v="0"/>
    <m/>
    <n v="20"/>
    <n v="20"/>
    <n v="0"/>
    <s v="one time"/>
    <n v="20"/>
    <x v="0"/>
    <x v="0"/>
    <n v="0"/>
    <n v="0"/>
    <m/>
    <n v="0.5"/>
    <s v="Communal"/>
    <n v="0"/>
    <n v="4"/>
    <n v="0"/>
    <n v="0"/>
    <n v="0"/>
    <x v="0"/>
    <m/>
    <n v="1"/>
    <m/>
    <m/>
    <n v="0"/>
    <n v="0"/>
    <x v="0"/>
    <n v="1"/>
    <n v="1"/>
    <n v="1"/>
    <n v="350"/>
    <n v="0"/>
    <n v="0"/>
    <n v="1"/>
    <n v="350"/>
    <n v="0.7"/>
    <n v="0"/>
    <n v="0"/>
    <n v="0.30000000000000004"/>
    <n v="1"/>
    <n v="40"/>
    <n v="1"/>
    <n v="350"/>
    <n v="0"/>
    <n v="0"/>
    <n v="18"/>
    <n v="0.5"/>
    <n v="0"/>
    <n v="0"/>
    <n v="0"/>
    <n v="0"/>
    <n v="0"/>
    <n v="0"/>
    <n v="0"/>
    <n v="1"/>
    <n v="0"/>
    <n v="0"/>
    <n v="0"/>
    <n v="0"/>
    <n v="0"/>
    <n v="0"/>
    <n v="32.5"/>
    <s v="Yes"/>
    <s v="Shalom"/>
    <x v="1"/>
    <x v="0"/>
    <x v="0"/>
    <x v="0"/>
    <n v="25.635300000000001"/>
    <n v="96.345569999999995"/>
    <s v="MMR001CMP176"/>
    <x v="0"/>
    <m/>
  </r>
  <r>
    <x v="0"/>
    <x v="4"/>
    <x v="0"/>
    <x v="2"/>
    <x v="20"/>
    <n v="14"/>
    <n v="81"/>
    <m/>
    <s v="OFDA"/>
    <d v="2017-07-31T00:00:00"/>
    <n v="0"/>
    <s v="Yes"/>
    <n v="0.5"/>
    <n v="0"/>
    <n v="1"/>
    <n v="0"/>
    <n v="500"/>
    <n v="0"/>
    <n v="1"/>
    <m/>
    <n v="1"/>
    <n v="0"/>
    <n v="1"/>
    <n v="0"/>
    <n v="0"/>
    <m/>
    <n v="4"/>
    <n v="0"/>
    <n v="0"/>
    <m/>
    <n v="4"/>
    <x v="0"/>
    <x v="2"/>
    <n v="0"/>
    <n v="0"/>
    <m/>
    <n v="0.2"/>
    <s v="Communal"/>
    <n v="0"/>
    <n v="2"/>
    <n v="0"/>
    <n v="0"/>
    <n v="0"/>
    <x v="0"/>
    <m/>
    <n v="1"/>
    <m/>
    <m/>
    <n v="0"/>
    <n v="0"/>
    <x v="0"/>
    <n v="1"/>
    <n v="1"/>
    <n v="1"/>
    <n v="81"/>
    <n v="0"/>
    <n v="0"/>
    <n v="1"/>
    <n v="81"/>
    <n v="0.16200000000000001"/>
    <n v="0"/>
    <n v="0"/>
    <n v="0.83799999999999997"/>
    <n v="1"/>
    <n v="4"/>
    <n v="0.98765432098765427"/>
    <n v="80"/>
    <n v="0"/>
    <n v="0"/>
    <n v="4"/>
    <n v="0"/>
    <n v="0"/>
    <n v="0"/>
    <n v="0"/>
    <n v="0"/>
    <n v="0"/>
    <n v="0"/>
    <n v="0"/>
    <n v="1"/>
    <n v="0"/>
    <n v="0"/>
    <n v="0"/>
    <n v="0"/>
    <n v="0"/>
    <n v="0"/>
    <n v="2.8000000000000003"/>
    <s v="Yes"/>
    <s v="Shalom"/>
    <x v="1"/>
    <x v="0"/>
    <x v="0"/>
    <x v="0"/>
    <n v="25.616509000000001"/>
    <n v="96.317350000000005"/>
    <s v="MMR001CMP190"/>
    <x v="0"/>
    <m/>
  </r>
  <r>
    <x v="0"/>
    <x v="4"/>
    <x v="0"/>
    <x v="2"/>
    <x v="21"/>
    <n v="37"/>
    <n v="228"/>
    <m/>
    <s v="OFDA"/>
    <d v="2017-07-31T00:00:00"/>
    <n v="0"/>
    <s v="Yes"/>
    <n v="0.5"/>
    <n v="0"/>
    <n v="2"/>
    <n v="0"/>
    <n v="2000"/>
    <n v="0"/>
    <n v="2"/>
    <m/>
    <n v="1"/>
    <n v="0"/>
    <n v="2"/>
    <n v="0"/>
    <n v="0"/>
    <s v="Water distribution system(overhead tank) is not functioning"/>
    <n v="10"/>
    <n v="4"/>
    <n v="0"/>
    <s v="one time"/>
    <n v="10"/>
    <x v="0"/>
    <x v="0"/>
    <n v="0"/>
    <n v="0"/>
    <m/>
    <n v="0.6"/>
    <s v="Communal"/>
    <n v="0"/>
    <n v="3"/>
    <n v="0"/>
    <n v="0"/>
    <n v="0"/>
    <x v="0"/>
    <m/>
    <n v="1"/>
    <m/>
    <m/>
    <n v="0"/>
    <n v="0"/>
    <x v="0"/>
    <n v="1"/>
    <n v="1"/>
    <n v="1"/>
    <n v="228"/>
    <n v="0"/>
    <n v="0"/>
    <n v="1"/>
    <n v="228"/>
    <n v="0.45600000000000002"/>
    <n v="0"/>
    <n v="0"/>
    <n v="0.54400000000000004"/>
    <n v="1"/>
    <n v="14"/>
    <n v="0.8771929824561403"/>
    <n v="200"/>
    <n v="0"/>
    <n v="0"/>
    <n v="11"/>
    <n v="0.2857142857142857"/>
    <n v="0"/>
    <n v="0"/>
    <n v="0"/>
    <n v="0"/>
    <n v="0"/>
    <n v="0"/>
    <n v="0"/>
    <n v="1"/>
    <n v="0"/>
    <n v="0"/>
    <n v="0"/>
    <n v="0"/>
    <n v="0"/>
    <n v="0"/>
    <n v="22.2"/>
    <s v="Yes"/>
    <s v="KBC"/>
    <x v="1"/>
    <x v="0"/>
    <x v="0"/>
    <x v="0"/>
    <n v="25.647649999999999"/>
    <n v="96.346469999999997"/>
    <s v="MMR001CMP169"/>
    <x v="0"/>
    <m/>
  </r>
  <r>
    <x v="0"/>
    <x v="4"/>
    <x v="0"/>
    <x v="2"/>
    <x v="22"/>
    <n v="5"/>
    <n v="26"/>
    <m/>
    <s v="OFDA"/>
    <d v="2017-07-31T00:00:00"/>
    <n v="0"/>
    <s v="Yes"/>
    <n v="0.25"/>
    <n v="1"/>
    <n v="0"/>
    <n v="0"/>
    <n v="0"/>
    <n v="0"/>
    <n v="1"/>
    <m/>
    <n v="1"/>
    <n v="0"/>
    <n v="0"/>
    <n v="0"/>
    <n v="0"/>
    <s v="This camp using water source from private pipe line distribution."/>
    <n v="2"/>
    <n v="0"/>
    <n v="0"/>
    <s v="one time"/>
    <n v="2"/>
    <x v="0"/>
    <x v="2"/>
    <n v="0"/>
    <n v="0"/>
    <m/>
    <n v="0.5"/>
    <s v="Communal"/>
    <n v="0"/>
    <n v="1"/>
    <n v="0"/>
    <n v="0"/>
    <n v="0"/>
    <x v="0"/>
    <m/>
    <n v="1"/>
    <m/>
    <m/>
    <n v="0"/>
    <s v="no test"/>
    <x v="0"/>
    <n v="0"/>
    <n v="0"/>
    <n v="0"/>
    <n v="0"/>
    <n v="0"/>
    <n v="0"/>
    <n v="0"/>
    <n v="0"/>
    <n v="0"/>
    <n v="1"/>
    <n v="26"/>
    <n v="1"/>
    <n v="1"/>
    <n v="2"/>
    <n v="1"/>
    <n v="26"/>
    <n v="0"/>
    <n v="0"/>
    <n v="1"/>
    <n v="0"/>
    <n v="0"/>
    <n v="0"/>
    <n v="0"/>
    <n v="0"/>
    <n v="0"/>
    <n v="0"/>
    <n v="0"/>
    <n v="1"/>
    <n v="0"/>
    <n v="0"/>
    <n v="0"/>
    <n v="0"/>
    <n v="0"/>
    <n v="0"/>
    <n v="2.5"/>
    <s v="Yes"/>
    <s v="uncovered"/>
    <x v="1"/>
    <x v="0"/>
    <x v="2"/>
    <x v="0"/>
    <n v="25.582065"/>
    <n v="96.283377000000002"/>
    <s v="MMR001CMP109"/>
    <x v="0"/>
    <m/>
  </r>
  <r>
    <x v="0"/>
    <x v="4"/>
    <x v="0"/>
    <x v="2"/>
    <x v="23"/>
    <n v="70"/>
    <n v="365"/>
    <m/>
    <s v="OFDA"/>
    <d v="2017-07-31T00:00:00"/>
    <n v="0"/>
    <s v="Yes"/>
    <n v="0.56999999999999995"/>
    <n v="0"/>
    <n v="1"/>
    <n v="1"/>
    <n v="0"/>
    <n v="0"/>
    <n v="2"/>
    <m/>
    <n v="2"/>
    <n v="1"/>
    <n v="1"/>
    <n v="0"/>
    <n v="0"/>
    <m/>
    <n v="22"/>
    <n v="18"/>
    <n v="4"/>
    <s v="Quarterly"/>
    <n v="22"/>
    <x v="0"/>
    <x v="0"/>
    <n v="0"/>
    <n v="0"/>
    <m/>
    <n v="0.2"/>
    <s v="Communal"/>
    <n v="0"/>
    <n v="3"/>
    <n v="0"/>
    <n v="0"/>
    <n v="0"/>
    <x v="0"/>
    <m/>
    <n v="1"/>
    <m/>
    <m/>
    <n v="0.5"/>
    <n v="0"/>
    <x v="0"/>
    <n v="1"/>
    <n v="1"/>
    <n v="1"/>
    <n v="365"/>
    <n v="0"/>
    <n v="0"/>
    <n v="1"/>
    <n v="365"/>
    <n v="0.73"/>
    <n v="0"/>
    <n v="0"/>
    <n v="0.27"/>
    <n v="1"/>
    <n v="40"/>
    <n v="1"/>
    <n v="365"/>
    <n v="0"/>
    <n v="0"/>
    <n v="18"/>
    <n v="0.45"/>
    <n v="80"/>
    <n v="0"/>
    <n v="0"/>
    <n v="0"/>
    <n v="0"/>
    <n v="0"/>
    <n v="0"/>
    <n v="1"/>
    <n v="0"/>
    <n v="0"/>
    <n v="0"/>
    <n v="0"/>
    <n v="0"/>
    <n v="0"/>
    <n v="14"/>
    <s v="Yes"/>
    <s v="Shalom"/>
    <x v="1"/>
    <x v="0"/>
    <x v="0"/>
    <x v="0"/>
    <n v="25.637309999999999"/>
    <n v="96.35257"/>
    <s v="MMR001CMP174"/>
    <x v="0"/>
    <m/>
  </r>
  <r>
    <x v="0"/>
    <x v="3"/>
    <x v="0"/>
    <x v="2"/>
    <x v="24"/>
    <n v="13"/>
    <n v="46"/>
    <m/>
    <s v="ADRA/CANADA"/>
    <d v="2018-12-31T00:00:00"/>
    <n v="0"/>
    <s v="Yes"/>
    <n v="0.6"/>
    <n v="0.5"/>
    <n v="0"/>
    <n v="3"/>
    <n v="2000"/>
    <n v="0"/>
    <n v="0"/>
    <m/>
    <n v="0"/>
    <n v="0"/>
    <n v="0"/>
    <n v="0"/>
    <n v="0"/>
    <m/>
    <n v="9"/>
    <n v="0"/>
    <n v="0"/>
    <m/>
    <n v="0"/>
    <x v="0"/>
    <x v="2"/>
    <m/>
    <m/>
    <m/>
    <n v="1"/>
    <s v="Communal"/>
    <n v="0"/>
    <n v="2"/>
    <n v="1"/>
    <n v="0"/>
    <n v="0"/>
    <x v="0"/>
    <m/>
    <m/>
    <m/>
    <m/>
    <s v="no test"/>
    <s v="no test"/>
    <x v="1"/>
    <n v="1"/>
    <n v="1"/>
    <n v="1"/>
    <n v="46"/>
    <n v="0"/>
    <n v="0"/>
    <n v="1"/>
    <n v="46"/>
    <n v="9.1999999999999998E-2"/>
    <n v="0"/>
    <n v="0"/>
    <n v="0.90800000000000003"/>
    <n v="1"/>
    <n v="9"/>
    <n v="1"/>
    <n v="46"/>
    <n v="0"/>
    <n v="0"/>
    <n v="2"/>
    <n v="0"/>
    <n v="0"/>
    <n v="46"/>
    <n v="0"/>
    <n v="1"/>
    <n v="0"/>
    <n v="0"/>
    <n v="0"/>
    <n v="1"/>
    <n v="1"/>
    <n v="0"/>
    <n v="0"/>
    <n v="0"/>
    <n v="0"/>
    <n v="0"/>
    <n v="13"/>
    <s v="Yes"/>
    <s v="KBC"/>
    <x v="1"/>
    <x v="0"/>
    <x v="0"/>
    <x v="0"/>
    <n v="25.51352"/>
    <n v="96.705960000000005"/>
    <s v="MMR001CMP148"/>
    <x v="0"/>
    <m/>
  </r>
  <r>
    <x v="0"/>
    <x v="4"/>
    <x v="0"/>
    <x v="2"/>
    <x v="25"/>
    <n v="4"/>
    <n v="27"/>
    <m/>
    <s v="OFDA"/>
    <d v="2017-07-31T00:00:00"/>
    <n v="0"/>
    <s v="Yes"/>
    <n v="1"/>
    <n v="0"/>
    <n v="1"/>
    <n v="0"/>
    <n v="1000"/>
    <n v="0"/>
    <n v="1"/>
    <m/>
    <n v="0"/>
    <n v="0"/>
    <n v="0"/>
    <n v="0"/>
    <n v="0"/>
    <m/>
    <n v="0"/>
    <n v="0"/>
    <n v="0"/>
    <m/>
    <n v="0"/>
    <x v="0"/>
    <x v="2"/>
    <n v="0"/>
    <n v="0"/>
    <m/>
    <n v="0.6"/>
    <s v="Communal"/>
    <n v="0"/>
    <n v="0"/>
    <n v="0"/>
    <n v="0"/>
    <n v="0"/>
    <x v="0"/>
    <m/>
    <m/>
    <m/>
    <m/>
    <s v="no test"/>
    <s v="no test"/>
    <x v="1"/>
    <n v="1"/>
    <n v="1"/>
    <n v="1"/>
    <n v="27"/>
    <n v="0"/>
    <n v="0"/>
    <n v="1"/>
    <n v="27"/>
    <n v="5.3999999999999999E-2"/>
    <n v="0"/>
    <n v="0"/>
    <n v="0.94599999999999995"/>
    <n v="1"/>
    <n v="0"/>
    <n v="0"/>
    <n v="0"/>
    <n v="0.7407407407407407"/>
    <n v="1"/>
    <n v="1"/>
    <n v="0"/>
    <n v="0"/>
    <n v="0"/>
    <n v="0"/>
    <n v="0"/>
    <n v="0"/>
    <n v="0"/>
    <n v="0"/>
    <n v="1"/>
    <n v="0"/>
    <n v="0"/>
    <n v="0"/>
    <n v="0"/>
    <n v="0"/>
    <n v="0"/>
    <n v="2.4"/>
    <s v="Yes"/>
    <s v="uncovered"/>
    <x v="1"/>
    <x v="0"/>
    <x v="2"/>
    <x v="0"/>
    <n v="25.615960999999999"/>
    <n v="96.316564"/>
    <s v="MMR001CMP191"/>
    <x v="0"/>
    <m/>
  </r>
  <r>
    <x v="0"/>
    <x v="4"/>
    <x v="0"/>
    <x v="2"/>
    <x v="26"/>
    <n v="103"/>
    <n v="504"/>
    <m/>
    <s v="OFDA"/>
    <d v="2017-07-31T00:00:00"/>
    <n v="0"/>
    <s v="Yes"/>
    <n v="0.56999999999999995"/>
    <n v="0"/>
    <n v="0"/>
    <n v="1"/>
    <n v="4000"/>
    <n v="0"/>
    <n v="1"/>
    <m/>
    <n v="2"/>
    <n v="0"/>
    <n v="1"/>
    <n v="0"/>
    <n v="0"/>
    <m/>
    <n v="30"/>
    <n v="2"/>
    <n v="0"/>
    <s v="two times"/>
    <n v="30"/>
    <x v="0"/>
    <x v="0"/>
    <n v="0"/>
    <n v="0"/>
    <m/>
    <n v="0.5"/>
    <s v="Communal"/>
    <n v="0"/>
    <n v="4"/>
    <n v="0"/>
    <n v="0"/>
    <n v="0"/>
    <x v="0"/>
    <m/>
    <n v="1"/>
    <m/>
    <m/>
    <n v="0"/>
    <n v="0"/>
    <x v="0"/>
    <n v="1"/>
    <n v="1"/>
    <n v="1"/>
    <n v="504"/>
    <n v="0"/>
    <n v="0"/>
    <n v="1"/>
    <n v="504"/>
    <n v="1.008"/>
    <n v="0"/>
    <n v="0"/>
    <n v="0"/>
    <n v="1"/>
    <n v="32"/>
    <n v="1"/>
    <n v="504"/>
    <n v="0"/>
    <n v="0"/>
    <n v="25"/>
    <n v="6.25E-2"/>
    <n v="0"/>
    <n v="0"/>
    <n v="0"/>
    <n v="0"/>
    <n v="0"/>
    <n v="0"/>
    <n v="0"/>
    <n v="1"/>
    <n v="0"/>
    <n v="0"/>
    <n v="0"/>
    <n v="0"/>
    <n v="0"/>
    <n v="0"/>
    <n v="51.5"/>
    <s v="Yes"/>
    <s v="KBC"/>
    <x v="1"/>
    <x v="0"/>
    <x v="0"/>
    <x v="0"/>
    <n v="25.611160000000002"/>
    <n v="96.312790000000007"/>
    <s v="MMR001CMP229"/>
    <x v="0"/>
    <m/>
  </r>
  <r>
    <x v="0"/>
    <x v="2"/>
    <x v="0"/>
    <x v="2"/>
    <x v="27"/>
    <n v="13"/>
    <n v="56"/>
    <m/>
    <m/>
    <m/>
    <m/>
    <m/>
    <m/>
    <m/>
    <m/>
    <m/>
    <m/>
    <m/>
    <m/>
    <m/>
    <m/>
    <m/>
    <m/>
    <m/>
    <m/>
    <m/>
    <m/>
    <m/>
    <m/>
    <m/>
    <m/>
    <x v="2"/>
    <x v="3"/>
    <m/>
    <m/>
    <m/>
    <m/>
    <m/>
    <m/>
    <m/>
    <m/>
    <m/>
    <m/>
    <x v="0"/>
    <m/>
    <m/>
    <m/>
    <m/>
    <s v="no test"/>
    <s v="no test"/>
    <x v="1"/>
    <n v="0"/>
    <n v="0"/>
    <n v="0"/>
    <n v="0"/>
    <n v="0"/>
    <n v="0"/>
    <n v="0"/>
    <n v="0"/>
    <n v="0"/>
    <n v="1"/>
    <n v="56"/>
    <n v="1"/>
    <n v="1"/>
    <n v="0"/>
    <n v="0"/>
    <n v="0"/>
    <n v="1"/>
    <n v="3"/>
    <n v="3"/>
    <n v="0"/>
    <n v="0"/>
    <n v="0"/>
    <n v="0"/>
    <n v="0"/>
    <n v="0"/>
    <n v="0"/>
    <n v="0"/>
    <n v="1"/>
    <n v="0"/>
    <n v="0"/>
    <n v="0"/>
    <n v="0"/>
    <n v="0"/>
    <n v="0"/>
    <n v="0"/>
    <n v="0"/>
    <s v="uncovered"/>
    <x v="1"/>
    <x v="0"/>
    <x v="2"/>
    <x v="0"/>
    <n v="0"/>
    <n v="0"/>
    <s v="MMR001CMP270"/>
    <x v="1"/>
    <m/>
  </r>
  <r>
    <x v="0"/>
    <x v="2"/>
    <x v="0"/>
    <x v="2"/>
    <x v="28"/>
    <n v="39"/>
    <n v="171"/>
    <m/>
    <m/>
    <m/>
    <m/>
    <m/>
    <m/>
    <m/>
    <m/>
    <m/>
    <m/>
    <m/>
    <m/>
    <m/>
    <m/>
    <m/>
    <m/>
    <m/>
    <m/>
    <m/>
    <m/>
    <m/>
    <m/>
    <m/>
    <m/>
    <x v="2"/>
    <x v="3"/>
    <m/>
    <m/>
    <m/>
    <m/>
    <m/>
    <m/>
    <m/>
    <m/>
    <m/>
    <m/>
    <x v="0"/>
    <m/>
    <m/>
    <m/>
    <m/>
    <s v="no test"/>
    <s v="no test"/>
    <x v="1"/>
    <n v="0"/>
    <n v="0"/>
    <n v="0"/>
    <n v="0"/>
    <n v="0"/>
    <n v="0"/>
    <n v="0"/>
    <n v="0"/>
    <n v="0"/>
    <n v="1"/>
    <n v="171"/>
    <n v="1"/>
    <n v="1"/>
    <n v="0"/>
    <n v="0"/>
    <n v="0"/>
    <n v="1"/>
    <n v="9"/>
    <n v="9"/>
    <n v="0"/>
    <n v="0"/>
    <n v="0"/>
    <n v="0"/>
    <n v="0"/>
    <n v="0"/>
    <n v="0"/>
    <n v="0"/>
    <n v="1"/>
    <n v="0"/>
    <n v="0"/>
    <n v="0"/>
    <n v="0"/>
    <n v="0"/>
    <n v="0"/>
    <n v="0"/>
    <n v="0"/>
    <s v="uncovered"/>
    <x v="1"/>
    <x v="0"/>
    <x v="2"/>
    <x v="0"/>
    <n v="0"/>
    <n v="0"/>
    <s v="MMR001CMP268"/>
    <x v="1"/>
    <m/>
  </r>
  <r>
    <x v="0"/>
    <x v="4"/>
    <x v="0"/>
    <x v="2"/>
    <x v="29"/>
    <n v="123"/>
    <n v="656"/>
    <m/>
    <s v="OFDA"/>
    <d v="2017-07-31T00:00:00"/>
    <n v="0"/>
    <s v="Yes"/>
    <n v="0.4"/>
    <n v="0"/>
    <n v="1"/>
    <n v="1"/>
    <n v="1500"/>
    <m/>
    <n v="2"/>
    <m/>
    <n v="2"/>
    <n v="0"/>
    <n v="2"/>
    <n v="0"/>
    <n v="0"/>
    <m/>
    <n v="28"/>
    <n v="10"/>
    <n v="10"/>
    <s v="two times"/>
    <n v="28"/>
    <x v="0"/>
    <x v="0"/>
    <n v="0"/>
    <n v="0"/>
    <m/>
    <n v="0.4"/>
    <s v="Communal"/>
    <n v="0"/>
    <n v="4"/>
    <n v="0"/>
    <n v="0"/>
    <n v="0"/>
    <x v="0"/>
    <m/>
    <n v="2"/>
    <m/>
    <m/>
    <n v="0"/>
    <n v="0"/>
    <x v="0"/>
    <n v="1"/>
    <n v="0.91463414634146345"/>
    <n v="1"/>
    <n v="656"/>
    <n v="0"/>
    <n v="0"/>
    <n v="1"/>
    <n v="656"/>
    <n v="1.3120000000000001"/>
    <n v="0"/>
    <n v="0"/>
    <n v="0"/>
    <n v="1"/>
    <n v="38"/>
    <n v="0.85365853658536583"/>
    <n v="560"/>
    <n v="0"/>
    <n v="0"/>
    <n v="33"/>
    <n v="0.26315789473684209"/>
    <n v="200"/>
    <n v="0"/>
    <n v="0"/>
    <n v="0"/>
    <n v="0"/>
    <n v="0"/>
    <n v="0"/>
    <n v="1"/>
    <n v="0"/>
    <n v="0"/>
    <n v="0"/>
    <n v="0"/>
    <n v="0"/>
    <n v="0"/>
    <n v="49.2"/>
    <s v="Yes"/>
    <s v="KBC"/>
    <x v="1"/>
    <x v="0"/>
    <x v="0"/>
    <x v="0"/>
    <n v="0"/>
    <n v="0"/>
    <s v="MMR001CMP250"/>
    <x v="0"/>
    <m/>
  </r>
  <r>
    <x v="0"/>
    <x v="4"/>
    <x v="0"/>
    <x v="2"/>
    <x v="30"/>
    <n v="19"/>
    <n v="102"/>
    <m/>
    <s v="OFDA"/>
    <d v="2017-07-31T00:00:00"/>
    <n v="0"/>
    <s v="Yes"/>
    <n v="0.67"/>
    <n v="0"/>
    <n v="1"/>
    <n v="0"/>
    <n v="0"/>
    <n v="0"/>
    <n v="1"/>
    <m/>
    <n v="2"/>
    <n v="0"/>
    <n v="1"/>
    <n v="0"/>
    <n v="0"/>
    <m/>
    <n v="8"/>
    <n v="0"/>
    <n v="0"/>
    <s v="one time"/>
    <n v="8"/>
    <x v="0"/>
    <x v="0"/>
    <n v="0"/>
    <n v="0"/>
    <m/>
    <n v="0.5"/>
    <s v="Communal"/>
    <n v="0"/>
    <n v="4"/>
    <n v="0"/>
    <n v="0"/>
    <n v="0"/>
    <x v="0"/>
    <m/>
    <n v="1"/>
    <m/>
    <m/>
    <n v="0"/>
    <n v="0"/>
    <x v="0"/>
    <n v="1"/>
    <n v="1"/>
    <n v="1"/>
    <n v="102"/>
    <n v="0"/>
    <n v="0"/>
    <n v="1"/>
    <n v="102"/>
    <n v="0.20399999999999999"/>
    <n v="0"/>
    <n v="0"/>
    <n v="0.79600000000000004"/>
    <n v="1"/>
    <n v="8"/>
    <n v="1"/>
    <n v="102"/>
    <n v="0"/>
    <n v="0"/>
    <n v="5"/>
    <n v="0"/>
    <n v="0"/>
    <n v="0"/>
    <n v="0"/>
    <n v="0"/>
    <n v="0"/>
    <n v="0"/>
    <n v="0"/>
    <n v="1"/>
    <n v="0"/>
    <n v="0"/>
    <n v="0"/>
    <n v="0"/>
    <n v="0"/>
    <n v="0"/>
    <n v="9.5"/>
    <s v="Yes"/>
    <s v="Shalom"/>
    <x v="1"/>
    <x v="0"/>
    <x v="0"/>
    <x v="0"/>
    <n v="25.566510000000001"/>
    <n v="96.269199999999998"/>
    <s v="MMR001CMP181"/>
    <x v="0"/>
    <m/>
  </r>
  <r>
    <x v="0"/>
    <x v="4"/>
    <x v="0"/>
    <x v="2"/>
    <x v="31"/>
    <n v="12"/>
    <n v="62"/>
    <m/>
    <s v="OFDA"/>
    <d v="2017-07-31T00:00:00"/>
    <n v="0"/>
    <s v="Yes"/>
    <n v="0.56999999999999995"/>
    <n v="1"/>
    <n v="1"/>
    <n v="0"/>
    <n v="0"/>
    <n v="0"/>
    <n v="1"/>
    <m/>
    <n v="1"/>
    <n v="0"/>
    <n v="2"/>
    <n v="0"/>
    <n v="0"/>
    <m/>
    <n v="4"/>
    <n v="0"/>
    <n v="0"/>
    <s v="one time"/>
    <n v="4"/>
    <x v="0"/>
    <x v="2"/>
    <n v="0"/>
    <n v="0"/>
    <m/>
    <n v="0.6"/>
    <s v="Communal"/>
    <n v="0"/>
    <n v="2"/>
    <n v="0"/>
    <n v="0"/>
    <n v="0"/>
    <x v="0"/>
    <m/>
    <n v="1"/>
    <m/>
    <m/>
    <n v="0"/>
    <n v="0"/>
    <x v="0"/>
    <n v="1"/>
    <n v="1"/>
    <n v="1"/>
    <n v="62"/>
    <n v="0"/>
    <n v="0"/>
    <n v="1"/>
    <n v="62"/>
    <n v="0.124"/>
    <n v="0"/>
    <n v="0"/>
    <n v="0.876"/>
    <n v="1"/>
    <n v="4"/>
    <n v="1"/>
    <n v="62"/>
    <n v="0"/>
    <n v="0"/>
    <n v="3"/>
    <n v="0"/>
    <n v="0"/>
    <n v="0"/>
    <n v="0"/>
    <n v="0"/>
    <n v="0"/>
    <n v="0"/>
    <n v="0"/>
    <n v="1"/>
    <n v="0"/>
    <n v="0"/>
    <n v="0"/>
    <n v="0"/>
    <n v="0"/>
    <n v="0"/>
    <n v="7.1999999999999993"/>
    <s v="Yes"/>
    <s v="Shalom"/>
    <x v="1"/>
    <x v="0"/>
    <x v="0"/>
    <x v="0"/>
    <n v="25.61842"/>
    <n v="96.316400000000002"/>
    <s v="MMR001CMP167"/>
    <x v="0"/>
    <m/>
  </r>
  <r>
    <x v="0"/>
    <x v="5"/>
    <x v="0"/>
    <x v="2"/>
    <x v="32"/>
    <n v="63"/>
    <n v="321"/>
    <m/>
    <s v="DFID/UNICEF"/>
    <d v="2018-12-31T00:00:00"/>
    <n v="0"/>
    <s v="Yes"/>
    <n v="0.7"/>
    <n v="0.7"/>
    <n v="2"/>
    <n v="1"/>
    <n v="10000"/>
    <m/>
    <m/>
    <m/>
    <n v="0"/>
    <n v="0"/>
    <n v="0"/>
    <n v="0"/>
    <n v="0"/>
    <m/>
    <n v="9"/>
    <n v="0"/>
    <n v="0"/>
    <s v="one time"/>
    <n v="0"/>
    <x v="0"/>
    <x v="0"/>
    <m/>
    <m/>
    <m/>
    <m/>
    <s v="Communal"/>
    <m/>
    <n v="3"/>
    <n v="2"/>
    <n v="0"/>
    <n v="0"/>
    <x v="0"/>
    <m/>
    <m/>
    <m/>
    <m/>
    <s v="no test"/>
    <s v="no test"/>
    <x v="1"/>
    <n v="1"/>
    <n v="1"/>
    <n v="1"/>
    <n v="321"/>
    <n v="0"/>
    <n v="0"/>
    <n v="1"/>
    <n v="321"/>
    <n v="0.64200000000000002"/>
    <n v="0"/>
    <n v="0"/>
    <n v="0.35799999999999998"/>
    <n v="1"/>
    <n v="9"/>
    <n v="0.56074766355140182"/>
    <n v="179.99999999999997"/>
    <n v="0.43613707165109034"/>
    <n v="7"/>
    <n v="16"/>
    <n v="0"/>
    <n v="0"/>
    <n v="321"/>
    <n v="0"/>
    <n v="1"/>
    <n v="0"/>
    <n v="0"/>
    <n v="0"/>
    <n v="1"/>
    <n v="1"/>
    <n v="0"/>
    <n v="0"/>
    <n v="0"/>
    <n v="0"/>
    <n v="0"/>
    <n v="0"/>
    <n v="0"/>
    <n v="0"/>
    <x v="0"/>
    <x v="0"/>
    <x v="2"/>
    <x v="0"/>
    <n v="0"/>
    <n v="0"/>
    <n v="0"/>
    <x v="0"/>
    <m/>
  </r>
  <r>
    <x v="0"/>
    <x v="4"/>
    <x v="0"/>
    <x v="2"/>
    <x v="33"/>
    <n v="4"/>
    <n v="15"/>
    <m/>
    <s v="OFDA"/>
    <d v="2017-07-31T00:00:00"/>
    <n v="0"/>
    <s v="Yes"/>
    <n v="0.2"/>
    <n v="0"/>
    <n v="1"/>
    <n v="1"/>
    <n v="0"/>
    <n v="0"/>
    <n v="1"/>
    <m/>
    <n v="0"/>
    <n v="0"/>
    <n v="0"/>
    <n v="0"/>
    <n v="0"/>
    <m/>
    <n v="0"/>
    <n v="0"/>
    <n v="0"/>
    <m/>
    <n v="0"/>
    <x v="0"/>
    <x v="2"/>
    <n v="0"/>
    <n v="0"/>
    <m/>
    <n v="0.6"/>
    <s v="Communal"/>
    <n v="0"/>
    <n v="0"/>
    <n v="0"/>
    <n v="0"/>
    <n v="0"/>
    <x v="0"/>
    <m/>
    <m/>
    <m/>
    <m/>
    <s v="no test"/>
    <s v="no test"/>
    <x v="1"/>
    <n v="1"/>
    <n v="1"/>
    <n v="1"/>
    <n v="15"/>
    <n v="0"/>
    <n v="0"/>
    <n v="1"/>
    <n v="15"/>
    <n v="0.03"/>
    <n v="0"/>
    <n v="0"/>
    <n v="0.97"/>
    <n v="1"/>
    <n v="0"/>
    <n v="0"/>
    <n v="0"/>
    <n v="1"/>
    <n v="1"/>
    <n v="1"/>
    <n v="0"/>
    <n v="0"/>
    <n v="0"/>
    <n v="0"/>
    <n v="0"/>
    <n v="0"/>
    <n v="0"/>
    <n v="0"/>
    <n v="1"/>
    <n v="0"/>
    <n v="0"/>
    <n v="0"/>
    <n v="0"/>
    <n v="0"/>
    <n v="0"/>
    <n v="2.4"/>
    <s v="Yes"/>
    <s v="uncovered"/>
    <x v="1"/>
    <x v="0"/>
    <x v="2"/>
    <x v="0"/>
    <n v="25.6145"/>
    <n v="96.319829999999996"/>
    <s v="MMR001CMP091"/>
    <x v="0"/>
    <m/>
  </r>
  <r>
    <x v="0"/>
    <x v="3"/>
    <x v="0"/>
    <x v="2"/>
    <x v="34"/>
    <n v="10"/>
    <n v="18"/>
    <m/>
    <s v="ADRA/CANADA"/>
    <d v="2018-12-31T00:00:00"/>
    <n v="30"/>
    <s v="NA"/>
    <n v="0"/>
    <n v="0.5"/>
    <n v="0"/>
    <n v="0"/>
    <n v="0"/>
    <n v="0"/>
    <n v="0"/>
    <m/>
    <n v="0"/>
    <n v="0"/>
    <n v="0"/>
    <n v="0"/>
    <n v="0"/>
    <m/>
    <n v="2"/>
    <n v="0"/>
    <n v="0"/>
    <m/>
    <n v="0"/>
    <x v="4"/>
    <x v="2"/>
    <m/>
    <m/>
    <m/>
    <n v="0.2"/>
    <s v="Household"/>
    <n v="0"/>
    <n v="0"/>
    <n v="1"/>
    <n v="0"/>
    <n v="0"/>
    <x v="0"/>
    <m/>
    <m/>
    <m/>
    <m/>
    <s v="no test"/>
    <s v="no test"/>
    <x v="1"/>
    <n v="0"/>
    <n v="0"/>
    <n v="0"/>
    <n v="0"/>
    <n v="0"/>
    <n v="0"/>
    <n v="0"/>
    <n v="0"/>
    <n v="0"/>
    <n v="1"/>
    <n v="18"/>
    <n v="1"/>
    <n v="1"/>
    <n v="2"/>
    <n v="1"/>
    <n v="18"/>
    <n v="0"/>
    <n v="0"/>
    <n v="1"/>
    <n v="0"/>
    <n v="0"/>
    <n v="18"/>
    <n v="0"/>
    <n v="1"/>
    <n v="0"/>
    <n v="0"/>
    <n v="0"/>
    <n v="1"/>
    <n v="1"/>
    <n v="0"/>
    <n v="0"/>
    <n v="0"/>
    <n v="0"/>
    <n v="0"/>
    <n v="2"/>
    <s v="Yes"/>
    <s v="KMSS-MYT"/>
    <x v="1"/>
    <x v="0"/>
    <x v="0"/>
    <x v="0"/>
    <n v="25.920006000000001"/>
    <n v="96.662092000000001"/>
    <s v="MMR001CMP247"/>
    <x v="0"/>
    <m/>
  </r>
  <r>
    <x v="0"/>
    <x v="4"/>
    <x v="0"/>
    <x v="2"/>
    <x v="35"/>
    <n v="11"/>
    <n v="45"/>
    <m/>
    <s v="OFDA"/>
    <d v="2017-07-31T00:00:00"/>
    <n v="0"/>
    <s v="Yes"/>
    <n v="0.6"/>
    <n v="0"/>
    <n v="0"/>
    <n v="1"/>
    <n v="1000"/>
    <n v="0"/>
    <n v="1"/>
    <m/>
    <n v="1"/>
    <n v="0"/>
    <n v="2"/>
    <n v="0"/>
    <n v="0"/>
    <m/>
    <n v="5"/>
    <n v="0"/>
    <n v="0"/>
    <s v="two times"/>
    <n v="5"/>
    <x v="0"/>
    <x v="2"/>
    <n v="0"/>
    <n v="0"/>
    <m/>
    <n v="0.6"/>
    <s v="Communal"/>
    <n v="0"/>
    <n v="2"/>
    <n v="0"/>
    <n v="0"/>
    <n v="0"/>
    <x v="0"/>
    <m/>
    <n v="1"/>
    <m/>
    <m/>
    <n v="0"/>
    <n v="0"/>
    <x v="0"/>
    <n v="1"/>
    <n v="1"/>
    <n v="1"/>
    <n v="45"/>
    <n v="0"/>
    <n v="0"/>
    <n v="1"/>
    <n v="45"/>
    <n v="0.09"/>
    <n v="0"/>
    <n v="0"/>
    <n v="0.91"/>
    <n v="1"/>
    <n v="5"/>
    <n v="1"/>
    <n v="45"/>
    <n v="0"/>
    <n v="0"/>
    <n v="2"/>
    <n v="0"/>
    <n v="0"/>
    <n v="0"/>
    <n v="0"/>
    <n v="0"/>
    <n v="0"/>
    <n v="0"/>
    <n v="0"/>
    <n v="1"/>
    <n v="0"/>
    <n v="0"/>
    <n v="0"/>
    <n v="0"/>
    <n v="0"/>
    <n v="0"/>
    <n v="6.6"/>
    <s v="Yes"/>
    <s v="uncovered"/>
    <x v="1"/>
    <x v="0"/>
    <x v="2"/>
    <x v="0"/>
    <n v="25.617998"/>
    <n v="96.339590000000001"/>
    <s v="MMR001CMP192"/>
    <x v="0"/>
    <m/>
  </r>
  <r>
    <x v="0"/>
    <x v="5"/>
    <x v="0"/>
    <x v="2"/>
    <x v="36"/>
    <n v="48"/>
    <n v="221"/>
    <m/>
    <s v="DFID/UNICEF"/>
    <d v="2018-12-31T00:00:00"/>
    <n v="0"/>
    <s v="Yes"/>
    <n v="0.6"/>
    <n v="0.1"/>
    <n v="1"/>
    <n v="1"/>
    <n v="5000"/>
    <n v="0"/>
    <n v="2"/>
    <m/>
    <n v="0"/>
    <n v="0"/>
    <n v="0"/>
    <n v="0"/>
    <n v="0"/>
    <m/>
    <n v="16"/>
    <n v="0"/>
    <n v="0"/>
    <s v="one time"/>
    <n v="0"/>
    <x v="0"/>
    <x v="0"/>
    <n v="0"/>
    <n v="0"/>
    <m/>
    <n v="0"/>
    <s v="Communal"/>
    <n v="0"/>
    <n v="2"/>
    <n v="2"/>
    <n v="0"/>
    <n v="0"/>
    <x v="1"/>
    <m/>
    <m/>
    <m/>
    <m/>
    <s v="no test"/>
    <s v="no test"/>
    <x v="1"/>
    <n v="1"/>
    <n v="1"/>
    <n v="1"/>
    <n v="221"/>
    <n v="0"/>
    <n v="0"/>
    <n v="1"/>
    <n v="221"/>
    <n v="0.442"/>
    <n v="0"/>
    <n v="0"/>
    <n v="0.55800000000000005"/>
    <n v="1"/>
    <n v="16"/>
    <n v="1"/>
    <n v="221"/>
    <n v="0"/>
    <n v="0"/>
    <n v="11"/>
    <n v="0"/>
    <n v="0"/>
    <n v="221"/>
    <n v="0"/>
    <n v="1"/>
    <n v="0"/>
    <n v="0"/>
    <n v="0"/>
    <n v="1"/>
    <n v="1"/>
    <n v="0"/>
    <n v="0"/>
    <n v="0"/>
    <n v="0"/>
    <n v="0"/>
    <n v="0"/>
    <s v="Yes"/>
    <s v="KMSS-MYT"/>
    <x v="1"/>
    <x v="0"/>
    <x v="0"/>
    <x v="0"/>
    <n v="25.613894999999999"/>
    <n v="96.341352999999998"/>
    <s v="MMR001CMP103"/>
    <x v="0"/>
    <m/>
  </r>
  <r>
    <x v="0"/>
    <x v="4"/>
    <x v="0"/>
    <x v="2"/>
    <x v="37"/>
    <n v="10"/>
    <n v="37"/>
    <m/>
    <s v="OFDA"/>
    <d v="2017-07-31T00:00:00"/>
    <n v="0"/>
    <s v="Yes"/>
    <n v="0.5"/>
    <n v="0"/>
    <n v="1"/>
    <n v="1"/>
    <n v="0"/>
    <n v="0"/>
    <n v="2"/>
    <m/>
    <n v="1"/>
    <n v="0"/>
    <n v="2"/>
    <n v="0"/>
    <n v="0"/>
    <m/>
    <n v="2"/>
    <n v="2"/>
    <n v="0"/>
    <s v="two times"/>
    <n v="2"/>
    <x v="0"/>
    <x v="0"/>
    <n v="0"/>
    <n v="0"/>
    <m/>
    <n v="0.5"/>
    <s v="Communal"/>
    <n v="0"/>
    <n v="2"/>
    <n v="0"/>
    <n v="0"/>
    <n v="0"/>
    <x v="0"/>
    <m/>
    <n v="1"/>
    <m/>
    <m/>
    <n v="0"/>
    <n v="0"/>
    <x v="0"/>
    <n v="1"/>
    <n v="1"/>
    <n v="1"/>
    <n v="37"/>
    <n v="0"/>
    <n v="0"/>
    <n v="1"/>
    <n v="37"/>
    <n v="7.3999999999999996E-2"/>
    <n v="0"/>
    <n v="0"/>
    <n v="0.92600000000000005"/>
    <n v="1"/>
    <n v="4"/>
    <n v="1"/>
    <n v="37"/>
    <n v="0"/>
    <n v="0"/>
    <n v="2"/>
    <n v="0.5"/>
    <n v="0"/>
    <n v="0"/>
    <n v="0"/>
    <n v="0"/>
    <n v="0"/>
    <n v="0"/>
    <n v="0"/>
    <n v="1"/>
    <n v="0"/>
    <n v="0"/>
    <n v="0"/>
    <n v="0"/>
    <n v="0"/>
    <n v="0"/>
    <n v="5"/>
    <s v="Yes"/>
    <s v="uncovered"/>
    <x v="1"/>
    <x v="0"/>
    <x v="2"/>
    <x v="0"/>
    <n v="25.56551"/>
    <n v="96.279200000000003"/>
    <s v="MMR001CMP182"/>
    <x v="0"/>
    <m/>
  </r>
  <r>
    <x v="0"/>
    <x v="4"/>
    <x v="0"/>
    <x v="2"/>
    <x v="38"/>
    <n v="8"/>
    <n v="25"/>
    <m/>
    <s v="OFDA"/>
    <d v="2017-07-31T00:00:00"/>
    <n v="0"/>
    <s v="Yes"/>
    <n v="0"/>
    <n v="0"/>
    <n v="1"/>
    <n v="0"/>
    <n v="1000"/>
    <n v="0"/>
    <n v="1"/>
    <m/>
    <n v="0"/>
    <n v="0"/>
    <n v="0"/>
    <n v="0"/>
    <n v="0"/>
    <m/>
    <n v="0"/>
    <n v="0"/>
    <n v="0"/>
    <m/>
    <n v="0"/>
    <x v="0"/>
    <x v="2"/>
    <n v="0"/>
    <n v="0"/>
    <m/>
    <n v="0.6"/>
    <s v="Communal"/>
    <n v="0"/>
    <n v="0"/>
    <n v="0"/>
    <n v="0"/>
    <n v="0"/>
    <x v="0"/>
    <m/>
    <m/>
    <m/>
    <m/>
    <s v="no test"/>
    <s v="no test"/>
    <x v="1"/>
    <n v="1"/>
    <n v="1"/>
    <n v="1"/>
    <n v="25"/>
    <n v="0"/>
    <n v="0"/>
    <n v="1"/>
    <n v="25"/>
    <n v="0.05"/>
    <n v="0"/>
    <n v="0"/>
    <n v="0.95"/>
    <n v="1"/>
    <n v="0"/>
    <n v="0"/>
    <n v="0"/>
    <n v="0.8"/>
    <n v="1"/>
    <n v="1"/>
    <n v="0"/>
    <n v="0"/>
    <n v="0"/>
    <n v="0"/>
    <n v="0"/>
    <n v="0"/>
    <n v="0"/>
    <n v="0"/>
    <n v="1"/>
    <n v="0"/>
    <n v="0"/>
    <n v="0"/>
    <n v="0"/>
    <n v="0"/>
    <n v="0"/>
    <n v="4.8"/>
    <s v="Yes"/>
    <s v="KBC"/>
    <x v="1"/>
    <x v="0"/>
    <x v="3"/>
    <x v="0"/>
    <n v="25.668399999999998"/>
    <n v="96.353030000000004"/>
    <s v="MMR001CMP183"/>
    <x v="0"/>
    <m/>
  </r>
  <r>
    <x v="0"/>
    <x v="3"/>
    <x v="0"/>
    <x v="2"/>
    <x v="39"/>
    <n v="30"/>
    <n v="120"/>
    <m/>
    <s v="ADRA/CANADA"/>
    <d v="2018-12-31T00:00:00"/>
    <n v="0"/>
    <s v="Yes"/>
    <n v="0.4"/>
    <n v="0.5"/>
    <n v="1"/>
    <n v="1"/>
    <n v="0"/>
    <n v="0"/>
    <n v="0"/>
    <m/>
    <n v="0"/>
    <n v="0"/>
    <n v="0"/>
    <n v="0"/>
    <n v="0"/>
    <m/>
    <n v="8"/>
    <n v="0"/>
    <n v="0"/>
    <m/>
    <n v="0"/>
    <x v="4"/>
    <x v="2"/>
    <m/>
    <m/>
    <m/>
    <n v="0.2"/>
    <s v="Communal"/>
    <n v="0"/>
    <n v="2"/>
    <n v="1"/>
    <n v="0"/>
    <n v="0"/>
    <x v="0"/>
    <m/>
    <m/>
    <m/>
    <m/>
    <s v="no test"/>
    <s v="no test"/>
    <x v="1"/>
    <n v="1"/>
    <n v="1"/>
    <n v="1"/>
    <n v="120"/>
    <n v="0"/>
    <n v="0"/>
    <n v="1"/>
    <n v="120"/>
    <n v="0.24"/>
    <n v="0"/>
    <n v="0"/>
    <n v="0.76"/>
    <n v="1"/>
    <n v="8"/>
    <n v="1"/>
    <n v="120"/>
    <n v="0"/>
    <n v="0"/>
    <n v="6"/>
    <n v="0"/>
    <n v="0"/>
    <n v="120"/>
    <n v="0"/>
    <n v="1"/>
    <n v="0"/>
    <n v="0"/>
    <n v="0"/>
    <n v="1"/>
    <n v="1"/>
    <n v="0"/>
    <n v="0"/>
    <n v="0"/>
    <n v="0"/>
    <n v="0"/>
    <n v="6"/>
    <s v="Yes"/>
    <s v="KBC"/>
    <x v="1"/>
    <x v="0"/>
    <x v="0"/>
    <x v="0"/>
    <n v="25.920006000000001"/>
    <n v="96.662092000000001"/>
    <s v="MMR001CMP244"/>
    <x v="0"/>
    <m/>
  </r>
  <r>
    <x v="0"/>
    <x v="3"/>
    <x v="0"/>
    <x v="2"/>
    <x v="40"/>
    <n v="6"/>
    <n v="15"/>
    <m/>
    <s v="ADRA/CANADA"/>
    <d v="2018-12-31T00:00:00"/>
    <n v="0"/>
    <s v="Yes"/>
    <n v="0.4"/>
    <n v="0.5"/>
    <n v="0"/>
    <n v="1"/>
    <n v="0"/>
    <n v="0"/>
    <n v="0"/>
    <m/>
    <n v="0"/>
    <n v="0"/>
    <n v="0"/>
    <n v="0"/>
    <n v="0"/>
    <m/>
    <n v="2"/>
    <n v="0"/>
    <n v="0"/>
    <m/>
    <n v="0"/>
    <x v="4"/>
    <x v="0"/>
    <m/>
    <m/>
    <m/>
    <n v="0.2"/>
    <s v="Communal"/>
    <n v="0"/>
    <n v="1"/>
    <n v="1"/>
    <n v="0"/>
    <n v="0"/>
    <x v="0"/>
    <m/>
    <m/>
    <m/>
    <m/>
    <s v="no test"/>
    <s v="no test"/>
    <x v="1"/>
    <n v="1"/>
    <n v="1"/>
    <n v="1"/>
    <n v="15"/>
    <n v="0"/>
    <n v="0"/>
    <n v="1"/>
    <n v="15"/>
    <n v="0.03"/>
    <n v="0"/>
    <n v="0"/>
    <n v="0.97"/>
    <n v="1"/>
    <n v="2"/>
    <n v="1"/>
    <n v="15"/>
    <n v="0"/>
    <n v="0"/>
    <n v="1"/>
    <n v="0"/>
    <n v="0"/>
    <n v="15"/>
    <n v="0"/>
    <n v="1"/>
    <n v="0"/>
    <n v="0"/>
    <n v="0"/>
    <n v="1"/>
    <n v="1"/>
    <n v="0"/>
    <n v="0"/>
    <n v="0"/>
    <n v="0"/>
    <n v="0"/>
    <n v="1.2000000000000002"/>
    <s v="Yes"/>
    <s v="uncovered"/>
    <x v="1"/>
    <x v="0"/>
    <x v="2"/>
    <x v="0"/>
    <n v="25.920006000000001"/>
    <n v="96.662092000000001"/>
    <s v="MMR001CMP246"/>
    <x v="0"/>
    <m/>
  </r>
  <r>
    <x v="0"/>
    <x v="5"/>
    <x v="0"/>
    <x v="2"/>
    <x v="41"/>
    <n v="20"/>
    <n v="84"/>
    <m/>
    <s v="UNICEF"/>
    <d v="2018-12-31T00:00:00"/>
    <n v="0"/>
    <s v="Yes"/>
    <n v="0.5"/>
    <n v="0.5"/>
    <n v="0"/>
    <n v="1"/>
    <n v="2000"/>
    <n v="0"/>
    <n v="0"/>
    <m/>
    <n v="0"/>
    <n v="0"/>
    <n v="0"/>
    <n v="0"/>
    <n v="0"/>
    <m/>
    <n v="4"/>
    <n v="0"/>
    <n v="0"/>
    <m/>
    <n v="0"/>
    <x v="0"/>
    <x v="0"/>
    <m/>
    <m/>
    <m/>
    <n v="0.2"/>
    <s v="Communal"/>
    <n v="0"/>
    <n v="1"/>
    <n v="1"/>
    <n v="0"/>
    <n v="0"/>
    <x v="0"/>
    <m/>
    <m/>
    <m/>
    <m/>
    <s v="no test"/>
    <s v="no test"/>
    <x v="1"/>
    <n v="1"/>
    <n v="1"/>
    <n v="1"/>
    <n v="84"/>
    <n v="0"/>
    <n v="0"/>
    <n v="1"/>
    <n v="84"/>
    <n v="0.16800000000000001"/>
    <n v="0"/>
    <n v="0"/>
    <n v="0.83199999999999996"/>
    <n v="1"/>
    <n v="4"/>
    <n v="0.95238095238095233"/>
    <n v="80"/>
    <n v="0"/>
    <n v="0"/>
    <n v="4"/>
    <n v="0"/>
    <n v="0"/>
    <n v="84"/>
    <n v="0"/>
    <n v="1"/>
    <n v="0"/>
    <n v="0"/>
    <n v="0"/>
    <n v="1"/>
    <n v="1"/>
    <n v="0"/>
    <n v="0"/>
    <n v="0"/>
    <n v="0"/>
    <n v="0"/>
    <n v="4"/>
    <n v="0"/>
    <n v="0"/>
    <x v="0"/>
    <x v="0"/>
    <x v="0"/>
    <x v="0"/>
    <n v="0"/>
    <n v="0"/>
    <n v="0"/>
    <x v="0"/>
    <m/>
  </r>
  <r>
    <x v="0"/>
    <x v="4"/>
    <x v="0"/>
    <x v="2"/>
    <x v="42"/>
    <n v="32"/>
    <n v="173"/>
    <m/>
    <s v="OFDA"/>
    <d v="2017-07-31T00:00:00"/>
    <n v="0"/>
    <s v="Yes"/>
    <n v="0.25"/>
    <n v="0"/>
    <n v="0"/>
    <n v="0"/>
    <n v="500"/>
    <n v="0"/>
    <n v="1"/>
    <m/>
    <n v="1"/>
    <n v="0"/>
    <n v="1"/>
    <n v="1"/>
    <n v="0"/>
    <m/>
    <n v="10"/>
    <n v="4"/>
    <n v="0"/>
    <s v="one time"/>
    <n v="10"/>
    <x v="0"/>
    <x v="0"/>
    <n v="0"/>
    <n v="0"/>
    <m/>
    <n v="0.4"/>
    <s v="Communal"/>
    <n v="0"/>
    <n v="3"/>
    <n v="0"/>
    <n v="0"/>
    <n v="0"/>
    <x v="0"/>
    <m/>
    <n v="1"/>
    <m/>
    <m/>
    <n v="0"/>
    <n v="1"/>
    <x v="0"/>
    <n v="0.19267822736030829"/>
    <n v="0.19267822736030829"/>
    <n v="0.19267822736030829"/>
    <n v="33.333333333333336"/>
    <n v="0"/>
    <n v="0"/>
    <n v="0.19267822736030829"/>
    <n v="33.333333333333336"/>
    <n v="6.6666666666666666E-2"/>
    <n v="0.80732177263969174"/>
    <n v="139.66666666666666"/>
    <n v="0.93333333333333335"/>
    <n v="1"/>
    <n v="14"/>
    <n v="1"/>
    <n v="173"/>
    <n v="0"/>
    <n v="0"/>
    <n v="9"/>
    <n v="0.2857142857142857"/>
    <n v="0"/>
    <n v="0"/>
    <n v="0"/>
    <n v="0"/>
    <n v="0"/>
    <n v="0"/>
    <n v="0"/>
    <n v="1"/>
    <n v="0"/>
    <n v="0"/>
    <n v="0"/>
    <n v="0"/>
    <n v="0"/>
    <n v="0"/>
    <n v="12.8"/>
    <s v="Yes"/>
    <s v="KBC"/>
    <x v="1"/>
    <x v="0"/>
    <x v="0"/>
    <x v="0"/>
    <n v="25.577559999999998"/>
    <n v="96.286680000000004"/>
    <s v="MMR001CMP184"/>
    <x v="0"/>
    <m/>
  </r>
  <r>
    <x v="0"/>
    <x v="4"/>
    <x v="0"/>
    <x v="2"/>
    <x v="43"/>
    <n v="16"/>
    <n v="67"/>
    <m/>
    <s v="OFDA"/>
    <d v="2017-07-31T00:00:00"/>
    <n v="0"/>
    <s v="Yes"/>
    <n v="0.5"/>
    <n v="1"/>
    <n v="1"/>
    <n v="0"/>
    <n v="0"/>
    <n v="0"/>
    <n v="1"/>
    <m/>
    <n v="1"/>
    <n v="0"/>
    <n v="2"/>
    <n v="0"/>
    <n v="0"/>
    <m/>
    <n v="2"/>
    <n v="0"/>
    <n v="2"/>
    <s v="one time"/>
    <n v="2"/>
    <x v="0"/>
    <x v="2"/>
    <n v="0"/>
    <n v="0"/>
    <m/>
    <n v="0.6"/>
    <s v="Communal"/>
    <n v="0"/>
    <n v="2"/>
    <n v="0"/>
    <n v="0"/>
    <n v="0"/>
    <x v="0"/>
    <m/>
    <n v="1"/>
    <m/>
    <m/>
    <n v="0"/>
    <n v="0"/>
    <x v="0"/>
    <n v="1"/>
    <n v="1"/>
    <n v="1"/>
    <n v="67"/>
    <n v="0"/>
    <n v="0"/>
    <n v="1"/>
    <n v="67"/>
    <n v="0.13400000000000001"/>
    <n v="0"/>
    <n v="0"/>
    <n v="0.86599999999999999"/>
    <n v="1"/>
    <n v="2"/>
    <n v="0.59701492537313428"/>
    <n v="40"/>
    <n v="0.29850746268656714"/>
    <n v="1"/>
    <n v="3"/>
    <n v="0"/>
    <n v="40"/>
    <n v="0"/>
    <n v="0"/>
    <n v="0"/>
    <n v="0"/>
    <n v="0"/>
    <n v="0"/>
    <n v="1"/>
    <n v="0"/>
    <n v="0"/>
    <n v="0"/>
    <n v="0"/>
    <n v="0"/>
    <n v="0"/>
    <n v="9.6"/>
    <s v="Yes"/>
    <s v="KBC"/>
    <x v="1"/>
    <x v="0"/>
    <x v="0"/>
    <x v="0"/>
    <n v="25.599250000000001"/>
    <n v="96.306910999999999"/>
    <s v="MMR001CMP105"/>
    <x v="0"/>
    <m/>
  </r>
  <r>
    <x v="0"/>
    <x v="6"/>
    <x v="0"/>
    <x v="3"/>
    <x v="44"/>
    <n v="358"/>
    <n v="1661"/>
    <n v="659"/>
    <s v="SCI/FFO"/>
    <d v="2019-11-30T00:00:00"/>
    <n v="0"/>
    <s v="Yes"/>
    <n v="0.6"/>
    <n v="0.1"/>
    <n v="4"/>
    <n v="0"/>
    <n v="23166"/>
    <n v="5"/>
    <n v="5"/>
    <n v="5"/>
    <n v="0"/>
    <n v="0"/>
    <n v="47"/>
    <n v="10"/>
    <n v="0"/>
    <s v="water soure, tanks, brach boxes &amp; pipes need to improve"/>
    <n v="130"/>
    <n v="56"/>
    <n v="0"/>
    <m/>
    <n v="0"/>
    <x v="4"/>
    <x v="2"/>
    <n v="0"/>
    <n v="0"/>
    <s v="Latrine &amp; Pits need to be re constructed, no child LT in ECCD "/>
    <n v="0.8"/>
    <s v="Communal"/>
    <n v="0"/>
    <n v="14"/>
    <n v="1"/>
    <n v="352"/>
    <n v="0"/>
    <x v="1"/>
    <n v="7"/>
    <n v="30"/>
    <m/>
    <s v="No hygiene kits distribution &amp; no sanitary pad distribution since 2016 February, "/>
    <s v="no test"/>
    <n v="0.21276595744680851"/>
    <x v="0"/>
    <n v="1"/>
    <n v="1"/>
    <n v="1"/>
    <n v="1661"/>
    <n v="0.75255869957856714"/>
    <n v="1250"/>
    <n v="1"/>
    <n v="1661"/>
    <n v="3.3220000000000001"/>
    <n v="0"/>
    <n v="0"/>
    <n v="0"/>
    <n v="3"/>
    <n v="186"/>
    <n v="1"/>
    <n v="1661"/>
    <n v="0"/>
    <n v="0"/>
    <n v="83"/>
    <n v="0.30107526881720431"/>
    <n v="0"/>
    <n v="500"/>
    <n v="0"/>
    <n v="0"/>
    <n v="0"/>
    <n v="0"/>
    <n v="0"/>
    <n v="1"/>
    <n v="0.30102347983142685"/>
    <n v="0.98324022346368711"/>
    <n v="0"/>
    <n v="1760"/>
    <n v="0"/>
    <n v="1760"/>
    <n v="286.40000000000003"/>
    <s v="Yes"/>
    <s v="KMSS-BMO"/>
    <x v="1"/>
    <x v="0"/>
    <x v="0"/>
    <x v="1"/>
    <n v="24.002433"/>
    <n v="97.609832999999995"/>
    <s v="MMR001CMP129"/>
    <x v="0"/>
    <m/>
  </r>
  <r>
    <x v="0"/>
    <x v="6"/>
    <x v="0"/>
    <x v="3"/>
    <x v="45"/>
    <n v="491"/>
    <n v="2581"/>
    <n v="750"/>
    <s v="SCI/FFO"/>
    <d v="2019-11-30T00:00:00"/>
    <n v="0"/>
    <s v="Yes"/>
    <n v="0.5"/>
    <n v="0.1"/>
    <n v="3"/>
    <n v="0"/>
    <n v="7588"/>
    <n v="1"/>
    <n v="1"/>
    <n v="2"/>
    <n v="0"/>
    <n v="0"/>
    <n v="32"/>
    <n v="5"/>
    <n v="5"/>
    <m/>
    <n v="104"/>
    <n v="32"/>
    <n v="2"/>
    <m/>
    <n v="0"/>
    <x v="4"/>
    <x v="2"/>
    <n v="0"/>
    <n v="0"/>
    <m/>
    <n v="0.3"/>
    <s v="Communal"/>
    <n v="0"/>
    <n v="6"/>
    <m/>
    <n v="476"/>
    <n v="0"/>
    <x v="1"/>
    <n v="13"/>
    <n v="40"/>
    <m/>
    <m/>
    <s v="no test"/>
    <n v="0.15625"/>
    <x v="0"/>
    <n v="1"/>
    <n v="0.48658142838693019"/>
    <n v="1"/>
    <n v="2581"/>
    <n v="9.6861681518791168E-2"/>
    <n v="250"/>
    <n v="1"/>
    <n v="2581"/>
    <n v="5.1619999999999999"/>
    <n v="0"/>
    <n v="0"/>
    <n v="0"/>
    <n v="5"/>
    <n v="136"/>
    <n v="0.80588919023634253"/>
    <n v="2080"/>
    <n v="0"/>
    <n v="0"/>
    <n v="129"/>
    <n v="0.23529411764705882"/>
    <n v="40"/>
    <n v="0"/>
    <n v="0"/>
    <n v="0"/>
    <n v="0"/>
    <n v="0"/>
    <n v="0"/>
    <n v="1"/>
    <n v="0"/>
    <n v="0.96945010183299385"/>
    <n v="0"/>
    <n v="2380"/>
    <n v="0"/>
    <n v="2380"/>
    <n v="147.29999999999998"/>
    <s v="Yes"/>
    <s v="KMSS-BMO"/>
    <x v="1"/>
    <x v="0"/>
    <x v="0"/>
    <x v="1"/>
    <n v="24.056132999999999"/>
    <n v="97.625617000000005"/>
    <s v="MMR001CMP128"/>
    <x v="0"/>
    <m/>
  </r>
  <r>
    <x v="0"/>
    <x v="3"/>
    <x v="0"/>
    <x v="3"/>
    <x v="46"/>
    <n v="432"/>
    <n v="1855"/>
    <m/>
    <s v="Plan/GFFO,ADRA/CANADA  "/>
    <s v="30/04/2019,31/12/2018"/>
    <n v="0"/>
    <s v="Yes"/>
    <n v="0.8"/>
    <n v="0.5"/>
    <n v="0"/>
    <n v="4"/>
    <n v="0"/>
    <n v="0"/>
    <n v="0"/>
    <m/>
    <n v="0"/>
    <n v="0"/>
    <n v="0"/>
    <n v="0"/>
    <n v="0"/>
    <m/>
    <n v="110"/>
    <n v="0"/>
    <n v="30"/>
    <m/>
    <n v="0"/>
    <x v="0"/>
    <x v="2"/>
    <m/>
    <m/>
    <m/>
    <n v="0.6"/>
    <s v="Communal"/>
    <n v="0"/>
    <n v="10"/>
    <n v="3"/>
    <n v="0"/>
    <n v="0"/>
    <x v="0"/>
    <m/>
    <m/>
    <m/>
    <m/>
    <s v="no test"/>
    <s v="no test"/>
    <x v="1"/>
    <n v="1"/>
    <n v="0.53908355795148244"/>
    <n v="1"/>
    <n v="1855"/>
    <n v="0"/>
    <n v="0"/>
    <n v="1"/>
    <n v="1855"/>
    <n v="3.71"/>
    <n v="0"/>
    <n v="0"/>
    <n v="0.29000000000000004"/>
    <n v="4"/>
    <n v="110"/>
    <n v="1"/>
    <n v="1855"/>
    <n v="0"/>
    <n v="0"/>
    <n v="93"/>
    <n v="0"/>
    <n v="600"/>
    <n v="1500"/>
    <n v="0"/>
    <n v="0"/>
    <n v="0"/>
    <n v="0"/>
    <n v="0"/>
    <n v="1"/>
    <n v="0.80862533692722371"/>
    <n v="0"/>
    <n v="0"/>
    <n v="0"/>
    <n v="0"/>
    <n v="0"/>
    <n v="259.2"/>
    <s v="Yes"/>
    <s v="KBC"/>
    <x v="1"/>
    <x v="0"/>
    <x v="0"/>
    <x v="0"/>
    <n v="23.972453000000002"/>
    <n v="97.225881000000001"/>
    <s v="MMR001CMP218"/>
    <x v="0"/>
    <m/>
  </r>
  <r>
    <x v="0"/>
    <x v="5"/>
    <x v="0"/>
    <x v="3"/>
    <x v="47"/>
    <n v="172"/>
    <n v="803"/>
    <m/>
    <s v="DFID/HARP"/>
    <d v="2020-12-31T00:00:00"/>
    <n v="0"/>
    <s v="No"/>
    <n v="0"/>
    <n v="0"/>
    <n v="3"/>
    <n v="2"/>
    <n v="0"/>
    <n v="0"/>
    <s v="-"/>
    <m/>
    <n v="0"/>
    <n v="0"/>
    <n v="0"/>
    <n v="0"/>
    <n v="0"/>
    <s v="Already tested the water quality test in Mai Khaung camp and the water quality report has not been develop yet."/>
    <n v="54"/>
    <n v="0"/>
    <n v="0"/>
    <m/>
    <n v="0"/>
    <x v="0"/>
    <x v="0"/>
    <m/>
    <m/>
    <m/>
    <n v="0.75"/>
    <s v="Both"/>
    <n v="0"/>
    <n v="7"/>
    <n v="2"/>
    <m/>
    <m/>
    <x v="0"/>
    <m/>
    <m/>
    <m/>
    <s v="Quarterly Hygiene kits distribution is doing by Metta."/>
    <s v="no test"/>
    <s v="no test"/>
    <x v="1"/>
    <n v="1"/>
    <n v="1"/>
    <n v="1"/>
    <n v="803"/>
    <n v="0"/>
    <n v="0"/>
    <n v="1"/>
    <n v="803"/>
    <n v="2"/>
    <n v="0"/>
    <n v="0"/>
    <n v="0"/>
    <n v="2"/>
    <n v="54"/>
    <n v="1"/>
    <n v="803"/>
    <n v="0"/>
    <n v="0"/>
    <n v="40"/>
    <n v="0"/>
    <n v="0"/>
    <n v="803"/>
    <n v="0"/>
    <n v="1"/>
    <n v="0"/>
    <n v="0"/>
    <n v="0"/>
    <n v="1"/>
    <n v="1"/>
    <n v="0"/>
    <n v="0"/>
    <n v="0"/>
    <n v="0"/>
    <n v="0"/>
    <n v="129"/>
    <s v="Yes"/>
    <s v="KMSS-BMO"/>
    <x v="1"/>
    <x v="0"/>
    <x v="0"/>
    <x v="0"/>
    <n v="23.976571"/>
    <n v="97.227057000000002"/>
    <s v="MMR001CMP223"/>
    <x v="0"/>
    <s v="to confirm not found in Q1-2018"/>
  </r>
  <r>
    <x v="0"/>
    <x v="7"/>
    <x v="0"/>
    <x v="3"/>
    <x v="48"/>
    <n v="127"/>
    <n v="647"/>
    <n v="245"/>
    <s v="MHF"/>
    <d v="2018-11-17T00:00:00"/>
    <m/>
    <s v="Yes"/>
    <n v="0.2"/>
    <n v="0.2"/>
    <n v="0"/>
    <n v="1"/>
    <n v="9000"/>
    <m/>
    <n v="1"/>
    <m/>
    <n v="0"/>
    <n v="0"/>
    <n v="0"/>
    <n v="0"/>
    <n v="0"/>
    <m/>
    <n v="18"/>
    <m/>
    <n v="18"/>
    <s v="Quarterly"/>
    <n v="18"/>
    <x v="0"/>
    <x v="0"/>
    <n v="0"/>
    <n v="0"/>
    <m/>
    <n v="1"/>
    <s v="Communal"/>
    <n v="0"/>
    <n v="5"/>
    <n v="1"/>
    <n v="127"/>
    <n v="0"/>
    <x v="0"/>
    <m/>
    <m/>
    <m/>
    <m/>
    <s v="no test"/>
    <s v="no test"/>
    <x v="1"/>
    <n v="1"/>
    <n v="1"/>
    <n v="1"/>
    <n v="647"/>
    <n v="0"/>
    <n v="0"/>
    <n v="1"/>
    <n v="647"/>
    <n v="1.294"/>
    <n v="0"/>
    <n v="0"/>
    <n v="0"/>
    <n v="1"/>
    <n v="18"/>
    <n v="0.55641421947449765"/>
    <n v="360"/>
    <n v="0.43276661514683151"/>
    <n v="14"/>
    <n v="32"/>
    <n v="0"/>
    <n v="360"/>
    <n v="500"/>
    <n v="0"/>
    <n v="0"/>
    <n v="1"/>
    <n v="0"/>
    <n v="0"/>
    <n v="1"/>
    <n v="0.77279752704791349"/>
    <n v="1"/>
    <n v="0"/>
    <n v="635"/>
    <n v="0"/>
    <n v="635"/>
    <n v="127"/>
    <s v="Yes"/>
    <s v="KBC"/>
    <x v="1"/>
    <x v="0"/>
    <x v="0"/>
    <x v="0"/>
    <n v="23.83013"/>
    <n v="97.589979999999997"/>
    <s v="MMR001CMP133"/>
    <x v="0"/>
    <m/>
  </r>
  <r>
    <x v="0"/>
    <x v="7"/>
    <x v="0"/>
    <x v="3"/>
    <x v="49"/>
    <n v="117"/>
    <n v="524"/>
    <n v="190"/>
    <s v="MHF"/>
    <d v="2018-11-17T00:00:00"/>
    <m/>
    <s v="Yes"/>
    <n v="0.56999999999999995"/>
    <n v="0.43"/>
    <m/>
    <n v="3"/>
    <n v="153600"/>
    <m/>
    <n v="3"/>
    <m/>
    <m/>
    <m/>
    <m/>
    <m/>
    <m/>
    <m/>
    <n v="29"/>
    <n v="5"/>
    <n v="15"/>
    <s v="Quarterly"/>
    <n v="29"/>
    <x v="0"/>
    <x v="2"/>
    <m/>
    <m/>
    <m/>
    <n v="1"/>
    <s v="Communal"/>
    <m/>
    <n v="4"/>
    <n v="1"/>
    <n v="117"/>
    <m/>
    <x v="0"/>
    <m/>
    <m/>
    <m/>
    <m/>
    <s v="no test"/>
    <s v="no test"/>
    <x v="1"/>
    <n v="1"/>
    <n v="1"/>
    <n v="1"/>
    <n v="524"/>
    <n v="0"/>
    <n v="0"/>
    <n v="1"/>
    <n v="524"/>
    <n v="1.048"/>
    <n v="0"/>
    <n v="0"/>
    <n v="0"/>
    <n v="1"/>
    <n v="34"/>
    <n v="1"/>
    <n v="524"/>
    <n v="0"/>
    <n v="0"/>
    <n v="26"/>
    <n v="0.14705882352941177"/>
    <n v="300"/>
    <n v="500"/>
    <n v="0"/>
    <n v="1"/>
    <n v="1"/>
    <n v="524"/>
    <n v="1"/>
    <n v="0"/>
    <n v="0.95419847328244278"/>
    <n v="1"/>
    <n v="0"/>
    <n v="585"/>
    <n v="0"/>
    <n v="585"/>
    <n v="117"/>
    <s v="Yes"/>
    <s v="KBC"/>
    <x v="1"/>
    <x v="0"/>
    <x v="0"/>
    <x v="0"/>
    <n v="23.829599000000002"/>
    <n v="97.590767"/>
    <s v="MMR001CMP230"/>
    <x v="0"/>
    <m/>
  </r>
  <r>
    <x v="0"/>
    <x v="7"/>
    <x v="0"/>
    <x v="3"/>
    <x v="50"/>
    <n v="443"/>
    <n v="2338"/>
    <m/>
    <s v="MHF"/>
    <d v="2018-11-17T00:00:00"/>
    <m/>
    <s v="Yes"/>
    <n v="0.14000000000000001"/>
    <n v="0.14000000000000001"/>
    <n v="1"/>
    <n v="3"/>
    <n v="65500"/>
    <m/>
    <n v="5"/>
    <m/>
    <n v="0"/>
    <n v="0"/>
    <n v="0"/>
    <n v="0"/>
    <n v="0"/>
    <m/>
    <n v="184"/>
    <m/>
    <n v="30"/>
    <s v="Monthly"/>
    <n v="184"/>
    <x v="0"/>
    <x v="0"/>
    <n v="0"/>
    <n v="0"/>
    <m/>
    <n v="1"/>
    <s v="Communal"/>
    <n v="0"/>
    <n v="18"/>
    <n v="2"/>
    <n v="443"/>
    <n v="0"/>
    <x v="0"/>
    <m/>
    <m/>
    <m/>
    <m/>
    <s v="no test"/>
    <s v="no test"/>
    <x v="1"/>
    <n v="1"/>
    <n v="1"/>
    <n v="1"/>
    <n v="2338"/>
    <n v="0"/>
    <n v="0"/>
    <n v="1"/>
    <n v="2338"/>
    <n v="4.6760000000000002"/>
    <n v="0"/>
    <n v="0"/>
    <n v="0.32399999999999984"/>
    <n v="5"/>
    <n v="184"/>
    <n v="1"/>
    <n v="2338"/>
    <n v="0"/>
    <n v="0"/>
    <n v="117"/>
    <n v="0"/>
    <n v="600"/>
    <n v="1000"/>
    <n v="0"/>
    <n v="0"/>
    <n v="1"/>
    <n v="0"/>
    <n v="0"/>
    <n v="1"/>
    <n v="0.42771599657827203"/>
    <n v="1"/>
    <n v="0"/>
    <n v="2215"/>
    <n v="0"/>
    <n v="2215"/>
    <n v="443"/>
    <s v="Yes"/>
    <s v="KMSS-BMO"/>
    <x v="1"/>
    <x v="0"/>
    <x v="0"/>
    <x v="0"/>
    <n v="23.835319999999999"/>
    <n v="97.578490000000002"/>
    <s v="MMR001CMP132"/>
    <x v="0"/>
    <m/>
  </r>
  <r>
    <x v="0"/>
    <x v="7"/>
    <x v="0"/>
    <x v="3"/>
    <x v="51"/>
    <n v="119"/>
    <n v="637"/>
    <n v="177"/>
    <s v="MHF"/>
    <d v="2018-11-17T00:00:00"/>
    <m/>
    <s v="Yes"/>
    <n v="0.28999999999999998"/>
    <n v="0.28999999999999998"/>
    <n v="1"/>
    <n v="2"/>
    <n v="14286"/>
    <m/>
    <n v="3"/>
    <m/>
    <m/>
    <m/>
    <m/>
    <m/>
    <m/>
    <m/>
    <n v="44"/>
    <m/>
    <m/>
    <s v="Quarterly"/>
    <n v="44"/>
    <x v="0"/>
    <x v="2"/>
    <m/>
    <m/>
    <m/>
    <n v="1"/>
    <s v="Communal"/>
    <m/>
    <n v="6"/>
    <n v="1"/>
    <n v="119"/>
    <m/>
    <x v="0"/>
    <m/>
    <m/>
    <m/>
    <m/>
    <s v="no test"/>
    <s v="no test"/>
    <x v="1"/>
    <n v="1"/>
    <n v="1"/>
    <n v="1"/>
    <n v="637"/>
    <n v="0"/>
    <n v="0"/>
    <n v="1"/>
    <n v="637"/>
    <n v="1.274"/>
    <n v="0"/>
    <n v="0"/>
    <n v="0"/>
    <n v="1"/>
    <n v="44"/>
    <n v="1"/>
    <n v="637"/>
    <n v="0"/>
    <n v="0"/>
    <n v="32"/>
    <n v="0"/>
    <n v="0"/>
    <n v="500"/>
    <n v="0"/>
    <n v="0"/>
    <n v="1"/>
    <n v="0"/>
    <n v="0"/>
    <n v="1"/>
    <n v="0.78492935635792782"/>
    <n v="1"/>
    <n v="0"/>
    <n v="595"/>
    <n v="0"/>
    <n v="595"/>
    <n v="119"/>
    <s v="Yes"/>
    <s v="KMSS-BMO"/>
    <x v="1"/>
    <x v="0"/>
    <x v="0"/>
    <x v="0"/>
    <n v="23.833477999999999"/>
    <n v="97.578367"/>
    <s v="MMR001CMP228"/>
    <x v="0"/>
    <m/>
  </r>
  <r>
    <x v="0"/>
    <x v="2"/>
    <x v="0"/>
    <x v="3"/>
    <x v="52"/>
    <n v="175"/>
    <n v="834"/>
    <m/>
    <m/>
    <m/>
    <m/>
    <s v="No"/>
    <n v="0"/>
    <n v="0"/>
    <m/>
    <m/>
    <m/>
    <m/>
    <m/>
    <m/>
    <m/>
    <m/>
    <m/>
    <m/>
    <m/>
    <m/>
    <n v="0"/>
    <m/>
    <m/>
    <m/>
    <m/>
    <x v="1"/>
    <x v="1"/>
    <m/>
    <m/>
    <m/>
    <m/>
    <m/>
    <m/>
    <m/>
    <m/>
    <m/>
    <m/>
    <x v="0"/>
    <m/>
    <m/>
    <m/>
    <m/>
    <s v="no test"/>
    <s v="no test"/>
    <x v="1"/>
    <n v="0"/>
    <n v="0"/>
    <n v="0"/>
    <n v="0"/>
    <n v="0"/>
    <n v="0"/>
    <n v="0"/>
    <n v="0"/>
    <n v="0"/>
    <n v="1"/>
    <n v="834"/>
    <n v="2"/>
    <n v="2"/>
    <n v="0"/>
    <n v="0"/>
    <n v="0"/>
    <n v="1"/>
    <n v="42"/>
    <n v="42"/>
    <n v="0"/>
    <n v="0"/>
    <n v="0"/>
    <n v="0"/>
    <n v="0"/>
    <n v="0"/>
    <n v="0"/>
    <n v="0"/>
    <n v="1"/>
    <n v="0"/>
    <n v="0"/>
    <n v="0"/>
    <n v="0"/>
    <n v="0"/>
    <n v="0"/>
    <n v="0"/>
    <n v="0"/>
    <s v="uncovered"/>
    <x v="1"/>
    <x v="0"/>
    <x v="1"/>
    <x v="0"/>
    <n v="23.827870999999998"/>
    <n v="97.588291999999996"/>
    <s v="MMR001CMP134"/>
    <x v="1"/>
    <m/>
  </r>
  <r>
    <x v="0"/>
    <x v="1"/>
    <x v="0"/>
    <x v="3"/>
    <x v="53"/>
    <n v="185"/>
    <n v="823"/>
    <m/>
    <s v="USAID,Christian Aid, "/>
    <s v="9/1/2018,1-dec-2018"/>
    <n v="0"/>
    <s v="Yes"/>
    <n v="0.8"/>
    <n v="0.8"/>
    <n v="3"/>
    <n v="6"/>
    <n v="0"/>
    <n v="0"/>
    <n v="0"/>
    <m/>
    <m/>
    <m/>
    <m/>
    <m/>
    <m/>
    <m/>
    <n v="44"/>
    <n v="0"/>
    <n v="2"/>
    <m/>
    <n v="0"/>
    <x v="0"/>
    <x v="0"/>
    <m/>
    <m/>
    <m/>
    <n v="1"/>
    <s v="Both"/>
    <n v="0"/>
    <n v="7"/>
    <n v="3"/>
    <n v="185"/>
    <n v="185"/>
    <x v="0"/>
    <m/>
    <m/>
    <m/>
    <m/>
    <s v="no test"/>
    <s v="no test"/>
    <x v="1"/>
    <n v="1"/>
    <n v="1"/>
    <n v="1"/>
    <n v="823"/>
    <n v="0"/>
    <n v="0"/>
    <n v="1"/>
    <n v="823"/>
    <n v="1.6459999999999999"/>
    <n v="0"/>
    <n v="0"/>
    <n v="0.35400000000000009"/>
    <n v="2"/>
    <n v="44"/>
    <n v="1"/>
    <n v="823"/>
    <n v="0"/>
    <n v="0"/>
    <n v="41"/>
    <n v="0"/>
    <n v="40"/>
    <n v="823"/>
    <n v="1"/>
    <n v="1"/>
    <n v="1"/>
    <n v="823"/>
    <n v="1"/>
    <n v="0"/>
    <n v="1"/>
    <n v="1"/>
    <n v="1"/>
    <n v="925"/>
    <n v="925"/>
    <n v="925"/>
    <n v="185"/>
    <s v="Yes"/>
    <s v="KBC"/>
    <x v="1"/>
    <x v="0"/>
    <x v="0"/>
    <x v="0"/>
    <n v="24.129059999999999"/>
    <n v="97.291820000000001"/>
    <s v="MMR001CMP066"/>
    <x v="0"/>
    <m/>
  </r>
  <r>
    <x v="0"/>
    <x v="2"/>
    <x v="0"/>
    <x v="3"/>
    <x v="54"/>
    <n v="80"/>
    <n v="290"/>
    <m/>
    <m/>
    <m/>
    <m/>
    <s v="No"/>
    <n v="0"/>
    <n v="0"/>
    <m/>
    <m/>
    <m/>
    <m/>
    <m/>
    <m/>
    <m/>
    <m/>
    <m/>
    <m/>
    <m/>
    <m/>
    <n v="0"/>
    <m/>
    <m/>
    <m/>
    <m/>
    <x v="1"/>
    <x v="1"/>
    <m/>
    <m/>
    <m/>
    <m/>
    <m/>
    <m/>
    <m/>
    <m/>
    <m/>
    <m/>
    <x v="0"/>
    <m/>
    <m/>
    <m/>
    <m/>
    <s v="no test"/>
    <s v="no test"/>
    <x v="1"/>
    <n v="0"/>
    <n v="0"/>
    <n v="0"/>
    <n v="0"/>
    <n v="0"/>
    <n v="0"/>
    <n v="0"/>
    <n v="0"/>
    <n v="0"/>
    <n v="1"/>
    <n v="290"/>
    <n v="1"/>
    <n v="1"/>
    <n v="0"/>
    <n v="0"/>
    <n v="0"/>
    <n v="1"/>
    <n v="15"/>
    <n v="15"/>
    <n v="0"/>
    <n v="0"/>
    <n v="0"/>
    <n v="0"/>
    <n v="0"/>
    <n v="0"/>
    <n v="0"/>
    <n v="0"/>
    <n v="1"/>
    <n v="0"/>
    <n v="0"/>
    <n v="0"/>
    <n v="0"/>
    <n v="0"/>
    <n v="0"/>
    <n v="0"/>
    <n v="0"/>
    <s v="uncovered"/>
    <x v="1"/>
    <x v="0"/>
    <x v="1"/>
    <x v="0"/>
    <n v="24.118618999999999"/>
    <n v="97.298055000000005"/>
    <s v="MMR001CMP196"/>
    <x v="1"/>
    <m/>
  </r>
  <r>
    <x v="0"/>
    <x v="5"/>
    <x v="0"/>
    <x v="3"/>
    <x v="55"/>
    <n v="19"/>
    <n v="101"/>
    <m/>
    <s v="DFID/HARP"/>
    <d v="2017-09-30T00:00:00"/>
    <n v="0"/>
    <s v="No"/>
    <n v="0"/>
    <n v="0"/>
    <n v="1"/>
    <n v="0"/>
    <m/>
    <n v="0"/>
    <m/>
    <m/>
    <n v="0"/>
    <n v="0"/>
    <n v="0"/>
    <n v="0"/>
    <n v="0"/>
    <s v="Not safe"/>
    <n v="6"/>
    <n v="0"/>
    <n v="0"/>
    <m/>
    <n v="0"/>
    <x v="1"/>
    <x v="1"/>
    <m/>
    <m/>
    <m/>
    <n v="0.5"/>
    <s v="Both"/>
    <n v="0"/>
    <n v="1"/>
    <n v="1"/>
    <m/>
    <m/>
    <x v="0"/>
    <m/>
    <m/>
    <m/>
    <m/>
    <s v="no test"/>
    <s v="no test"/>
    <x v="1"/>
    <n v="1"/>
    <n v="1"/>
    <n v="1"/>
    <n v="101"/>
    <n v="0"/>
    <n v="0"/>
    <n v="1"/>
    <n v="101"/>
    <n v="0.20200000000000001"/>
    <n v="0"/>
    <n v="0"/>
    <n v="0.79800000000000004"/>
    <n v="1"/>
    <n v="6"/>
    <n v="1"/>
    <n v="101"/>
    <n v="0"/>
    <n v="0"/>
    <n v="5"/>
    <n v="0"/>
    <n v="0"/>
    <n v="101"/>
    <n v="0"/>
    <n v="1"/>
    <n v="0"/>
    <n v="0"/>
    <n v="0"/>
    <n v="1"/>
    <n v="1"/>
    <n v="0"/>
    <n v="0"/>
    <n v="0"/>
    <n v="0"/>
    <n v="0"/>
    <n v="9.5"/>
    <n v="0"/>
    <n v="0"/>
    <x v="0"/>
    <x v="0"/>
    <x v="0"/>
    <x v="0"/>
    <n v="0"/>
    <n v="0"/>
    <n v="0"/>
    <x v="0"/>
    <s v="to confirm not found in Q1-2018"/>
  </r>
  <r>
    <x v="0"/>
    <x v="5"/>
    <x v="0"/>
    <x v="4"/>
    <x v="56"/>
    <n v="31"/>
    <n v="96"/>
    <m/>
    <s v="UNICEF"/>
    <d v="2018-12-31T00:00:00"/>
    <n v="0"/>
    <s v="Yes"/>
    <n v="0.5"/>
    <n v="0.5"/>
    <n v="1"/>
    <n v="0"/>
    <n v="5000"/>
    <n v="0"/>
    <n v="0"/>
    <m/>
    <n v="0"/>
    <n v="0"/>
    <n v="0"/>
    <n v="0"/>
    <n v="0"/>
    <m/>
    <n v="4"/>
    <n v="0"/>
    <n v="0"/>
    <m/>
    <n v="0"/>
    <x v="0"/>
    <x v="2"/>
    <n v="0"/>
    <m/>
    <m/>
    <m/>
    <s v="Communal"/>
    <n v="0"/>
    <n v="1"/>
    <n v="2"/>
    <n v="0"/>
    <n v="0"/>
    <x v="0"/>
    <m/>
    <m/>
    <m/>
    <s v="Need Hygiene Promotion "/>
    <s v="no test"/>
    <s v="no test"/>
    <x v="1"/>
    <n v="1"/>
    <n v="1"/>
    <n v="1"/>
    <n v="96"/>
    <n v="0"/>
    <n v="0"/>
    <n v="1"/>
    <n v="96"/>
    <n v="0.192"/>
    <n v="0"/>
    <n v="0"/>
    <n v="0.80800000000000005"/>
    <n v="1"/>
    <n v="4"/>
    <n v="0.83333333333333337"/>
    <n v="80"/>
    <n v="0.20833333333333334"/>
    <n v="1"/>
    <n v="5"/>
    <n v="0"/>
    <n v="0"/>
    <n v="96"/>
    <n v="0"/>
    <n v="1"/>
    <n v="0"/>
    <n v="0"/>
    <n v="0"/>
    <n v="1"/>
    <n v="1"/>
    <n v="0"/>
    <n v="0"/>
    <n v="0"/>
    <n v="0"/>
    <n v="0"/>
    <n v="0"/>
    <n v="0"/>
    <s v="uncovered"/>
    <x v="1"/>
    <x v="0"/>
    <x v="2"/>
    <x v="0"/>
    <n v="0"/>
    <n v="0"/>
    <s v="MMR001CMP262"/>
    <x v="0"/>
    <m/>
  </r>
  <r>
    <x v="0"/>
    <x v="3"/>
    <x v="0"/>
    <x v="4"/>
    <x v="57"/>
    <n v="13"/>
    <n v="66"/>
    <m/>
    <s v="ADRA/CANADA"/>
    <d v="2018-12-31T00:00:00"/>
    <n v="0"/>
    <s v="Yes"/>
    <n v="0.8"/>
    <n v="0.8"/>
    <n v="0"/>
    <n v="2"/>
    <n v="2000"/>
    <n v="0"/>
    <n v="0"/>
    <m/>
    <n v="0"/>
    <n v="0"/>
    <n v="0"/>
    <n v="0"/>
    <n v="0"/>
    <m/>
    <n v="6"/>
    <n v="0"/>
    <n v="4"/>
    <m/>
    <n v="0"/>
    <x v="0"/>
    <x v="2"/>
    <m/>
    <m/>
    <m/>
    <n v="0.6"/>
    <s v="Communal"/>
    <n v="0"/>
    <n v="2"/>
    <n v="1"/>
    <n v="0"/>
    <n v="0"/>
    <x v="0"/>
    <m/>
    <m/>
    <m/>
    <m/>
    <s v="no test"/>
    <s v="no test"/>
    <x v="1"/>
    <n v="1"/>
    <n v="1"/>
    <n v="1"/>
    <n v="66"/>
    <n v="0"/>
    <n v="0"/>
    <n v="1"/>
    <n v="66"/>
    <n v="0.13200000000000001"/>
    <n v="0"/>
    <n v="0"/>
    <n v="0.86799999999999999"/>
    <n v="1"/>
    <n v="6"/>
    <n v="1"/>
    <n v="66"/>
    <n v="0"/>
    <n v="0"/>
    <n v="3"/>
    <n v="0"/>
    <n v="66"/>
    <n v="66"/>
    <n v="0"/>
    <n v="1"/>
    <n v="0"/>
    <n v="0"/>
    <n v="0"/>
    <n v="1"/>
    <n v="1"/>
    <n v="0"/>
    <n v="0"/>
    <n v="0"/>
    <n v="0"/>
    <n v="0"/>
    <n v="7.8"/>
    <s v="Yes"/>
    <s v="KBC"/>
    <x v="1"/>
    <x v="0"/>
    <x v="0"/>
    <x v="0"/>
    <n v="25.305669999999999"/>
    <n v="96.922619999999995"/>
    <s v="MMR001CMP078"/>
    <x v="0"/>
    <m/>
  </r>
  <r>
    <x v="0"/>
    <x v="2"/>
    <x v="0"/>
    <x v="4"/>
    <x v="58"/>
    <n v="79"/>
    <n v="419"/>
    <m/>
    <m/>
    <m/>
    <m/>
    <m/>
    <m/>
    <m/>
    <m/>
    <m/>
    <m/>
    <m/>
    <m/>
    <m/>
    <m/>
    <m/>
    <m/>
    <m/>
    <m/>
    <m/>
    <m/>
    <m/>
    <m/>
    <m/>
    <m/>
    <x v="2"/>
    <x v="3"/>
    <m/>
    <m/>
    <m/>
    <m/>
    <m/>
    <m/>
    <m/>
    <m/>
    <m/>
    <m/>
    <x v="0"/>
    <m/>
    <m/>
    <m/>
    <m/>
    <s v="no test"/>
    <s v="no test"/>
    <x v="1"/>
    <n v="0"/>
    <n v="0"/>
    <n v="0"/>
    <n v="0"/>
    <n v="0"/>
    <n v="0"/>
    <n v="0"/>
    <n v="0"/>
    <n v="0"/>
    <n v="1"/>
    <n v="419"/>
    <n v="1"/>
    <n v="1"/>
    <n v="0"/>
    <n v="0"/>
    <n v="0"/>
    <n v="1"/>
    <n v="21"/>
    <n v="21"/>
    <n v="0"/>
    <n v="0"/>
    <n v="0"/>
    <n v="0"/>
    <n v="0"/>
    <n v="0"/>
    <n v="0"/>
    <n v="0"/>
    <n v="1"/>
    <n v="0"/>
    <n v="0"/>
    <n v="0"/>
    <n v="0"/>
    <n v="0"/>
    <n v="0"/>
    <n v="0"/>
    <n v="0"/>
    <n v="0"/>
    <x v="0"/>
    <x v="0"/>
    <x v="2"/>
    <x v="0"/>
    <n v="0"/>
    <n v="0"/>
    <n v="0"/>
    <x v="1"/>
    <m/>
  </r>
  <r>
    <x v="0"/>
    <x v="5"/>
    <x v="0"/>
    <x v="4"/>
    <x v="59"/>
    <n v="79"/>
    <n v="321"/>
    <m/>
    <s v="UNICEF"/>
    <d v="2018-12-31T00:00:00"/>
    <n v="0"/>
    <s v="Yes"/>
    <n v="0.4"/>
    <n v="0.4"/>
    <n v="1"/>
    <n v="0"/>
    <n v="5000"/>
    <n v="0"/>
    <n v="0"/>
    <m/>
    <n v="0"/>
    <n v="0"/>
    <n v="0"/>
    <n v="0"/>
    <n v="0"/>
    <m/>
    <n v="8"/>
    <n v="0"/>
    <n v="0"/>
    <m/>
    <n v="0"/>
    <x v="0"/>
    <x v="2"/>
    <m/>
    <m/>
    <m/>
    <m/>
    <s v="Communal"/>
    <n v="1"/>
    <n v="0"/>
    <n v="2"/>
    <n v="0"/>
    <n v="0"/>
    <x v="0"/>
    <m/>
    <m/>
    <m/>
    <s v="Need Hygiene Promotion "/>
    <s v="no test"/>
    <s v="no test"/>
    <x v="1"/>
    <n v="1"/>
    <n v="1"/>
    <n v="1"/>
    <n v="321"/>
    <n v="0"/>
    <n v="0"/>
    <n v="1"/>
    <n v="321"/>
    <n v="0.64200000000000002"/>
    <n v="0"/>
    <n v="0"/>
    <n v="0.35799999999999998"/>
    <n v="1"/>
    <n v="8"/>
    <n v="0.49844236760124611"/>
    <n v="160"/>
    <n v="0.49844236760124611"/>
    <n v="8"/>
    <n v="16"/>
    <n v="0"/>
    <n v="0"/>
    <n v="321"/>
    <n v="0"/>
    <n v="1"/>
    <n v="0"/>
    <n v="0"/>
    <n v="0"/>
    <n v="1"/>
    <n v="1"/>
    <n v="0"/>
    <n v="0"/>
    <n v="0"/>
    <n v="0"/>
    <n v="0"/>
    <n v="0"/>
    <n v="0"/>
    <s v="uncovered"/>
    <x v="1"/>
    <x v="0"/>
    <x v="2"/>
    <x v="0"/>
    <n v="97.013800000000003"/>
    <n v="25.383465999999999"/>
    <s v="MMR001CMP260"/>
    <x v="0"/>
    <m/>
  </r>
  <r>
    <x v="0"/>
    <x v="3"/>
    <x v="0"/>
    <x v="4"/>
    <x v="60"/>
    <n v="16"/>
    <n v="98"/>
    <m/>
    <s v="ADRA/CANADA"/>
    <d v="2018-12-31T00:00:00"/>
    <n v="0"/>
    <s v="Yes"/>
    <n v="0.8"/>
    <n v="0.8"/>
    <n v="0"/>
    <n v="2"/>
    <n v="2000"/>
    <n v="0"/>
    <n v="0"/>
    <m/>
    <n v="0"/>
    <n v="0"/>
    <n v="0"/>
    <n v="0"/>
    <n v="0"/>
    <m/>
    <n v="2"/>
    <n v="0"/>
    <n v="0"/>
    <m/>
    <n v="0"/>
    <x v="0"/>
    <x v="2"/>
    <m/>
    <m/>
    <m/>
    <n v="0.6"/>
    <s v="Communal"/>
    <n v="0"/>
    <n v="2"/>
    <n v="1"/>
    <n v="0"/>
    <n v="0"/>
    <x v="0"/>
    <m/>
    <m/>
    <m/>
    <m/>
    <s v="no test"/>
    <s v="no test"/>
    <x v="1"/>
    <n v="1"/>
    <n v="1"/>
    <n v="1"/>
    <n v="98"/>
    <n v="0"/>
    <n v="0"/>
    <n v="1"/>
    <n v="98"/>
    <n v="0.19600000000000001"/>
    <n v="0"/>
    <n v="0"/>
    <n v="0.80400000000000005"/>
    <n v="1"/>
    <n v="2"/>
    <n v="0.40816326530612246"/>
    <n v="40"/>
    <n v="0.61224489795918358"/>
    <n v="3"/>
    <n v="5"/>
    <n v="0"/>
    <n v="0"/>
    <n v="98"/>
    <n v="0"/>
    <n v="1"/>
    <n v="0"/>
    <n v="0"/>
    <n v="0"/>
    <n v="1"/>
    <n v="1"/>
    <n v="0"/>
    <n v="0"/>
    <n v="0"/>
    <n v="0"/>
    <n v="0"/>
    <n v="9.6"/>
    <s v="Yes"/>
    <s v="KBC"/>
    <x v="1"/>
    <x v="0"/>
    <x v="0"/>
    <x v="0"/>
    <n v="25.296579999999999"/>
    <n v="96.942279999999997"/>
    <s v="MMR001CMP077"/>
    <x v="0"/>
    <m/>
  </r>
  <r>
    <x v="0"/>
    <x v="5"/>
    <x v="0"/>
    <x v="4"/>
    <x v="61"/>
    <n v="20"/>
    <n v="105"/>
    <m/>
    <s v="UNICEF"/>
    <d v="2018-12-31T00:00:00"/>
    <n v="0"/>
    <s v="Yes"/>
    <n v="0.4"/>
    <n v="0.1"/>
    <n v="3"/>
    <n v="0"/>
    <n v="6000"/>
    <n v="0"/>
    <n v="0"/>
    <m/>
    <n v="0"/>
    <n v="0"/>
    <n v="0"/>
    <n v="0"/>
    <n v="0"/>
    <m/>
    <n v="20"/>
    <n v="0"/>
    <n v="0"/>
    <m/>
    <n v="0"/>
    <x v="0"/>
    <x v="2"/>
    <n v="0"/>
    <n v="0"/>
    <m/>
    <n v="0"/>
    <s v="Communal"/>
    <n v="0"/>
    <n v="0"/>
    <n v="0"/>
    <n v="0"/>
    <n v="0"/>
    <x v="1"/>
    <m/>
    <m/>
    <m/>
    <m/>
    <s v="no test"/>
    <s v="no test"/>
    <x v="1"/>
    <n v="1"/>
    <n v="1"/>
    <n v="1"/>
    <n v="105"/>
    <n v="0"/>
    <n v="0"/>
    <n v="1"/>
    <n v="105"/>
    <n v="0.21"/>
    <n v="0"/>
    <n v="0"/>
    <n v="0.79"/>
    <n v="1"/>
    <n v="20"/>
    <n v="1"/>
    <n v="105"/>
    <n v="0"/>
    <n v="0"/>
    <n v="5"/>
    <n v="0"/>
    <n v="0"/>
    <n v="0"/>
    <n v="0"/>
    <n v="0"/>
    <n v="0"/>
    <n v="0"/>
    <n v="0"/>
    <n v="1"/>
    <n v="0"/>
    <n v="0"/>
    <n v="0"/>
    <n v="0"/>
    <n v="0"/>
    <n v="0"/>
    <n v="0"/>
    <n v="0"/>
    <n v="0"/>
    <x v="1"/>
    <x v="0"/>
    <x v="3"/>
    <x v="0"/>
    <n v="25.299679999999999"/>
    <n v="96.942279999999997"/>
    <s v="MMR001CMP237"/>
    <x v="0"/>
    <m/>
  </r>
  <r>
    <x v="0"/>
    <x v="5"/>
    <x v="0"/>
    <x v="4"/>
    <x v="62"/>
    <n v="45"/>
    <n v="220"/>
    <m/>
    <s v="UNICEF"/>
    <d v="2018-12-31T00:00:00"/>
    <n v="0"/>
    <s v="Yes"/>
    <n v="0.4"/>
    <n v="0.4"/>
    <n v="3"/>
    <n v="0"/>
    <n v="8000"/>
    <n v="0"/>
    <n v="0"/>
    <m/>
    <n v="0"/>
    <n v="0"/>
    <n v="0"/>
    <n v="0"/>
    <n v="0"/>
    <m/>
    <n v="7"/>
    <n v="1"/>
    <n v="0"/>
    <m/>
    <n v="0"/>
    <x v="0"/>
    <x v="2"/>
    <n v="0"/>
    <n v="0"/>
    <m/>
    <m/>
    <s v="Communal"/>
    <n v="1"/>
    <n v="0"/>
    <n v="2"/>
    <n v="0"/>
    <n v="0"/>
    <x v="0"/>
    <m/>
    <m/>
    <m/>
    <s v="Need Hygiene Promotion "/>
    <s v="no test"/>
    <s v="no test"/>
    <x v="1"/>
    <n v="1"/>
    <n v="1"/>
    <n v="1"/>
    <n v="220"/>
    <n v="0"/>
    <n v="0"/>
    <n v="1"/>
    <n v="220"/>
    <n v="0.44"/>
    <n v="0"/>
    <n v="0"/>
    <n v="0.56000000000000005"/>
    <n v="1"/>
    <n v="8"/>
    <n v="0.63636363636363635"/>
    <n v="140"/>
    <n v="0.27272727272727271"/>
    <n v="3"/>
    <n v="11"/>
    <n v="0.125"/>
    <n v="0"/>
    <n v="220"/>
    <n v="0"/>
    <n v="1"/>
    <n v="0"/>
    <n v="0"/>
    <n v="0"/>
    <n v="1"/>
    <n v="1"/>
    <n v="0"/>
    <n v="0"/>
    <n v="0"/>
    <n v="0"/>
    <n v="0"/>
    <n v="0"/>
    <n v="0"/>
    <s v="uncovered"/>
    <x v="1"/>
    <x v="0"/>
    <x v="2"/>
    <x v="0"/>
    <n v="97.010629910000006"/>
    <n v="25.370330525559201"/>
    <s v="MMR001CMP259"/>
    <x v="0"/>
    <m/>
  </r>
  <r>
    <x v="0"/>
    <x v="3"/>
    <x v="0"/>
    <x v="4"/>
    <x v="63"/>
    <n v="33"/>
    <n v="154"/>
    <m/>
    <s v="ADRA/CANADA"/>
    <d v="2018-12-31T00:00:00"/>
    <m/>
    <s v="Yes"/>
    <n v="0.8"/>
    <n v="0.6"/>
    <m/>
    <n v="3"/>
    <m/>
    <m/>
    <m/>
    <m/>
    <m/>
    <m/>
    <m/>
    <m/>
    <m/>
    <m/>
    <n v="2"/>
    <m/>
    <m/>
    <m/>
    <m/>
    <x v="2"/>
    <x v="3"/>
    <m/>
    <m/>
    <m/>
    <m/>
    <m/>
    <m/>
    <m/>
    <m/>
    <m/>
    <m/>
    <x v="0"/>
    <m/>
    <m/>
    <m/>
    <m/>
    <s v="no test"/>
    <s v="no test"/>
    <x v="1"/>
    <n v="1"/>
    <n v="1"/>
    <n v="1"/>
    <n v="154"/>
    <n v="0"/>
    <n v="0"/>
    <n v="1"/>
    <n v="154"/>
    <n v="0.308"/>
    <n v="0"/>
    <n v="0"/>
    <n v="0.69199999999999995"/>
    <n v="1"/>
    <n v="2"/>
    <n v="0.25974025974025972"/>
    <n v="39.999999999999993"/>
    <n v="0.77922077922077926"/>
    <n v="6"/>
    <n v="8"/>
    <n v="0"/>
    <n v="0"/>
    <n v="0"/>
    <n v="0"/>
    <n v="0"/>
    <n v="0"/>
    <n v="0"/>
    <n v="0"/>
    <n v="1"/>
    <n v="0"/>
    <n v="0"/>
    <n v="0"/>
    <n v="0"/>
    <n v="0"/>
    <n v="0"/>
    <n v="0"/>
    <n v="0"/>
    <n v="0"/>
    <x v="0"/>
    <x v="0"/>
    <x v="2"/>
    <x v="0"/>
    <n v="0"/>
    <n v="0"/>
    <n v="0"/>
    <x v="0"/>
    <m/>
  </r>
  <r>
    <x v="0"/>
    <x v="8"/>
    <x v="0"/>
    <x v="4"/>
    <x v="64"/>
    <n v="112"/>
    <n v="474"/>
    <m/>
    <s v="ADRA/CANADA,UNICEF"/>
    <d v="2018-12-31T00:00:00"/>
    <n v="0"/>
    <s v="Yes"/>
    <n v="0.5"/>
    <n v="0.6"/>
    <n v="1"/>
    <n v="1"/>
    <m/>
    <n v="0"/>
    <n v="0"/>
    <n v="0"/>
    <n v="0"/>
    <n v="0"/>
    <n v="0"/>
    <n v="0"/>
    <n v="0"/>
    <m/>
    <n v="12"/>
    <n v="0"/>
    <n v="0"/>
    <m/>
    <n v="8"/>
    <x v="0"/>
    <x v="2"/>
    <n v="0"/>
    <n v="0"/>
    <m/>
    <m/>
    <s v="Communal"/>
    <n v="0"/>
    <n v="1"/>
    <n v="2"/>
    <n v="0"/>
    <n v="0"/>
    <x v="0"/>
    <m/>
    <m/>
    <m/>
    <s v="Need Hygiene Promotion "/>
    <s v="no test"/>
    <s v="no test"/>
    <x v="1"/>
    <n v="1"/>
    <n v="1"/>
    <n v="1"/>
    <n v="474"/>
    <n v="0"/>
    <n v="0"/>
    <n v="1"/>
    <n v="474"/>
    <n v="0.94799999999999995"/>
    <n v="0"/>
    <n v="0"/>
    <n v="5.2000000000000046E-2"/>
    <n v="1"/>
    <n v="12"/>
    <n v="0.50632911392405067"/>
    <n v="240.00000000000003"/>
    <n v="0.50632911392405067"/>
    <n v="12"/>
    <n v="24"/>
    <n v="0"/>
    <n v="0"/>
    <n v="474"/>
    <n v="0"/>
    <n v="1"/>
    <n v="0"/>
    <n v="0"/>
    <n v="0"/>
    <n v="1"/>
    <n v="1"/>
    <n v="0"/>
    <n v="0"/>
    <n v="0"/>
    <n v="0"/>
    <n v="0"/>
    <n v="0"/>
    <n v="0"/>
    <s v="KBC"/>
    <x v="1"/>
    <x v="0"/>
    <x v="0"/>
    <x v="0"/>
    <n v="97.104997409999996"/>
    <n v="25.379014999999999"/>
    <s v="MMR001CMP261"/>
    <x v="0"/>
    <m/>
  </r>
  <r>
    <x v="0"/>
    <x v="3"/>
    <x v="0"/>
    <x v="4"/>
    <x v="65"/>
    <n v="11"/>
    <n v="33"/>
    <m/>
    <s v="ADRA/CANADA"/>
    <d v="2018-12-31T00:00:00"/>
    <n v="0"/>
    <s v="Yes"/>
    <n v="0.8"/>
    <n v="0.8"/>
    <n v="1"/>
    <n v="2"/>
    <n v="2000"/>
    <n v="0"/>
    <n v="0"/>
    <m/>
    <n v="0"/>
    <n v="0"/>
    <n v="0"/>
    <n v="0"/>
    <n v="0"/>
    <m/>
    <n v="3"/>
    <n v="0"/>
    <n v="0"/>
    <m/>
    <n v="0"/>
    <x v="0"/>
    <x v="2"/>
    <m/>
    <m/>
    <m/>
    <n v="0.6"/>
    <s v="Communal"/>
    <n v="0"/>
    <n v="2"/>
    <n v="1"/>
    <n v="0"/>
    <n v="0"/>
    <x v="0"/>
    <m/>
    <m/>
    <m/>
    <m/>
    <s v="no test"/>
    <s v="no test"/>
    <x v="1"/>
    <n v="1"/>
    <n v="1"/>
    <n v="1"/>
    <n v="33"/>
    <n v="0"/>
    <n v="0"/>
    <n v="1"/>
    <n v="33"/>
    <n v="6.6000000000000003E-2"/>
    <n v="0"/>
    <n v="0"/>
    <n v="0.93399999999999994"/>
    <n v="1"/>
    <n v="3"/>
    <n v="1"/>
    <n v="33"/>
    <n v="0"/>
    <n v="0"/>
    <n v="2"/>
    <n v="0"/>
    <n v="0"/>
    <n v="33"/>
    <n v="0"/>
    <n v="1"/>
    <n v="0"/>
    <n v="0"/>
    <n v="0"/>
    <n v="1"/>
    <n v="1"/>
    <n v="0"/>
    <n v="0"/>
    <n v="0"/>
    <n v="0"/>
    <n v="0"/>
    <n v="6.6"/>
    <s v="Yes"/>
    <s v="KBC"/>
    <x v="1"/>
    <x v="0"/>
    <x v="0"/>
    <x v="0"/>
    <n v="25.30442"/>
    <n v="96.948740000000001"/>
    <s v="MMR001CMP079"/>
    <x v="0"/>
    <m/>
  </r>
  <r>
    <x v="0"/>
    <x v="3"/>
    <x v="0"/>
    <x v="4"/>
    <x v="66"/>
    <n v="28"/>
    <n v="129"/>
    <m/>
    <s v="ADRA/CANADA"/>
    <d v="2018-12-31T00:00:00"/>
    <n v="0"/>
    <s v="Yes"/>
    <n v="0.8"/>
    <n v="0.8"/>
    <n v="1"/>
    <n v="2"/>
    <n v="3000"/>
    <n v="0"/>
    <n v="0"/>
    <m/>
    <n v="0"/>
    <n v="0"/>
    <n v="0"/>
    <n v="0"/>
    <n v="0"/>
    <m/>
    <n v="8"/>
    <n v="0"/>
    <n v="0"/>
    <m/>
    <n v="0"/>
    <x v="0"/>
    <x v="2"/>
    <m/>
    <m/>
    <m/>
    <n v="0.6"/>
    <s v="Communal"/>
    <n v="0"/>
    <n v="2"/>
    <n v="1"/>
    <n v="0"/>
    <n v="0"/>
    <x v="0"/>
    <m/>
    <m/>
    <m/>
    <m/>
    <s v="no test"/>
    <s v="no test"/>
    <x v="1"/>
    <n v="1"/>
    <n v="1"/>
    <n v="1"/>
    <n v="129"/>
    <n v="0"/>
    <n v="0"/>
    <n v="1"/>
    <n v="129"/>
    <n v="0.25800000000000001"/>
    <n v="0"/>
    <n v="0"/>
    <n v="0.74199999999999999"/>
    <n v="1"/>
    <n v="8"/>
    <n v="1"/>
    <n v="129"/>
    <n v="0"/>
    <n v="0"/>
    <n v="6"/>
    <n v="0"/>
    <n v="0"/>
    <n v="129"/>
    <n v="0"/>
    <n v="1"/>
    <n v="0"/>
    <n v="0"/>
    <n v="0"/>
    <n v="1"/>
    <n v="1"/>
    <n v="0"/>
    <n v="0"/>
    <n v="0"/>
    <n v="0"/>
    <n v="0"/>
    <n v="16.8"/>
    <s v="Yes"/>
    <s v="KBC"/>
    <x v="1"/>
    <x v="0"/>
    <x v="0"/>
    <x v="0"/>
    <n v="25.225000000000001"/>
    <n v="96.793999999999997"/>
    <s v="MMR001CMP236"/>
    <x v="0"/>
    <m/>
  </r>
  <r>
    <x v="0"/>
    <x v="2"/>
    <x v="0"/>
    <x v="5"/>
    <x v="67"/>
    <n v="27"/>
    <n v="121"/>
    <m/>
    <m/>
    <m/>
    <m/>
    <s v="No"/>
    <n v="0"/>
    <n v="0"/>
    <m/>
    <m/>
    <m/>
    <m/>
    <m/>
    <m/>
    <m/>
    <m/>
    <m/>
    <m/>
    <m/>
    <m/>
    <n v="0"/>
    <m/>
    <m/>
    <m/>
    <m/>
    <x v="1"/>
    <x v="1"/>
    <m/>
    <m/>
    <m/>
    <m/>
    <m/>
    <m/>
    <m/>
    <m/>
    <m/>
    <m/>
    <x v="0"/>
    <m/>
    <m/>
    <m/>
    <m/>
    <s v="no test"/>
    <s v="no test"/>
    <x v="1"/>
    <n v="0"/>
    <n v="0"/>
    <n v="0"/>
    <n v="0"/>
    <n v="0"/>
    <n v="0"/>
    <n v="0"/>
    <n v="0"/>
    <n v="0"/>
    <n v="1"/>
    <n v="121"/>
    <n v="1"/>
    <n v="1"/>
    <n v="0"/>
    <n v="0"/>
    <n v="0"/>
    <n v="0.99173553719008267"/>
    <n v="6"/>
    <n v="6"/>
    <n v="0"/>
    <n v="0"/>
    <n v="0"/>
    <n v="0"/>
    <n v="0"/>
    <n v="0"/>
    <n v="0"/>
    <n v="0"/>
    <n v="1"/>
    <n v="0"/>
    <n v="0"/>
    <n v="0"/>
    <n v="0"/>
    <n v="0"/>
    <n v="0"/>
    <n v="0"/>
    <n v="0"/>
    <s v="uncovered"/>
    <x v="1"/>
    <x v="0"/>
    <x v="1"/>
    <x v="0"/>
    <n v="24.996279999999999"/>
    <n v="96.52534"/>
    <s v="MMR001CMP232"/>
    <x v="1"/>
    <m/>
  </r>
  <r>
    <x v="0"/>
    <x v="3"/>
    <x v="0"/>
    <x v="5"/>
    <x v="68"/>
    <n v="39"/>
    <n v="121"/>
    <m/>
    <m/>
    <m/>
    <m/>
    <m/>
    <m/>
    <m/>
    <m/>
    <m/>
    <m/>
    <m/>
    <m/>
    <m/>
    <m/>
    <m/>
    <m/>
    <m/>
    <m/>
    <m/>
    <m/>
    <m/>
    <m/>
    <m/>
    <m/>
    <x v="2"/>
    <x v="3"/>
    <m/>
    <m/>
    <m/>
    <m/>
    <m/>
    <m/>
    <m/>
    <m/>
    <m/>
    <m/>
    <x v="0"/>
    <m/>
    <m/>
    <m/>
    <m/>
    <s v="no test"/>
    <s v="no test"/>
    <x v="1"/>
    <n v="0"/>
    <n v="0"/>
    <n v="0"/>
    <n v="0"/>
    <n v="0"/>
    <n v="0"/>
    <n v="0"/>
    <n v="0"/>
    <n v="0"/>
    <n v="1"/>
    <n v="121"/>
    <n v="1"/>
    <n v="1"/>
    <n v="0"/>
    <n v="0"/>
    <n v="0"/>
    <n v="0.99173553719008267"/>
    <n v="6"/>
    <n v="6"/>
    <n v="0"/>
    <n v="0"/>
    <n v="0"/>
    <n v="0"/>
    <n v="0"/>
    <n v="0"/>
    <n v="0"/>
    <n v="0"/>
    <n v="1"/>
    <n v="0"/>
    <n v="0"/>
    <n v="0"/>
    <n v="0"/>
    <n v="0"/>
    <n v="0"/>
    <n v="0"/>
    <n v="0"/>
    <n v="0"/>
    <x v="0"/>
    <x v="0"/>
    <x v="2"/>
    <x v="1"/>
    <n v="0"/>
    <n v="0"/>
    <n v="0"/>
    <x v="0"/>
    <m/>
  </r>
  <r>
    <x v="0"/>
    <x v="2"/>
    <x v="0"/>
    <x v="5"/>
    <x v="69"/>
    <n v="14"/>
    <n v="63"/>
    <m/>
    <m/>
    <m/>
    <m/>
    <s v="No"/>
    <n v="0"/>
    <n v="0"/>
    <m/>
    <m/>
    <m/>
    <m/>
    <m/>
    <m/>
    <m/>
    <m/>
    <m/>
    <m/>
    <m/>
    <m/>
    <n v="0"/>
    <m/>
    <m/>
    <m/>
    <m/>
    <x v="1"/>
    <x v="1"/>
    <m/>
    <m/>
    <m/>
    <m/>
    <m/>
    <m/>
    <m/>
    <m/>
    <m/>
    <m/>
    <x v="0"/>
    <m/>
    <m/>
    <m/>
    <m/>
    <s v="no test"/>
    <s v="no test"/>
    <x v="1"/>
    <n v="0"/>
    <n v="0"/>
    <n v="0"/>
    <n v="0"/>
    <n v="0"/>
    <n v="0"/>
    <n v="0"/>
    <n v="0"/>
    <n v="0"/>
    <n v="1"/>
    <n v="63"/>
    <n v="1"/>
    <n v="1"/>
    <n v="0"/>
    <n v="0"/>
    <n v="0"/>
    <n v="0.95238095238095244"/>
    <n v="3"/>
    <n v="3"/>
    <n v="0"/>
    <n v="0"/>
    <n v="0"/>
    <n v="0"/>
    <n v="0"/>
    <n v="0"/>
    <n v="0"/>
    <n v="0"/>
    <n v="1"/>
    <n v="0"/>
    <n v="0"/>
    <n v="0"/>
    <n v="0"/>
    <n v="0"/>
    <n v="0"/>
    <n v="0"/>
    <n v="0"/>
    <s v="uncovered"/>
    <x v="1"/>
    <x v="0"/>
    <x v="1"/>
    <x v="0"/>
    <n v="24.764959999999999"/>
    <n v="96.366919999999993"/>
    <s v="MMR001CMP233"/>
    <x v="1"/>
    <m/>
  </r>
  <r>
    <x v="0"/>
    <x v="3"/>
    <x v="0"/>
    <x v="5"/>
    <x v="70"/>
    <n v="19"/>
    <n v="115"/>
    <m/>
    <s v="ADRA/CANADA"/>
    <d v="2018-12-31T00:00:00"/>
    <n v="0"/>
    <s v="Yes"/>
    <n v="0.6"/>
    <n v="0.5"/>
    <n v="0"/>
    <n v="2"/>
    <n v="0"/>
    <n v="0"/>
    <n v="0"/>
    <m/>
    <n v="0"/>
    <n v="0"/>
    <n v="0"/>
    <n v="0"/>
    <n v="0"/>
    <m/>
    <n v="5"/>
    <n v="0"/>
    <n v="0"/>
    <m/>
    <n v="0"/>
    <x v="0"/>
    <x v="2"/>
    <m/>
    <m/>
    <m/>
    <n v="0.6"/>
    <s v="Communal"/>
    <n v="0"/>
    <n v="2"/>
    <n v="1"/>
    <n v="0"/>
    <n v="0"/>
    <x v="0"/>
    <m/>
    <m/>
    <m/>
    <m/>
    <s v="no test"/>
    <s v="no test"/>
    <x v="1"/>
    <n v="1"/>
    <n v="1"/>
    <n v="1"/>
    <n v="115"/>
    <n v="0"/>
    <n v="0"/>
    <n v="1"/>
    <n v="115"/>
    <n v="0.23"/>
    <n v="0"/>
    <n v="0"/>
    <n v="0.77"/>
    <n v="1"/>
    <n v="5"/>
    <n v="0.86956521739130432"/>
    <n v="100"/>
    <n v="0.17391304347826086"/>
    <n v="1"/>
    <n v="6"/>
    <n v="0"/>
    <n v="0"/>
    <n v="115"/>
    <n v="0"/>
    <n v="1"/>
    <n v="0"/>
    <n v="0"/>
    <n v="0"/>
    <n v="1"/>
    <n v="1"/>
    <n v="0"/>
    <n v="0"/>
    <n v="0"/>
    <n v="0"/>
    <n v="0"/>
    <n v="11.4"/>
    <s v="Yes"/>
    <s v="KBC"/>
    <x v="1"/>
    <x v="0"/>
    <x v="0"/>
    <x v="0"/>
    <n v="24.998349999999999"/>
    <n v="96.364949999999993"/>
    <s v="MMR001CMP152"/>
    <x v="0"/>
    <m/>
  </r>
  <r>
    <x v="0"/>
    <x v="5"/>
    <x v="0"/>
    <x v="5"/>
    <x v="71"/>
    <n v="11"/>
    <n v="50"/>
    <m/>
    <s v="DFID/UNICEF"/>
    <d v="2018-12-31T00:00:00"/>
    <n v="0"/>
    <s v="Yes"/>
    <n v="0.3"/>
    <n v="0.6"/>
    <n v="1"/>
    <n v="1"/>
    <n v="3000"/>
    <n v="0"/>
    <n v="2"/>
    <m/>
    <n v="0"/>
    <n v="0"/>
    <n v="0"/>
    <n v="0"/>
    <n v="0"/>
    <m/>
    <n v="7"/>
    <n v="2"/>
    <n v="0"/>
    <s v="one time"/>
    <n v="4"/>
    <x v="0"/>
    <x v="2"/>
    <n v="0"/>
    <n v="0"/>
    <m/>
    <n v="0"/>
    <s v="Communal"/>
    <n v="0"/>
    <n v="2"/>
    <n v="1"/>
    <n v="0"/>
    <n v="0"/>
    <x v="1"/>
    <m/>
    <m/>
    <m/>
    <m/>
    <s v="no test"/>
    <s v="no test"/>
    <x v="1"/>
    <n v="1"/>
    <n v="1"/>
    <n v="1"/>
    <n v="50"/>
    <n v="0"/>
    <n v="0"/>
    <n v="1"/>
    <n v="50"/>
    <n v="0.1"/>
    <n v="0"/>
    <n v="0"/>
    <n v="0.9"/>
    <n v="1"/>
    <n v="9"/>
    <n v="1"/>
    <n v="50"/>
    <n v="0"/>
    <n v="0"/>
    <n v="3"/>
    <n v="0.22222222222222221"/>
    <n v="0"/>
    <n v="50"/>
    <n v="0"/>
    <n v="1"/>
    <n v="0"/>
    <n v="0"/>
    <n v="0"/>
    <n v="1"/>
    <n v="1"/>
    <n v="0"/>
    <n v="0"/>
    <n v="0"/>
    <n v="0"/>
    <n v="0"/>
    <n v="0"/>
    <s v="Yes"/>
    <s v="KMSS-MYT"/>
    <x v="1"/>
    <x v="0"/>
    <x v="0"/>
    <x v="0"/>
    <n v="24.764800000000001"/>
    <n v="96.367059999999995"/>
    <s v="MMR001CMP080"/>
    <x v="0"/>
    <m/>
  </r>
  <r>
    <x v="0"/>
    <x v="1"/>
    <x v="0"/>
    <x v="6"/>
    <x v="72"/>
    <n v="141"/>
    <n v="665"/>
    <m/>
    <s v="USAID, Christian AID, HIDA"/>
    <s v="9/1/2018,1-dec-2018"/>
    <n v="0"/>
    <s v="Yes"/>
    <n v="0.5"/>
    <n v="0.5"/>
    <n v="3"/>
    <n v="2"/>
    <n v="0"/>
    <n v="0"/>
    <n v="0"/>
    <m/>
    <m/>
    <m/>
    <m/>
    <m/>
    <m/>
    <m/>
    <n v="24"/>
    <n v="0"/>
    <n v="4"/>
    <m/>
    <n v="0"/>
    <x v="0"/>
    <x v="0"/>
    <m/>
    <m/>
    <m/>
    <n v="1"/>
    <s v="Both"/>
    <n v="0"/>
    <n v="3"/>
    <n v="2"/>
    <n v="141"/>
    <n v="141"/>
    <x v="0"/>
    <m/>
    <m/>
    <m/>
    <m/>
    <s v="no test"/>
    <s v="no test"/>
    <x v="1"/>
    <n v="1"/>
    <n v="1"/>
    <n v="1"/>
    <n v="665"/>
    <n v="0"/>
    <n v="0"/>
    <n v="1"/>
    <n v="665"/>
    <n v="1.33"/>
    <n v="0"/>
    <n v="0"/>
    <n v="0"/>
    <n v="1"/>
    <n v="24"/>
    <n v="0.72180451127819545"/>
    <n v="480"/>
    <n v="0.27067669172932329"/>
    <n v="9"/>
    <n v="33"/>
    <n v="0"/>
    <n v="80"/>
    <n v="665"/>
    <n v="1"/>
    <n v="1"/>
    <n v="1"/>
    <n v="665"/>
    <n v="1"/>
    <n v="0"/>
    <n v="1"/>
    <n v="1"/>
    <n v="1"/>
    <n v="705"/>
    <n v="705"/>
    <n v="705"/>
    <n v="141"/>
    <n v="0"/>
    <n v="0"/>
    <x v="0"/>
    <x v="0"/>
    <x v="0"/>
    <x v="0"/>
    <n v="0"/>
    <n v="0"/>
    <n v="0"/>
    <x v="0"/>
    <m/>
  </r>
  <r>
    <x v="0"/>
    <x v="5"/>
    <x v="0"/>
    <x v="6"/>
    <x v="73"/>
    <n v="98"/>
    <n v="446"/>
    <m/>
    <s v="DFID/UNICEF"/>
    <d v="2018-12-31T00:00:00"/>
    <n v="0"/>
    <s v="Yes"/>
    <n v="0.5"/>
    <n v="0.3"/>
    <n v="0"/>
    <n v="0"/>
    <n v="10000"/>
    <n v="0"/>
    <n v="8"/>
    <n v="2"/>
    <n v="0"/>
    <n v="0"/>
    <n v="0"/>
    <n v="0"/>
    <n v="0"/>
    <m/>
    <n v="93"/>
    <n v="0"/>
    <n v="0"/>
    <m/>
    <n v="0"/>
    <x v="0"/>
    <x v="2"/>
    <n v="0"/>
    <n v="0"/>
    <m/>
    <n v="0"/>
    <s v="Communal"/>
    <n v="0"/>
    <n v="2"/>
    <n v="2"/>
    <n v="0"/>
    <n v="0"/>
    <x v="1"/>
    <m/>
    <m/>
    <m/>
    <m/>
    <s v="no test"/>
    <s v="no test"/>
    <x v="1"/>
    <n v="1"/>
    <n v="1"/>
    <n v="1"/>
    <n v="446"/>
    <n v="0"/>
    <n v="0"/>
    <n v="1"/>
    <n v="446"/>
    <n v="0.89200000000000002"/>
    <n v="0"/>
    <n v="0"/>
    <n v="0.10799999999999998"/>
    <n v="1"/>
    <n v="93"/>
    <n v="1"/>
    <n v="446"/>
    <n v="0"/>
    <n v="0"/>
    <n v="22"/>
    <n v="0"/>
    <n v="0"/>
    <n v="446"/>
    <n v="0"/>
    <n v="1"/>
    <n v="0"/>
    <n v="0"/>
    <n v="0"/>
    <n v="1"/>
    <n v="1"/>
    <n v="0"/>
    <n v="0"/>
    <n v="0"/>
    <n v="0"/>
    <n v="0"/>
    <n v="0"/>
    <s v="Yes"/>
    <s v="KMSS-MYT"/>
    <x v="1"/>
    <x v="0"/>
    <x v="0"/>
    <x v="1"/>
    <n v="24.461033"/>
    <n v="97.537099999999995"/>
    <s v="MMR001CMP123"/>
    <x v="0"/>
    <m/>
  </r>
  <r>
    <x v="0"/>
    <x v="1"/>
    <x v="0"/>
    <x v="6"/>
    <x v="74"/>
    <n v="664"/>
    <n v="3294"/>
    <n v="742"/>
    <s v="Trocaire, WHH-BMZ,WHH-AA"/>
    <d v="2018-12-03T00:00:00"/>
    <n v="0"/>
    <s v="Yes"/>
    <n v="0.4"/>
    <n v="0.4"/>
    <n v="3"/>
    <n v="0"/>
    <n v="98820"/>
    <n v="0"/>
    <n v="0"/>
    <n v="4"/>
    <n v="1"/>
    <m/>
    <m/>
    <m/>
    <n v="5"/>
    <n v="0"/>
    <n v="234"/>
    <n v="40"/>
    <n v="56"/>
    <s v="one time"/>
    <n v="234"/>
    <x v="0"/>
    <x v="0"/>
    <n v="2"/>
    <n v="10"/>
    <n v="0"/>
    <n v="0.99"/>
    <s v="Communal"/>
    <n v="0"/>
    <n v="21"/>
    <n v="4"/>
    <n v="664"/>
    <n v="339"/>
    <x v="1"/>
    <m/>
    <m/>
    <m/>
    <n v="0"/>
    <n v="0"/>
    <s v="no test"/>
    <x v="0"/>
    <n v="1"/>
    <n v="1"/>
    <n v="1"/>
    <n v="3294"/>
    <n v="0"/>
    <n v="0"/>
    <n v="1"/>
    <n v="3294"/>
    <n v="7"/>
    <n v="0"/>
    <n v="0"/>
    <n v="0"/>
    <n v="7"/>
    <n v="274"/>
    <n v="1"/>
    <n v="3294"/>
    <n v="0"/>
    <n v="0"/>
    <n v="165"/>
    <n v="0.145985401459854"/>
    <n v="1120"/>
    <n v="2000"/>
    <n v="0"/>
    <n v="0"/>
    <n v="1"/>
    <n v="0"/>
    <n v="0"/>
    <n v="1"/>
    <n v="0.60716454159077105"/>
    <n v="1"/>
    <n v="0.51054216867469882"/>
    <n v="3320"/>
    <n v="1695"/>
    <n v="3320"/>
    <n v="657.36"/>
    <s v="Yes"/>
    <s v="KMSS-MYT"/>
    <x v="1"/>
    <x v="0"/>
    <x v="0"/>
    <x v="1"/>
    <n v="24.661905999999998"/>
    <n v="97.573126000000002"/>
    <s v="MMR001CMP122"/>
    <x v="0"/>
    <m/>
  </r>
  <r>
    <x v="0"/>
    <x v="9"/>
    <x v="0"/>
    <x v="6"/>
    <x v="75"/>
    <n v="1490"/>
    <n v="8486"/>
    <m/>
    <s v="OFDA"/>
    <s v="30/06/2019"/>
    <n v="0"/>
    <s v="Yes"/>
    <n v="0.8"/>
    <n v="0.6"/>
    <n v="0"/>
    <n v="3"/>
    <n v="9331200"/>
    <n v="0"/>
    <n v="0"/>
    <n v="0"/>
    <n v="0"/>
    <n v="0"/>
    <n v="69"/>
    <n v="21"/>
    <n v="0"/>
    <m/>
    <n v="532"/>
    <n v="22"/>
    <n v="187"/>
    <s v="Quarterly"/>
    <n v="0"/>
    <x v="0"/>
    <x v="0"/>
    <n v="0"/>
    <n v="0"/>
    <m/>
    <n v="0.95"/>
    <s v="Both"/>
    <n v="0"/>
    <n v="49"/>
    <n v="11"/>
    <m/>
    <m/>
    <x v="0"/>
    <m/>
    <n v="21"/>
    <n v="0"/>
    <s v="Nill"/>
    <s v="no test"/>
    <n v="0.30434782608695654"/>
    <x v="0"/>
    <n v="1"/>
    <n v="1"/>
    <n v="1"/>
    <n v="8486"/>
    <n v="0"/>
    <n v="0"/>
    <n v="1"/>
    <n v="8486"/>
    <n v="16.972000000000001"/>
    <n v="0"/>
    <n v="0"/>
    <n v="2.7999999999998693E-2"/>
    <n v="17"/>
    <n v="554"/>
    <n v="1"/>
    <n v="8486"/>
    <n v="0"/>
    <n v="0"/>
    <n v="424"/>
    <n v="3.9711191335740074E-2"/>
    <n v="3740"/>
    <n v="5500"/>
    <n v="0"/>
    <n v="0"/>
    <n v="0"/>
    <n v="0"/>
    <n v="0"/>
    <n v="1"/>
    <n v="0.64812632571293893"/>
    <n v="0"/>
    <n v="0"/>
    <n v="0"/>
    <n v="0"/>
    <n v="0"/>
    <n v="1415.5"/>
    <s v="Yes"/>
    <s v="KMSS-MYT"/>
    <x v="1"/>
    <x v="0"/>
    <x v="0"/>
    <x v="1"/>
    <n v="24.688338999999999"/>
    <n v="97.568331999999998"/>
    <s v="MMR001CMP121"/>
    <x v="0"/>
    <m/>
  </r>
  <r>
    <x v="0"/>
    <x v="1"/>
    <x v="0"/>
    <x v="6"/>
    <x v="76"/>
    <n v="17"/>
    <n v="106"/>
    <m/>
    <s v="USAID,Christian Aid, HIDA"/>
    <s v="9/1/2018,1-dec-2018"/>
    <n v="0"/>
    <s v="No"/>
    <n v="0"/>
    <n v="0"/>
    <n v="1"/>
    <n v="0"/>
    <n v="0"/>
    <n v="0"/>
    <n v="0"/>
    <m/>
    <m/>
    <m/>
    <m/>
    <m/>
    <m/>
    <m/>
    <n v="4"/>
    <n v="0"/>
    <n v="2"/>
    <m/>
    <n v="0"/>
    <x v="0"/>
    <x v="0"/>
    <m/>
    <m/>
    <m/>
    <n v="1"/>
    <s v="Both"/>
    <n v="0"/>
    <n v="2"/>
    <n v="1"/>
    <n v="17"/>
    <n v="17"/>
    <x v="0"/>
    <m/>
    <m/>
    <m/>
    <m/>
    <s v="no test"/>
    <s v="no test"/>
    <x v="1"/>
    <n v="1"/>
    <n v="1"/>
    <n v="1"/>
    <n v="106"/>
    <n v="0"/>
    <n v="0"/>
    <n v="1"/>
    <n v="106"/>
    <n v="0.21199999999999999"/>
    <n v="0"/>
    <n v="0"/>
    <n v="0.78800000000000003"/>
    <n v="1"/>
    <n v="4"/>
    <n v="0.75471698113207553"/>
    <n v="80"/>
    <n v="0.18867924528301888"/>
    <n v="1"/>
    <n v="5"/>
    <n v="0"/>
    <n v="40"/>
    <n v="106"/>
    <n v="1"/>
    <n v="1"/>
    <n v="1"/>
    <n v="106"/>
    <n v="1"/>
    <n v="0"/>
    <n v="1"/>
    <n v="1"/>
    <n v="1"/>
    <n v="85"/>
    <n v="85"/>
    <n v="85"/>
    <n v="17"/>
    <n v="0"/>
    <n v="0"/>
    <x v="0"/>
    <x v="0"/>
    <x v="0"/>
    <x v="0"/>
    <n v="0"/>
    <n v="0"/>
    <n v="0"/>
    <x v="0"/>
    <m/>
  </r>
  <r>
    <x v="0"/>
    <x v="1"/>
    <x v="0"/>
    <x v="6"/>
    <x v="77"/>
    <n v="19"/>
    <n v="94"/>
    <m/>
    <s v="USAID,Christian Aid, HIDA"/>
    <s v="9/1/2018,1-dec-2018"/>
    <n v="0"/>
    <s v="No"/>
    <n v="0"/>
    <n v="0"/>
    <n v="5"/>
    <n v="0"/>
    <n v="1350"/>
    <n v="0"/>
    <n v="0"/>
    <m/>
    <m/>
    <m/>
    <m/>
    <m/>
    <m/>
    <m/>
    <n v="5"/>
    <n v="0"/>
    <m/>
    <m/>
    <n v="0"/>
    <x v="0"/>
    <x v="0"/>
    <m/>
    <m/>
    <m/>
    <n v="1"/>
    <s v="Both"/>
    <n v="0"/>
    <n v="1"/>
    <n v="1"/>
    <n v="19"/>
    <n v="19"/>
    <x v="0"/>
    <m/>
    <m/>
    <m/>
    <m/>
    <s v="no test"/>
    <s v="no test"/>
    <x v="1"/>
    <n v="1"/>
    <n v="1"/>
    <n v="1"/>
    <n v="94"/>
    <n v="0"/>
    <n v="0"/>
    <n v="1"/>
    <n v="94"/>
    <n v="0.188"/>
    <n v="0"/>
    <n v="0"/>
    <n v="0.81200000000000006"/>
    <n v="1"/>
    <n v="5"/>
    <n v="1"/>
    <n v="94"/>
    <n v="0"/>
    <n v="0"/>
    <n v="5"/>
    <n v="0"/>
    <n v="0"/>
    <n v="94"/>
    <n v="1"/>
    <n v="1"/>
    <n v="1"/>
    <n v="94"/>
    <n v="1"/>
    <n v="0"/>
    <n v="1"/>
    <n v="1"/>
    <n v="1"/>
    <n v="95"/>
    <n v="95"/>
    <n v="95"/>
    <n v="19"/>
    <n v="0"/>
    <n v="0"/>
    <x v="0"/>
    <x v="0"/>
    <x v="0"/>
    <x v="0"/>
    <n v="0"/>
    <n v="0"/>
    <n v="0"/>
    <x v="0"/>
    <m/>
  </r>
  <r>
    <x v="0"/>
    <x v="2"/>
    <x v="0"/>
    <x v="6"/>
    <x v="78"/>
    <n v="3"/>
    <n v="18"/>
    <m/>
    <m/>
    <m/>
    <m/>
    <s v="No"/>
    <n v="0"/>
    <n v="0"/>
    <m/>
    <m/>
    <m/>
    <m/>
    <m/>
    <m/>
    <m/>
    <m/>
    <m/>
    <m/>
    <m/>
    <m/>
    <n v="0"/>
    <m/>
    <m/>
    <m/>
    <m/>
    <x v="1"/>
    <x v="1"/>
    <m/>
    <m/>
    <m/>
    <m/>
    <m/>
    <m/>
    <m/>
    <m/>
    <m/>
    <m/>
    <x v="0"/>
    <m/>
    <m/>
    <m/>
    <m/>
    <s v="no test"/>
    <s v="no test"/>
    <x v="1"/>
    <n v="0"/>
    <n v="0"/>
    <n v="0"/>
    <n v="0"/>
    <n v="0"/>
    <n v="0"/>
    <n v="0"/>
    <n v="0"/>
    <n v="0"/>
    <n v="1"/>
    <n v="18"/>
    <n v="1"/>
    <n v="1"/>
    <n v="0"/>
    <n v="0"/>
    <n v="0"/>
    <n v="1"/>
    <n v="1"/>
    <n v="1"/>
    <n v="0"/>
    <n v="0"/>
    <n v="0"/>
    <n v="0"/>
    <n v="0"/>
    <n v="0"/>
    <n v="0"/>
    <n v="0"/>
    <n v="1"/>
    <n v="0"/>
    <n v="0"/>
    <n v="0"/>
    <n v="0"/>
    <n v="0"/>
    <n v="0"/>
    <n v="0"/>
    <n v="0"/>
    <s v="uncovered"/>
    <x v="1"/>
    <x v="0"/>
    <x v="1"/>
    <x v="0"/>
    <n v="24.377054000000001"/>
    <n v="97.343406999999999"/>
    <s v="MMR001CMP200"/>
    <x v="1"/>
    <m/>
  </r>
  <r>
    <x v="0"/>
    <x v="9"/>
    <x v="0"/>
    <x v="6"/>
    <x v="79"/>
    <n v="440"/>
    <n v="2199"/>
    <m/>
    <s v="OFDA"/>
    <s v="30/06/2019"/>
    <n v="0"/>
    <s v="No"/>
    <n v="0"/>
    <n v="0"/>
    <n v="0"/>
    <n v="1"/>
    <n v="0"/>
    <n v="0"/>
    <n v="0"/>
    <n v="0"/>
    <n v="0"/>
    <n v="0"/>
    <m/>
    <m/>
    <n v="0"/>
    <m/>
    <n v="16"/>
    <n v="0"/>
    <n v="0"/>
    <m/>
    <n v="0"/>
    <x v="0"/>
    <x v="4"/>
    <n v="0"/>
    <n v="0"/>
    <m/>
    <n v="0"/>
    <s v="Both"/>
    <n v="0"/>
    <s v="-"/>
    <m/>
    <m/>
    <n v="0"/>
    <x v="0"/>
    <m/>
    <n v="0"/>
    <n v="0"/>
    <s v="Nill"/>
    <s v="no test"/>
    <s v="no test"/>
    <x v="1"/>
    <n v="1"/>
    <n v="0.11368804001819009"/>
    <n v="1"/>
    <n v="2199"/>
    <n v="0"/>
    <n v="0"/>
    <n v="1"/>
    <n v="2199"/>
    <n v="4.3979999999999997"/>
    <n v="0"/>
    <n v="0"/>
    <n v="0"/>
    <n v="4"/>
    <n v="16"/>
    <n v="0.14552069122328332"/>
    <n v="320"/>
    <n v="0.85493406093678947"/>
    <n v="94"/>
    <n v="110"/>
    <n v="0"/>
    <n v="0"/>
    <n v="0"/>
    <n v="0"/>
    <n v="0"/>
    <n v="0"/>
    <n v="0"/>
    <n v="0"/>
    <n v="1"/>
    <n v="0"/>
    <n v="0"/>
    <n v="0"/>
    <n v="0"/>
    <n v="0"/>
    <n v="0"/>
    <n v="0"/>
    <n v="0"/>
    <n v="0"/>
    <x v="0"/>
    <x v="0"/>
    <x v="4"/>
    <x v="1"/>
    <n v="0"/>
    <n v="0"/>
    <n v="0"/>
    <x v="0"/>
    <m/>
  </r>
  <r>
    <x v="0"/>
    <x v="0"/>
    <x v="0"/>
    <x v="6"/>
    <x v="80"/>
    <n v="40"/>
    <n v="240"/>
    <m/>
    <s v="ECHO/OFDA"/>
    <s v="31/12/2018, 30/06/2019"/>
    <n v="0"/>
    <s v="Yes"/>
    <n v="0.66666666666666663"/>
    <n v="1"/>
    <n v="0"/>
    <n v="1"/>
    <n v="271500"/>
    <n v="0"/>
    <n v="0"/>
    <m/>
    <n v="0"/>
    <n v="0"/>
    <n v="8"/>
    <n v="7"/>
    <n v="0"/>
    <m/>
    <n v="18"/>
    <n v="0"/>
    <n v="8"/>
    <s v="Monthly"/>
    <n v="0"/>
    <x v="0"/>
    <x v="0"/>
    <n v="0"/>
    <n v="0"/>
    <s v="nil"/>
    <n v="1"/>
    <s v="Both"/>
    <n v="0"/>
    <n v="1"/>
    <n v="1"/>
    <n v="33"/>
    <n v="32"/>
    <x v="0"/>
    <m/>
    <n v="1"/>
    <n v="0"/>
    <s v="Nill"/>
    <s v="no test"/>
    <n v="0.875"/>
    <x v="0"/>
    <n v="1"/>
    <n v="1"/>
    <n v="1"/>
    <n v="240"/>
    <n v="0"/>
    <n v="0"/>
    <n v="1"/>
    <n v="240"/>
    <n v="0"/>
    <n v="0"/>
    <n v="0"/>
    <n v="1"/>
    <n v="1"/>
    <n v="18"/>
    <n v="1"/>
    <n v="240"/>
    <n v="0"/>
    <n v="0"/>
    <n v="12"/>
    <n v="0"/>
    <n v="160"/>
    <n v="240"/>
    <n v="0"/>
    <n v="1"/>
    <n v="0"/>
    <n v="0"/>
    <n v="0"/>
    <n v="1"/>
    <n v="1"/>
    <n v="0.82499999999999996"/>
    <n v="0.8"/>
    <n v="165"/>
    <n v="160"/>
    <n v="165"/>
    <n v="40"/>
    <s v="Yes"/>
    <s v="KBC"/>
    <x v="1"/>
    <x v="0"/>
    <x v="0"/>
    <x v="0"/>
    <n v="24.200972"/>
    <n v="97.718582999999995"/>
    <s v="MMR001CMP071"/>
    <x v="0"/>
    <s v="to ask not found in Q1 2018"/>
  </r>
  <r>
    <x v="0"/>
    <x v="0"/>
    <x v="0"/>
    <x v="6"/>
    <x v="81"/>
    <n v="67"/>
    <n v="379"/>
    <m/>
    <s v="ECHO/OFDA"/>
    <s v="31/12/2018, 30/06/2019"/>
    <n v="0"/>
    <s v="Yes"/>
    <n v="0.375"/>
    <n v="0"/>
    <n v="0"/>
    <n v="1"/>
    <n v="274980"/>
    <n v="0"/>
    <n v="0"/>
    <m/>
    <n v="0"/>
    <n v="0"/>
    <n v="9"/>
    <n v="8"/>
    <n v="0"/>
    <m/>
    <n v="16"/>
    <n v="0"/>
    <n v="12"/>
    <s v="Monthly"/>
    <n v="0"/>
    <x v="0"/>
    <x v="0"/>
    <n v="0"/>
    <n v="0"/>
    <s v="nil"/>
    <n v="1"/>
    <s v="Both"/>
    <n v="0"/>
    <n v="3"/>
    <n v="2"/>
    <n v="50"/>
    <n v="50"/>
    <x v="0"/>
    <m/>
    <n v="2"/>
    <n v="0"/>
    <s v="Nill"/>
    <s v="no test"/>
    <n v="0.88888888888888884"/>
    <x v="0"/>
    <n v="1"/>
    <n v="1"/>
    <n v="1"/>
    <n v="379"/>
    <n v="0"/>
    <n v="0"/>
    <n v="1"/>
    <n v="379"/>
    <n v="1"/>
    <n v="0"/>
    <n v="0"/>
    <n v="0"/>
    <n v="1"/>
    <n v="16"/>
    <n v="0.84432717678100266"/>
    <n v="320"/>
    <n v="0.15831134564643801"/>
    <n v="3"/>
    <n v="19"/>
    <n v="0"/>
    <n v="240"/>
    <n v="379"/>
    <n v="0"/>
    <n v="1"/>
    <n v="0"/>
    <n v="0"/>
    <n v="0"/>
    <n v="1"/>
    <n v="1"/>
    <n v="0.74626865671641796"/>
    <n v="0.74626865671641796"/>
    <n v="250"/>
    <n v="250"/>
    <n v="250"/>
    <n v="67"/>
    <s v="Yes"/>
    <s v="KMSS-BMO"/>
    <x v="1"/>
    <x v="0"/>
    <x v="0"/>
    <x v="0"/>
    <n v="24.205417000000001"/>
    <n v="97.724566999999993"/>
    <s v="MMR001CMP069"/>
    <x v="0"/>
    <s v="to ask not found in Q1 2018"/>
  </r>
  <r>
    <x v="0"/>
    <x v="0"/>
    <x v="0"/>
    <x v="6"/>
    <x v="82"/>
    <n v="203"/>
    <n v="1138"/>
    <m/>
    <s v="ECHO/OFDA"/>
    <s v="31/12/2018, 30/06/2019"/>
    <n v="0"/>
    <s v="Yes"/>
    <n v="0.6"/>
    <n v="0"/>
    <n v="2"/>
    <n v="3"/>
    <n v="1978965"/>
    <n v="0"/>
    <n v="0"/>
    <m/>
    <n v="0"/>
    <n v="0"/>
    <n v="34"/>
    <n v="34"/>
    <n v="0"/>
    <s v="In this camp,we are combine  of 4 different place (Lisu 1, 2, 3, 4) for HH water quality test "/>
    <n v="40"/>
    <n v="0"/>
    <n v="22"/>
    <s v="Monthly"/>
    <n v="0"/>
    <x v="0"/>
    <x v="0"/>
    <n v="0"/>
    <n v="0"/>
    <m/>
    <n v="1"/>
    <s v="Both"/>
    <n v="0"/>
    <n v="5"/>
    <n v="4"/>
    <n v="151"/>
    <n v="150"/>
    <x v="0"/>
    <m/>
    <n v="4"/>
    <n v="0"/>
    <s v="Nill"/>
    <s v="no test"/>
    <n v="1"/>
    <x v="0"/>
    <n v="1"/>
    <n v="1"/>
    <n v="1"/>
    <n v="1138"/>
    <n v="0"/>
    <n v="0"/>
    <n v="1"/>
    <n v="1138"/>
    <n v="2.2759999999999998"/>
    <n v="0"/>
    <n v="0"/>
    <n v="0"/>
    <n v="2"/>
    <n v="40"/>
    <n v="0.70298769771529002"/>
    <n v="800"/>
    <n v="0.29876977152899825"/>
    <n v="17"/>
    <n v="57"/>
    <n v="0"/>
    <n v="440"/>
    <n v="1138"/>
    <n v="0"/>
    <n v="1"/>
    <n v="0"/>
    <n v="0"/>
    <n v="0"/>
    <n v="1"/>
    <n v="1"/>
    <n v="0.74384236453201968"/>
    <n v="0.73891625615763545"/>
    <n v="755"/>
    <n v="750"/>
    <n v="755"/>
    <n v="203"/>
    <s v="Yes"/>
    <s v="KBC"/>
    <x v="1"/>
    <x v="0"/>
    <x v="0"/>
    <x v="0"/>
    <n v="24.200433"/>
    <n v="97.717133000000004"/>
    <s v="MMR001CMP070"/>
    <x v="0"/>
    <m/>
  </r>
  <r>
    <x v="0"/>
    <x v="0"/>
    <x v="0"/>
    <x v="6"/>
    <x v="83"/>
    <n v="470"/>
    <n v="2350"/>
    <m/>
    <s v="OFDA"/>
    <s v="30/06/2019"/>
    <n v="0"/>
    <s v="No"/>
    <n v="0"/>
    <n v="0"/>
    <n v="0"/>
    <n v="1"/>
    <n v="0"/>
    <n v="0"/>
    <n v="0"/>
    <m/>
    <n v="0"/>
    <n v="0"/>
    <n v="0"/>
    <n v="0"/>
    <n v="51"/>
    <m/>
    <n v="36"/>
    <n v="0"/>
    <n v="0"/>
    <s v="Monthly"/>
    <n v="0"/>
    <x v="0"/>
    <x v="4"/>
    <n v="0"/>
    <n v="0"/>
    <m/>
    <n v="1"/>
    <s v="Both"/>
    <n v="0"/>
    <n v="0"/>
    <n v="0"/>
    <m/>
    <n v="0"/>
    <x v="0"/>
    <m/>
    <n v="0"/>
    <n v="0"/>
    <s v="Nill"/>
    <s v="no test"/>
    <s v="no test"/>
    <x v="1"/>
    <n v="1"/>
    <n v="0.10638297872340426"/>
    <n v="1"/>
    <n v="2350"/>
    <n v="0"/>
    <n v="0"/>
    <n v="1"/>
    <n v="2350"/>
    <n v="4.7"/>
    <n v="0"/>
    <n v="0"/>
    <n v="0.29999999999999982"/>
    <n v="5"/>
    <n v="36"/>
    <n v="0.30638297872340425"/>
    <n v="720"/>
    <n v="0.69787234042553192"/>
    <n v="82"/>
    <n v="118"/>
    <n v="0"/>
    <n v="0"/>
    <n v="0"/>
    <n v="0"/>
    <n v="0"/>
    <n v="0"/>
    <n v="0"/>
    <n v="0"/>
    <n v="1"/>
    <n v="0"/>
    <n v="0"/>
    <n v="0"/>
    <n v="0"/>
    <n v="0"/>
    <n v="0"/>
    <n v="470"/>
    <n v="0"/>
    <n v="0"/>
    <x v="0"/>
    <x v="0"/>
    <x v="4"/>
    <x v="0"/>
    <n v="0"/>
    <n v="0"/>
    <n v="0"/>
    <x v="0"/>
    <m/>
  </r>
  <r>
    <x v="0"/>
    <x v="1"/>
    <x v="0"/>
    <x v="6"/>
    <x v="84"/>
    <n v="217"/>
    <n v="1172"/>
    <m/>
    <s v="USAID, Christian AID, HIDA"/>
    <s v="9/1/2018,1-dec-2018"/>
    <n v="0"/>
    <s v="Yes"/>
    <n v="0.6"/>
    <n v="0"/>
    <n v="1"/>
    <n v="3"/>
    <n v="0"/>
    <n v="0"/>
    <n v="0"/>
    <m/>
    <m/>
    <m/>
    <m/>
    <m/>
    <m/>
    <m/>
    <n v="47"/>
    <n v="0"/>
    <n v="3"/>
    <m/>
    <n v="0"/>
    <x v="0"/>
    <x v="0"/>
    <m/>
    <m/>
    <m/>
    <n v="1"/>
    <s v="Both"/>
    <n v="0"/>
    <n v="7"/>
    <n v="2"/>
    <n v="217"/>
    <n v="217"/>
    <x v="0"/>
    <m/>
    <m/>
    <m/>
    <m/>
    <s v="no test"/>
    <s v="no test"/>
    <x v="1"/>
    <n v="1"/>
    <n v="0.85324232081911267"/>
    <n v="1"/>
    <n v="1172"/>
    <n v="0"/>
    <n v="0"/>
    <n v="1"/>
    <n v="1172"/>
    <n v="2.3439999999999999"/>
    <n v="0"/>
    <n v="0"/>
    <n v="0"/>
    <n v="2"/>
    <n v="47"/>
    <n v="0.80204778156996592"/>
    <n v="940.00000000000011"/>
    <n v="0.20477815699658702"/>
    <n v="12"/>
    <n v="59"/>
    <n v="0"/>
    <n v="60"/>
    <n v="1000"/>
    <n v="1"/>
    <n v="1"/>
    <n v="1"/>
    <n v="1172"/>
    <n v="1"/>
    <n v="0"/>
    <n v="0.85324232081911267"/>
    <n v="1"/>
    <n v="1"/>
    <n v="1085"/>
    <n v="1085"/>
    <n v="1085"/>
    <n v="217"/>
    <s v="Yes"/>
    <s v="KMSS-BMO"/>
    <x v="1"/>
    <x v="0"/>
    <x v="0"/>
    <x v="0"/>
    <n v="24.245100000000001"/>
    <n v="97.325019999999995"/>
    <s v="MMR001CMP062"/>
    <x v="0"/>
    <m/>
  </r>
  <r>
    <x v="0"/>
    <x v="0"/>
    <x v="0"/>
    <x v="6"/>
    <x v="85"/>
    <n v="117"/>
    <n v="650"/>
    <m/>
    <s v="ECHO/OFDA"/>
    <s v="31/12/2018, 30/06/2019"/>
    <n v="0"/>
    <s v="Yes"/>
    <n v="0.5714285714285714"/>
    <n v="0"/>
    <n v="1"/>
    <n v="1"/>
    <n v="4333500"/>
    <n v="0"/>
    <n v="0"/>
    <m/>
    <n v="0"/>
    <n v="0"/>
    <n v="16"/>
    <n v="13"/>
    <n v="0"/>
    <m/>
    <n v="28"/>
    <n v="0"/>
    <n v="27"/>
    <m/>
    <n v="0"/>
    <x v="0"/>
    <x v="4"/>
    <n v="0"/>
    <n v="0"/>
    <m/>
    <n v="1"/>
    <s v="Both"/>
    <n v="0"/>
    <n v="4"/>
    <n v="2"/>
    <m/>
    <n v="110"/>
    <x v="0"/>
    <m/>
    <n v="3"/>
    <n v="0"/>
    <s v="Nill"/>
    <s v="no test"/>
    <n v="0.8125"/>
    <x v="0"/>
    <n v="1"/>
    <n v="1"/>
    <n v="1"/>
    <n v="650"/>
    <n v="0"/>
    <n v="0"/>
    <n v="1"/>
    <n v="650"/>
    <n v="1.3"/>
    <n v="0"/>
    <n v="0"/>
    <n v="0"/>
    <n v="1"/>
    <n v="28"/>
    <n v="0.86153846153846159"/>
    <n v="560"/>
    <n v="0.15384615384615385"/>
    <n v="5"/>
    <n v="33"/>
    <n v="0"/>
    <n v="540"/>
    <n v="650"/>
    <n v="0"/>
    <n v="1"/>
    <n v="0"/>
    <n v="0"/>
    <n v="0"/>
    <n v="1"/>
    <n v="1"/>
    <n v="0"/>
    <n v="0.94017094017094016"/>
    <n v="0"/>
    <n v="550"/>
    <n v="550"/>
    <n v="117"/>
    <n v="0"/>
    <n v="0"/>
    <x v="0"/>
    <x v="0"/>
    <x v="0"/>
    <x v="0"/>
    <n v="0"/>
    <n v="0"/>
    <n v="0"/>
    <x v="0"/>
    <m/>
  </r>
  <r>
    <x v="0"/>
    <x v="1"/>
    <x v="0"/>
    <x v="6"/>
    <x v="86"/>
    <n v="3"/>
    <n v="13"/>
    <m/>
    <s v="USAID"/>
    <d v="2018-09-01T00:00:00"/>
    <n v="0"/>
    <s v="No"/>
    <n v="0"/>
    <n v="0"/>
    <n v="2"/>
    <n v="0"/>
    <n v="0"/>
    <n v="0"/>
    <n v="0"/>
    <m/>
    <m/>
    <m/>
    <m/>
    <m/>
    <m/>
    <m/>
    <n v="2"/>
    <n v="0"/>
    <m/>
    <m/>
    <n v="0"/>
    <x v="0"/>
    <x v="0"/>
    <m/>
    <m/>
    <m/>
    <n v="1"/>
    <s v="Both"/>
    <n v="0"/>
    <n v="1"/>
    <n v="0"/>
    <n v="3"/>
    <n v="3"/>
    <x v="0"/>
    <m/>
    <m/>
    <m/>
    <m/>
    <s v="no test"/>
    <s v="no test"/>
    <x v="1"/>
    <n v="1"/>
    <n v="1"/>
    <n v="1"/>
    <n v="13"/>
    <n v="0"/>
    <n v="0"/>
    <n v="1"/>
    <n v="13"/>
    <n v="2.5999999999999999E-2"/>
    <n v="0"/>
    <n v="0"/>
    <n v="0.97399999999999998"/>
    <n v="1"/>
    <n v="2"/>
    <n v="1"/>
    <n v="13"/>
    <n v="0"/>
    <n v="0"/>
    <n v="1"/>
    <n v="0"/>
    <n v="0"/>
    <n v="0"/>
    <n v="1"/>
    <n v="0"/>
    <n v="1"/>
    <n v="13"/>
    <n v="1"/>
    <n v="0"/>
    <n v="0"/>
    <n v="1"/>
    <n v="1"/>
    <n v="15"/>
    <n v="15"/>
    <n v="15"/>
    <n v="3"/>
    <n v="0"/>
    <n v="0"/>
    <x v="1"/>
    <x v="0"/>
    <x v="3"/>
    <x v="0"/>
    <n v="24.251860000000001"/>
    <n v="97.346940000000004"/>
    <s v="MMR001CMP058"/>
    <x v="0"/>
    <m/>
  </r>
  <r>
    <x v="0"/>
    <x v="1"/>
    <x v="0"/>
    <x v="6"/>
    <x v="87"/>
    <n v="109"/>
    <n v="453"/>
    <m/>
    <s v="USAID, Christian AID, HIDA"/>
    <s v="9/1/2018,1-dec-2018"/>
    <n v="0"/>
    <s v="Yes"/>
    <n v="0.5"/>
    <n v="0.5"/>
    <n v="1"/>
    <n v="1"/>
    <n v="0"/>
    <n v="0"/>
    <n v="0"/>
    <m/>
    <m/>
    <m/>
    <m/>
    <m/>
    <m/>
    <m/>
    <n v="10"/>
    <n v="0"/>
    <m/>
    <m/>
    <n v="0"/>
    <x v="0"/>
    <x v="0"/>
    <m/>
    <m/>
    <m/>
    <n v="1"/>
    <s v="Both"/>
    <n v="0"/>
    <n v="4"/>
    <n v="2"/>
    <n v="109"/>
    <n v="109"/>
    <x v="0"/>
    <m/>
    <m/>
    <m/>
    <m/>
    <s v="no test"/>
    <s v="no test"/>
    <x v="1"/>
    <n v="1"/>
    <n v="1"/>
    <n v="1"/>
    <n v="453"/>
    <n v="0"/>
    <n v="0"/>
    <n v="1"/>
    <n v="453"/>
    <n v="0.90600000000000003"/>
    <n v="0"/>
    <n v="0"/>
    <n v="9.3999999999999972E-2"/>
    <n v="1"/>
    <n v="10"/>
    <n v="0.44150110375275936"/>
    <n v="200"/>
    <n v="0.57395143487858724"/>
    <n v="13"/>
    <n v="23"/>
    <n v="0"/>
    <n v="0"/>
    <n v="453"/>
    <n v="1"/>
    <n v="1"/>
    <n v="1"/>
    <n v="453"/>
    <n v="1"/>
    <n v="0"/>
    <n v="1"/>
    <n v="1"/>
    <n v="1"/>
    <n v="545"/>
    <n v="545"/>
    <n v="545"/>
    <n v="109"/>
    <s v="Yes"/>
    <s v="KBC"/>
    <x v="1"/>
    <x v="0"/>
    <x v="0"/>
    <x v="0"/>
    <n v="24.250689999999999"/>
    <n v="97.344359999999995"/>
    <s v="MMR001CMP056"/>
    <x v="0"/>
    <m/>
  </r>
  <r>
    <x v="0"/>
    <x v="2"/>
    <x v="0"/>
    <x v="6"/>
    <x v="88"/>
    <n v="223"/>
    <n v="1067"/>
    <m/>
    <m/>
    <m/>
    <m/>
    <s v="No"/>
    <n v="0"/>
    <n v="0"/>
    <m/>
    <m/>
    <m/>
    <m/>
    <m/>
    <m/>
    <m/>
    <m/>
    <m/>
    <m/>
    <m/>
    <m/>
    <n v="0"/>
    <m/>
    <m/>
    <m/>
    <m/>
    <x v="1"/>
    <x v="1"/>
    <m/>
    <m/>
    <m/>
    <m/>
    <m/>
    <m/>
    <m/>
    <m/>
    <m/>
    <m/>
    <x v="0"/>
    <m/>
    <m/>
    <m/>
    <m/>
    <s v="no test"/>
    <s v="no test"/>
    <x v="1"/>
    <n v="0"/>
    <n v="0"/>
    <n v="0"/>
    <n v="0"/>
    <n v="0"/>
    <n v="0"/>
    <n v="0"/>
    <n v="0"/>
    <n v="0"/>
    <n v="1"/>
    <n v="1067"/>
    <n v="2"/>
    <n v="2"/>
    <n v="0"/>
    <n v="0"/>
    <n v="0"/>
    <n v="0.99343955014058105"/>
    <n v="53"/>
    <n v="53"/>
    <n v="0"/>
    <n v="0"/>
    <n v="0"/>
    <n v="0"/>
    <n v="0"/>
    <n v="0"/>
    <n v="0"/>
    <n v="0"/>
    <n v="1"/>
    <n v="0"/>
    <n v="0"/>
    <n v="0"/>
    <n v="0"/>
    <n v="0"/>
    <n v="0"/>
    <n v="0"/>
    <n v="0"/>
    <s v="uncovered"/>
    <x v="1"/>
    <x v="0"/>
    <x v="1"/>
    <x v="0"/>
    <n v="24.251232000000002"/>
    <n v="97.348405"/>
    <s v="MMR001CMP197"/>
    <x v="1"/>
    <m/>
  </r>
  <r>
    <x v="0"/>
    <x v="2"/>
    <x v="0"/>
    <x v="6"/>
    <x v="89"/>
    <n v="47"/>
    <n v="153"/>
    <m/>
    <m/>
    <m/>
    <m/>
    <s v="No"/>
    <n v="0"/>
    <n v="0"/>
    <m/>
    <m/>
    <m/>
    <m/>
    <m/>
    <m/>
    <m/>
    <m/>
    <m/>
    <m/>
    <m/>
    <m/>
    <n v="0"/>
    <m/>
    <m/>
    <m/>
    <m/>
    <x v="1"/>
    <x v="1"/>
    <m/>
    <m/>
    <m/>
    <m/>
    <m/>
    <m/>
    <m/>
    <m/>
    <m/>
    <m/>
    <x v="0"/>
    <m/>
    <m/>
    <m/>
    <m/>
    <s v="no test"/>
    <s v="no test"/>
    <x v="1"/>
    <n v="0"/>
    <n v="0"/>
    <n v="0"/>
    <n v="0"/>
    <n v="0"/>
    <n v="0"/>
    <n v="0"/>
    <n v="0"/>
    <n v="0"/>
    <n v="1"/>
    <n v="153"/>
    <n v="1"/>
    <n v="1"/>
    <n v="0"/>
    <n v="0"/>
    <n v="0"/>
    <n v="1"/>
    <n v="8"/>
    <n v="8"/>
    <n v="0"/>
    <n v="0"/>
    <n v="0"/>
    <n v="0"/>
    <n v="0"/>
    <n v="0"/>
    <n v="0"/>
    <n v="0"/>
    <n v="1"/>
    <n v="0"/>
    <n v="0"/>
    <n v="0"/>
    <n v="0"/>
    <n v="0"/>
    <n v="0"/>
    <n v="0"/>
    <n v="0"/>
    <s v="uncovered"/>
    <x v="1"/>
    <x v="0"/>
    <x v="1"/>
    <x v="0"/>
    <n v="24.404876999999999"/>
    <n v="97.407787999999996"/>
    <s v="MMR001CMP061"/>
    <x v="1"/>
    <m/>
  </r>
  <r>
    <x v="0"/>
    <x v="6"/>
    <x v="0"/>
    <x v="6"/>
    <x v="90"/>
    <n v="336"/>
    <n v="1722"/>
    <n v="505"/>
    <s v="SCI/FFO"/>
    <d v="2019-11-30T00:00:00"/>
    <n v="0"/>
    <s v="Yes"/>
    <n v="0.5"/>
    <n v="0.1"/>
    <n v="2"/>
    <n v="0"/>
    <n v="27096"/>
    <n v="6"/>
    <n v="6"/>
    <n v="2"/>
    <n v="0"/>
    <n v="0"/>
    <n v="60"/>
    <n v="8"/>
    <n v="4"/>
    <m/>
    <n v="98"/>
    <n v="25"/>
    <n v="2"/>
    <m/>
    <n v="0"/>
    <x v="4"/>
    <x v="4"/>
    <n v="0"/>
    <n v="0"/>
    <m/>
    <n v="0.5"/>
    <s v="Communal"/>
    <n v="0"/>
    <n v="16"/>
    <m/>
    <n v="276"/>
    <n v="0"/>
    <x v="1"/>
    <n v="9"/>
    <n v="60"/>
    <m/>
    <m/>
    <s v="no test"/>
    <n v="0.13333333333333333"/>
    <x v="0"/>
    <n v="1"/>
    <n v="1"/>
    <n v="1"/>
    <n v="1722"/>
    <n v="0.87108013937282225"/>
    <n v="1500"/>
    <n v="1"/>
    <n v="1722"/>
    <n v="3.444"/>
    <n v="0"/>
    <n v="0"/>
    <n v="0"/>
    <n v="3"/>
    <n v="123"/>
    <n v="1"/>
    <n v="1722"/>
    <n v="0"/>
    <n v="0"/>
    <n v="86"/>
    <n v="0.2032520325203252"/>
    <n v="40"/>
    <n v="0"/>
    <n v="0"/>
    <n v="0"/>
    <n v="0"/>
    <n v="0"/>
    <n v="0"/>
    <n v="1"/>
    <n v="0"/>
    <n v="0.8214285714285714"/>
    <n v="0"/>
    <n v="1380"/>
    <n v="0"/>
    <n v="1380"/>
    <n v="168"/>
    <s v="Yes"/>
    <s v="KMSS-BMO"/>
    <x v="1"/>
    <x v="0"/>
    <x v="0"/>
    <x v="1"/>
    <n v="24.378167000000001"/>
    <n v="97.669366999999994"/>
    <s v="MMR001CMP131"/>
    <x v="0"/>
    <m/>
  </r>
  <r>
    <x v="0"/>
    <x v="0"/>
    <x v="0"/>
    <x v="6"/>
    <x v="91"/>
    <n v="49"/>
    <n v="300"/>
    <m/>
    <s v="ECHO/OFDA"/>
    <s v="31/12/2018, 30/06/2019"/>
    <n v="0"/>
    <s v="Yes"/>
    <n v="0.63636363636363635"/>
    <n v="1"/>
    <n v="2"/>
    <n v="0"/>
    <n v="106500"/>
    <n v="0"/>
    <n v="0"/>
    <m/>
    <n v="0"/>
    <n v="0"/>
    <n v="9"/>
    <n v="5"/>
    <n v="0"/>
    <m/>
    <n v="22"/>
    <n v="0"/>
    <n v="13"/>
    <s v="Monthly"/>
    <n v="0"/>
    <x v="0"/>
    <x v="0"/>
    <n v="0"/>
    <n v="0"/>
    <m/>
    <n v="1"/>
    <s v="Both"/>
    <n v="0"/>
    <n v="3"/>
    <n v="1"/>
    <n v="32"/>
    <n v="28"/>
    <x v="0"/>
    <m/>
    <n v="2"/>
    <n v="0"/>
    <s v="Nill"/>
    <s v="no test"/>
    <n v="0.55555555555555558"/>
    <x v="0"/>
    <n v="1"/>
    <n v="1"/>
    <n v="1"/>
    <n v="300"/>
    <n v="0"/>
    <n v="0"/>
    <n v="1"/>
    <n v="300"/>
    <n v="0.6"/>
    <n v="0"/>
    <n v="0"/>
    <n v="0.4"/>
    <n v="1"/>
    <n v="22"/>
    <n v="1"/>
    <n v="300"/>
    <n v="0"/>
    <n v="0"/>
    <n v="15"/>
    <n v="0"/>
    <n v="260"/>
    <n v="300"/>
    <n v="0"/>
    <n v="1"/>
    <n v="0"/>
    <n v="0"/>
    <n v="0"/>
    <n v="1"/>
    <n v="1"/>
    <n v="0.65306122448979587"/>
    <n v="0.5714285714285714"/>
    <n v="160"/>
    <n v="140"/>
    <n v="160"/>
    <n v="49"/>
    <s v="Yes"/>
    <s v="KBC"/>
    <x v="1"/>
    <x v="0"/>
    <x v="0"/>
    <x v="0"/>
    <n v="24.205417000000001"/>
    <n v="97.724483000000006"/>
    <s v="MMR001CMP072"/>
    <x v="0"/>
    <m/>
  </r>
  <r>
    <x v="0"/>
    <x v="6"/>
    <x v="0"/>
    <x v="6"/>
    <x v="92"/>
    <n v="669"/>
    <n v="3316"/>
    <n v="944"/>
    <s v="SCI/FFO"/>
    <d v="2019-11-30T00:00:00"/>
    <n v="0"/>
    <s v="Yes"/>
    <n v="0.5"/>
    <n v="0.1"/>
    <n v="0"/>
    <n v="2"/>
    <n v="5290"/>
    <n v="1"/>
    <n v="1"/>
    <n v="6"/>
    <n v="0"/>
    <n v="0"/>
    <n v="16"/>
    <n v="5"/>
    <n v="21"/>
    <m/>
    <n v="220"/>
    <n v="37"/>
    <n v="3"/>
    <m/>
    <n v="0"/>
    <x v="4"/>
    <x v="0"/>
    <n v="0"/>
    <n v="0"/>
    <m/>
    <n v="0.7"/>
    <s v="Communal"/>
    <n v="0"/>
    <n v="17"/>
    <m/>
    <n v="449"/>
    <n v="0"/>
    <x v="1"/>
    <n v="9"/>
    <n v="50"/>
    <m/>
    <m/>
    <s v="no test"/>
    <n v="0.3125"/>
    <x v="0"/>
    <n v="1"/>
    <n v="0.25713711298753522"/>
    <n v="1"/>
    <n v="3316"/>
    <n v="7.5392038600723757E-2"/>
    <n v="249.99999999999997"/>
    <n v="1"/>
    <n v="3316"/>
    <n v="6.6319999999999997"/>
    <n v="0"/>
    <n v="0"/>
    <n v="0.36800000000000033"/>
    <n v="7"/>
    <n v="257"/>
    <n v="1"/>
    <n v="3316"/>
    <n v="0"/>
    <n v="0"/>
    <n v="166"/>
    <n v="0.14396887159533073"/>
    <n v="60"/>
    <n v="0"/>
    <n v="0"/>
    <n v="0"/>
    <n v="0"/>
    <n v="0"/>
    <n v="0"/>
    <n v="1"/>
    <n v="0"/>
    <n v="0.67115097159940207"/>
    <n v="0"/>
    <n v="2245"/>
    <n v="0"/>
    <n v="2245"/>
    <n v="468.29999999999995"/>
    <s v="Yes"/>
    <s v="KMSS-BMO"/>
    <x v="1"/>
    <x v="0"/>
    <x v="0"/>
    <x v="1"/>
    <n v="24.2744"/>
    <n v="97.752667000000002"/>
    <s v="MMR001CMP126"/>
    <x v="0"/>
    <m/>
  </r>
  <r>
    <x v="0"/>
    <x v="0"/>
    <x v="0"/>
    <x v="6"/>
    <x v="93"/>
    <n v="41"/>
    <n v="253"/>
    <m/>
    <s v="ECHO/OFDA"/>
    <s v="31/12/2018, 30/06/2019"/>
    <n v="0"/>
    <s v="Yes"/>
    <n v="0.58333333333333337"/>
    <n v="1"/>
    <n v="1"/>
    <n v="1"/>
    <n v="154500"/>
    <n v="0"/>
    <n v="0"/>
    <m/>
    <n v="0"/>
    <n v="0"/>
    <n v="8"/>
    <n v="7"/>
    <n v="0"/>
    <m/>
    <n v="18"/>
    <n v="0"/>
    <n v="17"/>
    <s v="Monthly"/>
    <n v="0"/>
    <x v="0"/>
    <x v="0"/>
    <n v="0"/>
    <n v="0"/>
    <m/>
    <n v="1"/>
    <s v="Both"/>
    <n v="0"/>
    <n v="2"/>
    <n v="1"/>
    <n v="39"/>
    <n v="38"/>
    <x v="0"/>
    <m/>
    <n v="2"/>
    <n v="0"/>
    <s v="Nill"/>
    <s v="no test"/>
    <n v="0.875"/>
    <x v="0"/>
    <n v="1"/>
    <n v="1"/>
    <n v="1"/>
    <n v="253"/>
    <n v="0"/>
    <n v="0"/>
    <n v="1"/>
    <n v="253"/>
    <n v="0.50600000000000001"/>
    <n v="0"/>
    <n v="0"/>
    <n v="0.49399999999999999"/>
    <n v="1"/>
    <n v="18"/>
    <n v="1"/>
    <n v="253"/>
    <n v="0"/>
    <n v="0"/>
    <n v="13"/>
    <n v="0"/>
    <n v="253"/>
    <n v="253"/>
    <n v="0"/>
    <n v="1"/>
    <n v="0"/>
    <n v="0"/>
    <n v="0"/>
    <n v="1"/>
    <n v="1"/>
    <n v="0.95121951219512191"/>
    <n v="0.92682926829268297"/>
    <n v="195"/>
    <n v="190"/>
    <n v="195"/>
    <n v="41"/>
    <s v="Yes"/>
    <s v="KBC"/>
    <x v="1"/>
    <x v="0"/>
    <x v="0"/>
    <x v="0"/>
    <n v="24.207332999999998"/>
    <n v="97.710864000000001"/>
    <s v="MMR001CMP073"/>
    <x v="0"/>
    <m/>
  </r>
  <r>
    <x v="0"/>
    <x v="3"/>
    <x v="0"/>
    <x v="7"/>
    <x v="94"/>
    <n v="24"/>
    <n v="103"/>
    <m/>
    <m/>
    <m/>
    <m/>
    <m/>
    <m/>
    <m/>
    <m/>
    <m/>
    <m/>
    <m/>
    <m/>
    <m/>
    <m/>
    <m/>
    <m/>
    <m/>
    <m/>
    <m/>
    <m/>
    <m/>
    <m/>
    <m/>
    <m/>
    <x v="2"/>
    <x v="3"/>
    <m/>
    <m/>
    <m/>
    <m/>
    <m/>
    <m/>
    <m/>
    <m/>
    <m/>
    <m/>
    <x v="0"/>
    <m/>
    <m/>
    <m/>
    <m/>
    <s v="no test"/>
    <s v="no test"/>
    <x v="1"/>
    <n v="0"/>
    <n v="0"/>
    <n v="0"/>
    <n v="0"/>
    <n v="0"/>
    <n v="0"/>
    <n v="0"/>
    <n v="0"/>
    <n v="0"/>
    <n v="1"/>
    <n v="103"/>
    <n v="1"/>
    <n v="1"/>
    <n v="0"/>
    <n v="0"/>
    <n v="0"/>
    <n v="0.97087378640776689"/>
    <n v="5"/>
    <n v="5"/>
    <n v="0"/>
    <n v="0"/>
    <n v="0"/>
    <n v="0"/>
    <n v="0"/>
    <n v="0"/>
    <n v="0"/>
    <n v="0"/>
    <n v="1"/>
    <n v="0"/>
    <n v="0"/>
    <n v="0"/>
    <n v="0"/>
    <n v="0"/>
    <n v="0"/>
    <n v="0"/>
    <n v="0"/>
    <n v="0"/>
    <x v="0"/>
    <x v="0"/>
    <x v="2"/>
    <x v="1"/>
    <n v="0"/>
    <n v="0"/>
    <n v="0"/>
    <x v="0"/>
    <m/>
  </r>
  <r>
    <x v="0"/>
    <x v="3"/>
    <x v="0"/>
    <x v="7"/>
    <x v="95"/>
    <n v="42"/>
    <n v="185"/>
    <m/>
    <s v="Plan/GFFO,ADRA/CANADA  "/>
    <s v="30/04/2019,31/12/2018"/>
    <n v="0"/>
    <s v="Yes"/>
    <n v="0.6"/>
    <n v="0.5"/>
    <n v="0"/>
    <n v="3"/>
    <n v="4000"/>
    <n v="0"/>
    <n v="0"/>
    <m/>
    <n v="0"/>
    <n v="0"/>
    <n v="0"/>
    <n v="0"/>
    <n v="0"/>
    <m/>
    <n v="7"/>
    <n v="0"/>
    <n v="0"/>
    <m/>
    <n v="0"/>
    <x v="0"/>
    <x v="2"/>
    <m/>
    <m/>
    <m/>
    <n v="0.6"/>
    <s v="Communal"/>
    <n v="0"/>
    <n v="3"/>
    <n v="1"/>
    <n v="0"/>
    <n v="0"/>
    <x v="0"/>
    <m/>
    <m/>
    <m/>
    <m/>
    <s v="no test"/>
    <s v="no test"/>
    <x v="1"/>
    <n v="1"/>
    <n v="1"/>
    <n v="1"/>
    <n v="185"/>
    <n v="0"/>
    <n v="0"/>
    <n v="1"/>
    <n v="185"/>
    <n v="0.37"/>
    <n v="0"/>
    <n v="0"/>
    <n v="0.63"/>
    <n v="1"/>
    <n v="7"/>
    <n v="0.7567567567567568"/>
    <n v="140"/>
    <n v="0.21621621621621623"/>
    <n v="2"/>
    <n v="9"/>
    <n v="0"/>
    <n v="0"/>
    <n v="185"/>
    <n v="0"/>
    <n v="1"/>
    <n v="0"/>
    <n v="0"/>
    <n v="0"/>
    <n v="1"/>
    <n v="1"/>
    <n v="0"/>
    <n v="0"/>
    <n v="0"/>
    <n v="0"/>
    <n v="0"/>
    <n v="25.2"/>
    <s v="Yes"/>
    <s v="KBC"/>
    <x v="1"/>
    <x v="0"/>
    <x v="0"/>
    <x v="0"/>
    <n v="25.3959740909091"/>
    <n v="97.382997575757599"/>
    <s v="MMR001CMP010"/>
    <x v="0"/>
    <m/>
  </r>
  <r>
    <x v="0"/>
    <x v="3"/>
    <x v="0"/>
    <x v="7"/>
    <x v="96"/>
    <n v="198"/>
    <n v="1114"/>
    <m/>
    <s v="Plan/GFFO,ADRA/CANADA  "/>
    <s v="30/04/2019,31/12/2018"/>
    <n v="0"/>
    <s v="Yes"/>
    <n v="0.6"/>
    <n v="0.5"/>
    <n v="1"/>
    <n v="4"/>
    <n v="3000"/>
    <n v="0"/>
    <n v="0"/>
    <m/>
    <n v="0"/>
    <n v="0"/>
    <n v="0"/>
    <n v="0"/>
    <n v="0"/>
    <m/>
    <n v="43"/>
    <n v="0"/>
    <n v="0"/>
    <m/>
    <n v="0"/>
    <x v="0"/>
    <x v="0"/>
    <m/>
    <m/>
    <m/>
    <n v="0.6"/>
    <s v="Communal"/>
    <n v="0"/>
    <n v="3"/>
    <n v="4"/>
    <n v="0"/>
    <n v="0"/>
    <x v="0"/>
    <m/>
    <m/>
    <m/>
    <m/>
    <s v="no test"/>
    <s v="no test"/>
    <x v="1"/>
    <n v="1"/>
    <n v="1"/>
    <n v="1"/>
    <n v="1114"/>
    <n v="0"/>
    <n v="0"/>
    <n v="1"/>
    <n v="1114"/>
    <n v="2.2280000000000002"/>
    <n v="0"/>
    <n v="0"/>
    <n v="0"/>
    <n v="2"/>
    <n v="43"/>
    <n v="0.7719928186714542"/>
    <n v="860"/>
    <n v="0.23339317773788149"/>
    <n v="13"/>
    <n v="56"/>
    <n v="0"/>
    <n v="0"/>
    <n v="1114"/>
    <n v="0"/>
    <n v="1"/>
    <n v="0"/>
    <n v="0"/>
    <n v="0"/>
    <n v="1"/>
    <n v="1"/>
    <n v="0"/>
    <n v="0"/>
    <n v="0"/>
    <n v="0"/>
    <n v="0"/>
    <n v="118.8"/>
    <s v="Yes"/>
    <s v="KBC"/>
    <x v="1"/>
    <x v="0"/>
    <x v="0"/>
    <x v="0"/>
    <n v="25.403476999999999"/>
    <n v="97.373361000000003"/>
    <s v="MMR001CMP018"/>
    <x v="0"/>
    <m/>
  </r>
  <r>
    <x v="0"/>
    <x v="5"/>
    <x v="0"/>
    <x v="7"/>
    <x v="97"/>
    <n v="88"/>
    <n v="430"/>
    <m/>
    <s v="DFID/UNICEF"/>
    <d v="2018-12-31T00:00:00"/>
    <n v="0"/>
    <s v="Yes"/>
    <n v="0.5"/>
    <n v="0.5"/>
    <n v="1"/>
    <n v="3"/>
    <n v="10000"/>
    <n v="0"/>
    <n v="4"/>
    <m/>
    <n v="0"/>
    <n v="0"/>
    <n v="0"/>
    <n v="0"/>
    <n v="0"/>
    <m/>
    <n v="22"/>
    <n v="0"/>
    <n v="0"/>
    <s v="one time"/>
    <n v="10"/>
    <x v="0"/>
    <x v="0"/>
    <n v="0"/>
    <n v="0"/>
    <m/>
    <n v="0"/>
    <s v="Communal"/>
    <n v="0"/>
    <n v="3"/>
    <n v="2"/>
    <n v="0"/>
    <n v="0"/>
    <x v="1"/>
    <m/>
    <m/>
    <m/>
    <m/>
    <s v="no test"/>
    <s v="no test"/>
    <x v="1"/>
    <n v="1"/>
    <n v="1"/>
    <n v="1"/>
    <n v="430"/>
    <n v="0"/>
    <n v="0"/>
    <n v="1"/>
    <n v="430"/>
    <n v="0.86"/>
    <n v="0"/>
    <n v="0"/>
    <n v="0.14000000000000001"/>
    <n v="1"/>
    <n v="22"/>
    <n v="1"/>
    <n v="430"/>
    <n v="0"/>
    <n v="0"/>
    <n v="22"/>
    <n v="0"/>
    <n v="0"/>
    <n v="430"/>
    <n v="0"/>
    <n v="1"/>
    <n v="0"/>
    <n v="0"/>
    <n v="0"/>
    <n v="1"/>
    <n v="1"/>
    <n v="0"/>
    <n v="0"/>
    <n v="0"/>
    <n v="0"/>
    <n v="0"/>
    <n v="0"/>
    <s v="Yes"/>
    <s v="KMSS-MYT"/>
    <x v="1"/>
    <x v="0"/>
    <x v="0"/>
    <x v="0"/>
    <n v="25.401061110000001"/>
    <n v="97.379594999999995"/>
    <s v="MMR001CMP019"/>
    <x v="0"/>
    <m/>
  </r>
  <r>
    <x v="0"/>
    <x v="3"/>
    <x v="0"/>
    <x v="7"/>
    <x v="98"/>
    <n v="118"/>
    <n v="489"/>
    <m/>
    <s v="ADRA/CANADA"/>
    <d v="2018-12-31T00:00:00"/>
    <m/>
    <s v="Yes"/>
    <n v="0.8"/>
    <n v="0.6"/>
    <n v="1"/>
    <m/>
    <m/>
    <m/>
    <m/>
    <m/>
    <m/>
    <m/>
    <m/>
    <m/>
    <m/>
    <m/>
    <n v="16"/>
    <m/>
    <m/>
    <m/>
    <m/>
    <x v="2"/>
    <x v="3"/>
    <m/>
    <m/>
    <m/>
    <m/>
    <m/>
    <m/>
    <m/>
    <m/>
    <m/>
    <m/>
    <x v="0"/>
    <m/>
    <m/>
    <m/>
    <m/>
    <s v="no test"/>
    <s v="no test"/>
    <x v="1"/>
    <n v="1"/>
    <n v="0.5112474437627812"/>
    <n v="1"/>
    <n v="489"/>
    <n v="0"/>
    <n v="0"/>
    <n v="1"/>
    <n v="489"/>
    <n v="0.97799999999999998"/>
    <n v="0"/>
    <n v="0"/>
    <n v="2.200000000000002E-2"/>
    <n v="1"/>
    <n v="16"/>
    <n v="0.65439672801635995"/>
    <n v="320"/>
    <n v="0.32719836400817998"/>
    <n v="8"/>
    <n v="24"/>
    <n v="0"/>
    <n v="0"/>
    <n v="0"/>
    <n v="0"/>
    <n v="0"/>
    <n v="0"/>
    <n v="0"/>
    <n v="0"/>
    <n v="1"/>
    <n v="0"/>
    <n v="0"/>
    <n v="0"/>
    <n v="0"/>
    <n v="0"/>
    <n v="0"/>
    <n v="0"/>
    <n v="0"/>
    <s v="KBC"/>
    <x v="1"/>
    <x v="0"/>
    <x v="0"/>
    <x v="0"/>
    <n v="0"/>
    <n v="0"/>
    <s v="MMR001CMP265"/>
    <x v="0"/>
    <m/>
  </r>
  <r>
    <x v="0"/>
    <x v="2"/>
    <x v="0"/>
    <x v="7"/>
    <x v="99"/>
    <n v="19"/>
    <n v="46"/>
    <m/>
    <m/>
    <m/>
    <m/>
    <m/>
    <m/>
    <m/>
    <m/>
    <m/>
    <m/>
    <m/>
    <m/>
    <m/>
    <m/>
    <m/>
    <m/>
    <m/>
    <m/>
    <m/>
    <m/>
    <m/>
    <m/>
    <m/>
    <m/>
    <x v="2"/>
    <x v="3"/>
    <m/>
    <m/>
    <m/>
    <m/>
    <m/>
    <m/>
    <m/>
    <m/>
    <m/>
    <m/>
    <x v="0"/>
    <m/>
    <m/>
    <m/>
    <m/>
    <s v="no test"/>
    <s v="no test"/>
    <x v="1"/>
    <n v="0"/>
    <n v="0"/>
    <n v="0"/>
    <n v="0"/>
    <n v="0"/>
    <n v="0"/>
    <n v="0"/>
    <n v="0"/>
    <n v="0"/>
    <n v="1"/>
    <n v="46"/>
    <n v="1"/>
    <n v="1"/>
    <n v="0"/>
    <n v="0"/>
    <n v="0"/>
    <n v="0.86956521739130443"/>
    <n v="2"/>
    <n v="2"/>
    <n v="0"/>
    <n v="0"/>
    <n v="0"/>
    <n v="0"/>
    <n v="0"/>
    <n v="0"/>
    <n v="0"/>
    <n v="0"/>
    <n v="1"/>
    <n v="0"/>
    <n v="0"/>
    <n v="0"/>
    <n v="0"/>
    <n v="0"/>
    <n v="0"/>
    <n v="0"/>
    <n v="0"/>
    <s v="uncovered"/>
    <x v="1"/>
    <x v="0"/>
    <x v="2"/>
    <x v="0"/>
    <n v="0"/>
    <n v="0"/>
    <s v="MMR001CMP256"/>
    <x v="1"/>
    <m/>
  </r>
  <r>
    <x v="0"/>
    <x v="3"/>
    <x v="0"/>
    <x v="7"/>
    <x v="100"/>
    <n v="44"/>
    <n v="195"/>
    <m/>
    <s v="Plan/GFFO,ADRA/CANADA  "/>
    <s v="30/04/2019,31/12/2018"/>
    <n v="0"/>
    <s v="Yes"/>
    <n v="0.6"/>
    <n v="0.5"/>
    <n v="1"/>
    <n v="1"/>
    <n v="3000"/>
    <n v="0"/>
    <n v="0"/>
    <m/>
    <n v="0"/>
    <n v="0"/>
    <n v="0"/>
    <n v="0"/>
    <n v="0"/>
    <m/>
    <n v="8"/>
    <n v="0"/>
    <n v="0"/>
    <m/>
    <n v="0"/>
    <x v="0"/>
    <x v="0"/>
    <m/>
    <m/>
    <m/>
    <n v="0.6"/>
    <s v="Communal"/>
    <n v="0"/>
    <n v="1"/>
    <n v="1"/>
    <n v="0"/>
    <n v="0"/>
    <x v="0"/>
    <m/>
    <m/>
    <m/>
    <m/>
    <s v="no test"/>
    <s v="no test"/>
    <x v="1"/>
    <n v="1"/>
    <n v="1"/>
    <n v="1"/>
    <n v="195"/>
    <n v="0"/>
    <n v="0"/>
    <n v="1"/>
    <n v="195"/>
    <n v="0.39"/>
    <n v="0"/>
    <n v="0"/>
    <n v="0.61"/>
    <n v="1"/>
    <n v="8"/>
    <n v="0.82051282051282048"/>
    <n v="160"/>
    <n v="0.20512820512820512"/>
    <n v="2"/>
    <n v="10"/>
    <n v="0"/>
    <n v="0"/>
    <n v="195"/>
    <n v="0"/>
    <n v="1"/>
    <n v="0"/>
    <n v="0"/>
    <n v="0"/>
    <n v="1"/>
    <n v="1"/>
    <n v="0"/>
    <n v="0"/>
    <n v="0"/>
    <n v="0"/>
    <n v="0"/>
    <n v="26.4"/>
    <s v="Yes"/>
    <s v="KBC"/>
    <x v="1"/>
    <x v="0"/>
    <x v="0"/>
    <x v="0"/>
    <n v="25.3660036111111"/>
    <n v="97.405202777777802"/>
    <s v="MMR001CMP013"/>
    <x v="0"/>
    <m/>
  </r>
  <r>
    <x v="0"/>
    <x v="2"/>
    <x v="0"/>
    <x v="7"/>
    <x v="101"/>
    <n v="375"/>
    <n v="1691"/>
    <m/>
    <m/>
    <m/>
    <m/>
    <s v="No"/>
    <n v="0"/>
    <n v="0"/>
    <m/>
    <m/>
    <m/>
    <m/>
    <m/>
    <m/>
    <m/>
    <m/>
    <m/>
    <m/>
    <m/>
    <m/>
    <n v="0"/>
    <m/>
    <m/>
    <m/>
    <m/>
    <x v="1"/>
    <x v="1"/>
    <m/>
    <m/>
    <m/>
    <m/>
    <m/>
    <m/>
    <m/>
    <m/>
    <m/>
    <m/>
    <x v="0"/>
    <m/>
    <m/>
    <m/>
    <m/>
    <s v="no test"/>
    <s v="no test"/>
    <x v="1"/>
    <n v="0"/>
    <n v="0"/>
    <n v="0"/>
    <n v="0"/>
    <n v="0"/>
    <n v="0"/>
    <n v="0"/>
    <n v="0"/>
    <n v="0"/>
    <n v="1"/>
    <n v="1691"/>
    <n v="3"/>
    <n v="3"/>
    <n v="0"/>
    <n v="0"/>
    <n v="0"/>
    <n v="1"/>
    <n v="85"/>
    <n v="85"/>
    <n v="0"/>
    <n v="0"/>
    <n v="0"/>
    <n v="0"/>
    <n v="0"/>
    <n v="0"/>
    <n v="0"/>
    <n v="0"/>
    <n v="1"/>
    <n v="0"/>
    <n v="0"/>
    <n v="0"/>
    <n v="0"/>
    <n v="0"/>
    <n v="0"/>
    <n v="0"/>
    <n v="0"/>
    <s v="uncovered"/>
    <x v="1"/>
    <x v="0"/>
    <x v="1"/>
    <x v="0"/>
    <n v="0"/>
    <n v="0"/>
    <s v="MMR001CMP147"/>
    <x v="1"/>
    <m/>
  </r>
  <r>
    <x v="0"/>
    <x v="3"/>
    <x v="0"/>
    <x v="7"/>
    <x v="102"/>
    <n v="51"/>
    <n v="252"/>
    <m/>
    <m/>
    <m/>
    <m/>
    <m/>
    <m/>
    <m/>
    <m/>
    <m/>
    <m/>
    <m/>
    <m/>
    <m/>
    <m/>
    <m/>
    <m/>
    <m/>
    <m/>
    <m/>
    <m/>
    <m/>
    <m/>
    <m/>
    <m/>
    <x v="2"/>
    <x v="3"/>
    <m/>
    <m/>
    <m/>
    <m/>
    <m/>
    <m/>
    <m/>
    <m/>
    <m/>
    <m/>
    <x v="0"/>
    <m/>
    <m/>
    <m/>
    <m/>
    <s v="no test"/>
    <s v="no test"/>
    <x v="1"/>
    <n v="0"/>
    <n v="0"/>
    <n v="0"/>
    <n v="0"/>
    <n v="0"/>
    <n v="0"/>
    <n v="0"/>
    <n v="0"/>
    <n v="0"/>
    <n v="1"/>
    <n v="252"/>
    <n v="1"/>
    <n v="1"/>
    <n v="0"/>
    <n v="0"/>
    <n v="0"/>
    <n v="1"/>
    <n v="13"/>
    <n v="13"/>
    <n v="0"/>
    <n v="0"/>
    <n v="0"/>
    <n v="0"/>
    <n v="0"/>
    <n v="0"/>
    <n v="0"/>
    <n v="0"/>
    <n v="1"/>
    <n v="0"/>
    <n v="0"/>
    <n v="0"/>
    <n v="0"/>
    <n v="0"/>
    <n v="0"/>
    <n v="0"/>
    <n v="0"/>
    <n v="0"/>
    <x v="0"/>
    <x v="0"/>
    <x v="2"/>
    <x v="1"/>
    <n v="0"/>
    <n v="0"/>
    <n v="0"/>
    <x v="0"/>
    <m/>
  </r>
  <r>
    <x v="0"/>
    <x v="3"/>
    <x v="0"/>
    <x v="7"/>
    <x v="103"/>
    <n v="105"/>
    <n v="578"/>
    <m/>
    <s v="Plan/GFFO,ADRA/CANADA  "/>
    <s v="30/04/2019,31/12/2018"/>
    <n v="0"/>
    <s v="Yes"/>
    <n v="0.6"/>
    <n v="0.5"/>
    <n v="1"/>
    <n v="1"/>
    <n v="4000"/>
    <n v="0"/>
    <n v="0"/>
    <m/>
    <n v="0"/>
    <n v="0"/>
    <n v="0"/>
    <n v="0"/>
    <n v="0"/>
    <m/>
    <n v="8"/>
    <n v="0"/>
    <n v="0"/>
    <m/>
    <n v="0"/>
    <x v="0"/>
    <x v="0"/>
    <m/>
    <m/>
    <m/>
    <n v="0.6"/>
    <s v="Communal"/>
    <n v="0"/>
    <n v="2"/>
    <n v="1"/>
    <n v="0"/>
    <n v="0"/>
    <x v="0"/>
    <m/>
    <m/>
    <m/>
    <m/>
    <s v="no test"/>
    <s v="no test"/>
    <x v="1"/>
    <n v="1"/>
    <n v="1"/>
    <n v="1"/>
    <n v="578"/>
    <n v="0"/>
    <n v="0"/>
    <n v="1"/>
    <n v="578"/>
    <n v="1.1559999999999999"/>
    <n v="0"/>
    <n v="0"/>
    <n v="0"/>
    <n v="1"/>
    <n v="8"/>
    <n v="0.27681660899653981"/>
    <n v="160"/>
    <n v="0.72664359861591699"/>
    <n v="21"/>
    <n v="29"/>
    <n v="0"/>
    <n v="0"/>
    <n v="500"/>
    <n v="0"/>
    <n v="1"/>
    <n v="0"/>
    <n v="0"/>
    <n v="0"/>
    <n v="1"/>
    <n v="0.86505190311418689"/>
    <n v="0"/>
    <n v="0"/>
    <n v="0"/>
    <n v="0"/>
    <n v="0"/>
    <n v="63"/>
    <s v="Yes"/>
    <s v="KBC"/>
    <x v="1"/>
    <x v="0"/>
    <x v="0"/>
    <x v="0"/>
    <n v="25.362420757575801"/>
    <n v="97.409035000000003"/>
    <s v="MMR001CMP015"/>
    <x v="0"/>
    <m/>
  </r>
  <r>
    <x v="0"/>
    <x v="3"/>
    <x v="0"/>
    <x v="7"/>
    <x v="104"/>
    <n v="138"/>
    <n v="697"/>
    <m/>
    <s v="Plan/GFFO,ADRA/CANADA  "/>
    <s v="30/04/2019,31/12/2018"/>
    <n v="0"/>
    <s v="Yes"/>
    <n v="0.6"/>
    <n v="0.5"/>
    <n v="0"/>
    <n v="2"/>
    <n v="2000"/>
    <n v="0"/>
    <n v="0"/>
    <m/>
    <n v="0"/>
    <n v="0"/>
    <n v="0"/>
    <n v="0"/>
    <n v="0"/>
    <m/>
    <n v="32"/>
    <n v="0"/>
    <n v="0"/>
    <m/>
    <n v="0"/>
    <x v="0"/>
    <x v="0"/>
    <m/>
    <m/>
    <m/>
    <n v="0.6"/>
    <s v="Communal"/>
    <n v="0"/>
    <n v="2"/>
    <n v="1"/>
    <n v="0"/>
    <n v="0"/>
    <x v="0"/>
    <m/>
    <m/>
    <m/>
    <m/>
    <s v="no test"/>
    <s v="no test"/>
    <x v="1"/>
    <n v="1"/>
    <n v="0.90865614538498329"/>
    <n v="1"/>
    <n v="697"/>
    <n v="0"/>
    <n v="0"/>
    <n v="1"/>
    <n v="697"/>
    <n v="1.3939999999999999"/>
    <n v="0"/>
    <n v="0"/>
    <n v="0"/>
    <n v="1"/>
    <n v="32"/>
    <n v="0.9182209469153515"/>
    <n v="640"/>
    <n v="8.6083213773314196E-2"/>
    <n v="3"/>
    <n v="35"/>
    <n v="0"/>
    <n v="0"/>
    <n v="500"/>
    <n v="0"/>
    <n v="0"/>
    <n v="0"/>
    <n v="0"/>
    <n v="0"/>
    <n v="1"/>
    <n v="0.71736011477761841"/>
    <n v="0"/>
    <n v="0"/>
    <n v="0"/>
    <n v="0"/>
    <n v="0"/>
    <n v="82.8"/>
    <s v="Yes"/>
    <s v="KBC"/>
    <x v="1"/>
    <x v="0"/>
    <x v="0"/>
    <x v="0"/>
    <n v="25.3510167948718"/>
    <n v="97.403402307692303"/>
    <s v="MMR001CMP014"/>
    <x v="0"/>
    <m/>
  </r>
  <r>
    <x v="0"/>
    <x v="3"/>
    <x v="0"/>
    <x v="7"/>
    <x v="105"/>
    <n v="61"/>
    <n v="304"/>
    <m/>
    <s v="Plan/GFFO,ADRA/CANADA  "/>
    <s v="30/04/2019,31/12/2018"/>
    <n v="0"/>
    <s v="Yes"/>
    <n v="0.6"/>
    <n v="0.5"/>
    <n v="1"/>
    <n v="1"/>
    <n v="2000"/>
    <n v="0"/>
    <n v="0"/>
    <m/>
    <n v="0"/>
    <n v="0"/>
    <n v="0"/>
    <n v="0"/>
    <n v="0"/>
    <m/>
    <n v="7"/>
    <n v="0"/>
    <n v="0"/>
    <m/>
    <n v="0"/>
    <x v="0"/>
    <x v="0"/>
    <m/>
    <m/>
    <m/>
    <n v="0.6"/>
    <s v="Communal"/>
    <n v="0"/>
    <n v="3"/>
    <n v="2"/>
    <n v="0"/>
    <n v="0"/>
    <x v="0"/>
    <m/>
    <m/>
    <m/>
    <m/>
    <s v="no test"/>
    <s v="no test"/>
    <x v="1"/>
    <n v="1"/>
    <n v="1"/>
    <n v="1"/>
    <n v="304"/>
    <n v="0"/>
    <n v="0"/>
    <n v="1"/>
    <n v="304"/>
    <n v="0.60799999999999998"/>
    <n v="0"/>
    <n v="0"/>
    <n v="0.39200000000000002"/>
    <n v="1"/>
    <n v="7"/>
    <n v="0.46052631578947367"/>
    <n v="140"/>
    <n v="0.52631578947368418"/>
    <n v="8"/>
    <n v="15"/>
    <n v="0"/>
    <n v="0"/>
    <n v="304"/>
    <n v="0"/>
    <n v="1"/>
    <n v="0"/>
    <n v="0"/>
    <n v="0"/>
    <n v="1"/>
    <n v="1"/>
    <n v="0"/>
    <n v="0"/>
    <n v="0"/>
    <n v="0"/>
    <n v="0"/>
    <n v="36.6"/>
    <s v="Yes"/>
    <s v="KBC"/>
    <x v="1"/>
    <x v="0"/>
    <x v="0"/>
    <x v="0"/>
    <n v="25.360463124999999"/>
    <n v="97.4113064583333"/>
    <s v="MMR001CMP016"/>
    <x v="0"/>
    <m/>
  </r>
  <r>
    <x v="0"/>
    <x v="3"/>
    <x v="0"/>
    <x v="7"/>
    <x v="106"/>
    <n v="103"/>
    <n v="581"/>
    <m/>
    <s v="Plan/GFFO,ADRA/CANADA  "/>
    <s v="30/04/2019,31/12/2018"/>
    <n v="0"/>
    <s v="Yes"/>
    <n v="0.6"/>
    <n v="0.5"/>
    <n v="1"/>
    <n v="2"/>
    <n v="2000"/>
    <n v="0"/>
    <n v="0"/>
    <m/>
    <n v="0"/>
    <n v="0"/>
    <n v="0"/>
    <n v="0"/>
    <n v="0"/>
    <m/>
    <n v="34"/>
    <n v="0"/>
    <n v="0"/>
    <m/>
    <n v="0"/>
    <x v="0"/>
    <x v="0"/>
    <m/>
    <m/>
    <m/>
    <n v="0.6"/>
    <s v="Communal"/>
    <n v="0"/>
    <n v="2"/>
    <n v="2"/>
    <n v="0"/>
    <n v="0"/>
    <x v="0"/>
    <m/>
    <m/>
    <m/>
    <m/>
    <s v="no test"/>
    <s v="no test"/>
    <x v="1"/>
    <n v="1"/>
    <n v="1"/>
    <n v="1"/>
    <n v="581"/>
    <n v="0"/>
    <n v="0"/>
    <n v="1"/>
    <n v="581"/>
    <n v="1.1619999999999999"/>
    <n v="0"/>
    <n v="0"/>
    <n v="0"/>
    <n v="1"/>
    <n v="34"/>
    <n v="1"/>
    <n v="581"/>
    <n v="0"/>
    <n v="0"/>
    <n v="29"/>
    <n v="0"/>
    <n v="0"/>
    <n v="581"/>
    <n v="0"/>
    <n v="1"/>
    <n v="0"/>
    <n v="0"/>
    <n v="0"/>
    <n v="1"/>
    <n v="1"/>
    <n v="0"/>
    <n v="0"/>
    <n v="0"/>
    <n v="0"/>
    <n v="0"/>
    <n v="61.8"/>
    <s v="Yes"/>
    <s v="KBC"/>
    <x v="1"/>
    <x v="0"/>
    <x v="0"/>
    <x v="0"/>
    <n v="25.428910999999999"/>
    <n v="97.418694000000002"/>
    <s v="MMR001CMP008"/>
    <x v="0"/>
    <m/>
  </r>
  <r>
    <x v="0"/>
    <x v="4"/>
    <x v="0"/>
    <x v="7"/>
    <x v="107"/>
    <n v="24"/>
    <n v="97"/>
    <m/>
    <s v="OFDA"/>
    <d v="2017-07-31T00:00:00"/>
    <n v="0"/>
    <s v="Yes"/>
    <n v="1"/>
    <n v="1"/>
    <n v="1"/>
    <n v="1"/>
    <n v="1000"/>
    <n v="0"/>
    <n v="1"/>
    <m/>
    <n v="2"/>
    <n v="0"/>
    <n v="4"/>
    <n v="2"/>
    <n v="0"/>
    <m/>
    <n v="3"/>
    <n v="0"/>
    <n v="2"/>
    <s v="two times"/>
    <n v="3"/>
    <x v="0"/>
    <x v="2"/>
    <n v="0"/>
    <n v="0"/>
    <m/>
    <n v="0.6"/>
    <s v="Communal"/>
    <n v="0"/>
    <n v="2"/>
    <n v="0"/>
    <n v="0"/>
    <n v="0"/>
    <x v="0"/>
    <m/>
    <n v="1"/>
    <m/>
    <m/>
    <n v="0"/>
    <n v="0.5"/>
    <x v="0"/>
    <n v="1"/>
    <n v="1"/>
    <n v="1"/>
    <n v="97"/>
    <n v="0"/>
    <n v="0"/>
    <n v="1"/>
    <n v="97"/>
    <n v="0.19400000000000001"/>
    <n v="0"/>
    <n v="0"/>
    <n v="0.80600000000000005"/>
    <n v="1"/>
    <n v="3"/>
    <n v="0.61855670103092786"/>
    <n v="60"/>
    <n v="0.41237113402061859"/>
    <n v="2"/>
    <n v="5"/>
    <n v="0"/>
    <n v="40"/>
    <n v="0"/>
    <n v="0"/>
    <n v="0"/>
    <n v="0"/>
    <n v="0"/>
    <n v="0"/>
    <n v="1"/>
    <n v="0"/>
    <n v="0"/>
    <n v="0"/>
    <n v="0"/>
    <n v="0"/>
    <n v="0"/>
    <n v="14.399999999999999"/>
    <s v="Yes"/>
    <s v="Shalom"/>
    <x v="1"/>
    <x v="0"/>
    <x v="0"/>
    <x v="0"/>
    <n v="25.374343974359"/>
    <n v="97.2843958974359"/>
    <s v="MMR001CMP020"/>
    <x v="0"/>
    <m/>
  </r>
  <r>
    <x v="0"/>
    <x v="4"/>
    <x v="0"/>
    <x v="7"/>
    <x v="108"/>
    <n v="14"/>
    <n v="76"/>
    <m/>
    <s v="OFDA"/>
    <d v="2017-07-31T00:00:00"/>
    <n v="0"/>
    <s v="Yes"/>
    <n v="0.6"/>
    <n v="1"/>
    <n v="1"/>
    <n v="0"/>
    <n v="1000"/>
    <n v="0"/>
    <n v="1"/>
    <m/>
    <n v="2"/>
    <n v="1"/>
    <n v="4"/>
    <n v="2"/>
    <n v="0"/>
    <m/>
    <n v="3"/>
    <n v="0"/>
    <n v="3"/>
    <s v="two times"/>
    <n v="3"/>
    <x v="0"/>
    <x v="2"/>
    <n v="0"/>
    <n v="0"/>
    <m/>
    <n v="0.6"/>
    <s v="Communal"/>
    <n v="0"/>
    <n v="1"/>
    <n v="0"/>
    <n v="0"/>
    <n v="0"/>
    <x v="0"/>
    <m/>
    <n v="1"/>
    <m/>
    <m/>
    <n v="0.5"/>
    <n v="0.5"/>
    <x v="0"/>
    <n v="1"/>
    <n v="1"/>
    <n v="1"/>
    <n v="76"/>
    <n v="0"/>
    <n v="0"/>
    <n v="1"/>
    <n v="76"/>
    <n v="0.152"/>
    <n v="0"/>
    <n v="0"/>
    <n v="0.84799999999999998"/>
    <n v="1"/>
    <n v="3"/>
    <n v="0.78947368421052633"/>
    <n v="60"/>
    <n v="0.26315789473684209"/>
    <n v="1"/>
    <n v="4"/>
    <n v="0"/>
    <n v="60"/>
    <n v="0"/>
    <n v="0"/>
    <n v="0"/>
    <n v="0"/>
    <n v="0"/>
    <n v="0"/>
    <n v="1"/>
    <n v="0"/>
    <n v="0"/>
    <n v="0"/>
    <n v="0"/>
    <n v="0"/>
    <n v="0"/>
    <n v="8.4"/>
    <s v="Yes"/>
    <s v="Shalom"/>
    <x v="1"/>
    <x v="0"/>
    <x v="0"/>
    <x v="0"/>
    <n v="25.371049444444399"/>
    <n v="97.290952037037002"/>
    <s v="MMR001CMP021"/>
    <x v="0"/>
    <m/>
  </r>
  <r>
    <x v="0"/>
    <x v="5"/>
    <x v="0"/>
    <x v="7"/>
    <x v="109"/>
    <n v="63"/>
    <n v="311"/>
    <m/>
    <s v="DFID/UNICEF"/>
    <d v="2018-12-31T00:00:00"/>
    <n v="0"/>
    <s v="Yes"/>
    <n v="0.5"/>
    <n v="0.2"/>
    <n v="0"/>
    <n v="4"/>
    <n v="7000"/>
    <n v="0"/>
    <n v="4"/>
    <m/>
    <n v="0"/>
    <n v="0"/>
    <n v="0"/>
    <n v="0"/>
    <n v="0"/>
    <m/>
    <n v="20"/>
    <n v="0"/>
    <n v="0"/>
    <s v="one time"/>
    <n v="13"/>
    <x v="0"/>
    <x v="0"/>
    <n v="0"/>
    <n v="0"/>
    <m/>
    <n v="0"/>
    <s v="Communal"/>
    <n v="0"/>
    <n v="3"/>
    <n v="2"/>
    <n v="0"/>
    <n v="0"/>
    <x v="1"/>
    <m/>
    <m/>
    <m/>
    <m/>
    <s v="no test"/>
    <s v="no test"/>
    <x v="1"/>
    <n v="1"/>
    <n v="1"/>
    <n v="1"/>
    <n v="311"/>
    <n v="0"/>
    <n v="0"/>
    <n v="1"/>
    <n v="311"/>
    <n v="0.622"/>
    <n v="0"/>
    <n v="0"/>
    <n v="0.378"/>
    <n v="1"/>
    <n v="20"/>
    <n v="1"/>
    <n v="311"/>
    <n v="0"/>
    <n v="0"/>
    <n v="16"/>
    <n v="0"/>
    <n v="0"/>
    <n v="311"/>
    <n v="0"/>
    <n v="1"/>
    <n v="0"/>
    <n v="0"/>
    <n v="0"/>
    <n v="1"/>
    <n v="1"/>
    <n v="0"/>
    <n v="0"/>
    <n v="0"/>
    <n v="0"/>
    <n v="0"/>
    <n v="0"/>
    <s v="Yes"/>
    <s v="KMSS-MYT"/>
    <x v="1"/>
    <x v="0"/>
    <x v="0"/>
    <x v="0"/>
    <n v="25.410569299999999"/>
    <n v="97.359320179999997"/>
    <s v="MMR001CMP024"/>
    <x v="0"/>
    <m/>
  </r>
  <r>
    <x v="0"/>
    <x v="3"/>
    <x v="0"/>
    <x v="7"/>
    <x v="110"/>
    <n v="67"/>
    <n v="295"/>
    <m/>
    <s v="Plan/GFFO,ADRA/CANADA  "/>
    <s v="30/04/2019,31/12/2018"/>
    <n v="0"/>
    <s v="Yes"/>
    <n v="0.6"/>
    <n v="0.5"/>
    <n v="1"/>
    <n v="2"/>
    <n v="1500"/>
    <n v="0"/>
    <n v="0"/>
    <m/>
    <n v="0"/>
    <n v="0"/>
    <n v="0"/>
    <n v="0"/>
    <n v="0"/>
    <m/>
    <n v="10"/>
    <n v="0"/>
    <n v="8"/>
    <m/>
    <n v="0"/>
    <x v="0"/>
    <x v="0"/>
    <m/>
    <m/>
    <m/>
    <n v="0.6"/>
    <s v="Communal"/>
    <n v="0"/>
    <n v="2"/>
    <n v="1"/>
    <n v="0"/>
    <n v="0"/>
    <x v="0"/>
    <m/>
    <m/>
    <m/>
    <m/>
    <s v="no test"/>
    <s v="no test"/>
    <x v="1"/>
    <n v="1"/>
    <n v="1"/>
    <n v="1"/>
    <n v="295"/>
    <n v="0"/>
    <n v="0"/>
    <n v="1"/>
    <n v="295"/>
    <n v="0.59"/>
    <n v="0"/>
    <n v="0"/>
    <n v="0.41000000000000003"/>
    <n v="1"/>
    <n v="10"/>
    <n v="0.67796610169491522"/>
    <n v="200"/>
    <n v="0.33898305084745761"/>
    <n v="5"/>
    <n v="15"/>
    <n v="0"/>
    <n v="160"/>
    <n v="295"/>
    <n v="0"/>
    <n v="1"/>
    <n v="0"/>
    <n v="0"/>
    <n v="0"/>
    <n v="1"/>
    <n v="1"/>
    <n v="0"/>
    <n v="0"/>
    <n v="0"/>
    <n v="0"/>
    <n v="0"/>
    <n v="40.199999999999996"/>
    <s v="Yes"/>
    <s v="KBC"/>
    <x v="1"/>
    <x v="0"/>
    <x v="0"/>
    <x v="0"/>
    <n v="25.422194000000001"/>
    <n v="97.394547000000003"/>
    <s v="MMR001CMP002"/>
    <x v="0"/>
    <m/>
  </r>
  <r>
    <x v="0"/>
    <x v="5"/>
    <x v="0"/>
    <x v="7"/>
    <x v="111"/>
    <n v="49"/>
    <n v="289"/>
    <m/>
    <s v="DFID/UNICEF"/>
    <d v="2018-12-31T00:00:00"/>
    <n v="0"/>
    <s v="Yes"/>
    <n v="0.6"/>
    <n v="0.5"/>
    <n v="2"/>
    <n v="0"/>
    <n v="6000"/>
    <n v="0"/>
    <n v="0"/>
    <m/>
    <n v="0"/>
    <n v="0"/>
    <n v="0"/>
    <n v="0"/>
    <n v="0"/>
    <m/>
    <n v="12"/>
    <n v="0"/>
    <n v="0"/>
    <m/>
    <n v="12"/>
    <x v="0"/>
    <x v="0"/>
    <n v="0"/>
    <n v="0"/>
    <m/>
    <n v="0"/>
    <s v="Communal"/>
    <n v="0"/>
    <n v="3"/>
    <n v="2"/>
    <n v="0"/>
    <n v="0"/>
    <x v="1"/>
    <m/>
    <m/>
    <m/>
    <m/>
    <s v="no test"/>
    <s v="no test"/>
    <x v="1"/>
    <n v="1"/>
    <n v="1"/>
    <n v="1"/>
    <n v="289"/>
    <n v="0"/>
    <n v="0"/>
    <n v="1"/>
    <n v="289"/>
    <n v="0.57799999999999996"/>
    <n v="0"/>
    <n v="0"/>
    <n v="0.42200000000000004"/>
    <n v="1"/>
    <n v="12"/>
    <n v="0.83044982698961933"/>
    <n v="240"/>
    <n v="0.13840830449826991"/>
    <n v="2"/>
    <n v="14"/>
    <n v="0"/>
    <n v="0"/>
    <n v="289"/>
    <n v="0"/>
    <n v="1"/>
    <n v="0"/>
    <n v="0"/>
    <n v="0"/>
    <n v="1"/>
    <n v="1"/>
    <n v="0"/>
    <n v="0"/>
    <n v="0"/>
    <n v="0"/>
    <n v="0"/>
    <n v="0"/>
    <s v="Yes"/>
    <s v="KMSS-MYT"/>
    <x v="1"/>
    <x v="0"/>
    <x v="0"/>
    <x v="0"/>
    <n v="25.493819999999999"/>
    <n v="97.4345"/>
    <s v="MMR001CMP162"/>
    <x v="0"/>
    <m/>
  </r>
  <r>
    <x v="0"/>
    <x v="2"/>
    <x v="0"/>
    <x v="7"/>
    <x v="112"/>
    <n v="46"/>
    <n v="212"/>
    <m/>
    <m/>
    <m/>
    <m/>
    <m/>
    <m/>
    <m/>
    <m/>
    <m/>
    <m/>
    <m/>
    <m/>
    <m/>
    <m/>
    <m/>
    <m/>
    <m/>
    <m/>
    <m/>
    <m/>
    <m/>
    <m/>
    <m/>
    <m/>
    <x v="2"/>
    <x v="3"/>
    <m/>
    <m/>
    <m/>
    <m/>
    <m/>
    <m/>
    <m/>
    <m/>
    <m/>
    <m/>
    <x v="0"/>
    <m/>
    <m/>
    <m/>
    <m/>
    <s v="no test"/>
    <s v="no test"/>
    <x v="1"/>
    <n v="0"/>
    <n v="0"/>
    <n v="0"/>
    <n v="0"/>
    <n v="0"/>
    <n v="0"/>
    <n v="0"/>
    <n v="0"/>
    <n v="0"/>
    <n v="1"/>
    <n v="212"/>
    <n v="1"/>
    <n v="1"/>
    <n v="0"/>
    <n v="0"/>
    <n v="0"/>
    <n v="1"/>
    <n v="11"/>
    <n v="11"/>
    <n v="0"/>
    <n v="0"/>
    <n v="0"/>
    <n v="0"/>
    <n v="0"/>
    <n v="0"/>
    <n v="0"/>
    <n v="0"/>
    <n v="1"/>
    <n v="0"/>
    <n v="0"/>
    <n v="0"/>
    <n v="0"/>
    <n v="0"/>
    <n v="0"/>
    <n v="0"/>
    <n v="0"/>
    <s v="uncovered"/>
    <x v="1"/>
    <x v="0"/>
    <x v="2"/>
    <x v="0"/>
    <n v="25.493819999999999"/>
    <n v="97.4345"/>
    <s v="MMR001CMP271"/>
    <x v="1"/>
    <m/>
  </r>
  <r>
    <x v="0"/>
    <x v="3"/>
    <x v="0"/>
    <x v="7"/>
    <x v="113"/>
    <n v="119"/>
    <n v="569"/>
    <m/>
    <s v="Plan/GFFO,ADRA/CANADA  "/>
    <s v="30/04/2019,31/12/2018"/>
    <n v="0"/>
    <s v="Yes"/>
    <n v="0.6"/>
    <n v="0.5"/>
    <n v="1"/>
    <n v="1"/>
    <n v="3000"/>
    <n v="0"/>
    <n v="0"/>
    <m/>
    <n v="0"/>
    <n v="0"/>
    <n v="0"/>
    <n v="0"/>
    <n v="0"/>
    <m/>
    <n v="13"/>
    <n v="0"/>
    <n v="0"/>
    <m/>
    <n v="0"/>
    <x v="0"/>
    <x v="0"/>
    <m/>
    <m/>
    <m/>
    <n v="0.6"/>
    <s v="Both"/>
    <n v="0"/>
    <n v="2"/>
    <n v="2"/>
    <n v="0"/>
    <n v="0"/>
    <x v="0"/>
    <m/>
    <m/>
    <m/>
    <m/>
    <s v="no test"/>
    <s v="no test"/>
    <x v="1"/>
    <n v="1"/>
    <n v="1"/>
    <n v="1"/>
    <n v="569"/>
    <n v="0"/>
    <n v="0"/>
    <n v="1"/>
    <n v="569"/>
    <n v="1.1379999999999999"/>
    <n v="0"/>
    <n v="0"/>
    <n v="0"/>
    <n v="1"/>
    <n v="13"/>
    <n v="0.45694200351493847"/>
    <n v="260"/>
    <n v="0.52724077328646746"/>
    <n v="15"/>
    <n v="28"/>
    <n v="0"/>
    <n v="0"/>
    <n v="569"/>
    <n v="0"/>
    <n v="1"/>
    <n v="0"/>
    <n v="0"/>
    <n v="0"/>
    <n v="1"/>
    <n v="1"/>
    <n v="0"/>
    <n v="0"/>
    <n v="0"/>
    <n v="0"/>
    <n v="0"/>
    <n v="71.399999999999991"/>
    <s v="Yes"/>
    <s v="KBC"/>
    <x v="1"/>
    <x v="0"/>
    <x v="0"/>
    <x v="0"/>
    <n v="25.412313000000001"/>
    <n v="97.399628000000007"/>
    <s v="MMR001CMP006"/>
    <x v="0"/>
    <m/>
  </r>
  <r>
    <x v="0"/>
    <x v="4"/>
    <x v="0"/>
    <x v="7"/>
    <x v="114"/>
    <n v="23"/>
    <n v="114"/>
    <m/>
    <s v="OFDA"/>
    <d v="2017-07-31T00:00:00"/>
    <n v="0"/>
    <s v="Yes"/>
    <n v="0.71"/>
    <n v="1"/>
    <n v="1"/>
    <n v="0"/>
    <n v="0"/>
    <n v="0"/>
    <n v="2"/>
    <m/>
    <n v="1"/>
    <n v="0"/>
    <n v="3"/>
    <n v="0"/>
    <n v="0"/>
    <m/>
    <n v="7"/>
    <n v="0"/>
    <n v="0"/>
    <s v="one time"/>
    <n v="7"/>
    <x v="0"/>
    <x v="2"/>
    <n v="0"/>
    <n v="0"/>
    <m/>
    <n v="0.6"/>
    <s v="Communal"/>
    <n v="0"/>
    <n v="2"/>
    <n v="0"/>
    <n v="0"/>
    <n v="0"/>
    <x v="0"/>
    <m/>
    <n v="1"/>
    <m/>
    <m/>
    <n v="0"/>
    <n v="0"/>
    <x v="0"/>
    <n v="1"/>
    <n v="1"/>
    <n v="1"/>
    <n v="114"/>
    <n v="0"/>
    <n v="0"/>
    <n v="1"/>
    <n v="114"/>
    <n v="0.22800000000000001"/>
    <n v="0"/>
    <n v="0"/>
    <n v="0.77200000000000002"/>
    <n v="1"/>
    <n v="7"/>
    <n v="1"/>
    <n v="114"/>
    <n v="0"/>
    <n v="0"/>
    <n v="6"/>
    <n v="0"/>
    <n v="0"/>
    <n v="0"/>
    <n v="0"/>
    <n v="0"/>
    <n v="0"/>
    <n v="0"/>
    <n v="0"/>
    <n v="1"/>
    <n v="0"/>
    <n v="0"/>
    <n v="0"/>
    <n v="0"/>
    <n v="0"/>
    <n v="0"/>
    <n v="13.799999999999999"/>
    <s v="Yes"/>
    <s v="Shalom"/>
    <x v="1"/>
    <x v="0"/>
    <x v="0"/>
    <x v="0"/>
    <n v="25.423817"/>
    <n v="97.418004999999994"/>
    <s v="MMR001CMP007"/>
    <x v="0"/>
    <m/>
  </r>
  <r>
    <x v="0"/>
    <x v="3"/>
    <x v="0"/>
    <x v="7"/>
    <x v="115"/>
    <n v="91"/>
    <n v="501"/>
    <m/>
    <s v="Plan/GFFO,ADRA/CANADA  "/>
    <s v="30/04/2019,31/12/2018"/>
    <n v="0"/>
    <s v="Yes"/>
    <n v="0.6"/>
    <n v="0.5"/>
    <n v="1"/>
    <n v="1"/>
    <n v="0"/>
    <n v="0"/>
    <n v="0"/>
    <m/>
    <n v="0"/>
    <n v="0"/>
    <n v="0"/>
    <n v="0"/>
    <n v="0"/>
    <m/>
    <n v="17"/>
    <n v="0"/>
    <n v="0"/>
    <m/>
    <n v="0"/>
    <x v="0"/>
    <x v="0"/>
    <m/>
    <m/>
    <m/>
    <n v="0.6"/>
    <s v="Both"/>
    <n v="0"/>
    <n v="2"/>
    <n v="2"/>
    <n v="0"/>
    <n v="0"/>
    <x v="0"/>
    <m/>
    <m/>
    <m/>
    <m/>
    <s v="no test"/>
    <s v="no test"/>
    <x v="1"/>
    <n v="1"/>
    <n v="0.99800399201596801"/>
    <n v="1"/>
    <n v="501"/>
    <n v="0"/>
    <n v="0"/>
    <n v="1"/>
    <n v="501"/>
    <n v="1.002"/>
    <n v="0"/>
    <n v="0"/>
    <n v="0"/>
    <n v="1"/>
    <n v="17"/>
    <n v="0.67864271457085823"/>
    <n v="340"/>
    <n v="0.31936127744510978"/>
    <n v="8"/>
    <n v="25"/>
    <n v="0"/>
    <n v="0"/>
    <n v="501"/>
    <n v="0"/>
    <n v="1"/>
    <n v="0"/>
    <n v="0"/>
    <n v="0"/>
    <n v="1"/>
    <n v="1"/>
    <n v="0"/>
    <n v="0"/>
    <n v="0"/>
    <n v="0"/>
    <n v="0"/>
    <n v="54.6"/>
    <s v="Yes"/>
    <s v="KBC"/>
    <x v="1"/>
    <x v="0"/>
    <x v="0"/>
    <x v="0"/>
    <n v="25.440928"/>
    <n v="97.419403000000003"/>
    <s v="MMR001CMP009"/>
    <x v="0"/>
    <m/>
  </r>
  <r>
    <x v="0"/>
    <x v="2"/>
    <x v="0"/>
    <x v="7"/>
    <x v="116"/>
    <n v="235"/>
    <n v="1043"/>
    <m/>
    <m/>
    <m/>
    <m/>
    <m/>
    <m/>
    <m/>
    <m/>
    <m/>
    <m/>
    <m/>
    <m/>
    <m/>
    <m/>
    <m/>
    <m/>
    <m/>
    <m/>
    <m/>
    <m/>
    <m/>
    <m/>
    <m/>
    <m/>
    <x v="2"/>
    <x v="3"/>
    <m/>
    <m/>
    <m/>
    <m/>
    <m/>
    <m/>
    <m/>
    <m/>
    <m/>
    <m/>
    <x v="0"/>
    <m/>
    <m/>
    <m/>
    <m/>
    <s v="no test"/>
    <s v="no test"/>
    <x v="1"/>
    <n v="0"/>
    <n v="0"/>
    <n v="0"/>
    <n v="0"/>
    <n v="0"/>
    <n v="0"/>
    <n v="0"/>
    <n v="0"/>
    <n v="0"/>
    <n v="1"/>
    <n v="1043"/>
    <n v="2"/>
    <n v="2"/>
    <n v="0"/>
    <n v="0"/>
    <n v="0"/>
    <n v="0.99712368168744014"/>
    <n v="52"/>
    <n v="52"/>
    <n v="0"/>
    <n v="0"/>
    <n v="0"/>
    <n v="0"/>
    <n v="0"/>
    <n v="0"/>
    <n v="0"/>
    <n v="0"/>
    <n v="1"/>
    <n v="0"/>
    <n v="0"/>
    <n v="0"/>
    <n v="0"/>
    <n v="0"/>
    <n v="0"/>
    <n v="0"/>
    <n v="0"/>
    <s v="uncovered"/>
    <x v="1"/>
    <x v="0"/>
    <x v="2"/>
    <x v="0"/>
    <n v="97.49136"/>
    <n v="25.717300000000002"/>
    <s v="MMR001CMP264"/>
    <x v="1"/>
    <m/>
  </r>
  <r>
    <x v="0"/>
    <x v="3"/>
    <x v="0"/>
    <x v="7"/>
    <x v="117"/>
    <n v="69"/>
    <n v="369"/>
    <m/>
    <s v="Plan/GFFO,ADRA/CANADA  "/>
    <s v="30/04/2019,31/12/2018"/>
    <n v="0"/>
    <s v="Yes"/>
    <n v="0.6"/>
    <n v="0.5"/>
    <n v="0"/>
    <n v="2"/>
    <n v="1500"/>
    <n v="0"/>
    <n v="0"/>
    <m/>
    <n v="0"/>
    <n v="0"/>
    <n v="0"/>
    <n v="0"/>
    <n v="0"/>
    <m/>
    <n v="11"/>
    <n v="8"/>
    <n v="0"/>
    <m/>
    <n v="0"/>
    <x v="0"/>
    <x v="0"/>
    <m/>
    <m/>
    <m/>
    <n v="0.6"/>
    <s v="Both"/>
    <n v="0"/>
    <n v="2"/>
    <n v="2"/>
    <n v="0"/>
    <n v="0"/>
    <x v="0"/>
    <m/>
    <m/>
    <m/>
    <m/>
    <s v="no test"/>
    <s v="no test"/>
    <x v="1"/>
    <n v="1"/>
    <n v="1"/>
    <n v="1"/>
    <n v="369"/>
    <n v="0"/>
    <n v="0"/>
    <n v="1"/>
    <n v="369"/>
    <n v="0.73799999999999999"/>
    <n v="0"/>
    <n v="0"/>
    <n v="0.26200000000000001"/>
    <n v="1"/>
    <n v="19"/>
    <n v="0.59620596205962062"/>
    <n v="220"/>
    <n v="0"/>
    <n v="0"/>
    <n v="18"/>
    <n v="0.42105263157894735"/>
    <n v="0"/>
    <n v="369"/>
    <n v="0"/>
    <n v="1"/>
    <n v="0"/>
    <n v="0"/>
    <n v="0"/>
    <n v="1"/>
    <n v="1"/>
    <n v="0"/>
    <n v="0"/>
    <n v="0"/>
    <n v="0"/>
    <n v="0"/>
    <n v="41.4"/>
    <s v="Yes"/>
    <s v="KBC"/>
    <x v="1"/>
    <x v="0"/>
    <x v="0"/>
    <x v="0"/>
    <n v="25.415482000000001"/>
    <n v="97.386718999999999"/>
    <s v="MMR001CMP001"/>
    <x v="0"/>
    <m/>
  </r>
  <r>
    <x v="0"/>
    <x v="4"/>
    <x v="0"/>
    <x v="7"/>
    <x v="118"/>
    <n v="54"/>
    <n v="266"/>
    <m/>
    <s v="OFDA"/>
    <d v="2017-07-31T00:00:00"/>
    <n v="0"/>
    <s v="Yes"/>
    <n v="0.71"/>
    <n v="1"/>
    <n v="1"/>
    <n v="4"/>
    <n v="2000"/>
    <n v="0"/>
    <n v="1"/>
    <m/>
    <n v="4"/>
    <n v="4"/>
    <n v="4"/>
    <n v="1"/>
    <n v="0"/>
    <m/>
    <n v="10"/>
    <n v="2"/>
    <n v="4"/>
    <s v="two times"/>
    <n v="10"/>
    <x v="0"/>
    <x v="0"/>
    <n v="0"/>
    <n v="0"/>
    <m/>
    <n v="0.5"/>
    <s v="Communal"/>
    <n v="0"/>
    <n v="4"/>
    <n v="0"/>
    <n v="0"/>
    <n v="0"/>
    <x v="0"/>
    <m/>
    <n v="1"/>
    <m/>
    <m/>
    <n v="1"/>
    <n v="0.25"/>
    <x v="0"/>
    <n v="1"/>
    <n v="1"/>
    <n v="1"/>
    <n v="266"/>
    <n v="0"/>
    <n v="0"/>
    <n v="1"/>
    <n v="266"/>
    <n v="0.53200000000000003"/>
    <n v="0"/>
    <n v="0"/>
    <n v="0.46799999999999997"/>
    <n v="1"/>
    <n v="12"/>
    <n v="0.75187969924812026"/>
    <n v="200"/>
    <n v="7.5187969924812026E-2"/>
    <n v="1"/>
    <n v="13"/>
    <n v="0.16666666666666666"/>
    <n v="80"/>
    <n v="0"/>
    <n v="0"/>
    <n v="0"/>
    <n v="0"/>
    <n v="0"/>
    <n v="0"/>
    <n v="1"/>
    <n v="0"/>
    <n v="0"/>
    <n v="0"/>
    <n v="0"/>
    <n v="0"/>
    <n v="0"/>
    <n v="27"/>
    <s v="Yes"/>
    <s v="Shalom"/>
    <x v="1"/>
    <x v="0"/>
    <x v="0"/>
    <x v="0"/>
    <n v="25.423209"/>
    <n v="97.379987"/>
    <s v="MMR001CMP023"/>
    <x v="0"/>
    <m/>
  </r>
  <r>
    <x v="0"/>
    <x v="4"/>
    <x v="0"/>
    <x v="7"/>
    <x v="119"/>
    <n v="7"/>
    <n v="31"/>
    <m/>
    <s v="OFDA"/>
    <d v="2017-07-31T00:00:00"/>
    <n v="0"/>
    <s v="Yes"/>
    <n v="0.5"/>
    <n v="1"/>
    <n v="0"/>
    <n v="1"/>
    <n v="400"/>
    <n v="0"/>
    <n v="0"/>
    <m/>
    <n v="1"/>
    <n v="0"/>
    <n v="2"/>
    <n v="0"/>
    <n v="0"/>
    <m/>
    <n v="2"/>
    <n v="0"/>
    <n v="0"/>
    <s v="one time"/>
    <n v="2"/>
    <x v="0"/>
    <x v="2"/>
    <n v="0"/>
    <n v="0"/>
    <m/>
    <n v="0.5"/>
    <s v="Communal"/>
    <n v="0"/>
    <n v="2"/>
    <n v="0"/>
    <n v="0"/>
    <n v="0"/>
    <x v="0"/>
    <m/>
    <n v="1"/>
    <m/>
    <m/>
    <n v="0"/>
    <n v="0"/>
    <x v="0"/>
    <n v="1"/>
    <n v="1"/>
    <n v="1"/>
    <n v="31"/>
    <n v="0"/>
    <n v="0"/>
    <n v="1"/>
    <n v="31"/>
    <n v="6.2E-2"/>
    <n v="0"/>
    <n v="0"/>
    <n v="0.93799999999999994"/>
    <n v="1"/>
    <n v="2"/>
    <n v="1"/>
    <n v="31"/>
    <n v="0"/>
    <n v="0"/>
    <n v="2"/>
    <n v="0"/>
    <n v="0"/>
    <n v="0"/>
    <n v="0"/>
    <n v="0"/>
    <n v="0"/>
    <n v="0"/>
    <n v="0"/>
    <n v="1"/>
    <n v="0"/>
    <n v="0"/>
    <n v="0"/>
    <n v="0"/>
    <n v="0"/>
    <n v="0"/>
    <n v="3.5"/>
    <s v="Yes"/>
    <s v="uncovered"/>
    <x v="1"/>
    <x v="0"/>
    <x v="2"/>
    <x v="0"/>
    <n v="25.417733999999999"/>
    <n v="97.389778000000007"/>
    <s v="MMR001CMP004"/>
    <x v="0"/>
    <m/>
  </r>
  <r>
    <x v="0"/>
    <x v="3"/>
    <x v="0"/>
    <x v="7"/>
    <x v="120"/>
    <n v="30"/>
    <n v="171"/>
    <m/>
    <s v="Plan/GFFO,ADRA/CANADA  "/>
    <s v="30/04/2019,31/12/2018"/>
    <n v="0"/>
    <s v="Yes"/>
    <n v="0.6"/>
    <n v="0.5"/>
    <n v="0"/>
    <n v="3"/>
    <n v="0"/>
    <n v="0"/>
    <n v="0"/>
    <m/>
    <n v="0"/>
    <n v="0"/>
    <n v="0"/>
    <n v="0"/>
    <n v="0"/>
    <m/>
    <n v="5"/>
    <n v="0"/>
    <n v="0"/>
    <m/>
    <n v="0"/>
    <x v="0"/>
    <x v="2"/>
    <m/>
    <m/>
    <m/>
    <n v="0.6"/>
    <s v="Both"/>
    <n v="0"/>
    <n v="2"/>
    <n v="1"/>
    <n v="0"/>
    <n v="0"/>
    <x v="0"/>
    <m/>
    <m/>
    <m/>
    <m/>
    <s v="no test"/>
    <s v="no test"/>
    <x v="1"/>
    <n v="1"/>
    <n v="1"/>
    <n v="1"/>
    <n v="171"/>
    <n v="0"/>
    <n v="0"/>
    <n v="1"/>
    <n v="171"/>
    <n v="0.34200000000000003"/>
    <n v="0"/>
    <n v="0"/>
    <n v="0.65799999999999992"/>
    <n v="1"/>
    <n v="5"/>
    <n v="0.58479532163742687"/>
    <n v="100"/>
    <n v="0.46783625730994149"/>
    <n v="4"/>
    <n v="9"/>
    <n v="0"/>
    <n v="0"/>
    <n v="171"/>
    <n v="0"/>
    <n v="1"/>
    <n v="0"/>
    <n v="0"/>
    <n v="0"/>
    <n v="1"/>
    <n v="1"/>
    <n v="0"/>
    <n v="0"/>
    <n v="0"/>
    <n v="0"/>
    <n v="0"/>
    <n v="18"/>
    <s v="Yes"/>
    <s v="KBC"/>
    <x v="1"/>
    <x v="0"/>
    <x v="0"/>
    <x v="0"/>
    <n v="25.404752999999999"/>
    <n v="97.377662999999998"/>
    <s v="MMR001CMP003"/>
    <x v="0"/>
    <m/>
  </r>
  <r>
    <x v="0"/>
    <x v="3"/>
    <x v="0"/>
    <x v="7"/>
    <x v="121"/>
    <n v="46"/>
    <n v="239"/>
    <m/>
    <s v="Plan/GFFO,ADRA/CANADA  "/>
    <s v="30/04/2019,31/12/2018"/>
    <n v="0"/>
    <s v="Yes"/>
    <n v="0.6"/>
    <n v="0.5"/>
    <n v="0"/>
    <n v="3"/>
    <n v="2000"/>
    <n v="0"/>
    <n v="0"/>
    <m/>
    <n v="0"/>
    <n v="0"/>
    <n v="0"/>
    <n v="0"/>
    <n v="0"/>
    <m/>
    <n v="13"/>
    <n v="0"/>
    <n v="0"/>
    <m/>
    <n v="0"/>
    <x v="0"/>
    <x v="0"/>
    <m/>
    <m/>
    <m/>
    <n v="0.6"/>
    <s v="Both"/>
    <n v="0"/>
    <n v="3"/>
    <n v="1"/>
    <n v="0"/>
    <n v="0"/>
    <x v="0"/>
    <m/>
    <m/>
    <m/>
    <m/>
    <s v="no test"/>
    <s v="no test"/>
    <x v="1"/>
    <n v="1"/>
    <n v="1"/>
    <n v="1"/>
    <n v="239"/>
    <n v="0"/>
    <n v="0"/>
    <n v="1"/>
    <n v="239"/>
    <n v="0.47799999999999998"/>
    <n v="0"/>
    <n v="0"/>
    <n v="0.52200000000000002"/>
    <n v="1"/>
    <n v="13"/>
    <n v="1"/>
    <n v="239"/>
    <n v="0"/>
    <n v="0"/>
    <n v="12"/>
    <n v="0"/>
    <n v="0"/>
    <n v="239"/>
    <n v="0"/>
    <n v="1"/>
    <n v="0"/>
    <n v="0"/>
    <n v="0"/>
    <n v="1"/>
    <n v="1"/>
    <n v="0"/>
    <n v="0"/>
    <n v="0"/>
    <n v="0"/>
    <n v="0"/>
    <n v="27.599999999999998"/>
    <s v="Yes"/>
    <s v="KBC"/>
    <x v="1"/>
    <x v="0"/>
    <x v="0"/>
    <x v="0"/>
    <n v="25.404015000000001"/>
    <n v="97.382192000000003"/>
    <s v="MMR001CMP005"/>
    <x v="0"/>
    <m/>
  </r>
  <r>
    <x v="0"/>
    <x v="3"/>
    <x v="0"/>
    <x v="7"/>
    <x v="122"/>
    <n v="18"/>
    <n v="87"/>
    <m/>
    <s v="ADRA/CANADA"/>
    <d v="2018-12-31T00:00:00"/>
    <m/>
    <s v="Yes"/>
    <n v="0.8"/>
    <n v="0.6"/>
    <m/>
    <m/>
    <m/>
    <m/>
    <m/>
    <m/>
    <m/>
    <m/>
    <m/>
    <m/>
    <m/>
    <m/>
    <n v="6"/>
    <m/>
    <m/>
    <m/>
    <m/>
    <x v="2"/>
    <x v="3"/>
    <m/>
    <m/>
    <m/>
    <m/>
    <m/>
    <m/>
    <m/>
    <m/>
    <m/>
    <m/>
    <x v="0"/>
    <m/>
    <m/>
    <m/>
    <m/>
    <s v="no test"/>
    <s v="no test"/>
    <x v="1"/>
    <n v="0"/>
    <n v="0"/>
    <n v="0"/>
    <n v="0"/>
    <n v="0"/>
    <n v="0"/>
    <n v="0"/>
    <n v="0"/>
    <n v="0"/>
    <n v="1"/>
    <n v="87"/>
    <n v="1"/>
    <n v="1"/>
    <n v="6"/>
    <n v="1"/>
    <n v="87"/>
    <n v="0"/>
    <n v="0"/>
    <n v="4"/>
    <n v="0"/>
    <n v="0"/>
    <n v="0"/>
    <n v="0"/>
    <n v="0"/>
    <n v="0"/>
    <n v="0"/>
    <n v="0"/>
    <n v="1"/>
    <n v="0"/>
    <n v="0"/>
    <n v="0"/>
    <n v="0"/>
    <n v="0"/>
    <n v="0"/>
    <n v="0"/>
    <n v="0"/>
    <s v="uncovered"/>
    <x v="1"/>
    <x v="0"/>
    <x v="2"/>
    <x v="0"/>
    <n v="0"/>
    <n v="0"/>
    <s v="MMR001CMP267"/>
    <x v="0"/>
    <m/>
  </r>
  <r>
    <x v="0"/>
    <x v="3"/>
    <x v="0"/>
    <x v="7"/>
    <x v="123"/>
    <n v="169"/>
    <n v="724"/>
    <m/>
    <s v="ADRA/CANADA"/>
    <d v="2018-12-31T00:00:00"/>
    <m/>
    <s v="Yes"/>
    <n v="0.8"/>
    <n v="0.6"/>
    <n v="1"/>
    <n v="3"/>
    <m/>
    <m/>
    <m/>
    <m/>
    <m/>
    <m/>
    <m/>
    <m/>
    <m/>
    <m/>
    <n v="10"/>
    <m/>
    <m/>
    <m/>
    <m/>
    <x v="2"/>
    <x v="3"/>
    <m/>
    <m/>
    <m/>
    <m/>
    <m/>
    <m/>
    <m/>
    <m/>
    <m/>
    <m/>
    <x v="0"/>
    <m/>
    <m/>
    <m/>
    <m/>
    <s v="no test"/>
    <s v="no test"/>
    <x v="1"/>
    <n v="1"/>
    <n v="1"/>
    <n v="1"/>
    <n v="724"/>
    <n v="0"/>
    <n v="0"/>
    <n v="1"/>
    <n v="724"/>
    <n v="1.448"/>
    <n v="0"/>
    <n v="0"/>
    <n v="0"/>
    <n v="1"/>
    <n v="10"/>
    <n v="0.27624309392265195"/>
    <n v="200"/>
    <n v="0.71823204419889497"/>
    <n v="26"/>
    <n v="36"/>
    <n v="0"/>
    <n v="0"/>
    <n v="0"/>
    <n v="0"/>
    <n v="0"/>
    <n v="0"/>
    <n v="0"/>
    <n v="0"/>
    <n v="1"/>
    <n v="0"/>
    <n v="0"/>
    <n v="0"/>
    <n v="0"/>
    <n v="0"/>
    <n v="0"/>
    <n v="0"/>
    <n v="0"/>
    <s v="KBC"/>
    <x v="1"/>
    <x v="0"/>
    <x v="0"/>
    <x v="0"/>
    <n v="97.431079999999994"/>
    <n v="25.480989999999998"/>
    <s v="MMR001CMP263"/>
    <x v="0"/>
    <m/>
  </r>
  <r>
    <x v="0"/>
    <x v="2"/>
    <x v="0"/>
    <x v="8"/>
    <x v="124"/>
    <n v="10"/>
    <n v="56"/>
    <m/>
    <m/>
    <m/>
    <m/>
    <s v="No"/>
    <n v="0"/>
    <n v="0"/>
    <m/>
    <m/>
    <m/>
    <m/>
    <m/>
    <m/>
    <m/>
    <m/>
    <m/>
    <m/>
    <m/>
    <m/>
    <n v="0"/>
    <m/>
    <m/>
    <m/>
    <m/>
    <x v="1"/>
    <x v="1"/>
    <m/>
    <m/>
    <m/>
    <m/>
    <m/>
    <m/>
    <m/>
    <m/>
    <m/>
    <m/>
    <x v="0"/>
    <m/>
    <m/>
    <m/>
    <m/>
    <s v="no test"/>
    <s v="no test"/>
    <x v="1"/>
    <n v="0"/>
    <n v="0"/>
    <n v="0"/>
    <n v="0"/>
    <n v="0"/>
    <n v="0"/>
    <n v="0"/>
    <n v="0"/>
    <n v="0"/>
    <n v="1"/>
    <n v="56"/>
    <n v="1"/>
    <n v="1"/>
    <n v="0"/>
    <n v="0"/>
    <n v="0"/>
    <n v="1"/>
    <n v="3"/>
    <n v="3"/>
    <n v="0"/>
    <n v="0"/>
    <n v="0"/>
    <n v="0"/>
    <n v="0"/>
    <n v="0"/>
    <n v="0"/>
    <n v="0"/>
    <n v="1"/>
    <n v="0"/>
    <n v="0"/>
    <n v="0"/>
    <n v="0"/>
    <n v="0"/>
    <n v="0"/>
    <n v="0"/>
    <n v="0"/>
    <s v="uncovered"/>
    <x v="1"/>
    <x v="0"/>
    <x v="1"/>
    <x v="0"/>
    <n v="27.248964999999998"/>
    <n v="97.561105999999995"/>
    <s v="MMR001CMP227"/>
    <x v="1"/>
    <m/>
  </r>
  <r>
    <x v="0"/>
    <x v="3"/>
    <x v="0"/>
    <x v="8"/>
    <x v="125"/>
    <n v="61"/>
    <n v="281"/>
    <m/>
    <s v="ADRA/CANADA"/>
    <d v="2018-12-31T00:00:00"/>
    <n v="0"/>
    <s v="Yes"/>
    <n v="0.6"/>
    <n v="0.5"/>
    <n v="1"/>
    <n v="0"/>
    <n v="2000"/>
    <n v="1"/>
    <n v="0"/>
    <m/>
    <n v="0"/>
    <n v="0"/>
    <n v="0"/>
    <n v="0"/>
    <n v="0"/>
    <m/>
    <n v="8"/>
    <n v="0"/>
    <n v="0"/>
    <m/>
    <n v="0"/>
    <x v="0"/>
    <x v="0"/>
    <m/>
    <m/>
    <m/>
    <n v="0.6"/>
    <s v="Both"/>
    <n v="0"/>
    <n v="2"/>
    <n v="2"/>
    <n v="0"/>
    <n v="0"/>
    <x v="0"/>
    <m/>
    <m/>
    <m/>
    <m/>
    <s v="no test"/>
    <s v="no test"/>
    <x v="1"/>
    <n v="1"/>
    <n v="1"/>
    <n v="1"/>
    <n v="281"/>
    <n v="0.88967971530249113"/>
    <n v="250"/>
    <n v="1"/>
    <n v="281"/>
    <n v="0.56200000000000006"/>
    <n v="0"/>
    <n v="0"/>
    <n v="0.43799999999999994"/>
    <n v="1"/>
    <n v="8"/>
    <n v="0.56939501779359436"/>
    <n v="160.00000000000003"/>
    <n v="0.42704626334519569"/>
    <n v="6"/>
    <n v="14"/>
    <n v="0"/>
    <n v="0"/>
    <n v="281"/>
    <n v="0"/>
    <n v="1"/>
    <n v="0"/>
    <n v="0"/>
    <n v="0"/>
    <n v="1"/>
    <n v="1"/>
    <n v="0"/>
    <n v="0"/>
    <n v="0"/>
    <n v="0"/>
    <n v="0"/>
    <n v="36.6"/>
    <s v="Yes"/>
    <s v="KBC"/>
    <x v="1"/>
    <x v="0"/>
    <x v="0"/>
    <x v="0"/>
    <n v="27.337499999999999"/>
    <n v="97.416121000000004"/>
    <s v="MMR001CMP234"/>
    <x v="0"/>
    <m/>
  </r>
  <r>
    <x v="0"/>
    <x v="2"/>
    <x v="0"/>
    <x v="8"/>
    <x v="126"/>
    <n v="14"/>
    <n v="75"/>
    <m/>
    <m/>
    <m/>
    <m/>
    <s v="No"/>
    <n v="0"/>
    <n v="0"/>
    <m/>
    <m/>
    <m/>
    <m/>
    <m/>
    <m/>
    <m/>
    <m/>
    <m/>
    <m/>
    <m/>
    <m/>
    <n v="0"/>
    <m/>
    <m/>
    <m/>
    <m/>
    <x v="1"/>
    <x v="1"/>
    <m/>
    <m/>
    <m/>
    <m/>
    <m/>
    <m/>
    <m/>
    <m/>
    <m/>
    <m/>
    <x v="0"/>
    <m/>
    <m/>
    <m/>
    <m/>
    <s v="no test"/>
    <s v="no test"/>
    <x v="1"/>
    <n v="0"/>
    <n v="0"/>
    <n v="0"/>
    <n v="0"/>
    <n v="0"/>
    <n v="0"/>
    <n v="0"/>
    <n v="0"/>
    <n v="0"/>
    <n v="1"/>
    <n v="75"/>
    <n v="1"/>
    <n v="1"/>
    <n v="0"/>
    <n v="0"/>
    <n v="0"/>
    <n v="1"/>
    <n v="4"/>
    <n v="4"/>
    <n v="0"/>
    <n v="0"/>
    <n v="0"/>
    <n v="0"/>
    <n v="0"/>
    <n v="0"/>
    <n v="0"/>
    <n v="0"/>
    <n v="1"/>
    <n v="0"/>
    <n v="0"/>
    <n v="0"/>
    <n v="0"/>
    <n v="0"/>
    <n v="0"/>
    <n v="0"/>
    <n v="0"/>
    <s v="uncovered"/>
    <x v="1"/>
    <x v="0"/>
    <x v="1"/>
    <x v="0"/>
    <n v="27.311699999999998"/>
    <n v="97.415289999999999"/>
    <s v="MMR001CMP075"/>
    <x v="1"/>
    <m/>
  </r>
  <r>
    <x v="0"/>
    <x v="3"/>
    <x v="0"/>
    <x v="9"/>
    <x v="127"/>
    <n v="86"/>
    <n v="381"/>
    <m/>
    <m/>
    <m/>
    <m/>
    <m/>
    <m/>
    <m/>
    <m/>
    <m/>
    <m/>
    <m/>
    <m/>
    <m/>
    <m/>
    <m/>
    <m/>
    <m/>
    <m/>
    <m/>
    <m/>
    <m/>
    <m/>
    <m/>
    <m/>
    <x v="2"/>
    <x v="3"/>
    <m/>
    <m/>
    <m/>
    <m/>
    <m/>
    <m/>
    <m/>
    <m/>
    <m/>
    <m/>
    <x v="0"/>
    <m/>
    <m/>
    <m/>
    <m/>
    <s v="no test"/>
    <s v="no test"/>
    <x v="1"/>
    <n v="0"/>
    <n v="0"/>
    <n v="0"/>
    <n v="0"/>
    <n v="0"/>
    <n v="0"/>
    <n v="0"/>
    <n v="0"/>
    <n v="0"/>
    <n v="1"/>
    <n v="381"/>
    <n v="1"/>
    <n v="1"/>
    <n v="0"/>
    <n v="0"/>
    <n v="0"/>
    <n v="0.99737532808398943"/>
    <n v="19"/>
    <n v="19"/>
    <n v="0"/>
    <n v="0"/>
    <n v="0"/>
    <n v="0"/>
    <n v="0"/>
    <n v="0"/>
    <n v="0"/>
    <n v="0"/>
    <n v="1"/>
    <n v="0"/>
    <n v="0"/>
    <n v="0"/>
    <n v="0"/>
    <n v="0"/>
    <n v="0"/>
    <n v="0"/>
    <n v="0"/>
    <n v="0"/>
    <x v="0"/>
    <x v="0"/>
    <x v="2"/>
    <x v="1"/>
    <n v="0"/>
    <n v="0"/>
    <n v="0"/>
    <x v="0"/>
    <m/>
  </r>
  <r>
    <x v="0"/>
    <x v="3"/>
    <x v="0"/>
    <x v="9"/>
    <x v="128"/>
    <n v="228"/>
    <n v="1015"/>
    <n v="0"/>
    <s v="MHF"/>
    <d v="2018-09-04T00:00:00"/>
    <n v="0"/>
    <s v="Yes"/>
    <n v="0.4"/>
    <n v="0.4"/>
    <n v="13"/>
    <n v="1"/>
    <n v="20300"/>
    <n v="0"/>
    <m/>
    <m/>
    <n v="15"/>
    <n v="0"/>
    <n v="24"/>
    <n v="8"/>
    <n v="6"/>
    <m/>
    <n v="16"/>
    <n v="0"/>
    <n v="0"/>
    <m/>
    <m/>
    <x v="0"/>
    <x v="4"/>
    <n v="0"/>
    <m/>
    <m/>
    <n v="0"/>
    <s v="Both"/>
    <m/>
    <m/>
    <m/>
    <m/>
    <m/>
    <x v="1"/>
    <m/>
    <m/>
    <m/>
    <m/>
    <n v="0"/>
    <n v="0.33333333333333331"/>
    <x v="0"/>
    <n v="1"/>
    <n v="1"/>
    <n v="1"/>
    <n v="1015"/>
    <n v="0"/>
    <n v="0"/>
    <n v="1"/>
    <n v="1015"/>
    <n v="2.0299999999999998"/>
    <n v="0"/>
    <n v="0"/>
    <n v="0"/>
    <n v="2"/>
    <n v="16"/>
    <n v="0.31527093596059114"/>
    <n v="320"/>
    <n v="0.68965517241379315"/>
    <n v="35"/>
    <n v="51"/>
    <n v="0"/>
    <n v="0"/>
    <n v="0"/>
    <n v="0"/>
    <n v="0"/>
    <n v="0"/>
    <n v="0"/>
    <n v="0"/>
    <n v="1"/>
    <n v="0"/>
    <n v="0"/>
    <n v="0"/>
    <n v="0"/>
    <n v="0"/>
    <n v="0"/>
    <n v="0"/>
    <n v="0"/>
    <n v="0"/>
    <x v="0"/>
    <x v="0"/>
    <x v="2"/>
    <x v="1"/>
    <n v="0"/>
    <n v="0"/>
    <n v="0"/>
    <x v="0"/>
    <m/>
  </r>
  <r>
    <x v="0"/>
    <x v="1"/>
    <x v="0"/>
    <x v="9"/>
    <x v="129"/>
    <n v="45"/>
    <n v="259"/>
    <m/>
    <s v="USAID, Christian AID, HIDA"/>
    <s v="9/1/2018,1-dec-2018"/>
    <n v="0"/>
    <s v="Yes"/>
    <n v="0.8"/>
    <n v="0.6"/>
    <n v="0"/>
    <n v="1"/>
    <n v="0"/>
    <n v="0"/>
    <n v="0"/>
    <m/>
    <m/>
    <m/>
    <m/>
    <m/>
    <m/>
    <m/>
    <n v="13"/>
    <n v="0"/>
    <m/>
    <m/>
    <n v="0"/>
    <x v="0"/>
    <x v="0"/>
    <m/>
    <m/>
    <m/>
    <n v="1"/>
    <s v="Both"/>
    <n v="0"/>
    <n v="5"/>
    <n v="1"/>
    <n v="45"/>
    <n v="45"/>
    <x v="0"/>
    <m/>
    <m/>
    <m/>
    <m/>
    <s v="no test"/>
    <s v="no test"/>
    <x v="1"/>
    <n v="1"/>
    <n v="0.96525096525096521"/>
    <n v="1"/>
    <n v="259"/>
    <n v="0"/>
    <n v="0"/>
    <n v="1"/>
    <n v="259"/>
    <n v="0.51800000000000002"/>
    <n v="0"/>
    <n v="0"/>
    <n v="0.48199999999999998"/>
    <n v="1"/>
    <n v="13"/>
    <n v="1"/>
    <n v="259"/>
    <n v="0"/>
    <n v="0"/>
    <n v="13"/>
    <n v="0"/>
    <n v="0"/>
    <n v="259"/>
    <n v="1"/>
    <n v="1"/>
    <n v="1"/>
    <n v="259"/>
    <n v="1"/>
    <n v="0"/>
    <n v="1"/>
    <n v="1"/>
    <n v="1"/>
    <n v="225"/>
    <n v="225"/>
    <n v="225"/>
    <n v="45"/>
    <s v="Yes"/>
    <s v="KBC"/>
    <x v="1"/>
    <x v="0"/>
    <x v="0"/>
    <x v="0"/>
    <n v="24.200361000000001"/>
    <n v="96.807353000000006"/>
    <s v="MMR001CMP067"/>
    <x v="0"/>
    <m/>
  </r>
  <r>
    <x v="0"/>
    <x v="1"/>
    <x v="0"/>
    <x v="9"/>
    <x v="130"/>
    <n v="33"/>
    <n v="169"/>
    <m/>
    <s v="USAID, Christian AID, HIDA"/>
    <s v="9/1/2018,1-dec-2018"/>
    <n v="0"/>
    <s v="Yes"/>
    <n v="0.8"/>
    <n v="0.6"/>
    <n v="0"/>
    <n v="1"/>
    <n v="0"/>
    <n v="0"/>
    <n v="0"/>
    <m/>
    <m/>
    <m/>
    <m/>
    <m/>
    <m/>
    <m/>
    <n v="14"/>
    <n v="0"/>
    <n v="0"/>
    <m/>
    <n v="0"/>
    <x v="0"/>
    <x v="0"/>
    <m/>
    <m/>
    <m/>
    <n v="1"/>
    <s v="Both"/>
    <n v="0"/>
    <n v="3"/>
    <n v="1"/>
    <n v="33"/>
    <n v="33"/>
    <x v="0"/>
    <m/>
    <m/>
    <m/>
    <m/>
    <s v="no test"/>
    <s v="no test"/>
    <x v="1"/>
    <n v="1"/>
    <n v="1"/>
    <n v="1"/>
    <n v="169"/>
    <n v="0"/>
    <n v="0"/>
    <n v="1"/>
    <n v="169"/>
    <n v="0.33800000000000002"/>
    <n v="0"/>
    <n v="0"/>
    <n v="0.66199999999999992"/>
    <n v="1"/>
    <n v="14"/>
    <n v="1"/>
    <n v="169"/>
    <n v="0"/>
    <n v="0"/>
    <n v="8"/>
    <n v="0"/>
    <n v="0"/>
    <n v="169"/>
    <n v="1"/>
    <n v="1"/>
    <n v="1"/>
    <n v="169"/>
    <n v="1"/>
    <n v="0"/>
    <n v="1"/>
    <n v="1"/>
    <n v="1"/>
    <n v="165"/>
    <n v="165"/>
    <n v="165"/>
    <n v="33"/>
    <s v="Yes"/>
    <s v="KMSS-BMO"/>
    <x v="1"/>
    <x v="0"/>
    <x v="0"/>
    <x v="0"/>
    <n v="24.200367"/>
    <n v="96.807353000000006"/>
    <s v="MMR001CMP068"/>
    <x v="0"/>
    <m/>
  </r>
  <r>
    <x v="0"/>
    <x v="3"/>
    <x v="0"/>
    <x v="9"/>
    <x v="131"/>
    <n v="63"/>
    <n v="270"/>
    <m/>
    <m/>
    <m/>
    <m/>
    <m/>
    <m/>
    <m/>
    <m/>
    <m/>
    <m/>
    <m/>
    <m/>
    <m/>
    <m/>
    <m/>
    <m/>
    <m/>
    <m/>
    <m/>
    <m/>
    <m/>
    <m/>
    <m/>
    <m/>
    <x v="2"/>
    <x v="3"/>
    <m/>
    <m/>
    <m/>
    <m/>
    <m/>
    <m/>
    <m/>
    <m/>
    <m/>
    <m/>
    <x v="0"/>
    <m/>
    <m/>
    <m/>
    <m/>
    <s v="no test"/>
    <s v="no test"/>
    <x v="1"/>
    <n v="0"/>
    <n v="0"/>
    <n v="0"/>
    <n v="0"/>
    <n v="0"/>
    <n v="0"/>
    <n v="0"/>
    <n v="0"/>
    <n v="0"/>
    <n v="1"/>
    <n v="270"/>
    <n v="1"/>
    <n v="1"/>
    <n v="0"/>
    <n v="0"/>
    <n v="0"/>
    <n v="1"/>
    <n v="14"/>
    <n v="14"/>
    <n v="0"/>
    <n v="0"/>
    <n v="0"/>
    <n v="0"/>
    <n v="0"/>
    <n v="0"/>
    <n v="0"/>
    <n v="0"/>
    <n v="1"/>
    <n v="0"/>
    <n v="0"/>
    <n v="0"/>
    <n v="0"/>
    <n v="0"/>
    <n v="0"/>
    <n v="0"/>
    <n v="0"/>
    <n v="0"/>
    <x v="0"/>
    <x v="0"/>
    <x v="2"/>
    <x v="1"/>
    <n v="0"/>
    <n v="0"/>
    <n v="0"/>
    <x v="0"/>
    <m/>
  </r>
  <r>
    <x v="0"/>
    <x v="3"/>
    <x v="0"/>
    <x v="9"/>
    <x v="132"/>
    <n v="78"/>
    <n v="324"/>
    <m/>
    <m/>
    <m/>
    <m/>
    <m/>
    <m/>
    <m/>
    <m/>
    <m/>
    <m/>
    <m/>
    <m/>
    <m/>
    <m/>
    <m/>
    <m/>
    <m/>
    <m/>
    <m/>
    <m/>
    <m/>
    <m/>
    <m/>
    <m/>
    <x v="2"/>
    <x v="3"/>
    <m/>
    <m/>
    <m/>
    <m/>
    <m/>
    <m/>
    <m/>
    <m/>
    <m/>
    <m/>
    <x v="0"/>
    <m/>
    <m/>
    <m/>
    <m/>
    <s v="no test"/>
    <s v="no test"/>
    <x v="1"/>
    <n v="0"/>
    <n v="0"/>
    <n v="0"/>
    <n v="0"/>
    <n v="0"/>
    <n v="0"/>
    <n v="0"/>
    <n v="0"/>
    <n v="0"/>
    <n v="1"/>
    <n v="324"/>
    <n v="1"/>
    <n v="1"/>
    <n v="0"/>
    <n v="0"/>
    <n v="0"/>
    <n v="0.98765432098765438"/>
    <n v="16"/>
    <n v="16"/>
    <n v="0"/>
    <n v="0"/>
    <n v="0"/>
    <n v="0"/>
    <n v="0"/>
    <n v="0"/>
    <n v="0"/>
    <n v="0"/>
    <n v="1"/>
    <n v="0"/>
    <n v="0"/>
    <n v="0"/>
    <n v="0"/>
    <n v="0"/>
    <n v="0"/>
    <n v="0"/>
    <n v="0"/>
    <n v="0"/>
    <x v="0"/>
    <x v="0"/>
    <x v="2"/>
    <x v="1"/>
    <n v="0"/>
    <n v="0"/>
    <n v="0"/>
    <x v="0"/>
    <m/>
  </r>
  <r>
    <x v="0"/>
    <x v="3"/>
    <x v="0"/>
    <x v="10"/>
    <x v="133"/>
    <n v="127"/>
    <n v="547"/>
    <m/>
    <s v="ADRA/CANADA"/>
    <d v="2018-12-31T00:00:00"/>
    <n v="0"/>
    <s v="Yes"/>
    <n v="0.5"/>
    <n v="0.5"/>
    <n v="0"/>
    <n v="0"/>
    <n v="0"/>
    <n v="0"/>
    <n v="0"/>
    <m/>
    <n v="0"/>
    <n v="0"/>
    <n v="0"/>
    <n v="0"/>
    <n v="0"/>
    <m/>
    <n v="74"/>
    <n v="0"/>
    <n v="0"/>
    <m/>
    <n v="0"/>
    <x v="4"/>
    <x v="0"/>
    <m/>
    <m/>
    <m/>
    <n v="0.2"/>
    <s v="Household"/>
    <n v="0"/>
    <n v="0"/>
    <n v="2"/>
    <n v="0"/>
    <n v="0"/>
    <x v="0"/>
    <m/>
    <m/>
    <m/>
    <m/>
    <s v="no test"/>
    <s v="no test"/>
    <x v="1"/>
    <n v="0"/>
    <n v="0"/>
    <n v="0"/>
    <n v="0"/>
    <n v="0"/>
    <n v="0"/>
    <n v="0"/>
    <n v="0"/>
    <n v="0"/>
    <n v="1"/>
    <n v="547"/>
    <n v="1"/>
    <n v="1"/>
    <n v="74"/>
    <n v="1"/>
    <n v="547"/>
    <n v="0"/>
    <n v="0"/>
    <n v="27"/>
    <n v="0"/>
    <n v="0"/>
    <n v="547"/>
    <n v="0"/>
    <n v="1"/>
    <n v="0"/>
    <n v="0"/>
    <n v="0"/>
    <n v="1"/>
    <n v="1"/>
    <n v="0"/>
    <n v="0"/>
    <n v="0"/>
    <n v="0"/>
    <n v="0"/>
    <n v="25.400000000000002"/>
    <s v="Yes"/>
    <s v="KBC"/>
    <x v="1"/>
    <x v="0"/>
    <x v="0"/>
    <x v="1"/>
    <n v="26.569633"/>
    <n v="97.745480999999998"/>
    <s v="MMR001CMP238"/>
    <x v="0"/>
    <m/>
  </r>
  <r>
    <x v="0"/>
    <x v="3"/>
    <x v="0"/>
    <x v="10"/>
    <x v="134"/>
    <n v="68"/>
    <n v="268"/>
    <m/>
    <s v="ADRA/CANADA"/>
    <d v="2018-12-31T00:00:00"/>
    <n v="0"/>
    <s v="Yes"/>
    <n v="0.4"/>
    <n v="0.5"/>
    <n v="0"/>
    <n v="0"/>
    <n v="0"/>
    <n v="0"/>
    <n v="0"/>
    <m/>
    <n v="0"/>
    <n v="0"/>
    <n v="0"/>
    <n v="0"/>
    <n v="0"/>
    <m/>
    <n v="65"/>
    <n v="0"/>
    <n v="0"/>
    <m/>
    <n v="0"/>
    <x v="4"/>
    <x v="0"/>
    <m/>
    <m/>
    <m/>
    <n v="0.2"/>
    <s v="Household"/>
    <n v="0"/>
    <n v="0"/>
    <n v="1"/>
    <n v="0"/>
    <n v="0"/>
    <x v="0"/>
    <m/>
    <m/>
    <m/>
    <m/>
    <s v="no test"/>
    <s v="no test"/>
    <x v="1"/>
    <n v="0"/>
    <n v="0"/>
    <n v="0"/>
    <n v="0"/>
    <n v="0"/>
    <n v="0"/>
    <n v="0"/>
    <n v="0"/>
    <n v="0"/>
    <n v="1"/>
    <n v="268"/>
    <n v="1"/>
    <n v="1"/>
    <n v="65"/>
    <n v="1"/>
    <n v="268"/>
    <n v="0"/>
    <n v="0"/>
    <n v="13"/>
    <n v="0"/>
    <n v="0"/>
    <n v="268"/>
    <n v="0"/>
    <n v="1"/>
    <n v="0"/>
    <n v="0"/>
    <n v="0"/>
    <n v="1"/>
    <n v="1"/>
    <n v="0"/>
    <n v="0"/>
    <n v="0"/>
    <n v="0"/>
    <n v="0"/>
    <n v="13.600000000000001"/>
    <s v="Yes"/>
    <s v="KBC"/>
    <x v="1"/>
    <x v="0"/>
    <x v="0"/>
    <x v="1"/>
    <n v="26.548506"/>
    <n v="97.75609"/>
    <s v="MMR001CMP239"/>
    <x v="0"/>
    <m/>
  </r>
  <r>
    <x v="0"/>
    <x v="2"/>
    <x v="0"/>
    <x v="10"/>
    <x v="135"/>
    <n v="5"/>
    <n v="32"/>
    <m/>
    <m/>
    <m/>
    <m/>
    <s v="No"/>
    <n v="0"/>
    <n v="0"/>
    <m/>
    <m/>
    <m/>
    <m/>
    <m/>
    <m/>
    <m/>
    <m/>
    <m/>
    <m/>
    <m/>
    <m/>
    <n v="0"/>
    <m/>
    <m/>
    <m/>
    <m/>
    <x v="1"/>
    <x v="1"/>
    <m/>
    <m/>
    <m/>
    <m/>
    <m/>
    <m/>
    <m/>
    <m/>
    <m/>
    <m/>
    <x v="0"/>
    <m/>
    <m/>
    <m/>
    <m/>
    <s v="no test"/>
    <s v="no test"/>
    <x v="1"/>
    <n v="0"/>
    <n v="0"/>
    <n v="0"/>
    <n v="0"/>
    <n v="0"/>
    <n v="0"/>
    <n v="0"/>
    <n v="0"/>
    <n v="0"/>
    <n v="1"/>
    <n v="32"/>
    <n v="1"/>
    <n v="1"/>
    <n v="0"/>
    <n v="0"/>
    <n v="0"/>
    <n v="1"/>
    <n v="2"/>
    <n v="2"/>
    <n v="0"/>
    <n v="0"/>
    <n v="0"/>
    <n v="0"/>
    <n v="0"/>
    <n v="0"/>
    <n v="0"/>
    <n v="0"/>
    <n v="1"/>
    <n v="0"/>
    <n v="0"/>
    <n v="0"/>
    <n v="0"/>
    <n v="0"/>
    <n v="0"/>
    <n v="0"/>
    <n v="0"/>
    <s v="uncovered"/>
    <x v="1"/>
    <x v="0"/>
    <x v="2"/>
    <x v="0"/>
    <n v="26.541930000000001"/>
    <n v="97.568836000000005"/>
    <s v="MMR001CMP206"/>
    <x v="1"/>
    <m/>
  </r>
  <r>
    <x v="0"/>
    <x v="2"/>
    <x v="0"/>
    <x v="11"/>
    <x v="136"/>
    <n v="72"/>
    <n v="228"/>
    <m/>
    <m/>
    <m/>
    <m/>
    <m/>
    <m/>
    <m/>
    <m/>
    <m/>
    <m/>
    <m/>
    <m/>
    <m/>
    <m/>
    <m/>
    <m/>
    <m/>
    <m/>
    <m/>
    <m/>
    <m/>
    <m/>
    <m/>
    <m/>
    <x v="2"/>
    <x v="3"/>
    <m/>
    <m/>
    <m/>
    <m/>
    <m/>
    <m/>
    <m/>
    <m/>
    <m/>
    <m/>
    <x v="0"/>
    <m/>
    <m/>
    <m/>
    <m/>
    <s v="no test"/>
    <s v="no test"/>
    <x v="1"/>
    <n v="0"/>
    <n v="0"/>
    <n v="0"/>
    <n v="0"/>
    <n v="0"/>
    <n v="0"/>
    <n v="0"/>
    <n v="0"/>
    <n v="0"/>
    <n v="1"/>
    <n v="228"/>
    <n v="1"/>
    <n v="1"/>
    <n v="0"/>
    <n v="0"/>
    <n v="0"/>
    <n v="0.96491228070175439"/>
    <n v="11"/>
    <n v="11"/>
    <n v="0"/>
    <n v="0"/>
    <n v="0"/>
    <n v="0"/>
    <n v="0"/>
    <n v="0"/>
    <n v="0"/>
    <n v="0"/>
    <n v="1"/>
    <n v="0"/>
    <n v="0"/>
    <n v="0"/>
    <n v="0"/>
    <n v="0"/>
    <n v="0"/>
    <n v="0"/>
    <n v="0"/>
    <n v="0"/>
    <x v="0"/>
    <x v="0"/>
    <x v="2"/>
    <x v="0"/>
    <n v="0"/>
    <n v="0"/>
    <n v="0"/>
    <x v="1"/>
    <m/>
  </r>
  <r>
    <x v="0"/>
    <x v="2"/>
    <x v="0"/>
    <x v="11"/>
    <x v="137"/>
    <n v="110"/>
    <n v="566"/>
    <m/>
    <m/>
    <m/>
    <m/>
    <m/>
    <m/>
    <m/>
    <m/>
    <m/>
    <m/>
    <m/>
    <m/>
    <m/>
    <m/>
    <m/>
    <m/>
    <m/>
    <m/>
    <m/>
    <m/>
    <m/>
    <m/>
    <m/>
    <m/>
    <x v="2"/>
    <x v="3"/>
    <m/>
    <m/>
    <m/>
    <m/>
    <m/>
    <m/>
    <m/>
    <m/>
    <m/>
    <m/>
    <x v="0"/>
    <m/>
    <m/>
    <m/>
    <m/>
    <s v="no test"/>
    <s v="no test"/>
    <x v="1"/>
    <n v="0"/>
    <n v="0"/>
    <n v="0"/>
    <n v="0"/>
    <n v="0"/>
    <n v="0"/>
    <n v="0"/>
    <n v="0"/>
    <n v="0"/>
    <n v="1"/>
    <n v="566"/>
    <n v="1"/>
    <n v="1"/>
    <n v="0"/>
    <n v="0"/>
    <n v="0"/>
    <n v="0.98939929328621901"/>
    <n v="28"/>
    <n v="28"/>
    <n v="0"/>
    <n v="0"/>
    <n v="0"/>
    <n v="0"/>
    <n v="0"/>
    <n v="0"/>
    <n v="0"/>
    <n v="0"/>
    <n v="1"/>
    <n v="0"/>
    <n v="0"/>
    <n v="0"/>
    <n v="0"/>
    <n v="0"/>
    <n v="0"/>
    <n v="0"/>
    <n v="0"/>
    <n v="0"/>
    <x v="0"/>
    <x v="0"/>
    <x v="2"/>
    <x v="0"/>
    <n v="0"/>
    <n v="0"/>
    <n v="0"/>
    <x v="1"/>
    <m/>
  </r>
  <r>
    <x v="0"/>
    <x v="5"/>
    <x v="0"/>
    <x v="11"/>
    <x v="138"/>
    <n v="42"/>
    <n v="205"/>
    <m/>
    <s v="UNICEF"/>
    <d v="2018-12-31T00:00:00"/>
    <n v="0"/>
    <s v="Yes"/>
    <n v="0.7"/>
    <n v="0.7"/>
    <n v="0"/>
    <n v="0"/>
    <n v="2000"/>
    <n v="0"/>
    <n v="0"/>
    <m/>
    <n v="0"/>
    <n v="0"/>
    <n v="0"/>
    <n v="0"/>
    <n v="0"/>
    <s v="Need to be construction Tube well"/>
    <n v="2"/>
    <n v="0"/>
    <n v="0"/>
    <m/>
    <n v="0"/>
    <x v="0"/>
    <x v="2"/>
    <n v="0"/>
    <n v="0"/>
    <m/>
    <n v="0"/>
    <s v="Communal"/>
    <n v="0"/>
    <n v="0"/>
    <n v="2"/>
    <n v="0"/>
    <n v="0"/>
    <x v="1"/>
    <m/>
    <m/>
    <m/>
    <s v="Need Hygiene Kits and  Hygiene Promotion"/>
    <s v="no test"/>
    <s v="no test"/>
    <x v="1"/>
    <n v="0.65040650406504075"/>
    <n v="0.65040650406504075"/>
    <n v="0.65040650406504075"/>
    <n v="133.33333333333334"/>
    <n v="0"/>
    <n v="0"/>
    <n v="0.65040650406504075"/>
    <n v="133.33333333333334"/>
    <n v="0.26666666666666666"/>
    <n v="0.34959349593495925"/>
    <n v="71.666666666666643"/>
    <n v="0.73333333333333339"/>
    <n v="1"/>
    <n v="2"/>
    <n v="0.1951219512195122"/>
    <n v="40"/>
    <n v="0.78048780487804881"/>
    <n v="8"/>
    <n v="10"/>
    <n v="0"/>
    <n v="0"/>
    <n v="205"/>
    <n v="0"/>
    <n v="1"/>
    <n v="0"/>
    <n v="0"/>
    <n v="0"/>
    <n v="1"/>
    <n v="1"/>
    <n v="0"/>
    <n v="0"/>
    <n v="0"/>
    <n v="0"/>
    <n v="0"/>
    <n v="0"/>
    <n v="0"/>
    <s v="uncovered"/>
    <x v="1"/>
    <x v="0"/>
    <x v="2"/>
    <x v="0"/>
    <n v="0"/>
    <n v="0"/>
    <s v="MMR001CMP252"/>
    <x v="0"/>
    <m/>
  </r>
  <r>
    <x v="0"/>
    <x v="5"/>
    <x v="0"/>
    <x v="11"/>
    <x v="139"/>
    <n v="36"/>
    <n v="152"/>
    <m/>
    <s v="UNICEF"/>
    <d v="2018-12-31T00:00:00"/>
    <n v="0"/>
    <s v="Yes"/>
    <n v="0.7"/>
    <n v="0.7"/>
    <n v="0"/>
    <n v="2"/>
    <n v="3500"/>
    <n v="0"/>
    <n v="0"/>
    <m/>
    <n v="1"/>
    <n v="1"/>
    <n v="0"/>
    <n v="0"/>
    <n v="0"/>
    <s v="Need to be construction Tube well"/>
    <n v="8"/>
    <n v="0"/>
    <n v="0"/>
    <m/>
    <n v="0"/>
    <x v="0"/>
    <x v="2"/>
    <n v="0"/>
    <n v="0"/>
    <m/>
    <n v="0"/>
    <s v="Communal"/>
    <n v="2"/>
    <n v="0"/>
    <n v="2"/>
    <n v="0"/>
    <n v="0"/>
    <x v="1"/>
    <m/>
    <m/>
    <m/>
    <s v="Need Hygiene Kits and  Hygiene Promotion"/>
    <n v="1"/>
    <s v="no test"/>
    <x v="0"/>
    <n v="1"/>
    <n v="1"/>
    <n v="1"/>
    <n v="152"/>
    <n v="0"/>
    <n v="0"/>
    <n v="1"/>
    <n v="152"/>
    <n v="0.30399999999999999"/>
    <n v="0"/>
    <n v="0"/>
    <n v="0.69599999999999995"/>
    <n v="1"/>
    <n v="8"/>
    <n v="1"/>
    <n v="152"/>
    <n v="0"/>
    <n v="0"/>
    <n v="8"/>
    <n v="0"/>
    <n v="0"/>
    <n v="152"/>
    <n v="0"/>
    <n v="1"/>
    <n v="0"/>
    <n v="0"/>
    <n v="0"/>
    <n v="1"/>
    <n v="1"/>
    <n v="0"/>
    <n v="0"/>
    <n v="0"/>
    <n v="0"/>
    <n v="0"/>
    <n v="0"/>
    <n v="0"/>
    <s v="uncovered"/>
    <x v="1"/>
    <x v="0"/>
    <x v="2"/>
    <x v="0"/>
    <n v="0"/>
    <n v="0"/>
    <s v="MMR001CMP254"/>
    <x v="0"/>
    <m/>
  </r>
  <r>
    <x v="0"/>
    <x v="5"/>
    <x v="0"/>
    <x v="11"/>
    <x v="140"/>
    <n v="127"/>
    <n v="450"/>
    <m/>
    <s v="UNICEF"/>
    <d v="2018-12-31T00:00:00"/>
    <n v="0"/>
    <s v="Yes"/>
    <n v="0.7"/>
    <n v="0.7"/>
    <n v="1"/>
    <n v="1"/>
    <n v="2000"/>
    <n v="0"/>
    <n v="0"/>
    <m/>
    <n v="1"/>
    <n v="1"/>
    <n v="0"/>
    <n v="0"/>
    <n v="0"/>
    <s v="Need to be construction Tube well"/>
    <n v="19"/>
    <n v="0"/>
    <n v="0"/>
    <m/>
    <n v="0"/>
    <x v="0"/>
    <x v="2"/>
    <n v="0"/>
    <n v="0"/>
    <m/>
    <n v="0"/>
    <s v="Communal"/>
    <n v="4"/>
    <n v="0"/>
    <n v="2"/>
    <n v="0"/>
    <n v="0"/>
    <x v="1"/>
    <m/>
    <m/>
    <m/>
    <s v="Need Hygiene Kits and  Hygiene Promotion"/>
    <n v="1"/>
    <s v="no test"/>
    <x v="0"/>
    <n v="1"/>
    <n v="1"/>
    <n v="1"/>
    <n v="450"/>
    <n v="0"/>
    <n v="0"/>
    <n v="1"/>
    <n v="450"/>
    <n v="0.9"/>
    <n v="0"/>
    <n v="0"/>
    <n v="9.9999999999999978E-2"/>
    <n v="1"/>
    <n v="19"/>
    <n v="0.84444444444444444"/>
    <n v="380"/>
    <n v="0.17777777777777778"/>
    <n v="4"/>
    <n v="23"/>
    <n v="0"/>
    <n v="0"/>
    <n v="450"/>
    <n v="0"/>
    <n v="1"/>
    <n v="0"/>
    <n v="0"/>
    <n v="0"/>
    <n v="1"/>
    <n v="1"/>
    <n v="0"/>
    <n v="0"/>
    <n v="0"/>
    <n v="0"/>
    <n v="0"/>
    <n v="0"/>
    <n v="0"/>
    <s v="uncovered"/>
    <x v="1"/>
    <x v="0"/>
    <x v="0"/>
    <x v="0"/>
    <n v="0"/>
    <n v="0"/>
    <s v="MMR001CMP253"/>
    <x v="0"/>
    <m/>
  </r>
  <r>
    <x v="0"/>
    <x v="5"/>
    <x v="0"/>
    <x v="11"/>
    <x v="141"/>
    <n v="31"/>
    <n v="129"/>
    <m/>
    <s v="UNICEF"/>
    <d v="2018-12-31T00:00:00"/>
    <n v="0"/>
    <s v="Yes"/>
    <n v="0.7"/>
    <n v="0.7"/>
    <n v="1"/>
    <n v="4"/>
    <n v="10000"/>
    <n v="0"/>
    <n v="0"/>
    <m/>
    <n v="1"/>
    <n v="0"/>
    <n v="0"/>
    <n v="0"/>
    <n v="0"/>
    <s v="Need to be construction Tube well"/>
    <n v="33"/>
    <n v="0"/>
    <n v="0"/>
    <m/>
    <n v="0"/>
    <x v="0"/>
    <x v="2"/>
    <n v="0"/>
    <n v="0"/>
    <m/>
    <n v="0"/>
    <s v="Communal"/>
    <n v="3"/>
    <n v="2"/>
    <n v="2"/>
    <n v="0"/>
    <n v="0"/>
    <x v="1"/>
    <m/>
    <m/>
    <m/>
    <s v="Need Hygiene Kits and  Hygiene Promotion"/>
    <n v="0"/>
    <s v="no test"/>
    <x v="0"/>
    <n v="1"/>
    <n v="1"/>
    <n v="1"/>
    <n v="129"/>
    <n v="0"/>
    <n v="0"/>
    <n v="1"/>
    <n v="129"/>
    <n v="0.25800000000000001"/>
    <n v="0"/>
    <n v="0"/>
    <n v="0.74199999999999999"/>
    <n v="1"/>
    <n v="33"/>
    <n v="1"/>
    <n v="129"/>
    <n v="0"/>
    <n v="0"/>
    <n v="6"/>
    <n v="0"/>
    <n v="0"/>
    <n v="129"/>
    <n v="0"/>
    <n v="1"/>
    <n v="0"/>
    <n v="0"/>
    <n v="0"/>
    <n v="1"/>
    <n v="1"/>
    <n v="0"/>
    <n v="0"/>
    <n v="0"/>
    <n v="0"/>
    <n v="0"/>
    <n v="0"/>
    <n v="0"/>
    <s v="uncovered"/>
    <x v="1"/>
    <x v="0"/>
    <x v="2"/>
    <x v="0"/>
    <n v="0"/>
    <n v="0"/>
    <s v="MMR001CMP251"/>
    <x v="0"/>
    <m/>
  </r>
  <r>
    <x v="0"/>
    <x v="5"/>
    <x v="0"/>
    <x v="12"/>
    <x v="142"/>
    <n v="130"/>
    <n v="527"/>
    <m/>
    <s v="DFID/UNICEF"/>
    <d v="2018-12-31T00:00:00"/>
    <n v="0"/>
    <s v="Yes"/>
    <n v="0.6"/>
    <n v="0.3"/>
    <n v="0"/>
    <n v="0"/>
    <n v="12000"/>
    <n v="0"/>
    <n v="8"/>
    <n v="2"/>
    <n v="0"/>
    <n v="0"/>
    <n v="0"/>
    <n v="0"/>
    <n v="0"/>
    <m/>
    <n v="90"/>
    <n v="0"/>
    <n v="0"/>
    <m/>
    <n v="25"/>
    <x v="0"/>
    <x v="2"/>
    <n v="0"/>
    <n v="0"/>
    <m/>
    <n v="0"/>
    <s v="Communal"/>
    <n v="0"/>
    <n v="2"/>
    <n v="2"/>
    <n v="0"/>
    <n v="0"/>
    <x v="1"/>
    <m/>
    <m/>
    <m/>
    <m/>
    <s v="no test"/>
    <s v="no test"/>
    <x v="1"/>
    <n v="1"/>
    <n v="1"/>
    <n v="1"/>
    <n v="527"/>
    <n v="0"/>
    <n v="0"/>
    <n v="1"/>
    <n v="527"/>
    <n v="1.054"/>
    <n v="0"/>
    <n v="0"/>
    <n v="0"/>
    <n v="1"/>
    <n v="90"/>
    <n v="1"/>
    <n v="527"/>
    <n v="0"/>
    <n v="0"/>
    <n v="26"/>
    <n v="0"/>
    <n v="0"/>
    <n v="527"/>
    <n v="0"/>
    <n v="1"/>
    <n v="0"/>
    <n v="0"/>
    <n v="0"/>
    <n v="1"/>
    <n v="1"/>
    <n v="0"/>
    <n v="0"/>
    <n v="0"/>
    <n v="0"/>
    <n v="0"/>
    <n v="0"/>
    <s v="Yes"/>
    <s v="KMSS-MYT"/>
    <x v="1"/>
    <x v="0"/>
    <x v="0"/>
    <x v="1"/>
    <n v="25.220278"/>
    <n v="97.915833000000006"/>
    <s v="MMR001CMP113"/>
    <x v="0"/>
    <m/>
  </r>
  <r>
    <x v="0"/>
    <x v="2"/>
    <x v="0"/>
    <x v="12"/>
    <x v="143"/>
    <n v="62"/>
    <n v="410"/>
    <m/>
    <m/>
    <m/>
    <n v="0"/>
    <s v="No"/>
    <n v="0"/>
    <n v="0"/>
    <n v="0"/>
    <n v="2"/>
    <m/>
    <m/>
    <n v="0"/>
    <m/>
    <m/>
    <m/>
    <m/>
    <m/>
    <m/>
    <m/>
    <n v="10"/>
    <m/>
    <m/>
    <m/>
    <n v="0"/>
    <x v="1"/>
    <x v="1"/>
    <m/>
    <m/>
    <m/>
    <n v="1"/>
    <s v="Both"/>
    <n v="0"/>
    <n v="3"/>
    <n v="3"/>
    <m/>
    <m/>
    <x v="0"/>
    <m/>
    <m/>
    <m/>
    <m/>
    <s v="no test"/>
    <s v="no test"/>
    <x v="1"/>
    <n v="1"/>
    <n v="1"/>
    <n v="1"/>
    <n v="410"/>
    <n v="0"/>
    <n v="0"/>
    <n v="1"/>
    <n v="410"/>
    <n v="1"/>
    <n v="0"/>
    <n v="0"/>
    <n v="0"/>
    <n v="1"/>
    <n v="10"/>
    <n v="0.48780487804878048"/>
    <n v="200"/>
    <n v="0.53658536585365857"/>
    <n v="11"/>
    <n v="21"/>
    <n v="0"/>
    <n v="0"/>
    <n v="410"/>
    <n v="0"/>
    <n v="1"/>
    <n v="0"/>
    <n v="0"/>
    <n v="0"/>
    <n v="1"/>
    <n v="1"/>
    <n v="0"/>
    <n v="0"/>
    <n v="0"/>
    <n v="0"/>
    <n v="0"/>
    <n v="62"/>
    <n v="0"/>
    <s v="uncovered"/>
    <x v="1"/>
    <x v="0"/>
    <x v="2"/>
    <x v="0"/>
    <n v="25.305008999999998"/>
    <n v="97.430321000000006"/>
    <s v="MMR001CMP248"/>
    <x v="1"/>
    <m/>
  </r>
  <r>
    <x v="0"/>
    <x v="4"/>
    <x v="0"/>
    <x v="12"/>
    <x v="144"/>
    <n v="103"/>
    <n v="503"/>
    <m/>
    <s v="OFDA"/>
    <d v="2017-07-31T00:00:00"/>
    <n v="0"/>
    <s v="Yes"/>
    <n v="1"/>
    <n v="1"/>
    <n v="2"/>
    <n v="0"/>
    <n v="2000"/>
    <n v="0"/>
    <n v="2"/>
    <m/>
    <n v="2"/>
    <n v="0"/>
    <n v="4"/>
    <n v="1"/>
    <n v="0"/>
    <m/>
    <n v="16"/>
    <n v="6"/>
    <n v="4"/>
    <s v="two times"/>
    <n v="16"/>
    <x v="0"/>
    <x v="0"/>
    <n v="0"/>
    <n v="0"/>
    <m/>
    <n v="0.5"/>
    <s v="Communal"/>
    <n v="0"/>
    <n v="4"/>
    <n v="0"/>
    <n v="0"/>
    <n v="0"/>
    <x v="0"/>
    <m/>
    <n v="1"/>
    <m/>
    <m/>
    <n v="0"/>
    <n v="0.25"/>
    <x v="0"/>
    <n v="1"/>
    <n v="1"/>
    <n v="1"/>
    <n v="503"/>
    <n v="0"/>
    <n v="0"/>
    <n v="1"/>
    <n v="503"/>
    <n v="1.006"/>
    <n v="0"/>
    <n v="0"/>
    <n v="0"/>
    <n v="1"/>
    <n v="22"/>
    <n v="0.63618290258449306"/>
    <n v="320"/>
    <n v="0.11928429423459246"/>
    <n v="3"/>
    <n v="25"/>
    <n v="0.27272727272727271"/>
    <n v="80"/>
    <n v="0"/>
    <n v="0"/>
    <n v="0"/>
    <n v="0"/>
    <n v="0"/>
    <n v="0"/>
    <n v="1"/>
    <n v="0"/>
    <n v="0"/>
    <n v="0"/>
    <n v="0"/>
    <n v="0"/>
    <n v="0"/>
    <n v="51.5"/>
    <s v="Yes"/>
    <s v="Shalom"/>
    <x v="1"/>
    <x v="0"/>
    <x v="0"/>
    <x v="0"/>
    <n v="25.321710740740698"/>
    <n v="97.404195925926004"/>
    <s v="MMR001CMP028"/>
    <x v="0"/>
    <m/>
  </r>
  <r>
    <x v="0"/>
    <x v="3"/>
    <x v="0"/>
    <x v="12"/>
    <x v="145"/>
    <n v="154"/>
    <n v="903"/>
    <m/>
    <s v="ADRA/CANADA"/>
    <d v="2018-12-31T00:00:00"/>
    <n v="0"/>
    <s v="Yes"/>
    <n v="0.6"/>
    <n v="0.5"/>
    <n v="0"/>
    <n v="0"/>
    <n v="116640"/>
    <n v="0"/>
    <n v="0"/>
    <m/>
    <n v="0"/>
    <n v="0"/>
    <n v="0"/>
    <n v="0"/>
    <n v="0"/>
    <m/>
    <n v="50"/>
    <n v="0"/>
    <n v="0"/>
    <m/>
    <n v="0"/>
    <x v="0"/>
    <x v="0"/>
    <m/>
    <m/>
    <m/>
    <n v="0.6"/>
    <s v="Both"/>
    <n v="0"/>
    <n v="4"/>
    <n v="3"/>
    <n v="0"/>
    <n v="0"/>
    <x v="0"/>
    <m/>
    <m/>
    <m/>
    <m/>
    <s v="no test"/>
    <s v="no test"/>
    <x v="1"/>
    <n v="1"/>
    <n v="1"/>
    <n v="1"/>
    <n v="903"/>
    <n v="0"/>
    <n v="0"/>
    <n v="1"/>
    <n v="903"/>
    <n v="1.806"/>
    <n v="0"/>
    <n v="0"/>
    <n v="0.19399999999999995"/>
    <n v="2"/>
    <n v="50"/>
    <n v="1"/>
    <n v="903"/>
    <n v="0"/>
    <n v="0"/>
    <n v="45"/>
    <n v="0"/>
    <n v="0"/>
    <n v="903"/>
    <n v="0"/>
    <n v="1"/>
    <n v="0"/>
    <n v="0"/>
    <n v="0"/>
    <n v="1"/>
    <n v="1"/>
    <n v="0"/>
    <n v="0"/>
    <n v="0"/>
    <n v="0"/>
    <n v="0"/>
    <n v="92.399999999999991"/>
    <s v="Yes"/>
    <s v="KBC"/>
    <x v="1"/>
    <x v="0"/>
    <x v="0"/>
    <x v="1"/>
    <n v="25.200333000000001"/>
    <n v="97.807182999999995"/>
    <s v="MMR001CMP115"/>
    <x v="0"/>
    <m/>
  </r>
  <r>
    <x v="0"/>
    <x v="1"/>
    <x v="0"/>
    <x v="12"/>
    <x v="146"/>
    <n v="144"/>
    <n v="862"/>
    <m/>
    <s v="WHH-BMZ,WHH-AA"/>
    <d v="2018-12-31T00:00:00"/>
    <n v="0"/>
    <s v="Yes"/>
    <n v="0.5"/>
    <n v="0.5"/>
    <n v="1"/>
    <n v="0"/>
    <n v="21550"/>
    <n v="0"/>
    <n v="0"/>
    <n v="3"/>
    <n v="3"/>
    <m/>
    <m/>
    <m/>
    <n v="4"/>
    <n v="0"/>
    <n v="20"/>
    <n v="0"/>
    <m/>
    <m/>
    <n v="0"/>
    <x v="0"/>
    <x v="0"/>
    <m/>
    <m/>
    <n v="0"/>
    <n v="1"/>
    <s v="Communal"/>
    <n v="0"/>
    <n v="0"/>
    <n v="0"/>
    <n v="776"/>
    <n v="490"/>
    <x v="1"/>
    <m/>
    <m/>
    <m/>
    <n v="0"/>
    <n v="0"/>
    <s v="no test"/>
    <x v="0"/>
    <n v="1"/>
    <n v="1"/>
    <n v="1"/>
    <n v="862"/>
    <n v="0"/>
    <n v="0"/>
    <n v="1"/>
    <n v="862"/>
    <n v="2"/>
    <n v="0"/>
    <n v="0"/>
    <n v="0"/>
    <n v="2"/>
    <n v="20"/>
    <n v="0.46403712296983757"/>
    <n v="400"/>
    <n v="0.53364269141531318"/>
    <n v="23"/>
    <n v="43"/>
    <n v="0"/>
    <n v="0"/>
    <n v="0"/>
    <n v="1"/>
    <n v="0"/>
    <n v="1"/>
    <n v="862"/>
    <n v="1"/>
    <n v="0"/>
    <n v="0"/>
    <n v="1"/>
    <n v="1"/>
    <n v="3880"/>
    <n v="2450"/>
    <n v="3880"/>
    <n v="144"/>
    <n v="0"/>
    <s v="uncovered"/>
    <x v="1"/>
    <x v="0"/>
    <x v="5"/>
    <x v="1"/>
    <n v="24.752471"/>
    <n v="97.541793999999996"/>
    <s v="MMR001CMP208"/>
    <x v="0"/>
    <m/>
  </r>
  <r>
    <x v="0"/>
    <x v="3"/>
    <x v="0"/>
    <x v="12"/>
    <x v="147"/>
    <n v="31"/>
    <n v="178"/>
    <m/>
    <s v="Plan/GFFO,ADRA/CANADA  "/>
    <s v="30/04/2019,31/12/2018"/>
    <n v="0"/>
    <s v="Yes"/>
    <n v="0.6"/>
    <n v="0.5"/>
    <n v="2"/>
    <n v="1"/>
    <n v="0"/>
    <n v="0"/>
    <n v="0"/>
    <m/>
    <n v="0"/>
    <n v="0"/>
    <n v="0"/>
    <n v="0"/>
    <n v="0"/>
    <m/>
    <n v="6"/>
    <n v="0"/>
    <n v="0"/>
    <m/>
    <n v="0"/>
    <x v="0"/>
    <x v="2"/>
    <m/>
    <m/>
    <m/>
    <n v="0.6"/>
    <s v="Both"/>
    <n v="0"/>
    <n v="3"/>
    <n v="1"/>
    <n v="0"/>
    <n v="0"/>
    <x v="0"/>
    <m/>
    <m/>
    <m/>
    <m/>
    <s v="no test"/>
    <s v="no test"/>
    <x v="1"/>
    <n v="1"/>
    <n v="1"/>
    <n v="1"/>
    <n v="178"/>
    <n v="0"/>
    <n v="0"/>
    <n v="1"/>
    <n v="178"/>
    <n v="0.35599999999999998"/>
    <n v="0"/>
    <n v="0"/>
    <n v="0.64400000000000002"/>
    <n v="1"/>
    <n v="6"/>
    <n v="0.6741573033707865"/>
    <n v="120"/>
    <n v="0.33707865168539325"/>
    <n v="3"/>
    <n v="9"/>
    <n v="0"/>
    <n v="0"/>
    <n v="178"/>
    <n v="0"/>
    <n v="1"/>
    <n v="0"/>
    <n v="0"/>
    <n v="0"/>
    <n v="1"/>
    <n v="1"/>
    <n v="0"/>
    <n v="0"/>
    <n v="0"/>
    <n v="0"/>
    <n v="0"/>
    <n v="18.599999999999998"/>
    <s v="Yes"/>
    <s v="KBC"/>
    <x v="1"/>
    <x v="0"/>
    <x v="0"/>
    <x v="0"/>
    <n v="25.356632000000001"/>
    <n v="97.451965000000001"/>
    <s v="MMR001CMP027"/>
    <x v="0"/>
    <m/>
  </r>
  <r>
    <x v="0"/>
    <x v="3"/>
    <x v="0"/>
    <x v="12"/>
    <x v="148"/>
    <n v="440"/>
    <n v="1723"/>
    <m/>
    <s v="Plan/GFFO,ADRA/CANADA  "/>
    <s v="30/04/2019,31/12/2018"/>
    <n v="0"/>
    <s v="Yes"/>
    <n v="0.6"/>
    <n v="0.5"/>
    <n v="0"/>
    <n v="0"/>
    <n v="349920"/>
    <n v="0"/>
    <n v="0"/>
    <m/>
    <n v="0"/>
    <n v="0"/>
    <n v="0"/>
    <n v="0"/>
    <n v="0"/>
    <m/>
    <n v="500"/>
    <n v="0"/>
    <n v="0"/>
    <m/>
    <n v="0"/>
    <x v="0"/>
    <x v="0"/>
    <m/>
    <m/>
    <m/>
    <n v="0.6"/>
    <s v="Household"/>
    <n v="0"/>
    <n v="12"/>
    <n v="6"/>
    <n v="0"/>
    <n v="0"/>
    <x v="0"/>
    <m/>
    <m/>
    <m/>
    <m/>
    <s v="no test"/>
    <s v="no test"/>
    <x v="1"/>
    <n v="1"/>
    <n v="1"/>
    <n v="1"/>
    <n v="1723"/>
    <n v="0"/>
    <n v="0"/>
    <n v="1"/>
    <n v="1723"/>
    <n v="3.4460000000000002"/>
    <n v="0"/>
    <n v="0"/>
    <n v="0"/>
    <n v="3"/>
    <n v="500"/>
    <n v="1"/>
    <n v="1723"/>
    <n v="0"/>
    <n v="0"/>
    <n v="287"/>
    <n v="0"/>
    <n v="0"/>
    <n v="1723"/>
    <n v="0"/>
    <n v="1"/>
    <n v="0"/>
    <n v="0"/>
    <n v="0"/>
    <n v="1"/>
    <n v="1"/>
    <n v="0"/>
    <n v="0"/>
    <n v="0"/>
    <n v="0"/>
    <n v="0"/>
    <n v="264"/>
    <s v="Yes"/>
    <s v="KMSS-MYT"/>
    <x v="1"/>
    <x v="1"/>
    <x v="0"/>
    <x v="1"/>
    <n v="24.980250000000002"/>
    <n v="97.715230000000005"/>
    <s v="MMR001CMP119"/>
    <x v="0"/>
    <m/>
  </r>
  <r>
    <x v="0"/>
    <x v="4"/>
    <x v="0"/>
    <x v="12"/>
    <x v="149"/>
    <n v="333"/>
    <n v="1801"/>
    <m/>
    <s v="OFDA"/>
    <d v="2017-07-31T00:00:00"/>
    <n v="0"/>
    <s v="Yes"/>
    <n v="0.69"/>
    <n v="1"/>
    <n v="4"/>
    <n v="3"/>
    <n v="4000"/>
    <n v="0"/>
    <n v="4"/>
    <m/>
    <n v="5"/>
    <n v="0"/>
    <n v="12"/>
    <n v="1"/>
    <n v="0"/>
    <m/>
    <n v="29"/>
    <n v="6"/>
    <n v="9"/>
    <s v="two times"/>
    <n v="29"/>
    <x v="0"/>
    <x v="0"/>
    <n v="0"/>
    <n v="0"/>
    <m/>
    <n v="0.5"/>
    <s v="Communal"/>
    <n v="0"/>
    <n v="7"/>
    <n v="0"/>
    <n v="0"/>
    <n v="0"/>
    <x v="0"/>
    <m/>
    <n v="1"/>
    <m/>
    <m/>
    <n v="0"/>
    <n v="8.3333333333333329E-2"/>
    <x v="0"/>
    <n v="1"/>
    <n v="1"/>
    <n v="1"/>
    <n v="1801"/>
    <n v="0"/>
    <n v="0"/>
    <n v="1"/>
    <n v="1801"/>
    <n v="3.6019999999999999"/>
    <n v="0"/>
    <n v="0"/>
    <n v="0.39800000000000013"/>
    <n v="4"/>
    <n v="35"/>
    <n v="0.32204330927262631"/>
    <n v="580"/>
    <n v="0.61077179344808441"/>
    <n v="55"/>
    <n v="90"/>
    <n v="0.17142857142857143"/>
    <n v="180"/>
    <n v="0"/>
    <n v="0"/>
    <n v="0"/>
    <n v="0"/>
    <n v="0"/>
    <n v="0"/>
    <n v="1"/>
    <n v="0"/>
    <n v="0"/>
    <n v="0"/>
    <n v="0"/>
    <n v="0"/>
    <n v="0"/>
    <n v="166.5"/>
    <s v="Yes"/>
    <s v="Shalom"/>
    <x v="1"/>
    <x v="0"/>
    <x v="0"/>
    <x v="0"/>
    <n v="25.424529444444399"/>
    <n v="97.433419259259296"/>
    <s v="MMR001CMP031"/>
    <x v="0"/>
    <m/>
  </r>
  <r>
    <x v="0"/>
    <x v="5"/>
    <x v="0"/>
    <x v="12"/>
    <x v="150"/>
    <n v="284"/>
    <n v="1492"/>
    <m/>
    <s v="DFID/UNICEF"/>
    <d v="2018-12-31T00:00:00"/>
    <n v="0"/>
    <s v="Yes"/>
    <n v="0.6"/>
    <n v="0.2"/>
    <n v="10"/>
    <n v="5"/>
    <n v="30000"/>
    <n v="0"/>
    <n v="10"/>
    <m/>
    <n v="0"/>
    <n v="0"/>
    <n v="0"/>
    <n v="0"/>
    <n v="0"/>
    <m/>
    <n v="97"/>
    <n v="2"/>
    <n v="0"/>
    <s v="one time"/>
    <n v="40"/>
    <x v="0"/>
    <x v="0"/>
    <n v="0"/>
    <n v="0"/>
    <m/>
    <n v="0"/>
    <s v="Communal"/>
    <n v="0"/>
    <n v="6"/>
    <n v="4"/>
    <n v="0"/>
    <n v="0"/>
    <x v="1"/>
    <m/>
    <m/>
    <m/>
    <m/>
    <s v="no test"/>
    <s v="no test"/>
    <x v="1"/>
    <n v="1"/>
    <n v="1"/>
    <n v="1"/>
    <n v="1492"/>
    <n v="0"/>
    <n v="0"/>
    <n v="1"/>
    <n v="1492"/>
    <n v="2.984"/>
    <n v="0"/>
    <n v="0"/>
    <n v="1.6000000000000014E-2"/>
    <n v="3"/>
    <n v="99"/>
    <n v="1"/>
    <n v="1492"/>
    <n v="0"/>
    <n v="0"/>
    <n v="75"/>
    <n v="2.0202020202020204E-2"/>
    <n v="0"/>
    <n v="1492"/>
    <n v="0"/>
    <n v="1"/>
    <n v="0"/>
    <n v="0"/>
    <n v="0"/>
    <n v="1"/>
    <n v="1"/>
    <n v="0"/>
    <n v="0"/>
    <n v="0"/>
    <n v="0"/>
    <n v="0"/>
    <n v="0"/>
    <s v="Yes"/>
    <s v="KMSS-MYT"/>
    <x v="1"/>
    <x v="0"/>
    <x v="0"/>
    <x v="0"/>
    <n v="25.415667500000001"/>
    <n v="97.437782499999997"/>
    <s v="MMR001CMP029"/>
    <x v="0"/>
    <m/>
  </r>
  <r>
    <x v="0"/>
    <x v="3"/>
    <x v="0"/>
    <x v="12"/>
    <x v="151"/>
    <n v="499"/>
    <n v="2551"/>
    <m/>
    <s v="Plan/GFFO,ADRA/CANADA  "/>
    <s v="30/04/2019,31/12/2018"/>
    <n v="0"/>
    <s v="Yes"/>
    <n v="0.6"/>
    <n v="0.5"/>
    <n v="9"/>
    <n v="0"/>
    <n v="0"/>
    <n v="0"/>
    <n v="0"/>
    <m/>
    <n v="0"/>
    <n v="0"/>
    <n v="0"/>
    <n v="0"/>
    <n v="0"/>
    <m/>
    <n v="130"/>
    <n v="0"/>
    <n v="0"/>
    <m/>
    <n v="0"/>
    <x v="0"/>
    <x v="0"/>
    <m/>
    <m/>
    <m/>
    <n v="0.6"/>
    <s v="Both"/>
    <n v="0"/>
    <n v="6"/>
    <n v="6"/>
    <n v="0"/>
    <n v="0"/>
    <x v="0"/>
    <m/>
    <m/>
    <m/>
    <m/>
    <s v="no test"/>
    <s v="no test"/>
    <x v="1"/>
    <n v="1"/>
    <n v="0.88200705605644847"/>
    <n v="1"/>
    <n v="2551"/>
    <n v="0"/>
    <n v="0"/>
    <n v="1"/>
    <n v="2551"/>
    <n v="5.1020000000000003"/>
    <n v="0"/>
    <n v="0"/>
    <n v="0"/>
    <n v="5"/>
    <n v="130"/>
    <n v="1"/>
    <n v="2551"/>
    <n v="0"/>
    <n v="0"/>
    <n v="128"/>
    <n v="0"/>
    <n v="0"/>
    <n v="2551"/>
    <n v="0"/>
    <n v="1"/>
    <n v="0"/>
    <n v="0"/>
    <n v="0"/>
    <n v="1"/>
    <n v="1"/>
    <n v="0"/>
    <n v="0"/>
    <n v="0"/>
    <n v="0"/>
    <n v="0"/>
    <n v="299.39999999999998"/>
    <s v="Yes"/>
    <s v="KBC"/>
    <x v="1"/>
    <x v="0"/>
    <x v="0"/>
    <x v="0"/>
    <n v="25.4118005797101"/>
    <n v="97.434855869565197"/>
    <s v="MMR001CMP040"/>
    <x v="0"/>
    <m/>
  </r>
  <r>
    <x v="0"/>
    <x v="3"/>
    <x v="0"/>
    <x v="12"/>
    <x v="152"/>
    <n v="46"/>
    <n v="193"/>
    <m/>
    <s v="Plan/GFFO,ADRA/CANADA  "/>
    <s v="30/04/2019,31/12/2018"/>
    <n v="0"/>
    <s v="Yes"/>
    <n v="0.6"/>
    <n v="0.5"/>
    <n v="2"/>
    <n v="0"/>
    <n v="2000"/>
    <n v="0"/>
    <n v="0"/>
    <m/>
    <n v="0"/>
    <n v="0"/>
    <n v="0"/>
    <n v="0"/>
    <n v="0"/>
    <m/>
    <n v="10"/>
    <n v="0"/>
    <n v="0"/>
    <m/>
    <n v="0"/>
    <x v="0"/>
    <x v="0"/>
    <m/>
    <m/>
    <m/>
    <n v="0.6"/>
    <s v="Communal"/>
    <n v="0"/>
    <n v="2"/>
    <n v="1"/>
    <n v="0"/>
    <n v="0"/>
    <x v="0"/>
    <m/>
    <m/>
    <m/>
    <m/>
    <s v="no test"/>
    <s v="no test"/>
    <x v="1"/>
    <n v="1"/>
    <n v="1"/>
    <n v="1"/>
    <n v="193"/>
    <n v="0"/>
    <n v="0"/>
    <n v="1"/>
    <n v="193"/>
    <n v="0.38600000000000001"/>
    <n v="0"/>
    <n v="0"/>
    <n v="0.61399999999999999"/>
    <n v="1"/>
    <n v="10"/>
    <n v="1"/>
    <n v="193"/>
    <n v="0"/>
    <n v="0"/>
    <n v="10"/>
    <n v="0"/>
    <n v="0"/>
    <n v="193"/>
    <n v="0"/>
    <n v="1"/>
    <n v="0"/>
    <n v="0"/>
    <n v="0"/>
    <n v="1"/>
    <n v="1"/>
    <n v="0"/>
    <n v="0"/>
    <n v="0"/>
    <n v="0"/>
    <n v="0"/>
    <n v="27.599999999999998"/>
    <s v="Yes"/>
    <s v="KBC"/>
    <x v="1"/>
    <x v="0"/>
    <x v="0"/>
    <x v="0"/>
    <n v="25.409612685185198"/>
    <n v="97.426536944444507"/>
    <s v="MMR001CMP039"/>
    <x v="0"/>
    <m/>
  </r>
  <r>
    <x v="0"/>
    <x v="4"/>
    <x v="0"/>
    <x v="12"/>
    <x v="153"/>
    <n v="20"/>
    <n v="86"/>
    <m/>
    <s v="OFDA"/>
    <d v="2017-07-31T00:00:00"/>
    <n v="0"/>
    <s v="Yes"/>
    <n v="0.8"/>
    <n v="1"/>
    <n v="1"/>
    <n v="1"/>
    <n v="0"/>
    <n v="0"/>
    <n v="1"/>
    <m/>
    <n v="1"/>
    <n v="0"/>
    <n v="2"/>
    <n v="0"/>
    <n v="0"/>
    <m/>
    <n v="4"/>
    <n v="2"/>
    <n v="3"/>
    <s v="two times"/>
    <n v="4"/>
    <x v="0"/>
    <x v="2"/>
    <n v="0"/>
    <n v="0"/>
    <m/>
    <n v="0.5"/>
    <s v="Communal"/>
    <n v="0"/>
    <n v="2"/>
    <n v="0"/>
    <n v="0"/>
    <n v="0"/>
    <x v="0"/>
    <m/>
    <n v="1"/>
    <m/>
    <m/>
    <n v="0"/>
    <n v="0"/>
    <x v="0"/>
    <n v="1"/>
    <n v="1"/>
    <n v="1"/>
    <n v="86"/>
    <n v="0"/>
    <n v="0"/>
    <n v="1"/>
    <n v="86"/>
    <n v="0.17199999999999999"/>
    <n v="0"/>
    <n v="0"/>
    <n v="0.82800000000000007"/>
    <n v="1"/>
    <n v="6"/>
    <n v="0.93023255813953487"/>
    <n v="80"/>
    <n v="0"/>
    <n v="0"/>
    <n v="4"/>
    <n v="0.33333333333333331"/>
    <n v="60"/>
    <n v="0"/>
    <n v="0"/>
    <n v="0"/>
    <n v="0"/>
    <n v="0"/>
    <n v="0"/>
    <n v="1"/>
    <n v="0"/>
    <n v="0"/>
    <n v="0"/>
    <n v="0"/>
    <n v="0"/>
    <n v="0"/>
    <n v="10"/>
    <s v="Yes"/>
    <s v="Shalom"/>
    <x v="1"/>
    <x v="0"/>
    <x v="0"/>
    <x v="0"/>
    <n v="25.351965"/>
    <n v="97.345039"/>
    <s v="MMR001CMP033"/>
    <x v="0"/>
    <m/>
  </r>
  <r>
    <x v="0"/>
    <x v="3"/>
    <x v="0"/>
    <x v="12"/>
    <x v="154"/>
    <n v="183"/>
    <n v="895"/>
    <m/>
    <s v="ADRA/CANADA"/>
    <d v="2018-12-31T00:00:00"/>
    <n v="0"/>
    <s v="Yes"/>
    <n v="0.6"/>
    <n v="0.5"/>
    <n v="0"/>
    <n v="0"/>
    <n v="194400"/>
    <n v="0"/>
    <n v="0"/>
    <m/>
    <n v="0"/>
    <n v="0"/>
    <n v="0"/>
    <n v="0"/>
    <n v="0"/>
    <m/>
    <n v="150"/>
    <n v="0"/>
    <n v="0"/>
    <m/>
    <n v="0"/>
    <x v="0"/>
    <x v="0"/>
    <m/>
    <m/>
    <m/>
    <n v="0.6"/>
    <s v="Household"/>
    <n v="150"/>
    <n v="4"/>
    <n v="3"/>
    <n v="0"/>
    <n v="0"/>
    <x v="0"/>
    <m/>
    <m/>
    <m/>
    <m/>
    <s v="no test"/>
    <s v="no test"/>
    <x v="1"/>
    <n v="1"/>
    <n v="1"/>
    <n v="1"/>
    <n v="895"/>
    <n v="0"/>
    <n v="0"/>
    <n v="1"/>
    <n v="895"/>
    <n v="1.79"/>
    <n v="0"/>
    <n v="0"/>
    <n v="0.20999999999999996"/>
    <n v="2"/>
    <n v="150"/>
    <n v="1"/>
    <n v="895"/>
    <n v="0"/>
    <n v="0"/>
    <n v="149"/>
    <n v="0"/>
    <n v="0"/>
    <n v="895"/>
    <n v="0"/>
    <n v="1"/>
    <n v="0"/>
    <n v="0"/>
    <n v="0"/>
    <n v="1"/>
    <n v="1"/>
    <n v="0"/>
    <n v="0"/>
    <n v="0"/>
    <n v="0"/>
    <n v="0"/>
    <n v="109.8"/>
    <s v="Yes"/>
    <s v="KBC"/>
    <x v="1"/>
    <x v="1"/>
    <x v="0"/>
    <x v="1"/>
    <n v="24.831944"/>
    <n v="97.751389000000003"/>
    <s v="MMR001CMP120"/>
    <x v="0"/>
    <m/>
  </r>
  <r>
    <x v="0"/>
    <x v="5"/>
    <x v="0"/>
    <x v="12"/>
    <x v="155"/>
    <n v="89"/>
    <n v="550"/>
    <m/>
    <s v="DFID/UNICEF"/>
    <d v="2018-12-31T00:00:00"/>
    <n v="0"/>
    <s v="Yes"/>
    <n v="0.5"/>
    <n v="0.1"/>
    <n v="0"/>
    <n v="0"/>
    <n v="11000"/>
    <n v="0"/>
    <n v="10"/>
    <m/>
    <n v="0"/>
    <n v="0"/>
    <n v="0"/>
    <n v="0"/>
    <n v="0"/>
    <m/>
    <n v="98"/>
    <n v="0"/>
    <n v="0"/>
    <m/>
    <n v="27"/>
    <x v="0"/>
    <x v="2"/>
    <n v="0"/>
    <n v="0"/>
    <m/>
    <n v="0"/>
    <s v="Communal"/>
    <n v="0"/>
    <n v="3"/>
    <n v="2"/>
    <n v="0"/>
    <n v="0"/>
    <x v="1"/>
    <m/>
    <m/>
    <m/>
    <m/>
    <s v="no test"/>
    <s v="no test"/>
    <x v="1"/>
    <n v="1"/>
    <n v="1"/>
    <n v="1"/>
    <n v="550"/>
    <n v="0"/>
    <n v="0"/>
    <n v="1"/>
    <n v="550"/>
    <n v="1.1000000000000001"/>
    <n v="0"/>
    <n v="0"/>
    <n v="0"/>
    <n v="1"/>
    <n v="98"/>
    <n v="1"/>
    <n v="550"/>
    <n v="0"/>
    <n v="0"/>
    <n v="28"/>
    <n v="0"/>
    <n v="0"/>
    <n v="550"/>
    <n v="0"/>
    <n v="1"/>
    <n v="0"/>
    <n v="0"/>
    <n v="0"/>
    <n v="1"/>
    <n v="1"/>
    <n v="0"/>
    <n v="0"/>
    <n v="0"/>
    <n v="0"/>
    <n v="0"/>
    <n v="0"/>
    <s v="Yes"/>
    <s v="KMSS-MYT"/>
    <x v="1"/>
    <x v="0"/>
    <x v="0"/>
    <x v="1"/>
    <n v="25.265277999999999"/>
    <n v="97.990555999999998"/>
    <s v="MMR001CMP160"/>
    <x v="0"/>
    <m/>
  </r>
  <r>
    <x v="0"/>
    <x v="4"/>
    <x v="0"/>
    <x v="12"/>
    <x v="156"/>
    <n v="115"/>
    <n v="460"/>
    <m/>
    <s v="OFDA"/>
    <d v="2017-07-31T00:00:00"/>
    <n v="0"/>
    <s v="Yes"/>
    <n v="0.6"/>
    <n v="1"/>
    <n v="5"/>
    <n v="0"/>
    <n v="1000"/>
    <n v="0"/>
    <n v="3"/>
    <m/>
    <n v="3"/>
    <n v="2"/>
    <n v="7"/>
    <n v="2"/>
    <n v="0"/>
    <m/>
    <n v="4"/>
    <n v="0"/>
    <n v="6"/>
    <s v="Quarterly"/>
    <n v="4"/>
    <x v="0"/>
    <x v="0"/>
    <n v="0"/>
    <n v="0"/>
    <m/>
    <n v="0.5"/>
    <s v="Communal"/>
    <n v="0"/>
    <n v="2"/>
    <n v="0"/>
    <n v="0"/>
    <n v="0"/>
    <x v="0"/>
    <m/>
    <n v="2"/>
    <m/>
    <m/>
    <n v="0.66666666666666663"/>
    <n v="0.2857142857142857"/>
    <x v="0"/>
    <n v="1"/>
    <n v="1"/>
    <n v="1"/>
    <n v="460"/>
    <n v="0"/>
    <n v="0"/>
    <n v="1"/>
    <n v="460"/>
    <n v="0.92"/>
    <n v="0"/>
    <n v="0"/>
    <n v="7.999999999999996E-2"/>
    <n v="1"/>
    <n v="4"/>
    <n v="0.17391304347826086"/>
    <n v="80"/>
    <n v="0.82608695652173914"/>
    <n v="19"/>
    <n v="23"/>
    <n v="0"/>
    <n v="120"/>
    <n v="0"/>
    <n v="0"/>
    <n v="0"/>
    <n v="0"/>
    <n v="0"/>
    <n v="0"/>
    <n v="1"/>
    <n v="0"/>
    <n v="0"/>
    <n v="0"/>
    <n v="0"/>
    <n v="0"/>
    <n v="0"/>
    <n v="57.5"/>
    <s v="Yes"/>
    <s v="Shalom"/>
    <x v="1"/>
    <x v="0"/>
    <x v="0"/>
    <x v="0"/>
    <n v="25.3540362037037"/>
    <n v="97.441166388888902"/>
    <s v="MMR001CMP032"/>
    <x v="0"/>
    <m/>
  </r>
  <r>
    <x v="0"/>
    <x v="3"/>
    <x v="0"/>
    <x v="12"/>
    <x v="157"/>
    <n v="64"/>
    <n v="322"/>
    <m/>
    <s v="Plan/GFFO,ADRA/CANADA  "/>
    <s v="30/04/2019,31/12/2018"/>
    <n v="0"/>
    <s v="Yes"/>
    <n v="0.6"/>
    <n v="0.5"/>
    <n v="1"/>
    <n v="0"/>
    <n v="0"/>
    <n v="0"/>
    <n v="0"/>
    <m/>
    <n v="0"/>
    <n v="0"/>
    <n v="0"/>
    <n v="0"/>
    <n v="0"/>
    <m/>
    <n v="10"/>
    <n v="0"/>
    <n v="0"/>
    <m/>
    <n v="0"/>
    <x v="0"/>
    <x v="0"/>
    <m/>
    <m/>
    <m/>
    <n v="0.6"/>
    <s v="Communal"/>
    <n v="0"/>
    <n v="2"/>
    <n v="1"/>
    <n v="0"/>
    <n v="0"/>
    <x v="0"/>
    <m/>
    <m/>
    <m/>
    <m/>
    <s v="no test"/>
    <s v="no test"/>
    <x v="1"/>
    <n v="1"/>
    <n v="0.77639751552795033"/>
    <n v="1"/>
    <n v="322"/>
    <n v="0"/>
    <n v="0"/>
    <n v="1"/>
    <n v="322"/>
    <n v="0.64400000000000002"/>
    <n v="0"/>
    <n v="0"/>
    <n v="0.35599999999999998"/>
    <n v="1"/>
    <n v="10"/>
    <n v="0.6211180124223602"/>
    <n v="199.99999999999997"/>
    <n v="0.37267080745341613"/>
    <n v="6"/>
    <n v="16"/>
    <n v="0"/>
    <n v="0"/>
    <n v="322"/>
    <n v="0"/>
    <n v="1"/>
    <n v="0"/>
    <n v="0"/>
    <n v="0"/>
    <n v="1"/>
    <n v="1"/>
    <n v="0"/>
    <n v="0"/>
    <n v="0"/>
    <n v="0"/>
    <n v="0"/>
    <n v="38.4"/>
    <s v="Yes"/>
    <s v="KBC"/>
    <x v="1"/>
    <x v="0"/>
    <x v="0"/>
    <x v="0"/>
    <n v="25.351724999999998"/>
    <n v="97.438432380952406"/>
    <s v="MMR001CMP025"/>
    <x v="0"/>
    <m/>
  </r>
  <r>
    <x v="0"/>
    <x v="4"/>
    <x v="0"/>
    <x v="12"/>
    <x v="158"/>
    <n v="29"/>
    <n v="159"/>
    <m/>
    <s v="OFDA"/>
    <d v="2017-07-31T00:00:00"/>
    <n v="0"/>
    <s v="Yes"/>
    <n v="0.8"/>
    <n v="1"/>
    <n v="2"/>
    <n v="0"/>
    <n v="2000"/>
    <n v="0"/>
    <n v="2"/>
    <m/>
    <n v="2"/>
    <n v="0"/>
    <n v="2"/>
    <n v="0"/>
    <n v="0"/>
    <m/>
    <n v="3"/>
    <n v="1"/>
    <n v="9"/>
    <s v="Quarterly"/>
    <n v="3"/>
    <x v="0"/>
    <x v="2"/>
    <n v="0"/>
    <n v="0"/>
    <m/>
    <n v="0.5"/>
    <s v="Communal"/>
    <n v="0"/>
    <n v="5"/>
    <n v="0"/>
    <n v="0"/>
    <n v="0"/>
    <x v="0"/>
    <m/>
    <n v="1"/>
    <m/>
    <m/>
    <n v="0"/>
    <n v="0"/>
    <x v="0"/>
    <n v="1"/>
    <n v="1"/>
    <n v="1"/>
    <n v="159"/>
    <n v="0"/>
    <n v="0"/>
    <n v="1"/>
    <n v="159"/>
    <n v="0.318"/>
    <n v="0"/>
    <n v="0"/>
    <n v="0.68199999999999994"/>
    <n v="1"/>
    <n v="4"/>
    <n v="0.37735849056603776"/>
    <n v="60.000000000000007"/>
    <n v="0.50314465408805031"/>
    <n v="4"/>
    <n v="8"/>
    <n v="0.25"/>
    <n v="159"/>
    <n v="0"/>
    <n v="0"/>
    <n v="0"/>
    <n v="0"/>
    <n v="0"/>
    <n v="0"/>
    <n v="1"/>
    <n v="0"/>
    <n v="0"/>
    <n v="0"/>
    <n v="0"/>
    <n v="0"/>
    <n v="0"/>
    <n v="14.5"/>
    <s v="Yes"/>
    <s v="Shalom"/>
    <x v="1"/>
    <x v="0"/>
    <x v="0"/>
    <x v="0"/>
    <n v="25.345918166666699"/>
    <n v="97.437472666666693"/>
    <s v="MMR001CMP030"/>
    <x v="0"/>
    <m/>
  </r>
  <r>
    <x v="0"/>
    <x v="4"/>
    <x v="0"/>
    <x v="12"/>
    <x v="159"/>
    <n v="90"/>
    <n v="492"/>
    <m/>
    <s v="OFDA"/>
    <d v="2017-07-31T00:00:00"/>
    <n v="0"/>
    <s v="Yes"/>
    <n v="0.75"/>
    <n v="1"/>
    <n v="1"/>
    <n v="0"/>
    <n v="2000"/>
    <n v="0"/>
    <n v="3"/>
    <m/>
    <n v="0"/>
    <n v="0"/>
    <n v="0"/>
    <n v="0"/>
    <n v="0"/>
    <m/>
    <n v="16"/>
    <n v="3"/>
    <n v="6"/>
    <m/>
    <n v="16"/>
    <x v="0"/>
    <x v="0"/>
    <n v="0"/>
    <n v="0"/>
    <m/>
    <n v="0.5"/>
    <s v="Communal"/>
    <n v="0"/>
    <n v="4"/>
    <n v="0"/>
    <n v="0"/>
    <n v="0"/>
    <x v="0"/>
    <m/>
    <m/>
    <m/>
    <m/>
    <s v="no test"/>
    <s v="no test"/>
    <x v="1"/>
    <n v="1"/>
    <n v="0.77913279132791335"/>
    <n v="1"/>
    <n v="492"/>
    <n v="0"/>
    <n v="0"/>
    <n v="1"/>
    <n v="492"/>
    <n v="0.98399999999999999"/>
    <n v="0"/>
    <n v="0"/>
    <n v="1.6000000000000014E-2"/>
    <n v="1"/>
    <n v="19"/>
    <n v="0.65040650406504064"/>
    <n v="320"/>
    <n v="0.24390243902439024"/>
    <n v="6"/>
    <n v="25"/>
    <n v="0.15789473684210525"/>
    <n v="120"/>
    <n v="0"/>
    <n v="0"/>
    <n v="0"/>
    <n v="0"/>
    <n v="0"/>
    <n v="0"/>
    <n v="1"/>
    <n v="0"/>
    <n v="0"/>
    <n v="0"/>
    <n v="0"/>
    <n v="0"/>
    <n v="0"/>
    <n v="45"/>
    <s v="Yes"/>
    <s v="Shalom"/>
    <x v="1"/>
    <x v="0"/>
    <x v="3"/>
    <x v="0"/>
    <n v="25.350809000000002"/>
    <n v="97.432495000000003"/>
    <s v="MMR001CMP026"/>
    <x v="0"/>
    <m/>
  </r>
  <r>
    <x v="0"/>
    <x v="2"/>
    <x v="0"/>
    <x v="12"/>
    <x v="160"/>
    <n v="80"/>
    <n v="449"/>
    <m/>
    <m/>
    <m/>
    <m/>
    <m/>
    <m/>
    <m/>
    <m/>
    <m/>
    <m/>
    <m/>
    <m/>
    <m/>
    <m/>
    <m/>
    <m/>
    <m/>
    <m/>
    <m/>
    <m/>
    <m/>
    <m/>
    <m/>
    <m/>
    <x v="2"/>
    <x v="3"/>
    <m/>
    <m/>
    <m/>
    <m/>
    <m/>
    <m/>
    <m/>
    <m/>
    <m/>
    <m/>
    <x v="0"/>
    <m/>
    <m/>
    <m/>
    <m/>
    <s v="no test"/>
    <s v="no test"/>
    <x v="1"/>
    <n v="0"/>
    <n v="0"/>
    <n v="0"/>
    <n v="0"/>
    <n v="0"/>
    <n v="0"/>
    <n v="0"/>
    <n v="0"/>
    <n v="0"/>
    <n v="1"/>
    <n v="449"/>
    <n v="1"/>
    <n v="1"/>
    <n v="0"/>
    <n v="0"/>
    <n v="0"/>
    <n v="0.97995545657015593"/>
    <n v="22"/>
    <n v="22"/>
    <n v="0"/>
    <n v="0"/>
    <n v="0"/>
    <n v="0"/>
    <n v="0"/>
    <n v="0"/>
    <n v="0"/>
    <n v="0"/>
    <n v="1"/>
    <n v="0"/>
    <n v="0"/>
    <n v="0"/>
    <n v="0"/>
    <n v="0"/>
    <n v="0"/>
    <n v="0"/>
    <n v="0"/>
    <s v="uncovered"/>
    <x v="1"/>
    <x v="0"/>
    <x v="2"/>
    <x v="0"/>
    <n v="0"/>
    <n v="0"/>
    <s v="MMR001CMP258"/>
    <x v="1"/>
    <m/>
  </r>
  <r>
    <x v="0"/>
    <x v="3"/>
    <x v="0"/>
    <x v="12"/>
    <x v="161"/>
    <n v="413"/>
    <n v="1893"/>
    <m/>
    <s v="Plan/GFFO,ADRA/CANADA  "/>
    <s v="30/04/2019,31/12/2018"/>
    <n v="0"/>
    <s v="Yes"/>
    <n v="0.8"/>
    <n v="0.5"/>
    <n v="0"/>
    <n v="0"/>
    <n v="38880"/>
    <n v="0"/>
    <n v="0"/>
    <m/>
    <n v="0"/>
    <n v="0"/>
    <n v="0"/>
    <n v="0"/>
    <n v="0"/>
    <m/>
    <n v="413"/>
    <n v="0"/>
    <n v="0"/>
    <m/>
    <n v="0"/>
    <x v="0"/>
    <x v="0"/>
    <m/>
    <n v="30"/>
    <m/>
    <n v="1"/>
    <s v="Household"/>
    <n v="400"/>
    <n v="9"/>
    <n v="6"/>
    <n v="0"/>
    <n v="0"/>
    <x v="0"/>
    <m/>
    <m/>
    <m/>
    <m/>
    <s v="no test"/>
    <s v="no test"/>
    <x v="1"/>
    <n v="1"/>
    <n v="1"/>
    <n v="1"/>
    <n v="1893"/>
    <n v="0"/>
    <n v="0"/>
    <n v="1"/>
    <n v="1893"/>
    <n v="3.786"/>
    <n v="0"/>
    <n v="0"/>
    <n v="0.21399999999999997"/>
    <n v="4"/>
    <n v="413"/>
    <n v="1"/>
    <n v="1893"/>
    <n v="0"/>
    <n v="0"/>
    <n v="95"/>
    <n v="0"/>
    <n v="0"/>
    <n v="1893"/>
    <n v="0"/>
    <n v="1"/>
    <n v="0"/>
    <n v="0"/>
    <n v="0"/>
    <n v="1"/>
    <n v="1"/>
    <n v="0"/>
    <n v="0"/>
    <n v="0"/>
    <n v="0"/>
    <n v="0"/>
    <n v="413"/>
    <s v="Yes"/>
    <s v="KBC"/>
    <x v="1"/>
    <x v="0"/>
    <x v="0"/>
    <x v="1"/>
    <n v="0"/>
    <n v="0"/>
    <s v="MMR001CMP249"/>
    <x v="0"/>
    <m/>
  </r>
  <r>
    <x v="0"/>
    <x v="3"/>
    <x v="0"/>
    <x v="12"/>
    <x v="162"/>
    <n v="179"/>
    <n v="962"/>
    <m/>
    <s v="ADRA/CANADA"/>
    <d v="2018-12-31T00:00:00"/>
    <n v="0"/>
    <s v="Yes"/>
    <n v="0.6"/>
    <n v="0.5"/>
    <n v="0"/>
    <n v="0"/>
    <n v="272160"/>
    <n v="0"/>
    <n v="0"/>
    <m/>
    <n v="0"/>
    <n v="0"/>
    <n v="0"/>
    <n v="0"/>
    <n v="0"/>
    <m/>
    <n v="158"/>
    <n v="0"/>
    <n v="0"/>
    <m/>
    <n v="0"/>
    <x v="0"/>
    <x v="0"/>
    <m/>
    <m/>
    <m/>
    <n v="1"/>
    <s v="Both"/>
    <n v="0"/>
    <n v="4"/>
    <n v="3"/>
    <n v="0"/>
    <n v="0"/>
    <x v="0"/>
    <m/>
    <m/>
    <m/>
    <m/>
    <s v="no test"/>
    <s v="no test"/>
    <x v="1"/>
    <n v="1"/>
    <n v="1"/>
    <n v="1"/>
    <n v="962"/>
    <n v="0"/>
    <n v="0"/>
    <n v="1"/>
    <n v="962"/>
    <n v="1.9239999999999999"/>
    <n v="0"/>
    <n v="0"/>
    <n v="7.6000000000000068E-2"/>
    <n v="2"/>
    <n v="158"/>
    <n v="1"/>
    <n v="962"/>
    <n v="0"/>
    <n v="0"/>
    <n v="48"/>
    <n v="0"/>
    <n v="0"/>
    <n v="962"/>
    <n v="0"/>
    <n v="1"/>
    <n v="0"/>
    <n v="0"/>
    <n v="0"/>
    <n v="1"/>
    <n v="1"/>
    <n v="0"/>
    <n v="0"/>
    <n v="0"/>
    <n v="0"/>
    <n v="0"/>
    <n v="179"/>
    <s v="Yes"/>
    <s v="KBC"/>
    <x v="1"/>
    <x v="0"/>
    <x v="0"/>
    <x v="0"/>
    <n v="25.418084"/>
    <n v="98.025662999999994"/>
    <s v="MMR001CMP041"/>
    <x v="0"/>
    <m/>
  </r>
  <r>
    <x v="0"/>
    <x v="4"/>
    <x v="0"/>
    <x v="12"/>
    <x v="163"/>
    <n v="46"/>
    <n v="190"/>
    <m/>
    <s v="OFDA"/>
    <d v="2017-07-31T00:00:00"/>
    <n v="0"/>
    <s v="Yes"/>
    <n v="1"/>
    <n v="1"/>
    <n v="1"/>
    <n v="0"/>
    <n v="1000"/>
    <n v="0"/>
    <n v="2"/>
    <m/>
    <n v="1"/>
    <n v="0"/>
    <n v="2"/>
    <n v="1"/>
    <n v="0"/>
    <m/>
    <n v="4"/>
    <n v="2"/>
    <n v="2"/>
    <s v="two times"/>
    <n v="4"/>
    <x v="0"/>
    <x v="0"/>
    <n v="0"/>
    <n v="0"/>
    <m/>
    <n v="0.5"/>
    <s v="Communal"/>
    <n v="0"/>
    <n v="2"/>
    <n v="0"/>
    <n v="0"/>
    <n v="0"/>
    <x v="0"/>
    <m/>
    <n v="1"/>
    <m/>
    <m/>
    <n v="0"/>
    <n v="0.5"/>
    <x v="0"/>
    <n v="1"/>
    <n v="1"/>
    <n v="1"/>
    <n v="190"/>
    <n v="0"/>
    <n v="0"/>
    <n v="1"/>
    <n v="190"/>
    <n v="0.38"/>
    <n v="0"/>
    <n v="0"/>
    <n v="0.62"/>
    <n v="1"/>
    <n v="6"/>
    <n v="0.42105263157894735"/>
    <n v="80"/>
    <n v="0.42105263157894735"/>
    <n v="4"/>
    <n v="10"/>
    <n v="0.33333333333333331"/>
    <n v="40"/>
    <n v="0"/>
    <n v="0"/>
    <n v="0"/>
    <n v="0"/>
    <n v="0"/>
    <n v="0"/>
    <n v="1"/>
    <n v="0"/>
    <n v="0"/>
    <n v="0"/>
    <n v="0"/>
    <n v="0"/>
    <n v="0"/>
    <n v="23"/>
    <s v="Yes"/>
    <s v="Shalom"/>
    <x v="1"/>
    <x v="0"/>
    <x v="0"/>
    <x v="0"/>
    <n v="25.333683333333301"/>
    <n v="97.428251153846105"/>
    <s v="MMR001CMP037"/>
    <x v="0"/>
    <m/>
  </r>
  <r>
    <x v="0"/>
    <x v="3"/>
    <x v="0"/>
    <x v="12"/>
    <x v="164"/>
    <n v="78"/>
    <n v="344"/>
    <m/>
    <s v="ADRA/CANADA"/>
    <d v="2018-12-31T00:00:00"/>
    <n v="0"/>
    <s v="Yes"/>
    <n v="0.8"/>
    <n v="0.6"/>
    <n v="0"/>
    <n v="1"/>
    <n v="0"/>
    <m/>
    <m/>
    <m/>
    <m/>
    <m/>
    <m/>
    <m/>
    <m/>
    <m/>
    <n v="6"/>
    <m/>
    <m/>
    <m/>
    <m/>
    <x v="2"/>
    <x v="3"/>
    <m/>
    <m/>
    <m/>
    <m/>
    <m/>
    <m/>
    <m/>
    <m/>
    <m/>
    <m/>
    <x v="0"/>
    <m/>
    <m/>
    <m/>
    <m/>
    <s v="no test"/>
    <s v="no test"/>
    <x v="1"/>
    <n v="1"/>
    <n v="0.72674418604651159"/>
    <n v="1"/>
    <n v="344"/>
    <n v="0"/>
    <n v="0"/>
    <n v="1"/>
    <n v="344"/>
    <n v="0.68799999999999994"/>
    <n v="0"/>
    <n v="0"/>
    <n v="0.31200000000000006"/>
    <n v="1"/>
    <n v="6"/>
    <n v="0.34883720930232559"/>
    <n v="120"/>
    <n v="0.63953488372093026"/>
    <n v="11"/>
    <n v="17"/>
    <n v="0"/>
    <n v="0"/>
    <n v="0"/>
    <n v="0"/>
    <n v="0"/>
    <n v="0"/>
    <n v="0"/>
    <n v="0"/>
    <n v="1"/>
    <n v="0"/>
    <n v="0"/>
    <n v="0"/>
    <n v="0"/>
    <n v="0"/>
    <n v="0"/>
    <n v="0"/>
    <n v="0"/>
    <s v="KBC"/>
    <x v="1"/>
    <x v="0"/>
    <x v="0"/>
    <x v="0"/>
    <n v="0"/>
    <n v="0"/>
    <s v="MMR001CMP269"/>
    <x v="0"/>
    <m/>
  </r>
  <r>
    <x v="0"/>
    <x v="4"/>
    <x v="0"/>
    <x v="12"/>
    <x v="165"/>
    <n v="69"/>
    <n v="291"/>
    <m/>
    <s v="OFDA"/>
    <d v="2017-07-31T00:00:00"/>
    <n v="0"/>
    <s v="Yes"/>
    <n v="0.43"/>
    <n v="0"/>
    <n v="2"/>
    <n v="0"/>
    <n v="3000"/>
    <n v="0"/>
    <n v="4"/>
    <m/>
    <n v="2"/>
    <n v="1"/>
    <n v="4"/>
    <n v="1"/>
    <n v="0"/>
    <m/>
    <n v="8"/>
    <n v="1"/>
    <n v="0"/>
    <s v="two times"/>
    <n v="8"/>
    <x v="0"/>
    <x v="0"/>
    <n v="0"/>
    <n v="0"/>
    <m/>
    <n v="0.5"/>
    <s v="Communal"/>
    <n v="0"/>
    <n v="4"/>
    <n v="0"/>
    <n v="0"/>
    <n v="0"/>
    <x v="0"/>
    <m/>
    <n v="1"/>
    <m/>
    <m/>
    <n v="0.5"/>
    <n v="0.25"/>
    <x v="0"/>
    <n v="1"/>
    <n v="1"/>
    <n v="1"/>
    <n v="291"/>
    <n v="0"/>
    <n v="0"/>
    <n v="1"/>
    <n v="291"/>
    <n v="0.58199999999999996"/>
    <n v="0"/>
    <n v="0"/>
    <n v="0.41800000000000004"/>
    <n v="1"/>
    <n v="9"/>
    <n v="0.54982817869415812"/>
    <n v="160"/>
    <n v="0.41237113402061853"/>
    <n v="6"/>
    <n v="15"/>
    <n v="0.1111111111111111"/>
    <n v="0"/>
    <n v="0"/>
    <n v="0"/>
    <n v="0"/>
    <n v="0"/>
    <n v="0"/>
    <n v="0"/>
    <n v="1"/>
    <n v="0"/>
    <n v="0"/>
    <n v="0"/>
    <n v="0"/>
    <n v="0"/>
    <n v="0"/>
    <n v="34.5"/>
    <s v="Yes"/>
    <s v="Shalom"/>
    <x v="1"/>
    <x v="0"/>
    <x v="0"/>
    <x v="0"/>
    <n v="25.351250396825399"/>
    <n v="97.444283730158702"/>
    <s v="MMR001CMP038"/>
    <x v="0"/>
    <m/>
  </r>
  <r>
    <x v="0"/>
    <x v="1"/>
    <x v="0"/>
    <x v="12"/>
    <x v="166"/>
    <n v="560"/>
    <n v="2902"/>
    <n v="365"/>
    <s v="Trocaire, WHH-BMZ,WHH-AA"/>
    <d v="2018-12-30T00:00:00"/>
    <n v="0"/>
    <s v="Yes"/>
    <n v="0.31"/>
    <n v="0.31"/>
    <n v="3"/>
    <n v="0"/>
    <n v="87060"/>
    <n v="0"/>
    <n v="0"/>
    <m/>
    <m/>
    <m/>
    <m/>
    <m/>
    <n v="4"/>
    <n v="0"/>
    <n v="96"/>
    <n v="0"/>
    <n v="28"/>
    <s v="one time"/>
    <n v="96"/>
    <x v="0"/>
    <x v="0"/>
    <n v="2"/>
    <n v="10"/>
    <n v="0"/>
    <n v="0.99"/>
    <s v="Communal"/>
    <n v="0"/>
    <n v="5"/>
    <n v="5"/>
    <n v="560"/>
    <n v="426"/>
    <x v="1"/>
    <m/>
    <m/>
    <m/>
    <n v="0"/>
    <s v="no test"/>
    <s v="no test"/>
    <x v="1"/>
    <n v="1"/>
    <n v="1"/>
    <n v="1"/>
    <n v="2902"/>
    <n v="0"/>
    <n v="0"/>
    <n v="1"/>
    <n v="2902"/>
    <n v="6"/>
    <n v="0"/>
    <n v="0"/>
    <n v="0"/>
    <n v="6"/>
    <n v="96"/>
    <n v="0.66161268090971748"/>
    <n v="1920.0000000000002"/>
    <n v="0.33769813921433495"/>
    <n v="49"/>
    <n v="145"/>
    <n v="0"/>
    <n v="560"/>
    <n v="2500"/>
    <n v="0"/>
    <n v="1"/>
    <n v="1"/>
    <n v="2902"/>
    <n v="1"/>
    <n v="0"/>
    <n v="0.86147484493452786"/>
    <n v="1"/>
    <n v="0.76071428571428568"/>
    <n v="2800"/>
    <n v="2130"/>
    <n v="2800"/>
    <n v="554.4"/>
    <s v="Yes"/>
    <s v="KMSS-MYT"/>
    <x v="1"/>
    <x v="0"/>
    <x v="0"/>
    <x v="1"/>
    <n v="24.755253"/>
    <n v="97.546893999999995"/>
    <s v="MMR001CMP116"/>
    <x v="0"/>
    <m/>
  </r>
  <r>
    <x v="0"/>
    <x v="1"/>
    <x v="0"/>
    <x v="12"/>
    <x v="167"/>
    <n v="134"/>
    <n v="709"/>
    <m/>
    <s v="WHH-BMZ,WHH-AA"/>
    <d v="2018-06-30T00:00:00"/>
    <n v="0"/>
    <s v="Yes"/>
    <n v="0.3"/>
    <n v="0.3"/>
    <n v="0"/>
    <n v="0"/>
    <n v="14180"/>
    <n v="0"/>
    <n v="0"/>
    <m/>
    <m/>
    <m/>
    <m/>
    <m/>
    <m/>
    <n v="0"/>
    <n v="44"/>
    <n v="0"/>
    <m/>
    <m/>
    <n v="1"/>
    <x v="0"/>
    <x v="2"/>
    <m/>
    <m/>
    <n v="0"/>
    <n v="1"/>
    <s v="Communal"/>
    <n v="0"/>
    <n v="7"/>
    <n v="0"/>
    <m/>
    <m/>
    <x v="0"/>
    <m/>
    <m/>
    <m/>
    <n v="0"/>
    <s v="no test"/>
    <s v="no test"/>
    <x v="1"/>
    <n v="1"/>
    <n v="1"/>
    <n v="1"/>
    <n v="709"/>
    <n v="0"/>
    <n v="0"/>
    <n v="1"/>
    <n v="709"/>
    <n v="1.4179999999999999"/>
    <n v="0"/>
    <n v="0"/>
    <n v="0"/>
    <n v="1"/>
    <n v="44"/>
    <n v="1"/>
    <n v="709"/>
    <n v="0"/>
    <n v="0"/>
    <n v="35"/>
    <n v="0"/>
    <n v="0"/>
    <n v="0"/>
    <n v="0"/>
    <n v="0"/>
    <n v="0"/>
    <n v="0"/>
    <n v="0"/>
    <n v="1"/>
    <n v="0"/>
    <n v="0"/>
    <n v="0"/>
    <n v="0"/>
    <n v="0"/>
    <n v="0"/>
    <n v="134"/>
    <n v="0"/>
    <n v="0"/>
    <x v="0"/>
    <x v="0"/>
    <x v="0"/>
    <x v="1"/>
    <n v="0"/>
    <n v="0"/>
    <n v="0"/>
    <x v="0"/>
    <m/>
  </r>
  <r>
    <x v="0"/>
    <x v="1"/>
    <x v="0"/>
    <x v="12"/>
    <x v="168"/>
    <n v="546"/>
    <n v="2550"/>
    <m/>
    <s v="WHH-BMZ,WHH-AA"/>
    <d v="2018-06-30T00:00:00"/>
    <n v="0"/>
    <s v="No"/>
    <n v="0"/>
    <n v="0"/>
    <n v="3"/>
    <n v="0"/>
    <n v="0"/>
    <n v="0"/>
    <n v="0"/>
    <m/>
    <m/>
    <m/>
    <m/>
    <m/>
    <m/>
    <n v="0"/>
    <n v="357"/>
    <n v="0"/>
    <m/>
    <m/>
    <n v="0"/>
    <x v="4"/>
    <x v="4"/>
    <m/>
    <m/>
    <n v="0"/>
    <n v="1"/>
    <s v="Household"/>
    <n v="0"/>
    <n v="0"/>
    <n v="0"/>
    <m/>
    <m/>
    <x v="0"/>
    <m/>
    <m/>
    <m/>
    <n v="0"/>
    <s v="no test"/>
    <s v="no test"/>
    <x v="1"/>
    <n v="1"/>
    <n v="0.29411764705882354"/>
    <n v="1"/>
    <n v="2550"/>
    <n v="0"/>
    <n v="0"/>
    <n v="1"/>
    <n v="2550"/>
    <n v="5.0999999999999996"/>
    <n v="0"/>
    <n v="0"/>
    <n v="0"/>
    <n v="5"/>
    <n v="357"/>
    <n v="1"/>
    <n v="2550"/>
    <n v="0"/>
    <n v="0"/>
    <n v="128"/>
    <n v="0"/>
    <n v="0"/>
    <n v="0"/>
    <n v="0"/>
    <n v="0"/>
    <n v="0"/>
    <n v="0"/>
    <n v="0"/>
    <n v="1"/>
    <n v="0"/>
    <n v="0"/>
    <n v="0"/>
    <n v="0"/>
    <n v="0"/>
    <n v="0"/>
    <n v="546"/>
    <n v="0"/>
    <n v="0"/>
    <x v="0"/>
    <x v="0"/>
    <x v="1"/>
    <x v="1"/>
    <n v="0"/>
    <n v="0"/>
    <n v="0"/>
    <x v="0"/>
    <m/>
  </r>
  <r>
    <x v="0"/>
    <x v="10"/>
    <x v="1"/>
    <x v="13"/>
    <x v="169"/>
    <n v="68"/>
    <n v="342"/>
    <m/>
    <s v="BMZ"/>
    <d v="2019-05-01T00:00:00"/>
    <m/>
    <s v="Yes"/>
    <n v="0"/>
    <n v="0"/>
    <n v="0"/>
    <n v="0"/>
    <m/>
    <m/>
    <n v="0"/>
    <m/>
    <m/>
    <m/>
    <m/>
    <m/>
    <m/>
    <m/>
    <n v="0"/>
    <m/>
    <m/>
    <m/>
    <n v="0"/>
    <x v="1"/>
    <x v="1"/>
    <m/>
    <m/>
    <m/>
    <n v="0"/>
    <m/>
    <n v="0"/>
    <m/>
    <n v="0"/>
    <m/>
    <m/>
    <x v="0"/>
    <m/>
    <m/>
    <m/>
    <m/>
    <s v="no test"/>
    <s v="no test"/>
    <x v="1"/>
    <n v="0"/>
    <n v="0"/>
    <n v="0"/>
    <n v="0"/>
    <n v="0"/>
    <n v="0"/>
    <n v="0"/>
    <n v="0"/>
    <n v="0"/>
    <n v="1"/>
    <n v="342"/>
    <n v="1"/>
    <n v="1"/>
    <n v="0"/>
    <n v="0"/>
    <n v="0"/>
    <n v="1"/>
    <n v="57"/>
    <n v="57"/>
    <n v="0"/>
    <s v="N/A"/>
    <n v="0"/>
    <n v="0"/>
    <n v="0"/>
    <n v="0"/>
    <n v="0"/>
    <n v="0"/>
    <n v="1"/>
    <n v="0"/>
    <n v="0"/>
    <n v="0"/>
    <n v="0"/>
    <n v="0"/>
    <n v="0"/>
    <n v="0"/>
    <n v="0"/>
    <n v="0"/>
    <x v="2"/>
    <x v="2"/>
    <x v="6"/>
    <x v="2"/>
    <n v="19.726810455322301"/>
    <n v="94.0286865234375"/>
    <s v="199157"/>
    <x v="0"/>
    <m/>
  </r>
  <r>
    <x v="0"/>
    <x v="10"/>
    <x v="1"/>
    <x v="13"/>
    <x v="170"/>
    <n v="80"/>
    <n v="398"/>
    <m/>
    <s v="BMZ"/>
    <d v="2019-05-01T00:00:00"/>
    <m/>
    <s v="Yes"/>
    <n v="0"/>
    <n v="0"/>
    <n v="0"/>
    <n v="0"/>
    <m/>
    <m/>
    <n v="0"/>
    <m/>
    <m/>
    <m/>
    <m/>
    <m/>
    <m/>
    <m/>
    <n v="0"/>
    <m/>
    <m/>
    <m/>
    <n v="0"/>
    <x v="1"/>
    <x v="1"/>
    <m/>
    <m/>
    <m/>
    <n v="0"/>
    <m/>
    <n v="0"/>
    <m/>
    <n v="0"/>
    <m/>
    <m/>
    <x v="0"/>
    <m/>
    <m/>
    <m/>
    <m/>
    <s v="no test"/>
    <s v="no test"/>
    <x v="1"/>
    <n v="0"/>
    <n v="0"/>
    <n v="0"/>
    <n v="0"/>
    <n v="0"/>
    <n v="0"/>
    <n v="0"/>
    <n v="0"/>
    <n v="0"/>
    <n v="1"/>
    <n v="398"/>
    <n v="1"/>
    <n v="1"/>
    <n v="0"/>
    <n v="0"/>
    <n v="0"/>
    <n v="0.99497487437185939"/>
    <n v="66"/>
    <n v="66"/>
    <n v="0"/>
    <s v="N/A"/>
    <n v="0"/>
    <n v="0"/>
    <n v="0"/>
    <n v="0"/>
    <n v="0"/>
    <n v="0"/>
    <n v="1"/>
    <n v="0"/>
    <n v="0"/>
    <n v="0"/>
    <n v="0"/>
    <n v="0"/>
    <n v="0"/>
    <n v="0"/>
    <n v="0"/>
    <n v="0"/>
    <x v="2"/>
    <x v="2"/>
    <x v="6"/>
    <x v="3"/>
    <n v="19.9947109222412"/>
    <n v="93.836921691894503"/>
    <s v="199233"/>
    <x v="0"/>
    <m/>
  </r>
  <r>
    <x v="0"/>
    <x v="10"/>
    <x v="1"/>
    <x v="13"/>
    <x v="171"/>
    <n v="109"/>
    <n v="546"/>
    <m/>
    <s v="BMZ"/>
    <d v="2019-05-01T00:00:00"/>
    <m/>
    <s v="Yes"/>
    <n v="0"/>
    <n v="0"/>
    <n v="0"/>
    <n v="0"/>
    <m/>
    <m/>
    <n v="0"/>
    <m/>
    <m/>
    <m/>
    <m/>
    <m/>
    <m/>
    <m/>
    <n v="0"/>
    <m/>
    <m/>
    <m/>
    <n v="0"/>
    <x v="1"/>
    <x v="1"/>
    <m/>
    <m/>
    <m/>
    <n v="0"/>
    <m/>
    <n v="0"/>
    <m/>
    <n v="0"/>
    <m/>
    <m/>
    <x v="0"/>
    <m/>
    <m/>
    <m/>
    <m/>
    <s v="no test"/>
    <s v="no test"/>
    <x v="1"/>
    <n v="0"/>
    <n v="0"/>
    <n v="0"/>
    <n v="0"/>
    <n v="0"/>
    <n v="0"/>
    <n v="0"/>
    <n v="0"/>
    <n v="0"/>
    <n v="1"/>
    <n v="546"/>
    <n v="1"/>
    <n v="1"/>
    <n v="0"/>
    <n v="0"/>
    <n v="0"/>
    <n v="1"/>
    <n v="91"/>
    <n v="91"/>
    <n v="0"/>
    <s v="N/A"/>
    <n v="0"/>
    <n v="0"/>
    <n v="0"/>
    <n v="0"/>
    <n v="0"/>
    <n v="0"/>
    <n v="1"/>
    <n v="0"/>
    <n v="0"/>
    <n v="0"/>
    <n v="0"/>
    <n v="0"/>
    <n v="0"/>
    <n v="0"/>
    <n v="0"/>
    <n v="0"/>
    <x v="2"/>
    <x v="2"/>
    <x v="6"/>
    <x v="3"/>
    <n v="19.985679626464801"/>
    <n v="93.843322753906307"/>
    <s v="199235"/>
    <x v="0"/>
    <m/>
  </r>
  <r>
    <x v="0"/>
    <x v="10"/>
    <x v="1"/>
    <x v="13"/>
    <x v="172"/>
    <n v="157"/>
    <n v="786"/>
    <m/>
    <s v="BMZ"/>
    <d v="2019-05-01T00:00:00"/>
    <m/>
    <s v="Yes"/>
    <n v="0"/>
    <n v="0"/>
    <n v="0"/>
    <n v="0"/>
    <m/>
    <m/>
    <n v="0"/>
    <m/>
    <m/>
    <m/>
    <m/>
    <m/>
    <m/>
    <m/>
    <n v="0"/>
    <m/>
    <m/>
    <m/>
    <n v="0"/>
    <x v="1"/>
    <x v="1"/>
    <m/>
    <m/>
    <m/>
    <n v="0"/>
    <m/>
    <n v="0"/>
    <m/>
    <n v="0"/>
    <m/>
    <m/>
    <x v="0"/>
    <m/>
    <m/>
    <m/>
    <m/>
    <s v="no test"/>
    <s v="no test"/>
    <x v="1"/>
    <n v="0"/>
    <n v="0"/>
    <n v="0"/>
    <n v="0"/>
    <n v="0"/>
    <n v="0"/>
    <n v="0"/>
    <n v="0"/>
    <n v="0"/>
    <n v="1"/>
    <n v="786"/>
    <n v="2"/>
    <n v="2"/>
    <n v="0"/>
    <n v="0"/>
    <n v="0"/>
    <n v="1"/>
    <n v="131"/>
    <n v="131"/>
    <n v="0"/>
    <s v="N/A"/>
    <n v="0"/>
    <n v="0"/>
    <n v="0"/>
    <n v="0"/>
    <n v="0"/>
    <n v="0"/>
    <n v="1"/>
    <n v="0"/>
    <n v="0"/>
    <n v="0"/>
    <n v="0"/>
    <n v="0"/>
    <n v="0"/>
    <n v="0"/>
    <n v="0"/>
    <n v="0"/>
    <x v="2"/>
    <x v="2"/>
    <x v="6"/>
    <x v="3"/>
    <n v="19.988689422607401"/>
    <n v="93.842460632324205"/>
    <s v="199236"/>
    <x v="0"/>
    <m/>
  </r>
  <r>
    <x v="0"/>
    <x v="10"/>
    <x v="1"/>
    <x v="13"/>
    <x v="173"/>
    <n v="34"/>
    <n v="171"/>
    <m/>
    <s v="BMZ"/>
    <d v="2019-05-01T00:00:00"/>
    <m/>
    <s v="Yes"/>
    <n v="0"/>
    <n v="0"/>
    <n v="0"/>
    <n v="0"/>
    <m/>
    <m/>
    <n v="0"/>
    <m/>
    <m/>
    <m/>
    <m/>
    <m/>
    <m/>
    <m/>
    <n v="0"/>
    <m/>
    <m/>
    <m/>
    <n v="0"/>
    <x v="1"/>
    <x v="1"/>
    <m/>
    <m/>
    <m/>
    <n v="0"/>
    <m/>
    <n v="0"/>
    <m/>
    <n v="0"/>
    <m/>
    <m/>
    <x v="0"/>
    <m/>
    <m/>
    <m/>
    <m/>
    <s v="no test"/>
    <s v="no test"/>
    <x v="1"/>
    <n v="0"/>
    <n v="0"/>
    <n v="0"/>
    <n v="0"/>
    <n v="0"/>
    <n v="0"/>
    <n v="0"/>
    <n v="0"/>
    <n v="0"/>
    <n v="1"/>
    <n v="171"/>
    <n v="1"/>
    <n v="1"/>
    <n v="0"/>
    <n v="0"/>
    <n v="0"/>
    <n v="1"/>
    <n v="29"/>
    <n v="29"/>
    <n v="0"/>
    <s v="N/A"/>
    <n v="0"/>
    <n v="0"/>
    <n v="0"/>
    <n v="0"/>
    <n v="0"/>
    <n v="0"/>
    <n v="1"/>
    <n v="0"/>
    <n v="0"/>
    <n v="0"/>
    <n v="0"/>
    <n v="0"/>
    <n v="0"/>
    <n v="0"/>
    <n v="0"/>
    <n v="0"/>
    <x v="2"/>
    <x v="2"/>
    <x v="6"/>
    <x v="3"/>
    <n v="19.610979080200199"/>
    <n v="93.9847412109375"/>
    <s v="199264"/>
    <x v="0"/>
    <m/>
  </r>
  <r>
    <x v="0"/>
    <x v="10"/>
    <x v="1"/>
    <x v="13"/>
    <x v="174"/>
    <n v="55"/>
    <n v="273"/>
    <m/>
    <s v="BMZ"/>
    <d v="2019-05-01T00:00:00"/>
    <m/>
    <s v="Yes"/>
    <n v="0"/>
    <n v="0"/>
    <n v="0"/>
    <n v="0"/>
    <m/>
    <m/>
    <n v="0"/>
    <m/>
    <m/>
    <m/>
    <m/>
    <m/>
    <m/>
    <m/>
    <n v="0"/>
    <m/>
    <m/>
    <m/>
    <n v="0"/>
    <x v="1"/>
    <x v="1"/>
    <m/>
    <m/>
    <m/>
    <n v="0"/>
    <m/>
    <n v="0"/>
    <m/>
    <n v="0"/>
    <m/>
    <m/>
    <x v="0"/>
    <m/>
    <m/>
    <m/>
    <m/>
    <s v="no test"/>
    <s v="no test"/>
    <x v="1"/>
    <n v="0"/>
    <n v="0"/>
    <n v="0"/>
    <n v="0"/>
    <n v="0"/>
    <n v="0"/>
    <n v="0"/>
    <n v="0"/>
    <n v="0"/>
    <n v="1"/>
    <n v="273"/>
    <n v="1"/>
    <n v="1"/>
    <n v="0"/>
    <n v="0"/>
    <n v="0"/>
    <n v="1"/>
    <n v="46"/>
    <n v="46"/>
    <n v="0"/>
    <s v="N/A"/>
    <n v="0"/>
    <n v="0"/>
    <n v="0"/>
    <n v="0"/>
    <n v="0"/>
    <n v="0"/>
    <n v="1"/>
    <n v="0"/>
    <n v="0"/>
    <n v="0"/>
    <n v="0"/>
    <n v="0"/>
    <n v="0"/>
    <n v="0"/>
    <n v="0"/>
    <n v="0"/>
    <x v="2"/>
    <x v="2"/>
    <x v="6"/>
    <x v="3"/>
    <n v="19.721389770507798"/>
    <n v="94.019851684570298"/>
    <s v="199159"/>
    <x v="0"/>
    <m/>
  </r>
  <r>
    <x v="0"/>
    <x v="10"/>
    <x v="1"/>
    <x v="13"/>
    <x v="175"/>
    <n v="62"/>
    <n v="312"/>
    <m/>
    <s v="BMZ"/>
    <d v="2019-05-01T00:00:00"/>
    <m/>
    <s v="Yes"/>
    <n v="0"/>
    <n v="0"/>
    <n v="0"/>
    <n v="0"/>
    <m/>
    <m/>
    <n v="0"/>
    <m/>
    <m/>
    <m/>
    <m/>
    <m/>
    <m/>
    <m/>
    <n v="0"/>
    <m/>
    <m/>
    <m/>
    <n v="0"/>
    <x v="1"/>
    <x v="1"/>
    <m/>
    <m/>
    <m/>
    <n v="0"/>
    <m/>
    <n v="0"/>
    <m/>
    <n v="0"/>
    <m/>
    <m/>
    <x v="0"/>
    <m/>
    <m/>
    <m/>
    <m/>
    <s v="no test"/>
    <s v="no test"/>
    <x v="1"/>
    <n v="0"/>
    <n v="0"/>
    <n v="0"/>
    <n v="0"/>
    <n v="0"/>
    <n v="0"/>
    <n v="0"/>
    <n v="0"/>
    <n v="0"/>
    <n v="1"/>
    <n v="312"/>
    <n v="1"/>
    <n v="1"/>
    <n v="0"/>
    <n v="0"/>
    <n v="0"/>
    <n v="1"/>
    <n v="52"/>
    <n v="52"/>
    <n v="0"/>
    <s v="N/A"/>
    <n v="0"/>
    <n v="0"/>
    <n v="0"/>
    <n v="0"/>
    <n v="0"/>
    <n v="0"/>
    <n v="1"/>
    <n v="0"/>
    <n v="0"/>
    <n v="0"/>
    <n v="0"/>
    <n v="0"/>
    <n v="0"/>
    <n v="0"/>
    <n v="0"/>
    <n v="0"/>
    <x v="2"/>
    <x v="2"/>
    <x v="6"/>
    <x v="3"/>
    <n v="20.0087699890137"/>
    <n v="93.816879272460895"/>
    <s v="199240"/>
    <x v="0"/>
    <m/>
  </r>
  <r>
    <x v="0"/>
    <x v="10"/>
    <x v="1"/>
    <x v="13"/>
    <x v="176"/>
    <n v="135"/>
    <n v="674"/>
    <m/>
    <s v="BMZ"/>
    <d v="2019-05-01T00:00:00"/>
    <m/>
    <s v="Yes"/>
    <n v="0"/>
    <n v="0"/>
    <n v="0"/>
    <n v="0"/>
    <m/>
    <m/>
    <n v="0"/>
    <m/>
    <m/>
    <m/>
    <m/>
    <m/>
    <m/>
    <m/>
    <n v="0"/>
    <m/>
    <m/>
    <m/>
    <n v="0"/>
    <x v="1"/>
    <x v="1"/>
    <m/>
    <m/>
    <m/>
    <n v="0"/>
    <m/>
    <n v="0"/>
    <m/>
    <n v="0"/>
    <m/>
    <m/>
    <x v="0"/>
    <m/>
    <m/>
    <m/>
    <m/>
    <s v="no test"/>
    <s v="no test"/>
    <x v="1"/>
    <n v="0"/>
    <n v="0"/>
    <n v="0"/>
    <n v="0"/>
    <n v="0"/>
    <n v="0"/>
    <n v="0"/>
    <n v="0"/>
    <n v="0"/>
    <n v="1"/>
    <n v="674"/>
    <n v="1"/>
    <n v="1"/>
    <n v="0"/>
    <n v="0"/>
    <n v="0"/>
    <n v="0.9970326409495549"/>
    <n v="112"/>
    <n v="112"/>
    <n v="0"/>
    <s v="N/A"/>
    <n v="0"/>
    <n v="0"/>
    <n v="0"/>
    <n v="0"/>
    <n v="0"/>
    <n v="0"/>
    <n v="1"/>
    <n v="0"/>
    <n v="0"/>
    <n v="0"/>
    <n v="0"/>
    <n v="0"/>
    <n v="0"/>
    <n v="0"/>
    <n v="0"/>
    <n v="0"/>
    <x v="2"/>
    <x v="2"/>
    <x v="6"/>
    <x v="4"/>
    <n v="19.955690383911101"/>
    <n v="93.801551818847699"/>
    <s v="199134"/>
    <x v="0"/>
    <m/>
  </r>
  <r>
    <x v="0"/>
    <x v="10"/>
    <x v="1"/>
    <x v="13"/>
    <x v="177"/>
    <n v="75"/>
    <n v="373"/>
    <m/>
    <s v="BMZ"/>
    <d v="2019-05-01T00:00:00"/>
    <m/>
    <s v="Yes"/>
    <n v="0"/>
    <n v="0"/>
    <n v="0"/>
    <n v="0"/>
    <m/>
    <m/>
    <n v="0"/>
    <m/>
    <m/>
    <m/>
    <m/>
    <m/>
    <m/>
    <m/>
    <n v="0"/>
    <m/>
    <m/>
    <m/>
    <n v="0"/>
    <x v="1"/>
    <x v="1"/>
    <m/>
    <m/>
    <m/>
    <n v="0"/>
    <m/>
    <n v="0"/>
    <m/>
    <n v="0"/>
    <m/>
    <m/>
    <x v="0"/>
    <m/>
    <m/>
    <m/>
    <m/>
    <s v="no test"/>
    <s v="no test"/>
    <x v="1"/>
    <n v="0"/>
    <n v="0"/>
    <n v="0"/>
    <n v="0"/>
    <n v="0"/>
    <n v="0"/>
    <n v="0"/>
    <n v="0"/>
    <n v="0"/>
    <n v="1"/>
    <n v="373"/>
    <n v="1"/>
    <n v="1"/>
    <n v="0"/>
    <n v="0"/>
    <n v="0"/>
    <n v="0.99731903485254692"/>
    <n v="62"/>
    <n v="62"/>
    <n v="0"/>
    <s v="N/A"/>
    <n v="0"/>
    <n v="0"/>
    <n v="0"/>
    <n v="0"/>
    <n v="0"/>
    <n v="0"/>
    <n v="1"/>
    <n v="0"/>
    <n v="0"/>
    <n v="0"/>
    <n v="0"/>
    <n v="0"/>
    <n v="0"/>
    <n v="0"/>
    <n v="0"/>
    <n v="0"/>
    <x v="2"/>
    <x v="2"/>
    <x v="6"/>
    <x v="2"/>
    <n v="19.7062797546387"/>
    <n v="94.016433715820298"/>
    <s v="199161"/>
    <x v="0"/>
    <m/>
  </r>
  <r>
    <x v="0"/>
    <x v="10"/>
    <x v="1"/>
    <x v="13"/>
    <x v="178"/>
    <n v="27"/>
    <n v="136"/>
    <m/>
    <s v="BMZ"/>
    <d v="2019-05-01T00:00:00"/>
    <m/>
    <s v="Yes"/>
    <n v="0"/>
    <n v="0"/>
    <n v="0"/>
    <n v="0"/>
    <m/>
    <m/>
    <n v="0"/>
    <m/>
    <m/>
    <m/>
    <m/>
    <m/>
    <m/>
    <m/>
    <n v="0"/>
    <m/>
    <m/>
    <m/>
    <n v="0"/>
    <x v="1"/>
    <x v="1"/>
    <m/>
    <m/>
    <m/>
    <n v="0"/>
    <m/>
    <n v="0"/>
    <m/>
    <n v="0"/>
    <m/>
    <m/>
    <x v="0"/>
    <m/>
    <m/>
    <m/>
    <m/>
    <s v="no test"/>
    <s v="no test"/>
    <x v="1"/>
    <n v="0"/>
    <n v="0"/>
    <n v="0"/>
    <n v="0"/>
    <n v="0"/>
    <n v="0"/>
    <n v="0"/>
    <n v="0"/>
    <n v="0"/>
    <n v="1"/>
    <n v="136"/>
    <n v="1"/>
    <n v="1"/>
    <n v="0"/>
    <n v="0"/>
    <n v="0"/>
    <n v="1"/>
    <n v="23"/>
    <n v="23"/>
    <n v="0"/>
    <s v="N/A"/>
    <n v="0"/>
    <n v="0"/>
    <n v="0"/>
    <n v="0"/>
    <n v="0"/>
    <n v="0"/>
    <n v="1"/>
    <n v="0"/>
    <n v="0"/>
    <n v="0"/>
    <n v="0"/>
    <n v="0"/>
    <n v="0"/>
    <n v="0"/>
    <n v="0"/>
    <n v="0"/>
    <x v="2"/>
    <x v="2"/>
    <x v="6"/>
    <x v="2"/>
    <n v="19.619289398193398"/>
    <n v="93.959686279296903"/>
    <s v="199266"/>
    <x v="0"/>
    <m/>
  </r>
  <r>
    <x v="0"/>
    <x v="10"/>
    <x v="1"/>
    <x v="13"/>
    <x v="179"/>
    <n v="58"/>
    <n v="290"/>
    <m/>
    <s v="BMZ"/>
    <d v="2019-05-01T00:00:00"/>
    <m/>
    <s v="Yes"/>
    <n v="0"/>
    <n v="0"/>
    <n v="0"/>
    <n v="0"/>
    <m/>
    <m/>
    <n v="0"/>
    <m/>
    <m/>
    <m/>
    <m/>
    <m/>
    <m/>
    <m/>
    <n v="0"/>
    <m/>
    <m/>
    <m/>
    <n v="0"/>
    <x v="1"/>
    <x v="1"/>
    <m/>
    <m/>
    <m/>
    <n v="0"/>
    <m/>
    <n v="0"/>
    <m/>
    <n v="0"/>
    <m/>
    <m/>
    <x v="0"/>
    <m/>
    <m/>
    <m/>
    <m/>
    <s v="no test"/>
    <s v="no test"/>
    <x v="1"/>
    <n v="0"/>
    <n v="0"/>
    <n v="0"/>
    <n v="0"/>
    <n v="0"/>
    <n v="0"/>
    <n v="0"/>
    <n v="0"/>
    <n v="0"/>
    <n v="1"/>
    <n v="290"/>
    <n v="1"/>
    <n v="1"/>
    <n v="0"/>
    <n v="0"/>
    <n v="0"/>
    <n v="0.99310344827586206"/>
    <n v="48"/>
    <n v="48"/>
    <n v="0"/>
    <s v="N/A"/>
    <n v="0"/>
    <n v="0"/>
    <n v="0"/>
    <n v="0"/>
    <n v="0"/>
    <n v="0"/>
    <n v="1"/>
    <n v="0"/>
    <n v="0"/>
    <n v="0"/>
    <n v="0"/>
    <n v="0"/>
    <n v="0"/>
    <n v="0"/>
    <n v="0"/>
    <n v="0"/>
    <x v="2"/>
    <x v="2"/>
    <x v="6"/>
    <x v="3"/>
    <n v="19.484790802001999"/>
    <n v="94.007926940917997"/>
    <s v="199191"/>
    <x v="0"/>
    <m/>
  </r>
  <r>
    <x v="0"/>
    <x v="10"/>
    <x v="1"/>
    <x v="13"/>
    <x v="180"/>
    <n v="194"/>
    <n v="972"/>
    <m/>
    <s v="BMZ"/>
    <d v="2019-05-01T00:00:00"/>
    <m/>
    <s v="Yes"/>
    <n v="0"/>
    <n v="0"/>
    <n v="0"/>
    <n v="0"/>
    <m/>
    <m/>
    <n v="0"/>
    <m/>
    <m/>
    <m/>
    <m/>
    <m/>
    <m/>
    <m/>
    <n v="0"/>
    <m/>
    <m/>
    <m/>
    <n v="0"/>
    <x v="1"/>
    <x v="1"/>
    <m/>
    <m/>
    <m/>
    <n v="0"/>
    <m/>
    <n v="0"/>
    <m/>
    <n v="0"/>
    <m/>
    <m/>
    <x v="0"/>
    <m/>
    <m/>
    <m/>
    <m/>
    <s v="no test"/>
    <s v="no test"/>
    <x v="1"/>
    <n v="0"/>
    <n v="0"/>
    <n v="0"/>
    <n v="0"/>
    <n v="0"/>
    <n v="0"/>
    <n v="0"/>
    <n v="0"/>
    <n v="0"/>
    <n v="1"/>
    <n v="972"/>
    <n v="2"/>
    <n v="2"/>
    <n v="0"/>
    <n v="0"/>
    <n v="0"/>
    <n v="1"/>
    <n v="162"/>
    <n v="162"/>
    <n v="0"/>
    <s v="N/A"/>
    <n v="0"/>
    <n v="0"/>
    <n v="0"/>
    <n v="0"/>
    <n v="0"/>
    <n v="0"/>
    <n v="1"/>
    <n v="0"/>
    <n v="0"/>
    <n v="0"/>
    <n v="0"/>
    <n v="0"/>
    <n v="0"/>
    <n v="0"/>
    <n v="0"/>
    <n v="0"/>
    <x v="2"/>
    <x v="2"/>
    <x v="6"/>
    <x v="4"/>
    <n v="0"/>
    <n v="0"/>
    <n v="0"/>
    <x v="0"/>
    <m/>
  </r>
  <r>
    <x v="0"/>
    <x v="10"/>
    <x v="1"/>
    <x v="13"/>
    <x v="181"/>
    <n v="104"/>
    <n v="521"/>
    <m/>
    <s v="BMZ"/>
    <d v="2019-05-01T00:00:00"/>
    <m/>
    <s v="Yes"/>
    <n v="0"/>
    <n v="0"/>
    <n v="0"/>
    <n v="0"/>
    <m/>
    <m/>
    <n v="0"/>
    <m/>
    <m/>
    <m/>
    <m/>
    <m/>
    <m/>
    <m/>
    <n v="0"/>
    <m/>
    <m/>
    <m/>
    <n v="0"/>
    <x v="1"/>
    <x v="1"/>
    <m/>
    <m/>
    <m/>
    <n v="0"/>
    <m/>
    <n v="0"/>
    <m/>
    <n v="0"/>
    <m/>
    <m/>
    <x v="0"/>
    <m/>
    <m/>
    <m/>
    <m/>
    <s v="no test"/>
    <s v="no test"/>
    <x v="1"/>
    <n v="0"/>
    <n v="0"/>
    <n v="0"/>
    <n v="0"/>
    <n v="0"/>
    <n v="0"/>
    <n v="0"/>
    <n v="0"/>
    <n v="0"/>
    <n v="1"/>
    <n v="521"/>
    <n v="1"/>
    <n v="1"/>
    <n v="0"/>
    <n v="0"/>
    <n v="0"/>
    <n v="1"/>
    <n v="87"/>
    <n v="87"/>
    <n v="0"/>
    <s v="N/A"/>
    <n v="0"/>
    <n v="0"/>
    <n v="0"/>
    <n v="0"/>
    <n v="0"/>
    <n v="0"/>
    <n v="1"/>
    <n v="0"/>
    <n v="0"/>
    <n v="0"/>
    <n v="0"/>
    <n v="0"/>
    <n v="0"/>
    <n v="0"/>
    <n v="0"/>
    <n v="0"/>
    <x v="2"/>
    <x v="2"/>
    <x v="6"/>
    <x v="3"/>
    <n v="19.989589691162099"/>
    <n v="93.823867797851605"/>
    <s v="199250"/>
    <x v="0"/>
    <m/>
  </r>
  <r>
    <x v="0"/>
    <x v="10"/>
    <x v="1"/>
    <x v="13"/>
    <x v="182"/>
    <n v="44"/>
    <n v="221"/>
    <m/>
    <s v="BMZ"/>
    <d v="2019-05-01T00:00:00"/>
    <m/>
    <s v="Yes"/>
    <n v="0"/>
    <n v="0"/>
    <n v="0"/>
    <n v="0"/>
    <m/>
    <m/>
    <n v="0"/>
    <m/>
    <m/>
    <m/>
    <m/>
    <m/>
    <m/>
    <m/>
    <n v="0"/>
    <m/>
    <m/>
    <m/>
    <n v="0"/>
    <x v="1"/>
    <x v="1"/>
    <m/>
    <m/>
    <m/>
    <n v="0"/>
    <m/>
    <n v="0"/>
    <m/>
    <n v="0"/>
    <m/>
    <m/>
    <x v="0"/>
    <m/>
    <m/>
    <m/>
    <m/>
    <s v="no test"/>
    <s v="no test"/>
    <x v="1"/>
    <n v="0"/>
    <n v="0"/>
    <n v="0"/>
    <n v="0"/>
    <n v="0"/>
    <n v="0"/>
    <n v="0"/>
    <n v="0"/>
    <n v="0"/>
    <n v="1"/>
    <n v="221"/>
    <n v="1"/>
    <n v="1"/>
    <n v="0"/>
    <n v="0"/>
    <n v="0"/>
    <n v="1"/>
    <n v="37"/>
    <n v="37"/>
    <n v="0"/>
    <s v="N/A"/>
    <n v="0"/>
    <n v="0"/>
    <n v="0"/>
    <n v="0"/>
    <n v="0"/>
    <n v="0"/>
    <n v="1"/>
    <n v="0"/>
    <n v="0"/>
    <n v="0"/>
    <n v="0"/>
    <n v="0"/>
    <n v="0"/>
    <n v="0"/>
    <n v="0"/>
    <n v="0"/>
    <x v="2"/>
    <x v="2"/>
    <x v="6"/>
    <x v="3"/>
    <n v="19.725629806518601"/>
    <n v="94.031059265136705"/>
    <s v="199158"/>
    <x v="0"/>
    <m/>
  </r>
  <r>
    <x v="0"/>
    <x v="10"/>
    <x v="1"/>
    <x v="13"/>
    <x v="183"/>
    <n v="47"/>
    <n v="237"/>
    <m/>
    <s v="BMZ"/>
    <d v="2019-05-01T00:00:00"/>
    <m/>
    <s v="Yes"/>
    <n v="0"/>
    <n v="0"/>
    <n v="0"/>
    <n v="0"/>
    <m/>
    <m/>
    <n v="0"/>
    <m/>
    <m/>
    <m/>
    <m/>
    <m/>
    <m/>
    <m/>
    <n v="0"/>
    <m/>
    <m/>
    <m/>
    <n v="0"/>
    <x v="1"/>
    <x v="1"/>
    <m/>
    <m/>
    <m/>
    <n v="0"/>
    <m/>
    <n v="0"/>
    <m/>
    <n v="0"/>
    <m/>
    <m/>
    <x v="0"/>
    <m/>
    <m/>
    <m/>
    <m/>
    <s v="no test"/>
    <s v="no test"/>
    <x v="1"/>
    <n v="0"/>
    <n v="0"/>
    <n v="0"/>
    <n v="0"/>
    <n v="0"/>
    <n v="0"/>
    <n v="0"/>
    <n v="0"/>
    <n v="0"/>
    <n v="1"/>
    <n v="237"/>
    <n v="1"/>
    <n v="1"/>
    <n v="0"/>
    <n v="0"/>
    <n v="0"/>
    <n v="1"/>
    <n v="40"/>
    <n v="40"/>
    <n v="0"/>
    <s v="N/A"/>
    <n v="0"/>
    <n v="0"/>
    <n v="0"/>
    <n v="0"/>
    <n v="0"/>
    <n v="0"/>
    <n v="1"/>
    <n v="0"/>
    <n v="0"/>
    <n v="0"/>
    <n v="0"/>
    <n v="0"/>
    <n v="0"/>
    <n v="0"/>
    <n v="0"/>
    <n v="0"/>
    <x v="2"/>
    <x v="2"/>
    <x v="6"/>
    <x v="3"/>
    <n v="19.591590881347699"/>
    <n v="93.808258056640597"/>
    <n v="199195"/>
    <x v="0"/>
    <m/>
  </r>
  <r>
    <x v="0"/>
    <x v="10"/>
    <x v="1"/>
    <x v="13"/>
    <x v="184"/>
    <n v="89"/>
    <n v="443"/>
    <m/>
    <s v="BMZ"/>
    <d v="2019-05-01T00:00:00"/>
    <m/>
    <s v="Yes"/>
    <n v="0"/>
    <n v="0"/>
    <n v="0"/>
    <n v="0"/>
    <m/>
    <m/>
    <n v="0"/>
    <m/>
    <m/>
    <m/>
    <m/>
    <m/>
    <m/>
    <m/>
    <n v="0"/>
    <m/>
    <m/>
    <m/>
    <n v="0"/>
    <x v="1"/>
    <x v="1"/>
    <m/>
    <m/>
    <m/>
    <n v="0"/>
    <m/>
    <n v="0"/>
    <m/>
    <n v="0"/>
    <m/>
    <m/>
    <x v="0"/>
    <m/>
    <m/>
    <m/>
    <m/>
    <s v="no test"/>
    <s v="no test"/>
    <x v="1"/>
    <n v="0"/>
    <n v="0"/>
    <n v="0"/>
    <n v="0"/>
    <n v="0"/>
    <n v="0"/>
    <n v="0"/>
    <n v="0"/>
    <n v="0"/>
    <n v="1"/>
    <n v="443"/>
    <n v="1"/>
    <n v="1"/>
    <n v="0"/>
    <n v="0"/>
    <n v="0"/>
    <n v="1"/>
    <n v="74"/>
    <n v="74"/>
    <n v="0"/>
    <s v="N/A"/>
    <n v="0"/>
    <n v="0"/>
    <n v="0"/>
    <n v="0"/>
    <n v="0"/>
    <n v="0"/>
    <n v="1"/>
    <n v="0"/>
    <n v="0"/>
    <n v="0"/>
    <n v="0"/>
    <n v="0"/>
    <n v="0"/>
    <n v="0"/>
    <n v="0"/>
    <n v="0"/>
    <x v="2"/>
    <x v="2"/>
    <x v="6"/>
    <x v="2"/>
    <n v="19.639009475708001"/>
    <n v="94.036079406738295"/>
    <s v="199223"/>
    <x v="0"/>
    <m/>
  </r>
  <r>
    <x v="0"/>
    <x v="10"/>
    <x v="1"/>
    <x v="13"/>
    <x v="185"/>
    <n v="75"/>
    <n v="375"/>
    <m/>
    <s v="BMZ"/>
    <d v="2019-05-01T00:00:00"/>
    <m/>
    <s v="Yes"/>
    <n v="0"/>
    <n v="0"/>
    <n v="0"/>
    <n v="0"/>
    <m/>
    <m/>
    <n v="0"/>
    <m/>
    <m/>
    <m/>
    <m/>
    <m/>
    <m/>
    <m/>
    <n v="0"/>
    <m/>
    <m/>
    <m/>
    <n v="0"/>
    <x v="1"/>
    <x v="1"/>
    <m/>
    <m/>
    <m/>
    <n v="0"/>
    <m/>
    <n v="0"/>
    <m/>
    <n v="0"/>
    <m/>
    <m/>
    <x v="0"/>
    <m/>
    <m/>
    <m/>
    <m/>
    <s v="no test"/>
    <s v="no test"/>
    <x v="1"/>
    <n v="0"/>
    <n v="0"/>
    <n v="0"/>
    <n v="0"/>
    <n v="0"/>
    <n v="0"/>
    <n v="0"/>
    <n v="0"/>
    <n v="0"/>
    <n v="1"/>
    <n v="375"/>
    <n v="1"/>
    <n v="1"/>
    <n v="0"/>
    <n v="0"/>
    <n v="0"/>
    <n v="1"/>
    <n v="63"/>
    <n v="63"/>
    <n v="0"/>
    <s v="N/A"/>
    <n v="0"/>
    <n v="0"/>
    <n v="0"/>
    <n v="0"/>
    <n v="0"/>
    <n v="0"/>
    <n v="1"/>
    <n v="0"/>
    <n v="0"/>
    <n v="0"/>
    <n v="0"/>
    <n v="0"/>
    <n v="0"/>
    <n v="0"/>
    <n v="0"/>
    <n v="0"/>
    <x v="2"/>
    <x v="2"/>
    <x v="6"/>
    <x v="3"/>
    <n v="19.738719940185501"/>
    <n v="94.035491943359403"/>
    <s v="199160"/>
    <x v="0"/>
    <m/>
  </r>
  <r>
    <x v="0"/>
    <x v="10"/>
    <x v="1"/>
    <x v="13"/>
    <x v="186"/>
    <n v="248"/>
    <n v="1241"/>
    <m/>
    <s v="BMZ"/>
    <d v="2019-05-01T00:00:00"/>
    <m/>
    <s v="Yes"/>
    <n v="0"/>
    <n v="0"/>
    <n v="0"/>
    <n v="0"/>
    <m/>
    <m/>
    <n v="0"/>
    <m/>
    <m/>
    <m/>
    <m/>
    <m/>
    <m/>
    <m/>
    <n v="0"/>
    <m/>
    <m/>
    <m/>
    <n v="0"/>
    <x v="1"/>
    <x v="1"/>
    <m/>
    <m/>
    <m/>
    <n v="0"/>
    <m/>
    <n v="0"/>
    <m/>
    <n v="0"/>
    <m/>
    <m/>
    <x v="0"/>
    <m/>
    <m/>
    <m/>
    <m/>
    <s v="no test"/>
    <s v="no test"/>
    <x v="1"/>
    <n v="0"/>
    <n v="0"/>
    <n v="0"/>
    <n v="0"/>
    <n v="0"/>
    <n v="0"/>
    <n v="0"/>
    <n v="0"/>
    <n v="0"/>
    <n v="1"/>
    <n v="1241"/>
    <n v="2"/>
    <n v="2"/>
    <n v="0"/>
    <n v="0"/>
    <n v="0"/>
    <n v="1"/>
    <n v="207"/>
    <n v="207"/>
    <n v="0"/>
    <s v="N/A"/>
    <n v="0"/>
    <n v="0"/>
    <n v="0"/>
    <n v="0"/>
    <n v="0"/>
    <n v="0"/>
    <n v="1"/>
    <n v="0"/>
    <n v="0"/>
    <n v="0"/>
    <n v="0"/>
    <n v="0"/>
    <n v="0"/>
    <n v="0"/>
    <n v="0"/>
    <n v="0"/>
    <x v="2"/>
    <x v="2"/>
    <x v="6"/>
    <x v="3"/>
    <n v="19.646549224853501"/>
    <n v="94.004188537597699"/>
    <s v="199218"/>
    <x v="0"/>
    <m/>
  </r>
  <r>
    <x v="0"/>
    <x v="10"/>
    <x v="1"/>
    <x v="13"/>
    <x v="187"/>
    <n v="107"/>
    <n v="534"/>
    <m/>
    <s v="BMZ"/>
    <d v="2019-05-01T00:00:00"/>
    <m/>
    <s v="Yes"/>
    <n v="0"/>
    <n v="0"/>
    <n v="0"/>
    <n v="0"/>
    <m/>
    <m/>
    <n v="0"/>
    <m/>
    <m/>
    <m/>
    <m/>
    <m/>
    <m/>
    <m/>
    <n v="0"/>
    <m/>
    <m/>
    <m/>
    <n v="0"/>
    <x v="1"/>
    <x v="1"/>
    <m/>
    <m/>
    <m/>
    <n v="0"/>
    <m/>
    <n v="0"/>
    <m/>
    <n v="0"/>
    <m/>
    <m/>
    <x v="0"/>
    <m/>
    <m/>
    <m/>
    <m/>
    <s v="no test"/>
    <s v="no test"/>
    <x v="1"/>
    <n v="0"/>
    <n v="0"/>
    <n v="0"/>
    <n v="0"/>
    <n v="0"/>
    <n v="0"/>
    <n v="0"/>
    <n v="0"/>
    <n v="0"/>
    <n v="1"/>
    <n v="534"/>
    <n v="1"/>
    <n v="1"/>
    <n v="0"/>
    <n v="0"/>
    <n v="0"/>
    <n v="1"/>
    <n v="89"/>
    <n v="89"/>
    <n v="0"/>
    <s v="N/A"/>
    <n v="0"/>
    <n v="0"/>
    <n v="0"/>
    <n v="0"/>
    <n v="0"/>
    <n v="0"/>
    <n v="1"/>
    <n v="0"/>
    <n v="0"/>
    <n v="0"/>
    <n v="0"/>
    <n v="0"/>
    <n v="0"/>
    <n v="0"/>
    <n v="0"/>
    <n v="0"/>
    <x v="2"/>
    <x v="2"/>
    <x v="6"/>
    <x v="2"/>
    <n v="19.991359710693398"/>
    <n v="93.834663391113295"/>
    <s v="199248"/>
    <x v="0"/>
    <m/>
  </r>
  <r>
    <x v="0"/>
    <x v="10"/>
    <x v="1"/>
    <x v="13"/>
    <x v="188"/>
    <n v="123"/>
    <n v="615"/>
    <m/>
    <s v="BMZ"/>
    <d v="2019-05-01T00:00:00"/>
    <m/>
    <s v="Yes"/>
    <n v="0"/>
    <n v="0"/>
    <n v="0"/>
    <n v="0"/>
    <m/>
    <m/>
    <n v="0"/>
    <m/>
    <m/>
    <m/>
    <m/>
    <m/>
    <m/>
    <m/>
    <n v="0"/>
    <m/>
    <m/>
    <m/>
    <n v="0"/>
    <x v="1"/>
    <x v="1"/>
    <m/>
    <m/>
    <m/>
    <n v="0"/>
    <m/>
    <n v="0"/>
    <m/>
    <n v="0"/>
    <m/>
    <m/>
    <x v="0"/>
    <m/>
    <m/>
    <m/>
    <m/>
    <s v="no test"/>
    <s v="no test"/>
    <x v="1"/>
    <n v="0"/>
    <n v="0"/>
    <n v="0"/>
    <n v="0"/>
    <n v="0"/>
    <n v="0"/>
    <n v="0"/>
    <n v="0"/>
    <n v="0"/>
    <n v="1"/>
    <n v="615"/>
    <n v="1"/>
    <n v="1"/>
    <n v="0"/>
    <n v="0"/>
    <n v="0"/>
    <n v="1"/>
    <n v="103"/>
    <n v="103"/>
    <n v="0"/>
    <s v="N/A"/>
    <n v="0"/>
    <n v="0"/>
    <n v="0"/>
    <n v="0"/>
    <n v="0"/>
    <n v="0"/>
    <n v="1"/>
    <n v="0"/>
    <n v="0"/>
    <n v="0"/>
    <n v="0"/>
    <n v="0"/>
    <n v="0"/>
    <n v="0"/>
    <n v="0"/>
    <n v="0"/>
    <x v="2"/>
    <x v="2"/>
    <x v="6"/>
    <x v="3"/>
    <n v="19.9044303894043"/>
    <n v="93.792778015136705"/>
    <s v="199137"/>
    <x v="0"/>
    <m/>
  </r>
  <r>
    <x v="0"/>
    <x v="10"/>
    <x v="1"/>
    <x v="13"/>
    <x v="189"/>
    <n v="115"/>
    <n v="575"/>
    <m/>
    <s v="BMZ"/>
    <d v="2019-05-01T00:00:00"/>
    <m/>
    <s v="Yes"/>
    <n v="0"/>
    <n v="0"/>
    <n v="0"/>
    <n v="0"/>
    <m/>
    <m/>
    <n v="0"/>
    <m/>
    <m/>
    <m/>
    <m/>
    <m/>
    <m/>
    <m/>
    <n v="0"/>
    <m/>
    <m/>
    <m/>
    <n v="0"/>
    <x v="1"/>
    <x v="1"/>
    <m/>
    <m/>
    <m/>
    <n v="0"/>
    <m/>
    <n v="0"/>
    <m/>
    <n v="0"/>
    <m/>
    <m/>
    <x v="0"/>
    <m/>
    <m/>
    <m/>
    <m/>
    <s v="no test"/>
    <s v="no test"/>
    <x v="1"/>
    <n v="0"/>
    <n v="0"/>
    <n v="0"/>
    <n v="0"/>
    <n v="0"/>
    <n v="0"/>
    <n v="0"/>
    <n v="0"/>
    <n v="0"/>
    <n v="1"/>
    <n v="575"/>
    <n v="1"/>
    <n v="1"/>
    <n v="0"/>
    <n v="0"/>
    <n v="0"/>
    <n v="1"/>
    <n v="96"/>
    <n v="96"/>
    <n v="0"/>
    <s v="N/A"/>
    <n v="0"/>
    <n v="0"/>
    <n v="0"/>
    <n v="0"/>
    <n v="0"/>
    <n v="0"/>
    <n v="1"/>
    <n v="0"/>
    <n v="0"/>
    <n v="0"/>
    <n v="0"/>
    <n v="0"/>
    <n v="0"/>
    <n v="0"/>
    <n v="0"/>
    <n v="0"/>
    <x v="2"/>
    <x v="2"/>
    <x v="6"/>
    <x v="2"/>
    <n v="19.930080413818398"/>
    <n v="93.787002563476605"/>
    <s v="199135"/>
    <x v="0"/>
    <m/>
  </r>
  <r>
    <x v="0"/>
    <x v="10"/>
    <x v="1"/>
    <x v="13"/>
    <x v="190"/>
    <n v="144"/>
    <n v="719"/>
    <m/>
    <s v="BMZ"/>
    <d v="2019-05-01T00:00:00"/>
    <m/>
    <s v="Yes"/>
    <n v="0"/>
    <n v="0"/>
    <n v="0"/>
    <n v="0"/>
    <m/>
    <m/>
    <n v="0"/>
    <m/>
    <m/>
    <m/>
    <m/>
    <m/>
    <m/>
    <m/>
    <n v="0"/>
    <m/>
    <m/>
    <m/>
    <n v="0"/>
    <x v="1"/>
    <x v="1"/>
    <m/>
    <m/>
    <m/>
    <n v="0"/>
    <m/>
    <n v="0"/>
    <m/>
    <n v="0"/>
    <m/>
    <m/>
    <x v="0"/>
    <m/>
    <m/>
    <m/>
    <m/>
    <s v="no test"/>
    <s v="no test"/>
    <x v="1"/>
    <n v="0"/>
    <n v="0"/>
    <n v="0"/>
    <n v="0"/>
    <n v="0"/>
    <n v="0"/>
    <n v="0"/>
    <n v="0"/>
    <n v="0"/>
    <n v="1"/>
    <n v="719"/>
    <n v="1"/>
    <n v="1"/>
    <n v="0"/>
    <n v="0"/>
    <n v="0"/>
    <n v="1"/>
    <n v="120"/>
    <n v="120"/>
    <n v="0"/>
    <s v="N/A"/>
    <n v="0"/>
    <n v="0"/>
    <n v="0"/>
    <n v="0"/>
    <n v="0"/>
    <n v="0"/>
    <n v="1"/>
    <n v="0"/>
    <n v="0"/>
    <n v="0"/>
    <n v="0"/>
    <n v="0"/>
    <n v="0"/>
    <n v="0"/>
    <n v="0"/>
    <n v="0"/>
    <x v="2"/>
    <x v="2"/>
    <x v="6"/>
    <x v="3"/>
    <n v="19.611209869384801"/>
    <n v="93.995933532714801"/>
    <s v="199261"/>
    <x v="0"/>
    <m/>
  </r>
  <r>
    <x v="0"/>
    <x v="10"/>
    <x v="1"/>
    <x v="13"/>
    <x v="191"/>
    <n v="110"/>
    <n v="549"/>
    <m/>
    <s v="BMZ"/>
    <d v="2019-05-01T00:00:00"/>
    <m/>
    <s v="Yes"/>
    <n v="0"/>
    <n v="0"/>
    <n v="0"/>
    <n v="0"/>
    <m/>
    <m/>
    <n v="0"/>
    <m/>
    <m/>
    <m/>
    <m/>
    <m/>
    <m/>
    <m/>
    <n v="0"/>
    <m/>
    <m/>
    <m/>
    <n v="0"/>
    <x v="1"/>
    <x v="1"/>
    <m/>
    <m/>
    <m/>
    <n v="0"/>
    <m/>
    <n v="0"/>
    <m/>
    <n v="0"/>
    <m/>
    <m/>
    <x v="0"/>
    <m/>
    <m/>
    <m/>
    <m/>
    <s v="no test"/>
    <s v="no test"/>
    <x v="1"/>
    <n v="0"/>
    <n v="0"/>
    <n v="0"/>
    <n v="0"/>
    <n v="0"/>
    <n v="0"/>
    <n v="0"/>
    <n v="0"/>
    <n v="0"/>
    <n v="1"/>
    <n v="549"/>
    <n v="1"/>
    <n v="1"/>
    <n v="0"/>
    <n v="0"/>
    <n v="0"/>
    <n v="1"/>
    <n v="92"/>
    <n v="92"/>
    <n v="0"/>
    <s v="N/A"/>
    <n v="0"/>
    <n v="0"/>
    <n v="0"/>
    <n v="0"/>
    <n v="0"/>
    <n v="0"/>
    <n v="1"/>
    <n v="0"/>
    <n v="0"/>
    <n v="0"/>
    <n v="0"/>
    <n v="0"/>
    <n v="0"/>
    <n v="0"/>
    <n v="0"/>
    <n v="0"/>
    <x v="2"/>
    <x v="2"/>
    <x v="6"/>
    <x v="2"/>
    <n v="19.686580657958999"/>
    <n v="94.048843383789105"/>
    <s v="199156"/>
    <x v="0"/>
    <m/>
  </r>
  <r>
    <x v="0"/>
    <x v="10"/>
    <x v="1"/>
    <x v="13"/>
    <x v="192"/>
    <n v="72"/>
    <n v="360"/>
    <m/>
    <s v="BMZ"/>
    <d v="2019-05-01T00:00:00"/>
    <m/>
    <s v="Yes"/>
    <n v="0"/>
    <n v="0"/>
    <n v="0"/>
    <n v="0"/>
    <m/>
    <m/>
    <n v="0"/>
    <m/>
    <m/>
    <m/>
    <m/>
    <m/>
    <m/>
    <m/>
    <n v="0"/>
    <m/>
    <m/>
    <m/>
    <n v="0"/>
    <x v="1"/>
    <x v="1"/>
    <m/>
    <m/>
    <m/>
    <n v="0"/>
    <m/>
    <n v="0"/>
    <m/>
    <n v="0"/>
    <m/>
    <m/>
    <x v="0"/>
    <m/>
    <m/>
    <m/>
    <m/>
    <s v="no test"/>
    <s v="no test"/>
    <x v="1"/>
    <n v="0"/>
    <n v="0"/>
    <n v="0"/>
    <n v="0"/>
    <n v="0"/>
    <n v="0"/>
    <n v="0"/>
    <n v="0"/>
    <n v="0"/>
    <n v="1"/>
    <n v="360"/>
    <n v="1"/>
    <n v="1"/>
    <n v="0"/>
    <n v="0"/>
    <n v="0"/>
    <n v="1"/>
    <n v="60"/>
    <n v="60"/>
    <n v="0"/>
    <s v="N/A"/>
    <n v="0"/>
    <n v="0"/>
    <n v="0"/>
    <n v="0"/>
    <n v="0"/>
    <n v="0"/>
    <n v="1"/>
    <n v="0"/>
    <n v="0"/>
    <n v="0"/>
    <n v="0"/>
    <n v="0"/>
    <n v="0"/>
    <n v="0"/>
    <n v="0"/>
    <n v="0"/>
    <x v="2"/>
    <x v="2"/>
    <x v="6"/>
    <x v="3"/>
    <n v="19.627199172973601"/>
    <n v="93.962989807128906"/>
    <s v="199265"/>
    <x v="0"/>
    <m/>
  </r>
  <r>
    <x v="0"/>
    <x v="10"/>
    <x v="1"/>
    <x v="13"/>
    <x v="193"/>
    <n v="84"/>
    <n v="419"/>
    <m/>
    <s v="BMZ"/>
    <d v="2019-05-01T00:00:00"/>
    <m/>
    <s v="Yes"/>
    <n v="0"/>
    <n v="0"/>
    <n v="0"/>
    <n v="0"/>
    <m/>
    <m/>
    <n v="0"/>
    <m/>
    <m/>
    <m/>
    <m/>
    <m/>
    <m/>
    <m/>
    <n v="0"/>
    <m/>
    <m/>
    <m/>
    <n v="0"/>
    <x v="1"/>
    <x v="1"/>
    <m/>
    <m/>
    <m/>
    <n v="0"/>
    <m/>
    <n v="0"/>
    <m/>
    <n v="0"/>
    <m/>
    <m/>
    <x v="0"/>
    <m/>
    <m/>
    <m/>
    <m/>
    <s v="no test"/>
    <s v="no test"/>
    <x v="1"/>
    <n v="0"/>
    <n v="0"/>
    <n v="0"/>
    <n v="0"/>
    <n v="0"/>
    <n v="0"/>
    <n v="0"/>
    <n v="0"/>
    <n v="0"/>
    <n v="1"/>
    <n v="419"/>
    <n v="1"/>
    <n v="1"/>
    <n v="0"/>
    <n v="0"/>
    <n v="0"/>
    <n v="1"/>
    <n v="70"/>
    <n v="70"/>
    <n v="0"/>
    <s v="N/A"/>
    <n v="0"/>
    <n v="0"/>
    <n v="0"/>
    <n v="0"/>
    <n v="0"/>
    <n v="0"/>
    <n v="1"/>
    <n v="0"/>
    <n v="0"/>
    <n v="0"/>
    <n v="0"/>
    <n v="0"/>
    <n v="0"/>
    <n v="0"/>
    <n v="0"/>
    <n v="0"/>
    <x v="2"/>
    <x v="2"/>
    <x v="6"/>
    <x v="3"/>
    <n v="19.615800857543899"/>
    <n v="94.000473022460895"/>
    <s v="199262"/>
    <x v="0"/>
    <m/>
  </r>
  <r>
    <x v="0"/>
    <x v="10"/>
    <x v="1"/>
    <x v="13"/>
    <x v="194"/>
    <n v="235"/>
    <n v="1176"/>
    <m/>
    <s v="BMZ"/>
    <d v="2019-05-01T00:00:00"/>
    <m/>
    <s v="Yes"/>
    <n v="0"/>
    <n v="0"/>
    <n v="0"/>
    <n v="0"/>
    <m/>
    <m/>
    <n v="0"/>
    <m/>
    <m/>
    <m/>
    <m/>
    <m/>
    <m/>
    <m/>
    <n v="0"/>
    <m/>
    <m/>
    <m/>
    <n v="0"/>
    <x v="1"/>
    <x v="1"/>
    <m/>
    <m/>
    <m/>
    <n v="0"/>
    <m/>
    <n v="0"/>
    <m/>
    <n v="0"/>
    <m/>
    <m/>
    <x v="0"/>
    <m/>
    <m/>
    <m/>
    <m/>
    <s v="no test"/>
    <s v="no test"/>
    <x v="1"/>
    <n v="0"/>
    <n v="0"/>
    <n v="0"/>
    <n v="0"/>
    <n v="0"/>
    <n v="0"/>
    <n v="0"/>
    <n v="0"/>
    <n v="0"/>
    <n v="1"/>
    <n v="1176"/>
    <n v="2"/>
    <n v="2"/>
    <n v="0"/>
    <n v="0"/>
    <n v="0"/>
    <n v="1"/>
    <n v="196"/>
    <n v="196"/>
    <n v="0"/>
    <s v="N/A"/>
    <n v="0"/>
    <n v="0"/>
    <n v="0"/>
    <n v="0"/>
    <n v="0"/>
    <n v="0"/>
    <n v="1"/>
    <n v="0"/>
    <n v="0"/>
    <n v="0"/>
    <n v="0"/>
    <n v="0"/>
    <n v="0"/>
    <n v="0"/>
    <n v="0"/>
    <n v="0"/>
    <x v="2"/>
    <x v="2"/>
    <x v="6"/>
    <x v="2"/>
    <n v="19.988599777221701"/>
    <n v="93.803939819335895"/>
    <s v="199241"/>
    <x v="0"/>
    <m/>
  </r>
  <r>
    <x v="0"/>
    <x v="10"/>
    <x v="1"/>
    <x v="13"/>
    <x v="195"/>
    <n v="82"/>
    <n v="412"/>
    <m/>
    <s v="BMZ"/>
    <d v="2019-05-01T00:00:00"/>
    <m/>
    <s v="Yes"/>
    <n v="0"/>
    <n v="0"/>
    <n v="0"/>
    <n v="0"/>
    <m/>
    <m/>
    <n v="0"/>
    <m/>
    <m/>
    <m/>
    <m/>
    <m/>
    <m/>
    <m/>
    <n v="0"/>
    <m/>
    <m/>
    <m/>
    <n v="0"/>
    <x v="1"/>
    <x v="1"/>
    <m/>
    <m/>
    <m/>
    <n v="0"/>
    <m/>
    <n v="0"/>
    <m/>
    <n v="0"/>
    <m/>
    <m/>
    <x v="0"/>
    <m/>
    <m/>
    <m/>
    <m/>
    <s v="no test"/>
    <s v="no test"/>
    <x v="1"/>
    <n v="0"/>
    <n v="0"/>
    <n v="0"/>
    <n v="0"/>
    <n v="0"/>
    <n v="0"/>
    <n v="0"/>
    <n v="0"/>
    <n v="0"/>
    <n v="1"/>
    <n v="412"/>
    <n v="1"/>
    <n v="1"/>
    <n v="0"/>
    <n v="0"/>
    <n v="0"/>
    <n v="1"/>
    <n v="69"/>
    <n v="69"/>
    <n v="0"/>
    <s v="N/A"/>
    <n v="0"/>
    <n v="0"/>
    <n v="0"/>
    <n v="0"/>
    <n v="0"/>
    <n v="0"/>
    <n v="1"/>
    <n v="0"/>
    <n v="0"/>
    <n v="0"/>
    <n v="0"/>
    <n v="0"/>
    <n v="0"/>
    <n v="0"/>
    <n v="0"/>
    <n v="0"/>
    <x v="2"/>
    <x v="2"/>
    <x v="6"/>
    <x v="2"/>
    <n v="19.962713241577099"/>
    <n v="93.885574340820298"/>
    <s v="220838"/>
    <x v="0"/>
    <m/>
  </r>
  <r>
    <x v="0"/>
    <x v="10"/>
    <x v="1"/>
    <x v="13"/>
    <x v="196"/>
    <n v="229"/>
    <n v="1147"/>
    <m/>
    <s v="BMZ"/>
    <d v="2019-05-01T00:00:00"/>
    <m/>
    <s v="Yes"/>
    <n v="0"/>
    <n v="0"/>
    <n v="0"/>
    <n v="0"/>
    <m/>
    <m/>
    <n v="0"/>
    <m/>
    <m/>
    <m/>
    <m/>
    <m/>
    <m/>
    <m/>
    <n v="0"/>
    <m/>
    <m/>
    <m/>
    <n v="0"/>
    <x v="1"/>
    <x v="1"/>
    <m/>
    <m/>
    <m/>
    <n v="0"/>
    <m/>
    <n v="0"/>
    <m/>
    <n v="0"/>
    <m/>
    <m/>
    <x v="0"/>
    <m/>
    <m/>
    <m/>
    <m/>
    <s v="no test"/>
    <s v="no test"/>
    <x v="1"/>
    <n v="0"/>
    <n v="0"/>
    <n v="0"/>
    <n v="0"/>
    <n v="0"/>
    <n v="0"/>
    <n v="0"/>
    <n v="0"/>
    <n v="0"/>
    <n v="1"/>
    <n v="1147"/>
    <n v="2"/>
    <n v="2"/>
    <n v="0"/>
    <n v="0"/>
    <n v="0"/>
    <n v="0.99912816041848307"/>
    <n v="191"/>
    <n v="191"/>
    <n v="0"/>
    <s v="N/A"/>
    <n v="0"/>
    <n v="0"/>
    <n v="0"/>
    <n v="0"/>
    <n v="0"/>
    <n v="0"/>
    <n v="1"/>
    <n v="0"/>
    <n v="0"/>
    <n v="0"/>
    <n v="0"/>
    <n v="0"/>
    <n v="0"/>
    <n v="0"/>
    <n v="0"/>
    <n v="0"/>
    <x v="2"/>
    <x v="2"/>
    <x v="6"/>
    <x v="3"/>
    <n v="19.925739288330099"/>
    <n v="93.792991638183594"/>
    <s v="199133"/>
    <x v="0"/>
    <m/>
  </r>
  <r>
    <x v="0"/>
    <x v="11"/>
    <x v="1"/>
    <x v="14"/>
    <x v="197"/>
    <n v="24"/>
    <n v="91"/>
    <m/>
    <s v="UNICEF"/>
    <d v="2018-08-31T00:00:00"/>
    <n v="0"/>
    <m/>
    <m/>
    <m/>
    <n v="0"/>
    <n v="0"/>
    <n v="0"/>
    <n v="0"/>
    <n v="1"/>
    <m/>
    <m/>
    <m/>
    <m/>
    <m/>
    <m/>
    <m/>
    <m/>
    <m/>
    <m/>
    <m/>
    <n v="10"/>
    <x v="4"/>
    <x v="4"/>
    <m/>
    <m/>
    <s v="HH latrines in village"/>
    <n v="0"/>
    <s v="Household"/>
    <n v="0"/>
    <n v="0"/>
    <n v="7"/>
    <n v="24"/>
    <n v="24"/>
    <x v="0"/>
    <m/>
    <m/>
    <m/>
    <m/>
    <s v="no test"/>
    <s v="no test"/>
    <x v="1"/>
    <n v="0"/>
    <n v="0"/>
    <n v="0"/>
    <n v="0"/>
    <n v="0"/>
    <n v="0"/>
    <n v="0"/>
    <n v="0"/>
    <n v="0"/>
    <n v="1"/>
    <n v="91"/>
    <n v="1"/>
    <n v="1"/>
    <n v="0"/>
    <n v="0"/>
    <n v="0"/>
    <n v="0.98901098901098905"/>
    <n v="15"/>
    <n v="15"/>
    <n v="0"/>
    <s v="N/A"/>
    <n v="91"/>
    <n v="1"/>
    <n v="1"/>
    <n v="1"/>
    <n v="91"/>
    <n v="1"/>
    <n v="0"/>
    <n v="1"/>
    <n v="1"/>
    <n v="1"/>
    <n v="120"/>
    <n v="120"/>
    <n v="120"/>
    <n v="0"/>
    <n v="0"/>
    <n v="0"/>
    <x v="3"/>
    <x v="2"/>
    <x v="7"/>
    <x v="3"/>
    <n v="20.8490600585938"/>
    <n v="92.497413635253906"/>
    <n v="198313"/>
    <x v="0"/>
    <m/>
  </r>
  <r>
    <x v="0"/>
    <x v="11"/>
    <x v="1"/>
    <x v="14"/>
    <x v="198"/>
    <n v="22"/>
    <n v="90"/>
    <m/>
    <s v="UNICEF"/>
    <d v="2018-02-14T00:00:00"/>
    <n v="0"/>
    <m/>
    <m/>
    <m/>
    <n v="0"/>
    <n v="0"/>
    <n v="0"/>
    <n v="3"/>
    <n v="1"/>
    <m/>
    <m/>
    <m/>
    <m/>
    <m/>
    <m/>
    <m/>
    <n v="1"/>
    <n v="0"/>
    <m/>
    <m/>
    <n v="1"/>
    <x v="4"/>
    <x v="4"/>
    <m/>
    <m/>
    <s v="HH latrines in village"/>
    <n v="0"/>
    <s v="Household"/>
    <n v="0"/>
    <n v="0"/>
    <n v="9"/>
    <n v="22"/>
    <n v="22"/>
    <x v="0"/>
    <m/>
    <m/>
    <m/>
    <m/>
    <s v="no test"/>
    <s v="no test"/>
    <x v="1"/>
    <n v="0"/>
    <n v="0"/>
    <n v="0"/>
    <n v="0"/>
    <n v="1"/>
    <n v="90"/>
    <n v="1"/>
    <n v="90"/>
    <n v="0"/>
    <n v="0"/>
    <n v="0"/>
    <n v="1"/>
    <n v="1"/>
    <n v="1"/>
    <n v="6.6666666666666666E-2"/>
    <n v="6"/>
    <n v="0.93333333333333335"/>
    <n v="14"/>
    <n v="15"/>
    <n v="0"/>
    <s v="N/A"/>
    <n v="90"/>
    <n v="1"/>
    <n v="1"/>
    <n v="1"/>
    <n v="90"/>
    <n v="1"/>
    <n v="0"/>
    <n v="1"/>
    <n v="1"/>
    <n v="1"/>
    <n v="110"/>
    <n v="110"/>
    <n v="110"/>
    <n v="0"/>
    <n v="0"/>
    <n v="0"/>
    <x v="3"/>
    <x v="2"/>
    <x v="7"/>
    <x v="3"/>
    <n v="20.805580139160199"/>
    <n v="92.549842834472699"/>
    <n v="198336"/>
    <x v="0"/>
    <m/>
  </r>
  <r>
    <x v="0"/>
    <x v="11"/>
    <x v="1"/>
    <x v="14"/>
    <x v="199"/>
    <n v="851"/>
    <n v="4820"/>
    <m/>
    <s v="UNICEF"/>
    <d v="2018-08-31T00:00:00"/>
    <n v="0"/>
    <m/>
    <m/>
    <m/>
    <n v="0"/>
    <n v="0"/>
    <n v="0"/>
    <n v="0"/>
    <n v="1"/>
    <m/>
    <m/>
    <m/>
    <m/>
    <m/>
    <m/>
    <m/>
    <n v="1"/>
    <n v="0"/>
    <m/>
    <m/>
    <n v="10"/>
    <x v="4"/>
    <x v="4"/>
    <m/>
    <m/>
    <s v="HH latrines in village"/>
    <n v="0"/>
    <s v="Household"/>
    <n v="0"/>
    <n v="0"/>
    <n v="7"/>
    <n v="851"/>
    <n v="851"/>
    <x v="0"/>
    <m/>
    <m/>
    <m/>
    <m/>
    <s v="no test"/>
    <s v="no test"/>
    <x v="1"/>
    <n v="0"/>
    <n v="0"/>
    <n v="0"/>
    <n v="0"/>
    <n v="0"/>
    <n v="0"/>
    <n v="0"/>
    <n v="0"/>
    <n v="0"/>
    <n v="1"/>
    <n v="4820"/>
    <n v="10"/>
    <n v="10"/>
    <n v="1"/>
    <n v="1.2448132780082987E-3"/>
    <n v="6"/>
    <n v="0.99834024896265561"/>
    <n v="802"/>
    <n v="803"/>
    <n v="0"/>
    <s v="N/A"/>
    <n v="3500"/>
    <n v="1"/>
    <n v="1"/>
    <n v="1"/>
    <n v="4820"/>
    <n v="1"/>
    <n v="0"/>
    <n v="0.72614107883817425"/>
    <n v="1"/>
    <n v="1"/>
    <n v="4255"/>
    <n v="4255"/>
    <n v="4255"/>
    <n v="0"/>
    <n v="0"/>
    <n v="0"/>
    <x v="3"/>
    <x v="2"/>
    <x v="7"/>
    <x v="5"/>
    <n v="20.821479797363299"/>
    <n v="92.603950500488295"/>
    <s v="198356"/>
    <x v="0"/>
    <m/>
  </r>
  <r>
    <x v="0"/>
    <x v="11"/>
    <x v="1"/>
    <x v="14"/>
    <x v="200"/>
    <n v="22"/>
    <n v="88"/>
    <m/>
    <s v="UNICEF"/>
    <d v="2018-02-14T00:00:00"/>
    <n v="0"/>
    <m/>
    <m/>
    <m/>
    <n v="0"/>
    <n v="0"/>
    <n v="0"/>
    <n v="1"/>
    <n v="1"/>
    <m/>
    <m/>
    <m/>
    <m/>
    <m/>
    <m/>
    <m/>
    <n v="1"/>
    <n v="0"/>
    <m/>
    <m/>
    <n v="1"/>
    <x v="4"/>
    <x v="4"/>
    <m/>
    <m/>
    <s v="HH latrines in village"/>
    <n v="0"/>
    <s v="Household"/>
    <n v="0"/>
    <n v="0"/>
    <n v="7"/>
    <m/>
    <m/>
    <x v="0"/>
    <m/>
    <m/>
    <m/>
    <m/>
    <s v="no test"/>
    <s v="no test"/>
    <x v="1"/>
    <n v="0"/>
    <n v="0"/>
    <n v="0"/>
    <n v="0"/>
    <n v="1"/>
    <n v="88"/>
    <n v="1"/>
    <n v="88"/>
    <n v="0"/>
    <n v="0"/>
    <n v="0"/>
    <n v="1"/>
    <n v="1"/>
    <n v="1"/>
    <n v="6.8181818181818177E-2"/>
    <n v="6"/>
    <n v="0.95454545454545459"/>
    <n v="14"/>
    <n v="15"/>
    <n v="0"/>
    <s v="N/A"/>
    <n v="88"/>
    <n v="0"/>
    <n v="1"/>
    <n v="0"/>
    <n v="0"/>
    <n v="0"/>
    <n v="1"/>
    <n v="1"/>
    <n v="0"/>
    <n v="0"/>
    <n v="0"/>
    <n v="0"/>
    <n v="0"/>
    <n v="0"/>
    <n v="0"/>
    <n v="0"/>
    <x v="3"/>
    <x v="2"/>
    <x v="7"/>
    <x v="3"/>
    <n v="21.025630950927699"/>
    <n v="92.524818420410199"/>
    <n v="198196"/>
    <x v="0"/>
    <m/>
  </r>
  <r>
    <x v="0"/>
    <x v="11"/>
    <x v="1"/>
    <x v="14"/>
    <x v="201"/>
    <n v="95"/>
    <n v="370"/>
    <m/>
    <s v="UNICEF"/>
    <d v="2018-08-31T00:00:00"/>
    <n v="0"/>
    <m/>
    <m/>
    <m/>
    <n v="0"/>
    <n v="0"/>
    <n v="0"/>
    <n v="0"/>
    <n v="1"/>
    <m/>
    <m/>
    <m/>
    <m/>
    <m/>
    <m/>
    <m/>
    <m/>
    <m/>
    <m/>
    <m/>
    <n v="3"/>
    <x v="4"/>
    <x v="4"/>
    <m/>
    <m/>
    <s v="HH latrines in village"/>
    <n v="0"/>
    <s v="Household"/>
    <n v="0"/>
    <n v="0"/>
    <n v="7"/>
    <n v="95"/>
    <n v="95"/>
    <x v="0"/>
    <m/>
    <m/>
    <m/>
    <m/>
    <s v="no test"/>
    <s v="no test"/>
    <x v="1"/>
    <n v="0"/>
    <n v="0"/>
    <n v="0"/>
    <n v="0"/>
    <n v="0"/>
    <n v="0"/>
    <n v="0"/>
    <n v="0"/>
    <n v="0"/>
    <n v="1"/>
    <n v="370"/>
    <n v="1"/>
    <n v="1"/>
    <n v="0"/>
    <n v="0"/>
    <n v="0"/>
    <n v="1"/>
    <n v="62"/>
    <n v="62"/>
    <n v="0"/>
    <s v="N/A"/>
    <n v="370"/>
    <n v="1"/>
    <n v="1"/>
    <n v="1"/>
    <n v="370"/>
    <n v="1"/>
    <n v="0"/>
    <n v="1"/>
    <n v="1"/>
    <n v="1"/>
    <n v="475"/>
    <n v="475"/>
    <n v="475"/>
    <n v="0"/>
    <n v="0"/>
    <n v="0"/>
    <x v="3"/>
    <x v="2"/>
    <x v="7"/>
    <x v="6"/>
    <n v="20.936040878295898"/>
    <n v="92.475830078125"/>
    <n v="198177"/>
    <x v="0"/>
    <m/>
  </r>
  <r>
    <x v="0"/>
    <x v="2"/>
    <x v="1"/>
    <x v="14"/>
    <x v="202"/>
    <n v="360"/>
    <n v="1544"/>
    <m/>
    <m/>
    <m/>
    <n v="0"/>
    <m/>
    <m/>
    <m/>
    <n v="0"/>
    <n v="3"/>
    <n v="0"/>
    <n v="2"/>
    <n v="0"/>
    <m/>
    <m/>
    <m/>
    <m/>
    <m/>
    <m/>
    <m/>
    <n v="0"/>
    <n v="0"/>
    <m/>
    <m/>
    <n v="0"/>
    <x v="4"/>
    <x v="4"/>
    <m/>
    <m/>
    <s v="HH latrines in village"/>
    <n v="0"/>
    <s v="Household"/>
    <n v="0"/>
    <n v="0"/>
    <n v="7"/>
    <m/>
    <m/>
    <x v="0"/>
    <m/>
    <m/>
    <m/>
    <m/>
    <s v="no test"/>
    <s v="no test"/>
    <x v="1"/>
    <n v="1"/>
    <n v="0.48575129533678757"/>
    <n v="0.48575129533678757"/>
    <n v="750"/>
    <n v="0.32383419689119169"/>
    <n v="500"/>
    <n v="0.80958549222797926"/>
    <n v="1250"/>
    <n v="3"/>
    <n v="0.19041450777202074"/>
    <n v="294"/>
    <n v="0"/>
    <n v="3"/>
    <n v="0"/>
    <n v="0"/>
    <n v="0"/>
    <n v="0.99870466321243534"/>
    <n v="257"/>
    <n v="257"/>
    <n v="0"/>
    <s v="N/A"/>
    <n v="1544"/>
    <n v="0"/>
    <n v="1"/>
    <n v="0"/>
    <n v="0"/>
    <n v="0"/>
    <n v="1"/>
    <n v="1"/>
    <n v="0"/>
    <n v="0"/>
    <n v="0"/>
    <n v="0"/>
    <n v="0"/>
    <n v="0"/>
    <n v="0"/>
    <n v="0"/>
    <x v="3"/>
    <x v="2"/>
    <x v="7"/>
    <x v="3"/>
    <n v="20.926780700683601"/>
    <n v="92.5399169921875"/>
    <n v="198234"/>
    <x v="1"/>
    <s v="old MHDO village"/>
  </r>
  <r>
    <x v="0"/>
    <x v="11"/>
    <x v="1"/>
    <x v="14"/>
    <x v="203"/>
    <n v="217"/>
    <n v="1556"/>
    <m/>
    <s v="UNICEF"/>
    <d v="2018-02-14T00:00:00"/>
    <n v="0"/>
    <m/>
    <m/>
    <m/>
    <n v="0"/>
    <n v="0"/>
    <n v="0"/>
    <n v="3"/>
    <n v="1"/>
    <m/>
    <m/>
    <m/>
    <m/>
    <m/>
    <m/>
    <m/>
    <n v="15"/>
    <n v="0"/>
    <m/>
    <m/>
    <n v="15"/>
    <x v="4"/>
    <x v="4"/>
    <m/>
    <m/>
    <s v="HH latrines in village"/>
    <n v="0"/>
    <s v="Household"/>
    <n v="0"/>
    <n v="0"/>
    <n v="7"/>
    <n v="217"/>
    <n v="217"/>
    <x v="0"/>
    <m/>
    <m/>
    <m/>
    <m/>
    <s v="no test"/>
    <s v="no test"/>
    <x v="1"/>
    <n v="0"/>
    <n v="0"/>
    <n v="0"/>
    <n v="0"/>
    <n v="0.4820051413881748"/>
    <n v="750"/>
    <n v="0.4820051413881748"/>
    <n v="750"/>
    <n v="2"/>
    <n v="0.51799485861182526"/>
    <n v="806.00000000000011"/>
    <n v="1"/>
    <n v="3"/>
    <n v="15"/>
    <n v="5.7840616966580979E-2"/>
    <n v="90"/>
    <n v="0.94087403598971731"/>
    <n v="244"/>
    <n v="259"/>
    <n v="0"/>
    <s v="N/A"/>
    <n v="1556"/>
    <n v="1"/>
    <n v="1"/>
    <n v="1"/>
    <n v="1556"/>
    <n v="1"/>
    <n v="0"/>
    <n v="1"/>
    <n v="1"/>
    <n v="1"/>
    <n v="1085"/>
    <n v="1085"/>
    <n v="1085"/>
    <n v="0"/>
    <n v="0"/>
    <n v="0"/>
    <x v="3"/>
    <x v="2"/>
    <x v="7"/>
    <x v="3"/>
    <n v="20.782770156860401"/>
    <n v="92.551826477050795"/>
    <n v="198388"/>
    <x v="0"/>
    <m/>
  </r>
  <r>
    <x v="0"/>
    <x v="2"/>
    <x v="1"/>
    <x v="15"/>
    <x v="204"/>
    <n v="65"/>
    <n v="211"/>
    <m/>
    <m/>
    <m/>
    <n v="31"/>
    <s v="Yes"/>
    <n v="0.6"/>
    <n v="0"/>
    <n v="0"/>
    <n v="0"/>
    <n v="15066"/>
    <n v="0"/>
    <n v="0"/>
    <m/>
    <m/>
    <m/>
    <m/>
    <m/>
    <m/>
    <m/>
    <n v="65"/>
    <n v="65"/>
    <m/>
    <m/>
    <n v="65"/>
    <x v="3"/>
    <x v="0"/>
    <m/>
    <m/>
    <s v="still need to improve through hygiene awareness session"/>
    <n v="1"/>
    <s v="Household"/>
    <n v="0"/>
    <n v="0"/>
    <n v="1"/>
    <m/>
    <m/>
    <x v="0"/>
    <m/>
    <m/>
    <m/>
    <s v="not provided by Oxfam"/>
    <s v="no test"/>
    <s v="no test"/>
    <x v="1"/>
    <n v="1"/>
    <n v="1"/>
    <n v="1"/>
    <n v="211"/>
    <n v="0"/>
    <n v="0"/>
    <n v="1"/>
    <n v="211"/>
    <n v="0"/>
    <n v="0"/>
    <n v="0"/>
    <n v="1"/>
    <n v="1"/>
    <n v="130"/>
    <n v="1"/>
    <n v="211"/>
    <n v="0"/>
    <n v="0"/>
    <n v="35"/>
    <n v="0.5"/>
    <s v="N/A"/>
    <n v="211"/>
    <n v="0"/>
    <n v="1"/>
    <n v="0"/>
    <n v="0"/>
    <n v="0"/>
    <n v="1"/>
    <n v="1"/>
    <n v="0"/>
    <n v="0"/>
    <n v="0"/>
    <n v="0"/>
    <n v="0"/>
    <n v="65"/>
    <s v="Yes"/>
    <n v="0"/>
    <x v="3"/>
    <x v="2"/>
    <x v="8"/>
    <x v="3"/>
    <n v="19.421102000000001"/>
    <n v="93.552452000000002"/>
    <s v="MMR012CMP036"/>
    <x v="1"/>
    <m/>
  </r>
  <r>
    <x v="0"/>
    <x v="0"/>
    <x v="1"/>
    <x v="16"/>
    <x v="205"/>
    <n v="1249"/>
    <n v="4666"/>
    <m/>
    <s v="ECHO, OFDA, UNICEF"/>
    <s v="31/12/2018, 30/06/2019, 13/09/2018"/>
    <n v="7"/>
    <s v="No"/>
    <n v="0"/>
    <n v="0"/>
    <n v="0"/>
    <n v="0"/>
    <n v="27983.516483516483"/>
    <n v="5"/>
    <n v="0"/>
    <n v="0"/>
    <n v="159"/>
    <n v="159"/>
    <n v="39"/>
    <n v="26"/>
    <n v="0"/>
    <m/>
    <n v="135"/>
    <n v="19"/>
    <n v="154"/>
    <s v="Monthly"/>
    <n v="0"/>
    <x v="3"/>
    <x v="0"/>
    <n v="12.985185185185186"/>
    <n v="0"/>
    <s v="There is solid waste management in ANY but no incinerator"/>
    <n v="0"/>
    <s v="Household"/>
    <n v="0"/>
    <n v="0"/>
    <n v="10"/>
    <n v="1249"/>
    <n v="1249"/>
    <x v="0"/>
    <m/>
    <m/>
    <m/>
    <s v="v40 and v41 can be completed in terms of amount of money but hardly in terms of number of workers as we'll face double countings"/>
    <n v="1"/>
    <n v="0.66666666666666663"/>
    <x v="0"/>
    <n v="0.39982163857003117"/>
    <n v="0.39982163857003117"/>
    <n v="0.39982163857003117"/>
    <n v="1865.5677655677655"/>
    <n v="0.26789541363051866"/>
    <n v="1250"/>
    <n v="0.66771705220054978"/>
    <n v="3115.5677655677655"/>
    <n v="6"/>
    <n v="0.33228294779945022"/>
    <n v="1550.4322344322347"/>
    <n v="3"/>
    <n v="9"/>
    <n v="154"/>
    <n v="0.57865409344192031"/>
    <n v="2700"/>
    <n v="0.33861980282897552"/>
    <n v="79"/>
    <n v="233"/>
    <n v="0.12337662337662338"/>
    <n v="3080"/>
    <n v="4666"/>
    <n v="1"/>
    <n v="1"/>
    <n v="1"/>
    <n v="4666"/>
    <n v="1"/>
    <n v="0"/>
    <n v="1"/>
    <n v="1"/>
    <n v="1"/>
    <n v="6245"/>
    <n v="6245"/>
    <n v="6245"/>
    <n v="0"/>
    <s v="Yes"/>
    <n v="0"/>
    <x v="1"/>
    <x v="0"/>
    <x v="9"/>
    <x v="5"/>
    <n v="20.108101999999999"/>
    <n v="92.985095000000001"/>
    <s v="MMR012CMP016"/>
    <x v="0"/>
    <m/>
  </r>
  <r>
    <x v="0"/>
    <x v="12"/>
    <x v="1"/>
    <x v="17"/>
    <x v="206"/>
    <n v="93"/>
    <n v="415"/>
    <m/>
    <s v="GIZ"/>
    <d v="2019-05-31T00:00:00"/>
    <n v="0"/>
    <s v="No"/>
    <n v="0"/>
    <n v="0"/>
    <n v="0"/>
    <n v="0"/>
    <n v="0"/>
    <n v="0"/>
    <n v="0"/>
    <m/>
    <m/>
    <m/>
    <m/>
    <m/>
    <m/>
    <m/>
    <n v="4"/>
    <n v="0"/>
    <m/>
    <m/>
    <n v="0"/>
    <x v="3"/>
    <x v="2"/>
    <m/>
    <m/>
    <m/>
    <n v="0"/>
    <m/>
    <n v="0"/>
    <n v="0"/>
    <n v="0"/>
    <m/>
    <m/>
    <x v="0"/>
    <m/>
    <m/>
    <m/>
    <m/>
    <s v="no test"/>
    <s v="no test"/>
    <x v="1"/>
    <n v="0"/>
    <n v="0"/>
    <n v="0"/>
    <n v="0"/>
    <n v="0"/>
    <n v="0"/>
    <n v="0"/>
    <n v="0"/>
    <n v="0"/>
    <n v="1"/>
    <n v="415"/>
    <n v="1"/>
    <n v="1"/>
    <n v="4"/>
    <n v="5.7831325301204821E-2"/>
    <n v="24"/>
    <n v="0.93975903614457823"/>
    <n v="65"/>
    <n v="69"/>
    <n v="0"/>
    <s v="N/A"/>
    <n v="0"/>
    <n v="0"/>
    <n v="0"/>
    <n v="0"/>
    <n v="0"/>
    <n v="0"/>
    <n v="1"/>
    <n v="0"/>
    <n v="0"/>
    <n v="0"/>
    <n v="0"/>
    <n v="0"/>
    <n v="0"/>
    <n v="0"/>
    <n v="0"/>
    <n v="0"/>
    <x v="2"/>
    <x v="2"/>
    <x v="6"/>
    <x v="7"/>
    <n v="20.8550128936768"/>
    <n v="92.91"/>
    <n v="196824"/>
    <x v="0"/>
    <s v="CLTS Village"/>
  </r>
  <r>
    <x v="0"/>
    <x v="2"/>
    <x v="1"/>
    <x v="17"/>
    <x v="207"/>
    <n v="167"/>
    <n v="836"/>
    <m/>
    <m/>
    <m/>
    <m/>
    <s v="No"/>
    <n v="0"/>
    <n v="0"/>
    <n v="0"/>
    <n v="0"/>
    <m/>
    <m/>
    <n v="0"/>
    <m/>
    <m/>
    <m/>
    <m/>
    <m/>
    <m/>
    <m/>
    <n v="53"/>
    <m/>
    <m/>
    <m/>
    <n v="0"/>
    <x v="1"/>
    <x v="1"/>
    <m/>
    <m/>
    <m/>
    <n v="0"/>
    <m/>
    <n v="0"/>
    <m/>
    <n v="0"/>
    <m/>
    <m/>
    <x v="0"/>
    <m/>
    <m/>
    <m/>
    <m/>
    <s v="no test"/>
    <s v="no test"/>
    <x v="1"/>
    <n v="0"/>
    <n v="0"/>
    <n v="0"/>
    <n v="0"/>
    <n v="0"/>
    <n v="0"/>
    <n v="0"/>
    <n v="0"/>
    <n v="0"/>
    <n v="1"/>
    <n v="836"/>
    <n v="2"/>
    <n v="2"/>
    <n v="53"/>
    <n v="0.38038277511961721"/>
    <n v="318"/>
    <n v="0.61722488038277512"/>
    <n v="86"/>
    <n v="139"/>
    <n v="0"/>
    <s v="N/A"/>
    <n v="0"/>
    <n v="0"/>
    <n v="0"/>
    <n v="0"/>
    <n v="0"/>
    <n v="0"/>
    <n v="1"/>
    <n v="0"/>
    <n v="0"/>
    <n v="0"/>
    <n v="0"/>
    <n v="0"/>
    <n v="0"/>
    <n v="0"/>
    <n v="0"/>
    <n v="0"/>
    <x v="3"/>
    <x v="2"/>
    <x v="7"/>
    <x v="3"/>
    <n v="0"/>
    <n v="0"/>
    <n v="0"/>
    <x v="1"/>
    <m/>
  </r>
  <r>
    <x v="0"/>
    <x v="2"/>
    <x v="1"/>
    <x v="17"/>
    <x v="208"/>
    <n v="92"/>
    <n v="559"/>
    <m/>
    <m/>
    <m/>
    <m/>
    <s v="No"/>
    <n v="0"/>
    <n v="0"/>
    <n v="0"/>
    <n v="0"/>
    <m/>
    <m/>
    <n v="0"/>
    <m/>
    <m/>
    <m/>
    <m/>
    <m/>
    <m/>
    <m/>
    <n v="194"/>
    <m/>
    <m/>
    <m/>
    <n v="0"/>
    <x v="1"/>
    <x v="1"/>
    <m/>
    <m/>
    <m/>
    <n v="0"/>
    <m/>
    <n v="0"/>
    <m/>
    <n v="0"/>
    <m/>
    <m/>
    <x v="0"/>
    <m/>
    <m/>
    <m/>
    <m/>
    <s v="no test"/>
    <s v="no test"/>
    <x v="1"/>
    <n v="0"/>
    <n v="0"/>
    <n v="0"/>
    <n v="0"/>
    <n v="0"/>
    <n v="0"/>
    <n v="0"/>
    <n v="0"/>
    <n v="0"/>
    <n v="1"/>
    <n v="559"/>
    <n v="1"/>
    <n v="1"/>
    <n v="194"/>
    <n v="1"/>
    <n v="559"/>
    <n v="0"/>
    <n v="0"/>
    <n v="93"/>
    <n v="0"/>
    <s v="N/A"/>
    <n v="0"/>
    <n v="0"/>
    <n v="0"/>
    <n v="0"/>
    <n v="0"/>
    <n v="0"/>
    <n v="1"/>
    <n v="0"/>
    <n v="0"/>
    <n v="0"/>
    <n v="0"/>
    <n v="0"/>
    <n v="0"/>
    <n v="0"/>
    <n v="0"/>
    <n v="0"/>
    <x v="3"/>
    <x v="2"/>
    <x v="10"/>
    <x v="3"/>
    <n v="20.720213000000001"/>
    <n v="92.961841000000007"/>
    <s v="MMR012CMP024"/>
    <x v="1"/>
    <m/>
  </r>
  <r>
    <x v="0"/>
    <x v="2"/>
    <x v="1"/>
    <x v="17"/>
    <x v="209"/>
    <n v="175"/>
    <n v="855"/>
    <m/>
    <m/>
    <m/>
    <m/>
    <s v="No"/>
    <n v="0"/>
    <n v="0"/>
    <n v="0"/>
    <n v="0"/>
    <m/>
    <m/>
    <n v="1"/>
    <m/>
    <m/>
    <m/>
    <m/>
    <m/>
    <m/>
    <m/>
    <n v="0"/>
    <m/>
    <m/>
    <m/>
    <n v="0"/>
    <x v="1"/>
    <x v="1"/>
    <m/>
    <m/>
    <m/>
    <n v="0"/>
    <m/>
    <n v="0"/>
    <m/>
    <m/>
    <m/>
    <m/>
    <x v="0"/>
    <m/>
    <m/>
    <m/>
    <m/>
    <s v="no test"/>
    <s v="no test"/>
    <x v="1"/>
    <n v="0"/>
    <n v="0"/>
    <n v="0"/>
    <n v="0"/>
    <n v="0"/>
    <n v="0"/>
    <n v="0"/>
    <n v="0"/>
    <n v="0"/>
    <n v="1"/>
    <n v="855"/>
    <n v="2"/>
    <n v="2"/>
    <n v="0"/>
    <n v="0"/>
    <n v="0"/>
    <n v="1"/>
    <n v="143"/>
    <n v="143"/>
    <n v="0"/>
    <s v="N/A"/>
    <n v="0"/>
    <n v="0"/>
    <n v="0"/>
    <n v="0"/>
    <n v="0"/>
    <n v="0"/>
    <n v="1"/>
    <n v="0"/>
    <n v="0"/>
    <n v="0"/>
    <n v="0"/>
    <n v="0"/>
    <n v="0"/>
    <n v="0"/>
    <n v="0"/>
    <n v="0"/>
    <x v="3"/>
    <x v="2"/>
    <x v="7"/>
    <x v="3"/>
    <n v="20.627639770507798"/>
    <n v="93.022773742675795"/>
    <s v="196878"/>
    <x v="1"/>
    <m/>
  </r>
  <r>
    <x v="0"/>
    <x v="12"/>
    <x v="1"/>
    <x v="17"/>
    <x v="210"/>
    <n v="361"/>
    <n v="1669"/>
    <m/>
    <s v="GIZ"/>
    <d v="2019-05-31T00:00:00"/>
    <n v="0"/>
    <s v="No"/>
    <n v="0"/>
    <n v="0"/>
    <n v="0"/>
    <n v="0"/>
    <n v="0"/>
    <n v="0"/>
    <n v="0"/>
    <m/>
    <m/>
    <m/>
    <m/>
    <m/>
    <m/>
    <m/>
    <n v="0"/>
    <n v="0"/>
    <m/>
    <m/>
    <n v="0"/>
    <x v="3"/>
    <x v="2"/>
    <m/>
    <m/>
    <m/>
    <n v="0"/>
    <m/>
    <n v="0"/>
    <n v="0"/>
    <n v="0"/>
    <m/>
    <m/>
    <x v="0"/>
    <m/>
    <m/>
    <m/>
    <m/>
    <s v="no test"/>
    <s v="no test"/>
    <x v="1"/>
    <n v="0"/>
    <n v="0"/>
    <n v="0"/>
    <n v="0"/>
    <n v="0"/>
    <n v="0"/>
    <n v="0"/>
    <n v="0"/>
    <n v="0"/>
    <n v="1"/>
    <n v="1669"/>
    <n v="3"/>
    <n v="3"/>
    <n v="0"/>
    <n v="0"/>
    <n v="0"/>
    <n v="0.99940083882564401"/>
    <n v="278"/>
    <n v="278"/>
    <n v="0"/>
    <s v="N/A"/>
    <n v="0"/>
    <n v="0"/>
    <n v="0"/>
    <n v="0"/>
    <n v="0"/>
    <n v="0"/>
    <n v="1"/>
    <n v="0"/>
    <n v="0"/>
    <n v="0"/>
    <n v="0"/>
    <n v="0"/>
    <n v="0"/>
    <n v="0"/>
    <n v="0"/>
    <n v="0"/>
    <x v="2"/>
    <x v="2"/>
    <x v="6"/>
    <x v="3"/>
    <n v="20.705930709838899"/>
    <n v="93.001953125"/>
    <s v="196943"/>
    <x v="0"/>
    <s v="CLTS Village"/>
  </r>
  <r>
    <x v="0"/>
    <x v="12"/>
    <x v="1"/>
    <x v="17"/>
    <x v="211"/>
    <n v="73"/>
    <n v="397"/>
    <m/>
    <s v="GIZ"/>
    <d v="2019-05-31T00:00:00"/>
    <n v="0"/>
    <s v="No"/>
    <n v="0"/>
    <n v="0"/>
    <n v="0"/>
    <n v="0"/>
    <n v="0"/>
    <n v="0"/>
    <n v="0"/>
    <m/>
    <m/>
    <m/>
    <m/>
    <m/>
    <m/>
    <m/>
    <n v="17"/>
    <n v="0"/>
    <m/>
    <m/>
    <n v="0"/>
    <x v="3"/>
    <x v="2"/>
    <m/>
    <m/>
    <m/>
    <n v="0"/>
    <m/>
    <n v="0"/>
    <n v="0"/>
    <n v="0"/>
    <m/>
    <m/>
    <x v="0"/>
    <m/>
    <m/>
    <m/>
    <m/>
    <s v="no test"/>
    <s v="no test"/>
    <x v="1"/>
    <n v="0"/>
    <n v="0"/>
    <n v="0"/>
    <n v="0"/>
    <n v="0"/>
    <n v="0"/>
    <n v="0"/>
    <n v="0"/>
    <n v="0"/>
    <n v="1"/>
    <n v="397"/>
    <n v="1"/>
    <n v="1"/>
    <n v="17"/>
    <n v="0.25692695214105793"/>
    <n v="102"/>
    <n v="0.74055415617128462"/>
    <n v="49"/>
    <n v="66"/>
    <n v="0"/>
    <s v="N/A"/>
    <n v="0"/>
    <n v="0"/>
    <n v="0"/>
    <n v="0"/>
    <n v="0"/>
    <n v="0"/>
    <n v="1"/>
    <n v="0"/>
    <n v="0"/>
    <n v="0"/>
    <n v="0"/>
    <n v="0"/>
    <n v="0"/>
    <n v="0"/>
    <n v="0"/>
    <n v="0"/>
    <x v="2"/>
    <x v="2"/>
    <x v="6"/>
    <x v="7"/>
    <n v="20.851089477539102"/>
    <n v="92.916893005371094"/>
    <n v="196825"/>
    <x v="0"/>
    <s v="CLTS Village"/>
  </r>
  <r>
    <x v="0"/>
    <x v="2"/>
    <x v="1"/>
    <x v="17"/>
    <x v="212"/>
    <n v="165"/>
    <n v="786"/>
    <m/>
    <m/>
    <m/>
    <m/>
    <s v="No"/>
    <n v="0"/>
    <n v="0"/>
    <n v="0"/>
    <n v="0"/>
    <m/>
    <m/>
    <n v="1"/>
    <m/>
    <m/>
    <m/>
    <m/>
    <m/>
    <m/>
    <m/>
    <n v="0"/>
    <m/>
    <m/>
    <m/>
    <n v="0"/>
    <x v="1"/>
    <x v="1"/>
    <m/>
    <m/>
    <m/>
    <n v="0"/>
    <m/>
    <n v="0"/>
    <m/>
    <m/>
    <m/>
    <m/>
    <x v="0"/>
    <m/>
    <m/>
    <m/>
    <m/>
    <s v="no test"/>
    <s v="no test"/>
    <x v="1"/>
    <n v="0"/>
    <n v="0"/>
    <n v="0"/>
    <n v="0"/>
    <n v="0"/>
    <n v="0"/>
    <n v="0"/>
    <n v="0"/>
    <n v="0"/>
    <n v="1"/>
    <n v="786"/>
    <n v="2"/>
    <n v="2"/>
    <n v="0"/>
    <n v="0"/>
    <n v="0"/>
    <n v="1"/>
    <n v="131"/>
    <n v="131"/>
    <n v="0"/>
    <s v="N/A"/>
    <n v="0"/>
    <n v="0"/>
    <n v="0"/>
    <n v="0"/>
    <n v="0"/>
    <n v="0"/>
    <n v="1"/>
    <n v="0"/>
    <n v="0"/>
    <n v="0"/>
    <n v="0"/>
    <n v="0"/>
    <n v="0"/>
    <n v="0"/>
    <n v="0"/>
    <n v="0"/>
    <x v="3"/>
    <x v="2"/>
    <x v="7"/>
    <x v="3"/>
    <n v="20.644098281860401"/>
    <n v="93.036460876464801"/>
    <s v="196983"/>
    <x v="1"/>
    <m/>
  </r>
  <r>
    <x v="0"/>
    <x v="2"/>
    <x v="1"/>
    <x v="17"/>
    <x v="213"/>
    <n v="116"/>
    <n v="802"/>
    <m/>
    <m/>
    <m/>
    <m/>
    <s v="No"/>
    <n v="0"/>
    <n v="0"/>
    <n v="0"/>
    <n v="0"/>
    <m/>
    <m/>
    <n v="0"/>
    <m/>
    <m/>
    <m/>
    <m/>
    <m/>
    <m/>
    <m/>
    <n v="40"/>
    <m/>
    <m/>
    <m/>
    <n v="0"/>
    <x v="1"/>
    <x v="1"/>
    <m/>
    <m/>
    <m/>
    <n v="0"/>
    <m/>
    <n v="0"/>
    <m/>
    <n v="0"/>
    <m/>
    <m/>
    <x v="0"/>
    <m/>
    <m/>
    <m/>
    <m/>
    <s v="no test"/>
    <s v="no test"/>
    <x v="1"/>
    <n v="0"/>
    <n v="0"/>
    <n v="0"/>
    <n v="0"/>
    <n v="0"/>
    <n v="0"/>
    <n v="0"/>
    <n v="0"/>
    <n v="0"/>
    <n v="1"/>
    <n v="802"/>
    <n v="2"/>
    <n v="2"/>
    <n v="40"/>
    <n v="0.29925187032418954"/>
    <n v="240"/>
    <n v="0.70324189526184544"/>
    <n v="94"/>
    <n v="134"/>
    <n v="0"/>
    <s v="N/A"/>
    <n v="0"/>
    <n v="0"/>
    <n v="0"/>
    <n v="0"/>
    <n v="0"/>
    <n v="0"/>
    <n v="1"/>
    <n v="0"/>
    <n v="0"/>
    <n v="0"/>
    <n v="0"/>
    <n v="0"/>
    <n v="0"/>
    <n v="0"/>
    <n v="0"/>
    <n v="0"/>
    <x v="3"/>
    <x v="2"/>
    <x v="10"/>
    <x v="5"/>
    <n v="20.713259999999998"/>
    <n v="93.014089999999996"/>
    <s v="MMR012CMP027"/>
    <x v="1"/>
    <m/>
  </r>
  <r>
    <x v="0"/>
    <x v="2"/>
    <x v="1"/>
    <x v="17"/>
    <x v="214"/>
    <n v="314"/>
    <n v="1569"/>
    <m/>
    <m/>
    <m/>
    <m/>
    <s v="No"/>
    <n v="0"/>
    <n v="0"/>
    <n v="0"/>
    <n v="0"/>
    <m/>
    <m/>
    <n v="0"/>
    <m/>
    <m/>
    <m/>
    <m/>
    <m/>
    <m/>
    <m/>
    <n v="160"/>
    <m/>
    <m/>
    <m/>
    <n v="0"/>
    <x v="1"/>
    <x v="1"/>
    <m/>
    <m/>
    <m/>
    <n v="0"/>
    <m/>
    <n v="0"/>
    <m/>
    <n v="0"/>
    <m/>
    <m/>
    <x v="0"/>
    <m/>
    <m/>
    <m/>
    <m/>
    <s v="no test"/>
    <s v="no test"/>
    <x v="1"/>
    <n v="0"/>
    <n v="0"/>
    <n v="0"/>
    <n v="0"/>
    <n v="0"/>
    <n v="0"/>
    <n v="0"/>
    <n v="0"/>
    <n v="0"/>
    <n v="1"/>
    <n v="1569"/>
    <n v="3"/>
    <n v="3"/>
    <n v="160"/>
    <n v="0.6118546845124283"/>
    <n v="960"/>
    <n v="0.39005736137667302"/>
    <n v="102"/>
    <n v="262"/>
    <n v="0"/>
    <s v="N/A"/>
    <n v="0"/>
    <n v="0"/>
    <n v="0"/>
    <n v="0"/>
    <n v="0"/>
    <n v="0"/>
    <n v="1"/>
    <n v="0"/>
    <n v="0"/>
    <n v="0"/>
    <n v="0"/>
    <n v="0"/>
    <n v="0"/>
    <n v="0"/>
    <n v="0"/>
    <n v="0"/>
    <x v="3"/>
    <x v="2"/>
    <x v="7"/>
    <x v="3"/>
    <n v="20.709970473999999"/>
    <n v="93.015357971"/>
    <s v="196973"/>
    <x v="1"/>
    <m/>
  </r>
  <r>
    <x v="0"/>
    <x v="12"/>
    <x v="1"/>
    <x v="17"/>
    <x v="215"/>
    <n v="74"/>
    <n v="343"/>
    <m/>
    <s v="GIZ"/>
    <d v="2019-05-31T00:00:00"/>
    <n v="0"/>
    <s v="No"/>
    <n v="0"/>
    <n v="0"/>
    <n v="0"/>
    <n v="0"/>
    <n v="0"/>
    <n v="0"/>
    <n v="0"/>
    <m/>
    <m/>
    <m/>
    <m/>
    <m/>
    <m/>
    <m/>
    <n v="4"/>
    <n v="0"/>
    <m/>
    <m/>
    <n v="0"/>
    <x v="3"/>
    <x v="2"/>
    <m/>
    <m/>
    <m/>
    <n v="0"/>
    <m/>
    <n v="0"/>
    <n v="0"/>
    <n v="0"/>
    <m/>
    <m/>
    <x v="0"/>
    <m/>
    <m/>
    <m/>
    <m/>
    <s v="no test"/>
    <s v="no test"/>
    <x v="1"/>
    <n v="0"/>
    <n v="0"/>
    <n v="0"/>
    <n v="0"/>
    <n v="0"/>
    <n v="0"/>
    <n v="0"/>
    <n v="0"/>
    <n v="0"/>
    <n v="1"/>
    <n v="343"/>
    <n v="1"/>
    <n v="1"/>
    <n v="4"/>
    <n v="6.9970845481049565E-2"/>
    <n v="24"/>
    <n v="0.9271137026239068"/>
    <n v="53"/>
    <n v="57"/>
    <n v="0"/>
    <s v="N/A"/>
    <n v="0"/>
    <n v="0"/>
    <n v="0"/>
    <n v="0"/>
    <n v="0"/>
    <n v="0"/>
    <n v="1"/>
    <n v="0"/>
    <n v="0"/>
    <n v="0"/>
    <n v="0"/>
    <n v="0"/>
    <n v="0"/>
    <n v="0"/>
    <n v="0"/>
    <n v="0"/>
    <x v="2"/>
    <x v="2"/>
    <x v="6"/>
    <x v="7"/>
    <n v="20.803529739379901"/>
    <n v="92.929466247558594"/>
    <s v="196883"/>
    <x v="0"/>
    <s v="CLTS Village"/>
  </r>
  <r>
    <x v="0"/>
    <x v="12"/>
    <x v="1"/>
    <x v="17"/>
    <x v="216"/>
    <n v="326"/>
    <n v="1786"/>
    <m/>
    <s v="GIZ"/>
    <d v="2019-05-31T00:00:00"/>
    <n v="0"/>
    <s v="No"/>
    <n v="0"/>
    <n v="0"/>
    <n v="0"/>
    <n v="0"/>
    <n v="0"/>
    <n v="0"/>
    <n v="0"/>
    <m/>
    <m/>
    <m/>
    <m/>
    <m/>
    <m/>
    <m/>
    <n v="0"/>
    <n v="0"/>
    <m/>
    <m/>
    <n v="0"/>
    <x v="3"/>
    <x v="2"/>
    <m/>
    <m/>
    <m/>
    <n v="0"/>
    <m/>
    <n v="0"/>
    <n v="0"/>
    <n v="0"/>
    <m/>
    <m/>
    <x v="0"/>
    <m/>
    <m/>
    <m/>
    <m/>
    <s v="no test"/>
    <s v="no test"/>
    <x v="1"/>
    <n v="0"/>
    <n v="0"/>
    <n v="0"/>
    <n v="0"/>
    <n v="0"/>
    <n v="0"/>
    <n v="0"/>
    <n v="0"/>
    <n v="0"/>
    <n v="1"/>
    <n v="1786"/>
    <n v="4"/>
    <n v="4"/>
    <n v="0"/>
    <n v="0"/>
    <n v="0"/>
    <n v="1"/>
    <n v="298"/>
    <n v="298"/>
    <n v="0"/>
    <s v="N/A"/>
    <n v="0"/>
    <n v="0"/>
    <n v="0"/>
    <n v="0"/>
    <n v="0"/>
    <n v="0"/>
    <n v="1"/>
    <n v="0"/>
    <n v="0"/>
    <n v="0"/>
    <n v="0"/>
    <n v="0"/>
    <n v="0"/>
    <n v="0"/>
    <n v="0"/>
    <n v="0"/>
    <x v="3"/>
    <x v="2"/>
    <x v="10"/>
    <x v="5"/>
    <n v="20.696819999999999"/>
    <n v="93.009900000000002"/>
    <s v="MMR012CMP026"/>
    <x v="0"/>
    <s v="CLTS Village"/>
  </r>
  <r>
    <x v="0"/>
    <x v="12"/>
    <x v="1"/>
    <x v="17"/>
    <x v="217"/>
    <n v="113"/>
    <n v="531"/>
    <m/>
    <s v="MHF"/>
    <d v="2019-09-30T00:00:00"/>
    <n v="30"/>
    <s v="No"/>
    <n v="0"/>
    <n v="0"/>
    <n v="0"/>
    <n v="0"/>
    <n v="0"/>
    <n v="0"/>
    <m/>
    <m/>
    <m/>
    <m/>
    <m/>
    <m/>
    <m/>
    <m/>
    <m/>
    <m/>
    <m/>
    <m/>
    <m/>
    <x v="1"/>
    <x v="3"/>
    <m/>
    <m/>
    <m/>
    <n v="0"/>
    <m/>
    <n v="0"/>
    <n v="0"/>
    <m/>
    <m/>
    <m/>
    <x v="0"/>
    <m/>
    <m/>
    <m/>
    <m/>
    <s v="no test"/>
    <s v="no test"/>
    <x v="1"/>
    <n v="0"/>
    <n v="0"/>
    <n v="0"/>
    <n v="0"/>
    <n v="0"/>
    <n v="0"/>
    <n v="0"/>
    <n v="0"/>
    <n v="0"/>
    <n v="1"/>
    <n v="531"/>
    <n v="1"/>
    <n v="1"/>
    <n v="0"/>
    <n v="0"/>
    <n v="0"/>
    <n v="1"/>
    <n v="89"/>
    <n v="89"/>
    <n v="0"/>
    <s v="N/A"/>
    <n v="0"/>
    <n v="0"/>
    <n v="0"/>
    <n v="0"/>
    <n v="0"/>
    <n v="0"/>
    <n v="1"/>
    <n v="0"/>
    <n v="0"/>
    <n v="0"/>
    <n v="0"/>
    <n v="0"/>
    <n v="0"/>
    <n v="0"/>
    <n v="0"/>
    <n v="0"/>
    <x v="3"/>
    <x v="2"/>
    <x v="7"/>
    <x v="8"/>
    <n v="20.896429061889599"/>
    <n v="92.940193176269503"/>
    <n v="196804"/>
    <x v="0"/>
    <m/>
  </r>
  <r>
    <x v="0"/>
    <x v="12"/>
    <x v="1"/>
    <x v="17"/>
    <x v="218"/>
    <n v="120"/>
    <n v="770"/>
    <m/>
    <s v="MHF"/>
    <d v="2019-09-30T00:00:00"/>
    <n v="30"/>
    <s v="No"/>
    <n v="0"/>
    <n v="0"/>
    <n v="0"/>
    <n v="0"/>
    <n v="0"/>
    <n v="0"/>
    <m/>
    <m/>
    <m/>
    <m/>
    <m/>
    <m/>
    <m/>
    <m/>
    <m/>
    <m/>
    <m/>
    <m/>
    <m/>
    <x v="1"/>
    <x v="1"/>
    <m/>
    <m/>
    <m/>
    <n v="0"/>
    <m/>
    <n v="0"/>
    <n v="0"/>
    <m/>
    <m/>
    <m/>
    <x v="0"/>
    <m/>
    <m/>
    <m/>
    <m/>
    <s v="no test"/>
    <s v="no test"/>
    <x v="1"/>
    <n v="0"/>
    <n v="0"/>
    <n v="0"/>
    <n v="0"/>
    <n v="0"/>
    <n v="0"/>
    <n v="0"/>
    <n v="0"/>
    <n v="0"/>
    <n v="1"/>
    <n v="770"/>
    <n v="2"/>
    <n v="2"/>
    <n v="0"/>
    <n v="0"/>
    <n v="0"/>
    <n v="0.99740259740259729"/>
    <n v="128"/>
    <n v="128"/>
    <n v="0"/>
    <s v="N/A"/>
    <n v="0"/>
    <n v="0"/>
    <n v="0"/>
    <n v="0"/>
    <n v="0"/>
    <n v="0"/>
    <n v="1"/>
    <n v="0"/>
    <n v="0"/>
    <n v="0"/>
    <n v="0"/>
    <n v="0"/>
    <n v="0"/>
    <n v="0"/>
    <n v="0"/>
    <n v="0"/>
    <x v="3"/>
    <x v="2"/>
    <x v="7"/>
    <x v="8"/>
    <n v="20.7275905609131"/>
    <n v="92.969352722167997"/>
    <n v="196816"/>
    <x v="0"/>
    <m/>
  </r>
  <r>
    <x v="0"/>
    <x v="2"/>
    <x v="1"/>
    <x v="17"/>
    <x v="219"/>
    <n v="97"/>
    <n v="557"/>
    <m/>
    <m/>
    <m/>
    <m/>
    <s v="No"/>
    <n v="0"/>
    <n v="0"/>
    <n v="0"/>
    <n v="0"/>
    <m/>
    <m/>
    <n v="0"/>
    <m/>
    <m/>
    <m/>
    <m/>
    <m/>
    <m/>
    <m/>
    <n v="235"/>
    <m/>
    <m/>
    <m/>
    <n v="0"/>
    <x v="1"/>
    <x v="1"/>
    <m/>
    <m/>
    <m/>
    <n v="0"/>
    <m/>
    <n v="0"/>
    <m/>
    <n v="0"/>
    <m/>
    <m/>
    <x v="0"/>
    <m/>
    <m/>
    <m/>
    <m/>
    <s v="no test"/>
    <s v="no test"/>
    <x v="1"/>
    <n v="0"/>
    <n v="0"/>
    <n v="0"/>
    <n v="0"/>
    <n v="0"/>
    <n v="0"/>
    <n v="0"/>
    <n v="0"/>
    <n v="0"/>
    <n v="1"/>
    <n v="557"/>
    <n v="1"/>
    <n v="1"/>
    <n v="235"/>
    <n v="1"/>
    <n v="557"/>
    <n v="0"/>
    <n v="0"/>
    <n v="93"/>
    <n v="0"/>
    <s v="N/A"/>
    <n v="0"/>
    <n v="0"/>
    <n v="0"/>
    <n v="0"/>
    <n v="0"/>
    <n v="0"/>
    <n v="1"/>
    <n v="0"/>
    <n v="0"/>
    <n v="0"/>
    <n v="0"/>
    <n v="0"/>
    <n v="0"/>
    <n v="0"/>
    <n v="0"/>
    <n v="0"/>
    <x v="3"/>
    <x v="2"/>
    <x v="8"/>
    <x v="5"/>
    <n v="20.886997999999998"/>
    <n v="93.006497999999993"/>
    <s v="MMR012CMP030"/>
    <x v="1"/>
    <m/>
  </r>
  <r>
    <x v="0"/>
    <x v="12"/>
    <x v="1"/>
    <x v="17"/>
    <x v="220"/>
    <n v="50"/>
    <n v="207"/>
    <m/>
    <s v="GIZ"/>
    <d v="2019-05-31T00:00:00"/>
    <n v="0"/>
    <s v="No"/>
    <n v="0"/>
    <n v="0"/>
    <n v="0"/>
    <n v="0"/>
    <n v="0"/>
    <n v="0"/>
    <n v="0"/>
    <m/>
    <m/>
    <m/>
    <m/>
    <m/>
    <m/>
    <m/>
    <n v="0"/>
    <n v="0"/>
    <m/>
    <m/>
    <n v="0"/>
    <x v="4"/>
    <x v="4"/>
    <m/>
    <m/>
    <m/>
    <n v="0"/>
    <m/>
    <n v="0"/>
    <n v="0"/>
    <n v="0"/>
    <m/>
    <m/>
    <x v="0"/>
    <m/>
    <m/>
    <m/>
    <m/>
    <s v="no test"/>
    <s v="no test"/>
    <x v="1"/>
    <n v="0"/>
    <n v="0"/>
    <n v="0"/>
    <n v="0"/>
    <n v="0"/>
    <n v="0"/>
    <n v="0"/>
    <n v="0"/>
    <n v="0"/>
    <n v="1"/>
    <n v="207"/>
    <n v="1"/>
    <n v="1"/>
    <n v="0"/>
    <n v="0"/>
    <n v="0"/>
    <n v="1"/>
    <n v="35"/>
    <n v="35"/>
    <n v="0"/>
    <s v="N/A"/>
    <n v="0"/>
    <n v="0"/>
    <n v="0"/>
    <n v="0"/>
    <n v="0"/>
    <n v="0"/>
    <n v="1"/>
    <n v="0"/>
    <n v="0"/>
    <n v="0"/>
    <n v="0"/>
    <n v="0"/>
    <n v="0"/>
    <n v="0"/>
    <n v="0"/>
    <n v="0"/>
    <x v="2"/>
    <x v="2"/>
    <x v="6"/>
    <x v="7"/>
    <n v="20.8950595855713"/>
    <n v="92.907356262207003"/>
    <n v="196807"/>
    <x v="0"/>
    <s v="CLTS Village"/>
  </r>
  <r>
    <x v="0"/>
    <x v="12"/>
    <x v="1"/>
    <x v="17"/>
    <x v="221"/>
    <n v="42"/>
    <n v="184"/>
    <m/>
    <s v="GIZ"/>
    <d v="2019-05-31T00:00:00"/>
    <n v="0"/>
    <s v="No"/>
    <n v="0"/>
    <n v="0"/>
    <n v="0"/>
    <n v="0"/>
    <n v="0"/>
    <n v="0"/>
    <n v="0"/>
    <m/>
    <m/>
    <m/>
    <m/>
    <m/>
    <m/>
    <m/>
    <n v="3"/>
    <n v="0"/>
    <m/>
    <m/>
    <n v="0"/>
    <x v="3"/>
    <x v="2"/>
    <m/>
    <m/>
    <m/>
    <n v="0"/>
    <m/>
    <n v="0"/>
    <n v="0"/>
    <n v="0"/>
    <m/>
    <m/>
    <x v="0"/>
    <m/>
    <m/>
    <m/>
    <m/>
    <s v="no test"/>
    <s v="no test"/>
    <x v="1"/>
    <n v="0"/>
    <n v="0"/>
    <n v="0"/>
    <n v="0"/>
    <n v="0"/>
    <n v="0"/>
    <n v="0"/>
    <n v="0"/>
    <n v="0"/>
    <n v="1"/>
    <n v="184"/>
    <n v="1"/>
    <n v="1"/>
    <n v="3"/>
    <n v="9.7826086956521743E-2"/>
    <n v="18"/>
    <n v="0.91304347826086951"/>
    <n v="28"/>
    <n v="31"/>
    <n v="0"/>
    <s v="N/A"/>
    <n v="0"/>
    <n v="0"/>
    <n v="0"/>
    <n v="0"/>
    <n v="0"/>
    <n v="0"/>
    <n v="1"/>
    <n v="0"/>
    <n v="0"/>
    <n v="0"/>
    <n v="0"/>
    <n v="0"/>
    <n v="0"/>
    <n v="0"/>
    <n v="0"/>
    <n v="0"/>
    <x v="2"/>
    <x v="2"/>
    <x v="6"/>
    <x v="7"/>
    <n v="20.807970046997099"/>
    <n v="92.929046630859403"/>
    <n v="196882"/>
    <x v="0"/>
    <s v="CLTS Village"/>
  </r>
  <r>
    <x v="0"/>
    <x v="2"/>
    <x v="1"/>
    <x v="17"/>
    <x v="222"/>
    <n v="130"/>
    <n v="664"/>
    <m/>
    <m/>
    <m/>
    <m/>
    <s v="No"/>
    <n v="0"/>
    <n v="0"/>
    <n v="0"/>
    <n v="0"/>
    <m/>
    <m/>
    <n v="1"/>
    <m/>
    <m/>
    <m/>
    <m/>
    <m/>
    <m/>
    <m/>
    <n v="0"/>
    <m/>
    <m/>
    <m/>
    <n v="0"/>
    <x v="1"/>
    <x v="1"/>
    <m/>
    <m/>
    <m/>
    <n v="0"/>
    <m/>
    <n v="0"/>
    <m/>
    <m/>
    <m/>
    <m/>
    <x v="0"/>
    <m/>
    <m/>
    <m/>
    <m/>
    <s v="no test"/>
    <s v="no test"/>
    <x v="1"/>
    <n v="0"/>
    <n v="0"/>
    <n v="0"/>
    <n v="0"/>
    <n v="0"/>
    <n v="0"/>
    <n v="0"/>
    <n v="0"/>
    <n v="0"/>
    <n v="1"/>
    <n v="664"/>
    <n v="1"/>
    <n v="1"/>
    <n v="0"/>
    <n v="0"/>
    <n v="0"/>
    <n v="1"/>
    <n v="111"/>
    <n v="111"/>
    <n v="0"/>
    <s v="N/A"/>
    <n v="0"/>
    <n v="0"/>
    <n v="0"/>
    <n v="0"/>
    <n v="0"/>
    <n v="0"/>
    <n v="1"/>
    <n v="0"/>
    <n v="0"/>
    <n v="0"/>
    <n v="0"/>
    <n v="0"/>
    <n v="0"/>
    <n v="0"/>
    <n v="0"/>
    <n v="0"/>
    <x v="3"/>
    <x v="2"/>
    <x v="7"/>
    <x v="3"/>
    <n v="20.6080207824707"/>
    <n v="93.035400390625"/>
    <s v="196875"/>
    <x v="1"/>
    <m/>
  </r>
  <r>
    <x v="0"/>
    <x v="2"/>
    <x v="1"/>
    <x v="17"/>
    <x v="223"/>
    <n v="289"/>
    <n v="1419"/>
    <m/>
    <m/>
    <m/>
    <m/>
    <s v="No"/>
    <n v="0"/>
    <n v="0"/>
    <n v="0"/>
    <n v="0"/>
    <m/>
    <m/>
    <n v="2"/>
    <m/>
    <m/>
    <m/>
    <m/>
    <m/>
    <m/>
    <m/>
    <n v="0"/>
    <m/>
    <m/>
    <m/>
    <n v="0"/>
    <x v="1"/>
    <x v="1"/>
    <m/>
    <m/>
    <m/>
    <n v="0"/>
    <m/>
    <n v="0"/>
    <m/>
    <m/>
    <m/>
    <m/>
    <x v="0"/>
    <m/>
    <m/>
    <m/>
    <m/>
    <s v="no test"/>
    <s v="no test"/>
    <x v="1"/>
    <n v="0"/>
    <n v="0"/>
    <n v="0"/>
    <n v="0"/>
    <n v="0"/>
    <n v="0"/>
    <n v="0"/>
    <n v="0"/>
    <n v="0"/>
    <n v="1"/>
    <n v="1419"/>
    <n v="3"/>
    <n v="3"/>
    <n v="0"/>
    <n v="0"/>
    <n v="0"/>
    <n v="1"/>
    <n v="237"/>
    <n v="237"/>
    <n v="0"/>
    <s v="N/A"/>
    <n v="0"/>
    <n v="0"/>
    <n v="0"/>
    <n v="0"/>
    <n v="0"/>
    <n v="0"/>
    <n v="1"/>
    <n v="0"/>
    <n v="0"/>
    <n v="0"/>
    <n v="0"/>
    <n v="0"/>
    <n v="0"/>
    <n v="0"/>
    <n v="0"/>
    <n v="0"/>
    <x v="3"/>
    <x v="2"/>
    <x v="7"/>
    <x v="3"/>
    <n v="20.716699600219702"/>
    <n v="92.997863769531307"/>
    <s v="196971"/>
    <x v="1"/>
    <m/>
  </r>
  <r>
    <x v="0"/>
    <x v="2"/>
    <x v="1"/>
    <x v="17"/>
    <x v="224"/>
    <n v="18"/>
    <n v="157"/>
    <m/>
    <m/>
    <m/>
    <m/>
    <s v="No"/>
    <n v="0"/>
    <n v="0"/>
    <n v="0"/>
    <n v="0"/>
    <m/>
    <m/>
    <n v="0"/>
    <m/>
    <m/>
    <m/>
    <m/>
    <m/>
    <m/>
    <m/>
    <n v="96"/>
    <m/>
    <m/>
    <m/>
    <n v="0"/>
    <x v="1"/>
    <x v="1"/>
    <m/>
    <m/>
    <m/>
    <n v="0"/>
    <m/>
    <n v="0"/>
    <m/>
    <n v="0"/>
    <m/>
    <m/>
    <x v="0"/>
    <m/>
    <m/>
    <m/>
    <m/>
    <s v="no test"/>
    <s v="no test"/>
    <x v="1"/>
    <n v="0"/>
    <n v="0"/>
    <n v="0"/>
    <n v="0"/>
    <n v="0"/>
    <n v="0"/>
    <n v="0"/>
    <n v="0"/>
    <n v="0"/>
    <n v="1"/>
    <n v="157"/>
    <n v="1"/>
    <n v="1"/>
    <n v="96"/>
    <n v="1"/>
    <n v="157"/>
    <n v="0"/>
    <n v="0"/>
    <n v="26"/>
    <n v="0"/>
    <s v="N/A"/>
    <n v="0"/>
    <n v="0"/>
    <n v="0"/>
    <n v="0"/>
    <n v="0"/>
    <n v="0"/>
    <n v="1"/>
    <n v="0"/>
    <n v="0"/>
    <n v="0"/>
    <n v="0"/>
    <n v="0"/>
    <n v="0"/>
    <n v="0"/>
    <n v="0"/>
    <n v="0"/>
    <x v="3"/>
    <x v="2"/>
    <x v="10"/>
    <x v="5"/>
    <n v="20.805734000000001"/>
    <n v="92.982675999999998"/>
    <s v="MMR012CMP020"/>
    <x v="1"/>
    <m/>
  </r>
  <r>
    <x v="0"/>
    <x v="12"/>
    <x v="1"/>
    <x v="17"/>
    <x v="225"/>
    <n v="122"/>
    <n v="486"/>
    <m/>
    <s v="GIZ"/>
    <d v="2019-05-31T00:00:00"/>
    <n v="0"/>
    <s v="No"/>
    <n v="0"/>
    <n v="0"/>
    <n v="0"/>
    <n v="0"/>
    <n v="0"/>
    <n v="0"/>
    <n v="0"/>
    <m/>
    <m/>
    <m/>
    <m/>
    <m/>
    <m/>
    <m/>
    <n v="0"/>
    <n v="0"/>
    <m/>
    <m/>
    <n v="0"/>
    <x v="3"/>
    <x v="2"/>
    <m/>
    <m/>
    <m/>
    <n v="0"/>
    <m/>
    <n v="0"/>
    <n v="0"/>
    <n v="0"/>
    <m/>
    <m/>
    <x v="0"/>
    <m/>
    <m/>
    <m/>
    <m/>
    <s v="no test"/>
    <s v="no test"/>
    <x v="1"/>
    <n v="0"/>
    <n v="0"/>
    <n v="0"/>
    <n v="0"/>
    <n v="0"/>
    <n v="0"/>
    <n v="0"/>
    <n v="0"/>
    <n v="0"/>
    <n v="1"/>
    <n v="486"/>
    <n v="1"/>
    <n v="1"/>
    <n v="0"/>
    <n v="0"/>
    <n v="0"/>
    <n v="1"/>
    <n v="81"/>
    <n v="81"/>
    <n v="0"/>
    <s v="N/A"/>
    <n v="0"/>
    <n v="0"/>
    <n v="0"/>
    <n v="0"/>
    <n v="0"/>
    <n v="0"/>
    <n v="1"/>
    <n v="0"/>
    <n v="0"/>
    <n v="0"/>
    <n v="0"/>
    <n v="0"/>
    <n v="0"/>
    <n v="0"/>
    <n v="0"/>
    <n v="0"/>
    <x v="2"/>
    <x v="2"/>
    <x v="6"/>
    <x v="7"/>
    <n v="20.785770416259801"/>
    <n v="92.931427001953097"/>
    <n v="196887"/>
    <x v="0"/>
    <s v="CLTS Village"/>
  </r>
  <r>
    <x v="0"/>
    <x v="12"/>
    <x v="1"/>
    <x v="17"/>
    <x v="226"/>
    <n v="293"/>
    <n v="1503"/>
    <m/>
    <s v="GIZ"/>
    <d v="2019-05-31T00:00:00"/>
    <n v="0"/>
    <s v="No"/>
    <n v="0"/>
    <n v="0"/>
    <n v="0"/>
    <n v="0"/>
    <n v="0"/>
    <n v="0"/>
    <n v="0"/>
    <m/>
    <m/>
    <m/>
    <m/>
    <m/>
    <m/>
    <m/>
    <n v="9"/>
    <n v="0"/>
    <m/>
    <m/>
    <n v="0"/>
    <x v="3"/>
    <x v="2"/>
    <m/>
    <m/>
    <m/>
    <n v="0"/>
    <m/>
    <n v="0"/>
    <n v="0"/>
    <n v="0"/>
    <m/>
    <m/>
    <x v="0"/>
    <m/>
    <m/>
    <m/>
    <m/>
    <s v="no test"/>
    <s v="no test"/>
    <x v="1"/>
    <n v="0"/>
    <n v="0"/>
    <n v="0"/>
    <n v="0"/>
    <n v="0"/>
    <n v="0"/>
    <n v="0"/>
    <n v="0"/>
    <n v="0"/>
    <n v="1"/>
    <n v="1503"/>
    <n v="3"/>
    <n v="3"/>
    <n v="9"/>
    <n v="3.5928143712574849E-2"/>
    <n v="54"/>
    <n v="0.96606786427145708"/>
    <n v="242"/>
    <n v="251"/>
    <n v="0"/>
    <s v="N/A"/>
    <n v="0"/>
    <n v="0"/>
    <n v="0"/>
    <n v="0"/>
    <n v="0"/>
    <n v="0"/>
    <n v="1"/>
    <n v="0"/>
    <n v="0"/>
    <n v="0"/>
    <n v="0"/>
    <n v="0"/>
    <n v="0"/>
    <n v="0"/>
    <n v="0"/>
    <n v="0"/>
    <x v="2"/>
    <x v="2"/>
    <x v="6"/>
    <x v="3"/>
    <n v="20.711349487304702"/>
    <n v="92.980506896972699"/>
    <n v="196944"/>
    <x v="0"/>
    <s v="CLTS Village"/>
  </r>
  <r>
    <x v="0"/>
    <x v="12"/>
    <x v="1"/>
    <x v="17"/>
    <x v="227"/>
    <n v="185"/>
    <n v="915"/>
    <m/>
    <s v="GIZ"/>
    <d v="2019-05-31T00:00:00"/>
    <n v="0"/>
    <s v="No"/>
    <n v="0"/>
    <n v="0"/>
    <n v="0"/>
    <n v="0"/>
    <n v="0"/>
    <n v="0"/>
    <n v="0"/>
    <m/>
    <m/>
    <m/>
    <m/>
    <m/>
    <m/>
    <m/>
    <n v="32"/>
    <n v="0"/>
    <m/>
    <m/>
    <n v="0"/>
    <x v="4"/>
    <x v="4"/>
    <m/>
    <m/>
    <m/>
    <n v="0"/>
    <m/>
    <n v="0"/>
    <n v="0"/>
    <n v="0"/>
    <m/>
    <m/>
    <x v="0"/>
    <m/>
    <m/>
    <m/>
    <m/>
    <s v="no test"/>
    <s v="no test"/>
    <x v="1"/>
    <n v="0"/>
    <n v="0"/>
    <n v="0"/>
    <n v="0"/>
    <n v="0"/>
    <n v="0"/>
    <n v="0"/>
    <n v="0"/>
    <n v="0"/>
    <n v="1"/>
    <n v="915"/>
    <n v="2"/>
    <n v="2"/>
    <n v="32"/>
    <n v="0.20983606557377049"/>
    <n v="192"/>
    <n v="0.79344262295081969"/>
    <n v="121"/>
    <n v="153"/>
    <n v="0"/>
    <s v="N/A"/>
    <n v="0"/>
    <n v="0"/>
    <n v="0"/>
    <n v="0"/>
    <n v="0"/>
    <n v="0"/>
    <n v="1"/>
    <n v="0"/>
    <n v="0"/>
    <n v="0"/>
    <n v="0"/>
    <n v="0"/>
    <n v="0"/>
    <n v="0"/>
    <n v="0"/>
    <n v="0"/>
    <x v="2"/>
    <x v="2"/>
    <x v="6"/>
    <x v="3"/>
    <n v="20.786739349365199"/>
    <n v="92.944313049316406"/>
    <s v="196884"/>
    <x v="0"/>
    <s v="CLTS Village"/>
  </r>
  <r>
    <x v="0"/>
    <x v="12"/>
    <x v="1"/>
    <x v="17"/>
    <x v="228"/>
    <n v="156"/>
    <n v="665"/>
    <m/>
    <s v="MHF"/>
    <d v="2019-09-30T00:00:00"/>
    <n v="30"/>
    <s v="No"/>
    <n v="0"/>
    <n v="0"/>
    <n v="0"/>
    <n v="0"/>
    <n v="0"/>
    <n v="0"/>
    <m/>
    <m/>
    <m/>
    <m/>
    <m/>
    <m/>
    <m/>
    <m/>
    <m/>
    <m/>
    <m/>
    <m/>
    <m/>
    <x v="1"/>
    <x v="1"/>
    <m/>
    <m/>
    <m/>
    <n v="0"/>
    <m/>
    <n v="0"/>
    <n v="0"/>
    <m/>
    <m/>
    <m/>
    <x v="0"/>
    <m/>
    <m/>
    <m/>
    <m/>
    <s v="no test"/>
    <s v="no test"/>
    <x v="1"/>
    <n v="0"/>
    <n v="0"/>
    <n v="0"/>
    <n v="0"/>
    <n v="0"/>
    <n v="0"/>
    <n v="0"/>
    <n v="0"/>
    <n v="0"/>
    <n v="1"/>
    <n v="665"/>
    <n v="1"/>
    <n v="1"/>
    <n v="0"/>
    <n v="0"/>
    <n v="0"/>
    <n v="1"/>
    <n v="111"/>
    <n v="111"/>
    <n v="0"/>
    <s v="N/A"/>
    <n v="0"/>
    <n v="0"/>
    <n v="0"/>
    <n v="0"/>
    <n v="0"/>
    <n v="0"/>
    <n v="1"/>
    <n v="0"/>
    <n v="0"/>
    <n v="0"/>
    <n v="0"/>
    <n v="0"/>
    <n v="0"/>
    <n v="0"/>
    <n v="0"/>
    <n v="0"/>
    <x v="3"/>
    <x v="2"/>
    <x v="7"/>
    <x v="8"/>
    <n v="20.8832397460938"/>
    <n v="92.936859130859403"/>
    <n v="196813"/>
    <x v="0"/>
    <m/>
  </r>
  <r>
    <x v="0"/>
    <x v="12"/>
    <x v="1"/>
    <x v="17"/>
    <x v="229"/>
    <n v="131"/>
    <n v="631"/>
    <m/>
    <s v="GIZ"/>
    <d v="2019-05-31T00:00:00"/>
    <n v="0"/>
    <s v="No"/>
    <n v="0"/>
    <n v="0"/>
    <n v="0"/>
    <n v="0"/>
    <n v="0"/>
    <n v="0"/>
    <n v="0"/>
    <m/>
    <m/>
    <m/>
    <m/>
    <m/>
    <m/>
    <m/>
    <n v="13"/>
    <n v="0"/>
    <m/>
    <m/>
    <n v="0"/>
    <x v="3"/>
    <x v="2"/>
    <m/>
    <m/>
    <m/>
    <n v="0"/>
    <m/>
    <n v="0"/>
    <n v="0"/>
    <n v="0"/>
    <m/>
    <m/>
    <x v="0"/>
    <m/>
    <m/>
    <m/>
    <m/>
    <s v="no test"/>
    <s v="no test"/>
    <x v="1"/>
    <n v="0"/>
    <n v="0"/>
    <n v="0"/>
    <n v="0"/>
    <n v="0"/>
    <n v="0"/>
    <n v="0"/>
    <n v="0"/>
    <n v="0"/>
    <n v="1"/>
    <n v="631"/>
    <n v="1"/>
    <n v="1"/>
    <n v="13"/>
    <n v="0.12361331220285261"/>
    <n v="78"/>
    <n v="0.87480190174326466"/>
    <n v="92"/>
    <n v="105"/>
    <n v="0"/>
    <s v="N/A"/>
    <n v="0"/>
    <n v="0"/>
    <n v="0"/>
    <n v="0"/>
    <n v="0"/>
    <n v="0"/>
    <n v="1"/>
    <n v="0"/>
    <n v="0"/>
    <n v="0"/>
    <n v="0"/>
    <n v="0"/>
    <n v="0"/>
    <n v="0"/>
    <n v="0"/>
    <n v="0"/>
    <x v="2"/>
    <x v="2"/>
    <x v="6"/>
    <x v="7"/>
    <n v="20.809240341186499"/>
    <n v="92.923919677734403"/>
    <n v="196881"/>
    <x v="0"/>
    <s v="CLTS Village"/>
  </r>
  <r>
    <x v="0"/>
    <x v="0"/>
    <x v="1"/>
    <x v="18"/>
    <x v="230"/>
    <n v="397"/>
    <n v="2111"/>
    <m/>
    <s v="DFID/HARP"/>
    <d v="2020-09-30T00:00:00"/>
    <n v="0"/>
    <s v="No"/>
    <n v="0"/>
    <n v="0"/>
    <n v="0"/>
    <n v="23"/>
    <n v="0"/>
    <n v="0"/>
    <n v="29"/>
    <m/>
    <n v="46"/>
    <n v="28"/>
    <n v="67"/>
    <n v="17"/>
    <n v="0"/>
    <s v="for this quarter"/>
    <n v="102"/>
    <n v="16"/>
    <n v="81"/>
    <m/>
    <n v="112"/>
    <x v="0"/>
    <x v="0"/>
    <n v="0"/>
    <n v="0"/>
    <m/>
    <n v="1"/>
    <s v="Household"/>
    <n v="0"/>
    <n v="0"/>
    <n v="2"/>
    <n v="397"/>
    <n v="397"/>
    <x v="1"/>
    <m/>
    <m/>
    <m/>
    <m/>
    <n v="0.60869565217391308"/>
    <n v="0.2537313432835821"/>
    <x v="0"/>
    <n v="1"/>
    <n v="1"/>
    <n v="1"/>
    <n v="2111"/>
    <n v="0"/>
    <n v="0"/>
    <n v="1"/>
    <n v="2111"/>
    <n v="4.2220000000000004"/>
    <n v="0"/>
    <n v="0"/>
    <n v="0"/>
    <n v="4"/>
    <n v="118"/>
    <n v="0.96636665087636187"/>
    <n v="2040"/>
    <n v="0"/>
    <n v="0"/>
    <n v="106"/>
    <n v="0.13559322033898305"/>
    <n v="1620"/>
    <n v="1000"/>
    <n v="1"/>
    <n v="0"/>
    <n v="1"/>
    <n v="2111"/>
    <n v="1"/>
    <n v="0"/>
    <n v="0.47370914258645191"/>
    <n v="1"/>
    <n v="1"/>
    <n v="1985"/>
    <n v="1985"/>
    <n v="1985"/>
    <n v="397"/>
    <s v="Yes"/>
    <n v="0"/>
    <x v="1"/>
    <x v="0"/>
    <x v="9"/>
    <x v="5"/>
    <n v="20.128488999999998"/>
    <n v="92.875814000000005"/>
    <s v="MMR012CMP039"/>
    <x v="0"/>
    <m/>
  </r>
  <r>
    <x v="0"/>
    <x v="12"/>
    <x v="1"/>
    <x v="17"/>
    <x v="231"/>
    <n v="76"/>
    <n v="394"/>
    <m/>
    <s v="GIZ"/>
    <d v="2019-05-31T00:00:00"/>
    <n v="0"/>
    <s v="No"/>
    <n v="0"/>
    <n v="0"/>
    <n v="0"/>
    <n v="0"/>
    <n v="0"/>
    <n v="0"/>
    <n v="0"/>
    <m/>
    <m/>
    <m/>
    <m/>
    <m/>
    <m/>
    <m/>
    <n v="14"/>
    <n v="0"/>
    <m/>
    <m/>
    <n v="0"/>
    <x v="3"/>
    <x v="2"/>
    <m/>
    <m/>
    <m/>
    <n v="0"/>
    <m/>
    <n v="0"/>
    <n v="0"/>
    <n v="0"/>
    <m/>
    <m/>
    <x v="0"/>
    <m/>
    <m/>
    <m/>
    <m/>
    <s v="no test"/>
    <s v="no test"/>
    <x v="1"/>
    <n v="0"/>
    <n v="0"/>
    <n v="0"/>
    <n v="0"/>
    <n v="0"/>
    <n v="0"/>
    <n v="0"/>
    <n v="0"/>
    <n v="0"/>
    <n v="1"/>
    <n v="394"/>
    <n v="1"/>
    <n v="1"/>
    <n v="14"/>
    <n v="0.21319796954314721"/>
    <n v="84"/>
    <n v="0.79187817258883242"/>
    <n v="52"/>
    <n v="66"/>
    <n v="0"/>
    <s v="N/A"/>
    <n v="0"/>
    <n v="0"/>
    <n v="0"/>
    <n v="0"/>
    <n v="0"/>
    <n v="0"/>
    <n v="1"/>
    <n v="0"/>
    <n v="0"/>
    <n v="0"/>
    <n v="0"/>
    <n v="0"/>
    <n v="0"/>
    <n v="0"/>
    <n v="0"/>
    <n v="0"/>
    <x v="2"/>
    <x v="2"/>
    <x v="6"/>
    <x v="9"/>
    <n v="20.681715011596701"/>
    <n v="92.94140625"/>
    <n v="196930"/>
    <x v="0"/>
    <s v="CLTS Village"/>
  </r>
  <r>
    <x v="0"/>
    <x v="2"/>
    <x v="1"/>
    <x v="17"/>
    <x v="232"/>
    <n v="167"/>
    <n v="833"/>
    <m/>
    <m/>
    <m/>
    <m/>
    <s v="No"/>
    <n v="0"/>
    <n v="0"/>
    <n v="1"/>
    <m/>
    <m/>
    <m/>
    <n v="0"/>
    <m/>
    <m/>
    <m/>
    <m/>
    <m/>
    <m/>
    <m/>
    <n v="0"/>
    <m/>
    <m/>
    <m/>
    <n v="0"/>
    <x v="1"/>
    <x v="1"/>
    <m/>
    <m/>
    <m/>
    <n v="0"/>
    <m/>
    <n v="0"/>
    <m/>
    <n v="0"/>
    <m/>
    <m/>
    <x v="0"/>
    <m/>
    <m/>
    <m/>
    <m/>
    <s v="no test"/>
    <s v="no test"/>
    <x v="1"/>
    <n v="1"/>
    <n v="0.30012004801920766"/>
    <n v="0.30012004801920766"/>
    <n v="249.99999999999997"/>
    <n v="0"/>
    <n v="0"/>
    <n v="0.30012004801920766"/>
    <n v="249.99999999999997"/>
    <n v="1"/>
    <n v="0.69987995198079234"/>
    <n v="583"/>
    <n v="1"/>
    <n v="2"/>
    <n v="0"/>
    <n v="0"/>
    <n v="0"/>
    <n v="1"/>
    <n v="139"/>
    <n v="139"/>
    <n v="0"/>
    <s v="N/A"/>
    <n v="0"/>
    <n v="0"/>
    <n v="0"/>
    <n v="0"/>
    <n v="0"/>
    <n v="0"/>
    <n v="1"/>
    <n v="0"/>
    <n v="0"/>
    <n v="0"/>
    <n v="0"/>
    <n v="0"/>
    <n v="0"/>
    <n v="0"/>
    <n v="0"/>
    <n v="0"/>
    <x v="3"/>
    <x v="2"/>
    <x v="7"/>
    <x v="5"/>
    <n v="20.903770446777301"/>
    <n v="93.004432678222699"/>
    <s v="196787"/>
    <x v="1"/>
    <m/>
  </r>
  <r>
    <x v="0"/>
    <x v="12"/>
    <x v="1"/>
    <x v="17"/>
    <x v="233"/>
    <n v="47"/>
    <n v="203"/>
    <m/>
    <s v="GIZ"/>
    <d v="2019-05-31T00:00:00"/>
    <n v="0"/>
    <s v="No"/>
    <n v="0"/>
    <n v="0"/>
    <n v="0"/>
    <n v="0"/>
    <n v="0"/>
    <n v="0"/>
    <n v="0"/>
    <m/>
    <m/>
    <m/>
    <m/>
    <m/>
    <m/>
    <m/>
    <n v="0"/>
    <n v="0"/>
    <m/>
    <m/>
    <n v="0"/>
    <x v="3"/>
    <x v="2"/>
    <m/>
    <m/>
    <m/>
    <n v="0"/>
    <m/>
    <n v="0"/>
    <n v="0"/>
    <n v="0"/>
    <m/>
    <m/>
    <x v="0"/>
    <m/>
    <m/>
    <m/>
    <m/>
    <s v="no test"/>
    <s v="no test"/>
    <x v="1"/>
    <n v="0"/>
    <n v="0"/>
    <n v="0"/>
    <n v="0"/>
    <n v="0"/>
    <n v="0"/>
    <n v="0"/>
    <n v="0"/>
    <n v="0"/>
    <n v="1"/>
    <n v="203"/>
    <n v="1"/>
    <n v="1"/>
    <n v="0"/>
    <n v="0"/>
    <n v="0"/>
    <n v="1"/>
    <n v="34"/>
    <n v="34"/>
    <n v="0"/>
    <s v="N/A"/>
    <n v="0"/>
    <n v="0"/>
    <n v="0"/>
    <n v="0"/>
    <n v="0"/>
    <n v="0"/>
    <n v="1"/>
    <n v="0"/>
    <n v="0"/>
    <n v="0"/>
    <n v="0"/>
    <n v="0"/>
    <n v="0"/>
    <n v="0"/>
    <n v="0"/>
    <n v="0"/>
    <x v="2"/>
    <x v="2"/>
    <x v="6"/>
    <x v="7"/>
    <n v="0"/>
    <n v="0"/>
    <n v="0"/>
    <x v="0"/>
    <s v="CLTS Village"/>
  </r>
  <r>
    <x v="0"/>
    <x v="12"/>
    <x v="1"/>
    <x v="17"/>
    <x v="234"/>
    <n v="45"/>
    <n v="206"/>
    <m/>
    <s v="GIZ"/>
    <d v="2019-05-31T00:00:00"/>
    <n v="0"/>
    <s v="No"/>
    <n v="0"/>
    <n v="0"/>
    <n v="0"/>
    <n v="0"/>
    <n v="0"/>
    <n v="0"/>
    <n v="0"/>
    <m/>
    <m/>
    <m/>
    <m/>
    <m/>
    <m/>
    <m/>
    <n v="2"/>
    <n v="0"/>
    <m/>
    <m/>
    <n v="0"/>
    <x v="3"/>
    <x v="2"/>
    <m/>
    <m/>
    <m/>
    <n v="0"/>
    <m/>
    <n v="0"/>
    <n v="0"/>
    <n v="0"/>
    <m/>
    <m/>
    <x v="0"/>
    <m/>
    <m/>
    <m/>
    <m/>
    <s v="no test"/>
    <s v="no test"/>
    <x v="1"/>
    <n v="0"/>
    <n v="0"/>
    <n v="0"/>
    <n v="0"/>
    <n v="0"/>
    <n v="0"/>
    <n v="0"/>
    <n v="0"/>
    <n v="0"/>
    <n v="1"/>
    <n v="206"/>
    <n v="1"/>
    <n v="1"/>
    <n v="2"/>
    <n v="5.8252427184466021E-2"/>
    <n v="12"/>
    <n v="0.93203883495145623"/>
    <n v="32"/>
    <n v="34"/>
    <n v="0"/>
    <s v="N/A"/>
    <n v="0"/>
    <n v="0"/>
    <n v="0"/>
    <n v="0"/>
    <n v="0"/>
    <n v="0"/>
    <n v="1"/>
    <n v="0"/>
    <n v="0"/>
    <n v="0"/>
    <n v="0"/>
    <n v="0"/>
    <n v="0"/>
    <n v="0"/>
    <n v="0"/>
    <n v="0"/>
    <x v="2"/>
    <x v="2"/>
    <x v="6"/>
    <x v="3"/>
    <n v="0"/>
    <n v="0"/>
    <n v="0"/>
    <x v="0"/>
    <s v="CLTS Village"/>
  </r>
  <r>
    <x v="0"/>
    <x v="12"/>
    <x v="1"/>
    <x v="17"/>
    <x v="235"/>
    <n v="144"/>
    <n v="792"/>
    <m/>
    <s v="GIZ"/>
    <d v="2019-05-31T00:00:00"/>
    <n v="0"/>
    <s v="No"/>
    <n v="0"/>
    <n v="0"/>
    <n v="0"/>
    <n v="0"/>
    <n v="0"/>
    <n v="0"/>
    <n v="0"/>
    <m/>
    <m/>
    <m/>
    <m/>
    <m/>
    <m/>
    <m/>
    <n v="2"/>
    <n v="0"/>
    <m/>
    <m/>
    <n v="0"/>
    <x v="3"/>
    <x v="2"/>
    <m/>
    <m/>
    <m/>
    <n v="0"/>
    <m/>
    <n v="0"/>
    <n v="0"/>
    <n v="0"/>
    <m/>
    <m/>
    <x v="0"/>
    <m/>
    <m/>
    <m/>
    <m/>
    <s v="no test"/>
    <s v="no test"/>
    <x v="1"/>
    <n v="0"/>
    <n v="0"/>
    <n v="0"/>
    <n v="0"/>
    <n v="0"/>
    <n v="0"/>
    <n v="0"/>
    <n v="0"/>
    <n v="0"/>
    <n v="1"/>
    <n v="792"/>
    <n v="2"/>
    <n v="2"/>
    <n v="2"/>
    <n v="1.5151515151515152E-2"/>
    <n v="12"/>
    <n v="0.98484848484848486"/>
    <n v="130"/>
    <n v="132"/>
    <n v="0"/>
    <s v="N/A"/>
    <n v="0"/>
    <n v="0"/>
    <n v="0"/>
    <n v="0"/>
    <n v="0"/>
    <n v="0"/>
    <n v="1"/>
    <n v="0"/>
    <n v="0"/>
    <n v="0"/>
    <n v="0"/>
    <n v="0"/>
    <n v="0"/>
    <n v="0"/>
    <n v="0"/>
    <n v="0"/>
    <x v="2"/>
    <x v="2"/>
    <x v="6"/>
    <x v="10"/>
    <n v="0"/>
    <n v="0"/>
    <n v="196815"/>
    <x v="0"/>
    <s v="CLTS Village"/>
  </r>
  <r>
    <x v="0"/>
    <x v="12"/>
    <x v="1"/>
    <x v="17"/>
    <x v="236"/>
    <n v="286"/>
    <n v="1372"/>
    <m/>
    <s v="MHF"/>
    <d v="2019-09-30T00:00:00"/>
    <n v="30"/>
    <s v="No"/>
    <n v="0"/>
    <n v="0"/>
    <n v="0"/>
    <n v="0"/>
    <n v="0"/>
    <n v="0"/>
    <m/>
    <m/>
    <m/>
    <m/>
    <m/>
    <m/>
    <m/>
    <m/>
    <m/>
    <m/>
    <m/>
    <m/>
    <m/>
    <x v="1"/>
    <x v="1"/>
    <m/>
    <m/>
    <m/>
    <n v="0"/>
    <m/>
    <n v="0"/>
    <n v="0"/>
    <m/>
    <m/>
    <m/>
    <x v="0"/>
    <m/>
    <m/>
    <m/>
    <m/>
    <s v="no test"/>
    <s v="no test"/>
    <x v="1"/>
    <n v="0"/>
    <n v="0"/>
    <n v="0"/>
    <n v="0"/>
    <n v="0"/>
    <n v="0"/>
    <n v="0"/>
    <n v="0"/>
    <n v="0"/>
    <n v="1"/>
    <n v="1372"/>
    <n v="3"/>
    <n v="3"/>
    <n v="0"/>
    <n v="0"/>
    <n v="0"/>
    <n v="1"/>
    <n v="229"/>
    <n v="229"/>
    <n v="0"/>
    <s v="N/A"/>
    <n v="0"/>
    <n v="0"/>
    <n v="0"/>
    <n v="0"/>
    <n v="0"/>
    <n v="0"/>
    <n v="1"/>
    <n v="0"/>
    <n v="0"/>
    <n v="0"/>
    <n v="0"/>
    <n v="0"/>
    <n v="0"/>
    <n v="0"/>
    <n v="0"/>
    <n v="0"/>
    <x v="3"/>
    <x v="2"/>
    <x v="7"/>
    <x v="8"/>
    <n v="20.785549163818398"/>
    <n v="92.971076965332003"/>
    <n v="196889"/>
    <x v="0"/>
    <m/>
  </r>
  <r>
    <x v="0"/>
    <x v="12"/>
    <x v="1"/>
    <x v="17"/>
    <x v="237"/>
    <n v="170"/>
    <n v="825"/>
    <m/>
    <s v="GIZ"/>
    <d v="2019-05-31T00:00:00"/>
    <n v="0"/>
    <s v="No"/>
    <n v="0"/>
    <n v="0"/>
    <n v="0"/>
    <n v="0"/>
    <n v="0"/>
    <n v="0"/>
    <n v="0"/>
    <m/>
    <m/>
    <m/>
    <m/>
    <m/>
    <m/>
    <m/>
    <n v="4"/>
    <n v="0"/>
    <m/>
    <m/>
    <n v="0"/>
    <x v="3"/>
    <x v="2"/>
    <m/>
    <m/>
    <m/>
    <n v="0"/>
    <m/>
    <n v="0"/>
    <n v="0"/>
    <n v="0"/>
    <m/>
    <m/>
    <x v="0"/>
    <m/>
    <m/>
    <m/>
    <m/>
    <s v="no test"/>
    <s v="no test"/>
    <x v="1"/>
    <n v="0"/>
    <n v="0"/>
    <n v="0"/>
    <n v="0"/>
    <n v="0"/>
    <n v="0"/>
    <n v="0"/>
    <n v="0"/>
    <n v="0"/>
    <n v="1"/>
    <n v="825"/>
    <n v="2"/>
    <n v="2"/>
    <n v="4"/>
    <n v="2.9090909090909091E-2"/>
    <n v="24"/>
    <n v="0.97454545454545449"/>
    <n v="134"/>
    <n v="138"/>
    <n v="0"/>
    <s v="N/A"/>
    <n v="0"/>
    <n v="0"/>
    <n v="0"/>
    <n v="0"/>
    <n v="0"/>
    <n v="0"/>
    <n v="1"/>
    <n v="0"/>
    <n v="0"/>
    <n v="0"/>
    <n v="0"/>
    <n v="0"/>
    <n v="0"/>
    <n v="0"/>
    <n v="0"/>
    <n v="0"/>
    <x v="2"/>
    <x v="2"/>
    <x v="6"/>
    <x v="3"/>
    <n v="20.894269943237301"/>
    <n v="92.920730590820298"/>
    <n v="196814"/>
    <x v="0"/>
    <s v="CLTS Village"/>
  </r>
  <r>
    <x v="0"/>
    <x v="12"/>
    <x v="1"/>
    <x v="17"/>
    <x v="238"/>
    <n v="131"/>
    <n v="667"/>
    <m/>
    <s v="MHF"/>
    <d v="2019-09-30T00:00:00"/>
    <n v="30"/>
    <s v="No"/>
    <n v="0"/>
    <n v="0"/>
    <n v="0"/>
    <n v="0"/>
    <n v="0"/>
    <n v="0"/>
    <m/>
    <m/>
    <m/>
    <m/>
    <m/>
    <m/>
    <m/>
    <m/>
    <m/>
    <m/>
    <m/>
    <m/>
    <m/>
    <x v="1"/>
    <x v="1"/>
    <m/>
    <m/>
    <m/>
    <n v="0"/>
    <m/>
    <n v="0"/>
    <n v="0"/>
    <m/>
    <m/>
    <m/>
    <x v="0"/>
    <m/>
    <m/>
    <m/>
    <m/>
    <s v="no test"/>
    <s v="no test"/>
    <x v="1"/>
    <n v="0"/>
    <n v="0"/>
    <n v="0"/>
    <n v="0"/>
    <n v="0"/>
    <n v="0"/>
    <n v="0"/>
    <n v="0"/>
    <n v="0"/>
    <n v="1"/>
    <n v="667"/>
    <n v="1"/>
    <n v="1"/>
    <n v="0"/>
    <n v="0"/>
    <n v="0"/>
    <n v="0.99850074962518731"/>
    <n v="111"/>
    <n v="111"/>
    <n v="0"/>
    <s v="N/A"/>
    <n v="0"/>
    <n v="0"/>
    <n v="0"/>
    <n v="0"/>
    <n v="0"/>
    <n v="0"/>
    <n v="1"/>
    <n v="0"/>
    <n v="0"/>
    <n v="0"/>
    <n v="0"/>
    <n v="0"/>
    <n v="0"/>
    <n v="0"/>
    <n v="0"/>
    <n v="0"/>
    <x v="3"/>
    <x v="2"/>
    <x v="7"/>
    <x v="8"/>
    <n v="20.8892498016357"/>
    <n v="92.939201354980497"/>
    <n v="0"/>
    <x v="0"/>
    <m/>
  </r>
  <r>
    <x v="0"/>
    <x v="12"/>
    <x v="1"/>
    <x v="17"/>
    <x v="239"/>
    <n v="138"/>
    <n v="609"/>
    <m/>
    <s v="GIZ"/>
    <d v="2019-05-31T00:00:00"/>
    <n v="0"/>
    <s v="No"/>
    <n v="0"/>
    <n v="0"/>
    <n v="0"/>
    <n v="0"/>
    <n v="0"/>
    <n v="0"/>
    <n v="0"/>
    <m/>
    <m/>
    <m/>
    <m/>
    <m/>
    <m/>
    <m/>
    <n v="18"/>
    <n v="0"/>
    <m/>
    <m/>
    <n v="0"/>
    <x v="4"/>
    <x v="4"/>
    <m/>
    <m/>
    <m/>
    <n v="0"/>
    <m/>
    <n v="0"/>
    <n v="0"/>
    <n v="0"/>
    <m/>
    <m/>
    <x v="0"/>
    <m/>
    <m/>
    <m/>
    <m/>
    <s v="no test"/>
    <s v="no test"/>
    <x v="1"/>
    <n v="0"/>
    <n v="0"/>
    <n v="0"/>
    <n v="0"/>
    <n v="0"/>
    <n v="0"/>
    <n v="0"/>
    <n v="0"/>
    <n v="0"/>
    <n v="1"/>
    <n v="609"/>
    <n v="1"/>
    <n v="1"/>
    <n v="18"/>
    <n v="0.17733990147783252"/>
    <n v="108"/>
    <n v="0.82758620689655171"/>
    <n v="84"/>
    <n v="102"/>
    <n v="0"/>
    <s v="N/A"/>
    <n v="0"/>
    <n v="0"/>
    <n v="0"/>
    <n v="0"/>
    <n v="0"/>
    <n v="0"/>
    <n v="1"/>
    <n v="0"/>
    <n v="0"/>
    <n v="0"/>
    <n v="0"/>
    <n v="0"/>
    <n v="0"/>
    <n v="0"/>
    <n v="0"/>
    <n v="0"/>
    <x v="2"/>
    <x v="2"/>
    <x v="6"/>
    <x v="3"/>
    <n v="20.677059173583999"/>
    <n v="92.9532470703125"/>
    <s v="196929"/>
    <x v="0"/>
    <s v="CLTS Village"/>
  </r>
  <r>
    <x v="0"/>
    <x v="2"/>
    <x v="1"/>
    <x v="17"/>
    <x v="240"/>
    <n v="118"/>
    <n v="665"/>
    <m/>
    <m/>
    <m/>
    <m/>
    <s v="No"/>
    <n v="0"/>
    <n v="0"/>
    <n v="0"/>
    <n v="0"/>
    <m/>
    <m/>
    <n v="1"/>
    <m/>
    <m/>
    <m/>
    <m/>
    <m/>
    <m/>
    <m/>
    <n v="0"/>
    <m/>
    <m/>
    <m/>
    <n v="0"/>
    <x v="1"/>
    <x v="1"/>
    <m/>
    <m/>
    <m/>
    <n v="0"/>
    <m/>
    <n v="0"/>
    <m/>
    <m/>
    <m/>
    <m/>
    <x v="0"/>
    <m/>
    <m/>
    <m/>
    <m/>
    <s v="no test"/>
    <s v="no test"/>
    <x v="1"/>
    <n v="0"/>
    <n v="0"/>
    <n v="0"/>
    <n v="0"/>
    <n v="0"/>
    <n v="0"/>
    <n v="0"/>
    <n v="0"/>
    <n v="0"/>
    <n v="1"/>
    <n v="665"/>
    <n v="1"/>
    <n v="1"/>
    <n v="0"/>
    <n v="0"/>
    <n v="0"/>
    <n v="1"/>
    <n v="111"/>
    <n v="111"/>
    <n v="0"/>
    <s v="N/A"/>
    <n v="0"/>
    <n v="0"/>
    <n v="0"/>
    <n v="0"/>
    <n v="0"/>
    <n v="0"/>
    <n v="1"/>
    <n v="0"/>
    <n v="0"/>
    <n v="0"/>
    <n v="0"/>
    <n v="0"/>
    <n v="0"/>
    <n v="0"/>
    <n v="0"/>
    <n v="0"/>
    <x v="3"/>
    <x v="2"/>
    <x v="7"/>
    <x v="3"/>
    <n v="20.697889328002901"/>
    <n v="92.951232910156307"/>
    <s v="196927"/>
    <x v="1"/>
    <m/>
  </r>
  <r>
    <x v="0"/>
    <x v="12"/>
    <x v="1"/>
    <x v="17"/>
    <x v="241"/>
    <n v="78"/>
    <n v="292"/>
    <m/>
    <s v="MHF"/>
    <d v="2019-09-30T00:00:00"/>
    <n v="30"/>
    <s v="No"/>
    <n v="0"/>
    <n v="0"/>
    <n v="0"/>
    <n v="0"/>
    <n v="0"/>
    <n v="0"/>
    <m/>
    <m/>
    <m/>
    <m/>
    <m/>
    <m/>
    <m/>
    <m/>
    <m/>
    <m/>
    <m/>
    <m/>
    <m/>
    <x v="1"/>
    <x v="1"/>
    <m/>
    <m/>
    <m/>
    <n v="0"/>
    <m/>
    <n v="0"/>
    <n v="0"/>
    <m/>
    <m/>
    <m/>
    <x v="0"/>
    <m/>
    <m/>
    <m/>
    <m/>
    <s v="no test"/>
    <s v="no test"/>
    <x v="1"/>
    <n v="0"/>
    <n v="0"/>
    <n v="0"/>
    <n v="0"/>
    <n v="0"/>
    <n v="0"/>
    <n v="0"/>
    <n v="0"/>
    <n v="0"/>
    <n v="1"/>
    <n v="292"/>
    <n v="1"/>
    <n v="1"/>
    <n v="0"/>
    <n v="0"/>
    <n v="0"/>
    <n v="1"/>
    <n v="49"/>
    <n v="49"/>
    <n v="0"/>
    <s v="N/A"/>
    <n v="0"/>
    <n v="0"/>
    <n v="0"/>
    <n v="0"/>
    <n v="0"/>
    <n v="0"/>
    <n v="1"/>
    <n v="0"/>
    <n v="0"/>
    <n v="0"/>
    <n v="0"/>
    <n v="0"/>
    <n v="0"/>
    <n v="0"/>
    <n v="0"/>
    <n v="0"/>
    <x v="3"/>
    <x v="2"/>
    <x v="7"/>
    <x v="8"/>
    <n v="0"/>
    <n v="0"/>
    <n v="220647"/>
    <x v="0"/>
    <m/>
  </r>
  <r>
    <x v="0"/>
    <x v="12"/>
    <x v="1"/>
    <x v="17"/>
    <x v="242"/>
    <n v="86"/>
    <n v="304"/>
    <m/>
    <s v="MHF"/>
    <d v="2019-09-30T00:00:00"/>
    <n v="30"/>
    <s v="No"/>
    <n v="0"/>
    <n v="0"/>
    <n v="0"/>
    <n v="0"/>
    <n v="0"/>
    <n v="0"/>
    <m/>
    <m/>
    <m/>
    <m/>
    <m/>
    <m/>
    <m/>
    <m/>
    <m/>
    <m/>
    <m/>
    <m/>
    <m/>
    <x v="1"/>
    <x v="1"/>
    <m/>
    <m/>
    <m/>
    <n v="0"/>
    <m/>
    <n v="0"/>
    <n v="0"/>
    <m/>
    <m/>
    <m/>
    <x v="0"/>
    <m/>
    <m/>
    <m/>
    <m/>
    <s v="no test"/>
    <s v="no test"/>
    <x v="1"/>
    <n v="0"/>
    <n v="0"/>
    <n v="0"/>
    <n v="0"/>
    <n v="0"/>
    <n v="0"/>
    <n v="0"/>
    <n v="0"/>
    <n v="0"/>
    <n v="1"/>
    <n v="304"/>
    <n v="1"/>
    <n v="1"/>
    <n v="0"/>
    <n v="0"/>
    <n v="0"/>
    <n v="1"/>
    <n v="51"/>
    <n v="51"/>
    <n v="0"/>
    <s v="N/A"/>
    <n v="0"/>
    <n v="0"/>
    <n v="0"/>
    <n v="0"/>
    <n v="0"/>
    <n v="0"/>
    <n v="1"/>
    <n v="0"/>
    <n v="0"/>
    <n v="0"/>
    <n v="0"/>
    <n v="0"/>
    <n v="0"/>
    <n v="0"/>
    <n v="0"/>
    <n v="0"/>
    <x v="3"/>
    <x v="2"/>
    <x v="7"/>
    <x v="8"/>
    <n v="20.932960510253899"/>
    <n v="92.930267333984403"/>
    <n v="196755"/>
    <x v="0"/>
    <m/>
  </r>
  <r>
    <x v="0"/>
    <x v="2"/>
    <x v="1"/>
    <x v="17"/>
    <x v="243"/>
    <n v="395"/>
    <n v="1687"/>
    <m/>
    <m/>
    <m/>
    <m/>
    <s v="No"/>
    <n v="0"/>
    <n v="0"/>
    <n v="0"/>
    <n v="0"/>
    <m/>
    <m/>
    <n v="2"/>
    <m/>
    <m/>
    <m/>
    <m/>
    <m/>
    <m/>
    <m/>
    <n v="0"/>
    <m/>
    <m/>
    <m/>
    <n v="0"/>
    <x v="1"/>
    <x v="1"/>
    <m/>
    <m/>
    <m/>
    <n v="0"/>
    <m/>
    <n v="0"/>
    <m/>
    <m/>
    <m/>
    <m/>
    <x v="0"/>
    <m/>
    <m/>
    <m/>
    <m/>
    <s v="no test"/>
    <s v="no test"/>
    <x v="1"/>
    <n v="0"/>
    <n v="0"/>
    <n v="0"/>
    <n v="0"/>
    <n v="0"/>
    <n v="0"/>
    <n v="0"/>
    <n v="0"/>
    <n v="0"/>
    <n v="1"/>
    <n v="1687"/>
    <n v="3"/>
    <n v="3"/>
    <n v="0"/>
    <n v="0"/>
    <n v="0"/>
    <n v="0.99940723177237689"/>
    <n v="281"/>
    <n v="281"/>
    <n v="0"/>
    <s v="N/A"/>
    <n v="0"/>
    <n v="0"/>
    <n v="0"/>
    <n v="0"/>
    <n v="0"/>
    <n v="0"/>
    <n v="1"/>
    <n v="0"/>
    <n v="0"/>
    <n v="0"/>
    <n v="0"/>
    <n v="0"/>
    <n v="0"/>
    <n v="0"/>
    <n v="0"/>
    <n v="0"/>
    <x v="3"/>
    <x v="2"/>
    <x v="7"/>
    <x v="3"/>
    <n v="0"/>
    <n v="0"/>
    <n v="0"/>
    <x v="1"/>
    <m/>
  </r>
  <r>
    <x v="0"/>
    <x v="12"/>
    <x v="1"/>
    <x v="17"/>
    <x v="244"/>
    <n v="98"/>
    <n v="418"/>
    <m/>
    <s v="GIZ"/>
    <d v="2019-05-31T00:00:00"/>
    <n v="0"/>
    <s v="No"/>
    <n v="0"/>
    <n v="0"/>
    <n v="0"/>
    <n v="0"/>
    <n v="0"/>
    <n v="0"/>
    <n v="0"/>
    <m/>
    <m/>
    <m/>
    <m/>
    <m/>
    <m/>
    <m/>
    <n v="36"/>
    <n v="0"/>
    <m/>
    <m/>
    <n v="0"/>
    <x v="3"/>
    <x v="2"/>
    <m/>
    <m/>
    <m/>
    <n v="0"/>
    <m/>
    <n v="0"/>
    <n v="0"/>
    <n v="0"/>
    <m/>
    <m/>
    <x v="0"/>
    <m/>
    <m/>
    <m/>
    <m/>
    <s v="no test"/>
    <s v="no test"/>
    <x v="1"/>
    <n v="0"/>
    <n v="0"/>
    <n v="0"/>
    <n v="0"/>
    <n v="0"/>
    <n v="0"/>
    <n v="0"/>
    <n v="0"/>
    <n v="0"/>
    <n v="1"/>
    <n v="418"/>
    <n v="1"/>
    <n v="1"/>
    <n v="36"/>
    <n v="0.51674641148325362"/>
    <n v="216"/>
    <n v="0.48803827751196172"/>
    <n v="34"/>
    <n v="70"/>
    <n v="0"/>
    <s v="N/A"/>
    <n v="0"/>
    <n v="0"/>
    <n v="0"/>
    <n v="0"/>
    <n v="0"/>
    <n v="0"/>
    <n v="1"/>
    <n v="0"/>
    <n v="0"/>
    <n v="0"/>
    <n v="0"/>
    <n v="0"/>
    <n v="0"/>
    <n v="0"/>
    <n v="0"/>
    <n v="0"/>
    <x v="2"/>
    <x v="2"/>
    <x v="6"/>
    <x v="7"/>
    <n v="20.831729888916001"/>
    <n v="92.919639587402301"/>
    <n v="196880"/>
    <x v="0"/>
    <s v="CLTS Village"/>
  </r>
  <r>
    <x v="0"/>
    <x v="2"/>
    <x v="1"/>
    <x v="17"/>
    <x v="245"/>
    <n v="144"/>
    <n v="1006"/>
    <m/>
    <m/>
    <m/>
    <m/>
    <s v="No"/>
    <n v="0"/>
    <n v="0"/>
    <n v="0"/>
    <n v="0"/>
    <m/>
    <m/>
    <n v="0"/>
    <m/>
    <m/>
    <m/>
    <m/>
    <m/>
    <m/>
    <m/>
    <n v="33"/>
    <m/>
    <m/>
    <m/>
    <n v="0"/>
    <x v="1"/>
    <x v="1"/>
    <m/>
    <m/>
    <m/>
    <n v="0"/>
    <m/>
    <n v="0"/>
    <m/>
    <n v="0"/>
    <m/>
    <m/>
    <x v="0"/>
    <m/>
    <m/>
    <m/>
    <m/>
    <s v="no test"/>
    <s v="no test"/>
    <x v="1"/>
    <n v="0"/>
    <n v="0"/>
    <n v="0"/>
    <n v="0"/>
    <n v="0"/>
    <n v="0"/>
    <n v="0"/>
    <n v="0"/>
    <n v="0"/>
    <n v="1"/>
    <n v="1006"/>
    <n v="2"/>
    <n v="2"/>
    <n v="33"/>
    <n v="0.19681908548707752"/>
    <n v="198"/>
    <n v="0.80516898608349907"/>
    <n v="135"/>
    <n v="168"/>
    <n v="0"/>
    <s v="N/A"/>
    <n v="0"/>
    <n v="0"/>
    <n v="0"/>
    <n v="0"/>
    <n v="0"/>
    <n v="0"/>
    <n v="1"/>
    <n v="0"/>
    <n v="0"/>
    <n v="0"/>
    <n v="0"/>
    <n v="0"/>
    <n v="0"/>
    <n v="0"/>
    <n v="0"/>
    <n v="0"/>
    <x v="3"/>
    <x v="2"/>
    <x v="10"/>
    <x v="5"/>
    <n v="20.78332"/>
    <n v="92.987399999999994"/>
    <s v="MMR012CMP029"/>
    <x v="1"/>
    <m/>
  </r>
  <r>
    <x v="0"/>
    <x v="13"/>
    <x v="1"/>
    <x v="17"/>
    <x v="246"/>
    <n v="233"/>
    <n v="1163"/>
    <m/>
    <s v="LDS"/>
    <d v="2018-09-30T00:00:00"/>
    <m/>
    <s v="No"/>
    <n v="0"/>
    <n v="0"/>
    <n v="0"/>
    <n v="0"/>
    <m/>
    <m/>
    <n v="0"/>
    <m/>
    <m/>
    <m/>
    <m/>
    <m/>
    <m/>
    <m/>
    <n v="39"/>
    <m/>
    <m/>
    <m/>
    <n v="0"/>
    <x v="1"/>
    <x v="1"/>
    <m/>
    <m/>
    <m/>
    <n v="0"/>
    <m/>
    <n v="0"/>
    <m/>
    <n v="0"/>
    <m/>
    <m/>
    <x v="0"/>
    <m/>
    <m/>
    <m/>
    <m/>
    <s v="no test"/>
    <s v="no test"/>
    <x v="1"/>
    <n v="0"/>
    <n v="0"/>
    <n v="0"/>
    <n v="0"/>
    <n v="0"/>
    <n v="0"/>
    <n v="0"/>
    <n v="0"/>
    <n v="0"/>
    <n v="1"/>
    <n v="1163"/>
    <n v="2"/>
    <n v="2"/>
    <n v="39"/>
    <n v="0.20120378331900257"/>
    <n v="234"/>
    <n v="0.79965606190885641"/>
    <n v="155"/>
    <n v="194"/>
    <n v="0"/>
    <s v="N/A"/>
    <n v="0"/>
    <n v="0"/>
    <n v="0"/>
    <n v="0"/>
    <n v="0"/>
    <n v="0"/>
    <n v="1"/>
    <n v="0"/>
    <n v="0"/>
    <n v="0"/>
    <n v="0"/>
    <n v="0"/>
    <n v="0"/>
    <n v="0"/>
    <n v="0"/>
    <n v="0"/>
    <x v="3"/>
    <x v="2"/>
    <x v="7"/>
    <x v="3"/>
    <n v="20.785699844360401"/>
    <n v="92.986633300781307"/>
    <s v="196869"/>
    <x v="0"/>
    <m/>
  </r>
  <r>
    <x v="0"/>
    <x v="12"/>
    <x v="1"/>
    <x v="17"/>
    <x v="247"/>
    <n v="454"/>
    <n v="3020"/>
    <m/>
    <s v="GIZ"/>
    <d v="2019-05-31T00:00:00"/>
    <n v="0"/>
    <s v="No"/>
    <n v="0"/>
    <n v="0"/>
    <n v="0"/>
    <n v="0"/>
    <n v="0"/>
    <n v="0"/>
    <n v="2"/>
    <m/>
    <m/>
    <m/>
    <m/>
    <m/>
    <m/>
    <m/>
    <n v="5"/>
    <n v="0"/>
    <m/>
    <m/>
    <n v="0"/>
    <x v="4"/>
    <x v="4"/>
    <m/>
    <m/>
    <m/>
    <n v="0"/>
    <m/>
    <n v="0"/>
    <n v="0"/>
    <n v="0"/>
    <m/>
    <m/>
    <x v="0"/>
    <m/>
    <m/>
    <m/>
    <m/>
    <s v="no test"/>
    <s v="no test"/>
    <x v="1"/>
    <n v="0"/>
    <n v="0"/>
    <n v="0"/>
    <n v="0"/>
    <n v="0"/>
    <n v="0"/>
    <n v="0"/>
    <n v="0"/>
    <n v="0"/>
    <n v="1"/>
    <n v="3020"/>
    <n v="6"/>
    <n v="6"/>
    <n v="5"/>
    <n v="9.9337748344370865E-3"/>
    <n v="30"/>
    <n v="0.98940397350993381"/>
    <n v="498"/>
    <n v="503"/>
    <n v="0"/>
    <s v="N/A"/>
    <n v="0"/>
    <n v="0"/>
    <n v="0"/>
    <n v="0"/>
    <n v="0"/>
    <n v="0"/>
    <n v="1"/>
    <n v="0"/>
    <n v="0"/>
    <n v="0"/>
    <n v="0"/>
    <n v="0"/>
    <n v="0"/>
    <n v="0"/>
    <n v="0"/>
    <n v="0"/>
    <x v="2"/>
    <x v="2"/>
    <x v="6"/>
    <x v="5"/>
    <n v="20.859569549560501"/>
    <n v="92.941146850585895"/>
    <s v="196823"/>
    <x v="0"/>
    <s v="CLTS Village"/>
  </r>
  <r>
    <x v="0"/>
    <x v="12"/>
    <x v="1"/>
    <x v="17"/>
    <x v="248"/>
    <n v="513"/>
    <n v="3224"/>
    <m/>
    <s v="GIZ"/>
    <d v="2019-05-31T00:00:00"/>
    <n v="0"/>
    <s v="No"/>
    <n v="0"/>
    <n v="0"/>
    <n v="0"/>
    <n v="0"/>
    <n v="0"/>
    <n v="0"/>
    <n v="0"/>
    <m/>
    <m/>
    <m/>
    <m/>
    <m/>
    <m/>
    <m/>
    <n v="0"/>
    <n v="0"/>
    <m/>
    <m/>
    <n v="0"/>
    <x v="3"/>
    <x v="2"/>
    <m/>
    <m/>
    <m/>
    <n v="0"/>
    <m/>
    <n v="0"/>
    <n v="0"/>
    <n v="0"/>
    <m/>
    <m/>
    <x v="0"/>
    <m/>
    <m/>
    <m/>
    <m/>
    <s v="no test"/>
    <s v="no test"/>
    <x v="1"/>
    <n v="0"/>
    <n v="0"/>
    <n v="0"/>
    <n v="0"/>
    <n v="0"/>
    <n v="0"/>
    <n v="0"/>
    <n v="0"/>
    <n v="0"/>
    <n v="1"/>
    <n v="3224"/>
    <n v="6"/>
    <n v="6"/>
    <n v="0"/>
    <n v="0"/>
    <n v="0"/>
    <n v="0.99937965260545902"/>
    <n v="537"/>
    <n v="537"/>
    <n v="0"/>
    <s v="N/A"/>
    <n v="0"/>
    <n v="0"/>
    <n v="0"/>
    <n v="0"/>
    <n v="0"/>
    <n v="0"/>
    <n v="1"/>
    <n v="0"/>
    <n v="0"/>
    <n v="0"/>
    <n v="0"/>
    <n v="0"/>
    <n v="0"/>
    <n v="0"/>
    <n v="0"/>
    <n v="0"/>
    <x v="2"/>
    <x v="2"/>
    <x v="6"/>
    <x v="5"/>
    <n v="20.864519119262699"/>
    <n v="92.940399169921903"/>
    <n v="196817"/>
    <x v="0"/>
    <s v="CLTS Village"/>
  </r>
  <r>
    <x v="0"/>
    <x v="12"/>
    <x v="1"/>
    <x v="17"/>
    <x v="249"/>
    <n v="168"/>
    <n v="1002"/>
    <m/>
    <s v="GIZ"/>
    <d v="2019-05-31T00:00:00"/>
    <n v="0"/>
    <s v="No"/>
    <n v="0"/>
    <n v="0"/>
    <n v="0"/>
    <n v="0"/>
    <n v="0"/>
    <n v="0"/>
    <n v="0"/>
    <m/>
    <m/>
    <m/>
    <m/>
    <m/>
    <m/>
    <m/>
    <n v="1"/>
    <n v="0"/>
    <m/>
    <m/>
    <n v="0"/>
    <x v="3"/>
    <x v="2"/>
    <m/>
    <m/>
    <m/>
    <n v="0"/>
    <m/>
    <n v="0"/>
    <n v="0"/>
    <n v="0"/>
    <m/>
    <m/>
    <x v="0"/>
    <m/>
    <m/>
    <m/>
    <m/>
    <s v="no test"/>
    <s v="no test"/>
    <x v="1"/>
    <n v="0"/>
    <n v="0"/>
    <n v="0"/>
    <n v="0"/>
    <n v="0"/>
    <n v="0"/>
    <n v="0"/>
    <n v="0"/>
    <n v="0"/>
    <n v="1"/>
    <n v="1002"/>
    <n v="2"/>
    <n v="2"/>
    <n v="1"/>
    <n v="5.9880239520958087E-3"/>
    <n v="6"/>
    <n v="0.99401197604790414"/>
    <n v="166"/>
    <n v="167"/>
    <n v="0"/>
    <s v="N/A"/>
    <n v="0"/>
    <n v="0"/>
    <n v="0"/>
    <n v="0"/>
    <n v="0"/>
    <n v="0"/>
    <n v="1"/>
    <n v="0"/>
    <n v="0"/>
    <n v="0"/>
    <n v="0"/>
    <n v="0"/>
    <n v="0"/>
    <n v="0"/>
    <n v="0"/>
    <n v="0"/>
    <x v="2"/>
    <x v="2"/>
    <x v="6"/>
    <x v="5"/>
    <n v="0"/>
    <n v="0"/>
    <n v="196818"/>
    <x v="0"/>
    <s v="CLTS Village"/>
  </r>
  <r>
    <x v="0"/>
    <x v="2"/>
    <x v="1"/>
    <x v="17"/>
    <x v="250"/>
    <n v="181"/>
    <n v="907"/>
    <m/>
    <m/>
    <m/>
    <m/>
    <s v="No"/>
    <n v="0"/>
    <n v="0"/>
    <n v="0"/>
    <n v="0"/>
    <m/>
    <m/>
    <n v="0"/>
    <m/>
    <m/>
    <m/>
    <m/>
    <m/>
    <m/>
    <m/>
    <n v="41"/>
    <m/>
    <m/>
    <m/>
    <n v="0"/>
    <x v="1"/>
    <x v="1"/>
    <m/>
    <m/>
    <m/>
    <n v="0"/>
    <m/>
    <n v="0"/>
    <m/>
    <n v="0"/>
    <m/>
    <m/>
    <x v="0"/>
    <m/>
    <m/>
    <m/>
    <m/>
    <s v="no test"/>
    <s v="no test"/>
    <x v="1"/>
    <n v="0"/>
    <n v="0"/>
    <n v="0"/>
    <n v="0"/>
    <n v="0"/>
    <n v="0"/>
    <n v="0"/>
    <n v="0"/>
    <n v="0"/>
    <n v="1"/>
    <n v="907"/>
    <n v="2"/>
    <n v="2"/>
    <n v="41"/>
    <n v="0.27122381477398017"/>
    <n v="246"/>
    <n v="0.72767364939360535"/>
    <n v="110"/>
    <n v="151"/>
    <n v="0"/>
    <s v="N/A"/>
    <n v="0"/>
    <n v="0"/>
    <n v="0"/>
    <n v="0"/>
    <n v="0"/>
    <n v="0"/>
    <n v="1"/>
    <n v="0"/>
    <n v="0"/>
    <n v="0"/>
    <n v="0"/>
    <n v="0"/>
    <n v="0"/>
    <n v="0"/>
    <n v="0"/>
    <n v="0"/>
    <x v="3"/>
    <x v="2"/>
    <x v="7"/>
    <x v="3"/>
    <n v="20.806400299072301"/>
    <n v="92.982147216796903"/>
    <s v="196873"/>
    <x v="1"/>
    <m/>
  </r>
  <r>
    <x v="0"/>
    <x v="12"/>
    <x v="1"/>
    <x v="17"/>
    <x v="251"/>
    <n v="173"/>
    <n v="867"/>
    <m/>
    <s v="GIZ"/>
    <d v="2019-05-31T00:00:00"/>
    <n v="20"/>
    <s v="No"/>
    <n v="0"/>
    <n v="0"/>
    <n v="0"/>
    <n v="0"/>
    <n v="0"/>
    <n v="0"/>
    <n v="0"/>
    <m/>
    <m/>
    <m/>
    <m/>
    <m/>
    <m/>
    <m/>
    <n v="17"/>
    <n v="0"/>
    <m/>
    <m/>
    <n v="0"/>
    <x v="3"/>
    <x v="2"/>
    <m/>
    <m/>
    <m/>
    <n v="0"/>
    <m/>
    <n v="0"/>
    <n v="0"/>
    <n v="0"/>
    <m/>
    <m/>
    <x v="0"/>
    <m/>
    <m/>
    <m/>
    <m/>
    <s v="no test"/>
    <s v="no test"/>
    <x v="1"/>
    <n v="0"/>
    <n v="0"/>
    <n v="0"/>
    <n v="0"/>
    <n v="0"/>
    <n v="0"/>
    <n v="0"/>
    <n v="0"/>
    <n v="0"/>
    <n v="1"/>
    <n v="867"/>
    <n v="2"/>
    <n v="2"/>
    <n v="17"/>
    <n v="0.11764705882352941"/>
    <n v="102"/>
    <n v="0.88581314878892736"/>
    <n v="128"/>
    <n v="145"/>
    <n v="0"/>
    <s v="N/A"/>
    <n v="0"/>
    <n v="0"/>
    <n v="0"/>
    <n v="0"/>
    <n v="0"/>
    <n v="0"/>
    <n v="1"/>
    <n v="0"/>
    <n v="0"/>
    <n v="0"/>
    <n v="0"/>
    <n v="0"/>
    <n v="0"/>
    <n v="0"/>
    <n v="0"/>
    <n v="0"/>
    <x v="3"/>
    <x v="2"/>
    <x v="10"/>
    <x v="5"/>
    <n v="20.587142"/>
    <n v="93.258573999999996"/>
    <s v="MMR012CMP005"/>
    <x v="0"/>
    <s v="CLTS Village"/>
  </r>
  <r>
    <x v="0"/>
    <x v="12"/>
    <x v="1"/>
    <x v="17"/>
    <x v="252"/>
    <n v="90"/>
    <n v="375"/>
    <m/>
    <s v="GIZ"/>
    <d v="2019-05-31T00:00:00"/>
    <n v="0"/>
    <s v="No"/>
    <n v="0"/>
    <n v="0"/>
    <m/>
    <m/>
    <m/>
    <m/>
    <m/>
    <m/>
    <m/>
    <m/>
    <m/>
    <m/>
    <m/>
    <m/>
    <m/>
    <m/>
    <m/>
    <m/>
    <m/>
    <x v="1"/>
    <x v="1"/>
    <m/>
    <m/>
    <m/>
    <m/>
    <m/>
    <m/>
    <m/>
    <m/>
    <m/>
    <m/>
    <x v="0"/>
    <m/>
    <m/>
    <m/>
    <m/>
    <s v="no test"/>
    <s v="no test"/>
    <x v="1"/>
    <n v="0"/>
    <n v="0"/>
    <n v="0"/>
    <n v="0"/>
    <n v="0"/>
    <n v="0"/>
    <n v="0"/>
    <n v="0"/>
    <n v="0"/>
    <n v="1"/>
    <n v="375"/>
    <n v="1"/>
    <n v="1"/>
    <n v="0"/>
    <n v="0"/>
    <n v="0"/>
    <n v="1"/>
    <n v="63"/>
    <n v="63"/>
    <n v="0"/>
    <s v="N/A"/>
    <n v="0"/>
    <n v="0"/>
    <n v="0"/>
    <n v="0"/>
    <n v="0"/>
    <n v="0"/>
    <n v="1"/>
    <n v="0"/>
    <n v="0"/>
    <n v="0"/>
    <n v="0"/>
    <n v="0"/>
    <n v="0"/>
    <n v="0"/>
    <n v="0"/>
    <n v="0"/>
    <x v="2"/>
    <x v="2"/>
    <x v="6"/>
    <x v="3"/>
    <n v="20.8037109375"/>
    <n v="92.946136474609403"/>
    <s v="196886"/>
    <x v="0"/>
    <s v="CLTS Village"/>
  </r>
  <r>
    <x v="0"/>
    <x v="12"/>
    <x v="1"/>
    <x v="17"/>
    <x v="253"/>
    <n v="132"/>
    <n v="677"/>
    <m/>
    <s v="MHF"/>
    <d v="2019-09-30T00:00:00"/>
    <n v="30"/>
    <s v="No"/>
    <n v="0"/>
    <n v="0"/>
    <n v="0"/>
    <n v="0"/>
    <n v="0"/>
    <n v="0"/>
    <m/>
    <m/>
    <m/>
    <m/>
    <m/>
    <m/>
    <m/>
    <m/>
    <m/>
    <m/>
    <m/>
    <m/>
    <m/>
    <x v="1"/>
    <x v="1"/>
    <m/>
    <m/>
    <m/>
    <n v="0"/>
    <m/>
    <n v="0"/>
    <n v="0"/>
    <m/>
    <m/>
    <m/>
    <x v="0"/>
    <m/>
    <m/>
    <m/>
    <m/>
    <s v="no test"/>
    <s v="no test"/>
    <x v="1"/>
    <n v="0"/>
    <n v="0"/>
    <n v="0"/>
    <n v="0"/>
    <n v="0"/>
    <n v="0"/>
    <n v="0"/>
    <n v="0"/>
    <n v="0"/>
    <n v="1"/>
    <n v="677"/>
    <n v="1"/>
    <n v="1"/>
    <n v="0"/>
    <n v="0"/>
    <n v="0"/>
    <n v="1"/>
    <n v="113"/>
    <n v="113"/>
    <n v="0"/>
    <s v="N/A"/>
    <n v="0"/>
    <n v="0"/>
    <n v="0"/>
    <n v="0"/>
    <n v="0"/>
    <n v="0"/>
    <n v="1"/>
    <n v="0"/>
    <n v="0"/>
    <n v="0"/>
    <n v="0"/>
    <n v="0"/>
    <n v="0"/>
    <n v="0"/>
    <n v="0"/>
    <n v="0"/>
    <x v="3"/>
    <x v="2"/>
    <x v="7"/>
    <x v="8"/>
    <n v="20.760820388793899"/>
    <n v="92.9600830078125"/>
    <n v="196893"/>
    <x v="0"/>
    <m/>
  </r>
  <r>
    <x v="0"/>
    <x v="12"/>
    <x v="1"/>
    <x v="17"/>
    <x v="254"/>
    <n v="73"/>
    <n v="306"/>
    <m/>
    <s v="GIZ"/>
    <d v="2019-05-31T00:00:00"/>
    <n v="0"/>
    <s v="No"/>
    <n v="0"/>
    <n v="0"/>
    <n v="0"/>
    <n v="0"/>
    <n v="0"/>
    <n v="0"/>
    <n v="0"/>
    <m/>
    <m/>
    <m/>
    <m/>
    <m/>
    <m/>
    <m/>
    <n v="0"/>
    <n v="0"/>
    <m/>
    <m/>
    <n v="0"/>
    <x v="3"/>
    <x v="2"/>
    <m/>
    <m/>
    <m/>
    <n v="0"/>
    <m/>
    <n v="0"/>
    <n v="0"/>
    <n v="0"/>
    <m/>
    <m/>
    <x v="0"/>
    <m/>
    <m/>
    <m/>
    <m/>
    <s v="no test"/>
    <s v="no test"/>
    <x v="1"/>
    <n v="0"/>
    <n v="0"/>
    <n v="0"/>
    <n v="0"/>
    <n v="0"/>
    <n v="0"/>
    <n v="0"/>
    <n v="0"/>
    <n v="0"/>
    <n v="1"/>
    <n v="306"/>
    <n v="1"/>
    <n v="1"/>
    <n v="0"/>
    <n v="0"/>
    <n v="0"/>
    <n v="1"/>
    <n v="51"/>
    <n v="51"/>
    <n v="0"/>
    <s v="N/A"/>
    <n v="0"/>
    <n v="0"/>
    <n v="0"/>
    <n v="0"/>
    <n v="0"/>
    <n v="0"/>
    <n v="1"/>
    <n v="0"/>
    <n v="0"/>
    <n v="0"/>
    <n v="0"/>
    <n v="0"/>
    <n v="0"/>
    <n v="0"/>
    <n v="0"/>
    <n v="0"/>
    <x v="2"/>
    <x v="2"/>
    <x v="6"/>
    <x v="3"/>
    <n v="0"/>
    <n v="0"/>
    <n v="0"/>
    <x v="0"/>
    <s v="CLTS Village"/>
  </r>
  <r>
    <x v="0"/>
    <x v="13"/>
    <x v="1"/>
    <x v="17"/>
    <x v="255"/>
    <n v="56"/>
    <n v="237"/>
    <n v="38"/>
    <s v="LDS"/>
    <d v="2018-09-30T00:00:00"/>
    <m/>
    <s v="No"/>
    <n v="0"/>
    <n v="0"/>
    <n v="0"/>
    <n v="0"/>
    <m/>
    <m/>
    <n v="0"/>
    <m/>
    <m/>
    <m/>
    <m/>
    <m/>
    <m/>
    <m/>
    <n v="73"/>
    <m/>
    <m/>
    <m/>
    <n v="0"/>
    <x v="1"/>
    <x v="1"/>
    <m/>
    <m/>
    <m/>
    <n v="0"/>
    <m/>
    <n v="0"/>
    <m/>
    <n v="0"/>
    <m/>
    <m/>
    <x v="0"/>
    <m/>
    <m/>
    <m/>
    <m/>
    <s v="no test"/>
    <s v="no test"/>
    <x v="1"/>
    <n v="0"/>
    <n v="0"/>
    <n v="0"/>
    <n v="0"/>
    <n v="0"/>
    <n v="0"/>
    <n v="0"/>
    <n v="0"/>
    <n v="0"/>
    <n v="1"/>
    <n v="237"/>
    <n v="1"/>
    <n v="1"/>
    <n v="73"/>
    <n v="1"/>
    <n v="237"/>
    <n v="0"/>
    <n v="0"/>
    <n v="40"/>
    <n v="0"/>
    <s v="N/A"/>
    <n v="0"/>
    <n v="0"/>
    <n v="0"/>
    <n v="0"/>
    <n v="0"/>
    <n v="0"/>
    <n v="1"/>
    <n v="0"/>
    <n v="0"/>
    <n v="0"/>
    <n v="0"/>
    <n v="0"/>
    <n v="0"/>
    <n v="0"/>
    <n v="0"/>
    <n v="0"/>
    <x v="3"/>
    <x v="2"/>
    <x v="7"/>
    <x v="8"/>
    <n v="20.860509872436499"/>
    <n v="92.966751098632798"/>
    <n v="196828"/>
    <x v="0"/>
    <m/>
  </r>
  <r>
    <x v="0"/>
    <x v="14"/>
    <x v="1"/>
    <x v="17"/>
    <x v="256"/>
    <n v="144"/>
    <n v="919"/>
    <n v="286"/>
    <s v="MHF,LDS"/>
    <s v="9/30/2019,9/30/2018"/>
    <n v="30"/>
    <s v="No"/>
    <n v="0"/>
    <n v="0"/>
    <n v="0"/>
    <n v="0"/>
    <n v="0"/>
    <n v="0"/>
    <m/>
    <m/>
    <m/>
    <m/>
    <m/>
    <m/>
    <m/>
    <m/>
    <n v="73"/>
    <m/>
    <m/>
    <m/>
    <m/>
    <x v="1"/>
    <x v="1"/>
    <m/>
    <m/>
    <m/>
    <n v="0"/>
    <m/>
    <n v="0"/>
    <n v="0"/>
    <m/>
    <m/>
    <m/>
    <x v="0"/>
    <m/>
    <m/>
    <m/>
    <m/>
    <s v="no test"/>
    <s v="no test"/>
    <x v="1"/>
    <n v="0"/>
    <n v="0"/>
    <n v="0"/>
    <n v="0"/>
    <n v="0"/>
    <n v="0"/>
    <n v="0"/>
    <n v="0"/>
    <n v="0"/>
    <n v="1"/>
    <n v="919"/>
    <n v="2"/>
    <n v="2"/>
    <n v="73"/>
    <n v="0.47660500544069639"/>
    <n v="438"/>
    <n v="0.52230685527747556"/>
    <n v="80"/>
    <n v="153"/>
    <n v="0"/>
    <s v="N/A"/>
    <n v="0"/>
    <n v="0"/>
    <n v="0"/>
    <n v="0"/>
    <n v="0"/>
    <n v="0"/>
    <n v="1"/>
    <n v="0"/>
    <n v="0"/>
    <n v="0"/>
    <n v="0"/>
    <n v="0"/>
    <n v="0"/>
    <n v="0"/>
    <n v="0"/>
    <n v="0"/>
    <x v="3"/>
    <x v="2"/>
    <x v="10"/>
    <x v="5"/>
    <n v="20.727589999999999"/>
    <n v="92.969350000000006"/>
    <s v="MMR012CMP028"/>
    <x v="0"/>
    <m/>
  </r>
  <r>
    <x v="0"/>
    <x v="2"/>
    <x v="1"/>
    <x v="17"/>
    <x v="257"/>
    <n v="139"/>
    <n v="695"/>
    <m/>
    <m/>
    <m/>
    <m/>
    <s v="No"/>
    <n v="0"/>
    <n v="0"/>
    <n v="0"/>
    <n v="0"/>
    <m/>
    <m/>
    <n v="0"/>
    <m/>
    <m/>
    <m/>
    <m/>
    <m/>
    <m/>
    <m/>
    <n v="73"/>
    <m/>
    <m/>
    <m/>
    <n v="0"/>
    <x v="1"/>
    <x v="1"/>
    <m/>
    <m/>
    <m/>
    <n v="0"/>
    <m/>
    <n v="0"/>
    <m/>
    <n v="0"/>
    <m/>
    <m/>
    <x v="0"/>
    <m/>
    <m/>
    <m/>
    <m/>
    <s v="no test"/>
    <s v="no test"/>
    <x v="1"/>
    <n v="0"/>
    <n v="0"/>
    <n v="0"/>
    <n v="0"/>
    <n v="0"/>
    <n v="0"/>
    <n v="0"/>
    <n v="0"/>
    <n v="0"/>
    <n v="1"/>
    <n v="695"/>
    <n v="1"/>
    <n v="1"/>
    <n v="73"/>
    <n v="0.63021582733812953"/>
    <n v="438"/>
    <n v="0.37122302158273385"/>
    <n v="43"/>
    <n v="116"/>
    <n v="0"/>
    <s v="N/A"/>
    <n v="0"/>
    <n v="0"/>
    <n v="0"/>
    <n v="0"/>
    <n v="0"/>
    <n v="0"/>
    <n v="1"/>
    <n v="0"/>
    <n v="0"/>
    <n v="0"/>
    <n v="0"/>
    <n v="0"/>
    <n v="0"/>
    <n v="0"/>
    <n v="0"/>
    <n v="0"/>
    <x v="3"/>
    <x v="2"/>
    <x v="7"/>
    <x v="3"/>
    <n v="20.723630905151399"/>
    <n v="92.974327087402301"/>
    <s v="196951"/>
    <x v="1"/>
    <m/>
  </r>
  <r>
    <x v="0"/>
    <x v="11"/>
    <x v="1"/>
    <x v="19"/>
    <x v="258"/>
    <n v="113"/>
    <n v="420"/>
    <m/>
    <s v="UNICEF"/>
    <d v="2018-02-14T00:00:00"/>
    <n v="0"/>
    <m/>
    <m/>
    <m/>
    <n v="3"/>
    <n v="0"/>
    <n v="0"/>
    <n v="2"/>
    <n v="1"/>
    <m/>
    <m/>
    <m/>
    <m/>
    <m/>
    <m/>
    <m/>
    <n v="0"/>
    <n v="0"/>
    <m/>
    <m/>
    <n v="0"/>
    <x v="4"/>
    <x v="4"/>
    <m/>
    <m/>
    <m/>
    <n v="0"/>
    <s v="Household"/>
    <n v="0"/>
    <n v="0"/>
    <n v="5"/>
    <n v="120"/>
    <n v="120"/>
    <x v="0"/>
    <m/>
    <m/>
    <m/>
    <m/>
    <s v="no test"/>
    <s v="no test"/>
    <x v="1"/>
    <n v="1"/>
    <n v="1"/>
    <n v="1"/>
    <n v="420"/>
    <n v="1"/>
    <n v="420"/>
    <n v="1"/>
    <n v="420"/>
    <n v="1"/>
    <n v="0"/>
    <n v="0"/>
    <n v="0"/>
    <n v="1"/>
    <n v="0"/>
    <n v="0"/>
    <n v="0"/>
    <n v="1"/>
    <n v="70"/>
    <n v="70"/>
    <n v="0"/>
    <s v="N/A"/>
    <n v="420"/>
    <n v="1"/>
    <n v="1"/>
    <n v="1"/>
    <n v="420"/>
    <n v="1"/>
    <n v="0"/>
    <n v="1"/>
    <n v="1"/>
    <n v="1"/>
    <n v="600"/>
    <n v="600"/>
    <n v="600"/>
    <n v="0"/>
    <n v="0"/>
    <n v="0"/>
    <x v="3"/>
    <x v="2"/>
    <x v="7"/>
    <x v="3"/>
    <n v="20.910375595092798"/>
    <n v="92.400138854980497"/>
    <n v="220734"/>
    <x v="0"/>
    <m/>
  </r>
  <r>
    <x v="0"/>
    <x v="11"/>
    <x v="1"/>
    <x v="19"/>
    <x v="259"/>
    <n v="41"/>
    <n v="200"/>
    <m/>
    <s v="UNICEF"/>
    <d v="2018-08-31T00:00:00"/>
    <n v="0"/>
    <m/>
    <m/>
    <m/>
    <n v="0"/>
    <n v="0"/>
    <n v="0"/>
    <n v="0"/>
    <n v="1"/>
    <m/>
    <m/>
    <m/>
    <m/>
    <m/>
    <m/>
    <m/>
    <m/>
    <m/>
    <m/>
    <m/>
    <n v="4"/>
    <x v="4"/>
    <x v="4"/>
    <m/>
    <m/>
    <m/>
    <n v="0"/>
    <s v="Household"/>
    <n v="0"/>
    <n v="0"/>
    <n v="5"/>
    <n v="41"/>
    <n v="41"/>
    <x v="0"/>
    <m/>
    <m/>
    <m/>
    <m/>
    <s v="no test"/>
    <s v="no test"/>
    <x v="1"/>
    <n v="0"/>
    <n v="0"/>
    <n v="0"/>
    <n v="0"/>
    <n v="0"/>
    <n v="0"/>
    <n v="0"/>
    <n v="0"/>
    <n v="0"/>
    <n v="1"/>
    <n v="200"/>
    <n v="1"/>
    <n v="1"/>
    <n v="0"/>
    <n v="0"/>
    <n v="0"/>
    <n v="0.98999999999999988"/>
    <n v="33"/>
    <n v="33"/>
    <n v="0"/>
    <s v="N/A"/>
    <n v="200"/>
    <n v="1"/>
    <n v="1"/>
    <n v="1"/>
    <n v="200"/>
    <n v="1"/>
    <n v="0"/>
    <n v="1"/>
    <n v="1"/>
    <n v="1"/>
    <n v="205"/>
    <n v="205"/>
    <n v="205"/>
    <n v="0"/>
    <n v="0"/>
    <n v="0"/>
    <x v="3"/>
    <x v="2"/>
    <x v="7"/>
    <x v="3"/>
    <n v="20.473930358886701"/>
    <n v="92.668853759765597"/>
    <n v="197631"/>
    <x v="0"/>
    <m/>
  </r>
  <r>
    <x v="0"/>
    <x v="11"/>
    <x v="1"/>
    <x v="19"/>
    <x v="260"/>
    <n v="104"/>
    <n v="521"/>
    <m/>
    <s v="UNICEF"/>
    <d v="2018-02-14T00:00:00"/>
    <n v="0"/>
    <m/>
    <m/>
    <m/>
    <n v="0"/>
    <n v="0"/>
    <n v="0"/>
    <n v="1"/>
    <n v="1"/>
    <m/>
    <m/>
    <m/>
    <m/>
    <m/>
    <m/>
    <m/>
    <n v="3"/>
    <n v="0"/>
    <m/>
    <m/>
    <n v="3"/>
    <x v="4"/>
    <x v="4"/>
    <m/>
    <m/>
    <m/>
    <n v="0"/>
    <s v="Household"/>
    <n v="0"/>
    <n v="0"/>
    <n v="5"/>
    <n v="104"/>
    <n v="104"/>
    <x v="0"/>
    <m/>
    <m/>
    <m/>
    <m/>
    <s v="no test"/>
    <s v="no test"/>
    <x v="1"/>
    <n v="0"/>
    <n v="0"/>
    <n v="0"/>
    <n v="0"/>
    <n v="0.47984644913627639"/>
    <n v="250"/>
    <n v="0.47984644913627639"/>
    <n v="250"/>
    <n v="1"/>
    <n v="0.52015355086372361"/>
    <n v="271"/>
    <n v="0"/>
    <n v="1"/>
    <n v="3"/>
    <n v="3.4548944337811902E-2"/>
    <n v="18"/>
    <n v="0.9673704414587333"/>
    <n v="84"/>
    <n v="87"/>
    <n v="0"/>
    <s v="N/A"/>
    <n v="521"/>
    <n v="1"/>
    <n v="1"/>
    <n v="1"/>
    <n v="521"/>
    <n v="1"/>
    <n v="0"/>
    <n v="1"/>
    <n v="1"/>
    <n v="1"/>
    <n v="520"/>
    <n v="520"/>
    <n v="520"/>
    <n v="0"/>
    <n v="0"/>
    <n v="0"/>
    <x v="3"/>
    <x v="2"/>
    <x v="7"/>
    <x v="3"/>
    <n v="20.987419128418001"/>
    <n v="92.362136840820298"/>
    <n v="197913"/>
    <x v="0"/>
    <m/>
  </r>
  <r>
    <x v="0"/>
    <x v="11"/>
    <x v="1"/>
    <x v="19"/>
    <x v="261"/>
    <n v="153"/>
    <n v="1290"/>
    <m/>
    <s v="UNICEF"/>
    <d v="2018-08-31T00:00:00"/>
    <n v="0"/>
    <m/>
    <m/>
    <m/>
    <n v="0"/>
    <n v="0"/>
    <n v="0"/>
    <n v="0"/>
    <n v="1"/>
    <m/>
    <m/>
    <m/>
    <m/>
    <m/>
    <m/>
    <m/>
    <m/>
    <m/>
    <m/>
    <m/>
    <n v="2"/>
    <x v="4"/>
    <x v="4"/>
    <m/>
    <m/>
    <m/>
    <n v="0"/>
    <s v="Household"/>
    <n v="0"/>
    <n v="0"/>
    <n v="5"/>
    <n v="153"/>
    <n v="153"/>
    <x v="0"/>
    <m/>
    <m/>
    <m/>
    <m/>
    <s v="no test"/>
    <s v="no test"/>
    <x v="1"/>
    <n v="0"/>
    <n v="0"/>
    <n v="0"/>
    <n v="0"/>
    <n v="0"/>
    <n v="0"/>
    <n v="0"/>
    <n v="0"/>
    <n v="0"/>
    <n v="1"/>
    <n v="1290"/>
    <n v="3"/>
    <n v="3"/>
    <n v="0"/>
    <n v="0"/>
    <n v="0"/>
    <n v="1"/>
    <n v="215"/>
    <n v="215"/>
    <n v="0"/>
    <s v="N/A"/>
    <n v="1290"/>
    <n v="1"/>
    <n v="1"/>
    <n v="1"/>
    <n v="1290"/>
    <n v="1"/>
    <n v="0"/>
    <n v="1"/>
    <n v="1"/>
    <n v="1"/>
    <n v="765"/>
    <n v="765"/>
    <n v="765"/>
    <n v="0"/>
    <n v="0"/>
    <n v="0"/>
    <x v="3"/>
    <x v="2"/>
    <x v="7"/>
    <x v="5"/>
    <n v="20.866529464721701"/>
    <n v="92.364883422851605"/>
    <n v="197969"/>
    <x v="0"/>
    <m/>
  </r>
  <r>
    <x v="0"/>
    <x v="15"/>
    <x v="1"/>
    <x v="19"/>
    <x v="262"/>
    <n v="210"/>
    <n v="694"/>
    <m/>
    <s v="German (AA/BMZ)"/>
    <d v="2020-10-30T00:00:00"/>
    <n v="2"/>
    <s v="NA"/>
    <s v="NA"/>
    <s v="NA"/>
    <m/>
    <m/>
    <m/>
    <m/>
    <m/>
    <m/>
    <m/>
    <m/>
    <m/>
    <m/>
    <m/>
    <m/>
    <m/>
    <m/>
    <m/>
    <m/>
    <m/>
    <x v="2"/>
    <x v="3"/>
    <m/>
    <m/>
    <m/>
    <m/>
    <m/>
    <m/>
    <m/>
    <m/>
    <n v="138"/>
    <n v="138"/>
    <x v="0"/>
    <m/>
    <m/>
    <m/>
    <m/>
    <s v="no test"/>
    <s v="no test"/>
    <x v="1"/>
    <n v="0"/>
    <n v="0"/>
    <n v="0"/>
    <n v="0"/>
    <n v="0"/>
    <n v="0"/>
    <n v="0"/>
    <n v="0"/>
    <n v="0"/>
    <n v="1"/>
    <n v="694"/>
    <n v="1"/>
    <n v="1"/>
    <n v="0"/>
    <n v="0"/>
    <n v="0"/>
    <n v="1"/>
    <n v="116"/>
    <n v="116"/>
    <n v="0"/>
    <s v="N/A"/>
    <n v="0"/>
    <n v="0"/>
    <n v="0"/>
    <n v="0"/>
    <n v="0"/>
    <n v="0"/>
    <n v="1"/>
    <n v="0"/>
    <n v="0.65714285714285714"/>
    <n v="0.65714285714285714"/>
    <n v="690"/>
    <n v="690"/>
    <n v="690"/>
    <n v="0"/>
    <n v="0"/>
    <n v="0"/>
    <x v="3"/>
    <x v="2"/>
    <x v="7"/>
    <x v="5"/>
    <n v="21.012830734252901"/>
    <n v="92.338958740234403"/>
    <n v="197878"/>
    <x v="0"/>
    <m/>
  </r>
  <r>
    <x v="0"/>
    <x v="11"/>
    <x v="1"/>
    <x v="19"/>
    <x v="263"/>
    <n v="350"/>
    <n v="1711"/>
    <m/>
    <s v="UNICEF"/>
    <d v="2018-08-31T00:00:00"/>
    <n v="0"/>
    <m/>
    <m/>
    <m/>
    <n v="0"/>
    <n v="0"/>
    <n v="0"/>
    <n v="0"/>
    <n v="1"/>
    <m/>
    <m/>
    <m/>
    <m/>
    <m/>
    <m/>
    <m/>
    <m/>
    <m/>
    <m/>
    <m/>
    <n v="12"/>
    <x v="4"/>
    <x v="4"/>
    <m/>
    <m/>
    <m/>
    <n v="0"/>
    <s v="Household"/>
    <n v="0"/>
    <n v="0"/>
    <n v="5"/>
    <n v="350"/>
    <n v="350"/>
    <x v="0"/>
    <m/>
    <m/>
    <m/>
    <m/>
    <s v="no test"/>
    <s v="no test"/>
    <x v="1"/>
    <n v="0"/>
    <n v="0"/>
    <n v="0"/>
    <n v="0"/>
    <n v="0"/>
    <n v="0"/>
    <n v="0"/>
    <n v="0"/>
    <n v="0"/>
    <n v="1"/>
    <n v="1711"/>
    <n v="3"/>
    <n v="3"/>
    <n v="0"/>
    <n v="0"/>
    <n v="0"/>
    <n v="0.99941554646405606"/>
    <n v="285"/>
    <n v="285"/>
    <n v="0"/>
    <s v="N/A"/>
    <n v="1711"/>
    <n v="1"/>
    <n v="1"/>
    <n v="1"/>
    <n v="1711"/>
    <n v="1"/>
    <n v="0"/>
    <n v="1"/>
    <n v="1"/>
    <n v="1"/>
    <n v="1750"/>
    <n v="1750"/>
    <n v="1750"/>
    <n v="0"/>
    <n v="0"/>
    <n v="0"/>
    <x v="3"/>
    <x v="2"/>
    <x v="7"/>
    <x v="5"/>
    <n v="20.903369903564499"/>
    <n v="92.332237243652301"/>
    <n v="197961"/>
    <x v="0"/>
    <m/>
  </r>
  <r>
    <x v="0"/>
    <x v="11"/>
    <x v="1"/>
    <x v="19"/>
    <x v="264"/>
    <n v="79"/>
    <n v="334"/>
    <m/>
    <s v="UNICEF"/>
    <d v="2018-02-14T00:00:00"/>
    <n v="0"/>
    <m/>
    <m/>
    <m/>
    <n v="1"/>
    <n v="25"/>
    <n v="0"/>
    <n v="5"/>
    <n v="1"/>
    <m/>
    <m/>
    <m/>
    <m/>
    <m/>
    <m/>
    <m/>
    <n v="5"/>
    <n v="0"/>
    <m/>
    <m/>
    <n v="5"/>
    <x v="4"/>
    <x v="4"/>
    <m/>
    <m/>
    <m/>
    <n v="0"/>
    <s v="Household"/>
    <n v="0"/>
    <n v="0"/>
    <n v="5"/>
    <n v="79"/>
    <n v="79"/>
    <x v="0"/>
    <m/>
    <m/>
    <m/>
    <m/>
    <s v="no test"/>
    <s v="no test"/>
    <x v="1"/>
    <n v="1"/>
    <n v="1"/>
    <n v="1"/>
    <n v="334"/>
    <n v="1"/>
    <n v="334"/>
    <n v="1"/>
    <n v="334"/>
    <n v="1"/>
    <n v="0"/>
    <n v="0"/>
    <n v="0"/>
    <n v="1"/>
    <n v="5"/>
    <n v="8.9820359281437126E-2"/>
    <n v="30"/>
    <n v="0.91616766467065869"/>
    <n v="51"/>
    <n v="56"/>
    <n v="0"/>
    <s v="N/A"/>
    <n v="334"/>
    <n v="1"/>
    <n v="1"/>
    <n v="1"/>
    <n v="334"/>
    <n v="1"/>
    <n v="0"/>
    <n v="1"/>
    <n v="1"/>
    <n v="1"/>
    <n v="395"/>
    <n v="395"/>
    <n v="395"/>
    <n v="0"/>
    <n v="0"/>
    <n v="0"/>
    <x v="3"/>
    <x v="2"/>
    <x v="7"/>
    <x v="3"/>
    <n v="21.007270812988299"/>
    <n v="92.3585205078125"/>
    <n v="197910"/>
    <x v="0"/>
    <m/>
  </r>
  <r>
    <x v="0"/>
    <x v="11"/>
    <x v="1"/>
    <x v="19"/>
    <x v="265"/>
    <n v="220"/>
    <n v="1442"/>
    <m/>
    <s v="UNICEF"/>
    <d v="2018-08-31T00:00:00"/>
    <n v="0"/>
    <m/>
    <m/>
    <m/>
    <n v="0"/>
    <n v="0"/>
    <n v="0"/>
    <n v="0"/>
    <n v="1"/>
    <m/>
    <m/>
    <m/>
    <m/>
    <m/>
    <m/>
    <m/>
    <m/>
    <m/>
    <m/>
    <m/>
    <n v="18"/>
    <x v="4"/>
    <x v="4"/>
    <m/>
    <m/>
    <m/>
    <n v="0"/>
    <s v="Household"/>
    <n v="0"/>
    <n v="0"/>
    <n v="5"/>
    <n v="220"/>
    <n v="220"/>
    <x v="0"/>
    <m/>
    <m/>
    <m/>
    <m/>
    <s v="no test"/>
    <s v="no test"/>
    <x v="1"/>
    <n v="0"/>
    <n v="0"/>
    <n v="0"/>
    <n v="0"/>
    <n v="0"/>
    <n v="0"/>
    <n v="0"/>
    <n v="0"/>
    <n v="0"/>
    <n v="1"/>
    <n v="1442"/>
    <n v="3"/>
    <n v="3"/>
    <n v="0"/>
    <n v="0"/>
    <n v="0"/>
    <n v="0.9986130374479889"/>
    <n v="240"/>
    <n v="240"/>
    <n v="0"/>
    <s v="N/A"/>
    <n v="1442"/>
    <n v="1"/>
    <n v="1"/>
    <n v="1"/>
    <n v="1442"/>
    <n v="1"/>
    <n v="0"/>
    <n v="1"/>
    <n v="1"/>
    <n v="1"/>
    <n v="1100"/>
    <n v="1100"/>
    <n v="1100"/>
    <n v="0"/>
    <n v="0"/>
    <n v="0"/>
    <x v="3"/>
    <x v="2"/>
    <x v="7"/>
    <x v="5"/>
    <n v="20.872400283813501"/>
    <n v="92.337608337402301"/>
    <n v="197971"/>
    <x v="0"/>
    <m/>
  </r>
  <r>
    <x v="0"/>
    <x v="15"/>
    <x v="1"/>
    <x v="19"/>
    <x v="266"/>
    <n v="87"/>
    <n v="412"/>
    <m/>
    <s v="German (AA/BMZ)"/>
    <d v="2020-10-30T00:00:00"/>
    <n v="2"/>
    <s v="NA"/>
    <s v="NA"/>
    <s v="NA"/>
    <m/>
    <m/>
    <m/>
    <m/>
    <m/>
    <m/>
    <m/>
    <m/>
    <m/>
    <m/>
    <m/>
    <m/>
    <m/>
    <m/>
    <m/>
    <m/>
    <m/>
    <x v="2"/>
    <x v="3"/>
    <m/>
    <m/>
    <m/>
    <m/>
    <m/>
    <m/>
    <m/>
    <m/>
    <m/>
    <m/>
    <x v="0"/>
    <m/>
    <m/>
    <m/>
    <m/>
    <s v="no test"/>
    <s v="no test"/>
    <x v="1"/>
    <n v="0"/>
    <n v="0"/>
    <n v="0"/>
    <n v="0"/>
    <n v="0"/>
    <n v="0"/>
    <n v="0"/>
    <n v="0"/>
    <n v="0"/>
    <n v="1"/>
    <n v="412"/>
    <n v="1"/>
    <n v="1"/>
    <n v="0"/>
    <n v="0"/>
    <n v="0"/>
    <n v="1"/>
    <n v="69"/>
    <n v="69"/>
    <n v="0"/>
    <s v="N/A"/>
    <n v="0"/>
    <n v="0"/>
    <n v="0"/>
    <n v="0"/>
    <n v="0"/>
    <n v="0"/>
    <n v="1"/>
    <n v="0"/>
    <n v="0"/>
    <n v="0"/>
    <n v="0"/>
    <n v="0"/>
    <n v="0"/>
    <n v="0"/>
    <n v="0"/>
    <n v="0"/>
    <x v="3"/>
    <x v="2"/>
    <x v="7"/>
    <x v="3"/>
    <n v="21.2182006835938"/>
    <n v="92.323173522949205"/>
    <n v="197830"/>
    <x v="0"/>
    <m/>
  </r>
  <r>
    <x v="0"/>
    <x v="11"/>
    <x v="1"/>
    <x v="19"/>
    <x v="267"/>
    <n v="115"/>
    <n v="700"/>
    <m/>
    <s v="UNICEF"/>
    <d v="2018-08-31T00:00:00"/>
    <n v="0"/>
    <m/>
    <m/>
    <m/>
    <n v="0"/>
    <n v="0"/>
    <n v="0"/>
    <n v="0"/>
    <n v="1"/>
    <m/>
    <m/>
    <m/>
    <m/>
    <m/>
    <m/>
    <m/>
    <m/>
    <m/>
    <m/>
    <m/>
    <n v="3"/>
    <x v="4"/>
    <x v="4"/>
    <m/>
    <m/>
    <m/>
    <n v="0"/>
    <s v="Household"/>
    <n v="0"/>
    <n v="0"/>
    <n v="5"/>
    <n v="115"/>
    <n v="115"/>
    <x v="0"/>
    <m/>
    <m/>
    <m/>
    <m/>
    <s v="no test"/>
    <s v="no test"/>
    <x v="1"/>
    <n v="0"/>
    <n v="0"/>
    <n v="0"/>
    <n v="0"/>
    <n v="0"/>
    <n v="0"/>
    <n v="0"/>
    <n v="0"/>
    <n v="0"/>
    <n v="1"/>
    <n v="700"/>
    <n v="1"/>
    <n v="1"/>
    <n v="0"/>
    <n v="0"/>
    <n v="0"/>
    <n v="1"/>
    <n v="117"/>
    <n v="117"/>
    <n v="0"/>
    <s v="N/A"/>
    <n v="700"/>
    <n v="1"/>
    <n v="1"/>
    <n v="1"/>
    <n v="700"/>
    <n v="1"/>
    <n v="0"/>
    <n v="1"/>
    <n v="1"/>
    <n v="1"/>
    <n v="575"/>
    <n v="575"/>
    <n v="575"/>
    <n v="0"/>
    <n v="0"/>
    <n v="0"/>
    <x v="3"/>
    <x v="2"/>
    <x v="7"/>
    <x v="3"/>
    <n v="20.731571197509801"/>
    <n v="92.428176879882798"/>
    <n v="198016"/>
    <x v="0"/>
    <m/>
  </r>
  <r>
    <x v="0"/>
    <x v="15"/>
    <x v="1"/>
    <x v="19"/>
    <x v="268"/>
    <n v="34"/>
    <n v="163"/>
    <m/>
    <s v="German (AA/BMZ)"/>
    <d v="2020-10-30T00:00:00"/>
    <n v="2"/>
    <s v="NA"/>
    <s v="NA"/>
    <s v="NA"/>
    <m/>
    <m/>
    <m/>
    <m/>
    <m/>
    <m/>
    <m/>
    <m/>
    <m/>
    <m/>
    <m/>
    <m/>
    <m/>
    <m/>
    <m/>
    <m/>
    <m/>
    <x v="2"/>
    <x v="3"/>
    <m/>
    <m/>
    <m/>
    <m/>
    <m/>
    <m/>
    <m/>
    <m/>
    <n v="34"/>
    <n v="34"/>
    <x v="0"/>
    <m/>
    <m/>
    <m/>
    <m/>
    <s v="no test"/>
    <s v="no test"/>
    <x v="1"/>
    <n v="0"/>
    <n v="0"/>
    <n v="0"/>
    <n v="0"/>
    <n v="0"/>
    <n v="0"/>
    <n v="0"/>
    <n v="0"/>
    <n v="0"/>
    <n v="1"/>
    <n v="163"/>
    <n v="1"/>
    <n v="1"/>
    <n v="0"/>
    <n v="0"/>
    <n v="0"/>
    <n v="0.99386503067484655"/>
    <n v="27"/>
    <n v="27"/>
    <n v="0"/>
    <s v="N/A"/>
    <n v="0"/>
    <n v="1"/>
    <n v="0"/>
    <n v="1"/>
    <n v="163"/>
    <n v="1"/>
    <n v="0"/>
    <n v="0"/>
    <n v="1"/>
    <n v="1"/>
    <n v="170"/>
    <n v="170"/>
    <n v="170"/>
    <n v="0"/>
    <n v="0"/>
    <n v="0"/>
    <x v="3"/>
    <x v="2"/>
    <x v="7"/>
    <x v="3"/>
    <n v="21.153581619262699"/>
    <n v="92.250885009765597"/>
    <s v="220747"/>
    <x v="0"/>
    <m/>
  </r>
  <r>
    <x v="0"/>
    <x v="15"/>
    <x v="1"/>
    <x v="19"/>
    <x v="269"/>
    <n v="144"/>
    <n v="742"/>
    <m/>
    <s v="German (AA/BMZ)"/>
    <d v="2020-10-30T00:00:00"/>
    <n v="2"/>
    <s v="NA"/>
    <s v="NA"/>
    <s v="NA"/>
    <m/>
    <m/>
    <m/>
    <m/>
    <m/>
    <m/>
    <m/>
    <m/>
    <m/>
    <m/>
    <m/>
    <m/>
    <m/>
    <m/>
    <m/>
    <m/>
    <m/>
    <x v="2"/>
    <x v="3"/>
    <m/>
    <m/>
    <m/>
    <m/>
    <m/>
    <m/>
    <m/>
    <m/>
    <n v="138"/>
    <n v="138"/>
    <x v="0"/>
    <m/>
    <m/>
    <m/>
    <m/>
    <s v="no test"/>
    <s v="no test"/>
    <x v="1"/>
    <n v="0"/>
    <n v="0"/>
    <n v="0"/>
    <n v="0"/>
    <n v="0"/>
    <n v="0"/>
    <n v="0"/>
    <n v="0"/>
    <n v="0"/>
    <n v="1"/>
    <n v="742"/>
    <n v="1"/>
    <n v="1"/>
    <n v="0"/>
    <n v="0"/>
    <n v="0"/>
    <n v="1"/>
    <n v="124"/>
    <n v="124"/>
    <n v="0"/>
    <s v="N/A"/>
    <n v="0"/>
    <n v="0"/>
    <n v="0"/>
    <n v="0"/>
    <n v="0"/>
    <n v="0"/>
    <n v="1"/>
    <n v="0"/>
    <n v="0.95833333333333337"/>
    <n v="0.95833333333333337"/>
    <n v="690"/>
    <n v="690"/>
    <n v="690"/>
    <n v="0"/>
    <n v="0"/>
    <n v="0"/>
    <x v="3"/>
    <x v="2"/>
    <x v="7"/>
    <x v="3"/>
    <n v="21.177719116210898"/>
    <n v="92.239547729492202"/>
    <n v="198101"/>
    <x v="0"/>
    <m/>
  </r>
  <r>
    <x v="0"/>
    <x v="11"/>
    <x v="1"/>
    <x v="19"/>
    <x v="270"/>
    <n v="60"/>
    <n v="128"/>
    <m/>
    <s v="UNICEF"/>
    <d v="2018-02-14T00:00:00"/>
    <n v="0"/>
    <m/>
    <m/>
    <m/>
    <n v="1"/>
    <n v="2"/>
    <n v="0"/>
    <n v="3"/>
    <n v="1"/>
    <m/>
    <m/>
    <m/>
    <m/>
    <m/>
    <m/>
    <m/>
    <n v="8"/>
    <n v="0"/>
    <m/>
    <m/>
    <n v="8"/>
    <x v="4"/>
    <x v="4"/>
    <m/>
    <m/>
    <m/>
    <n v="0"/>
    <s v="Household"/>
    <n v="0"/>
    <n v="0"/>
    <n v="5"/>
    <n v="60"/>
    <n v="60"/>
    <x v="0"/>
    <m/>
    <m/>
    <m/>
    <m/>
    <s v="no test"/>
    <s v="no test"/>
    <x v="1"/>
    <n v="1"/>
    <n v="1"/>
    <n v="1"/>
    <n v="128"/>
    <n v="1"/>
    <n v="128"/>
    <n v="1"/>
    <n v="128"/>
    <n v="0"/>
    <n v="0"/>
    <n v="0"/>
    <n v="1"/>
    <n v="1"/>
    <n v="8"/>
    <n v="0.375"/>
    <n v="48"/>
    <n v="0.609375"/>
    <n v="13"/>
    <n v="21"/>
    <n v="0"/>
    <s v="N/A"/>
    <n v="128"/>
    <n v="1"/>
    <n v="1"/>
    <n v="1"/>
    <n v="128"/>
    <n v="1"/>
    <n v="0"/>
    <n v="1"/>
    <n v="1"/>
    <n v="1"/>
    <n v="300"/>
    <n v="300"/>
    <n v="300"/>
    <n v="0"/>
    <n v="0"/>
    <n v="0"/>
    <x v="3"/>
    <x v="2"/>
    <x v="7"/>
    <x v="3"/>
    <n v="21.0094203948975"/>
    <n v="92.318077087402301"/>
    <n v="197893"/>
    <x v="0"/>
    <m/>
  </r>
  <r>
    <x v="0"/>
    <x v="11"/>
    <x v="1"/>
    <x v="19"/>
    <x v="271"/>
    <n v="43"/>
    <n v="220"/>
    <m/>
    <s v="UNICEF"/>
    <d v="2018-08-31T00:00:00"/>
    <n v="0"/>
    <m/>
    <m/>
    <m/>
    <n v="0"/>
    <n v="0"/>
    <n v="0"/>
    <n v="0"/>
    <n v="1"/>
    <m/>
    <m/>
    <m/>
    <m/>
    <m/>
    <m/>
    <m/>
    <m/>
    <m/>
    <m/>
    <m/>
    <n v="2"/>
    <x v="4"/>
    <x v="4"/>
    <m/>
    <m/>
    <m/>
    <n v="0"/>
    <s v="Household"/>
    <n v="0"/>
    <n v="0"/>
    <n v="5"/>
    <n v="43"/>
    <n v="43"/>
    <x v="0"/>
    <m/>
    <m/>
    <m/>
    <m/>
    <s v="no test"/>
    <s v="no test"/>
    <x v="1"/>
    <n v="0"/>
    <n v="0"/>
    <n v="0"/>
    <n v="0"/>
    <n v="0"/>
    <n v="0"/>
    <n v="0"/>
    <n v="0"/>
    <n v="0"/>
    <n v="1"/>
    <n v="220"/>
    <n v="1"/>
    <n v="1"/>
    <n v="0"/>
    <n v="0"/>
    <n v="0"/>
    <n v="1"/>
    <n v="37"/>
    <n v="37"/>
    <n v="0"/>
    <s v="N/A"/>
    <n v="220"/>
    <n v="1"/>
    <n v="1"/>
    <n v="1"/>
    <n v="220"/>
    <n v="1"/>
    <n v="0"/>
    <n v="1"/>
    <n v="1"/>
    <n v="1"/>
    <n v="215"/>
    <n v="215"/>
    <n v="215"/>
    <n v="0"/>
    <n v="0"/>
    <n v="0"/>
    <x v="3"/>
    <x v="2"/>
    <x v="7"/>
    <x v="3"/>
    <n v="20.946010589599599"/>
    <n v="92.301872253417997"/>
    <n v="197899"/>
    <x v="0"/>
    <m/>
  </r>
  <r>
    <x v="0"/>
    <x v="2"/>
    <x v="1"/>
    <x v="19"/>
    <x v="272"/>
    <n v="173"/>
    <n v="1205"/>
    <m/>
    <m/>
    <m/>
    <n v="0"/>
    <s v="Yes"/>
    <n v="0"/>
    <n v="0"/>
    <n v="1"/>
    <n v="10"/>
    <n v="0"/>
    <n v="5"/>
    <n v="0"/>
    <m/>
    <m/>
    <m/>
    <m/>
    <m/>
    <m/>
    <m/>
    <n v="0"/>
    <n v="0"/>
    <m/>
    <m/>
    <n v="0"/>
    <x v="4"/>
    <x v="4"/>
    <m/>
    <m/>
    <m/>
    <n v="0"/>
    <s v="Household"/>
    <n v="0"/>
    <n v="0"/>
    <n v="7"/>
    <m/>
    <m/>
    <x v="0"/>
    <m/>
    <m/>
    <m/>
    <m/>
    <s v="no test"/>
    <s v="no test"/>
    <x v="1"/>
    <n v="1"/>
    <n v="1"/>
    <n v="1"/>
    <n v="1205"/>
    <n v="1"/>
    <n v="1205"/>
    <n v="1"/>
    <n v="1205"/>
    <n v="2"/>
    <n v="0"/>
    <n v="0"/>
    <n v="0"/>
    <n v="2"/>
    <n v="0"/>
    <n v="0"/>
    <n v="0"/>
    <n v="1"/>
    <n v="201"/>
    <n v="201"/>
    <n v="0"/>
    <s v="N/A"/>
    <n v="1205"/>
    <n v="0"/>
    <n v="1"/>
    <n v="0"/>
    <n v="0"/>
    <n v="0"/>
    <n v="1"/>
    <n v="1"/>
    <n v="0"/>
    <n v="0"/>
    <n v="0"/>
    <n v="0"/>
    <n v="0"/>
    <n v="0"/>
    <n v="0"/>
    <n v="0"/>
    <x v="3"/>
    <x v="2"/>
    <x v="7"/>
    <x v="5"/>
    <n v="21.000970840454102"/>
    <n v="92.334213256835895"/>
    <n v="197903"/>
    <x v="1"/>
    <s v="old MHDO village"/>
  </r>
  <r>
    <x v="0"/>
    <x v="2"/>
    <x v="1"/>
    <x v="20"/>
    <x v="273"/>
    <n v="124"/>
    <n v="479"/>
    <m/>
    <m/>
    <m/>
    <m/>
    <s v="No"/>
    <n v="0"/>
    <n v="0"/>
    <n v="0"/>
    <n v="0"/>
    <m/>
    <m/>
    <n v="0"/>
    <m/>
    <m/>
    <m/>
    <m/>
    <m/>
    <m/>
    <m/>
    <n v="8"/>
    <m/>
    <m/>
    <m/>
    <n v="8"/>
    <x v="1"/>
    <x v="1"/>
    <m/>
    <m/>
    <m/>
    <n v="0"/>
    <m/>
    <n v="0"/>
    <m/>
    <m/>
    <m/>
    <m/>
    <x v="0"/>
    <m/>
    <m/>
    <m/>
    <m/>
    <s v="no test"/>
    <s v="no test"/>
    <x v="1"/>
    <n v="0"/>
    <n v="0"/>
    <n v="0"/>
    <n v="0"/>
    <n v="0"/>
    <n v="0"/>
    <n v="0"/>
    <n v="0"/>
    <n v="0"/>
    <n v="1"/>
    <n v="479"/>
    <n v="1"/>
    <n v="1"/>
    <n v="8"/>
    <n v="0.10020876826722339"/>
    <n v="48"/>
    <n v="0.90187891440501045"/>
    <n v="72"/>
    <n v="80"/>
    <n v="0"/>
    <s v="N/A"/>
    <n v="0"/>
    <n v="0"/>
    <n v="0"/>
    <n v="0"/>
    <n v="0"/>
    <n v="0"/>
    <n v="1"/>
    <n v="0"/>
    <n v="0"/>
    <n v="0"/>
    <n v="0"/>
    <n v="0"/>
    <n v="0"/>
    <n v="0"/>
    <n v="0"/>
    <n v="0"/>
    <x v="3"/>
    <x v="2"/>
    <x v="7"/>
    <x v="11"/>
    <n v="20.394809723000002"/>
    <n v="93.251609802000004"/>
    <s v="196994"/>
    <x v="1"/>
    <m/>
  </r>
  <r>
    <x v="0"/>
    <x v="2"/>
    <x v="1"/>
    <x v="20"/>
    <x v="274"/>
    <n v="178"/>
    <n v="763"/>
    <m/>
    <m/>
    <m/>
    <m/>
    <s v="No"/>
    <n v="0"/>
    <n v="0"/>
    <n v="0"/>
    <n v="0"/>
    <m/>
    <m/>
    <n v="0"/>
    <m/>
    <m/>
    <m/>
    <m/>
    <m/>
    <m/>
    <m/>
    <n v="5"/>
    <m/>
    <m/>
    <m/>
    <n v="5"/>
    <x v="1"/>
    <x v="1"/>
    <m/>
    <m/>
    <m/>
    <n v="0"/>
    <m/>
    <n v="0"/>
    <m/>
    <m/>
    <m/>
    <m/>
    <x v="0"/>
    <m/>
    <m/>
    <m/>
    <m/>
    <s v="no test"/>
    <s v="no test"/>
    <x v="1"/>
    <n v="0"/>
    <n v="0"/>
    <n v="0"/>
    <n v="0"/>
    <n v="0"/>
    <n v="0"/>
    <n v="0"/>
    <n v="0"/>
    <n v="0"/>
    <n v="1"/>
    <n v="763"/>
    <n v="2"/>
    <n v="2"/>
    <n v="5"/>
    <n v="3.9318479685452164E-2"/>
    <n v="30"/>
    <n v="0.95937090432503269"/>
    <n v="122"/>
    <n v="127"/>
    <n v="0"/>
    <s v="N/A"/>
    <n v="0"/>
    <n v="0"/>
    <n v="0"/>
    <n v="0"/>
    <n v="0"/>
    <n v="0"/>
    <n v="1"/>
    <n v="0"/>
    <n v="0"/>
    <n v="0"/>
    <n v="0"/>
    <n v="0"/>
    <n v="0"/>
    <n v="0"/>
    <n v="0"/>
    <n v="0"/>
    <x v="3"/>
    <x v="2"/>
    <x v="7"/>
    <x v="3"/>
    <n v="0"/>
    <n v="0"/>
    <s v="197174"/>
    <x v="1"/>
    <m/>
  </r>
  <r>
    <x v="0"/>
    <x v="2"/>
    <x v="1"/>
    <x v="20"/>
    <x v="275"/>
    <n v="42"/>
    <n v="183"/>
    <m/>
    <m/>
    <m/>
    <m/>
    <s v="No"/>
    <n v="0"/>
    <n v="0"/>
    <n v="2"/>
    <n v="0"/>
    <m/>
    <m/>
    <n v="2"/>
    <m/>
    <m/>
    <m/>
    <m/>
    <m/>
    <m/>
    <m/>
    <n v="0"/>
    <m/>
    <m/>
    <m/>
    <n v="0"/>
    <x v="1"/>
    <x v="1"/>
    <m/>
    <m/>
    <m/>
    <n v="0"/>
    <m/>
    <n v="0"/>
    <m/>
    <m/>
    <m/>
    <m/>
    <x v="0"/>
    <m/>
    <m/>
    <m/>
    <m/>
    <s v="no test"/>
    <s v="no test"/>
    <x v="1"/>
    <n v="1"/>
    <n v="1"/>
    <n v="1"/>
    <n v="183"/>
    <n v="0"/>
    <n v="0"/>
    <n v="1"/>
    <n v="183"/>
    <n v="0"/>
    <n v="0"/>
    <n v="0"/>
    <n v="1"/>
    <n v="1"/>
    <n v="0"/>
    <n v="0"/>
    <n v="0"/>
    <n v="1"/>
    <n v="31"/>
    <n v="31"/>
    <n v="0"/>
    <s v="N/A"/>
    <n v="0"/>
    <n v="0"/>
    <n v="0"/>
    <n v="0"/>
    <n v="0"/>
    <n v="0"/>
    <n v="1"/>
    <n v="0"/>
    <n v="0"/>
    <n v="0"/>
    <n v="0"/>
    <n v="0"/>
    <n v="0"/>
    <n v="0"/>
    <n v="0"/>
    <n v="0"/>
    <x v="3"/>
    <x v="2"/>
    <x v="7"/>
    <x v="3"/>
    <n v="20.398889541999999"/>
    <n v="93.254051208000007"/>
    <s v="196996"/>
    <x v="1"/>
    <m/>
  </r>
  <r>
    <x v="0"/>
    <x v="2"/>
    <x v="1"/>
    <x v="20"/>
    <x v="276"/>
    <n v="415"/>
    <n v="1628"/>
    <m/>
    <m/>
    <m/>
    <m/>
    <s v="No"/>
    <n v="0"/>
    <n v="0"/>
    <n v="0"/>
    <n v="0"/>
    <m/>
    <m/>
    <n v="0"/>
    <m/>
    <m/>
    <m/>
    <m/>
    <m/>
    <m/>
    <m/>
    <n v="45"/>
    <m/>
    <m/>
    <m/>
    <n v="45"/>
    <x v="1"/>
    <x v="1"/>
    <m/>
    <m/>
    <m/>
    <n v="0"/>
    <m/>
    <n v="0"/>
    <m/>
    <m/>
    <m/>
    <m/>
    <x v="0"/>
    <m/>
    <m/>
    <m/>
    <m/>
    <s v="no test"/>
    <s v="no test"/>
    <x v="1"/>
    <n v="0"/>
    <n v="0"/>
    <n v="0"/>
    <n v="0"/>
    <n v="0"/>
    <n v="0"/>
    <n v="0"/>
    <n v="0"/>
    <n v="0"/>
    <n v="1"/>
    <n v="1628"/>
    <n v="3"/>
    <n v="3"/>
    <n v="45"/>
    <n v="0.16584766584766586"/>
    <n v="270"/>
    <n v="0.83292383292383299"/>
    <n v="226"/>
    <n v="271"/>
    <n v="0"/>
    <s v="N/A"/>
    <n v="0"/>
    <n v="0"/>
    <n v="0"/>
    <n v="0"/>
    <n v="0"/>
    <n v="0"/>
    <n v="1"/>
    <n v="0"/>
    <n v="0"/>
    <n v="0"/>
    <n v="0"/>
    <n v="0"/>
    <n v="0"/>
    <n v="0"/>
    <n v="0"/>
    <n v="0"/>
    <x v="3"/>
    <x v="2"/>
    <x v="7"/>
    <x v="3"/>
    <n v="20.218471527099599"/>
    <n v="93.424331665039105"/>
    <s v="220671"/>
    <x v="1"/>
    <m/>
  </r>
  <r>
    <x v="0"/>
    <x v="2"/>
    <x v="1"/>
    <x v="20"/>
    <x v="277"/>
    <n v="150"/>
    <n v="730"/>
    <m/>
    <m/>
    <m/>
    <m/>
    <s v="No"/>
    <n v="0"/>
    <n v="0"/>
    <n v="2"/>
    <n v="0"/>
    <m/>
    <m/>
    <n v="3"/>
    <m/>
    <m/>
    <m/>
    <m/>
    <m/>
    <m/>
    <m/>
    <n v="55"/>
    <m/>
    <m/>
    <m/>
    <n v="55"/>
    <x v="1"/>
    <x v="1"/>
    <m/>
    <m/>
    <m/>
    <n v="1"/>
    <m/>
    <n v="15"/>
    <m/>
    <n v="4"/>
    <m/>
    <m/>
    <x v="0"/>
    <m/>
    <m/>
    <m/>
    <m/>
    <s v="no test"/>
    <s v="no test"/>
    <x v="1"/>
    <n v="1"/>
    <n v="0.68493150684931503"/>
    <n v="0.68493150684931503"/>
    <n v="500"/>
    <n v="0"/>
    <n v="0"/>
    <n v="0.68493150684931503"/>
    <n v="500"/>
    <n v="1"/>
    <n v="0.31506849315068497"/>
    <n v="230.00000000000003"/>
    <n v="0"/>
    <n v="1"/>
    <n v="55"/>
    <n v="0.45205479452054792"/>
    <n v="330"/>
    <n v="0.55068493150684927"/>
    <n v="67"/>
    <n v="122"/>
    <n v="0"/>
    <s v="N/A"/>
    <n v="730"/>
    <n v="0"/>
    <n v="1"/>
    <n v="0"/>
    <n v="0"/>
    <n v="0"/>
    <n v="1"/>
    <n v="1"/>
    <n v="0"/>
    <n v="0"/>
    <n v="0"/>
    <n v="0"/>
    <n v="0"/>
    <n v="150"/>
    <n v="0"/>
    <n v="0"/>
    <x v="3"/>
    <x v="2"/>
    <x v="10"/>
    <x v="5"/>
    <n v="20.39902"/>
    <n v="93.249669999999995"/>
    <s v="MMR012CMP003"/>
    <x v="1"/>
    <m/>
  </r>
  <r>
    <x v="0"/>
    <x v="2"/>
    <x v="1"/>
    <x v="20"/>
    <x v="278"/>
    <n v="175"/>
    <n v="659"/>
    <m/>
    <m/>
    <m/>
    <m/>
    <s v="No"/>
    <n v="0"/>
    <n v="0"/>
    <n v="2"/>
    <n v="0"/>
    <m/>
    <m/>
    <n v="0"/>
    <m/>
    <m/>
    <m/>
    <m/>
    <m/>
    <m/>
    <m/>
    <n v="12"/>
    <m/>
    <m/>
    <m/>
    <n v="12"/>
    <x v="1"/>
    <x v="1"/>
    <m/>
    <m/>
    <m/>
    <n v="0"/>
    <m/>
    <n v="0"/>
    <m/>
    <m/>
    <m/>
    <m/>
    <x v="0"/>
    <m/>
    <m/>
    <m/>
    <m/>
    <s v="no test"/>
    <s v="no test"/>
    <x v="1"/>
    <n v="1"/>
    <n v="0.75872534142640369"/>
    <n v="0.75872534142640369"/>
    <n v="500.00000000000006"/>
    <n v="0"/>
    <n v="0"/>
    <n v="0.75872534142640369"/>
    <n v="500.00000000000006"/>
    <n v="1"/>
    <n v="0.24127465857359631"/>
    <n v="158.99999999999997"/>
    <n v="0"/>
    <n v="1"/>
    <n v="12"/>
    <n v="0.10925644916540213"/>
    <n v="72"/>
    <n v="0.89226100151745069"/>
    <n v="98"/>
    <n v="110"/>
    <n v="0"/>
    <s v="N/A"/>
    <n v="0"/>
    <n v="0"/>
    <n v="0"/>
    <n v="0"/>
    <n v="0"/>
    <n v="0"/>
    <n v="1"/>
    <n v="0"/>
    <n v="0"/>
    <n v="0"/>
    <n v="0"/>
    <n v="0"/>
    <n v="0"/>
    <n v="0"/>
    <n v="0"/>
    <n v="0"/>
    <x v="3"/>
    <x v="2"/>
    <x v="7"/>
    <x v="3"/>
    <n v="20.5199794769287"/>
    <n v="93.277252197265597"/>
    <s v="197067"/>
    <x v="1"/>
    <m/>
  </r>
  <r>
    <x v="0"/>
    <x v="2"/>
    <x v="1"/>
    <x v="20"/>
    <x v="279"/>
    <n v="41"/>
    <n v="146"/>
    <m/>
    <m/>
    <m/>
    <m/>
    <s v="No"/>
    <n v="0"/>
    <n v="0"/>
    <n v="2"/>
    <n v="0"/>
    <m/>
    <m/>
    <n v="2"/>
    <m/>
    <m/>
    <m/>
    <m/>
    <m/>
    <m/>
    <m/>
    <n v="2"/>
    <m/>
    <m/>
    <m/>
    <n v="2"/>
    <x v="1"/>
    <x v="1"/>
    <m/>
    <m/>
    <m/>
    <n v="0"/>
    <m/>
    <n v="0"/>
    <m/>
    <m/>
    <m/>
    <m/>
    <x v="0"/>
    <m/>
    <m/>
    <m/>
    <m/>
    <s v="no test"/>
    <s v="no test"/>
    <x v="1"/>
    <n v="1"/>
    <n v="1"/>
    <n v="1"/>
    <n v="146"/>
    <n v="0"/>
    <n v="0"/>
    <n v="1"/>
    <n v="146"/>
    <n v="0"/>
    <n v="0"/>
    <n v="0"/>
    <n v="1"/>
    <n v="1"/>
    <n v="2"/>
    <n v="8.2191780821917804E-2"/>
    <n v="12"/>
    <n v="0.90410958904109595"/>
    <n v="22"/>
    <n v="24"/>
    <n v="0"/>
    <s v="N/A"/>
    <n v="0"/>
    <n v="0"/>
    <n v="0"/>
    <n v="0"/>
    <n v="0"/>
    <n v="0"/>
    <n v="1"/>
    <n v="0"/>
    <n v="0"/>
    <n v="0"/>
    <n v="0"/>
    <n v="0"/>
    <n v="0"/>
    <n v="0"/>
    <n v="0"/>
    <n v="0"/>
    <x v="3"/>
    <x v="2"/>
    <x v="7"/>
    <x v="3"/>
    <n v="20.396680832000001"/>
    <n v="93.252868652000004"/>
    <s v="196998"/>
    <x v="1"/>
    <m/>
  </r>
  <r>
    <x v="0"/>
    <x v="2"/>
    <x v="1"/>
    <x v="20"/>
    <x v="280"/>
    <n v="280"/>
    <n v="1423"/>
    <m/>
    <m/>
    <m/>
    <m/>
    <s v="No"/>
    <n v="0"/>
    <n v="0"/>
    <n v="2"/>
    <n v="0"/>
    <m/>
    <m/>
    <n v="3"/>
    <m/>
    <m/>
    <m/>
    <m/>
    <m/>
    <m/>
    <m/>
    <n v="60"/>
    <m/>
    <m/>
    <m/>
    <n v="60"/>
    <x v="1"/>
    <x v="1"/>
    <m/>
    <m/>
    <m/>
    <n v="1"/>
    <m/>
    <n v="0"/>
    <m/>
    <n v="6"/>
    <m/>
    <m/>
    <x v="0"/>
    <m/>
    <m/>
    <m/>
    <m/>
    <s v="no test"/>
    <s v="no test"/>
    <x v="1"/>
    <n v="1"/>
    <n v="0.35137034434293746"/>
    <n v="0.35137034434293746"/>
    <n v="500"/>
    <n v="0"/>
    <n v="0"/>
    <n v="0.35137034434293746"/>
    <n v="500"/>
    <n v="1"/>
    <n v="0.64862965565706254"/>
    <n v="923"/>
    <n v="2"/>
    <n v="3"/>
    <n v="60"/>
    <n v="0.25298664792691494"/>
    <n v="359.99999999999994"/>
    <n v="0.74631061138439914"/>
    <n v="177"/>
    <n v="237"/>
    <n v="0"/>
    <s v="N/A"/>
    <n v="1423"/>
    <n v="0"/>
    <n v="1"/>
    <n v="0"/>
    <n v="0"/>
    <n v="0"/>
    <n v="1"/>
    <n v="1"/>
    <n v="0"/>
    <n v="0"/>
    <n v="0"/>
    <n v="0"/>
    <n v="0"/>
    <n v="280"/>
    <n v="0"/>
    <n v="0"/>
    <x v="3"/>
    <x v="2"/>
    <x v="10"/>
    <x v="5"/>
    <n v="20.392137999999999"/>
    <n v="93.257272"/>
    <s v="MMR012CMP002"/>
    <x v="1"/>
    <m/>
  </r>
  <r>
    <x v="0"/>
    <x v="2"/>
    <x v="1"/>
    <x v="21"/>
    <x v="281"/>
    <n v="146"/>
    <n v="731"/>
    <m/>
    <m/>
    <m/>
    <m/>
    <s v="No"/>
    <n v="0"/>
    <n v="0"/>
    <n v="1"/>
    <m/>
    <m/>
    <m/>
    <n v="0"/>
    <m/>
    <m/>
    <m/>
    <m/>
    <m/>
    <m/>
    <m/>
    <n v="5"/>
    <m/>
    <m/>
    <m/>
    <n v="0"/>
    <x v="1"/>
    <x v="1"/>
    <m/>
    <m/>
    <m/>
    <n v="0"/>
    <m/>
    <n v="0"/>
    <m/>
    <n v="0"/>
    <m/>
    <m/>
    <x v="0"/>
    <m/>
    <m/>
    <m/>
    <m/>
    <s v="no test"/>
    <s v="no test"/>
    <x v="1"/>
    <n v="1"/>
    <n v="0.34199726402188785"/>
    <n v="0.34199726402188785"/>
    <n v="250.00000000000003"/>
    <n v="0"/>
    <n v="0"/>
    <n v="0.34199726402188785"/>
    <n v="250.00000000000003"/>
    <n v="1"/>
    <n v="0.65800273597811221"/>
    <n v="481"/>
    <n v="0"/>
    <n v="1"/>
    <n v="5"/>
    <n v="4.1039671682626538E-2"/>
    <n v="30"/>
    <n v="0.96032831737346103"/>
    <n v="117"/>
    <n v="122"/>
    <n v="0"/>
    <s v="N/A"/>
    <n v="0"/>
    <n v="0"/>
    <n v="0"/>
    <n v="0"/>
    <n v="0"/>
    <n v="0"/>
    <n v="1"/>
    <n v="0"/>
    <n v="0"/>
    <n v="0"/>
    <n v="0"/>
    <n v="0"/>
    <n v="0"/>
    <n v="0"/>
    <n v="0"/>
    <n v="0"/>
    <x v="3"/>
    <x v="2"/>
    <x v="7"/>
    <x v="5"/>
    <n v="20.697229385376001"/>
    <n v="93.044059753417997"/>
    <s v="196643"/>
    <x v="1"/>
    <m/>
  </r>
  <r>
    <x v="0"/>
    <x v="2"/>
    <x v="1"/>
    <x v="21"/>
    <x v="282"/>
    <n v="23"/>
    <n v="117"/>
    <m/>
    <m/>
    <m/>
    <m/>
    <s v="No"/>
    <n v="0"/>
    <n v="0"/>
    <n v="2"/>
    <m/>
    <m/>
    <m/>
    <n v="0"/>
    <m/>
    <m/>
    <m/>
    <m/>
    <m/>
    <m/>
    <m/>
    <n v="0"/>
    <m/>
    <m/>
    <m/>
    <n v="0"/>
    <x v="1"/>
    <x v="1"/>
    <m/>
    <m/>
    <m/>
    <n v="0"/>
    <m/>
    <n v="0"/>
    <m/>
    <n v="0"/>
    <m/>
    <m/>
    <x v="0"/>
    <m/>
    <m/>
    <m/>
    <m/>
    <s v="no test"/>
    <s v="no test"/>
    <x v="1"/>
    <n v="1"/>
    <n v="1"/>
    <n v="1"/>
    <n v="117"/>
    <n v="0"/>
    <n v="0"/>
    <n v="1"/>
    <n v="117"/>
    <n v="0"/>
    <n v="0"/>
    <n v="0"/>
    <n v="1"/>
    <n v="1"/>
    <n v="0"/>
    <n v="0"/>
    <n v="0"/>
    <n v="1"/>
    <n v="20"/>
    <n v="20"/>
    <n v="0"/>
    <s v="N/A"/>
    <n v="0"/>
    <n v="0"/>
    <n v="0"/>
    <n v="0"/>
    <n v="0"/>
    <n v="0"/>
    <n v="1"/>
    <n v="0"/>
    <n v="0"/>
    <n v="0"/>
    <n v="0"/>
    <n v="0"/>
    <n v="0"/>
    <n v="0"/>
    <n v="0"/>
    <n v="0"/>
    <x v="3"/>
    <x v="2"/>
    <x v="7"/>
    <x v="3"/>
    <n v="20.489089965820298"/>
    <n v="93.211738586425795"/>
    <s v="196508"/>
    <x v="1"/>
    <m/>
  </r>
  <r>
    <x v="0"/>
    <x v="2"/>
    <x v="1"/>
    <x v="21"/>
    <x v="283"/>
    <n v="44"/>
    <n v="221"/>
    <m/>
    <m/>
    <m/>
    <m/>
    <s v="No"/>
    <n v="0"/>
    <n v="0"/>
    <n v="2"/>
    <m/>
    <m/>
    <m/>
    <n v="0"/>
    <m/>
    <m/>
    <m/>
    <m/>
    <m/>
    <m/>
    <m/>
    <n v="3"/>
    <m/>
    <m/>
    <m/>
    <n v="0"/>
    <x v="1"/>
    <x v="1"/>
    <m/>
    <m/>
    <m/>
    <n v="0"/>
    <m/>
    <n v="0"/>
    <m/>
    <n v="0"/>
    <m/>
    <m/>
    <x v="0"/>
    <m/>
    <m/>
    <m/>
    <m/>
    <s v="no test"/>
    <s v="no test"/>
    <x v="1"/>
    <n v="1"/>
    <n v="1"/>
    <n v="1"/>
    <n v="221"/>
    <n v="0"/>
    <n v="0"/>
    <n v="1"/>
    <n v="221"/>
    <n v="0"/>
    <n v="0"/>
    <n v="0"/>
    <n v="1"/>
    <n v="1"/>
    <n v="3"/>
    <n v="8.1447963800904979E-2"/>
    <n v="18"/>
    <n v="0.92307692307692302"/>
    <n v="34"/>
    <n v="37"/>
    <n v="0"/>
    <s v="N/A"/>
    <n v="0"/>
    <n v="0"/>
    <n v="0"/>
    <n v="0"/>
    <n v="0"/>
    <n v="0"/>
    <n v="1"/>
    <n v="0"/>
    <n v="0"/>
    <n v="0"/>
    <n v="0"/>
    <n v="0"/>
    <n v="0"/>
    <n v="0"/>
    <n v="0"/>
    <n v="0"/>
    <x v="3"/>
    <x v="2"/>
    <x v="7"/>
    <x v="3"/>
    <n v="20.464775085449201"/>
    <n v="93.269363403320298"/>
    <s v="196496"/>
    <x v="1"/>
    <m/>
  </r>
  <r>
    <x v="0"/>
    <x v="2"/>
    <x v="1"/>
    <x v="21"/>
    <x v="284"/>
    <n v="161"/>
    <n v="807"/>
    <m/>
    <m/>
    <m/>
    <m/>
    <s v="No"/>
    <n v="0"/>
    <n v="0"/>
    <n v="1"/>
    <m/>
    <m/>
    <m/>
    <n v="0"/>
    <m/>
    <m/>
    <m/>
    <m/>
    <m/>
    <m/>
    <m/>
    <n v="4"/>
    <m/>
    <m/>
    <m/>
    <n v="0"/>
    <x v="1"/>
    <x v="1"/>
    <m/>
    <m/>
    <m/>
    <n v="0"/>
    <m/>
    <n v="0"/>
    <m/>
    <n v="0"/>
    <m/>
    <m/>
    <x v="0"/>
    <m/>
    <m/>
    <m/>
    <m/>
    <s v="no test"/>
    <s v="no test"/>
    <x v="1"/>
    <n v="1"/>
    <n v="0.3097893432465923"/>
    <n v="0.3097893432465923"/>
    <n v="249.99999999999997"/>
    <n v="0"/>
    <n v="0"/>
    <n v="0.3097893432465923"/>
    <n v="249.99999999999997"/>
    <n v="1"/>
    <n v="0.69021065675340765"/>
    <n v="557"/>
    <n v="1"/>
    <n v="2"/>
    <n v="4"/>
    <n v="2.9739776951672861E-2"/>
    <n v="24"/>
    <n v="0.97397769516728627"/>
    <n v="131"/>
    <n v="135"/>
    <n v="0"/>
    <s v="N/A"/>
    <n v="0"/>
    <n v="0"/>
    <n v="0"/>
    <n v="0"/>
    <n v="0"/>
    <n v="0"/>
    <n v="1"/>
    <n v="0"/>
    <n v="0"/>
    <n v="0"/>
    <n v="0"/>
    <n v="0"/>
    <n v="0"/>
    <n v="0"/>
    <n v="0"/>
    <n v="0"/>
    <x v="3"/>
    <x v="2"/>
    <x v="7"/>
    <x v="3"/>
    <n v="20.4625244140625"/>
    <n v="93.257278442382798"/>
    <s v="220626"/>
    <x v="1"/>
    <m/>
  </r>
  <r>
    <x v="0"/>
    <x v="2"/>
    <x v="1"/>
    <x v="21"/>
    <x v="285"/>
    <n v="211"/>
    <n v="1055"/>
    <m/>
    <m/>
    <m/>
    <m/>
    <s v="No"/>
    <n v="0"/>
    <n v="0"/>
    <n v="1"/>
    <m/>
    <m/>
    <m/>
    <n v="0"/>
    <m/>
    <m/>
    <m/>
    <m/>
    <m/>
    <m/>
    <m/>
    <n v="5"/>
    <m/>
    <m/>
    <m/>
    <n v="0"/>
    <x v="1"/>
    <x v="1"/>
    <m/>
    <m/>
    <m/>
    <n v="0"/>
    <m/>
    <n v="0"/>
    <m/>
    <n v="0"/>
    <m/>
    <m/>
    <x v="0"/>
    <m/>
    <m/>
    <m/>
    <m/>
    <s v="no test"/>
    <s v="no test"/>
    <x v="1"/>
    <n v="1"/>
    <n v="0.23696682464454977"/>
    <n v="0.23696682464454977"/>
    <n v="250"/>
    <n v="0"/>
    <n v="0"/>
    <n v="0.23696682464454977"/>
    <n v="250"/>
    <n v="1"/>
    <n v="0.76303317535545023"/>
    <n v="805"/>
    <n v="1"/>
    <n v="2"/>
    <n v="5"/>
    <n v="2.843601895734597E-2"/>
    <n v="30"/>
    <n v="0.97251184834123217"/>
    <n v="171"/>
    <n v="176"/>
    <n v="0"/>
    <s v="N/A"/>
    <n v="0"/>
    <n v="0"/>
    <n v="0"/>
    <n v="0"/>
    <n v="0"/>
    <n v="0"/>
    <n v="1"/>
    <n v="0"/>
    <n v="0"/>
    <n v="0"/>
    <n v="0"/>
    <n v="0"/>
    <n v="0"/>
    <n v="0"/>
    <n v="0"/>
    <n v="0"/>
    <x v="3"/>
    <x v="2"/>
    <x v="7"/>
    <x v="3"/>
    <n v="20.703550338745099"/>
    <n v="93.060462951660199"/>
    <s v="196642"/>
    <x v="1"/>
    <m/>
  </r>
  <r>
    <x v="0"/>
    <x v="16"/>
    <x v="1"/>
    <x v="22"/>
    <x v="286"/>
    <n v="40"/>
    <n v="217"/>
    <m/>
    <s v="UNICEF"/>
    <d v="2018-12-31T00:00:00"/>
    <n v="0"/>
    <s v="No"/>
    <n v="0"/>
    <n v="0"/>
    <n v="0"/>
    <n v="0"/>
    <n v="9765"/>
    <n v="0"/>
    <n v="0"/>
    <m/>
    <m/>
    <m/>
    <m/>
    <m/>
    <m/>
    <m/>
    <n v="40"/>
    <n v="0"/>
    <m/>
    <m/>
    <n v="40"/>
    <x v="4"/>
    <x v="0"/>
    <m/>
    <m/>
    <m/>
    <n v="0"/>
    <m/>
    <n v="0"/>
    <n v="0"/>
    <n v="2"/>
    <n v="40"/>
    <n v="40"/>
    <x v="0"/>
    <m/>
    <n v="0"/>
    <n v="2"/>
    <m/>
    <s v="no test"/>
    <s v="no test"/>
    <x v="1"/>
    <n v="1"/>
    <n v="1"/>
    <n v="1"/>
    <n v="217"/>
    <n v="0"/>
    <n v="0"/>
    <n v="1"/>
    <n v="217"/>
    <n v="0"/>
    <n v="0"/>
    <n v="0"/>
    <n v="1"/>
    <n v="1"/>
    <n v="40"/>
    <n v="1"/>
    <n v="217"/>
    <n v="0"/>
    <n v="0"/>
    <n v="36"/>
    <n v="0"/>
    <s v="N/A"/>
    <n v="217"/>
    <n v="1"/>
    <n v="1"/>
    <n v="1"/>
    <n v="217"/>
    <n v="1"/>
    <n v="0"/>
    <n v="1"/>
    <n v="1"/>
    <n v="1"/>
    <n v="200"/>
    <n v="200"/>
    <n v="200"/>
    <n v="0"/>
    <n v="0"/>
    <n v="0"/>
    <x v="3"/>
    <x v="2"/>
    <x v="8"/>
    <x v="3"/>
    <n v="20.041981"/>
    <n v="93.373951000000005"/>
    <s v="MMR012CMP013"/>
    <x v="0"/>
    <m/>
  </r>
  <r>
    <x v="0"/>
    <x v="0"/>
    <x v="1"/>
    <x v="18"/>
    <x v="287"/>
    <n v="1016"/>
    <n v="4892"/>
    <m/>
    <s v="DFID/HARP"/>
    <d v="2020-09-30T00:00:00"/>
    <n v="0"/>
    <s v="No"/>
    <n v="0"/>
    <n v="0"/>
    <n v="0"/>
    <n v="40"/>
    <n v="0"/>
    <n v="0"/>
    <n v="53"/>
    <m/>
    <n v="144"/>
    <n v="97"/>
    <n v="115"/>
    <n v="34"/>
    <n v="0"/>
    <s v="for this quarter"/>
    <n v="242"/>
    <n v="83"/>
    <n v="363"/>
    <m/>
    <n v="250"/>
    <x v="0"/>
    <x v="0"/>
    <n v="0"/>
    <n v="0"/>
    <m/>
    <n v="1"/>
    <s v="Household"/>
    <n v="0"/>
    <n v="0"/>
    <n v="2"/>
    <n v="1016"/>
    <n v="1016"/>
    <x v="1"/>
    <m/>
    <m/>
    <m/>
    <m/>
    <n v="0.67361111111111116"/>
    <n v="0.29565217391304349"/>
    <x v="0"/>
    <n v="1"/>
    <n v="1"/>
    <n v="1"/>
    <n v="4892"/>
    <n v="0"/>
    <n v="0"/>
    <n v="1"/>
    <n v="4892"/>
    <n v="9.7840000000000007"/>
    <n v="0"/>
    <n v="0"/>
    <n v="0.2159999999999993"/>
    <n v="10"/>
    <n v="325"/>
    <n v="0.98937040065412918"/>
    <n v="4840"/>
    <n v="0"/>
    <n v="0"/>
    <n v="245"/>
    <n v="0.25538461538461538"/>
    <n v="4892"/>
    <n v="1000"/>
    <n v="1"/>
    <n v="0"/>
    <n v="1"/>
    <n v="4892"/>
    <n v="1"/>
    <n v="0"/>
    <n v="0.20441537203597709"/>
    <n v="1"/>
    <n v="1"/>
    <n v="5080"/>
    <n v="5080"/>
    <n v="5080"/>
    <n v="1016"/>
    <s v="Yes"/>
    <n v="0"/>
    <x v="1"/>
    <x v="0"/>
    <x v="9"/>
    <x v="5"/>
    <n v="20.179417000000001"/>
    <n v="92.813028000000003"/>
    <s v="MMR012CMP113"/>
    <x v="0"/>
    <m/>
  </r>
  <r>
    <x v="0"/>
    <x v="0"/>
    <x v="1"/>
    <x v="16"/>
    <x v="288"/>
    <n v="379"/>
    <n v="1914"/>
    <m/>
    <s v="ECHO, OFDA, UNICEF"/>
    <s v="31/12/2018, 30/06/2019, 13/09/2018"/>
    <n v="7"/>
    <s v="No"/>
    <n v="0"/>
    <n v="0"/>
    <n v="0"/>
    <n v="0"/>
    <n v="0"/>
    <n v="3"/>
    <n v="0"/>
    <n v="0"/>
    <n v="0"/>
    <m/>
    <n v="0"/>
    <m/>
    <n v="0"/>
    <s v="SI does not deliver water to the village, only CWF and HP sessions"/>
    <n v="400"/>
    <m/>
    <m/>
    <m/>
    <n v="400"/>
    <x v="3"/>
    <x v="0"/>
    <m/>
    <n v="0"/>
    <s v="There is solid waste management in ANY  villagebut no incinerator"/>
    <n v="0"/>
    <m/>
    <n v="0"/>
    <n v="0"/>
    <n v="3"/>
    <m/>
    <m/>
    <x v="0"/>
    <m/>
    <n v="0"/>
    <n v="0"/>
    <s v="Access to soap as incentive for mass cleaning campaigns"/>
    <s v="no test"/>
    <s v="no test"/>
    <x v="1"/>
    <n v="0"/>
    <n v="0"/>
    <n v="0"/>
    <n v="0"/>
    <n v="0.39184952978056425"/>
    <n v="750"/>
    <n v="0.39184952978056425"/>
    <n v="750"/>
    <n v="1.5"/>
    <n v="0.6081504702194358"/>
    <n v="1164.0000000000002"/>
    <n v="2.5"/>
    <n v="4"/>
    <n v="400"/>
    <n v="1"/>
    <n v="1914"/>
    <n v="0"/>
    <n v="0"/>
    <n v="319"/>
    <n v="0"/>
    <s v="N/A"/>
    <n v="1500"/>
    <n v="0"/>
    <n v="1"/>
    <n v="0"/>
    <n v="0"/>
    <n v="0"/>
    <n v="1"/>
    <n v="0.78369905956112851"/>
    <n v="0"/>
    <n v="0"/>
    <n v="0"/>
    <n v="0"/>
    <n v="0"/>
    <n v="0"/>
    <n v="0"/>
    <n v="0"/>
    <x v="3"/>
    <x v="2"/>
    <x v="7"/>
    <x v="5"/>
    <n v="20.099340438842798"/>
    <n v="92.989143371582003"/>
    <s v="197558"/>
    <x v="0"/>
    <m/>
  </r>
  <r>
    <x v="0"/>
    <x v="0"/>
    <x v="1"/>
    <x v="18"/>
    <x v="289"/>
    <n v="1311"/>
    <n v="6936"/>
    <m/>
    <s v="DFID/HARP"/>
    <d v="2020-09-30T00:00:00"/>
    <n v="0"/>
    <s v="No"/>
    <n v="0"/>
    <n v="0"/>
    <n v="0"/>
    <n v="64"/>
    <n v="0"/>
    <n v="0"/>
    <n v="88"/>
    <m/>
    <m/>
    <m/>
    <m/>
    <m/>
    <n v="0"/>
    <s v="for this quarter"/>
    <n v="147"/>
    <n v="180"/>
    <n v="151"/>
    <m/>
    <n v="303"/>
    <x v="0"/>
    <x v="0"/>
    <n v="0"/>
    <n v="0"/>
    <m/>
    <n v="1"/>
    <s v="Household"/>
    <n v="0"/>
    <n v="0"/>
    <n v="2"/>
    <n v="1344"/>
    <n v="1344"/>
    <x v="0"/>
    <m/>
    <m/>
    <m/>
    <m/>
    <s v="no test"/>
    <s v="no test"/>
    <x v="1"/>
    <n v="1"/>
    <n v="1"/>
    <n v="1"/>
    <n v="6936"/>
    <n v="0"/>
    <n v="0"/>
    <n v="1"/>
    <n v="6936"/>
    <n v="13.872"/>
    <n v="0"/>
    <n v="0"/>
    <n v="0.12800000000000011"/>
    <n v="14"/>
    <n v="327"/>
    <n v="0.42387543252595156"/>
    <n v="2940"/>
    <n v="5.7670126874279123E-2"/>
    <n v="20"/>
    <n v="347"/>
    <n v="0.55045871559633031"/>
    <n v="3020"/>
    <n v="1000"/>
    <n v="1"/>
    <n v="0"/>
    <n v="1"/>
    <n v="6936"/>
    <n v="1"/>
    <n v="0"/>
    <n v="0.14417531718569782"/>
    <n v="1"/>
    <n v="1"/>
    <n v="6720"/>
    <n v="6720"/>
    <n v="6720"/>
    <n v="1311"/>
    <s v="Yes"/>
    <n v="0"/>
    <x v="1"/>
    <x v="0"/>
    <x v="9"/>
    <x v="5"/>
    <n v="20.181405999999999"/>
    <n v="92.807552000000001"/>
    <s v="MMR012CMP114"/>
    <x v="0"/>
    <m/>
  </r>
  <r>
    <x v="0"/>
    <x v="0"/>
    <x v="1"/>
    <x v="18"/>
    <x v="290"/>
    <n v="2005"/>
    <n v="11625"/>
    <m/>
    <s v="DFID/HARP"/>
    <d v="2020-09-30T00:00:00"/>
    <n v="0"/>
    <s v="No"/>
    <n v="0"/>
    <n v="0"/>
    <n v="0"/>
    <n v="62"/>
    <n v="0"/>
    <n v="0"/>
    <n v="93"/>
    <m/>
    <n v="98"/>
    <n v="55"/>
    <n v="91"/>
    <n v="19"/>
    <n v="0"/>
    <s v="for this quarter"/>
    <n v="344"/>
    <n v="134"/>
    <n v="337"/>
    <m/>
    <n v="385"/>
    <x v="0"/>
    <x v="0"/>
    <n v="0"/>
    <n v="0"/>
    <m/>
    <n v="1"/>
    <s v="Household"/>
    <n v="0"/>
    <n v="0"/>
    <n v="3"/>
    <n v="2006"/>
    <n v="2006"/>
    <x v="1"/>
    <m/>
    <m/>
    <m/>
    <m/>
    <n v="0.56122448979591832"/>
    <n v="0.2087912087912088"/>
    <x v="0"/>
    <n v="1"/>
    <n v="1"/>
    <n v="1"/>
    <n v="11625"/>
    <n v="0"/>
    <n v="0"/>
    <n v="1"/>
    <n v="11625"/>
    <n v="23.25"/>
    <n v="0"/>
    <n v="0"/>
    <n v="0"/>
    <n v="23"/>
    <n v="478"/>
    <n v="0.59182795698924728"/>
    <n v="6880"/>
    <n v="0.17720430107526883"/>
    <n v="103"/>
    <n v="581"/>
    <n v="0.28033472803347281"/>
    <n v="6740"/>
    <n v="1500"/>
    <n v="1"/>
    <n v="0"/>
    <n v="1"/>
    <n v="11625"/>
    <n v="1"/>
    <n v="0"/>
    <n v="0.12903225806451613"/>
    <n v="1"/>
    <n v="1"/>
    <n v="10030"/>
    <n v="10030"/>
    <n v="10030"/>
    <n v="2005"/>
    <s v="Yes"/>
    <n v="0"/>
    <x v="1"/>
    <x v="0"/>
    <x v="9"/>
    <x v="5"/>
    <n v="20.16846"/>
    <n v="92.827427"/>
    <s v="MMR012CMP041"/>
    <x v="0"/>
    <m/>
  </r>
  <r>
    <x v="0"/>
    <x v="0"/>
    <x v="1"/>
    <x v="18"/>
    <x v="291"/>
    <n v="601"/>
    <n v="3360"/>
    <m/>
    <s v="DFID/HARP"/>
    <d v="2020-09-30T00:00:00"/>
    <n v="0"/>
    <s v="No"/>
    <n v="0"/>
    <n v="0"/>
    <n v="0"/>
    <n v="19"/>
    <n v="0"/>
    <n v="0"/>
    <n v="21"/>
    <m/>
    <n v="20"/>
    <n v="12"/>
    <n v="32"/>
    <n v="2"/>
    <n v="0"/>
    <s v="for this quarter"/>
    <n v="0"/>
    <n v="0"/>
    <m/>
    <m/>
    <n v="0"/>
    <x v="4"/>
    <x v="4"/>
    <n v="0"/>
    <n v="0"/>
    <m/>
    <n v="1"/>
    <s v="Household"/>
    <n v="0"/>
    <n v="0"/>
    <n v="1"/>
    <n v="596"/>
    <n v="596"/>
    <x v="1"/>
    <m/>
    <m/>
    <m/>
    <m/>
    <n v="0.6"/>
    <n v="6.25E-2"/>
    <x v="0"/>
    <n v="1"/>
    <n v="1"/>
    <n v="1"/>
    <n v="3360"/>
    <n v="0"/>
    <n v="0"/>
    <n v="1"/>
    <n v="3360"/>
    <n v="6.72"/>
    <n v="0"/>
    <n v="0"/>
    <n v="0.28000000000000025"/>
    <n v="7"/>
    <n v="0"/>
    <n v="0"/>
    <n v="0"/>
    <n v="1"/>
    <n v="168"/>
    <n v="168"/>
    <n v="0"/>
    <n v="0"/>
    <n v="500"/>
    <n v="0"/>
    <n v="0"/>
    <n v="0"/>
    <n v="0"/>
    <n v="0"/>
    <n v="1"/>
    <n v="0.14880952380952381"/>
    <n v="0.99168053244592347"/>
    <n v="0.99168053244592347"/>
    <n v="2980"/>
    <n v="2980"/>
    <n v="2980"/>
    <n v="601"/>
    <s v="Yes"/>
    <n v="0"/>
    <x v="1"/>
    <x v="0"/>
    <x v="1"/>
    <x v="5"/>
    <n v="20.167421999999998"/>
    <n v="92.830074999999994"/>
    <s v="MMR012CMP097"/>
    <x v="0"/>
    <m/>
  </r>
  <r>
    <x v="0"/>
    <x v="0"/>
    <x v="1"/>
    <x v="18"/>
    <x v="292"/>
    <n v="400"/>
    <n v="2186"/>
    <m/>
    <s v="DFID/HARP"/>
    <d v="2020-09-30T00:00:00"/>
    <n v="0"/>
    <s v="No"/>
    <n v="0"/>
    <n v="0"/>
    <n v="0"/>
    <n v="28"/>
    <n v="0"/>
    <n v="0"/>
    <n v="27"/>
    <m/>
    <n v="31"/>
    <n v="23"/>
    <n v="32"/>
    <n v="7"/>
    <n v="0"/>
    <s v="for this quarter"/>
    <n v="78"/>
    <n v="26"/>
    <n v="113"/>
    <m/>
    <n v="102"/>
    <x v="0"/>
    <x v="2"/>
    <n v="0"/>
    <n v="0"/>
    <m/>
    <n v="1"/>
    <s v="Household"/>
    <n v="0"/>
    <n v="0"/>
    <n v="1"/>
    <n v="400"/>
    <n v="400"/>
    <x v="1"/>
    <m/>
    <m/>
    <m/>
    <m/>
    <n v="0.74193548387096775"/>
    <n v="0.21875"/>
    <x v="0"/>
    <n v="1"/>
    <n v="1"/>
    <n v="1"/>
    <n v="2186"/>
    <n v="0"/>
    <n v="0"/>
    <n v="1"/>
    <n v="2186"/>
    <n v="4.3719999999999999"/>
    <n v="0"/>
    <n v="0"/>
    <n v="0"/>
    <n v="4"/>
    <n v="104"/>
    <n v="0.7136322049405307"/>
    <n v="1560"/>
    <n v="4.5745654162854532E-2"/>
    <n v="5"/>
    <n v="109"/>
    <n v="0.25"/>
    <n v="2186"/>
    <n v="500"/>
    <n v="1"/>
    <n v="0"/>
    <n v="1"/>
    <n v="2186"/>
    <n v="1"/>
    <n v="0"/>
    <n v="0.22872827081427263"/>
    <n v="1"/>
    <n v="1"/>
    <n v="2000"/>
    <n v="2000"/>
    <n v="2000"/>
    <n v="400"/>
    <n v="0"/>
    <n v="0"/>
    <x v="1"/>
    <x v="0"/>
    <x v="3"/>
    <x v="5"/>
    <n v="20.180194"/>
    <n v="92.816638999999995"/>
    <s v="MMR012CMP102"/>
    <x v="0"/>
    <m/>
  </r>
  <r>
    <x v="0"/>
    <x v="7"/>
    <x v="1"/>
    <x v="16"/>
    <x v="293"/>
    <n v="204"/>
    <n v="1055"/>
    <m/>
    <s v="OFDA"/>
    <d v="2019-03-31T00:00:00"/>
    <n v="0"/>
    <s v="No"/>
    <n v="0"/>
    <n v="0"/>
    <n v="0"/>
    <n v="0"/>
    <n v="0"/>
    <n v="2"/>
    <n v="1"/>
    <m/>
    <n v="0"/>
    <n v="0"/>
    <n v="0"/>
    <n v="0"/>
    <n v="0"/>
    <m/>
    <n v="45"/>
    <n v="20"/>
    <n v="0"/>
    <m/>
    <n v="70"/>
    <x v="4"/>
    <x v="4"/>
    <n v="0"/>
    <n v="0"/>
    <m/>
    <n v="0"/>
    <s v="Household"/>
    <n v="0"/>
    <n v="0"/>
    <n v="3"/>
    <n v="0"/>
    <n v="0"/>
    <x v="0"/>
    <m/>
    <m/>
    <m/>
    <m/>
    <s v="no test"/>
    <s v="no test"/>
    <x v="1"/>
    <n v="0"/>
    <n v="0"/>
    <n v="0"/>
    <n v="0"/>
    <n v="0.47393364928909953"/>
    <n v="500"/>
    <n v="0.47393364928909953"/>
    <n v="500"/>
    <n v="1"/>
    <n v="0.52606635071090047"/>
    <n v="555"/>
    <n v="1"/>
    <n v="2"/>
    <n v="65"/>
    <n v="0.25592417061611372"/>
    <n v="270"/>
    <n v="0.63127962085308054"/>
    <n v="111"/>
    <n v="176"/>
    <n v="0.30769230769230771"/>
    <s v="N/A"/>
    <n v="1055"/>
    <n v="0"/>
    <n v="1"/>
    <n v="0"/>
    <n v="0"/>
    <n v="0"/>
    <n v="1"/>
    <n v="1"/>
    <n v="0"/>
    <n v="0"/>
    <n v="0"/>
    <n v="0"/>
    <n v="0"/>
    <n v="0"/>
    <n v="0"/>
    <n v="0"/>
    <x v="3"/>
    <x v="2"/>
    <x v="7"/>
    <x v="3"/>
    <n v="20.0839"/>
    <n v="92.993799999999993"/>
    <s v="197557"/>
    <x v="0"/>
    <m/>
  </r>
  <r>
    <x v="0"/>
    <x v="12"/>
    <x v="1"/>
    <x v="18"/>
    <x v="294"/>
    <n v="400"/>
    <n v="2248"/>
    <n v="276"/>
    <s v="UNICEF"/>
    <d v="2018-11-30T00:00:00"/>
    <n v="0"/>
    <s v="Yes"/>
    <n v="0"/>
    <n v="0"/>
    <n v="0"/>
    <n v="30"/>
    <n v="0"/>
    <n v="0"/>
    <m/>
    <n v="1"/>
    <n v="16"/>
    <n v="11"/>
    <n v="24"/>
    <n v="24"/>
    <n v="0"/>
    <m/>
    <n v="142"/>
    <n v="0"/>
    <n v="0"/>
    <m/>
    <n v="142"/>
    <x v="0"/>
    <x v="0"/>
    <n v="0"/>
    <n v="0"/>
    <m/>
    <n v="0"/>
    <s v="Both"/>
    <n v="399"/>
    <n v="0"/>
    <n v="8"/>
    <n v="400"/>
    <n v="400"/>
    <x v="0"/>
    <n v="1"/>
    <n v="1"/>
    <n v="9"/>
    <m/>
    <n v="0.6875"/>
    <n v="1"/>
    <x v="0"/>
    <n v="1"/>
    <n v="1"/>
    <n v="1"/>
    <n v="2248"/>
    <n v="0"/>
    <n v="0"/>
    <n v="1"/>
    <n v="2248"/>
    <n v="4.4960000000000004"/>
    <n v="0"/>
    <n v="0"/>
    <n v="0"/>
    <n v="4"/>
    <n v="142"/>
    <n v="1"/>
    <n v="2248"/>
    <n v="0"/>
    <n v="0"/>
    <n v="112"/>
    <n v="0"/>
    <n v="0"/>
    <n v="2248"/>
    <n v="1"/>
    <n v="1"/>
    <n v="1"/>
    <n v="2248"/>
    <n v="1"/>
    <n v="0"/>
    <n v="1"/>
    <n v="1"/>
    <n v="1"/>
    <n v="2000"/>
    <n v="2000"/>
    <n v="2000"/>
    <n v="0"/>
    <s v="Yes"/>
    <n v="0"/>
    <x v="1"/>
    <x v="0"/>
    <x v="9"/>
    <x v="5"/>
    <n v="20.181778000000001"/>
    <n v="92.823166999999998"/>
    <s v="MMR012CMP042"/>
    <x v="0"/>
    <m/>
  </r>
  <r>
    <x v="0"/>
    <x v="7"/>
    <x v="1"/>
    <x v="16"/>
    <x v="295"/>
    <n v="948"/>
    <n v="3946"/>
    <m/>
    <s v="OFDA"/>
    <d v="2019-03-31T00:00:00"/>
    <n v="0"/>
    <s v="No"/>
    <n v="0"/>
    <n v="0"/>
    <n v="50"/>
    <n v="8"/>
    <n v="0"/>
    <n v="0"/>
    <n v="0"/>
    <m/>
    <n v="0"/>
    <n v="0"/>
    <n v="0"/>
    <n v="0"/>
    <n v="0"/>
    <m/>
    <n v="243"/>
    <n v="97"/>
    <n v="0"/>
    <m/>
    <n v="340"/>
    <x v="4"/>
    <x v="0"/>
    <n v="4"/>
    <n v="7"/>
    <m/>
    <n v="0.45"/>
    <s v="Both"/>
    <n v="0"/>
    <n v="0"/>
    <n v="7"/>
    <n v="0"/>
    <n v="0"/>
    <x v="0"/>
    <m/>
    <m/>
    <m/>
    <m/>
    <s v="no test"/>
    <s v="no test"/>
    <x v="1"/>
    <n v="1"/>
    <n v="1"/>
    <n v="1"/>
    <n v="3946"/>
    <n v="0"/>
    <n v="0"/>
    <n v="1"/>
    <n v="3946"/>
    <n v="7.8920000000000003"/>
    <n v="0"/>
    <n v="0"/>
    <n v="0.10799999999999965"/>
    <n v="8"/>
    <n v="340"/>
    <n v="0.36948808920425746"/>
    <n v="1458"/>
    <n v="0.48352762290927526"/>
    <n v="318"/>
    <n v="658"/>
    <n v="0.28529411764705881"/>
    <s v="N/A"/>
    <n v="3500"/>
    <n v="0"/>
    <n v="1"/>
    <n v="0"/>
    <n v="0"/>
    <n v="0"/>
    <n v="1"/>
    <n v="0.88697415103902688"/>
    <n v="0"/>
    <n v="0"/>
    <n v="0"/>
    <n v="0"/>
    <n v="0"/>
    <n v="426.6"/>
    <n v="0"/>
    <n v="0"/>
    <x v="3"/>
    <x v="2"/>
    <x v="7"/>
    <x v="5"/>
    <n v="20.0641"/>
    <n v="92.994600000000005"/>
    <s v="197548"/>
    <x v="0"/>
    <m/>
  </r>
  <r>
    <x v="0"/>
    <x v="7"/>
    <x v="1"/>
    <x v="16"/>
    <x v="296"/>
    <n v="477"/>
    <n v="2034"/>
    <m/>
    <s v="OFDA"/>
    <d v="2019-03-31T00:00:00"/>
    <n v="0"/>
    <s v="No"/>
    <n v="0"/>
    <n v="0"/>
    <n v="15"/>
    <n v="7"/>
    <n v="0"/>
    <n v="2"/>
    <n v="0"/>
    <m/>
    <n v="0"/>
    <n v="0"/>
    <n v="0"/>
    <n v="0"/>
    <n v="0"/>
    <m/>
    <n v="102"/>
    <n v="74"/>
    <n v="0"/>
    <m/>
    <n v="176"/>
    <x v="4"/>
    <x v="0"/>
    <n v="0"/>
    <n v="0"/>
    <s v="Village approach(Agency regular provide only cleaning mateirals)"/>
    <n v="0"/>
    <s v="Household"/>
    <n v="0"/>
    <n v="0"/>
    <n v="4"/>
    <n v="0"/>
    <n v="0"/>
    <x v="0"/>
    <m/>
    <m/>
    <m/>
    <m/>
    <s v="no test"/>
    <s v="no test"/>
    <x v="1"/>
    <n v="1"/>
    <n v="1"/>
    <n v="1"/>
    <n v="2034"/>
    <n v="0.24582104228121926"/>
    <n v="500"/>
    <n v="1"/>
    <n v="2034"/>
    <n v="4.0679999999999996"/>
    <n v="0"/>
    <n v="0"/>
    <n v="0"/>
    <n v="4"/>
    <n v="176"/>
    <n v="0.30088495575221241"/>
    <n v="612"/>
    <n v="0.4808259587020649"/>
    <n v="163"/>
    <n v="339"/>
    <n v="0.42045454545454547"/>
    <s v="N/A"/>
    <n v="2000"/>
    <n v="0"/>
    <n v="1"/>
    <n v="0"/>
    <n v="0"/>
    <n v="0"/>
    <n v="1"/>
    <n v="0.98328416912487704"/>
    <n v="0"/>
    <n v="0"/>
    <n v="0"/>
    <n v="0"/>
    <n v="0"/>
    <n v="0"/>
    <n v="0"/>
    <n v="0"/>
    <x v="3"/>
    <x v="2"/>
    <x v="7"/>
    <x v="3"/>
    <n v="20.057860999999999"/>
    <n v="92.995181000000002"/>
    <s v="197550"/>
    <x v="0"/>
    <m/>
  </r>
  <r>
    <x v="0"/>
    <x v="2"/>
    <x v="1"/>
    <x v="23"/>
    <x v="297"/>
    <n v="72"/>
    <n v="360"/>
    <m/>
    <m/>
    <m/>
    <m/>
    <s v="No"/>
    <n v="0"/>
    <n v="0"/>
    <n v="0"/>
    <m/>
    <m/>
    <m/>
    <n v="0"/>
    <m/>
    <m/>
    <m/>
    <m/>
    <m/>
    <m/>
    <m/>
    <n v="5"/>
    <m/>
    <m/>
    <m/>
    <n v="0"/>
    <x v="1"/>
    <x v="1"/>
    <m/>
    <m/>
    <m/>
    <n v="0"/>
    <m/>
    <n v="0"/>
    <m/>
    <n v="0"/>
    <m/>
    <m/>
    <x v="0"/>
    <m/>
    <m/>
    <m/>
    <m/>
    <s v="no test"/>
    <s v="no test"/>
    <x v="1"/>
    <n v="0"/>
    <n v="0"/>
    <n v="0"/>
    <n v="0"/>
    <n v="0"/>
    <n v="0"/>
    <n v="0"/>
    <n v="0"/>
    <n v="0"/>
    <n v="1"/>
    <n v="360"/>
    <n v="1"/>
    <n v="1"/>
    <n v="5"/>
    <n v="8.3333333333333329E-2"/>
    <n v="30"/>
    <n v="0.91666666666666663"/>
    <n v="55"/>
    <n v="60"/>
    <n v="0"/>
    <s v="N/A"/>
    <n v="0"/>
    <n v="0"/>
    <n v="0"/>
    <n v="0"/>
    <n v="0"/>
    <n v="0"/>
    <n v="1"/>
    <n v="0"/>
    <n v="0"/>
    <n v="0"/>
    <n v="0"/>
    <n v="0"/>
    <n v="0"/>
    <n v="0"/>
    <n v="0"/>
    <n v="0"/>
    <x v="3"/>
    <x v="2"/>
    <x v="7"/>
    <x v="5"/>
    <n v="20.494340897000001"/>
    <n v="93.054298400999997"/>
    <s v="196350"/>
    <x v="1"/>
    <m/>
  </r>
  <r>
    <x v="0"/>
    <x v="2"/>
    <x v="1"/>
    <x v="23"/>
    <x v="298"/>
    <n v="324"/>
    <n v="1618"/>
    <m/>
    <m/>
    <m/>
    <m/>
    <s v="No"/>
    <n v="0"/>
    <n v="0"/>
    <n v="0"/>
    <m/>
    <m/>
    <m/>
    <n v="0"/>
    <m/>
    <m/>
    <m/>
    <m/>
    <m/>
    <m/>
    <m/>
    <n v="45"/>
    <m/>
    <m/>
    <m/>
    <n v="0"/>
    <x v="1"/>
    <x v="1"/>
    <m/>
    <m/>
    <m/>
    <n v="0"/>
    <m/>
    <n v="0"/>
    <m/>
    <n v="0"/>
    <m/>
    <m/>
    <x v="0"/>
    <m/>
    <m/>
    <m/>
    <m/>
    <s v="no test"/>
    <s v="no test"/>
    <x v="1"/>
    <n v="0"/>
    <n v="0"/>
    <n v="0"/>
    <n v="0"/>
    <n v="0"/>
    <n v="0"/>
    <n v="0"/>
    <n v="0"/>
    <n v="0"/>
    <n v="1"/>
    <n v="1618"/>
    <n v="3"/>
    <n v="3"/>
    <n v="45"/>
    <n v="0.1668726823238566"/>
    <n v="270"/>
    <n v="0.83436341161928296"/>
    <n v="225"/>
    <n v="270"/>
    <n v="0"/>
    <s v="N/A"/>
    <n v="0"/>
    <n v="0"/>
    <n v="0"/>
    <n v="0"/>
    <n v="0"/>
    <n v="0"/>
    <n v="1"/>
    <n v="0"/>
    <n v="0"/>
    <n v="0"/>
    <n v="0"/>
    <n v="0"/>
    <n v="0"/>
    <n v="0"/>
    <n v="0"/>
    <n v="0"/>
    <x v="3"/>
    <x v="2"/>
    <x v="7"/>
    <x v="5"/>
    <n v="20.608819961999998"/>
    <n v="93.022407532000003"/>
    <s v="196318"/>
    <x v="1"/>
    <m/>
  </r>
  <r>
    <x v="0"/>
    <x v="2"/>
    <x v="1"/>
    <x v="23"/>
    <x v="299"/>
    <n v="149"/>
    <n v="747"/>
    <m/>
    <m/>
    <m/>
    <m/>
    <s v="No"/>
    <n v="0"/>
    <n v="0"/>
    <n v="0"/>
    <m/>
    <m/>
    <m/>
    <n v="0"/>
    <m/>
    <m/>
    <m/>
    <m/>
    <m/>
    <m/>
    <m/>
    <n v="0"/>
    <m/>
    <m/>
    <m/>
    <n v="0"/>
    <x v="1"/>
    <x v="1"/>
    <m/>
    <m/>
    <m/>
    <n v="0"/>
    <m/>
    <n v="0"/>
    <m/>
    <n v="0"/>
    <m/>
    <m/>
    <x v="0"/>
    <m/>
    <m/>
    <m/>
    <m/>
    <s v="no test"/>
    <s v="no test"/>
    <x v="1"/>
    <n v="0"/>
    <n v="0"/>
    <n v="0"/>
    <n v="0"/>
    <n v="0"/>
    <n v="0"/>
    <n v="0"/>
    <n v="0"/>
    <n v="0"/>
    <n v="1"/>
    <n v="747"/>
    <n v="1"/>
    <n v="1"/>
    <n v="0"/>
    <n v="0"/>
    <n v="0"/>
    <n v="1"/>
    <n v="125"/>
    <n v="125"/>
    <n v="0"/>
    <s v="N/A"/>
    <n v="0"/>
    <n v="0"/>
    <n v="0"/>
    <n v="0"/>
    <n v="0"/>
    <n v="0"/>
    <n v="1"/>
    <n v="0"/>
    <n v="0"/>
    <n v="0"/>
    <n v="0"/>
    <n v="0"/>
    <n v="0"/>
    <n v="0"/>
    <n v="0"/>
    <n v="0"/>
    <x v="3"/>
    <x v="2"/>
    <x v="7"/>
    <x v="3"/>
    <n v="20.630609511999999"/>
    <n v="92.998641968000001"/>
    <s v="196316"/>
    <x v="1"/>
    <m/>
  </r>
  <r>
    <x v="0"/>
    <x v="2"/>
    <x v="1"/>
    <x v="23"/>
    <x v="300"/>
    <n v="83"/>
    <n v="417"/>
    <m/>
    <m/>
    <m/>
    <m/>
    <s v="No"/>
    <n v="0"/>
    <n v="0"/>
    <n v="0"/>
    <m/>
    <m/>
    <m/>
    <n v="0"/>
    <m/>
    <m/>
    <m/>
    <m/>
    <m/>
    <m/>
    <m/>
    <n v="10"/>
    <m/>
    <m/>
    <m/>
    <n v="0"/>
    <x v="1"/>
    <x v="1"/>
    <m/>
    <m/>
    <m/>
    <n v="0"/>
    <m/>
    <n v="0"/>
    <m/>
    <n v="0"/>
    <m/>
    <m/>
    <x v="0"/>
    <m/>
    <m/>
    <m/>
    <m/>
    <s v="no test"/>
    <s v="no test"/>
    <x v="1"/>
    <n v="0"/>
    <n v="0"/>
    <n v="0"/>
    <n v="0"/>
    <n v="0"/>
    <n v="0"/>
    <n v="0"/>
    <n v="0"/>
    <n v="0"/>
    <n v="1"/>
    <n v="417"/>
    <n v="1"/>
    <n v="1"/>
    <n v="10"/>
    <n v="0.14388489208633093"/>
    <n v="60"/>
    <n v="0.86330935251798557"/>
    <n v="60"/>
    <n v="70"/>
    <n v="0"/>
    <s v="N/A"/>
    <n v="0"/>
    <n v="0"/>
    <n v="0"/>
    <n v="0"/>
    <n v="0"/>
    <n v="0"/>
    <n v="1"/>
    <n v="0"/>
    <n v="0"/>
    <n v="0"/>
    <n v="0"/>
    <n v="0"/>
    <n v="0"/>
    <n v="0"/>
    <n v="0"/>
    <n v="0"/>
    <x v="3"/>
    <x v="2"/>
    <x v="7"/>
    <x v="3"/>
    <n v="20.645240783999999"/>
    <n v="92.939758300999998"/>
    <s v="196313"/>
    <x v="1"/>
    <m/>
  </r>
  <r>
    <x v="0"/>
    <x v="2"/>
    <x v="1"/>
    <x v="23"/>
    <x v="301"/>
    <n v="130"/>
    <n v="650"/>
    <m/>
    <m/>
    <m/>
    <m/>
    <s v="No"/>
    <n v="0"/>
    <n v="0"/>
    <n v="0"/>
    <m/>
    <m/>
    <m/>
    <n v="0"/>
    <m/>
    <m/>
    <m/>
    <m/>
    <m/>
    <m/>
    <m/>
    <n v="23"/>
    <m/>
    <m/>
    <m/>
    <n v="0"/>
    <x v="1"/>
    <x v="1"/>
    <m/>
    <m/>
    <m/>
    <n v="0"/>
    <m/>
    <n v="0"/>
    <m/>
    <n v="0"/>
    <m/>
    <m/>
    <x v="0"/>
    <m/>
    <m/>
    <m/>
    <m/>
    <s v="no test"/>
    <s v="no test"/>
    <x v="1"/>
    <n v="0"/>
    <n v="0"/>
    <n v="0"/>
    <n v="0"/>
    <n v="0"/>
    <n v="0"/>
    <n v="0"/>
    <n v="0"/>
    <n v="0"/>
    <n v="1"/>
    <n v="650"/>
    <n v="1"/>
    <n v="1"/>
    <n v="23"/>
    <n v="0.21230769230769231"/>
    <n v="138"/>
    <n v="0.7846153846153846"/>
    <n v="85"/>
    <n v="108"/>
    <n v="0"/>
    <s v="N/A"/>
    <n v="0"/>
    <n v="0"/>
    <n v="0"/>
    <n v="0"/>
    <n v="0"/>
    <n v="0"/>
    <n v="1"/>
    <n v="0"/>
    <n v="0"/>
    <n v="0"/>
    <n v="0"/>
    <n v="0"/>
    <n v="0"/>
    <n v="0"/>
    <n v="0"/>
    <n v="0"/>
    <x v="3"/>
    <x v="2"/>
    <x v="7"/>
    <x v="3"/>
    <n v="20.482030868999999"/>
    <n v="93.045410156000003"/>
    <s v="196349"/>
    <x v="1"/>
    <m/>
  </r>
  <r>
    <x v="0"/>
    <x v="2"/>
    <x v="1"/>
    <x v="23"/>
    <x v="302"/>
    <n v="82"/>
    <n v="408"/>
    <m/>
    <m/>
    <m/>
    <m/>
    <s v="No"/>
    <n v="0"/>
    <n v="0"/>
    <n v="0"/>
    <m/>
    <m/>
    <m/>
    <n v="0"/>
    <m/>
    <m/>
    <m/>
    <m/>
    <m/>
    <m/>
    <m/>
    <n v="0"/>
    <m/>
    <m/>
    <m/>
    <n v="0"/>
    <x v="1"/>
    <x v="1"/>
    <m/>
    <m/>
    <m/>
    <n v="0"/>
    <m/>
    <n v="0"/>
    <m/>
    <n v="0"/>
    <m/>
    <m/>
    <x v="0"/>
    <m/>
    <m/>
    <m/>
    <m/>
    <s v="no test"/>
    <s v="no test"/>
    <x v="1"/>
    <n v="0"/>
    <n v="0"/>
    <n v="0"/>
    <n v="0"/>
    <n v="0"/>
    <n v="0"/>
    <n v="0"/>
    <n v="0"/>
    <n v="0"/>
    <n v="1"/>
    <n v="408"/>
    <n v="1"/>
    <n v="1"/>
    <n v="0"/>
    <n v="0"/>
    <n v="0"/>
    <n v="1"/>
    <n v="68"/>
    <n v="68"/>
    <n v="0"/>
    <s v="N/A"/>
    <n v="0"/>
    <n v="0"/>
    <n v="0"/>
    <n v="0"/>
    <n v="0"/>
    <n v="0"/>
    <n v="1"/>
    <n v="0"/>
    <n v="0"/>
    <n v="0"/>
    <n v="0"/>
    <n v="0"/>
    <n v="0"/>
    <n v="0"/>
    <n v="0"/>
    <n v="0"/>
    <x v="3"/>
    <x v="2"/>
    <x v="7"/>
    <x v="3"/>
    <n v="20.632720946999999"/>
    <n v="92.940132141000007"/>
    <s v="196312"/>
    <x v="1"/>
    <m/>
  </r>
  <r>
    <x v="0"/>
    <x v="2"/>
    <x v="1"/>
    <x v="23"/>
    <x v="303"/>
    <n v="246"/>
    <n v="1232"/>
    <m/>
    <m/>
    <m/>
    <m/>
    <s v="No"/>
    <n v="0"/>
    <n v="0"/>
    <n v="0"/>
    <m/>
    <m/>
    <m/>
    <n v="0"/>
    <m/>
    <m/>
    <m/>
    <m/>
    <m/>
    <m/>
    <m/>
    <n v="42"/>
    <m/>
    <m/>
    <m/>
    <n v="0"/>
    <x v="1"/>
    <x v="1"/>
    <m/>
    <m/>
    <m/>
    <n v="0"/>
    <m/>
    <n v="0"/>
    <m/>
    <n v="0"/>
    <m/>
    <m/>
    <x v="0"/>
    <m/>
    <m/>
    <m/>
    <m/>
    <s v="no test"/>
    <s v="no test"/>
    <x v="1"/>
    <n v="0"/>
    <n v="0"/>
    <n v="0"/>
    <n v="0"/>
    <n v="0"/>
    <n v="0"/>
    <n v="0"/>
    <n v="0"/>
    <n v="0"/>
    <n v="1"/>
    <n v="1232"/>
    <n v="2"/>
    <n v="2"/>
    <n v="42"/>
    <n v="0.20454545454545456"/>
    <n v="252.00000000000003"/>
    <n v="0.79383116883116878"/>
    <n v="163"/>
    <n v="205"/>
    <n v="0"/>
    <s v="N/A"/>
    <n v="0"/>
    <n v="0"/>
    <n v="0"/>
    <n v="0"/>
    <n v="0"/>
    <n v="0"/>
    <n v="1"/>
    <n v="0"/>
    <n v="0"/>
    <n v="0"/>
    <n v="0"/>
    <n v="0"/>
    <n v="0"/>
    <n v="0"/>
    <n v="0"/>
    <n v="0"/>
    <x v="3"/>
    <x v="2"/>
    <x v="7"/>
    <x v="3"/>
    <n v="20.596279144"/>
    <n v="92.987480164000004"/>
    <s v="196321"/>
    <x v="1"/>
    <m/>
  </r>
  <r>
    <x v="0"/>
    <x v="2"/>
    <x v="1"/>
    <x v="23"/>
    <x v="304"/>
    <n v="362"/>
    <n v="1811"/>
    <m/>
    <m/>
    <m/>
    <m/>
    <s v="No"/>
    <n v="0"/>
    <n v="0"/>
    <n v="0"/>
    <n v="4"/>
    <m/>
    <m/>
    <n v="0"/>
    <m/>
    <m/>
    <m/>
    <m/>
    <m/>
    <m/>
    <m/>
    <n v="141"/>
    <m/>
    <m/>
    <m/>
    <n v="141"/>
    <x v="1"/>
    <x v="1"/>
    <m/>
    <m/>
    <m/>
    <n v="0"/>
    <m/>
    <n v="0"/>
    <m/>
    <n v="0"/>
    <m/>
    <m/>
    <x v="0"/>
    <m/>
    <m/>
    <m/>
    <m/>
    <s v="no test"/>
    <s v="no test"/>
    <x v="1"/>
    <n v="1"/>
    <n v="0.55218111540585313"/>
    <n v="0.55218111540585313"/>
    <n v="1000"/>
    <n v="0"/>
    <n v="0"/>
    <n v="0.55218111540585313"/>
    <n v="1000"/>
    <n v="2"/>
    <n v="0.44781888459414687"/>
    <n v="811"/>
    <n v="2"/>
    <n v="4"/>
    <n v="141"/>
    <n v="0.46714522363335176"/>
    <n v="846"/>
    <n v="0.53340695748205413"/>
    <n v="161"/>
    <n v="302"/>
    <n v="0"/>
    <s v="N/A"/>
    <n v="0"/>
    <n v="0"/>
    <n v="0"/>
    <n v="0"/>
    <n v="0"/>
    <n v="0"/>
    <n v="1"/>
    <n v="0"/>
    <n v="0"/>
    <n v="0"/>
    <n v="0"/>
    <n v="0"/>
    <n v="0"/>
    <n v="0"/>
    <n v="0"/>
    <n v="0"/>
    <x v="3"/>
    <x v="2"/>
    <x v="7"/>
    <x v="3"/>
    <n v="20.268000000000001"/>
    <n v="92.977999999999994"/>
    <s v="196408"/>
    <x v="1"/>
    <m/>
  </r>
  <r>
    <x v="0"/>
    <x v="2"/>
    <x v="1"/>
    <x v="23"/>
    <x v="305"/>
    <n v="139"/>
    <n v="695"/>
    <m/>
    <m/>
    <m/>
    <m/>
    <s v="No"/>
    <n v="0"/>
    <n v="0"/>
    <n v="0"/>
    <n v="0"/>
    <m/>
    <m/>
    <n v="0"/>
    <m/>
    <m/>
    <m/>
    <m/>
    <m/>
    <m/>
    <m/>
    <n v="44"/>
    <m/>
    <m/>
    <m/>
    <n v="44"/>
    <x v="1"/>
    <x v="1"/>
    <m/>
    <m/>
    <m/>
    <n v="0"/>
    <m/>
    <n v="0"/>
    <m/>
    <n v="0"/>
    <m/>
    <m/>
    <x v="0"/>
    <m/>
    <m/>
    <m/>
    <m/>
    <s v="no test"/>
    <s v="no test"/>
    <x v="1"/>
    <n v="0"/>
    <n v="0"/>
    <n v="0"/>
    <n v="0"/>
    <n v="0"/>
    <n v="0"/>
    <n v="0"/>
    <n v="0"/>
    <n v="0"/>
    <n v="1"/>
    <n v="695"/>
    <n v="1"/>
    <n v="1"/>
    <n v="44"/>
    <n v="0.37985611510791367"/>
    <n v="264"/>
    <n v="0.62158273381294971"/>
    <n v="72"/>
    <n v="116"/>
    <n v="0"/>
    <s v="N/A"/>
    <n v="0"/>
    <n v="0"/>
    <n v="0"/>
    <n v="0"/>
    <n v="0"/>
    <n v="0"/>
    <n v="1"/>
    <n v="0"/>
    <n v="0"/>
    <n v="0"/>
    <n v="0"/>
    <n v="0"/>
    <n v="0"/>
    <n v="0"/>
    <n v="0"/>
    <n v="0"/>
    <x v="3"/>
    <x v="2"/>
    <x v="7"/>
    <x v="3"/>
    <n v="20.292100000000001"/>
    <n v="92.994100000000003"/>
    <s v="196377"/>
    <x v="1"/>
    <m/>
  </r>
  <r>
    <x v="0"/>
    <x v="2"/>
    <x v="1"/>
    <x v="23"/>
    <x v="306"/>
    <n v="91"/>
    <n v="456"/>
    <m/>
    <m/>
    <m/>
    <m/>
    <s v="No"/>
    <n v="0"/>
    <n v="0"/>
    <n v="0"/>
    <m/>
    <m/>
    <m/>
    <n v="0"/>
    <m/>
    <m/>
    <m/>
    <m/>
    <m/>
    <m/>
    <m/>
    <n v="6"/>
    <m/>
    <m/>
    <m/>
    <n v="0"/>
    <x v="1"/>
    <x v="1"/>
    <m/>
    <m/>
    <m/>
    <n v="0"/>
    <m/>
    <n v="0"/>
    <m/>
    <n v="0"/>
    <m/>
    <m/>
    <x v="0"/>
    <m/>
    <m/>
    <m/>
    <m/>
    <s v="no test"/>
    <s v="no test"/>
    <x v="1"/>
    <n v="0"/>
    <n v="0"/>
    <n v="0"/>
    <n v="0"/>
    <n v="0"/>
    <n v="0"/>
    <n v="0"/>
    <n v="0"/>
    <n v="0"/>
    <n v="1"/>
    <n v="456"/>
    <n v="1"/>
    <n v="1"/>
    <n v="6"/>
    <n v="7.8947368421052627E-2"/>
    <n v="36"/>
    <n v="0.92105263157894735"/>
    <n v="70"/>
    <n v="76"/>
    <n v="0"/>
    <s v="N/A"/>
    <n v="0"/>
    <n v="0"/>
    <n v="0"/>
    <n v="0"/>
    <n v="0"/>
    <n v="0"/>
    <n v="1"/>
    <n v="0"/>
    <n v="0"/>
    <n v="0"/>
    <n v="0"/>
    <n v="0"/>
    <n v="0"/>
    <n v="0"/>
    <n v="0"/>
    <n v="0"/>
    <x v="3"/>
    <x v="2"/>
    <x v="7"/>
    <x v="3"/>
    <n v="20.509660720999999"/>
    <n v="92.997230529999996"/>
    <s v="196337"/>
    <x v="1"/>
    <m/>
  </r>
  <r>
    <x v="0"/>
    <x v="2"/>
    <x v="1"/>
    <x v="23"/>
    <x v="307"/>
    <n v="97"/>
    <n v="487"/>
    <m/>
    <m/>
    <m/>
    <m/>
    <s v="No"/>
    <n v="0"/>
    <n v="0"/>
    <n v="0"/>
    <m/>
    <m/>
    <m/>
    <n v="0"/>
    <m/>
    <m/>
    <m/>
    <m/>
    <m/>
    <m/>
    <m/>
    <n v="5"/>
    <m/>
    <m/>
    <m/>
    <n v="0"/>
    <x v="1"/>
    <x v="1"/>
    <m/>
    <m/>
    <m/>
    <n v="0"/>
    <m/>
    <n v="0"/>
    <m/>
    <n v="0"/>
    <m/>
    <m/>
    <x v="0"/>
    <m/>
    <m/>
    <m/>
    <m/>
    <s v="no test"/>
    <s v="no test"/>
    <x v="1"/>
    <n v="0"/>
    <n v="0"/>
    <n v="0"/>
    <n v="0"/>
    <n v="0"/>
    <n v="0"/>
    <n v="0"/>
    <n v="0"/>
    <n v="0"/>
    <n v="1"/>
    <n v="487"/>
    <n v="1"/>
    <n v="1"/>
    <n v="5"/>
    <n v="6.1601642710472276E-2"/>
    <n v="30"/>
    <n v="0.93634496919917864"/>
    <n v="76"/>
    <n v="81"/>
    <n v="0"/>
    <s v="N/A"/>
    <n v="0"/>
    <n v="0"/>
    <n v="0"/>
    <n v="0"/>
    <n v="0"/>
    <n v="0"/>
    <n v="1"/>
    <n v="0"/>
    <n v="0"/>
    <n v="0"/>
    <n v="0"/>
    <n v="0"/>
    <n v="0"/>
    <n v="0"/>
    <n v="0"/>
    <n v="0"/>
    <x v="3"/>
    <x v="2"/>
    <x v="7"/>
    <x v="3"/>
    <n v="20.361530303999999"/>
    <n v="92.992073059000006"/>
    <s v="196359"/>
    <x v="1"/>
    <m/>
  </r>
  <r>
    <x v="0"/>
    <x v="2"/>
    <x v="1"/>
    <x v="23"/>
    <x v="308"/>
    <n v="26"/>
    <n v="130"/>
    <m/>
    <m/>
    <m/>
    <m/>
    <s v="No"/>
    <n v="0"/>
    <n v="0"/>
    <n v="0"/>
    <m/>
    <m/>
    <m/>
    <n v="0"/>
    <m/>
    <m/>
    <m/>
    <m/>
    <m/>
    <m/>
    <m/>
    <n v="5"/>
    <m/>
    <m/>
    <m/>
    <n v="0"/>
    <x v="1"/>
    <x v="1"/>
    <m/>
    <m/>
    <m/>
    <n v="0"/>
    <m/>
    <n v="0"/>
    <m/>
    <n v="0"/>
    <m/>
    <m/>
    <x v="0"/>
    <m/>
    <m/>
    <m/>
    <m/>
    <s v="no test"/>
    <s v="no test"/>
    <x v="1"/>
    <n v="0"/>
    <n v="0"/>
    <n v="0"/>
    <n v="0"/>
    <n v="0"/>
    <n v="0"/>
    <n v="0"/>
    <n v="0"/>
    <n v="0"/>
    <n v="1"/>
    <n v="130"/>
    <n v="1"/>
    <n v="1"/>
    <n v="5"/>
    <n v="0.23076923076923078"/>
    <n v="30"/>
    <n v="0.7846153846153846"/>
    <n v="17"/>
    <n v="22"/>
    <n v="0"/>
    <s v="N/A"/>
    <n v="0"/>
    <n v="0"/>
    <n v="0"/>
    <n v="0"/>
    <n v="0"/>
    <n v="0"/>
    <n v="1"/>
    <n v="0"/>
    <n v="0"/>
    <n v="0"/>
    <n v="0"/>
    <n v="0"/>
    <n v="0"/>
    <n v="0"/>
    <n v="0"/>
    <n v="0"/>
    <x v="3"/>
    <x v="2"/>
    <x v="7"/>
    <x v="3"/>
    <n v="20.506580353"/>
    <n v="93.043449401999993"/>
    <s v="196351"/>
    <x v="1"/>
    <m/>
  </r>
  <r>
    <x v="0"/>
    <x v="2"/>
    <x v="1"/>
    <x v="23"/>
    <x v="309"/>
    <n v="97"/>
    <n v="484"/>
    <m/>
    <m/>
    <m/>
    <m/>
    <s v="No"/>
    <n v="0"/>
    <n v="0"/>
    <n v="0"/>
    <m/>
    <m/>
    <m/>
    <n v="0"/>
    <m/>
    <m/>
    <m/>
    <m/>
    <m/>
    <m/>
    <m/>
    <n v="10"/>
    <m/>
    <m/>
    <m/>
    <n v="0"/>
    <x v="1"/>
    <x v="1"/>
    <m/>
    <m/>
    <m/>
    <n v="0"/>
    <m/>
    <n v="0"/>
    <m/>
    <n v="0"/>
    <m/>
    <m/>
    <x v="0"/>
    <m/>
    <m/>
    <m/>
    <m/>
    <s v="no test"/>
    <s v="no test"/>
    <x v="1"/>
    <n v="0"/>
    <n v="0"/>
    <n v="0"/>
    <n v="0"/>
    <n v="0"/>
    <n v="0"/>
    <n v="0"/>
    <n v="0"/>
    <n v="0"/>
    <n v="1"/>
    <n v="484"/>
    <n v="1"/>
    <n v="1"/>
    <n v="10"/>
    <n v="0.12396694214876033"/>
    <n v="60"/>
    <n v="0.8801652892561983"/>
    <n v="71"/>
    <n v="81"/>
    <n v="0"/>
    <s v="N/A"/>
    <n v="0"/>
    <n v="0"/>
    <n v="0"/>
    <n v="0"/>
    <n v="0"/>
    <n v="0"/>
    <n v="1"/>
    <n v="0"/>
    <n v="0"/>
    <n v="0"/>
    <n v="0"/>
    <n v="0"/>
    <n v="0"/>
    <n v="0"/>
    <n v="0"/>
    <n v="0"/>
    <x v="3"/>
    <x v="2"/>
    <x v="7"/>
    <x v="3"/>
    <n v="20.564739227"/>
    <n v="93.064781189000001"/>
    <s v="196331"/>
    <x v="1"/>
    <m/>
  </r>
  <r>
    <x v="0"/>
    <x v="2"/>
    <x v="1"/>
    <x v="23"/>
    <x v="310"/>
    <n v="291"/>
    <n v="1455"/>
    <m/>
    <m/>
    <m/>
    <m/>
    <s v="No"/>
    <n v="0"/>
    <n v="0"/>
    <n v="0"/>
    <n v="0"/>
    <m/>
    <m/>
    <n v="0"/>
    <m/>
    <m/>
    <m/>
    <m/>
    <m/>
    <m/>
    <m/>
    <n v="44"/>
    <m/>
    <m/>
    <m/>
    <n v="44"/>
    <x v="1"/>
    <x v="1"/>
    <m/>
    <m/>
    <m/>
    <n v="0"/>
    <m/>
    <n v="0"/>
    <m/>
    <n v="0"/>
    <m/>
    <m/>
    <x v="0"/>
    <m/>
    <m/>
    <m/>
    <m/>
    <s v="no test"/>
    <s v="no test"/>
    <x v="1"/>
    <n v="0"/>
    <n v="0"/>
    <n v="0"/>
    <n v="0"/>
    <n v="0"/>
    <n v="0"/>
    <n v="0"/>
    <n v="0"/>
    <n v="0"/>
    <n v="1"/>
    <n v="1455"/>
    <n v="3"/>
    <n v="3"/>
    <n v="44"/>
    <n v="0.18144329896907216"/>
    <n v="264"/>
    <n v="0.8206185567010309"/>
    <n v="199"/>
    <n v="243"/>
    <n v="0"/>
    <s v="N/A"/>
    <n v="0"/>
    <n v="0"/>
    <n v="0"/>
    <n v="0"/>
    <n v="0"/>
    <n v="0"/>
    <n v="1"/>
    <n v="0"/>
    <n v="0"/>
    <n v="0"/>
    <n v="0"/>
    <n v="0"/>
    <n v="0"/>
    <n v="0"/>
    <n v="0"/>
    <n v="0"/>
    <x v="3"/>
    <x v="2"/>
    <x v="7"/>
    <x v="3"/>
    <n v="20.424389999999999"/>
    <n v="93.012960000000007"/>
    <s v="196356"/>
    <x v="1"/>
    <m/>
  </r>
  <r>
    <x v="0"/>
    <x v="2"/>
    <x v="1"/>
    <x v="24"/>
    <x v="311"/>
    <n v="367"/>
    <n v="1768"/>
    <m/>
    <m/>
    <m/>
    <n v="0"/>
    <s v="Yes"/>
    <m/>
    <m/>
    <n v="0"/>
    <n v="0"/>
    <n v="0"/>
    <n v="3"/>
    <n v="0"/>
    <m/>
    <m/>
    <m/>
    <m/>
    <m/>
    <m/>
    <m/>
    <n v="0"/>
    <n v="0"/>
    <m/>
    <m/>
    <n v="0"/>
    <x v="4"/>
    <x v="4"/>
    <m/>
    <m/>
    <m/>
    <n v="0"/>
    <s v="Household"/>
    <n v="0"/>
    <n v="0"/>
    <n v="7"/>
    <m/>
    <m/>
    <x v="0"/>
    <m/>
    <m/>
    <m/>
    <m/>
    <s v="no test"/>
    <s v="no test"/>
    <x v="1"/>
    <n v="0"/>
    <n v="0"/>
    <n v="0"/>
    <n v="0"/>
    <n v="0.42420814479638008"/>
    <n v="750"/>
    <n v="0.42420814479638008"/>
    <n v="750"/>
    <n v="1.5"/>
    <n v="0.57579185520361986"/>
    <n v="1017.9999999999999"/>
    <n v="2.5"/>
    <n v="4"/>
    <n v="0"/>
    <n v="0"/>
    <n v="0"/>
    <n v="1"/>
    <n v="295"/>
    <n v="295"/>
    <n v="0"/>
    <s v="N/A"/>
    <n v="1768"/>
    <n v="0"/>
    <n v="1"/>
    <n v="0"/>
    <n v="0"/>
    <n v="0"/>
    <n v="1"/>
    <n v="1"/>
    <n v="0"/>
    <n v="0"/>
    <n v="0"/>
    <n v="0"/>
    <n v="0"/>
    <n v="0"/>
    <n v="0"/>
    <n v="0"/>
    <x v="3"/>
    <x v="2"/>
    <x v="7"/>
    <x v="5"/>
    <n v="20.555610656738299"/>
    <n v="92.643516540527301"/>
    <n v="197593"/>
    <x v="1"/>
    <s v="old MHDO village"/>
  </r>
  <r>
    <x v="0"/>
    <x v="2"/>
    <x v="1"/>
    <x v="24"/>
    <x v="312"/>
    <n v="425"/>
    <n v="2552"/>
    <m/>
    <s v="OFDA"/>
    <d v="2018-04-30T00:00:00"/>
    <m/>
    <s v="Yes"/>
    <n v="0.5"/>
    <n v="0"/>
    <n v="48"/>
    <n v="0"/>
    <n v="0"/>
    <n v="0"/>
    <n v="48"/>
    <m/>
    <m/>
    <m/>
    <m/>
    <m/>
    <m/>
    <s v="no water test"/>
    <n v="328"/>
    <n v="0"/>
    <m/>
    <m/>
    <n v="0"/>
    <x v="1"/>
    <x v="1"/>
    <m/>
    <m/>
    <m/>
    <n v="0"/>
    <m/>
    <n v="580"/>
    <n v="0"/>
    <n v="0"/>
    <m/>
    <m/>
    <x v="0"/>
    <m/>
    <m/>
    <m/>
    <m/>
    <s v="no test"/>
    <s v="no test"/>
    <x v="1"/>
    <n v="1"/>
    <n v="1"/>
    <n v="1"/>
    <n v="2552"/>
    <n v="0"/>
    <n v="0"/>
    <n v="1"/>
    <n v="2552"/>
    <n v="5.1040000000000001"/>
    <n v="0"/>
    <n v="0"/>
    <n v="0"/>
    <n v="5"/>
    <n v="328"/>
    <n v="0.7711598746081505"/>
    <n v="1968"/>
    <n v="0.2280564263322884"/>
    <n v="97"/>
    <n v="425"/>
    <n v="0"/>
    <s v="N/A"/>
    <n v="0"/>
    <n v="0"/>
    <n v="0"/>
    <n v="0"/>
    <n v="0"/>
    <n v="0"/>
    <n v="1"/>
    <n v="0"/>
    <n v="0"/>
    <n v="0"/>
    <n v="0"/>
    <n v="0"/>
    <n v="0"/>
    <n v="0"/>
    <n v="0"/>
    <n v="0"/>
    <x v="3"/>
    <x v="2"/>
    <x v="10"/>
    <x v="5"/>
    <n v="20.399269"/>
    <n v="92.781294000000003"/>
    <s v="MMR012CMP032"/>
    <x v="1"/>
    <m/>
  </r>
  <r>
    <x v="0"/>
    <x v="11"/>
    <x v="1"/>
    <x v="24"/>
    <x v="313"/>
    <n v="54"/>
    <n v="276"/>
    <m/>
    <s v="UNICEF"/>
    <d v="2018-02-14T00:00:00"/>
    <m/>
    <m/>
    <m/>
    <m/>
    <n v="0"/>
    <n v="1"/>
    <n v="0"/>
    <n v="2"/>
    <n v="1"/>
    <m/>
    <m/>
    <m/>
    <m/>
    <m/>
    <m/>
    <m/>
    <n v="3"/>
    <n v="0"/>
    <m/>
    <m/>
    <n v="3"/>
    <x v="4"/>
    <x v="4"/>
    <m/>
    <m/>
    <s v="HH latrines in village"/>
    <n v="0"/>
    <s v="Household"/>
    <n v="0"/>
    <n v="0"/>
    <n v="9"/>
    <m/>
    <m/>
    <x v="0"/>
    <m/>
    <m/>
    <m/>
    <m/>
    <s v="no test"/>
    <s v="no test"/>
    <x v="1"/>
    <n v="1"/>
    <n v="0.90579710144927539"/>
    <n v="0.90579710144927539"/>
    <n v="250"/>
    <n v="1"/>
    <n v="276"/>
    <n v="1"/>
    <n v="276"/>
    <n v="0.55200000000000005"/>
    <n v="0"/>
    <n v="0"/>
    <n v="0.44799999999999995"/>
    <n v="1"/>
    <n v="3"/>
    <n v="6.5217391304347824E-2"/>
    <n v="18"/>
    <n v="0.93478260869565222"/>
    <n v="43"/>
    <n v="46"/>
    <n v="0"/>
    <s v="N/A"/>
    <n v="276"/>
    <n v="0"/>
    <n v="1"/>
    <n v="0"/>
    <n v="0"/>
    <n v="0"/>
    <n v="1"/>
    <n v="1"/>
    <n v="0"/>
    <n v="0"/>
    <n v="0"/>
    <n v="0"/>
    <n v="0"/>
    <n v="0"/>
    <n v="0"/>
    <n v="0"/>
    <x v="3"/>
    <x v="2"/>
    <x v="7"/>
    <x v="3"/>
    <n v="0"/>
    <n v="0"/>
    <n v="220977"/>
    <x v="0"/>
    <m/>
  </r>
  <r>
    <x v="0"/>
    <x v="11"/>
    <x v="1"/>
    <x v="24"/>
    <x v="259"/>
    <n v="83"/>
    <n v="483"/>
    <m/>
    <s v="UNICEF"/>
    <d v="2018-02-14T00:00:00"/>
    <m/>
    <m/>
    <m/>
    <m/>
    <n v="0"/>
    <n v="0"/>
    <n v="0"/>
    <n v="2"/>
    <n v="1"/>
    <m/>
    <m/>
    <m/>
    <m/>
    <m/>
    <m/>
    <m/>
    <n v="22"/>
    <n v="0"/>
    <m/>
    <m/>
    <n v="22"/>
    <x v="4"/>
    <x v="4"/>
    <m/>
    <m/>
    <s v="HH latrines in village"/>
    <n v="0"/>
    <s v="Household"/>
    <n v="0"/>
    <n v="0"/>
    <n v="9"/>
    <m/>
    <m/>
    <x v="0"/>
    <m/>
    <m/>
    <m/>
    <m/>
    <s v="no test"/>
    <s v="no test"/>
    <x v="1"/>
    <n v="0"/>
    <n v="0"/>
    <n v="0"/>
    <n v="0"/>
    <n v="1"/>
    <n v="483"/>
    <n v="1"/>
    <n v="483"/>
    <n v="0.96599999999999997"/>
    <n v="0"/>
    <n v="0"/>
    <n v="3.400000000000003E-2"/>
    <n v="1"/>
    <n v="22"/>
    <n v="0.27329192546583853"/>
    <n v="132"/>
    <n v="0.73291925465838514"/>
    <n v="59"/>
    <n v="81"/>
    <n v="0"/>
    <s v="N/A"/>
    <n v="483"/>
    <n v="0"/>
    <n v="1"/>
    <n v="0"/>
    <n v="0"/>
    <n v="0"/>
    <n v="1"/>
    <n v="1"/>
    <n v="0"/>
    <n v="0"/>
    <n v="0"/>
    <n v="0"/>
    <n v="0"/>
    <n v="0"/>
    <n v="0"/>
    <n v="0"/>
    <x v="3"/>
    <x v="2"/>
    <x v="7"/>
    <x v="3"/>
    <n v="20.473930358886701"/>
    <n v="92.668853759765597"/>
    <n v="197631"/>
    <x v="0"/>
    <m/>
  </r>
  <r>
    <x v="0"/>
    <x v="2"/>
    <x v="1"/>
    <x v="24"/>
    <x v="314"/>
    <n v="280"/>
    <n v="2030"/>
    <m/>
    <m/>
    <m/>
    <n v="0"/>
    <s v="Yes"/>
    <m/>
    <m/>
    <n v="0"/>
    <n v="0"/>
    <n v="0"/>
    <n v="3"/>
    <n v="0"/>
    <m/>
    <m/>
    <m/>
    <m/>
    <m/>
    <m/>
    <m/>
    <n v="0"/>
    <n v="0"/>
    <m/>
    <m/>
    <n v="0"/>
    <x v="4"/>
    <x v="4"/>
    <m/>
    <m/>
    <m/>
    <n v="0"/>
    <s v="Household"/>
    <n v="0"/>
    <n v="0"/>
    <n v="7"/>
    <m/>
    <m/>
    <x v="0"/>
    <m/>
    <m/>
    <m/>
    <m/>
    <s v="no test"/>
    <s v="no test"/>
    <x v="1"/>
    <n v="0"/>
    <n v="0"/>
    <n v="0"/>
    <n v="0"/>
    <n v="0.36945812807881773"/>
    <n v="750"/>
    <n v="0.36945812807881773"/>
    <n v="750"/>
    <n v="1.5"/>
    <n v="0.63054187192118227"/>
    <n v="1280"/>
    <n v="2.5"/>
    <n v="4"/>
    <n v="0"/>
    <n v="0"/>
    <n v="0"/>
    <n v="0.9990147783251232"/>
    <n v="338"/>
    <n v="338"/>
    <n v="0"/>
    <s v="N/A"/>
    <n v="2030"/>
    <n v="0"/>
    <n v="1"/>
    <n v="0"/>
    <n v="0"/>
    <n v="0"/>
    <n v="1"/>
    <n v="1"/>
    <n v="0"/>
    <n v="0"/>
    <n v="0"/>
    <n v="0"/>
    <n v="0"/>
    <n v="0"/>
    <n v="0"/>
    <n v="0"/>
    <x v="3"/>
    <x v="2"/>
    <x v="7"/>
    <x v="5"/>
    <n v="20.581470489501999"/>
    <n v="92.643272399902301"/>
    <s v="197591"/>
    <x v="1"/>
    <s v="old MHDO village"/>
  </r>
  <r>
    <x v="0"/>
    <x v="2"/>
    <x v="1"/>
    <x v="24"/>
    <x v="315"/>
    <n v="245"/>
    <n v="1292"/>
    <m/>
    <m/>
    <m/>
    <n v="0"/>
    <s v="Yes"/>
    <m/>
    <m/>
    <n v="0"/>
    <n v="0"/>
    <n v="0"/>
    <n v="2"/>
    <n v="0"/>
    <m/>
    <m/>
    <m/>
    <m/>
    <m/>
    <m/>
    <m/>
    <n v="0"/>
    <n v="0"/>
    <m/>
    <m/>
    <n v="0"/>
    <x v="4"/>
    <x v="4"/>
    <m/>
    <m/>
    <m/>
    <n v="0"/>
    <s v="Household"/>
    <n v="0"/>
    <n v="0"/>
    <n v="7"/>
    <m/>
    <m/>
    <x v="0"/>
    <m/>
    <m/>
    <m/>
    <m/>
    <s v="no test"/>
    <s v="no test"/>
    <x v="1"/>
    <n v="0"/>
    <n v="0"/>
    <n v="0"/>
    <n v="0"/>
    <n v="0.38699690402476783"/>
    <n v="500.00000000000006"/>
    <n v="0.38699690402476783"/>
    <n v="500.00000000000006"/>
    <n v="1.0000000000000002"/>
    <n v="0.61300309597523217"/>
    <n v="792"/>
    <n v="1.9999999999999998"/>
    <n v="3"/>
    <n v="0"/>
    <n v="0"/>
    <n v="0"/>
    <n v="0.99845201238390091"/>
    <n v="215"/>
    <n v="215"/>
    <n v="0"/>
    <s v="N/A"/>
    <n v="1292"/>
    <n v="0"/>
    <n v="1"/>
    <n v="0"/>
    <n v="0"/>
    <n v="0"/>
    <n v="1"/>
    <n v="1"/>
    <n v="0"/>
    <n v="0"/>
    <n v="0"/>
    <n v="0"/>
    <n v="0"/>
    <n v="0"/>
    <n v="0"/>
    <n v="0"/>
    <x v="3"/>
    <x v="2"/>
    <x v="7"/>
    <x v="3"/>
    <n v="20.569759368896499"/>
    <n v="92.641799926757798"/>
    <s v="197590"/>
    <x v="1"/>
    <s v="old MHDO village"/>
  </r>
  <r>
    <x v="0"/>
    <x v="11"/>
    <x v="1"/>
    <x v="24"/>
    <x v="316"/>
    <n v="72"/>
    <n v="271"/>
    <m/>
    <s v="UNICEF"/>
    <d v="2018-02-14T00:00:00"/>
    <m/>
    <m/>
    <m/>
    <m/>
    <n v="0"/>
    <n v="3"/>
    <n v="0"/>
    <n v="0"/>
    <n v="1"/>
    <m/>
    <m/>
    <m/>
    <m/>
    <m/>
    <m/>
    <m/>
    <n v="9"/>
    <n v="0"/>
    <m/>
    <m/>
    <n v="9"/>
    <x v="4"/>
    <x v="4"/>
    <m/>
    <m/>
    <s v="HH latrines in village"/>
    <n v="0"/>
    <s v="Household"/>
    <n v="0"/>
    <n v="0"/>
    <n v="9"/>
    <m/>
    <m/>
    <x v="0"/>
    <m/>
    <m/>
    <m/>
    <m/>
    <s v="no test"/>
    <s v="no test"/>
    <x v="1"/>
    <n v="1"/>
    <n v="1"/>
    <n v="1"/>
    <n v="271"/>
    <n v="0"/>
    <n v="0"/>
    <n v="1"/>
    <n v="271"/>
    <n v="0.54200000000000004"/>
    <n v="0"/>
    <n v="0"/>
    <n v="0.45799999999999996"/>
    <n v="1"/>
    <n v="9"/>
    <n v="0.19926199261992619"/>
    <n v="54"/>
    <n v="0.79704797047970488"/>
    <n v="36"/>
    <n v="45"/>
    <n v="0"/>
    <s v="N/A"/>
    <n v="271"/>
    <n v="0"/>
    <n v="1"/>
    <n v="0"/>
    <n v="0"/>
    <n v="0"/>
    <n v="1"/>
    <n v="1"/>
    <n v="0"/>
    <n v="0"/>
    <n v="0"/>
    <n v="0"/>
    <n v="0"/>
    <n v="0"/>
    <n v="0"/>
    <n v="0"/>
    <x v="3"/>
    <x v="2"/>
    <x v="7"/>
    <x v="3"/>
    <n v="20.495670318603501"/>
    <n v="92.651496887207003"/>
    <n v="197616"/>
    <x v="0"/>
    <m/>
  </r>
  <r>
    <x v="0"/>
    <x v="11"/>
    <x v="1"/>
    <x v="24"/>
    <x v="317"/>
    <n v="86"/>
    <n v="401"/>
    <m/>
    <s v="UNICEF"/>
    <d v="2018-02-14T00:00:00"/>
    <m/>
    <m/>
    <m/>
    <m/>
    <n v="0"/>
    <n v="0"/>
    <n v="0"/>
    <n v="2"/>
    <n v="1"/>
    <m/>
    <m/>
    <m/>
    <m/>
    <m/>
    <m/>
    <m/>
    <n v="17"/>
    <n v="0"/>
    <m/>
    <m/>
    <n v="17"/>
    <x v="4"/>
    <x v="4"/>
    <m/>
    <m/>
    <s v="HH latrines in village"/>
    <n v="0"/>
    <s v="Household"/>
    <n v="0"/>
    <n v="0"/>
    <n v="9"/>
    <m/>
    <m/>
    <x v="0"/>
    <m/>
    <m/>
    <m/>
    <m/>
    <s v="no test"/>
    <s v="no test"/>
    <x v="1"/>
    <n v="0"/>
    <n v="0"/>
    <n v="0"/>
    <n v="0"/>
    <n v="1"/>
    <n v="401"/>
    <n v="1"/>
    <n v="401"/>
    <n v="0.80200000000000005"/>
    <n v="0"/>
    <n v="0"/>
    <n v="0.19799999999999995"/>
    <n v="1"/>
    <n v="17"/>
    <n v="0.25436408977556108"/>
    <n v="101.99999999999999"/>
    <n v="0.74812967581047385"/>
    <n v="50"/>
    <n v="67"/>
    <n v="0"/>
    <s v="N/A"/>
    <n v="401"/>
    <n v="0"/>
    <n v="1"/>
    <n v="0"/>
    <n v="0"/>
    <n v="0"/>
    <n v="1"/>
    <n v="1"/>
    <n v="0"/>
    <n v="0"/>
    <n v="0"/>
    <n v="0"/>
    <n v="0"/>
    <n v="0"/>
    <n v="0"/>
    <n v="0"/>
    <x v="3"/>
    <x v="2"/>
    <x v="7"/>
    <x v="3"/>
    <n v="20.651939392089801"/>
    <n v="92.684577941894503"/>
    <n v="197695"/>
    <x v="0"/>
    <m/>
  </r>
  <r>
    <x v="0"/>
    <x v="11"/>
    <x v="1"/>
    <x v="24"/>
    <x v="318"/>
    <n v="97"/>
    <n v="339"/>
    <m/>
    <s v="UNICEF"/>
    <d v="2018-02-14T00:00:00"/>
    <m/>
    <m/>
    <m/>
    <m/>
    <n v="0"/>
    <n v="0"/>
    <n v="0"/>
    <n v="3"/>
    <n v="1"/>
    <m/>
    <m/>
    <m/>
    <m/>
    <m/>
    <m/>
    <m/>
    <n v="28"/>
    <n v="0"/>
    <m/>
    <m/>
    <n v="28"/>
    <x v="4"/>
    <x v="4"/>
    <m/>
    <m/>
    <s v="HH latrines in village"/>
    <n v="0"/>
    <s v="Household"/>
    <n v="0"/>
    <n v="0"/>
    <n v="9"/>
    <m/>
    <m/>
    <x v="0"/>
    <m/>
    <m/>
    <m/>
    <m/>
    <s v="no test"/>
    <s v="no test"/>
    <x v="1"/>
    <n v="0"/>
    <n v="0"/>
    <n v="0"/>
    <n v="0"/>
    <n v="1"/>
    <n v="339"/>
    <n v="1"/>
    <n v="339"/>
    <n v="0.67800000000000005"/>
    <n v="0"/>
    <n v="0"/>
    <n v="0.32199999999999995"/>
    <n v="1"/>
    <n v="28"/>
    <n v="0.49557522123893805"/>
    <n v="168"/>
    <n v="0.51327433628318586"/>
    <n v="29"/>
    <n v="57"/>
    <n v="0"/>
    <s v="N/A"/>
    <n v="339"/>
    <n v="0"/>
    <n v="1"/>
    <n v="0"/>
    <n v="0"/>
    <n v="0"/>
    <n v="1"/>
    <n v="1"/>
    <n v="0"/>
    <n v="0"/>
    <n v="0"/>
    <n v="0"/>
    <n v="0"/>
    <n v="0"/>
    <n v="0"/>
    <n v="0"/>
    <x v="3"/>
    <x v="2"/>
    <x v="7"/>
    <x v="3"/>
    <n v="20.463909149169901"/>
    <n v="92.675468444824205"/>
    <n v="197629"/>
    <x v="0"/>
    <m/>
  </r>
  <r>
    <x v="0"/>
    <x v="11"/>
    <x v="1"/>
    <x v="24"/>
    <x v="319"/>
    <n v="70"/>
    <n v="350"/>
    <m/>
    <s v="UNICEF"/>
    <d v="2018-02-14T00:00:00"/>
    <m/>
    <m/>
    <m/>
    <m/>
    <n v="0"/>
    <n v="0"/>
    <n v="0"/>
    <n v="1"/>
    <n v="1"/>
    <m/>
    <m/>
    <m/>
    <m/>
    <m/>
    <m/>
    <m/>
    <n v="16"/>
    <n v="0"/>
    <m/>
    <m/>
    <n v="16"/>
    <x v="4"/>
    <x v="4"/>
    <m/>
    <m/>
    <s v="HH latrines in village"/>
    <n v="0"/>
    <s v="Household"/>
    <n v="0"/>
    <n v="0"/>
    <n v="9"/>
    <m/>
    <m/>
    <x v="0"/>
    <m/>
    <m/>
    <m/>
    <m/>
    <s v="no test"/>
    <s v="no test"/>
    <x v="1"/>
    <n v="0"/>
    <n v="0"/>
    <n v="0"/>
    <n v="0"/>
    <n v="0.7142857142857143"/>
    <n v="250"/>
    <n v="0.7142857142857143"/>
    <n v="250"/>
    <n v="0.5"/>
    <n v="0.2857142857142857"/>
    <n v="100"/>
    <n v="0.5"/>
    <n v="1"/>
    <n v="16"/>
    <n v="0.2742857142857143"/>
    <n v="96"/>
    <n v="0.72"/>
    <n v="42"/>
    <n v="58"/>
    <n v="0"/>
    <s v="N/A"/>
    <n v="350"/>
    <n v="0"/>
    <n v="1"/>
    <n v="0"/>
    <n v="0"/>
    <n v="0"/>
    <n v="1"/>
    <n v="1"/>
    <n v="0"/>
    <n v="0"/>
    <n v="0"/>
    <n v="0"/>
    <n v="0"/>
    <n v="0"/>
    <n v="0"/>
    <n v="0"/>
    <x v="3"/>
    <x v="2"/>
    <x v="7"/>
    <x v="3"/>
    <n v="20.502599716186499"/>
    <n v="92.647476196289105"/>
    <n v="197615"/>
    <x v="0"/>
    <m/>
  </r>
  <r>
    <x v="0"/>
    <x v="11"/>
    <x v="1"/>
    <x v="24"/>
    <x v="320"/>
    <n v="89"/>
    <n v="555"/>
    <m/>
    <s v="UNICEF"/>
    <d v="2018-02-14T00:00:00"/>
    <m/>
    <m/>
    <m/>
    <m/>
    <n v="0"/>
    <n v="1"/>
    <n v="0"/>
    <n v="3"/>
    <n v="1"/>
    <m/>
    <m/>
    <m/>
    <m/>
    <m/>
    <m/>
    <m/>
    <n v="42"/>
    <n v="0"/>
    <m/>
    <m/>
    <n v="42"/>
    <x v="4"/>
    <x v="4"/>
    <m/>
    <m/>
    <s v="HH latrines in village"/>
    <n v="0"/>
    <s v="Household"/>
    <n v="0"/>
    <n v="0"/>
    <n v="9"/>
    <m/>
    <m/>
    <x v="0"/>
    <m/>
    <m/>
    <m/>
    <m/>
    <s v="no test"/>
    <s v="no test"/>
    <x v="1"/>
    <n v="1"/>
    <n v="0.45045045045045046"/>
    <n v="0.45045045045045046"/>
    <n v="250"/>
    <n v="1"/>
    <n v="555"/>
    <n v="1"/>
    <n v="555"/>
    <n v="1.1100000000000001"/>
    <n v="0"/>
    <n v="0"/>
    <n v="0"/>
    <n v="1"/>
    <n v="42"/>
    <n v="0.45405405405405408"/>
    <n v="252"/>
    <n v="0.55135135135135138"/>
    <n v="51"/>
    <n v="93"/>
    <n v="0"/>
    <s v="N/A"/>
    <n v="555"/>
    <n v="0"/>
    <n v="1"/>
    <n v="0"/>
    <n v="0"/>
    <n v="0"/>
    <n v="1"/>
    <n v="1"/>
    <n v="0"/>
    <n v="0"/>
    <n v="0"/>
    <n v="0"/>
    <n v="0"/>
    <n v="0"/>
    <n v="0"/>
    <n v="0"/>
    <x v="3"/>
    <x v="2"/>
    <x v="7"/>
    <x v="3"/>
    <n v="20.480100631713899"/>
    <n v="92.704818725585895"/>
    <n v="197618"/>
    <x v="0"/>
    <m/>
  </r>
  <r>
    <x v="0"/>
    <x v="11"/>
    <x v="1"/>
    <x v="24"/>
    <x v="321"/>
    <n v="90"/>
    <n v="475"/>
    <m/>
    <s v="UNICEF"/>
    <d v="2018-02-14T00:00:00"/>
    <m/>
    <m/>
    <m/>
    <m/>
    <n v="0"/>
    <n v="0"/>
    <n v="0"/>
    <n v="3"/>
    <n v="1"/>
    <m/>
    <m/>
    <m/>
    <m/>
    <m/>
    <m/>
    <m/>
    <n v="14"/>
    <n v="0"/>
    <m/>
    <m/>
    <n v="14"/>
    <x v="4"/>
    <x v="4"/>
    <m/>
    <m/>
    <s v="HH latrines in village"/>
    <n v="0"/>
    <s v="Household"/>
    <n v="0"/>
    <n v="0"/>
    <n v="9"/>
    <m/>
    <m/>
    <x v="0"/>
    <m/>
    <m/>
    <m/>
    <m/>
    <s v="no test"/>
    <s v="no test"/>
    <x v="1"/>
    <n v="0"/>
    <n v="0"/>
    <n v="0"/>
    <n v="0"/>
    <n v="1"/>
    <n v="475"/>
    <n v="1"/>
    <n v="475"/>
    <n v="0.95"/>
    <n v="0"/>
    <n v="0"/>
    <n v="5.0000000000000044E-2"/>
    <n v="1"/>
    <n v="14"/>
    <n v="0.17684210526315788"/>
    <n v="84"/>
    <n v="0.82105263157894737"/>
    <n v="65"/>
    <n v="79"/>
    <n v="0"/>
    <s v="N/A"/>
    <n v="475"/>
    <n v="0"/>
    <n v="1"/>
    <n v="0"/>
    <n v="0"/>
    <n v="0"/>
    <n v="1"/>
    <n v="1"/>
    <n v="0"/>
    <n v="0"/>
    <n v="0"/>
    <n v="0"/>
    <n v="0"/>
    <n v="0"/>
    <n v="0"/>
    <n v="0"/>
    <x v="3"/>
    <x v="2"/>
    <x v="7"/>
    <x v="3"/>
    <n v="20.470119476318398"/>
    <n v="92.672653198242202"/>
    <n v="197630"/>
    <x v="0"/>
    <m/>
  </r>
  <r>
    <x v="0"/>
    <x v="11"/>
    <x v="1"/>
    <x v="24"/>
    <x v="322"/>
    <n v="136"/>
    <n v="710"/>
    <m/>
    <s v="UNICEF"/>
    <d v="2018-08-31T00:00:00"/>
    <m/>
    <m/>
    <m/>
    <m/>
    <n v="0"/>
    <n v="0"/>
    <n v="0"/>
    <n v="0"/>
    <n v="1"/>
    <m/>
    <m/>
    <m/>
    <m/>
    <m/>
    <m/>
    <m/>
    <n v="2"/>
    <m/>
    <m/>
    <m/>
    <n v="2"/>
    <x v="4"/>
    <x v="4"/>
    <m/>
    <m/>
    <s v="HH latrines in village"/>
    <n v="0"/>
    <s v="Household"/>
    <n v="0"/>
    <n v="0"/>
    <n v="9"/>
    <m/>
    <m/>
    <x v="0"/>
    <m/>
    <m/>
    <m/>
    <m/>
    <s v="no test"/>
    <s v="no test"/>
    <x v="1"/>
    <n v="0"/>
    <n v="0"/>
    <n v="0"/>
    <n v="0"/>
    <n v="0"/>
    <n v="0"/>
    <n v="0"/>
    <n v="0"/>
    <n v="0"/>
    <n v="1"/>
    <n v="710"/>
    <n v="1"/>
    <n v="1"/>
    <n v="2"/>
    <n v="1.6901408450704224E-2"/>
    <n v="11.999999999999998"/>
    <n v="0.9802816901408451"/>
    <n v="116"/>
    <n v="118"/>
    <n v="0"/>
    <s v="N/A"/>
    <n v="710"/>
    <n v="0"/>
    <n v="1"/>
    <n v="0"/>
    <n v="0"/>
    <n v="0"/>
    <n v="1"/>
    <n v="1"/>
    <n v="0"/>
    <n v="0"/>
    <n v="0"/>
    <n v="0"/>
    <n v="0"/>
    <n v="0"/>
    <n v="0"/>
    <n v="0"/>
    <x v="3"/>
    <x v="2"/>
    <x v="7"/>
    <x v="3"/>
    <n v="20.5047302246094"/>
    <n v="92.683113098144503"/>
    <n v="197611"/>
    <x v="0"/>
    <m/>
  </r>
  <r>
    <x v="0"/>
    <x v="11"/>
    <x v="1"/>
    <x v="24"/>
    <x v="323"/>
    <n v="65"/>
    <n v="304"/>
    <m/>
    <s v="UNICEF"/>
    <d v="2018-08-31T00:00:00"/>
    <m/>
    <m/>
    <m/>
    <m/>
    <n v="0"/>
    <n v="0"/>
    <n v="0"/>
    <n v="0"/>
    <n v="1"/>
    <m/>
    <m/>
    <m/>
    <m/>
    <m/>
    <m/>
    <m/>
    <n v="3"/>
    <m/>
    <m/>
    <m/>
    <n v="3"/>
    <x v="4"/>
    <x v="4"/>
    <m/>
    <m/>
    <s v="HH latrines in village"/>
    <n v="0"/>
    <s v="Household"/>
    <n v="0"/>
    <n v="0"/>
    <n v="9"/>
    <m/>
    <m/>
    <x v="0"/>
    <m/>
    <m/>
    <m/>
    <m/>
    <s v="no test"/>
    <s v="no test"/>
    <x v="1"/>
    <n v="0"/>
    <n v="0"/>
    <n v="0"/>
    <n v="0"/>
    <n v="0"/>
    <n v="0"/>
    <n v="0"/>
    <n v="0"/>
    <n v="0"/>
    <n v="1"/>
    <n v="304"/>
    <n v="1"/>
    <n v="1"/>
    <n v="3"/>
    <n v="5.921052631578947E-2"/>
    <n v="18"/>
    <n v="0.94736842105263164"/>
    <n v="48"/>
    <n v="51"/>
    <n v="0"/>
    <s v="N/A"/>
    <n v="304"/>
    <n v="0"/>
    <n v="1"/>
    <n v="0"/>
    <n v="0"/>
    <n v="0"/>
    <n v="1"/>
    <n v="1"/>
    <n v="0"/>
    <n v="0"/>
    <n v="0"/>
    <n v="0"/>
    <n v="0"/>
    <n v="0"/>
    <n v="0"/>
    <n v="0"/>
    <x v="3"/>
    <x v="2"/>
    <x v="7"/>
    <x v="3"/>
    <n v="20.497299194335898"/>
    <n v="92.683097839355497"/>
    <n v="197613"/>
    <x v="0"/>
    <m/>
  </r>
  <r>
    <x v="0"/>
    <x v="11"/>
    <x v="1"/>
    <x v="24"/>
    <x v="324"/>
    <n v="96"/>
    <n v="543"/>
    <m/>
    <s v="UNICEF"/>
    <d v="2018-02-14T00:00:00"/>
    <m/>
    <m/>
    <m/>
    <m/>
    <n v="0"/>
    <n v="0"/>
    <n v="0"/>
    <n v="5"/>
    <n v="1"/>
    <m/>
    <m/>
    <m/>
    <m/>
    <m/>
    <m/>
    <m/>
    <n v="13"/>
    <n v="0"/>
    <m/>
    <m/>
    <n v="13"/>
    <x v="4"/>
    <x v="4"/>
    <m/>
    <m/>
    <s v="HH latrines in village"/>
    <n v="0"/>
    <s v="Household"/>
    <n v="0"/>
    <n v="0"/>
    <n v="9"/>
    <m/>
    <m/>
    <x v="0"/>
    <m/>
    <m/>
    <m/>
    <m/>
    <s v="no test"/>
    <s v="no test"/>
    <x v="1"/>
    <n v="0"/>
    <n v="0"/>
    <n v="0"/>
    <n v="0"/>
    <n v="1"/>
    <n v="543"/>
    <n v="1"/>
    <n v="543"/>
    <n v="1.0860000000000001"/>
    <n v="0"/>
    <n v="0"/>
    <n v="0"/>
    <n v="1"/>
    <n v="13"/>
    <n v="0.143646408839779"/>
    <n v="78"/>
    <n v="0.86187845303867405"/>
    <n v="78"/>
    <n v="91"/>
    <n v="0"/>
    <s v="N/A"/>
    <n v="543"/>
    <n v="0"/>
    <n v="1"/>
    <n v="0"/>
    <n v="0"/>
    <n v="0"/>
    <n v="1"/>
    <n v="1"/>
    <n v="0"/>
    <n v="0"/>
    <n v="0"/>
    <n v="0"/>
    <n v="0"/>
    <n v="0"/>
    <n v="0"/>
    <n v="0"/>
    <x v="3"/>
    <x v="2"/>
    <x v="7"/>
    <x v="3"/>
    <n v="20.453830718994102"/>
    <n v="92.683090209960895"/>
    <n v="197621"/>
    <x v="0"/>
    <m/>
  </r>
  <r>
    <x v="0"/>
    <x v="2"/>
    <x v="1"/>
    <x v="24"/>
    <x v="325"/>
    <n v="292"/>
    <n v="1751"/>
    <m/>
    <s v="OFDA"/>
    <d v="2018-04-30T00:00:00"/>
    <n v="0"/>
    <s v="Yes"/>
    <n v="0.5"/>
    <n v="0"/>
    <n v="11"/>
    <n v="0"/>
    <n v="0"/>
    <n v="0"/>
    <n v="11"/>
    <m/>
    <m/>
    <m/>
    <m/>
    <m/>
    <m/>
    <s v="no water test"/>
    <n v="192"/>
    <n v="70"/>
    <m/>
    <m/>
    <n v="0"/>
    <x v="1"/>
    <x v="1"/>
    <m/>
    <m/>
    <m/>
    <n v="0"/>
    <m/>
    <n v="341"/>
    <n v="0"/>
    <n v="0"/>
    <m/>
    <m/>
    <x v="0"/>
    <m/>
    <m/>
    <m/>
    <m/>
    <s v="no test"/>
    <s v="no test"/>
    <x v="1"/>
    <n v="1"/>
    <n v="1"/>
    <n v="1"/>
    <n v="1751"/>
    <n v="0"/>
    <n v="0"/>
    <n v="1"/>
    <n v="1751"/>
    <n v="3.5019999999999998"/>
    <n v="0"/>
    <n v="0"/>
    <n v="0.49800000000000022"/>
    <n v="4"/>
    <n v="262"/>
    <n v="0.6579097658480868"/>
    <n v="1152"/>
    <n v="0.10279840091376358"/>
    <n v="30"/>
    <n v="292"/>
    <n v="0.26717557251908397"/>
    <s v="N/A"/>
    <n v="0"/>
    <n v="0"/>
    <n v="0"/>
    <n v="0"/>
    <n v="0"/>
    <n v="0"/>
    <n v="1"/>
    <n v="0"/>
    <n v="0"/>
    <n v="0"/>
    <n v="0"/>
    <n v="0"/>
    <n v="0"/>
    <n v="0"/>
    <n v="0"/>
    <n v="0"/>
    <x v="3"/>
    <x v="2"/>
    <x v="10"/>
    <x v="5"/>
    <n v="20.335864000000001"/>
    <n v="92.785706000000005"/>
    <s v="MMR012CMP031"/>
    <x v="1"/>
    <m/>
  </r>
  <r>
    <x v="0"/>
    <x v="2"/>
    <x v="1"/>
    <x v="24"/>
    <x v="326"/>
    <n v="46"/>
    <n v="227"/>
    <m/>
    <s v="OFDA"/>
    <d v="2018-04-30T00:00:00"/>
    <n v="0"/>
    <s v="No"/>
    <n v="0"/>
    <n v="0"/>
    <n v="3"/>
    <n v="0"/>
    <n v="0"/>
    <n v="0"/>
    <n v="3"/>
    <m/>
    <m/>
    <m/>
    <m/>
    <m/>
    <m/>
    <s v="no water test"/>
    <n v="51"/>
    <n v="23"/>
    <m/>
    <m/>
    <n v="0"/>
    <x v="1"/>
    <x v="1"/>
    <m/>
    <m/>
    <m/>
    <n v="0"/>
    <m/>
    <n v="46"/>
    <n v="0"/>
    <n v="0"/>
    <m/>
    <m/>
    <x v="0"/>
    <m/>
    <m/>
    <m/>
    <m/>
    <s v="no test"/>
    <s v="no test"/>
    <x v="1"/>
    <n v="1"/>
    <n v="1"/>
    <n v="1"/>
    <n v="227"/>
    <n v="0"/>
    <n v="0"/>
    <n v="1"/>
    <n v="227"/>
    <n v="0.45400000000000001"/>
    <n v="0"/>
    <n v="0"/>
    <n v="0.54600000000000004"/>
    <n v="1"/>
    <n v="74"/>
    <n v="1"/>
    <n v="227"/>
    <n v="0"/>
    <n v="0"/>
    <n v="38"/>
    <n v="0.3108108108108108"/>
    <s v="N/A"/>
    <n v="0"/>
    <n v="0"/>
    <n v="0"/>
    <n v="0"/>
    <n v="0"/>
    <n v="0"/>
    <n v="1"/>
    <n v="0"/>
    <n v="0"/>
    <n v="0"/>
    <n v="0"/>
    <n v="0"/>
    <n v="0"/>
    <n v="0"/>
    <n v="0"/>
    <n v="0"/>
    <x v="3"/>
    <x v="2"/>
    <x v="7"/>
    <x v="3"/>
    <n v="20.339799880981399"/>
    <n v="92.782653808593807"/>
    <s v="197779"/>
    <x v="1"/>
    <m/>
  </r>
  <r>
    <x v="0"/>
    <x v="11"/>
    <x v="1"/>
    <x v="24"/>
    <x v="327"/>
    <n v="147"/>
    <n v="817"/>
    <m/>
    <s v="UNICEF"/>
    <d v="2018-08-31T00:00:00"/>
    <m/>
    <m/>
    <m/>
    <m/>
    <n v="0"/>
    <n v="0"/>
    <n v="0"/>
    <n v="0"/>
    <n v="1"/>
    <m/>
    <m/>
    <m/>
    <m/>
    <m/>
    <m/>
    <m/>
    <n v="2"/>
    <m/>
    <m/>
    <m/>
    <n v="2"/>
    <x v="4"/>
    <x v="4"/>
    <m/>
    <m/>
    <s v="HH latrines in village"/>
    <n v="0"/>
    <s v="Household"/>
    <n v="0"/>
    <n v="0"/>
    <n v="9"/>
    <m/>
    <m/>
    <x v="0"/>
    <m/>
    <m/>
    <m/>
    <m/>
    <s v="no test"/>
    <s v="no test"/>
    <x v="1"/>
    <n v="0"/>
    <n v="0"/>
    <n v="0"/>
    <n v="0"/>
    <n v="0"/>
    <n v="0"/>
    <n v="0"/>
    <n v="0"/>
    <n v="0"/>
    <n v="1"/>
    <n v="817"/>
    <n v="2"/>
    <n v="2"/>
    <n v="2"/>
    <n v="1.4687882496940025E-2"/>
    <n v="12"/>
    <n v="0.98408812729498174"/>
    <n v="134"/>
    <n v="136"/>
    <n v="0"/>
    <s v="N/A"/>
    <n v="817"/>
    <n v="0"/>
    <n v="1"/>
    <n v="0"/>
    <n v="0"/>
    <n v="0"/>
    <n v="1"/>
    <n v="1"/>
    <n v="0"/>
    <n v="0"/>
    <n v="0"/>
    <n v="0"/>
    <n v="0"/>
    <n v="0"/>
    <s v="Yes"/>
    <n v="0"/>
    <x v="3"/>
    <x v="2"/>
    <x v="10"/>
    <x v="3"/>
    <n v="20.824777999999998"/>
    <n v="92.362196999999995"/>
    <s v="MMR012CMP082"/>
    <x v="0"/>
    <m/>
  </r>
  <r>
    <x v="0"/>
    <x v="11"/>
    <x v="1"/>
    <x v="24"/>
    <x v="328"/>
    <n v="149"/>
    <n v="895"/>
    <m/>
    <s v="UNICEF"/>
    <d v="2018-02-14T00:00:00"/>
    <m/>
    <m/>
    <m/>
    <m/>
    <n v="0"/>
    <n v="0"/>
    <n v="0"/>
    <n v="4"/>
    <n v="1"/>
    <m/>
    <m/>
    <m/>
    <m/>
    <m/>
    <m/>
    <m/>
    <n v="31"/>
    <n v="0"/>
    <m/>
    <m/>
    <n v="31"/>
    <x v="4"/>
    <x v="4"/>
    <m/>
    <m/>
    <s v="HH latrines in village"/>
    <n v="0"/>
    <s v="Household"/>
    <n v="0"/>
    <n v="0"/>
    <n v="9"/>
    <m/>
    <m/>
    <x v="0"/>
    <m/>
    <m/>
    <m/>
    <m/>
    <s v="no test"/>
    <s v="no test"/>
    <x v="1"/>
    <n v="0"/>
    <n v="0"/>
    <n v="0"/>
    <n v="0"/>
    <n v="1"/>
    <n v="895"/>
    <n v="1"/>
    <n v="895"/>
    <n v="1.79"/>
    <n v="0"/>
    <n v="0"/>
    <n v="0.20999999999999996"/>
    <n v="2"/>
    <n v="31"/>
    <n v="0.20782122905027933"/>
    <n v="186"/>
    <n v="0.79106145251396653"/>
    <n v="118"/>
    <n v="149"/>
    <n v="0"/>
    <s v="N/A"/>
    <n v="895"/>
    <n v="0"/>
    <n v="1"/>
    <n v="0"/>
    <n v="0"/>
    <n v="0"/>
    <n v="1"/>
    <n v="1"/>
    <n v="0"/>
    <n v="0"/>
    <n v="0"/>
    <n v="0"/>
    <n v="0"/>
    <n v="0"/>
    <n v="0"/>
    <n v="0"/>
    <x v="3"/>
    <x v="2"/>
    <x v="7"/>
    <x v="3"/>
    <n v="20.486930847168001"/>
    <n v="92.662757873535199"/>
    <n v="197614"/>
    <x v="0"/>
    <m/>
  </r>
  <r>
    <x v="0"/>
    <x v="11"/>
    <x v="1"/>
    <x v="24"/>
    <x v="329"/>
    <n v="124"/>
    <n v="704"/>
    <m/>
    <s v="UNICEF"/>
    <d v="2018-02-14T00:00:00"/>
    <m/>
    <m/>
    <m/>
    <m/>
    <n v="0"/>
    <n v="1"/>
    <n v="0"/>
    <n v="8"/>
    <n v="1"/>
    <m/>
    <m/>
    <m/>
    <m/>
    <m/>
    <m/>
    <m/>
    <n v="57"/>
    <n v="0"/>
    <m/>
    <m/>
    <n v="57"/>
    <x v="4"/>
    <x v="4"/>
    <m/>
    <m/>
    <s v="HH latrines in village"/>
    <n v="0"/>
    <s v="Household"/>
    <n v="0"/>
    <n v="0"/>
    <n v="9"/>
    <m/>
    <m/>
    <x v="0"/>
    <m/>
    <m/>
    <m/>
    <m/>
    <s v="no test"/>
    <s v="no test"/>
    <x v="1"/>
    <n v="1"/>
    <n v="0.35511363636363635"/>
    <n v="0.35511363636363635"/>
    <n v="250"/>
    <n v="1"/>
    <n v="704"/>
    <n v="1"/>
    <n v="704"/>
    <n v="1.4079999999999999"/>
    <n v="0"/>
    <n v="0"/>
    <n v="0"/>
    <n v="1"/>
    <n v="57"/>
    <n v="0.48579545454545453"/>
    <n v="342"/>
    <n v="0.51136363636363635"/>
    <n v="60"/>
    <n v="117"/>
    <n v="0"/>
    <s v="N/A"/>
    <n v="704"/>
    <n v="0"/>
    <n v="1"/>
    <n v="0"/>
    <n v="0"/>
    <n v="0"/>
    <n v="1"/>
    <n v="1"/>
    <n v="0"/>
    <n v="0"/>
    <n v="0"/>
    <n v="0"/>
    <n v="0"/>
    <n v="0"/>
    <n v="0"/>
    <n v="0"/>
    <x v="3"/>
    <x v="2"/>
    <x v="7"/>
    <x v="3"/>
    <n v="20.478969573974599"/>
    <n v="92.683746337890597"/>
    <n v="197617"/>
    <x v="0"/>
    <m/>
  </r>
  <r>
    <x v="0"/>
    <x v="11"/>
    <x v="1"/>
    <x v="24"/>
    <x v="330"/>
    <n v="20"/>
    <n v="62"/>
    <m/>
    <s v="UNICEF"/>
    <d v="2018-02-14T00:00:00"/>
    <m/>
    <m/>
    <m/>
    <m/>
    <n v="0"/>
    <n v="0"/>
    <n v="0"/>
    <n v="2"/>
    <n v="1"/>
    <m/>
    <m/>
    <m/>
    <m/>
    <m/>
    <m/>
    <m/>
    <n v="10"/>
    <n v="0"/>
    <m/>
    <m/>
    <n v="10"/>
    <x v="4"/>
    <x v="4"/>
    <m/>
    <m/>
    <s v="HH latrines in village"/>
    <n v="0"/>
    <s v="Household"/>
    <n v="0"/>
    <n v="0"/>
    <n v="9"/>
    <m/>
    <m/>
    <x v="0"/>
    <m/>
    <m/>
    <m/>
    <m/>
    <s v="no test"/>
    <s v="no test"/>
    <x v="1"/>
    <n v="0"/>
    <n v="0"/>
    <n v="0"/>
    <n v="0"/>
    <n v="1"/>
    <n v="62"/>
    <n v="1"/>
    <n v="62"/>
    <n v="0.124"/>
    <n v="0"/>
    <n v="0"/>
    <n v="0.876"/>
    <n v="1"/>
    <n v="10"/>
    <n v="0.967741935483871"/>
    <n v="60"/>
    <n v="0"/>
    <n v="0"/>
    <n v="10"/>
    <n v="0"/>
    <s v="N/A"/>
    <n v="62"/>
    <n v="0"/>
    <n v="1"/>
    <n v="0"/>
    <n v="0"/>
    <n v="0"/>
    <n v="1"/>
    <n v="1"/>
    <n v="0"/>
    <n v="0"/>
    <n v="0"/>
    <n v="0"/>
    <n v="0"/>
    <n v="0"/>
    <n v="0"/>
    <n v="0"/>
    <x v="3"/>
    <x v="2"/>
    <x v="7"/>
    <x v="3"/>
    <n v="20.46994972229"/>
    <n v="92.676437377929702"/>
    <n v="197632"/>
    <x v="0"/>
    <m/>
  </r>
  <r>
    <x v="0"/>
    <x v="7"/>
    <x v="1"/>
    <x v="18"/>
    <x v="331"/>
    <n v="292"/>
    <n v="1414"/>
    <m/>
    <s v="MHF"/>
    <d v="2018-09-13T00:00:00"/>
    <n v="0"/>
    <s v="No"/>
    <n v="0"/>
    <n v="0"/>
    <n v="7"/>
    <n v="48"/>
    <n v="0"/>
    <n v="0"/>
    <n v="2"/>
    <m/>
    <n v="0"/>
    <n v="0"/>
    <n v="0"/>
    <n v="0"/>
    <n v="0"/>
    <m/>
    <n v="88"/>
    <n v="0"/>
    <n v="0"/>
    <m/>
    <n v="88"/>
    <x v="1"/>
    <x v="1"/>
    <n v="0"/>
    <n v="0"/>
    <m/>
    <n v="0"/>
    <s v="Household"/>
    <n v="0"/>
    <n v="0"/>
    <n v="1"/>
    <n v="0"/>
    <n v="0"/>
    <x v="0"/>
    <m/>
    <m/>
    <m/>
    <m/>
    <s v="no test"/>
    <s v="no test"/>
    <x v="1"/>
    <n v="1"/>
    <n v="1"/>
    <n v="1"/>
    <n v="1414"/>
    <n v="0"/>
    <n v="0"/>
    <n v="1"/>
    <n v="1414"/>
    <n v="2.8279999999999998"/>
    <n v="0"/>
    <n v="0"/>
    <n v="0.17200000000000015"/>
    <n v="3"/>
    <n v="88"/>
    <n v="0.37340876944837342"/>
    <n v="528"/>
    <n v="0.62800565770862804"/>
    <n v="148"/>
    <n v="236"/>
    <n v="0"/>
    <s v="N/A"/>
    <n v="500"/>
    <n v="0"/>
    <n v="0"/>
    <n v="0"/>
    <n v="0"/>
    <n v="0"/>
    <n v="1"/>
    <n v="0.3536067892503536"/>
    <n v="0"/>
    <n v="0"/>
    <n v="0"/>
    <n v="0"/>
    <n v="0"/>
    <n v="0"/>
    <n v="0"/>
    <n v="0"/>
    <x v="3"/>
    <x v="2"/>
    <x v="7"/>
    <x v="5"/>
    <n v="20.235199999999999"/>
    <n v="92.805000000000007"/>
    <s v="196143"/>
    <x v="0"/>
    <m/>
  </r>
  <r>
    <x v="0"/>
    <x v="7"/>
    <x v="1"/>
    <x v="18"/>
    <x v="332"/>
    <n v="380"/>
    <n v="1813"/>
    <m/>
    <s v="MHF"/>
    <d v="2018-09-13T00:00:00"/>
    <n v="0"/>
    <s v="No"/>
    <n v="0"/>
    <n v="0"/>
    <n v="8"/>
    <n v="30"/>
    <n v="0"/>
    <n v="0"/>
    <n v="3"/>
    <m/>
    <n v="0"/>
    <n v="0"/>
    <n v="0"/>
    <n v="0"/>
    <n v="0"/>
    <m/>
    <n v="114"/>
    <n v="0"/>
    <n v="0"/>
    <m/>
    <n v="114"/>
    <x v="1"/>
    <x v="1"/>
    <n v="0"/>
    <n v="0"/>
    <m/>
    <n v="0"/>
    <s v="Household"/>
    <n v="0"/>
    <n v="0"/>
    <n v="1"/>
    <n v="0"/>
    <n v="0"/>
    <x v="0"/>
    <m/>
    <m/>
    <m/>
    <m/>
    <s v="no test"/>
    <s v="no test"/>
    <x v="1"/>
    <n v="1"/>
    <n v="1"/>
    <n v="1"/>
    <n v="1813"/>
    <n v="0"/>
    <n v="0"/>
    <n v="1"/>
    <n v="1813"/>
    <n v="3.6259999999999999"/>
    <n v="0"/>
    <n v="0"/>
    <n v="0.37400000000000011"/>
    <n v="4"/>
    <n v="114"/>
    <n v="0.37727523441809158"/>
    <n v="684"/>
    <n v="0.62217319360176504"/>
    <n v="188"/>
    <n v="302"/>
    <n v="0"/>
    <s v="N/A"/>
    <n v="500"/>
    <n v="0"/>
    <n v="0"/>
    <n v="0"/>
    <n v="0"/>
    <n v="0"/>
    <n v="1"/>
    <n v="0.27578599007170435"/>
    <n v="0"/>
    <n v="0"/>
    <n v="0"/>
    <n v="0"/>
    <n v="0"/>
    <n v="0"/>
    <n v="0"/>
    <n v="0"/>
    <x v="3"/>
    <x v="2"/>
    <x v="7"/>
    <x v="3"/>
    <n v="20.235199999999999"/>
    <n v="92.790199999999999"/>
    <s v="196138"/>
    <x v="0"/>
    <m/>
  </r>
  <r>
    <x v="0"/>
    <x v="7"/>
    <x v="1"/>
    <x v="18"/>
    <x v="333"/>
    <n v="615"/>
    <n v="2985"/>
    <m/>
    <s v="MHF"/>
    <d v="2018-09-13T00:00:00"/>
    <n v="0"/>
    <s v="No"/>
    <n v="0"/>
    <n v="0"/>
    <n v="9"/>
    <n v="62"/>
    <n v="0"/>
    <n v="0"/>
    <n v="10"/>
    <m/>
    <n v="0"/>
    <n v="0"/>
    <n v="0"/>
    <n v="0"/>
    <n v="0"/>
    <m/>
    <n v="2"/>
    <n v="0"/>
    <n v="0"/>
    <m/>
    <n v="150"/>
    <x v="1"/>
    <x v="1"/>
    <n v="0"/>
    <n v="0"/>
    <m/>
    <n v="0"/>
    <s v="Household"/>
    <n v="0"/>
    <n v="0"/>
    <n v="2"/>
    <n v="0"/>
    <n v="0"/>
    <x v="0"/>
    <m/>
    <m/>
    <m/>
    <m/>
    <s v="no test"/>
    <s v="no test"/>
    <x v="1"/>
    <n v="1"/>
    <n v="1"/>
    <n v="1"/>
    <n v="2985"/>
    <n v="0"/>
    <n v="0"/>
    <n v="1"/>
    <n v="2985"/>
    <n v="5.97"/>
    <n v="0"/>
    <n v="0"/>
    <n v="3.0000000000000249E-2"/>
    <n v="6"/>
    <n v="2"/>
    <n v="4.0201005025125632E-3"/>
    <n v="12.000000000000002"/>
    <n v="0.99698492462311561"/>
    <n v="496"/>
    <n v="498"/>
    <n v="0"/>
    <s v="N/A"/>
    <n v="1000"/>
    <n v="0"/>
    <n v="0"/>
    <n v="0"/>
    <n v="0"/>
    <n v="0"/>
    <n v="1"/>
    <n v="0.33500837520938026"/>
    <n v="0"/>
    <n v="0"/>
    <n v="0"/>
    <n v="0"/>
    <n v="0"/>
    <n v="0"/>
    <n v="0"/>
    <n v="0"/>
    <x v="3"/>
    <x v="2"/>
    <x v="7"/>
    <x v="5"/>
    <n v="20.127127999999999"/>
    <n v="92.875450000000001"/>
    <s v="196208"/>
    <x v="0"/>
    <m/>
  </r>
  <r>
    <x v="0"/>
    <x v="17"/>
    <x v="1"/>
    <x v="15"/>
    <x v="334"/>
    <n v="354"/>
    <n v="981"/>
    <s v="NA"/>
    <s v="UNICEF"/>
    <d v="2018-09-30T00:00:00"/>
    <m/>
    <s v="No"/>
    <m/>
    <m/>
    <n v="4"/>
    <n v="2"/>
    <n v="0"/>
    <n v="0"/>
    <m/>
    <m/>
    <m/>
    <m/>
    <m/>
    <m/>
    <n v="17"/>
    <s v="for this quarter"/>
    <n v="90"/>
    <n v="10"/>
    <m/>
    <m/>
    <m/>
    <x v="0"/>
    <x v="2"/>
    <m/>
    <m/>
    <m/>
    <n v="1"/>
    <s v="Communal"/>
    <n v="252"/>
    <n v="2"/>
    <n v="28"/>
    <n v="354"/>
    <n v="263"/>
    <x v="0"/>
    <m/>
    <m/>
    <m/>
    <m/>
    <s v="no test"/>
    <s v="no test"/>
    <x v="1"/>
    <n v="1"/>
    <n v="1"/>
    <n v="1"/>
    <n v="981"/>
    <n v="0"/>
    <n v="0"/>
    <n v="1"/>
    <n v="981"/>
    <n v="1.962"/>
    <n v="0"/>
    <n v="0"/>
    <n v="3.8000000000000034E-2"/>
    <n v="2"/>
    <n v="100"/>
    <n v="1"/>
    <n v="981"/>
    <n v="0"/>
    <n v="0"/>
    <n v="49"/>
    <n v="0.1"/>
    <n v="0"/>
    <n v="981"/>
    <n v="0"/>
    <n v="1"/>
    <n v="1"/>
    <n v="981"/>
    <n v="1"/>
    <n v="0"/>
    <n v="1"/>
    <n v="1"/>
    <n v="0.74293785310734461"/>
    <n v="1770"/>
    <n v="1315"/>
    <n v="1770"/>
    <n v="354"/>
    <s v="Yes"/>
    <n v="0"/>
    <x v="1"/>
    <x v="0"/>
    <x v="9"/>
    <x v="5"/>
    <n v="19.424576999999999"/>
    <n v="93.512326000000002"/>
    <s v="MMR012CMP035"/>
    <x v="0"/>
    <m/>
  </r>
  <r>
    <x v="0"/>
    <x v="2"/>
    <x v="1"/>
    <x v="18"/>
    <x v="335"/>
    <n v="22"/>
    <n v="114"/>
    <m/>
    <m/>
    <m/>
    <m/>
    <s v="No"/>
    <n v="0"/>
    <n v="0"/>
    <n v="0"/>
    <n v="0"/>
    <n v="0"/>
    <n v="0"/>
    <n v="0"/>
    <m/>
    <m/>
    <m/>
    <m/>
    <m/>
    <m/>
    <m/>
    <n v="0"/>
    <n v="0"/>
    <m/>
    <m/>
    <n v="0"/>
    <x v="4"/>
    <x v="4"/>
    <m/>
    <m/>
    <m/>
    <n v="0"/>
    <s v="Household"/>
    <n v="0"/>
    <n v="0"/>
    <n v="2"/>
    <m/>
    <m/>
    <x v="0"/>
    <m/>
    <m/>
    <m/>
    <m/>
    <s v="no test"/>
    <s v="no test"/>
    <x v="1"/>
    <n v="0"/>
    <n v="0"/>
    <n v="0"/>
    <n v="0"/>
    <n v="0"/>
    <n v="0"/>
    <n v="0"/>
    <n v="0"/>
    <n v="0"/>
    <n v="1"/>
    <n v="114"/>
    <n v="1"/>
    <n v="1"/>
    <n v="0"/>
    <n v="0"/>
    <n v="0"/>
    <n v="1"/>
    <n v="19"/>
    <n v="19"/>
    <n v="0"/>
    <s v="N/A"/>
    <n v="114"/>
    <n v="0"/>
    <n v="1"/>
    <n v="0"/>
    <n v="0"/>
    <n v="0"/>
    <n v="1"/>
    <n v="1"/>
    <n v="0"/>
    <n v="0"/>
    <n v="0"/>
    <n v="0"/>
    <n v="0"/>
    <n v="0"/>
    <s v="Yes"/>
    <n v="0"/>
    <x v="3"/>
    <x v="2"/>
    <x v="1"/>
    <x v="5"/>
    <n v="20.182987000000001"/>
    <n v="92.804803000000007"/>
    <s v="MMR012CMP103"/>
    <x v="1"/>
    <m/>
  </r>
  <r>
    <x v="0"/>
    <x v="18"/>
    <x v="1"/>
    <x v="16"/>
    <x v="336"/>
    <n v="1318"/>
    <n v="5938"/>
    <m/>
    <s v="UNICEF"/>
    <d v="2018-12-31T00:00:00"/>
    <n v="0"/>
    <s v="No"/>
    <n v="0"/>
    <n v="0"/>
    <n v="0"/>
    <n v="0"/>
    <n v="81000"/>
    <n v="2"/>
    <n v="0"/>
    <m/>
    <n v="0"/>
    <n v="0"/>
    <n v="0"/>
    <n v="0"/>
    <n v="0"/>
    <m/>
    <n v="144"/>
    <n v="30"/>
    <n v="50"/>
    <s v="Weekly"/>
    <n v="0"/>
    <x v="0"/>
    <x v="2"/>
    <n v="0"/>
    <n v="0"/>
    <s v="Availability and the schedule of the desludge truck does not allow one time desludge of all toilets"/>
    <n v="0"/>
    <s v="Household"/>
    <n v="1318"/>
    <n v="0"/>
    <n v="20"/>
    <n v="1318"/>
    <n v="1318"/>
    <x v="1"/>
    <m/>
    <n v="20"/>
    <n v="102"/>
    <m/>
    <s v="no test"/>
    <s v="no test"/>
    <x v="1"/>
    <n v="0.90939710340181878"/>
    <n v="0.90939710340181878"/>
    <n v="0.90939710340181878"/>
    <n v="5400"/>
    <n v="8.4203435500168414E-2"/>
    <n v="500.00000000000006"/>
    <n v="0.99360053890198718"/>
    <n v="5900"/>
    <n v="11.8"/>
    <n v="6.3994610980128153E-3"/>
    <n v="38.000000000000099"/>
    <n v="0.19999999999999929"/>
    <n v="12"/>
    <n v="174"/>
    <n v="0.48501178848097004"/>
    <n v="2880"/>
    <n v="0.41428090266082862"/>
    <n v="123"/>
    <n v="297"/>
    <n v="0.17241379310344829"/>
    <n v="1000"/>
    <n v="5938"/>
    <n v="1"/>
    <n v="1"/>
    <n v="1"/>
    <n v="5938"/>
    <n v="1"/>
    <n v="0"/>
    <n v="1"/>
    <n v="1"/>
    <n v="1"/>
    <n v="6590"/>
    <n v="6590"/>
    <n v="6590"/>
    <n v="0"/>
    <s v="Yes"/>
    <n v="0"/>
    <x v="1"/>
    <x v="0"/>
    <x v="9"/>
    <x v="5"/>
    <n v="20.090183"/>
    <n v="93.010368999999997"/>
    <s v="MMR012CMP018"/>
    <x v="0"/>
    <m/>
  </r>
  <r>
    <x v="0"/>
    <x v="17"/>
    <x v="1"/>
    <x v="18"/>
    <x v="337"/>
    <n v="656"/>
    <n v="3486"/>
    <m/>
    <s v="DFID/HARP"/>
    <d v="2020-09-30T00:00:00"/>
    <n v="0"/>
    <s v="No"/>
    <n v="0"/>
    <n v="0"/>
    <n v="0"/>
    <n v="46"/>
    <m/>
    <n v="0"/>
    <n v="46"/>
    <m/>
    <m/>
    <m/>
    <m/>
    <m/>
    <n v="8"/>
    <s v="for this quarter"/>
    <n v="243"/>
    <n v="58"/>
    <n v="84"/>
    <m/>
    <n v="297"/>
    <x v="0"/>
    <x v="2"/>
    <n v="0"/>
    <n v="2"/>
    <m/>
    <n v="1"/>
    <s v="Household"/>
    <n v="656"/>
    <n v="0"/>
    <n v="5"/>
    <n v="656"/>
    <n v="656"/>
    <x v="1"/>
    <m/>
    <m/>
    <m/>
    <m/>
    <s v="no test"/>
    <s v="no test"/>
    <x v="1"/>
    <n v="1"/>
    <n v="1"/>
    <n v="1"/>
    <n v="3486"/>
    <n v="0"/>
    <n v="0"/>
    <n v="1"/>
    <n v="3486"/>
    <n v="6.9720000000000004"/>
    <n v="0"/>
    <n v="0"/>
    <n v="2.7999999999999581E-2"/>
    <n v="7"/>
    <n v="301"/>
    <n v="1"/>
    <n v="3486"/>
    <n v="0"/>
    <n v="0"/>
    <n v="174"/>
    <n v="0.19269102990033224"/>
    <n v="1680"/>
    <n v="2500"/>
    <n v="1"/>
    <n v="0"/>
    <n v="1"/>
    <n v="3486"/>
    <n v="1"/>
    <n v="0"/>
    <n v="0.71715433161216291"/>
    <n v="1"/>
    <n v="1"/>
    <n v="3280"/>
    <n v="3280"/>
    <n v="3280"/>
    <n v="656"/>
    <s v="Yes"/>
    <n v="0"/>
    <x v="1"/>
    <x v="0"/>
    <x v="9"/>
    <x v="5"/>
    <n v="20.185917"/>
    <n v="92.831000000000003"/>
    <s v="MMR012CMP092"/>
    <x v="0"/>
    <m/>
  </r>
  <r>
    <x v="0"/>
    <x v="2"/>
    <x v="1"/>
    <x v="18"/>
    <x v="338"/>
    <n v="14"/>
    <n v="93"/>
    <m/>
    <m/>
    <m/>
    <m/>
    <s v="No"/>
    <n v="0"/>
    <n v="0"/>
    <n v="0"/>
    <n v="0"/>
    <n v="0"/>
    <n v="0"/>
    <n v="0"/>
    <m/>
    <m/>
    <m/>
    <m/>
    <m/>
    <m/>
    <m/>
    <n v="0"/>
    <n v="0"/>
    <m/>
    <m/>
    <n v="0"/>
    <x v="4"/>
    <x v="4"/>
    <m/>
    <m/>
    <m/>
    <n v="0"/>
    <s v="Household"/>
    <n v="0"/>
    <n v="0"/>
    <n v="0"/>
    <m/>
    <m/>
    <x v="0"/>
    <m/>
    <m/>
    <m/>
    <m/>
    <s v="no test"/>
    <s v="no test"/>
    <x v="1"/>
    <n v="0"/>
    <n v="0"/>
    <n v="0"/>
    <n v="0"/>
    <n v="0"/>
    <n v="0"/>
    <n v="0"/>
    <n v="0"/>
    <n v="0"/>
    <n v="1"/>
    <n v="93"/>
    <n v="1"/>
    <n v="1"/>
    <n v="0"/>
    <n v="0"/>
    <n v="0"/>
    <n v="1"/>
    <n v="16"/>
    <n v="16"/>
    <n v="0"/>
    <s v="N/A"/>
    <n v="0"/>
    <n v="0"/>
    <n v="0"/>
    <n v="0"/>
    <n v="0"/>
    <n v="0"/>
    <n v="1"/>
    <n v="0"/>
    <n v="0"/>
    <n v="0"/>
    <n v="0"/>
    <n v="0"/>
    <n v="0"/>
    <n v="0"/>
    <n v="0"/>
    <n v="0"/>
    <x v="3"/>
    <x v="2"/>
    <x v="7"/>
    <x v="5"/>
    <n v="0"/>
    <n v="0"/>
    <n v="0"/>
    <x v="1"/>
    <m/>
  </r>
  <r>
    <x v="0"/>
    <x v="0"/>
    <x v="1"/>
    <x v="16"/>
    <x v="339"/>
    <n v="1010"/>
    <n v="4588"/>
    <m/>
    <s v="ECHO, OFDA, UNICEF"/>
    <s v="31/12/2018, 30/06/2019, 13/09/2018"/>
    <n v="7"/>
    <s v="No"/>
    <n v="0"/>
    <n v="0"/>
    <n v="0"/>
    <n v="0"/>
    <n v="0"/>
    <n v="1"/>
    <n v="0"/>
    <n v="0"/>
    <n v="0"/>
    <m/>
    <n v="38"/>
    <n v="21"/>
    <n v="0"/>
    <s v="SI does not deliver water to the village, HH filters distribution planned"/>
    <n v="105"/>
    <n v="27"/>
    <n v="132"/>
    <s v="Monthly"/>
    <n v="0"/>
    <x v="3"/>
    <x v="2"/>
    <n v="18.876190476190477"/>
    <n v="0"/>
    <m/>
    <n v="0"/>
    <s v="Household"/>
    <n v="0"/>
    <n v="0"/>
    <n v="9"/>
    <n v="1010"/>
    <n v="1010"/>
    <x v="0"/>
    <m/>
    <m/>
    <m/>
    <s v="v40 and v41 can be completed in terms of amount of money but hardly in terms of number of workers as we'll face double countings"/>
    <s v="no test"/>
    <n v="0.55263157894736847"/>
    <x v="0"/>
    <n v="0"/>
    <n v="0"/>
    <n v="0"/>
    <n v="0"/>
    <n v="5.4489973844812557E-2"/>
    <n v="250"/>
    <n v="5.4489973844812557E-2"/>
    <n v="250"/>
    <n v="1"/>
    <n v="0.94551002615518742"/>
    <n v="4338"/>
    <n v="8"/>
    <n v="9"/>
    <n v="132"/>
    <n v="0.45771578029642546"/>
    <n v="2100"/>
    <n v="0.42284219703574544"/>
    <n v="97"/>
    <n v="229"/>
    <n v="0.20454545454545456"/>
    <n v="2640"/>
    <n v="4500"/>
    <n v="1"/>
    <n v="1"/>
    <n v="1"/>
    <n v="4588"/>
    <n v="1"/>
    <n v="0"/>
    <n v="0.98081952920662596"/>
    <n v="1"/>
    <n v="1"/>
    <n v="5050"/>
    <n v="5050"/>
    <n v="5050"/>
    <n v="0"/>
    <s v="Yes"/>
    <n v="0"/>
    <x v="1"/>
    <x v="0"/>
    <x v="11"/>
    <x v="5"/>
    <n v="20.073437999999999"/>
    <n v="93.154551999999995"/>
    <s v="MMR012CMP017"/>
    <x v="0"/>
    <m/>
  </r>
  <r>
    <x v="0"/>
    <x v="0"/>
    <x v="1"/>
    <x v="16"/>
    <x v="340"/>
    <n v="905"/>
    <n v="4086"/>
    <m/>
    <s v="ECHO, OFDA, UNICEF"/>
    <s v="31/12/2018, 30/06/2019, 13/09/2018"/>
    <n v="7"/>
    <s v="No"/>
    <n v="0"/>
    <n v="0"/>
    <n v="0"/>
    <n v="0"/>
    <n v="17648.351648351647"/>
    <n v="3"/>
    <n v="0"/>
    <n v="0"/>
    <n v="142"/>
    <n v="142"/>
    <n v="39"/>
    <n v="16"/>
    <n v="0"/>
    <m/>
    <n v="110"/>
    <n v="12"/>
    <n v="122"/>
    <s v="Monthly"/>
    <n v="0"/>
    <x v="3"/>
    <x v="2"/>
    <n v="14.672727272727272"/>
    <n v="0"/>
    <m/>
    <n v="0"/>
    <s v="Household"/>
    <n v="0"/>
    <n v="0"/>
    <n v="10"/>
    <n v="905"/>
    <n v="905"/>
    <x v="0"/>
    <m/>
    <m/>
    <m/>
    <s v="v40 and v41 can be completed in terms of amount of money but hardly in terms of number of workers as we'll face double countings"/>
    <n v="1"/>
    <n v="0.41025641025641024"/>
    <x v="0"/>
    <n v="0.28794830556945089"/>
    <n v="0.28794830556945089"/>
    <n v="0.28794830556945089"/>
    <n v="1176.5567765567764"/>
    <n v="0.18355359765051396"/>
    <n v="750"/>
    <n v="0.47150190321996488"/>
    <n v="1926.5567765567764"/>
    <n v="4"/>
    <n v="0.52849809678003512"/>
    <n v="2159.4432234432234"/>
    <n v="4"/>
    <n v="8"/>
    <n v="122"/>
    <n v="0.53842388644150763"/>
    <n v="2200"/>
    <n v="0.40137053352912383"/>
    <n v="82"/>
    <n v="204"/>
    <n v="9.8360655737704916E-2"/>
    <n v="2440"/>
    <n v="4086"/>
    <n v="1"/>
    <n v="1"/>
    <n v="1"/>
    <n v="4086"/>
    <n v="1"/>
    <n v="0"/>
    <n v="1"/>
    <n v="1"/>
    <n v="1"/>
    <n v="4525"/>
    <n v="4525"/>
    <n v="4525"/>
    <n v="0"/>
    <s v="Yes"/>
    <n v="0"/>
    <x v="1"/>
    <x v="0"/>
    <x v="9"/>
    <x v="5"/>
    <n v="20.073437999999999"/>
    <n v="93.154551999999995"/>
    <s v="MMR012CMP017"/>
    <x v="0"/>
    <m/>
  </r>
  <r>
    <x v="0"/>
    <x v="2"/>
    <x v="1"/>
    <x v="18"/>
    <x v="341"/>
    <n v="357"/>
    <n v="2743"/>
    <m/>
    <m/>
    <m/>
    <m/>
    <s v="No"/>
    <n v="0"/>
    <n v="0"/>
    <n v="0"/>
    <n v="20"/>
    <n v="0"/>
    <n v="0"/>
    <n v="0"/>
    <m/>
    <m/>
    <m/>
    <m/>
    <m/>
    <m/>
    <m/>
    <n v="39"/>
    <n v="0"/>
    <m/>
    <m/>
    <n v="0"/>
    <x v="1"/>
    <x v="1"/>
    <m/>
    <m/>
    <m/>
    <n v="0"/>
    <s v="Household"/>
    <n v="0"/>
    <n v="0"/>
    <n v="2"/>
    <m/>
    <m/>
    <x v="0"/>
    <m/>
    <m/>
    <m/>
    <m/>
    <s v="no test"/>
    <s v="no test"/>
    <x v="1"/>
    <n v="1"/>
    <n v="1"/>
    <n v="1"/>
    <n v="2743"/>
    <n v="0"/>
    <n v="0"/>
    <n v="1"/>
    <n v="2743"/>
    <n v="5.4859999999999998"/>
    <n v="0"/>
    <n v="0"/>
    <n v="0"/>
    <n v="5"/>
    <n v="39"/>
    <n v="8.5308056872037921E-2"/>
    <n v="234.00000000000003"/>
    <n v="0.91432737878235504"/>
    <n v="418"/>
    <n v="457"/>
    <n v="0"/>
    <s v="N/A"/>
    <n v="1000"/>
    <n v="0"/>
    <n v="0"/>
    <n v="0"/>
    <n v="0"/>
    <n v="0"/>
    <n v="1"/>
    <n v="0.36456434560699963"/>
    <n v="0"/>
    <n v="0"/>
    <n v="0"/>
    <n v="0"/>
    <n v="0"/>
    <n v="0"/>
    <n v="0"/>
    <n v="0"/>
    <x v="3"/>
    <x v="2"/>
    <x v="7"/>
    <x v="5"/>
    <n v="0"/>
    <n v="0"/>
    <n v="0"/>
    <x v="1"/>
    <m/>
  </r>
  <r>
    <x v="0"/>
    <x v="7"/>
    <x v="1"/>
    <x v="18"/>
    <x v="342"/>
    <n v="22"/>
    <n v="113"/>
    <m/>
    <s v="MHF"/>
    <d v="2018-09-13T00:00:00"/>
    <n v="0"/>
    <s v="No"/>
    <n v="0"/>
    <n v="0"/>
    <n v="2"/>
    <n v="1"/>
    <n v="0"/>
    <n v="0"/>
    <n v="3"/>
    <m/>
    <n v="0"/>
    <n v="0"/>
    <n v="0"/>
    <n v="0"/>
    <n v="0"/>
    <m/>
    <n v="24"/>
    <n v="0"/>
    <n v="0"/>
    <m/>
    <n v="2"/>
    <x v="1"/>
    <x v="1"/>
    <n v="0"/>
    <n v="0"/>
    <m/>
    <n v="0"/>
    <s v="Household"/>
    <n v="0"/>
    <n v="0"/>
    <n v="1"/>
    <n v="0"/>
    <n v="0"/>
    <x v="0"/>
    <m/>
    <m/>
    <m/>
    <m/>
    <s v="no test"/>
    <s v="no test"/>
    <x v="1"/>
    <n v="1"/>
    <n v="1"/>
    <n v="1"/>
    <n v="113"/>
    <n v="0"/>
    <n v="0"/>
    <n v="1"/>
    <n v="113"/>
    <n v="0.22600000000000001"/>
    <n v="0"/>
    <n v="0"/>
    <n v="0.77400000000000002"/>
    <n v="1"/>
    <n v="24"/>
    <n v="1"/>
    <n v="113"/>
    <n v="0"/>
    <n v="0"/>
    <n v="19"/>
    <n v="0"/>
    <s v="N/A"/>
    <n v="113"/>
    <n v="0"/>
    <n v="1"/>
    <n v="0"/>
    <n v="0"/>
    <n v="0"/>
    <n v="1"/>
    <n v="1"/>
    <n v="0"/>
    <n v="0"/>
    <n v="0"/>
    <n v="0"/>
    <n v="0"/>
    <n v="0"/>
    <n v="0"/>
    <n v="0"/>
    <x v="3"/>
    <x v="2"/>
    <x v="7"/>
    <x v="3"/>
    <n v="20.218299999999999"/>
    <n v="92.805999999999997"/>
    <s v="196140"/>
    <x v="0"/>
    <m/>
  </r>
  <r>
    <x v="0"/>
    <x v="13"/>
    <x v="1"/>
    <x v="17"/>
    <x v="343"/>
    <n v="91"/>
    <n v="581"/>
    <n v="211"/>
    <s v="UMCOR"/>
    <d v="2019-03-30T00:00:00"/>
    <m/>
    <m/>
    <m/>
    <m/>
    <n v="0"/>
    <n v="0"/>
    <m/>
    <n v="3"/>
    <n v="0"/>
    <m/>
    <m/>
    <m/>
    <m/>
    <m/>
    <m/>
    <m/>
    <n v="13"/>
    <m/>
    <m/>
    <m/>
    <n v="0"/>
    <x v="1"/>
    <x v="1"/>
    <m/>
    <m/>
    <m/>
    <n v="0"/>
    <m/>
    <n v="0"/>
    <m/>
    <n v="0"/>
    <m/>
    <m/>
    <x v="0"/>
    <m/>
    <m/>
    <m/>
    <m/>
    <s v="no test"/>
    <s v="no test"/>
    <x v="1"/>
    <n v="0"/>
    <n v="0"/>
    <n v="0"/>
    <n v="0"/>
    <n v="1"/>
    <n v="581"/>
    <n v="1"/>
    <n v="581"/>
    <n v="1"/>
    <n v="0"/>
    <n v="0"/>
    <n v="0"/>
    <n v="1"/>
    <n v="13"/>
    <n v="0.44750430292598969"/>
    <n v="260"/>
    <n v="0.55077452667814109"/>
    <n v="16"/>
    <n v="29"/>
    <n v="0"/>
    <n v="0"/>
    <n v="0"/>
    <n v="0"/>
    <n v="0"/>
    <n v="0"/>
    <n v="0"/>
    <n v="0"/>
    <n v="1"/>
    <n v="0"/>
    <n v="0"/>
    <n v="0"/>
    <n v="0"/>
    <n v="0"/>
    <n v="0"/>
    <n v="0"/>
    <s v="Yes"/>
    <n v="0"/>
    <x v="1"/>
    <x v="0"/>
    <x v="12"/>
    <x v="5"/>
    <n v="20.865687000000001"/>
    <n v="92.965980999999999"/>
    <s v="MMR012CMP023"/>
    <x v="0"/>
    <m/>
  </r>
  <r>
    <x v="0"/>
    <x v="12"/>
    <x v="1"/>
    <x v="18"/>
    <x v="344"/>
    <n v="673"/>
    <n v="3095"/>
    <m/>
    <s v="UNICEF"/>
    <d v="2018-11-30T00:00:00"/>
    <n v="0"/>
    <s v="Yes"/>
    <n v="0"/>
    <n v="0"/>
    <n v="0"/>
    <n v="40"/>
    <n v="0"/>
    <n v="0"/>
    <m/>
    <n v="1"/>
    <n v="15"/>
    <n v="8"/>
    <n v="23"/>
    <n v="16"/>
    <m/>
    <m/>
    <n v="203"/>
    <n v="0"/>
    <n v="15"/>
    <m/>
    <n v="203"/>
    <x v="0"/>
    <x v="0"/>
    <m/>
    <m/>
    <m/>
    <n v="0"/>
    <s v="Both"/>
    <n v="592"/>
    <n v="0"/>
    <n v="10"/>
    <n v="673"/>
    <n v="673"/>
    <x v="0"/>
    <n v="1"/>
    <n v="1"/>
    <n v="11"/>
    <m/>
    <n v="0.53333333333333333"/>
    <n v="0.69565217391304346"/>
    <x v="0"/>
    <n v="1"/>
    <n v="1"/>
    <n v="1"/>
    <n v="3095"/>
    <n v="0"/>
    <n v="0"/>
    <n v="1"/>
    <n v="3095"/>
    <n v="6.19"/>
    <n v="0"/>
    <n v="0"/>
    <n v="0"/>
    <n v="6"/>
    <n v="203"/>
    <n v="1"/>
    <n v="3095"/>
    <n v="0"/>
    <n v="0"/>
    <n v="155"/>
    <n v="0"/>
    <n v="300"/>
    <n v="3095"/>
    <n v="1"/>
    <n v="1"/>
    <n v="1"/>
    <n v="3095"/>
    <n v="1"/>
    <n v="0"/>
    <n v="1"/>
    <n v="1"/>
    <n v="1"/>
    <n v="3365"/>
    <n v="3365"/>
    <n v="3365"/>
    <n v="0"/>
    <s v="Yes"/>
    <n v="0"/>
    <x v="1"/>
    <x v="0"/>
    <x v="9"/>
    <x v="5"/>
    <n v="20.206778"/>
    <n v="92.774193999999994"/>
    <s v="MMR012CMP098"/>
    <x v="0"/>
    <m/>
  </r>
  <r>
    <x v="0"/>
    <x v="7"/>
    <x v="1"/>
    <x v="18"/>
    <x v="345"/>
    <n v="126"/>
    <n v="600"/>
    <m/>
    <s v="MHF"/>
    <d v="2018-09-13T00:00:00"/>
    <n v="0"/>
    <s v="No"/>
    <n v="0"/>
    <n v="0"/>
    <n v="4"/>
    <n v="23"/>
    <n v="0"/>
    <n v="2"/>
    <n v="0"/>
    <m/>
    <n v="0"/>
    <n v="0"/>
    <n v="0"/>
    <n v="0"/>
    <n v="0"/>
    <m/>
    <n v="54"/>
    <n v="0"/>
    <n v="0"/>
    <m/>
    <n v="54"/>
    <x v="1"/>
    <x v="1"/>
    <n v="0"/>
    <n v="0"/>
    <m/>
    <n v="0"/>
    <s v="Household"/>
    <n v="0"/>
    <n v="0"/>
    <n v="1"/>
    <n v="0"/>
    <n v="0"/>
    <x v="0"/>
    <m/>
    <m/>
    <m/>
    <m/>
    <s v="no test"/>
    <s v="no test"/>
    <x v="1"/>
    <n v="1"/>
    <n v="1"/>
    <n v="1"/>
    <n v="600"/>
    <n v="0.83333333333333337"/>
    <n v="500"/>
    <n v="1"/>
    <n v="600"/>
    <n v="1.2"/>
    <n v="0"/>
    <n v="0"/>
    <n v="0"/>
    <n v="1"/>
    <n v="54"/>
    <n v="0.54"/>
    <n v="324"/>
    <n v="0.46"/>
    <n v="46"/>
    <n v="100"/>
    <n v="0"/>
    <s v="N/A"/>
    <n v="500"/>
    <n v="0"/>
    <n v="1"/>
    <n v="0"/>
    <n v="0"/>
    <n v="0"/>
    <n v="1"/>
    <n v="0.83333333333333337"/>
    <n v="0"/>
    <n v="0"/>
    <n v="0"/>
    <n v="0"/>
    <n v="0"/>
    <n v="0"/>
    <n v="0"/>
    <n v="0"/>
    <x v="3"/>
    <x v="2"/>
    <x v="7"/>
    <x v="3"/>
    <n v="20.231519699096701"/>
    <n v="92.876129150390597"/>
    <n v="196180"/>
    <x v="0"/>
    <m/>
  </r>
  <r>
    <x v="0"/>
    <x v="2"/>
    <x v="1"/>
    <x v="18"/>
    <x v="346"/>
    <n v="197"/>
    <n v="488"/>
    <m/>
    <m/>
    <m/>
    <m/>
    <s v="No"/>
    <n v="0"/>
    <n v="0"/>
    <n v="9"/>
    <n v="4"/>
    <n v="0"/>
    <n v="0"/>
    <n v="0"/>
    <m/>
    <m/>
    <m/>
    <m/>
    <m/>
    <m/>
    <s v="No WASH actor"/>
    <n v="146"/>
    <n v="0"/>
    <m/>
    <m/>
    <n v="0"/>
    <x v="3"/>
    <x v="2"/>
    <m/>
    <m/>
    <m/>
    <n v="0"/>
    <m/>
    <n v="0"/>
    <n v="0"/>
    <n v="0"/>
    <m/>
    <m/>
    <x v="0"/>
    <m/>
    <m/>
    <m/>
    <m/>
    <s v="no test"/>
    <s v="no test"/>
    <x v="1"/>
    <n v="1"/>
    <n v="1"/>
    <n v="1"/>
    <n v="488"/>
    <n v="0"/>
    <n v="0"/>
    <n v="1"/>
    <n v="488"/>
    <n v="0.97599999999999998"/>
    <n v="0"/>
    <n v="0"/>
    <n v="2.4000000000000021E-2"/>
    <n v="1"/>
    <n v="146"/>
    <n v="1"/>
    <n v="488"/>
    <n v="0"/>
    <n v="0"/>
    <n v="81"/>
    <n v="0"/>
    <s v="N/A"/>
    <n v="0"/>
    <n v="0"/>
    <n v="0"/>
    <n v="0"/>
    <n v="0"/>
    <n v="0"/>
    <n v="1"/>
    <n v="0"/>
    <n v="0"/>
    <n v="0"/>
    <n v="0"/>
    <n v="0"/>
    <n v="0"/>
    <n v="0"/>
    <n v="0"/>
    <n v="0"/>
    <x v="3"/>
    <x v="2"/>
    <x v="7"/>
    <x v="3"/>
    <n v="20.245159149169901"/>
    <n v="92.807418823242202"/>
    <s v="196137"/>
    <x v="1"/>
    <m/>
  </r>
  <r>
    <x v="0"/>
    <x v="17"/>
    <x v="1"/>
    <x v="18"/>
    <x v="347"/>
    <n v="2428"/>
    <n v="13302"/>
    <m/>
    <s v="DFID/HARP"/>
    <d v="2020-09-30T00:00:00"/>
    <n v="0"/>
    <s v="No"/>
    <n v="0"/>
    <n v="0"/>
    <n v="0"/>
    <n v="185"/>
    <m/>
    <n v="0"/>
    <n v="234"/>
    <m/>
    <n v="7"/>
    <n v="6"/>
    <n v="12"/>
    <n v="2"/>
    <n v="9"/>
    <s v="for this quarter"/>
    <n v="493"/>
    <n v="289"/>
    <n v="326"/>
    <m/>
    <n v="788"/>
    <x v="0"/>
    <x v="2"/>
    <n v="0"/>
    <n v="18"/>
    <m/>
    <n v="1"/>
    <s v="Household"/>
    <n v="2428"/>
    <n v="0"/>
    <n v="24"/>
    <n v="2428"/>
    <n v="2428"/>
    <x v="1"/>
    <m/>
    <m/>
    <m/>
    <m/>
    <n v="0.8571428571428571"/>
    <n v="0.16666666666666666"/>
    <x v="0"/>
    <n v="1"/>
    <n v="1"/>
    <n v="1"/>
    <n v="13302"/>
    <n v="0"/>
    <n v="0"/>
    <n v="1"/>
    <n v="13302"/>
    <n v="26.603999999999999"/>
    <n v="0"/>
    <n v="0"/>
    <n v="0.3960000000000008"/>
    <n v="27"/>
    <n v="782"/>
    <n v="0.74124191850849497"/>
    <n v="9860"/>
    <n v="0"/>
    <n v="0"/>
    <n v="665"/>
    <n v="0.36956521739130432"/>
    <n v="6520"/>
    <n v="12000"/>
    <n v="1"/>
    <n v="1"/>
    <n v="1"/>
    <n v="13302"/>
    <n v="1"/>
    <n v="0"/>
    <n v="0.90211998195760035"/>
    <n v="1"/>
    <n v="1"/>
    <n v="12140"/>
    <n v="12140"/>
    <n v="12140"/>
    <n v="2428"/>
    <s v="Yes"/>
    <n v="0"/>
    <x v="1"/>
    <x v="0"/>
    <x v="9"/>
    <x v="5"/>
    <n v="20.18994"/>
    <n v="92.798880999999994"/>
    <s v="MMR012CMP115"/>
    <x v="0"/>
    <m/>
  </r>
  <r>
    <x v="0"/>
    <x v="19"/>
    <x v="1"/>
    <x v="18"/>
    <x v="348"/>
    <n v="250"/>
    <n v="1183"/>
    <n v="290"/>
    <s v="MHF,LDS"/>
    <s v="9/13/2018,9/30/18"/>
    <n v="0"/>
    <s v="No"/>
    <n v="0"/>
    <n v="0"/>
    <n v="11"/>
    <n v="21"/>
    <n v="0"/>
    <n v="0"/>
    <n v="1"/>
    <m/>
    <n v="0"/>
    <n v="0"/>
    <n v="0"/>
    <n v="0"/>
    <n v="0"/>
    <m/>
    <n v="14"/>
    <n v="0"/>
    <n v="0"/>
    <m/>
    <n v="75"/>
    <x v="1"/>
    <x v="1"/>
    <n v="0"/>
    <n v="0"/>
    <m/>
    <n v="0"/>
    <s v="Household"/>
    <n v="0"/>
    <n v="0"/>
    <n v="1"/>
    <n v="0"/>
    <n v="0"/>
    <x v="0"/>
    <m/>
    <m/>
    <m/>
    <m/>
    <s v="no test"/>
    <s v="no test"/>
    <x v="1"/>
    <n v="1"/>
    <n v="1"/>
    <n v="1"/>
    <n v="1183"/>
    <n v="0"/>
    <n v="0"/>
    <n v="1"/>
    <n v="1183"/>
    <n v="2.3660000000000001"/>
    <n v="0"/>
    <n v="0"/>
    <n v="0"/>
    <n v="2"/>
    <n v="14"/>
    <n v="7.1005917159763315E-2"/>
    <n v="84"/>
    <n v="0.92814877430262055"/>
    <n v="183"/>
    <n v="197"/>
    <n v="0"/>
    <s v="N/A"/>
    <n v="500"/>
    <n v="0"/>
    <n v="0"/>
    <n v="0"/>
    <n v="0"/>
    <n v="0"/>
    <n v="1"/>
    <n v="0.42265426880811496"/>
    <n v="0"/>
    <n v="0"/>
    <n v="0"/>
    <n v="0"/>
    <n v="0"/>
    <n v="0"/>
    <n v="0"/>
    <n v="0"/>
    <x v="3"/>
    <x v="2"/>
    <x v="7"/>
    <x v="5"/>
    <n v="20.2302"/>
    <n v="92.817999999999998"/>
    <s v="196139"/>
    <x v="0"/>
    <m/>
  </r>
  <r>
    <x v="0"/>
    <x v="13"/>
    <x v="1"/>
    <x v="18"/>
    <x v="349"/>
    <n v="366"/>
    <n v="2182"/>
    <n v="261"/>
    <s v="WFA/Zahra"/>
    <d v="2018-12-30T00:00:00"/>
    <n v="0"/>
    <s v="No"/>
    <n v="0"/>
    <n v="0"/>
    <n v="0"/>
    <m/>
    <m/>
    <m/>
    <m/>
    <m/>
    <m/>
    <m/>
    <m/>
    <m/>
    <m/>
    <m/>
    <n v="0"/>
    <m/>
    <m/>
    <m/>
    <m/>
    <x v="1"/>
    <x v="1"/>
    <m/>
    <m/>
    <m/>
    <m/>
    <s v="Household"/>
    <m/>
    <m/>
    <m/>
    <m/>
    <m/>
    <x v="0"/>
    <m/>
    <m/>
    <m/>
    <m/>
    <s v="no test"/>
    <s v="no test"/>
    <x v="1"/>
    <n v="0"/>
    <n v="0"/>
    <n v="0"/>
    <n v="0"/>
    <n v="0"/>
    <n v="0"/>
    <n v="0"/>
    <n v="0"/>
    <n v="0"/>
    <n v="1"/>
    <n v="2182"/>
    <n v="4"/>
    <n v="4"/>
    <n v="0"/>
    <n v="0"/>
    <n v="0"/>
    <n v="1"/>
    <n v="364"/>
    <n v="364"/>
    <n v="0"/>
    <s v="N/A"/>
    <n v="0"/>
    <n v="0"/>
    <n v="0"/>
    <n v="0"/>
    <n v="0"/>
    <n v="0"/>
    <n v="1"/>
    <n v="0"/>
    <n v="0"/>
    <n v="0"/>
    <n v="0"/>
    <n v="0"/>
    <n v="0"/>
    <n v="0"/>
    <n v="0"/>
    <n v="0"/>
    <x v="3"/>
    <x v="2"/>
    <x v="7"/>
    <x v="8"/>
    <n v="0"/>
    <n v="0"/>
    <n v="0"/>
    <x v="0"/>
    <m/>
  </r>
  <r>
    <x v="0"/>
    <x v="7"/>
    <x v="1"/>
    <x v="18"/>
    <x v="350"/>
    <n v="164"/>
    <n v="908"/>
    <m/>
    <s v="MHF"/>
    <d v="2018-09-13T00:00:00"/>
    <n v="0"/>
    <s v="No"/>
    <n v="0"/>
    <n v="0"/>
    <n v="20"/>
    <n v="35"/>
    <n v="0"/>
    <n v="0"/>
    <n v="1"/>
    <m/>
    <n v="0"/>
    <n v="0"/>
    <n v="0"/>
    <n v="0"/>
    <n v="0"/>
    <m/>
    <n v="103"/>
    <n v="0"/>
    <n v="0"/>
    <m/>
    <n v="55"/>
    <x v="1"/>
    <x v="1"/>
    <n v="0"/>
    <n v="0"/>
    <m/>
    <n v="0"/>
    <s v="Household"/>
    <n v="0"/>
    <n v="0"/>
    <n v="1"/>
    <n v="0"/>
    <n v="0"/>
    <x v="0"/>
    <m/>
    <m/>
    <m/>
    <m/>
    <s v="no test"/>
    <s v="no test"/>
    <x v="1"/>
    <n v="1"/>
    <n v="1"/>
    <n v="1"/>
    <n v="908"/>
    <n v="0"/>
    <n v="0"/>
    <n v="1"/>
    <n v="908"/>
    <n v="1.8160000000000001"/>
    <n v="0"/>
    <n v="0"/>
    <n v="0.18399999999999994"/>
    <n v="2"/>
    <n v="103"/>
    <n v="0.68061674008810569"/>
    <n v="618"/>
    <n v="0.31718061674008807"/>
    <n v="48"/>
    <n v="151"/>
    <n v="0"/>
    <s v="N/A"/>
    <n v="500"/>
    <n v="0"/>
    <n v="1"/>
    <n v="0"/>
    <n v="0"/>
    <n v="0"/>
    <n v="1"/>
    <n v="0.5506607929515418"/>
    <n v="0"/>
    <n v="0"/>
    <n v="0"/>
    <n v="0"/>
    <n v="0"/>
    <n v="0"/>
    <n v="0"/>
    <n v="0"/>
    <x v="3"/>
    <x v="2"/>
    <x v="7"/>
    <x v="5"/>
    <n v="20.212700000000002"/>
    <n v="92.820800000000006"/>
    <s v="196144"/>
    <x v="0"/>
    <m/>
  </r>
  <r>
    <x v="0"/>
    <x v="7"/>
    <x v="1"/>
    <x v="18"/>
    <x v="351"/>
    <n v="325"/>
    <n v="1857"/>
    <m/>
    <s v="MHF"/>
    <d v="2018-09-13T00:00:00"/>
    <n v="0"/>
    <s v="No"/>
    <n v="0"/>
    <n v="0"/>
    <n v="20"/>
    <n v="30"/>
    <n v="0"/>
    <n v="0"/>
    <n v="0"/>
    <m/>
    <n v="0"/>
    <n v="0"/>
    <n v="0"/>
    <n v="0"/>
    <n v="0"/>
    <m/>
    <n v="126"/>
    <n v="0"/>
    <n v="0"/>
    <m/>
    <n v="100"/>
    <x v="1"/>
    <x v="1"/>
    <n v="0"/>
    <n v="0"/>
    <m/>
    <n v="0"/>
    <s v="Household"/>
    <n v="0"/>
    <n v="0"/>
    <n v="1"/>
    <n v="0"/>
    <n v="0"/>
    <x v="0"/>
    <m/>
    <m/>
    <m/>
    <m/>
    <s v="no test"/>
    <s v="no test"/>
    <x v="1"/>
    <n v="1"/>
    <n v="1"/>
    <n v="1"/>
    <n v="1857"/>
    <n v="0"/>
    <n v="0"/>
    <n v="1"/>
    <n v="1857"/>
    <n v="3.714"/>
    <n v="0"/>
    <n v="0"/>
    <n v="0.28600000000000003"/>
    <n v="4"/>
    <n v="126"/>
    <n v="0.40710823909531502"/>
    <n v="756"/>
    <n v="0.59450726978998381"/>
    <n v="184"/>
    <n v="310"/>
    <n v="0"/>
    <s v="N/A"/>
    <n v="500"/>
    <n v="0"/>
    <n v="0"/>
    <n v="0"/>
    <n v="0"/>
    <n v="0"/>
    <n v="1"/>
    <n v="0.26925148088314488"/>
    <n v="0"/>
    <n v="0"/>
    <n v="0"/>
    <n v="0"/>
    <n v="0"/>
    <n v="0"/>
    <n v="0"/>
    <n v="0"/>
    <x v="3"/>
    <x v="2"/>
    <x v="7"/>
    <x v="5"/>
    <n v="20.219509124755898"/>
    <n v="92.811332702636705"/>
    <n v="196145"/>
    <x v="0"/>
    <m/>
  </r>
  <r>
    <x v="0"/>
    <x v="18"/>
    <x v="1"/>
    <x v="18"/>
    <x v="352"/>
    <n v="2259"/>
    <n v="12121"/>
    <m/>
    <s v="ECHO"/>
    <d v="2018-12-31T00:00:00"/>
    <n v="0"/>
    <s v="No"/>
    <n v="0"/>
    <n v="0"/>
    <n v="0"/>
    <n v="78"/>
    <n v="0"/>
    <n v="0"/>
    <n v="73"/>
    <m/>
    <n v="0"/>
    <n v="0"/>
    <n v="0"/>
    <n v="0"/>
    <n v="0"/>
    <m/>
    <n v="608"/>
    <n v="50"/>
    <n v="250"/>
    <s v="Weekly"/>
    <n v="0"/>
    <x v="0"/>
    <x v="0"/>
    <n v="32"/>
    <n v="0"/>
    <s v="Availability and the schedule of the desludge truck does not allow one time desludge of all toilets"/>
    <n v="0"/>
    <s v="Household"/>
    <n v="2259"/>
    <n v="0"/>
    <n v="29"/>
    <n v="2259"/>
    <n v="2259"/>
    <x v="1"/>
    <m/>
    <n v="32"/>
    <n v="150"/>
    <m/>
    <s v="no test"/>
    <s v="no test"/>
    <x v="1"/>
    <n v="1"/>
    <n v="1"/>
    <n v="1"/>
    <n v="12121"/>
    <n v="0"/>
    <n v="0"/>
    <n v="1"/>
    <n v="12121"/>
    <n v="24.242000000000001"/>
    <n v="0"/>
    <n v="0"/>
    <n v="0"/>
    <n v="24"/>
    <n v="658"/>
    <n v="1"/>
    <n v="12121"/>
    <n v="0"/>
    <n v="0"/>
    <n v="606"/>
    <n v="7.598784194528875E-2"/>
    <n v="5000"/>
    <n v="12121"/>
    <n v="1"/>
    <n v="1"/>
    <n v="1"/>
    <n v="12121"/>
    <n v="1"/>
    <n v="0"/>
    <n v="1"/>
    <n v="1"/>
    <n v="1"/>
    <n v="11295"/>
    <n v="11295"/>
    <n v="11295"/>
    <n v="0"/>
    <s v="Yes"/>
    <n v="0"/>
    <x v="1"/>
    <x v="0"/>
    <x v="9"/>
    <x v="5"/>
    <n v="20.185092000000001"/>
    <n v="92.802295999999998"/>
    <s v="MMR012CMP116"/>
    <x v="0"/>
    <m/>
  </r>
  <r>
    <x v="0"/>
    <x v="17"/>
    <x v="1"/>
    <x v="18"/>
    <x v="353"/>
    <n v="200"/>
    <n v="1065"/>
    <s v="NA"/>
    <s v="DFID/HARP"/>
    <d v="2020-09-30T00:00:00"/>
    <n v="0"/>
    <s v="No"/>
    <n v="0"/>
    <n v="0"/>
    <n v="0"/>
    <n v="0"/>
    <n v="0"/>
    <n v="2"/>
    <n v="0"/>
    <m/>
    <n v="1"/>
    <n v="0"/>
    <n v="0"/>
    <n v="0"/>
    <m/>
    <s v="for this quarter"/>
    <n v="0"/>
    <n v="0"/>
    <n v="0"/>
    <m/>
    <m/>
    <x v="0"/>
    <x v="2"/>
    <n v="0"/>
    <n v="0"/>
    <m/>
    <n v="1"/>
    <s v="Household"/>
    <n v="0"/>
    <n v="0"/>
    <n v="0"/>
    <m/>
    <m/>
    <x v="0"/>
    <m/>
    <m/>
    <m/>
    <m/>
    <n v="0"/>
    <s v="no test"/>
    <x v="0"/>
    <n v="0"/>
    <n v="0"/>
    <n v="0"/>
    <n v="0"/>
    <n v="0.46948356807511737"/>
    <n v="500"/>
    <n v="0.46948356807511737"/>
    <n v="500"/>
    <n v="1"/>
    <n v="0.53051643192488263"/>
    <n v="565"/>
    <n v="1"/>
    <n v="2"/>
    <n v="0"/>
    <n v="0"/>
    <n v="0"/>
    <n v="1"/>
    <n v="178"/>
    <n v="178"/>
    <n v="0"/>
    <s v="N/A"/>
    <n v="0"/>
    <n v="0"/>
    <n v="0"/>
    <n v="0"/>
    <n v="0"/>
    <n v="0"/>
    <n v="1"/>
    <n v="0"/>
    <n v="0"/>
    <n v="0"/>
    <n v="0"/>
    <n v="0"/>
    <n v="0"/>
    <n v="200"/>
    <n v="0"/>
    <n v="0"/>
    <x v="3"/>
    <x v="2"/>
    <x v="7"/>
    <x v="5"/>
    <n v="20.1975498199463"/>
    <n v="92.785682678222699"/>
    <s v="196156"/>
    <x v="0"/>
    <m/>
  </r>
  <r>
    <x v="0"/>
    <x v="18"/>
    <x v="1"/>
    <x v="18"/>
    <x v="354"/>
    <n v="400"/>
    <n v="2187"/>
    <m/>
    <s v="ECHO"/>
    <d v="2018-12-31T00:00:00"/>
    <n v="0"/>
    <s v="No"/>
    <n v="0"/>
    <n v="0"/>
    <n v="0"/>
    <n v="30"/>
    <n v="0"/>
    <n v="0"/>
    <n v="0"/>
    <m/>
    <n v="0"/>
    <n v="0"/>
    <n v="0"/>
    <n v="0"/>
    <n v="0"/>
    <m/>
    <n v="98"/>
    <n v="10"/>
    <n v="100"/>
    <s v="Monthly"/>
    <n v="0"/>
    <x v="0"/>
    <x v="0"/>
    <m/>
    <m/>
    <s v="Availability and the schedule of the desludge truck does not allow one time desludge of all toilets"/>
    <n v="0"/>
    <s v="Household"/>
    <n v="400"/>
    <n v="0"/>
    <n v="9"/>
    <n v="400"/>
    <n v="400"/>
    <x v="1"/>
    <m/>
    <n v="11"/>
    <n v="39"/>
    <m/>
    <s v="no test"/>
    <s v="no test"/>
    <x v="1"/>
    <n v="1"/>
    <n v="1"/>
    <n v="1"/>
    <n v="2187"/>
    <n v="0"/>
    <n v="0"/>
    <n v="1"/>
    <n v="2187"/>
    <n v="4.3739999999999997"/>
    <n v="0"/>
    <n v="0"/>
    <n v="0"/>
    <n v="4"/>
    <n v="108"/>
    <n v="0.89620484682213075"/>
    <n v="1960"/>
    <n v="9.1449474165523556E-3"/>
    <n v="1"/>
    <n v="109"/>
    <n v="9.2592592592592587E-2"/>
    <n v="2000"/>
    <n v="2187"/>
    <n v="1"/>
    <n v="1"/>
    <n v="1"/>
    <n v="2187"/>
    <n v="1"/>
    <n v="0"/>
    <n v="1"/>
    <n v="1"/>
    <n v="1"/>
    <n v="2000"/>
    <n v="2000"/>
    <n v="2000"/>
    <n v="0"/>
    <n v="0"/>
    <n v="0"/>
    <x v="1"/>
    <x v="0"/>
    <x v="3"/>
    <x v="5"/>
    <n v="20.207284999999999"/>
    <n v="92.788177000000005"/>
    <s v="MMR012CMP044"/>
    <x v="0"/>
    <m/>
  </r>
  <r>
    <x v="0"/>
    <x v="17"/>
    <x v="1"/>
    <x v="18"/>
    <x v="355"/>
    <n v="2280"/>
    <n v="11564"/>
    <m/>
    <s v="DFID/HARP, HIF"/>
    <s v="9/30/2020,10/31/2018"/>
    <n v="0"/>
    <s v="No"/>
    <n v="0"/>
    <n v="0"/>
    <n v="0"/>
    <n v="181"/>
    <n v="0"/>
    <n v="0"/>
    <n v="196"/>
    <m/>
    <m/>
    <m/>
    <m/>
    <m/>
    <n v="13"/>
    <s v="for this quarter"/>
    <n v="520"/>
    <n v="34"/>
    <n v="172"/>
    <m/>
    <n v="516"/>
    <x v="0"/>
    <x v="2"/>
    <n v="0"/>
    <n v="26"/>
    <m/>
    <n v="1"/>
    <s v="Household"/>
    <n v="2280"/>
    <n v="0"/>
    <n v="26"/>
    <n v="2280"/>
    <n v="2280"/>
    <x v="1"/>
    <m/>
    <m/>
    <m/>
    <m/>
    <s v="no test"/>
    <s v="no test"/>
    <x v="1"/>
    <n v="1"/>
    <n v="1"/>
    <n v="1"/>
    <n v="11564"/>
    <n v="0"/>
    <n v="0"/>
    <n v="1"/>
    <n v="11564"/>
    <n v="23.128"/>
    <n v="0"/>
    <n v="0"/>
    <n v="0"/>
    <n v="23"/>
    <n v="554"/>
    <n v="0.89934278796264266"/>
    <n v="10400"/>
    <n v="4.1508128675198888E-2"/>
    <n v="24"/>
    <n v="578"/>
    <n v="6.1371841155234655E-2"/>
    <n v="3440"/>
    <n v="11564"/>
    <n v="1"/>
    <n v="1"/>
    <n v="1"/>
    <n v="11564"/>
    <n v="1"/>
    <n v="0"/>
    <n v="1"/>
    <n v="1"/>
    <n v="1"/>
    <n v="11400"/>
    <n v="11400"/>
    <n v="11400"/>
    <n v="2280"/>
    <s v="Yes"/>
    <n v="0"/>
    <x v="1"/>
    <x v="0"/>
    <x v="9"/>
    <x v="5"/>
    <n v="20.202525000000001"/>
    <n v="92.792479999999998"/>
    <s v="MMR012CMP045"/>
    <x v="0"/>
    <m/>
  </r>
  <r>
    <x v="0"/>
    <x v="2"/>
    <x v="1"/>
    <x v="18"/>
    <x v="356"/>
    <n v="87"/>
    <n v="447"/>
    <m/>
    <m/>
    <m/>
    <m/>
    <s v="No"/>
    <n v="0"/>
    <n v="0"/>
    <n v="2"/>
    <n v="4"/>
    <n v="0"/>
    <n v="0"/>
    <n v="0"/>
    <m/>
    <m/>
    <m/>
    <m/>
    <m/>
    <m/>
    <s v="No WASH actor"/>
    <n v="72"/>
    <n v="0"/>
    <m/>
    <m/>
    <n v="0"/>
    <x v="3"/>
    <x v="2"/>
    <m/>
    <m/>
    <m/>
    <n v="0"/>
    <m/>
    <n v="0"/>
    <n v="0"/>
    <n v="0"/>
    <m/>
    <m/>
    <x v="0"/>
    <m/>
    <m/>
    <m/>
    <m/>
    <s v="no test"/>
    <s v="no test"/>
    <x v="1"/>
    <n v="1"/>
    <n v="1"/>
    <n v="1"/>
    <n v="447"/>
    <n v="0"/>
    <n v="0"/>
    <n v="1"/>
    <n v="447"/>
    <n v="0.89400000000000002"/>
    <n v="0"/>
    <n v="0"/>
    <n v="0.10599999999999998"/>
    <n v="1"/>
    <n v="72"/>
    <n v="0.96644295302013428"/>
    <n v="432"/>
    <n v="4.0268456375838924E-2"/>
    <n v="3"/>
    <n v="75"/>
    <n v="0"/>
    <s v="N/A"/>
    <n v="0"/>
    <n v="0"/>
    <n v="0"/>
    <n v="0"/>
    <n v="0"/>
    <n v="0"/>
    <n v="1"/>
    <n v="0"/>
    <n v="0"/>
    <n v="0"/>
    <n v="0"/>
    <n v="0"/>
    <n v="0"/>
    <n v="0"/>
    <n v="0"/>
    <n v="0"/>
    <x v="3"/>
    <x v="2"/>
    <x v="7"/>
    <x v="5"/>
    <n v="0"/>
    <n v="0"/>
    <n v="0"/>
    <x v="1"/>
    <m/>
  </r>
  <r>
    <x v="0"/>
    <x v="7"/>
    <x v="1"/>
    <x v="16"/>
    <x v="357"/>
    <n v="744"/>
    <n v="2810"/>
    <m/>
    <s v="OFDA"/>
    <d v="2019-03-31T00:00:00"/>
    <n v="0"/>
    <s v="No"/>
    <n v="0"/>
    <n v="0"/>
    <n v="14"/>
    <n v="0"/>
    <n v="63589"/>
    <n v="0"/>
    <n v="8"/>
    <n v="8"/>
    <n v="0"/>
    <n v="0"/>
    <n v="0"/>
    <n v="0"/>
    <n v="14"/>
    <m/>
    <n v="350"/>
    <n v="16"/>
    <n v="40"/>
    <m/>
    <n v="366"/>
    <x v="0"/>
    <x v="0"/>
    <n v="0"/>
    <n v="6"/>
    <m/>
    <n v="0.55000000000000004"/>
    <s v="Both"/>
    <n v="60"/>
    <n v="0"/>
    <n v="7"/>
    <n v="720"/>
    <n v="720"/>
    <x v="0"/>
    <m/>
    <m/>
    <m/>
    <m/>
    <s v="no test"/>
    <s v="no test"/>
    <x v="1"/>
    <n v="1"/>
    <n v="1"/>
    <n v="1"/>
    <n v="2810"/>
    <n v="0"/>
    <n v="0"/>
    <n v="1"/>
    <n v="2810"/>
    <n v="5.62"/>
    <n v="0"/>
    <n v="0"/>
    <n v="0.37999999999999989"/>
    <n v="6"/>
    <n v="366"/>
    <n v="1"/>
    <n v="2810"/>
    <n v="0"/>
    <n v="0"/>
    <n v="141"/>
    <n v="4.3715846994535519E-2"/>
    <n v="800"/>
    <n v="2810"/>
    <n v="0"/>
    <n v="1"/>
    <n v="0"/>
    <n v="0"/>
    <n v="0"/>
    <n v="1"/>
    <n v="1"/>
    <n v="0.967741935483871"/>
    <n v="0.967741935483871"/>
    <n v="3600"/>
    <n v="3600"/>
    <n v="3600"/>
    <n v="409.20000000000005"/>
    <s v="Yes"/>
    <n v="0"/>
    <x v="1"/>
    <x v="0"/>
    <x v="9"/>
    <x v="5"/>
    <n v="20.064226000000001"/>
    <n v="92.993758999999997"/>
    <s v="MMR012CMP019"/>
    <x v="0"/>
    <m/>
  </r>
  <r>
    <x v="0"/>
    <x v="7"/>
    <x v="1"/>
    <x v="18"/>
    <x v="358"/>
    <n v="297"/>
    <n v="1724"/>
    <m/>
    <s v="MHF"/>
    <d v="2018-09-13T00:00:00"/>
    <n v="0"/>
    <s v="No"/>
    <n v="0"/>
    <n v="0"/>
    <n v="5"/>
    <n v="30"/>
    <n v="0"/>
    <n v="0"/>
    <n v="5"/>
    <m/>
    <n v="0"/>
    <n v="0"/>
    <n v="0"/>
    <n v="0"/>
    <n v="0"/>
    <m/>
    <n v="133"/>
    <n v="0"/>
    <n v="0"/>
    <m/>
    <n v="133"/>
    <x v="1"/>
    <x v="1"/>
    <n v="0"/>
    <n v="0"/>
    <m/>
    <n v="0"/>
    <s v="Household"/>
    <n v="0"/>
    <n v="0"/>
    <n v="2"/>
    <n v="0"/>
    <n v="0"/>
    <x v="0"/>
    <m/>
    <m/>
    <m/>
    <m/>
    <s v="no test"/>
    <s v="no test"/>
    <x v="1"/>
    <n v="1"/>
    <n v="1"/>
    <n v="1"/>
    <n v="1724"/>
    <n v="0"/>
    <n v="0"/>
    <n v="1"/>
    <n v="1724"/>
    <n v="3.448"/>
    <n v="0"/>
    <n v="0"/>
    <n v="0"/>
    <n v="3"/>
    <n v="133"/>
    <n v="0.46287703016241299"/>
    <n v="798"/>
    <n v="0.53596287703016243"/>
    <n v="154"/>
    <n v="287"/>
    <n v="0"/>
    <s v="N/A"/>
    <n v="1000"/>
    <n v="0"/>
    <n v="1"/>
    <n v="0"/>
    <n v="0"/>
    <n v="0"/>
    <n v="1"/>
    <n v="0.58004640371229699"/>
    <n v="0"/>
    <n v="0"/>
    <n v="0"/>
    <n v="0"/>
    <n v="0"/>
    <n v="0"/>
    <n v="0"/>
    <n v="0"/>
    <x v="3"/>
    <x v="2"/>
    <x v="7"/>
    <x v="5"/>
    <n v="20.2399291992188"/>
    <n v="92.827529907226605"/>
    <n v="196162"/>
    <x v="0"/>
    <m/>
  </r>
  <r>
    <x v="0"/>
    <x v="12"/>
    <x v="1"/>
    <x v="18"/>
    <x v="359"/>
    <n v="249"/>
    <n v="1362"/>
    <m/>
    <s v="UNICEF"/>
    <d v="2018-11-30T00:00:00"/>
    <n v="0"/>
    <s v="Yes"/>
    <n v="0"/>
    <n v="0"/>
    <n v="0"/>
    <n v="15"/>
    <n v="0"/>
    <n v="1"/>
    <n v="17"/>
    <n v="1"/>
    <n v="6"/>
    <n v="6"/>
    <n v="12"/>
    <n v="9"/>
    <m/>
    <m/>
    <n v="249"/>
    <n v="0"/>
    <n v="0"/>
    <m/>
    <n v="249"/>
    <x v="4"/>
    <x v="0"/>
    <m/>
    <m/>
    <m/>
    <n v="0"/>
    <s v="Household"/>
    <n v="0"/>
    <n v="0"/>
    <n v="4"/>
    <n v="0"/>
    <n v="0"/>
    <x v="0"/>
    <m/>
    <m/>
    <n v="4"/>
    <m/>
    <n v="1"/>
    <n v="0.75"/>
    <x v="0"/>
    <n v="1"/>
    <n v="1"/>
    <n v="1"/>
    <n v="1362"/>
    <n v="0.18355359765051396"/>
    <n v="250.00000000000003"/>
    <n v="1"/>
    <n v="1362"/>
    <n v="2.7240000000000002"/>
    <n v="0"/>
    <n v="0"/>
    <n v="0.2759999999999998"/>
    <n v="3"/>
    <n v="249"/>
    <n v="1"/>
    <n v="1362"/>
    <n v="0"/>
    <n v="0"/>
    <n v="227"/>
    <n v="0"/>
    <s v="N/A"/>
    <n v="1362"/>
    <n v="0"/>
    <n v="1"/>
    <n v="0"/>
    <n v="0"/>
    <n v="0"/>
    <n v="1"/>
    <n v="1"/>
    <n v="0"/>
    <n v="0"/>
    <n v="0"/>
    <n v="0"/>
    <n v="0"/>
    <n v="0"/>
    <n v="0"/>
    <n v="0"/>
    <x v="3"/>
    <x v="2"/>
    <x v="8"/>
    <x v="3"/>
    <n v="20.151471999999998"/>
    <n v="92.887277999999995"/>
    <s v="MMR012CMP111"/>
    <x v="0"/>
    <m/>
  </r>
  <r>
    <x v="0"/>
    <x v="17"/>
    <x v="1"/>
    <x v="18"/>
    <x v="360"/>
    <n v="420"/>
    <n v="1984"/>
    <s v="NA"/>
    <s v="DFID/HARP"/>
    <d v="2020-09-30T00:00:00"/>
    <n v="0"/>
    <s v="No"/>
    <n v="0"/>
    <n v="0"/>
    <n v="0"/>
    <n v="0"/>
    <n v="0"/>
    <n v="1"/>
    <n v="0"/>
    <m/>
    <m/>
    <m/>
    <m/>
    <m/>
    <n v="0"/>
    <s v="for this quarter"/>
    <n v="420"/>
    <n v="0"/>
    <n v="0"/>
    <m/>
    <m/>
    <x v="0"/>
    <x v="2"/>
    <n v="0"/>
    <n v="0"/>
    <m/>
    <n v="1"/>
    <s v="Household"/>
    <n v="420"/>
    <n v="0"/>
    <n v="1"/>
    <m/>
    <m/>
    <x v="0"/>
    <m/>
    <m/>
    <m/>
    <m/>
    <s v="no test"/>
    <s v="no test"/>
    <x v="1"/>
    <n v="0"/>
    <n v="0"/>
    <n v="0"/>
    <n v="0"/>
    <n v="0.12600806451612903"/>
    <n v="250"/>
    <n v="0.12600806451612903"/>
    <n v="250"/>
    <n v="0.5"/>
    <n v="0.873991935483871"/>
    <n v="1734"/>
    <n v="3.5"/>
    <n v="4"/>
    <n v="420"/>
    <n v="1"/>
    <n v="1984"/>
    <n v="0"/>
    <n v="0"/>
    <n v="331"/>
    <n v="0"/>
    <s v="N/A"/>
    <n v="500"/>
    <n v="0"/>
    <n v="0"/>
    <n v="0"/>
    <n v="0"/>
    <n v="0"/>
    <n v="1"/>
    <n v="0.25201612903225806"/>
    <n v="0"/>
    <n v="0"/>
    <n v="0"/>
    <n v="0"/>
    <n v="0"/>
    <n v="420"/>
    <n v="0"/>
    <n v="0"/>
    <x v="3"/>
    <x v="2"/>
    <x v="8"/>
    <x v="3"/>
    <n v="20.151471999999998"/>
    <n v="92.887277999999995"/>
    <s v="MMR012CMP112"/>
    <x v="0"/>
    <m/>
  </r>
  <r>
    <x v="0"/>
    <x v="16"/>
    <x v="1"/>
    <x v="22"/>
    <x v="361"/>
    <n v="713"/>
    <n v="2835"/>
    <m/>
    <s v="UNICEF"/>
    <d v="2018-12-31T00:00:00"/>
    <n v="0"/>
    <s v="Yes"/>
    <n v="0.47"/>
    <n v="0.105"/>
    <n v="0"/>
    <n v="0"/>
    <n v="56700"/>
    <n v="6"/>
    <n v="0"/>
    <m/>
    <n v="85"/>
    <n v="48"/>
    <n v="90"/>
    <n v="69"/>
    <m/>
    <m/>
    <n v="197"/>
    <n v="0"/>
    <m/>
    <s v="two times"/>
    <n v="0"/>
    <x v="0"/>
    <x v="0"/>
    <n v="30"/>
    <m/>
    <m/>
    <n v="1"/>
    <s v="Communal"/>
    <n v="0"/>
    <n v="4"/>
    <n v="8"/>
    <n v="713"/>
    <n v="713"/>
    <x v="0"/>
    <m/>
    <n v="0"/>
    <n v="28"/>
    <m/>
    <n v="0.56470588235294117"/>
    <n v="0.76666666666666672"/>
    <x v="0"/>
    <n v="1"/>
    <n v="1"/>
    <n v="1"/>
    <n v="2835"/>
    <n v="0.52910052910052907"/>
    <n v="1500"/>
    <n v="1"/>
    <n v="2835"/>
    <n v="6"/>
    <n v="0"/>
    <n v="0"/>
    <n v="0"/>
    <n v="6"/>
    <n v="197"/>
    <n v="1"/>
    <n v="2835"/>
    <n v="0"/>
    <n v="0"/>
    <n v="142"/>
    <n v="0"/>
    <n v="0"/>
    <n v="2835"/>
    <n v="1"/>
    <n v="1"/>
    <n v="1"/>
    <n v="2835"/>
    <n v="1"/>
    <n v="0"/>
    <n v="1"/>
    <n v="1"/>
    <n v="1"/>
    <n v="3565"/>
    <n v="3565"/>
    <n v="3565"/>
    <n v="713"/>
    <s v="Yes"/>
    <n v="0"/>
    <x v="1"/>
    <x v="0"/>
    <x v="9"/>
    <x v="5"/>
    <n v="20.037655000000001"/>
    <n v="93.370037999999994"/>
    <s v="MMR012CMP014"/>
    <x v="0"/>
    <m/>
  </r>
  <r>
    <x v="0"/>
    <x v="17"/>
    <x v="1"/>
    <x v="18"/>
    <x v="362"/>
    <n v="235"/>
    <n v="1390"/>
    <s v="NA"/>
    <s v="DFID/HARP"/>
    <d v="2020-09-30T00:00:00"/>
    <n v="0"/>
    <s v="No"/>
    <n v="0"/>
    <n v="0"/>
    <n v="0"/>
    <n v="10"/>
    <n v="0"/>
    <n v="0"/>
    <n v="0"/>
    <m/>
    <n v="7"/>
    <n v="4"/>
    <n v="16"/>
    <n v="1"/>
    <n v="0"/>
    <s v="for this quarter"/>
    <n v="0"/>
    <n v="0"/>
    <n v="0"/>
    <m/>
    <m/>
    <x v="0"/>
    <x v="2"/>
    <n v="0"/>
    <n v="0"/>
    <m/>
    <n v="1"/>
    <s v="Household"/>
    <n v="235"/>
    <n v="0"/>
    <n v="1"/>
    <m/>
    <m/>
    <x v="0"/>
    <m/>
    <m/>
    <m/>
    <m/>
    <n v="0.5714285714285714"/>
    <n v="6.25E-2"/>
    <x v="0"/>
    <n v="1"/>
    <n v="1"/>
    <n v="1"/>
    <n v="1390"/>
    <n v="0"/>
    <n v="0"/>
    <n v="1"/>
    <n v="1390"/>
    <n v="2.78"/>
    <n v="0"/>
    <n v="0"/>
    <n v="0.2200000000000002"/>
    <n v="3"/>
    <n v="0"/>
    <n v="0"/>
    <n v="0"/>
    <n v="1"/>
    <n v="232"/>
    <n v="232"/>
    <n v="0"/>
    <s v="N/A"/>
    <n v="500"/>
    <n v="0"/>
    <n v="0"/>
    <n v="0"/>
    <n v="0"/>
    <n v="0"/>
    <n v="1"/>
    <n v="0.35971223021582732"/>
    <n v="0"/>
    <n v="0"/>
    <n v="0"/>
    <n v="0"/>
    <n v="0"/>
    <n v="235"/>
    <n v="0"/>
    <n v="0"/>
    <x v="3"/>
    <x v="2"/>
    <x v="7"/>
    <x v="5"/>
    <n v="20.201499999999999"/>
    <n v="92.796599999999998"/>
    <n v="196154"/>
    <x v="0"/>
    <m/>
  </r>
  <r>
    <x v="0"/>
    <x v="17"/>
    <x v="1"/>
    <x v="18"/>
    <x v="363"/>
    <n v="92"/>
    <n v="469"/>
    <s v="NA"/>
    <s v="DFID/HARP"/>
    <d v="2020-09-30T00:00:00"/>
    <n v="0"/>
    <s v="No"/>
    <n v="0"/>
    <n v="0"/>
    <n v="12"/>
    <n v="7"/>
    <n v="0"/>
    <n v="0"/>
    <n v="0"/>
    <m/>
    <n v="6"/>
    <n v="2"/>
    <n v="7"/>
    <n v="2"/>
    <n v="0"/>
    <s v="for this quarter"/>
    <n v="0"/>
    <n v="0"/>
    <n v="0"/>
    <m/>
    <m/>
    <x v="0"/>
    <x v="2"/>
    <n v="0"/>
    <n v="0"/>
    <m/>
    <n v="1"/>
    <s v="Household"/>
    <n v="92"/>
    <n v="0"/>
    <n v="1"/>
    <m/>
    <m/>
    <x v="0"/>
    <m/>
    <m/>
    <m/>
    <m/>
    <n v="0.33333333333333331"/>
    <n v="0.2857142857142857"/>
    <x v="0"/>
    <n v="1"/>
    <n v="1"/>
    <n v="1"/>
    <n v="469"/>
    <n v="0"/>
    <n v="0"/>
    <n v="1"/>
    <n v="469"/>
    <n v="0.93799999999999994"/>
    <n v="0"/>
    <n v="0"/>
    <n v="6.2000000000000055E-2"/>
    <n v="1"/>
    <n v="0"/>
    <n v="0"/>
    <n v="0"/>
    <n v="0.99786780383795304"/>
    <n v="78"/>
    <n v="78"/>
    <n v="0"/>
    <s v="N/A"/>
    <n v="469"/>
    <n v="0"/>
    <n v="1"/>
    <n v="0"/>
    <n v="0"/>
    <n v="0"/>
    <n v="1"/>
    <n v="1"/>
    <n v="0"/>
    <n v="0"/>
    <n v="0"/>
    <n v="0"/>
    <n v="0"/>
    <n v="92"/>
    <n v="0"/>
    <n v="0"/>
    <x v="3"/>
    <x v="2"/>
    <x v="7"/>
    <x v="5"/>
    <n v="20.191719055175799"/>
    <n v="92.808166503906307"/>
    <s v="196155"/>
    <x v="0"/>
    <m/>
  </r>
  <r>
    <x v="0"/>
    <x v="17"/>
    <x v="1"/>
    <x v="18"/>
    <x v="364"/>
    <n v="72"/>
    <n v="447"/>
    <s v="NA"/>
    <s v="DFID/HARP"/>
    <d v="2020-09-30T00:00:00"/>
    <n v="0"/>
    <s v="No"/>
    <n v="0"/>
    <n v="0"/>
    <n v="0"/>
    <n v="0"/>
    <n v="0"/>
    <n v="1"/>
    <n v="0"/>
    <m/>
    <m/>
    <m/>
    <m/>
    <m/>
    <n v="0"/>
    <s v="for this quarter"/>
    <n v="72"/>
    <n v="0"/>
    <n v="0"/>
    <m/>
    <m/>
    <x v="0"/>
    <x v="2"/>
    <n v="0"/>
    <n v="0"/>
    <m/>
    <n v="1"/>
    <s v="Household"/>
    <n v="72"/>
    <n v="0"/>
    <n v="1"/>
    <m/>
    <m/>
    <x v="0"/>
    <m/>
    <m/>
    <m/>
    <m/>
    <s v="no test"/>
    <s v="no test"/>
    <x v="1"/>
    <n v="0"/>
    <n v="0"/>
    <n v="0"/>
    <n v="0"/>
    <n v="0.5592841163310962"/>
    <n v="250"/>
    <n v="0.5592841163310962"/>
    <n v="250"/>
    <n v="0.5"/>
    <n v="0.4407158836689038"/>
    <n v="197"/>
    <n v="0.5"/>
    <n v="1"/>
    <n v="72"/>
    <n v="0.96644295302013428"/>
    <n v="432"/>
    <n v="4.0268456375838924E-2"/>
    <n v="3"/>
    <n v="75"/>
    <n v="0"/>
    <s v="N/A"/>
    <n v="447"/>
    <n v="0"/>
    <n v="1"/>
    <n v="0"/>
    <n v="0"/>
    <n v="0"/>
    <n v="1"/>
    <n v="1"/>
    <n v="0"/>
    <n v="0"/>
    <n v="0"/>
    <n v="0"/>
    <n v="0"/>
    <n v="72"/>
    <n v="0"/>
    <n v="0"/>
    <x v="3"/>
    <x v="2"/>
    <x v="8"/>
    <x v="12"/>
    <n v="20.148584"/>
    <n v="92.880319999999998"/>
    <s v="MMR012CMP056"/>
    <x v="0"/>
    <m/>
  </r>
  <r>
    <x v="0"/>
    <x v="17"/>
    <x v="1"/>
    <x v="18"/>
    <x v="365"/>
    <n v="152"/>
    <n v="614"/>
    <s v="NA"/>
    <s v="DFID/HARP, HIF"/>
    <s v="9/30/2020,10/31/2018"/>
    <n v="0"/>
    <s v="No"/>
    <n v="0"/>
    <n v="0"/>
    <n v="0"/>
    <n v="12"/>
    <n v="0"/>
    <n v="0"/>
    <n v="0"/>
    <m/>
    <n v="4"/>
    <n v="3"/>
    <n v="1"/>
    <n v="0"/>
    <n v="0"/>
    <s v="for this quarter"/>
    <n v="152"/>
    <n v="0"/>
    <n v="0"/>
    <m/>
    <m/>
    <x v="0"/>
    <x v="2"/>
    <n v="0"/>
    <n v="0"/>
    <m/>
    <n v="1"/>
    <s v="Household"/>
    <n v="152"/>
    <n v="0"/>
    <n v="1"/>
    <m/>
    <m/>
    <x v="0"/>
    <m/>
    <m/>
    <m/>
    <m/>
    <n v="0.75"/>
    <n v="0"/>
    <x v="0"/>
    <n v="1"/>
    <n v="1"/>
    <n v="1"/>
    <n v="614"/>
    <n v="0"/>
    <n v="0"/>
    <n v="1"/>
    <n v="614"/>
    <n v="1.228"/>
    <n v="0"/>
    <n v="0"/>
    <n v="0"/>
    <n v="1"/>
    <n v="152"/>
    <n v="1"/>
    <n v="614"/>
    <n v="0"/>
    <n v="0"/>
    <n v="102"/>
    <n v="0"/>
    <s v="N/A"/>
    <n v="500"/>
    <n v="0"/>
    <n v="1"/>
    <n v="0"/>
    <n v="0"/>
    <n v="0"/>
    <n v="1"/>
    <n v="0.81433224755700329"/>
    <n v="0"/>
    <n v="0"/>
    <n v="0"/>
    <n v="0"/>
    <n v="0"/>
    <n v="152"/>
    <n v="0"/>
    <n v="0"/>
    <x v="3"/>
    <x v="2"/>
    <x v="8"/>
    <x v="3"/>
    <n v="20.155805999999998"/>
    <n v="92.879138999999995"/>
    <s v="MMR012CMP093"/>
    <x v="0"/>
    <m/>
  </r>
  <r>
    <x v="0"/>
    <x v="7"/>
    <x v="1"/>
    <x v="18"/>
    <x v="366"/>
    <n v="186"/>
    <n v="289"/>
    <m/>
    <s v="MHF"/>
    <d v="2018-09-13T00:00:00"/>
    <n v="0"/>
    <s v="No"/>
    <n v="0"/>
    <n v="0"/>
    <n v="6"/>
    <n v="35"/>
    <n v="0"/>
    <n v="0"/>
    <n v="7"/>
    <m/>
    <n v="0"/>
    <n v="0"/>
    <n v="0"/>
    <n v="0"/>
    <n v="0"/>
    <m/>
    <n v="60"/>
    <n v="0"/>
    <n v="0"/>
    <m/>
    <n v="60"/>
    <x v="1"/>
    <x v="1"/>
    <n v="0"/>
    <n v="0"/>
    <m/>
    <n v="0"/>
    <s v="Household"/>
    <n v="0"/>
    <n v="0"/>
    <n v="1"/>
    <n v="0"/>
    <n v="0"/>
    <x v="0"/>
    <m/>
    <m/>
    <m/>
    <m/>
    <s v="no test"/>
    <s v="no test"/>
    <x v="1"/>
    <n v="1"/>
    <n v="1"/>
    <n v="1"/>
    <n v="289"/>
    <n v="0"/>
    <n v="0"/>
    <n v="1"/>
    <n v="289"/>
    <n v="0.57799999999999996"/>
    <n v="0"/>
    <n v="0"/>
    <n v="0.42200000000000004"/>
    <n v="1"/>
    <n v="60"/>
    <n v="1"/>
    <n v="289"/>
    <n v="0"/>
    <n v="0"/>
    <n v="48"/>
    <n v="0"/>
    <s v="N/A"/>
    <n v="289"/>
    <n v="0"/>
    <n v="1"/>
    <n v="0"/>
    <n v="0"/>
    <n v="0"/>
    <n v="1"/>
    <n v="1"/>
    <n v="0"/>
    <n v="0"/>
    <n v="0"/>
    <n v="0"/>
    <n v="0"/>
    <n v="0"/>
    <n v="0"/>
    <n v="0"/>
    <x v="3"/>
    <x v="2"/>
    <x v="7"/>
    <x v="3"/>
    <n v="20.2369709014893"/>
    <n v="92.877876281738295"/>
    <n v="196179"/>
    <x v="0"/>
    <m/>
  </r>
  <r>
    <x v="0"/>
    <x v="0"/>
    <x v="1"/>
    <x v="18"/>
    <x v="367"/>
    <n v="1897"/>
    <n v="9775"/>
    <m/>
    <s v="DFID/HARP"/>
    <d v="2020-09-30T00:00:00"/>
    <n v="0"/>
    <s v="No"/>
    <n v="0"/>
    <n v="0"/>
    <n v="0"/>
    <n v="37"/>
    <n v="0"/>
    <n v="0"/>
    <n v="64"/>
    <m/>
    <n v="69"/>
    <n v="34"/>
    <n v="96"/>
    <n v="13"/>
    <n v="0"/>
    <s v="for this quarter"/>
    <n v="199"/>
    <n v="48"/>
    <n v="213"/>
    <m/>
    <n v="240"/>
    <x v="0"/>
    <x v="0"/>
    <n v="0"/>
    <n v="0"/>
    <m/>
    <n v="1"/>
    <s v="Household"/>
    <n v="0"/>
    <n v="0"/>
    <n v="4"/>
    <n v="1893"/>
    <n v="1893"/>
    <x v="1"/>
    <m/>
    <m/>
    <m/>
    <m/>
    <n v="0.49275362318840582"/>
    <n v="0.13541666666666666"/>
    <x v="0"/>
    <n v="1"/>
    <n v="0.94629156010230175"/>
    <n v="1"/>
    <n v="9775"/>
    <n v="0"/>
    <n v="0"/>
    <n v="1"/>
    <n v="9775"/>
    <n v="19.55"/>
    <n v="0"/>
    <n v="0"/>
    <n v="0.44999999999999929"/>
    <n v="20"/>
    <n v="247"/>
    <n v="0.40716112531969312"/>
    <n v="3980.0000000000005"/>
    <n v="0.49514066496163683"/>
    <n v="242"/>
    <n v="489"/>
    <n v="0.19433198380566802"/>
    <n v="4260"/>
    <n v="2000"/>
    <n v="0"/>
    <n v="0"/>
    <n v="0"/>
    <n v="0"/>
    <n v="0"/>
    <n v="1"/>
    <n v="0.20460358056265984"/>
    <n v="0.99789140748550342"/>
    <n v="0.99789140748550342"/>
    <n v="9465"/>
    <n v="9465"/>
    <n v="9465"/>
    <n v="1897"/>
    <s v="Yes"/>
    <n v="0"/>
    <x v="1"/>
    <x v="0"/>
    <x v="12"/>
    <x v="5"/>
    <n v="20.1585"/>
    <n v="92.839416999999997"/>
    <s v="MMR012CMP046"/>
    <x v="0"/>
    <m/>
  </r>
  <r>
    <x v="0"/>
    <x v="0"/>
    <x v="1"/>
    <x v="18"/>
    <x v="368"/>
    <n v="155"/>
    <n v="745"/>
    <m/>
    <s v="DFID/HARP"/>
    <d v="2020-09-30T00:00:00"/>
    <n v="0"/>
    <s v="No"/>
    <n v="0"/>
    <n v="0"/>
    <n v="0"/>
    <n v="10"/>
    <n v="0"/>
    <n v="0"/>
    <n v="10"/>
    <m/>
    <n v="16"/>
    <n v="3"/>
    <n v="13"/>
    <n v="10"/>
    <n v="0"/>
    <s v="for this quarter"/>
    <n v="0"/>
    <n v="0"/>
    <m/>
    <m/>
    <n v="0"/>
    <x v="4"/>
    <x v="4"/>
    <n v="0"/>
    <n v="0"/>
    <m/>
    <n v="1"/>
    <s v="Household"/>
    <n v="0"/>
    <n v="0"/>
    <n v="1"/>
    <n v="0"/>
    <n v="0"/>
    <x v="1"/>
    <m/>
    <m/>
    <m/>
    <m/>
    <n v="0.1875"/>
    <n v="0.76923076923076927"/>
    <x v="0"/>
    <n v="1"/>
    <n v="1"/>
    <n v="1"/>
    <n v="745"/>
    <n v="0"/>
    <n v="0"/>
    <n v="1"/>
    <n v="745"/>
    <n v="1.49"/>
    <n v="0"/>
    <n v="0"/>
    <n v="0"/>
    <n v="1"/>
    <n v="0"/>
    <n v="0"/>
    <n v="0"/>
    <n v="0.99865771812080528"/>
    <n v="124"/>
    <n v="124"/>
    <n v="0"/>
    <s v="N/A"/>
    <n v="500"/>
    <n v="0"/>
    <n v="1"/>
    <n v="0"/>
    <n v="0"/>
    <n v="0"/>
    <n v="1"/>
    <n v="0.67114093959731547"/>
    <n v="0"/>
    <n v="0"/>
    <n v="0"/>
    <n v="0"/>
    <n v="0"/>
    <n v="155"/>
    <n v="0"/>
    <n v="0"/>
    <x v="3"/>
    <x v="2"/>
    <x v="7"/>
    <x v="3"/>
    <n v="20.162599563598601"/>
    <n v="92.834457397460895"/>
    <s v="196210"/>
    <x v="0"/>
    <m/>
  </r>
  <r>
    <x v="0"/>
    <x v="13"/>
    <x v="1"/>
    <x v="18"/>
    <x v="369"/>
    <n v="155"/>
    <n v="581"/>
    <n v="139"/>
    <s v="WFA"/>
    <d v="2018-12-30T00:00:00"/>
    <n v="0"/>
    <s v="No"/>
    <n v="0"/>
    <n v="0"/>
    <n v="0"/>
    <m/>
    <m/>
    <m/>
    <m/>
    <m/>
    <m/>
    <m/>
    <m/>
    <m/>
    <n v="7"/>
    <m/>
    <n v="8"/>
    <n v="9"/>
    <m/>
    <m/>
    <n v="12"/>
    <x v="2"/>
    <x v="3"/>
    <m/>
    <m/>
    <m/>
    <n v="15"/>
    <s v="Household"/>
    <m/>
    <m/>
    <m/>
    <m/>
    <m/>
    <x v="0"/>
    <m/>
    <m/>
    <m/>
    <m/>
    <s v="no test"/>
    <s v="no test"/>
    <x v="1"/>
    <n v="0"/>
    <n v="0"/>
    <n v="0"/>
    <n v="0"/>
    <n v="0"/>
    <n v="0"/>
    <n v="0"/>
    <n v="0"/>
    <n v="0"/>
    <n v="1"/>
    <n v="581"/>
    <n v="1"/>
    <n v="1"/>
    <n v="17"/>
    <n v="8.2616179001721177E-2"/>
    <n v="48.000000000000007"/>
    <n v="0.82616179001721179"/>
    <n v="80"/>
    <n v="97"/>
    <n v="0.52941176470588236"/>
    <s v="N/A"/>
    <n v="0"/>
    <n v="0"/>
    <n v="0"/>
    <n v="0"/>
    <n v="0"/>
    <n v="0"/>
    <n v="1"/>
    <n v="0"/>
    <n v="0"/>
    <n v="0"/>
    <n v="0"/>
    <n v="0"/>
    <n v="0"/>
    <n v="2325"/>
    <n v="0"/>
    <n v="0"/>
    <x v="3"/>
    <x v="2"/>
    <x v="7"/>
    <x v="5"/>
    <n v="0"/>
    <n v="0"/>
    <n v="0"/>
    <x v="0"/>
    <m/>
  </r>
  <r>
    <x v="0"/>
    <x v="2"/>
    <x v="1"/>
    <x v="18"/>
    <x v="370"/>
    <n v="251"/>
    <n v="1820"/>
    <m/>
    <m/>
    <m/>
    <m/>
    <s v="No"/>
    <n v="0"/>
    <n v="0"/>
    <n v="0"/>
    <n v="33"/>
    <n v="0"/>
    <n v="0"/>
    <n v="0"/>
    <m/>
    <m/>
    <m/>
    <m/>
    <m/>
    <m/>
    <m/>
    <n v="0"/>
    <n v="0"/>
    <m/>
    <m/>
    <n v="0"/>
    <x v="1"/>
    <x v="1"/>
    <m/>
    <m/>
    <m/>
    <n v="0"/>
    <s v="Household"/>
    <n v="0"/>
    <n v="0"/>
    <n v="1"/>
    <m/>
    <m/>
    <x v="0"/>
    <m/>
    <m/>
    <m/>
    <m/>
    <s v="no test"/>
    <s v="no test"/>
    <x v="1"/>
    <n v="1"/>
    <n v="1"/>
    <n v="1"/>
    <n v="1820"/>
    <n v="0"/>
    <n v="0"/>
    <n v="1"/>
    <n v="1820"/>
    <n v="3.64"/>
    <n v="0"/>
    <n v="0"/>
    <n v="0.35999999999999988"/>
    <n v="4"/>
    <n v="0"/>
    <n v="0"/>
    <n v="0"/>
    <n v="0.99890109890109902"/>
    <n v="303"/>
    <n v="303"/>
    <n v="0"/>
    <s v="N/A"/>
    <n v="500"/>
    <n v="0"/>
    <n v="0"/>
    <n v="0"/>
    <n v="0"/>
    <n v="0"/>
    <n v="1"/>
    <n v="0.27472527472527475"/>
    <n v="0"/>
    <n v="0"/>
    <n v="0"/>
    <n v="0"/>
    <n v="0"/>
    <n v="0"/>
    <n v="0"/>
    <n v="0"/>
    <x v="3"/>
    <x v="2"/>
    <x v="7"/>
    <x v="5"/>
    <n v="20.1573600769043"/>
    <n v="92.838653564453097"/>
    <n v="196211"/>
    <x v="1"/>
    <m/>
  </r>
  <r>
    <x v="0"/>
    <x v="0"/>
    <x v="1"/>
    <x v="18"/>
    <x v="371"/>
    <n v="423"/>
    <n v="2427"/>
    <m/>
    <s v="DFID/HARP"/>
    <d v="2020-09-30T00:00:00"/>
    <n v="0"/>
    <s v="No"/>
    <n v="0"/>
    <n v="0"/>
    <n v="0"/>
    <n v="16"/>
    <n v="0"/>
    <n v="0"/>
    <n v="18"/>
    <m/>
    <n v="20"/>
    <n v="10"/>
    <n v="23"/>
    <n v="2"/>
    <n v="0"/>
    <s v="for this quarter"/>
    <n v="0"/>
    <n v="0"/>
    <m/>
    <m/>
    <n v="0"/>
    <x v="4"/>
    <x v="4"/>
    <n v="0"/>
    <n v="0"/>
    <m/>
    <n v="1"/>
    <s v="Household"/>
    <n v="0"/>
    <n v="0"/>
    <n v="2"/>
    <n v="421"/>
    <n v="421"/>
    <x v="1"/>
    <m/>
    <m/>
    <m/>
    <m/>
    <n v="0.5"/>
    <n v="8.6956521739130432E-2"/>
    <x v="0"/>
    <n v="1"/>
    <n v="1"/>
    <n v="1"/>
    <n v="2427"/>
    <n v="0"/>
    <n v="0"/>
    <n v="1"/>
    <n v="2427"/>
    <n v="4.8540000000000001"/>
    <n v="0"/>
    <n v="0"/>
    <n v="0.14599999999999991"/>
    <n v="5"/>
    <n v="0"/>
    <n v="0"/>
    <n v="0"/>
    <n v="1"/>
    <n v="405"/>
    <n v="405"/>
    <n v="0"/>
    <s v="N/A"/>
    <n v="1000"/>
    <n v="0"/>
    <n v="0"/>
    <n v="0"/>
    <n v="0"/>
    <n v="0"/>
    <n v="1"/>
    <n v="0.41203131437989288"/>
    <n v="0.99527186761229314"/>
    <n v="0.99527186761229314"/>
    <n v="2105"/>
    <n v="2105"/>
    <n v="2105"/>
    <n v="423"/>
    <n v="0"/>
    <n v="0"/>
    <x v="3"/>
    <x v="2"/>
    <x v="7"/>
    <x v="5"/>
    <n v="20.148910522460898"/>
    <n v="92.846160888671903"/>
    <s v="196209"/>
    <x v="0"/>
    <m/>
  </r>
  <r>
    <x v="0"/>
    <x v="7"/>
    <x v="1"/>
    <x v="18"/>
    <x v="372"/>
    <n v="153"/>
    <n v="680"/>
    <m/>
    <s v="MHF"/>
    <d v="2018-09-13T00:00:00"/>
    <n v="0"/>
    <s v="No"/>
    <n v="0"/>
    <n v="0"/>
    <n v="5"/>
    <n v="50"/>
    <n v="0"/>
    <n v="0"/>
    <n v="20"/>
    <m/>
    <n v="0"/>
    <n v="0"/>
    <n v="0"/>
    <n v="0"/>
    <n v="0"/>
    <m/>
    <n v="54"/>
    <n v="0"/>
    <n v="0"/>
    <m/>
    <n v="54"/>
    <x v="1"/>
    <x v="1"/>
    <n v="0"/>
    <n v="0"/>
    <m/>
    <n v="0"/>
    <s v="Household"/>
    <n v="0"/>
    <n v="0"/>
    <n v="1"/>
    <n v="0"/>
    <n v="0"/>
    <x v="0"/>
    <m/>
    <m/>
    <m/>
    <m/>
    <s v="no test"/>
    <s v="no test"/>
    <x v="1"/>
    <n v="1"/>
    <n v="1"/>
    <n v="1"/>
    <n v="680"/>
    <n v="0"/>
    <n v="0"/>
    <n v="1"/>
    <n v="680"/>
    <n v="1.36"/>
    <n v="0"/>
    <n v="0"/>
    <n v="0"/>
    <n v="1"/>
    <n v="54"/>
    <n v="0.47647058823529409"/>
    <n v="324"/>
    <n v="0.52058823529411768"/>
    <n v="59"/>
    <n v="113"/>
    <n v="0"/>
    <s v="N/A"/>
    <n v="500"/>
    <n v="0"/>
    <n v="1"/>
    <n v="0"/>
    <n v="0"/>
    <n v="0"/>
    <n v="1"/>
    <n v="0.73529411764705888"/>
    <n v="0"/>
    <n v="0"/>
    <n v="0"/>
    <n v="0"/>
    <n v="0"/>
    <n v="0"/>
    <n v="0"/>
    <n v="0"/>
    <x v="3"/>
    <x v="2"/>
    <x v="7"/>
    <x v="3"/>
    <n v="20.229290008544901"/>
    <n v="92.864669799804702"/>
    <n v="196167"/>
    <x v="0"/>
    <m/>
  </r>
  <r>
    <x v="0"/>
    <x v="20"/>
    <x v="1"/>
    <x v="18"/>
    <x v="373"/>
    <n v="1013"/>
    <n v="5950"/>
    <n v="203"/>
    <s v="DFID/HARP,LDS"/>
    <s v="9/30/2020,9/30/18"/>
    <n v="0"/>
    <s v="No"/>
    <n v="0"/>
    <n v="0"/>
    <n v="0"/>
    <n v="71"/>
    <m/>
    <n v="0"/>
    <n v="93"/>
    <m/>
    <m/>
    <m/>
    <m/>
    <m/>
    <n v="4"/>
    <s v="for this quarter"/>
    <n v="196"/>
    <n v="158"/>
    <n v="182"/>
    <m/>
    <n v="372"/>
    <x v="0"/>
    <x v="2"/>
    <n v="0"/>
    <n v="17"/>
    <m/>
    <n v="1"/>
    <s v="Household"/>
    <n v="1013"/>
    <n v="0"/>
    <n v="10"/>
    <n v="1013"/>
    <n v="1013"/>
    <x v="1"/>
    <m/>
    <m/>
    <m/>
    <m/>
    <s v="no test"/>
    <s v="no test"/>
    <x v="1"/>
    <n v="1"/>
    <n v="1"/>
    <n v="1"/>
    <n v="5950"/>
    <n v="0"/>
    <n v="0"/>
    <n v="1"/>
    <n v="5950"/>
    <n v="11.9"/>
    <n v="0"/>
    <n v="0"/>
    <n v="9.9999999999999645E-2"/>
    <n v="12"/>
    <n v="354"/>
    <n v="0.6588235294117647"/>
    <n v="3920"/>
    <n v="0"/>
    <n v="0"/>
    <n v="298"/>
    <n v="0.4463276836158192"/>
    <n v="3640"/>
    <n v="5000"/>
    <n v="1"/>
    <n v="1"/>
    <n v="1"/>
    <n v="5950"/>
    <n v="1"/>
    <n v="0"/>
    <n v="0.84033613445378152"/>
    <n v="1"/>
    <n v="1"/>
    <n v="5065"/>
    <n v="5065"/>
    <n v="5065"/>
    <n v="1013"/>
    <s v="Yes"/>
    <n v="0"/>
    <x v="1"/>
    <x v="0"/>
    <x v="9"/>
    <x v="5"/>
    <n v="20.179939999999998"/>
    <n v="92.831879000000001"/>
    <s v="MMR012CMP048"/>
    <x v="0"/>
    <m/>
  </r>
  <r>
    <x v="0"/>
    <x v="17"/>
    <x v="1"/>
    <x v="18"/>
    <x v="374"/>
    <n v="299"/>
    <n v="1670"/>
    <m/>
    <s v="DFID/HARP"/>
    <d v="2020-09-30T00:00:00"/>
    <n v="0"/>
    <s v="No"/>
    <n v="0"/>
    <n v="0"/>
    <n v="0"/>
    <n v="0"/>
    <m/>
    <n v="0"/>
    <n v="79"/>
    <m/>
    <m/>
    <m/>
    <m/>
    <m/>
    <n v="7"/>
    <s v="for this quarter"/>
    <n v="192"/>
    <n v="0"/>
    <n v="0"/>
    <m/>
    <n v="192"/>
    <x v="0"/>
    <x v="2"/>
    <n v="0"/>
    <n v="11"/>
    <m/>
    <n v="1"/>
    <s v="Household"/>
    <n v="299"/>
    <n v="0"/>
    <n v="15"/>
    <n v="299"/>
    <n v="299"/>
    <x v="1"/>
    <m/>
    <m/>
    <m/>
    <m/>
    <s v="no test"/>
    <s v="no test"/>
    <x v="1"/>
    <n v="0"/>
    <n v="0"/>
    <n v="0"/>
    <n v="0"/>
    <n v="0"/>
    <n v="0"/>
    <n v="0"/>
    <n v="0"/>
    <n v="0"/>
    <n v="1"/>
    <n v="1670"/>
    <n v="3"/>
    <n v="3"/>
    <n v="192"/>
    <n v="1"/>
    <n v="1670"/>
    <n v="0"/>
    <n v="0"/>
    <n v="84"/>
    <n v="0"/>
    <n v="0"/>
    <n v="1670"/>
    <n v="1"/>
    <n v="1"/>
    <n v="1"/>
    <n v="1670"/>
    <n v="1"/>
    <n v="0"/>
    <n v="1"/>
    <n v="1"/>
    <n v="1"/>
    <n v="1495"/>
    <n v="1495"/>
    <n v="1495"/>
    <n v="299"/>
    <s v="Yes"/>
    <n v="0"/>
    <x v="1"/>
    <x v="0"/>
    <x v="1"/>
    <x v="5"/>
    <n v="20.181742"/>
    <n v="92.842230000000001"/>
    <s v="MMR012CMP091"/>
    <x v="0"/>
    <m/>
  </r>
  <r>
    <x v="0"/>
    <x v="17"/>
    <x v="1"/>
    <x v="18"/>
    <x v="375"/>
    <n v="17"/>
    <n v="74"/>
    <m/>
    <s v="DFID/HARP"/>
    <d v="2020-09-30T00:00:00"/>
    <m/>
    <m/>
    <m/>
    <m/>
    <n v="0"/>
    <n v="93"/>
    <m/>
    <m/>
    <m/>
    <m/>
    <n v="44"/>
    <n v="26"/>
    <n v="61"/>
    <n v="13"/>
    <m/>
    <m/>
    <n v="358"/>
    <m/>
    <m/>
    <m/>
    <m/>
    <x v="1"/>
    <x v="1"/>
    <m/>
    <m/>
    <m/>
    <m/>
    <m/>
    <m/>
    <m/>
    <m/>
    <m/>
    <m/>
    <x v="0"/>
    <m/>
    <m/>
    <m/>
    <m/>
    <n v="0.59090909090909094"/>
    <n v="0.21311475409836064"/>
    <x v="0"/>
    <n v="1"/>
    <n v="1"/>
    <n v="1"/>
    <n v="74"/>
    <n v="0"/>
    <n v="0"/>
    <n v="1"/>
    <n v="74"/>
    <n v="0.14799999999999999"/>
    <n v="0"/>
    <n v="0"/>
    <n v="0.85199999999999998"/>
    <n v="1"/>
    <n v="358"/>
    <n v="1"/>
    <n v="74"/>
    <n v="0"/>
    <n v="0"/>
    <n v="12"/>
    <n v="0"/>
    <s v="N/A"/>
    <n v="0"/>
    <n v="0"/>
    <n v="0"/>
    <n v="0"/>
    <n v="0"/>
    <n v="0"/>
    <n v="1"/>
    <n v="0"/>
    <n v="0"/>
    <n v="0"/>
    <n v="0"/>
    <n v="0"/>
    <n v="0"/>
    <n v="0"/>
    <n v="0"/>
    <n v="0"/>
    <x v="3"/>
    <x v="2"/>
    <x v="7"/>
    <x v="5"/>
    <n v="20.1934604644775"/>
    <n v="92.867782592773395"/>
    <n v="196147"/>
    <x v="0"/>
    <m/>
  </r>
  <r>
    <x v="0"/>
    <x v="13"/>
    <x v="1"/>
    <x v="18"/>
    <x v="376"/>
    <n v="250"/>
    <n v="1183"/>
    <n v="180"/>
    <s v="LDS"/>
    <d v="2018-09-30T00:00:00"/>
    <n v="0"/>
    <s v="No"/>
    <n v="0"/>
    <n v="0"/>
    <n v="0"/>
    <m/>
    <m/>
    <m/>
    <m/>
    <m/>
    <m/>
    <m/>
    <m/>
    <m/>
    <m/>
    <m/>
    <n v="0"/>
    <n v="0"/>
    <n v="0"/>
    <m/>
    <n v="0"/>
    <x v="1"/>
    <x v="1"/>
    <n v="0"/>
    <n v="0"/>
    <m/>
    <n v="0"/>
    <s v="Household"/>
    <n v="0"/>
    <n v="0"/>
    <n v="1"/>
    <n v="0"/>
    <n v="0"/>
    <x v="0"/>
    <m/>
    <m/>
    <m/>
    <m/>
    <s v="no test"/>
    <s v="no test"/>
    <x v="1"/>
    <n v="0"/>
    <n v="0"/>
    <n v="0"/>
    <n v="0"/>
    <n v="0"/>
    <n v="0"/>
    <n v="0"/>
    <n v="0"/>
    <n v="0"/>
    <n v="1"/>
    <n v="1183"/>
    <n v="2"/>
    <n v="2"/>
    <n v="0"/>
    <n v="0"/>
    <n v="0"/>
    <n v="0.99915469146238378"/>
    <n v="197"/>
    <n v="197"/>
    <n v="0"/>
    <s v="N/A"/>
    <n v="500"/>
    <n v="0"/>
    <n v="0"/>
    <n v="0"/>
    <n v="0"/>
    <n v="0"/>
    <n v="1"/>
    <n v="0.42265426880811496"/>
    <n v="0"/>
    <n v="0"/>
    <n v="0"/>
    <n v="0"/>
    <n v="0"/>
    <n v="0"/>
    <n v="0"/>
    <n v="0"/>
    <x v="3"/>
    <x v="2"/>
    <x v="7"/>
    <x v="8"/>
    <n v="20.227340698242202"/>
    <n v="92.893341064453097"/>
    <n v="196181"/>
    <x v="0"/>
    <m/>
  </r>
  <r>
    <x v="0"/>
    <x v="7"/>
    <x v="1"/>
    <x v="18"/>
    <x v="377"/>
    <n v="294"/>
    <n v="1214"/>
    <m/>
    <s v="MHF"/>
    <d v="2018-09-13T00:00:00"/>
    <n v="0"/>
    <s v="No"/>
    <n v="0"/>
    <n v="0"/>
    <n v="6"/>
    <n v="1"/>
    <n v="0"/>
    <n v="1"/>
    <n v="6"/>
    <m/>
    <n v="0"/>
    <n v="0"/>
    <n v="0"/>
    <n v="0"/>
    <n v="0"/>
    <m/>
    <n v="70"/>
    <n v="0"/>
    <n v="0"/>
    <m/>
    <n v="70"/>
    <x v="1"/>
    <x v="1"/>
    <n v="0"/>
    <n v="0"/>
    <m/>
    <n v="0"/>
    <s v="Household"/>
    <n v="0"/>
    <n v="0"/>
    <n v="1"/>
    <n v="0"/>
    <n v="0"/>
    <x v="0"/>
    <m/>
    <m/>
    <m/>
    <m/>
    <s v="no test"/>
    <s v="no test"/>
    <x v="1"/>
    <n v="1"/>
    <n v="1"/>
    <n v="1"/>
    <n v="1214"/>
    <n v="0.20593080724876442"/>
    <n v="250"/>
    <n v="1"/>
    <n v="1214"/>
    <n v="2.4279999999999999"/>
    <n v="0"/>
    <n v="0"/>
    <n v="0"/>
    <n v="2"/>
    <n v="70"/>
    <n v="0.34596375617792424"/>
    <n v="420.00000000000006"/>
    <n v="0.65238879736408562"/>
    <n v="132"/>
    <n v="202"/>
    <n v="0"/>
    <s v="N/A"/>
    <n v="500"/>
    <n v="0"/>
    <n v="0"/>
    <n v="0"/>
    <n v="0"/>
    <n v="0"/>
    <n v="1"/>
    <n v="0.41186161449752884"/>
    <n v="0"/>
    <n v="0"/>
    <n v="0"/>
    <n v="0"/>
    <n v="0"/>
    <n v="0"/>
    <n v="0"/>
    <n v="0"/>
    <x v="3"/>
    <x v="2"/>
    <x v="7"/>
    <x v="3"/>
    <n v="20.257850646972699"/>
    <n v="92.811126708984403"/>
    <n v="196161"/>
    <x v="0"/>
    <m/>
  </r>
  <r>
    <x v="0"/>
    <x v="7"/>
    <x v="1"/>
    <x v="18"/>
    <x v="378"/>
    <n v="110"/>
    <n v="500"/>
    <m/>
    <s v="MHF"/>
    <d v="2018-09-13T00:00:00"/>
    <n v="0"/>
    <s v="No"/>
    <n v="0"/>
    <n v="0"/>
    <n v="4"/>
    <n v="40"/>
    <n v="0"/>
    <n v="0"/>
    <n v="20"/>
    <m/>
    <n v="0"/>
    <n v="0"/>
    <n v="0"/>
    <n v="0"/>
    <n v="0"/>
    <m/>
    <n v="45"/>
    <n v="0"/>
    <n v="0"/>
    <m/>
    <n v="45"/>
    <x v="1"/>
    <x v="1"/>
    <n v="0"/>
    <n v="0"/>
    <m/>
    <n v="0"/>
    <s v="Household"/>
    <n v="0"/>
    <n v="0"/>
    <n v="2"/>
    <n v="0"/>
    <n v="0"/>
    <x v="0"/>
    <m/>
    <m/>
    <m/>
    <m/>
    <s v="no test"/>
    <s v="no test"/>
    <x v="1"/>
    <n v="1"/>
    <n v="1"/>
    <n v="1"/>
    <n v="500"/>
    <n v="0"/>
    <n v="0"/>
    <n v="1"/>
    <n v="500"/>
    <n v="1"/>
    <n v="0"/>
    <n v="0"/>
    <n v="0"/>
    <n v="1"/>
    <n v="45"/>
    <n v="0.54"/>
    <n v="270"/>
    <n v="0.45600000000000002"/>
    <n v="38"/>
    <n v="83"/>
    <n v="0"/>
    <s v="N/A"/>
    <n v="500"/>
    <n v="0"/>
    <n v="1"/>
    <n v="0"/>
    <n v="0"/>
    <n v="0"/>
    <n v="1"/>
    <n v="1"/>
    <n v="0"/>
    <n v="0"/>
    <n v="0"/>
    <n v="0"/>
    <n v="0"/>
    <n v="0"/>
    <n v="0"/>
    <n v="0"/>
    <x v="3"/>
    <x v="2"/>
    <x v="7"/>
    <x v="3"/>
    <n v="20.2235107421875"/>
    <n v="92.869842529296903"/>
    <n v="196168"/>
    <x v="0"/>
    <m/>
  </r>
  <r>
    <x v="0"/>
    <x v="7"/>
    <x v="1"/>
    <x v="18"/>
    <x v="379"/>
    <n v="80"/>
    <n v="359"/>
    <m/>
    <s v="MHF"/>
    <d v="2018-09-13T00:00:00"/>
    <n v="0"/>
    <s v="No"/>
    <n v="0"/>
    <n v="0"/>
    <n v="7"/>
    <n v="13"/>
    <n v="0"/>
    <n v="0"/>
    <n v="1"/>
    <m/>
    <n v="0"/>
    <n v="0"/>
    <n v="0"/>
    <n v="0"/>
    <n v="0"/>
    <m/>
    <n v="92"/>
    <n v="0"/>
    <n v="0"/>
    <m/>
    <n v="12"/>
    <x v="1"/>
    <x v="1"/>
    <n v="0"/>
    <n v="0"/>
    <m/>
    <n v="0"/>
    <s v="Household"/>
    <n v="0"/>
    <n v="0"/>
    <n v="1"/>
    <n v="0"/>
    <n v="0"/>
    <x v="0"/>
    <m/>
    <m/>
    <m/>
    <m/>
    <s v="no test"/>
    <s v="no test"/>
    <x v="1"/>
    <n v="1"/>
    <n v="1"/>
    <n v="1"/>
    <n v="359"/>
    <n v="0"/>
    <n v="0"/>
    <n v="1"/>
    <n v="359"/>
    <n v="0.71799999999999997"/>
    <n v="0"/>
    <n v="0"/>
    <n v="0.28200000000000003"/>
    <n v="1"/>
    <n v="92"/>
    <n v="1"/>
    <n v="359"/>
    <n v="0"/>
    <n v="0"/>
    <n v="60"/>
    <n v="0"/>
    <s v="N/A"/>
    <n v="359"/>
    <n v="0"/>
    <n v="1"/>
    <n v="0"/>
    <n v="0"/>
    <n v="0"/>
    <n v="1"/>
    <n v="1"/>
    <n v="0"/>
    <n v="0"/>
    <n v="0"/>
    <n v="0"/>
    <n v="0"/>
    <n v="0"/>
    <n v="0"/>
    <n v="0"/>
    <x v="3"/>
    <x v="2"/>
    <x v="7"/>
    <x v="3"/>
    <n v="20.202400000000001"/>
    <n v="92.812799999999996"/>
    <s v="196159"/>
    <x v="0"/>
    <m/>
  </r>
  <r>
    <x v="0"/>
    <x v="21"/>
    <x v="2"/>
    <x v="25"/>
    <x v="380"/>
    <n v="32"/>
    <n v="149"/>
    <n v="57"/>
    <s v="ADRA/CANADA,WHH(BMZ, AA)"/>
    <s v="31/12/18,30/6/18"/>
    <n v="0"/>
    <s v="Yes"/>
    <n v="0.8"/>
    <n v="0.6"/>
    <m/>
    <n v="1"/>
    <n v="9000"/>
    <m/>
    <n v="2"/>
    <m/>
    <n v="0"/>
    <n v="0"/>
    <n v="0"/>
    <n v="0"/>
    <n v="0"/>
    <m/>
    <n v="8"/>
    <n v="3"/>
    <n v="0"/>
    <m/>
    <n v="8"/>
    <x v="0"/>
    <x v="0"/>
    <n v="0"/>
    <n v="0"/>
    <m/>
    <n v="0.8"/>
    <s v="Communal"/>
    <m/>
    <n v="2"/>
    <n v="2"/>
    <n v="0"/>
    <n v="0"/>
    <x v="0"/>
    <m/>
    <m/>
    <m/>
    <m/>
    <s v="no test"/>
    <s v="no test"/>
    <x v="1"/>
    <n v="1"/>
    <n v="1"/>
    <n v="1"/>
    <n v="149"/>
    <n v="0"/>
    <n v="0"/>
    <n v="1"/>
    <n v="149"/>
    <n v="0.29799999999999999"/>
    <n v="0"/>
    <n v="0"/>
    <n v="0.70199999999999996"/>
    <n v="1"/>
    <n v="11"/>
    <n v="1"/>
    <n v="149"/>
    <n v="0"/>
    <n v="0"/>
    <n v="7"/>
    <n v="0.27272727272727271"/>
    <n v="0"/>
    <n v="149"/>
    <n v="0"/>
    <n v="1"/>
    <n v="0"/>
    <n v="0"/>
    <n v="0"/>
    <n v="1"/>
    <n v="1"/>
    <n v="0"/>
    <n v="0"/>
    <n v="0"/>
    <n v="0"/>
    <n v="0"/>
    <n v="25.6"/>
    <s v="Yes"/>
    <s v="KBC"/>
    <x v="1"/>
    <x v="0"/>
    <x v="0"/>
    <x v="0"/>
    <n v="23.354268999999999"/>
    <n v="98.218626999999998"/>
    <s v="MMR015CMP218"/>
    <x v="0"/>
    <m/>
  </r>
  <r>
    <x v="0"/>
    <x v="1"/>
    <x v="2"/>
    <x v="25"/>
    <x v="381"/>
    <n v="35"/>
    <n v="164"/>
    <n v="43"/>
    <s v="SCI/FFO,WHH(BMZ, AA)"/>
    <s v="30/11/2019,6/30/2018"/>
    <m/>
    <s v="No"/>
    <n v="0"/>
    <n v="0"/>
    <n v="1"/>
    <n v="0"/>
    <m/>
    <m/>
    <n v="0"/>
    <m/>
    <n v="0"/>
    <n v="0"/>
    <n v="0"/>
    <n v="0"/>
    <n v="0"/>
    <m/>
    <n v="37"/>
    <n v="0"/>
    <n v="0"/>
    <m/>
    <n v="0"/>
    <x v="1"/>
    <x v="1"/>
    <m/>
    <m/>
    <m/>
    <m/>
    <m/>
    <n v="0"/>
    <m/>
    <n v="1"/>
    <n v="0"/>
    <n v="0"/>
    <x v="0"/>
    <m/>
    <m/>
    <m/>
    <m/>
    <s v="no test"/>
    <s v="no test"/>
    <x v="1"/>
    <n v="1"/>
    <n v="1"/>
    <n v="1"/>
    <n v="164"/>
    <n v="0"/>
    <n v="0"/>
    <n v="1"/>
    <n v="164"/>
    <n v="0.32800000000000001"/>
    <n v="0"/>
    <n v="0"/>
    <n v="0.67199999999999993"/>
    <n v="1"/>
    <n v="37"/>
    <n v="1"/>
    <n v="164"/>
    <n v="0"/>
    <n v="0"/>
    <n v="8"/>
    <n v="0"/>
    <n v="0"/>
    <n v="164"/>
    <n v="0"/>
    <n v="1"/>
    <n v="0"/>
    <n v="0"/>
    <n v="0"/>
    <n v="1"/>
    <n v="1"/>
    <n v="0"/>
    <n v="0"/>
    <n v="0"/>
    <n v="0"/>
    <n v="0"/>
    <n v="0"/>
    <n v="0"/>
    <n v="0"/>
    <x v="1"/>
    <x v="0"/>
    <x v="3"/>
    <x v="0"/>
    <n v="23.353999999999999"/>
    <n v="98.221000000000004"/>
    <s v="MMR015CMP226"/>
    <x v="0"/>
    <m/>
  </r>
  <r>
    <x v="0"/>
    <x v="2"/>
    <x v="2"/>
    <x v="26"/>
    <x v="382"/>
    <n v="37"/>
    <n v="120"/>
    <m/>
    <m/>
    <m/>
    <m/>
    <s v="No"/>
    <n v="0"/>
    <n v="0"/>
    <m/>
    <m/>
    <m/>
    <m/>
    <m/>
    <m/>
    <m/>
    <m/>
    <m/>
    <m/>
    <m/>
    <m/>
    <n v="0"/>
    <m/>
    <m/>
    <m/>
    <m/>
    <x v="1"/>
    <x v="1"/>
    <m/>
    <m/>
    <m/>
    <m/>
    <m/>
    <m/>
    <m/>
    <m/>
    <m/>
    <m/>
    <x v="0"/>
    <m/>
    <m/>
    <m/>
    <m/>
    <s v="no test"/>
    <s v="no test"/>
    <x v="1"/>
    <n v="0"/>
    <n v="0"/>
    <n v="0"/>
    <n v="0"/>
    <n v="0"/>
    <n v="0"/>
    <n v="0"/>
    <n v="0"/>
    <n v="0"/>
    <n v="1"/>
    <n v="120"/>
    <n v="1"/>
    <n v="1"/>
    <n v="0"/>
    <n v="0"/>
    <n v="0"/>
    <n v="1"/>
    <n v="6"/>
    <n v="6"/>
    <n v="0"/>
    <n v="0"/>
    <n v="0"/>
    <n v="0"/>
    <n v="0"/>
    <n v="0"/>
    <n v="0"/>
    <n v="0"/>
    <n v="1"/>
    <n v="0"/>
    <n v="0"/>
    <n v="0"/>
    <n v="0"/>
    <n v="0"/>
    <n v="0"/>
    <n v="0"/>
    <n v="0"/>
    <s v="uncovered"/>
    <x v="1"/>
    <x v="0"/>
    <x v="2"/>
    <x v="0"/>
    <n v="22.677008000000001"/>
    <n v="97.314762999999999"/>
    <s v="MMR015CMP244"/>
    <x v="1"/>
    <s v="metta lashio reported no camp in ground"/>
  </r>
  <r>
    <x v="0"/>
    <x v="7"/>
    <x v="2"/>
    <x v="27"/>
    <x v="383"/>
    <n v="86"/>
    <n v="300"/>
    <n v="50"/>
    <s v="GFFO,WHH(BMZ,AA)"/>
    <s v="30/Nov/2019,30/6/18"/>
    <n v="0"/>
    <s v="Yes"/>
    <n v="0.11"/>
    <n v="0.5"/>
    <n v="0"/>
    <n v="0"/>
    <n v="8640"/>
    <n v="0"/>
    <n v="8"/>
    <m/>
    <n v="0"/>
    <n v="0"/>
    <n v="0"/>
    <n v="0"/>
    <n v="0"/>
    <m/>
    <n v="86"/>
    <n v="0"/>
    <n v="0"/>
    <m/>
    <n v="89"/>
    <x v="1"/>
    <x v="1"/>
    <n v="0"/>
    <n v="0"/>
    <m/>
    <n v="0"/>
    <s v="Household"/>
    <n v="0"/>
    <n v="0"/>
    <n v="0"/>
    <n v="0"/>
    <n v="0"/>
    <x v="0"/>
    <m/>
    <m/>
    <m/>
    <m/>
    <s v="no test"/>
    <s v="no test"/>
    <x v="1"/>
    <n v="1"/>
    <n v="1"/>
    <n v="1"/>
    <n v="300"/>
    <n v="0"/>
    <n v="0"/>
    <n v="1"/>
    <n v="300"/>
    <n v="0.6"/>
    <n v="0"/>
    <n v="0"/>
    <n v="0.4"/>
    <n v="1"/>
    <n v="86"/>
    <n v="1"/>
    <n v="300"/>
    <n v="0"/>
    <n v="0"/>
    <n v="50"/>
    <n v="0"/>
    <n v="0"/>
    <n v="0"/>
    <n v="0"/>
    <n v="0"/>
    <n v="0"/>
    <n v="0"/>
    <n v="0"/>
    <n v="1"/>
    <n v="0"/>
    <n v="0"/>
    <n v="0"/>
    <n v="0"/>
    <n v="0"/>
    <n v="0"/>
    <n v="0"/>
    <s v="Yes"/>
    <s v="KBC"/>
    <x v="1"/>
    <x v="1"/>
    <x v="3"/>
    <x v="0"/>
    <n v="23.4008"/>
    <n v="97.848529999999997"/>
    <s v="MMR015CMP015"/>
    <x v="0"/>
    <m/>
  </r>
  <r>
    <x v="0"/>
    <x v="21"/>
    <x v="2"/>
    <x v="27"/>
    <x v="384"/>
    <n v="61"/>
    <n v="292"/>
    <n v="126"/>
    <s v="ADRA/CANADA,WHH(BMZ, AA)"/>
    <s v="31/12/18,30/6/18"/>
    <n v="0"/>
    <s v="Yes"/>
    <n v="0.8"/>
    <n v="0.6"/>
    <m/>
    <n v="1"/>
    <n v="8100"/>
    <m/>
    <n v="3"/>
    <m/>
    <n v="0"/>
    <n v="0"/>
    <n v="0"/>
    <n v="0"/>
    <n v="0"/>
    <m/>
    <n v="10"/>
    <n v="0"/>
    <n v="0"/>
    <m/>
    <n v="10"/>
    <x v="0"/>
    <x v="0"/>
    <n v="0"/>
    <n v="0"/>
    <m/>
    <n v="0.8"/>
    <s v="Communal"/>
    <m/>
    <n v="2"/>
    <n v="1"/>
    <n v="0"/>
    <n v="0"/>
    <x v="0"/>
    <m/>
    <m/>
    <m/>
    <m/>
    <s v="no test"/>
    <s v="no test"/>
    <x v="1"/>
    <n v="1"/>
    <n v="1"/>
    <n v="1"/>
    <n v="292"/>
    <n v="0"/>
    <n v="0"/>
    <n v="1"/>
    <n v="292"/>
    <n v="0.58399999999999996"/>
    <n v="0"/>
    <n v="0"/>
    <n v="0.41600000000000004"/>
    <n v="1"/>
    <n v="10"/>
    <n v="0.68493150684931503"/>
    <n v="200"/>
    <n v="0.34246575342465752"/>
    <n v="5"/>
    <n v="15"/>
    <n v="0"/>
    <n v="0"/>
    <n v="292"/>
    <n v="0"/>
    <n v="1"/>
    <n v="0"/>
    <n v="0"/>
    <n v="0"/>
    <n v="1"/>
    <n v="1"/>
    <n v="0"/>
    <n v="0"/>
    <n v="0"/>
    <n v="0"/>
    <n v="0"/>
    <n v="48.800000000000004"/>
    <s v="Yes"/>
    <s v="KBC"/>
    <x v="1"/>
    <x v="0"/>
    <x v="0"/>
    <x v="0"/>
    <n v="23.450914000000001"/>
    <n v="97.926813999999993"/>
    <s v="MMR015CMP016"/>
    <x v="0"/>
    <m/>
  </r>
  <r>
    <x v="0"/>
    <x v="22"/>
    <x v="2"/>
    <x v="27"/>
    <x v="385"/>
    <n v="46"/>
    <n v="156"/>
    <n v="57"/>
    <s v="GFFO,WHH(BMZ,AA)"/>
    <s v="30/Nov/2019,30/6/18"/>
    <n v="0"/>
    <s v="Yes"/>
    <n v="1"/>
    <n v="1"/>
    <n v="0"/>
    <n v="1"/>
    <n v="4725"/>
    <n v="0"/>
    <n v="7"/>
    <m/>
    <n v="0"/>
    <n v="0"/>
    <n v="30"/>
    <n v="24"/>
    <n v="0"/>
    <m/>
    <n v="12"/>
    <n v="6"/>
    <n v="0"/>
    <m/>
    <n v="12"/>
    <x v="0"/>
    <x v="0"/>
    <n v="0"/>
    <n v="0"/>
    <m/>
    <n v="0"/>
    <s v="Communal"/>
    <n v="0"/>
    <n v="2"/>
    <n v="2"/>
    <n v="35"/>
    <n v="0"/>
    <x v="0"/>
    <m/>
    <m/>
    <m/>
    <m/>
    <s v="no test"/>
    <n v="0.8"/>
    <x v="0"/>
    <n v="1"/>
    <n v="1"/>
    <n v="1"/>
    <n v="156"/>
    <n v="0"/>
    <n v="0"/>
    <n v="1"/>
    <n v="156"/>
    <n v="0.312"/>
    <n v="0"/>
    <n v="0"/>
    <n v="0.68799999999999994"/>
    <n v="1"/>
    <n v="18"/>
    <n v="1"/>
    <n v="156"/>
    <n v="0"/>
    <n v="0"/>
    <n v="8"/>
    <n v="0.33333333333333331"/>
    <n v="0"/>
    <n v="156"/>
    <n v="0"/>
    <n v="1"/>
    <n v="0"/>
    <n v="0"/>
    <n v="0"/>
    <n v="1"/>
    <n v="1"/>
    <n v="0.76086956521739135"/>
    <n v="0"/>
    <n v="175"/>
    <n v="0"/>
    <n v="175"/>
    <n v="0"/>
    <s v="Yes"/>
    <s v="KBC"/>
    <x v="1"/>
    <x v="0"/>
    <x v="0"/>
    <x v="0"/>
    <n v="23.460349999999998"/>
    <n v="97.947360000000003"/>
    <s v="MMR015CMP245"/>
    <x v="0"/>
    <m/>
  </r>
  <r>
    <x v="0"/>
    <x v="23"/>
    <x v="2"/>
    <x v="27"/>
    <x v="386"/>
    <n v="30"/>
    <n v="138"/>
    <n v="73"/>
    <s v="HARP,WHH(BMZ, AA)"/>
    <s v="30/12/2018,30/6/18"/>
    <n v="0"/>
    <s v="Yes"/>
    <n v="0.65"/>
    <n v="1"/>
    <n v="1"/>
    <m/>
    <n v="6000"/>
    <m/>
    <n v="1"/>
    <m/>
    <n v="1"/>
    <m/>
    <n v="12"/>
    <n v="6"/>
    <n v="0"/>
    <m/>
    <n v="8"/>
    <n v="0"/>
    <n v="8"/>
    <s v="two times"/>
    <n v="8"/>
    <x v="0"/>
    <x v="0"/>
    <n v="2"/>
    <n v="0"/>
    <m/>
    <n v="1"/>
    <s v="Communal"/>
    <n v="2"/>
    <n v="1"/>
    <n v="2"/>
    <n v="0"/>
    <n v="0"/>
    <x v="0"/>
    <m/>
    <m/>
    <m/>
    <m/>
    <n v="0"/>
    <n v="0.5"/>
    <x v="0"/>
    <n v="1"/>
    <n v="1"/>
    <n v="1"/>
    <n v="138"/>
    <n v="0"/>
    <n v="0"/>
    <n v="1"/>
    <n v="138"/>
    <n v="0.27600000000000002"/>
    <n v="0"/>
    <n v="0"/>
    <n v="0.72399999999999998"/>
    <n v="1"/>
    <n v="8"/>
    <n v="1"/>
    <n v="138"/>
    <n v="0"/>
    <n v="0"/>
    <n v="7"/>
    <n v="0"/>
    <n v="138"/>
    <n v="138"/>
    <n v="0"/>
    <n v="1"/>
    <n v="0"/>
    <n v="0"/>
    <n v="0"/>
    <n v="1"/>
    <n v="1"/>
    <n v="0"/>
    <n v="0"/>
    <n v="0"/>
    <n v="0"/>
    <n v="0"/>
    <n v="30"/>
    <s v="Yes"/>
    <s v="KMSS-LSO"/>
    <x v="1"/>
    <x v="0"/>
    <x v="0"/>
    <x v="0"/>
    <n v="23.460349999999998"/>
    <n v="97.947360000000003"/>
    <s v="MMR015CMP017"/>
    <x v="0"/>
    <m/>
  </r>
  <r>
    <x v="0"/>
    <x v="1"/>
    <x v="2"/>
    <x v="27"/>
    <x v="387"/>
    <n v="145"/>
    <n v="721"/>
    <m/>
    <s v="SCI/FFO,WHH(BMZ, AA)"/>
    <s v="30/11/2019,6/30/2018"/>
    <n v="0"/>
    <s v="No"/>
    <n v="0"/>
    <n v="0"/>
    <n v="1"/>
    <m/>
    <n v="28800"/>
    <n v="1"/>
    <n v="0"/>
    <m/>
    <n v="0"/>
    <n v="0"/>
    <n v="0"/>
    <n v="0"/>
    <n v="0"/>
    <m/>
    <n v="20"/>
    <m/>
    <m/>
    <m/>
    <n v="20"/>
    <x v="0"/>
    <x v="0"/>
    <m/>
    <m/>
    <m/>
    <n v="0"/>
    <s v="Household"/>
    <n v="1"/>
    <n v="3"/>
    <n v="1"/>
    <n v="0"/>
    <n v="0"/>
    <x v="0"/>
    <m/>
    <m/>
    <m/>
    <m/>
    <s v="no test"/>
    <s v="no test"/>
    <x v="1"/>
    <n v="1"/>
    <n v="1"/>
    <n v="1"/>
    <n v="721"/>
    <n v="0.34674063800277394"/>
    <n v="250"/>
    <n v="1"/>
    <n v="721"/>
    <n v="1.4419999999999999"/>
    <n v="0"/>
    <n v="0"/>
    <n v="0"/>
    <n v="1"/>
    <n v="20"/>
    <n v="0.55478502080443826"/>
    <n v="400"/>
    <n v="0.44382801664355065"/>
    <n v="16"/>
    <n v="36"/>
    <n v="0"/>
    <n v="0"/>
    <n v="500"/>
    <n v="0"/>
    <n v="0"/>
    <n v="0"/>
    <n v="0"/>
    <n v="0"/>
    <n v="1"/>
    <n v="0.69348127600554788"/>
    <n v="0"/>
    <n v="0"/>
    <n v="0"/>
    <n v="0"/>
    <n v="0"/>
    <n v="0"/>
    <s v="Yes"/>
    <s v="KBC"/>
    <x v="1"/>
    <x v="0"/>
    <x v="0"/>
    <x v="0"/>
    <n v="23.591999999999999"/>
    <n v="97.796999999999997"/>
    <s v="MMR015CMP220"/>
    <x v="0"/>
    <m/>
  </r>
  <r>
    <x v="0"/>
    <x v="24"/>
    <x v="2"/>
    <x v="28"/>
    <x v="388"/>
    <n v="63"/>
    <n v="290"/>
    <n v="72"/>
    <s v="MHF,WHH(BMZ, AA)"/>
    <s v="17/11/2018,30/6/18"/>
    <m/>
    <s v="Yes"/>
    <n v="0.28999999999999998"/>
    <n v="0.28999999999999998"/>
    <n v="1"/>
    <n v="1"/>
    <n v="7500"/>
    <n v="0"/>
    <n v="1"/>
    <m/>
    <n v="1"/>
    <n v="1"/>
    <n v="10"/>
    <n v="7"/>
    <n v="0"/>
    <m/>
    <n v="16"/>
    <n v="0"/>
    <n v="0"/>
    <m/>
    <n v="16"/>
    <x v="0"/>
    <x v="0"/>
    <n v="0"/>
    <n v="0"/>
    <m/>
    <n v="1"/>
    <s v="Communal"/>
    <n v="0"/>
    <n v="2"/>
    <n v="1"/>
    <n v="61"/>
    <n v="0"/>
    <x v="0"/>
    <m/>
    <m/>
    <m/>
    <m/>
    <n v="1"/>
    <n v="0.7"/>
    <x v="0"/>
    <n v="1"/>
    <n v="1"/>
    <n v="1"/>
    <n v="290"/>
    <n v="0"/>
    <n v="0"/>
    <n v="1"/>
    <n v="290"/>
    <n v="0.57999999999999996"/>
    <n v="0"/>
    <n v="0"/>
    <n v="0.42000000000000004"/>
    <n v="1"/>
    <n v="16"/>
    <n v="1"/>
    <n v="290"/>
    <n v="0"/>
    <n v="0"/>
    <n v="15"/>
    <n v="0"/>
    <n v="0"/>
    <n v="290"/>
    <n v="0"/>
    <n v="1"/>
    <n v="0"/>
    <n v="0"/>
    <n v="0"/>
    <n v="1"/>
    <n v="1"/>
    <n v="0.96825396825396826"/>
    <n v="0"/>
    <n v="305"/>
    <n v="0"/>
    <n v="305"/>
    <n v="63"/>
    <s v="Yes"/>
    <s v="KMSS-LSO"/>
    <x v="1"/>
    <x v="0"/>
    <x v="0"/>
    <x v="0"/>
    <n v="23.099304"/>
    <n v="97.400671000000003"/>
    <s v="MMR015CMP248"/>
    <x v="0"/>
    <m/>
  </r>
  <r>
    <x v="0"/>
    <x v="1"/>
    <x v="2"/>
    <x v="27"/>
    <x v="389"/>
    <n v="75"/>
    <n v="344"/>
    <n v="64"/>
    <s v="SCI/FFO,WHH(BMZ, AA)"/>
    <s v="30/11/2019,6/30/2018"/>
    <n v="0"/>
    <s v="No"/>
    <n v="0"/>
    <n v="0"/>
    <n v="0"/>
    <n v="0"/>
    <m/>
    <m/>
    <n v="16"/>
    <m/>
    <n v="0"/>
    <n v="0"/>
    <n v="10"/>
    <n v="8"/>
    <n v="0"/>
    <m/>
    <n v="75"/>
    <n v="0"/>
    <n v="0"/>
    <m/>
    <n v="75"/>
    <x v="0"/>
    <x v="0"/>
    <n v="0"/>
    <n v="0"/>
    <m/>
    <n v="0.3"/>
    <s v="Household"/>
    <n v="0"/>
    <n v="6"/>
    <n v="3"/>
    <n v="0"/>
    <n v="0"/>
    <x v="0"/>
    <m/>
    <m/>
    <m/>
    <m/>
    <s v="no test"/>
    <n v="0.8"/>
    <x v="0"/>
    <n v="0"/>
    <n v="0"/>
    <n v="0"/>
    <n v="0"/>
    <n v="0"/>
    <n v="0"/>
    <n v="0"/>
    <n v="0"/>
    <n v="0"/>
    <n v="1"/>
    <n v="344"/>
    <n v="1"/>
    <n v="1"/>
    <n v="75"/>
    <n v="1"/>
    <n v="344"/>
    <n v="0"/>
    <n v="0"/>
    <n v="57"/>
    <n v="0"/>
    <n v="0"/>
    <n v="344"/>
    <n v="0"/>
    <n v="1"/>
    <n v="0"/>
    <n v="0"/>
    <n v="0"/>
    <n v="1"/>
    <n v="1"/>
    <n v="0"/>
    <n v="0"/>
    <n v="0"/>
    <n v="0"/>
    <n v="0"/>
    <n v="22.5"/>
    <s v="Yes"/>
    <s v="KBC"/>
    <x v="1"/>
    <x v="1"/>
    <x v="0"/>
    <x v="0"/>
    <n v="23.588920000000002"/>
    <n v="97.793019999999999"/>
    <s v="MMR015CMP018"/>
    <x v="0"/>
    <m/>
  </r>
  <r>
    <x v="0"/>
    <x v="24"/>
    <x v="2"/>
    <x v="28"/>
    <x v="390"/>
    <n v="58"/>
    <n v="257"/>
    <m/>
    <s v="MHF"/>
    <d v="2018-11-17T00:00:00"/>
    <m/>
    <s v="Yes"/>
    <n v="0.28999999999999998"/>
    <n v="0.28999999999999998"/>
    <m/>
    <n v="2"/>
    <n v="7200"/>
    <m/>
    <n v="1"/>
    <m/>
    <n v="0"/>
    <n v="0"/>
    <n v="0"/>
    <n v="0"/>
    <n v="0"/>
    <m/>
    <n v="12"/>
    <n v="0"/>
    <n v="0"/>
    <m/>
    <n v="12"/>
    <x v="0"/>
    <x v="4"/>
    <n v="0"/>
    <n v="0"/>
    <m/>
    <n v="1"/>
    <s v="Communal"/>
    <m/>
    <n v="2"/>
    <n v="1"/>
    <n v="30"/>
    <n v="0"/>
    <x v="0"/>
    <m/>
    <m/>
    <m/>
    <m/>
    <s v="no test"/>
    <s v="no test"/>
    <x v="1"/>
    <n v="1"/>
    <n v="1"/>
    <n v="1"/>
    <n v="257"/>
    <n v="0"/>
    <n v="0"/>
    <n v="1"/>
    <n v="257"/>
    <n v="0.51400000000000001"/>
    <n v="0"/>
    <n v="0"/>
    <n v="0.48599999999999999"/>
    <n v="1"/>
    <n v="12"/>
    <n v="0.93385214007782102"/>
    <n v="240"/>
    <n v="7.7821011673151752E-2"/>
    <n v="1"/>
    <n v="13"/>
    <n v="0"/>
    <n v="0"/>
    <n v="257"/>
    <n v="0"/>
    <n v="1"/>
    <n v="0"/>
    <n v="0"/>
    <n v="0"/>
    <n v="1"/>
    <n v="1"/>
    <n v="0.51724137931034486"/>
    <n v="0"/>
    <n v="150"/>
    <n v="0"/>
    <n v="150"/>
    <n v="58"/>
    <n v="0"/>
    <n v="0"/>
    <x v="0"/>
    <x v="0"/>
    <x v="0"/>
    <x v="0"/>
    <n v="0"/>
    <n v="0"/>
    <n v="0"/>
    <x v="0"/>
    <m/>
  </r>
  <r>
    <x v="0"/>
    <x v="25"/>
    <x v="2"/>
    <x v="27"/>
    <x v="391"/>
    <n v="44"/>
    <n v="264"/>
    <n v="85"/>
    <s v="ADRA/CANADA"/>
    <d v="2018-12-31T00:00:00"/>
    <n v="0"/>
    <s v="Yes"/>
    <n v="0.6"/>
    <n v="1"/>
    <n v="0"/>
    <m/>
    <n v="8100"/>
    <m/>
    <n v="12"/>
    <m/>
    <n v="0"/>
    <n v="0"/>
    <n v="0"/>
    <n v="0"/>
    <n v="0"/>
    <m/>
    <n v="49"/>
    <n v="0"/>
    <n v="0"/>
    <m/>
    <n v="49"/>
    <x v="0"/>
    <x v="4"/>
    <m/>
    <m/>
    <m/>
    <n v="0.3"/>
    <s v="Household"/>
    <n v="3"/>
    <n v="2"/>
    <n v="3"/>
    <n v="0"/>
    <n v="0"/>
    <x v="0"/>
    <m/>
    <m/>
    <m/>
    <m/>
    <s v="no test"/>
    <s v="no test"/>
    <x v="1"/>
    <n v="1"/>
    <n v="1"/>
    <n v="1"/>
    <n v="264"/>
    <n v="0"/>
    <n v="0"/>
    <n v="1"/>
    <n v="264"/>
    <n v="0.52800000000000002"/>
    <n v="0"/>
    <n v="0"/>
    <n v="0.47199999999999998"/>
    <n v="1"/>
    <n v="49"/>
    <n v="1"/>
    <n v="264"/>
    <n v="0"/>
    <n v="0"/>
    <n v="44"/>
    <n v="0"/>
    <n v="0"/>
    <n v="264"/>
    <n v="0"/>
    <n v="1"/>
    <n v="0"/>
    <n v="0"/>
    <n v="0"/>
    <n v="1"/>
    <n v="1"/>
    <n v="0"/>
    <n v="0"/>
    <n v="0"/>
    <n v="0"/>
    <n v="0"/>
    <n v="13.2"/>
    <s v="Yes"/>
    <s v="KBC"/>
    <x v="1"/>
    <x v="1"/>
    <x v="0"/>
    <x v="0"/>
    <n v="23.400155999999999"/>
    <n v="98.220614999999995"/>
    <s v="MMR015CMP006"/>
    <x v="0"/>
    <m/>
  </r>
  <r>
    <x v="0"/>
    <x v="5"/>
    <x v="2"/>
    <x v="27"/>
    <x v="392"/>
    <n v="22"/>
    <n v="111"/>
    <n v="49"/>
    <s v="HARP"/>
    <s v="31/12/2018"/>
    <n v="0"/>
    <s v="Yes"/>
    <n v="0.5"/>
    <n v="1"/>
    <n v="0"/>
    <n v="0"/>
    <n v="5400"/>
    <n v="1"/>
    <n v="1"/>
    <m/>
    <n v="2"/>
    <n v="0"/>
    <n v="18"/>
    <n v="4"/>
    <n v="0"/>
    <m/>
    <n v="8"/>
    <n v="0"/>
    <n v="0"/>
    <s v="two times"/>
    <n v="10"/>
    <x v="0"/>
    <x v="0"/>
    <n v="0"/>
    <n v="0"/>
    <m/>
    <n v="1"/>
    <s v="Communal"/>
    <n v="0"/>
    <n v="2"/>
    <n v="2"/>
    <n v="0"/>
    <n v="0"/>
    <x v="0"/>
    <m/>
    <m/>
    <m/>
    <m/>
    <n v="0"/>
    <n v="0.22222222222222221"/>
    <x v="0"/>
    <n v="1"/>
    <n v="1"/>
    <n v="1"/>
    <n v="111"/>
    <n v="1"/>
    <n v="111"/>
    <n v="1"/>
    <n v="111"/>
    <n v="0.222"/>
    <n v="0"/>
    <n v="0"/>
    <n v="0.77800000000000002"/>
    <n v="1"/>
    <n v="8"/>
    <n v="1"/>
    <n v="111"/>
    <n v="0"/>
    <n v="0"/>
    <n v="6"/>
    <n v="0"/>
    <n v="0"/>
    <n v="111"/>
    <n v="0"/>
    <n v="1"/>
    <n v="0"/>
    <n v="0"/>
    <n v="0"/>
    <n v="1"/>
    <n v="1"/>
    <n v="0"/>
    <n v="0"/>
    <n v="0"/>
    <n v="0"/>
    <n v="0"/>
    <n v="22"/>
    <s v="Yes"/>
    <s v="KMSS-LSO"/>
    <x v="1"/>
    <x v="0"/>
    <x v="0"/>
    <x v="0"/>
    <n v="23.463000000000001"/>
    <n v="98.248999999999995"/>
    <s v="MMR015CMP217"/>
    <x v="0"/>
    <m/>
  </r>
  <r>
    <x v="0"/>
    <x v="1"/>
    <x v="2"/>
    <x v="27"/>
    <x v="393"/>
    <n v="63"/>
    <n v="279"/>
    <n v="134"/>
    <s v="WHH( BMZ, AA) "/>
    <d v="2018-08-31T00:00:00"/>
    <n v="0"/>
    <s v="Yes"/>
    <n v="0.7"/>
    <n v="1"/>
    <m/>
    <n v="1"/>
    <n v="15000"/>
    <m/>
    <n v="8"/>
    <m/>
    <n v="0"/>
    <n v="0"/>
    <n v="0"/>
    <n v="0"/>
    <n v="0"/>
    <m/>
    <n v="14"/>
    <n v="6"/>
    <n v="0"/>
    <m/>
    <n v="14"/>
    <x v="0"/>
    <x v="0"/>
    <n v="0"/>
    <n v="0"/>
    <m/>
    <n v="1"/>
    <s v="Communal"/>
    <m/>
    <n v="2"/>
    <n v="1"/>
    <m/>
    <n v="0"/>
    <x v="0"/>
    <m/>
    <m/>
    <m/>
    <m/>
    <s v="no test"/>
    <s v="no test"/>
    <x v="1"/>
    <n v="1"/>
    <n v="1"/>
    <n v="1"/>
    <n v="279"/>
    <n v="0"/>
    <n v="0"/>
    <n v="1"/>
    <n v="279"/>
    <n v="0.55800000000000005"/>
    <n v="0"/>
    <n v="0"/>
    <n v="0.44199999999999995"/>
    <n v="1"/>
    <n v="20"/>
    <n v="1"/>
    <n v="279"/>
    <n v="0"/>
    <n v="0"/>
    <n v="14"/>
    <n v="0.3"/>
    <n v="0"/>
    <n v="279"/>
    <n v="0"/>
    <n v="1"/>
    <n v="0"/>
    <n v="0"/>
    <n v="0"/>
    <n v="1"/>
    <n v="1"/>
    <n v="0"/>
    <n v="0"/>
    <n v="0"/>
    <n v="0"/>
    <n v="0"/>
    <n v="63"/>
    <s v="Yes"/>
    <s v="KBC"/>
    <x v="1"/>
    <x v="0"/>
    <x v="0"/>
    <x v="0"/>
    <n v="23.694130000000001"/>
    <n v="97.818979999999996"/>
    <s v="MMR015CMP007"/>
    <x v="0"/>
    <m/>
  </r>
  <r>
    <x v="0"/>
    <x v="1"/>
    <x v="2"/>
    <x v="27"/>
    <x v="394"/>
    <n v="39"/>
    <n v="146"/>
    <m/>
    <s v="WHH (BMZ, AA )"/>
    <d v="2018-08-31T00:00:00"/>
    <n v="0"/>
    <s v="Yes"/>
    <n v="0.5"/>
    <n v="1"/>
    <m/>
    <m/>
    <n v="2700"/>
    <m/>
    <n v="3"/>
    <m/>
    <n v="0"/>
    <n v="0"/>
    <n v="0"/>
    <n v="0"/>
    <n v="0"/>
    <s v="Insufficient Drinking Water"/>
    <n v="5"/>
    <n v="0"/>
    <n v="0"/>
    <m/>
    <n v="5"/>
    <x v="1"/>
    <x v="1"/>
    <n v="0"/>
    <n v="0"/>
    <m/>
    <n v="0"/>
    <s v="Household"/>
    <m/>
    <n v="0"/>
    <n v="1"/>
    <m/>
    <n v="0"/>
    <x v="0"/>
    <m/>
    <m/>
    <m/>
    <m/>
    <s v="no test"/>
    <s v="no test"/>
    <x v="1"/>
    <n v="1"/>
    <n v="1"/>
    <n v="1"/>
    <n v="146"/>
    <n v="0"/>
    <n v="0"/>
    <n v="1"/>
    <n v="146"/>
    <n v="0.29199999999999998"/>
    <n v="0"/>
    <n v="0"/>
    <n v="0.70799999999999996"/>
    <n v="1"/>
    <n v="5"/>
    <n v="0.68493150684931503"/>
    <n v="100"/>
    <n v="0.27397260273972601"/>
    <n v="2"/>
    <n v="7"/>
    <n v="0"/>
    <n v="0"/>
    <n v="146"/>
    <n v="0"/>
    <n v="1"/>
    <n v="0"/>
    <n v="0"/>
    <n v="0"/>
    <n v="1"/>
    <n v="1"/>
    <n v="0"/>
    <n v="0"/>
    <n v="0"/>
    <n v="0"/>
    <n v="0"/>
    <n v="0"/>
    <n v="0"/>
    <s v="KMSS-LSO"/>
    <x v="1"/>
    <x v="0"/>
    <x v="0"/>
    <x v="0"/>
    <n v="23.682887999999998"/>
    <n v="97.810101000000003"/>
    <s v="MMR015CMP225"/>
    <x v="0"/>
    <m/>
  </r>
  <r>
    <x v="0"/>
    <x v="1"/>
    <x v="2"/>
    <x v="27"/>
    <x v="395"/>
    <n v="106"/>
    <n v="635"/>
    <n v="75"/>
    <s v="WHH (BMZ, AA )"/>
    <d v="2018-08-31T00:00:00"/>
    <n v="0"/>
    <s v="Yes"/>
    <n v="0.5"/>
    <n v="1"/>
    <m/>
    <n v="1"/>
    <n v="9600"/>
    <m/>
    <n v="5"/>
    <m/>
    <n v="0"/>
    <n v="0"/>
    <n v="0"/>
    <n v="0"/>
    <n v="0"/>
    <m/>
    <n v="106"/>
    <n v="0"/>
    <n v="0"/>
    <m/>
    <n v="106"/>
    <x v="0"/>
    <x v="4"/>
    <n v="0"/>
    <n v="0"/>
    <m/>
    <n v="0.4"/>
    <s v="Communal"/>
    <m/>
    <m/>
    <n v="1"/>
    <n v="0"/>
    <n v="0"/>
    <x v="0"/>
    <m/>
    <m/>
    <m/>
    <m/>
    <s v="no test"/>
    <s v="no test"/>
    <x v="1"/>
    <n v="1"/>
    <n v="1"/>
    <n v="1"/>
    <n v="635"/>
    <n v="0"/>
    <n v="0"/>
    <n v="1"/>
    <n v="635"/>
    <n v="1.27"/>
    <n v="0"/>
    <n v="0"/>
    <n v="0"/>
    <n v="1"/>
    <n v="106"/>
    <n v="1"/>
    <n v="635"/>
    <n v="0"/>
    <n v="0"/>
    <n v="106"/>
    <n v="0"/>
    <n v="0"/>
    <n v="500"/>
    <n v="0"/>
    <n v="0"/>
    <n v="0"/>
    <n v="0"/>
    <n v="0"/>
    <n v="1"/>
    <n v="0.78740157480314965"/>
    <n v="0"/>
    <n v="0"/>
    <n v="0"/>
    <n v="0"/>
    <n v="0"/>
    <n v="42.400000000000006"/>
    <n v="0"/>
    <s v="uncovered"/>
    <x v="1"/>
    <x v="1"/>
    <x v="2"/>
    <x v="0"/>
    <n v="23.447111"/>
    <n v="97.868876999999998"/>
    <s v="MMR015CMP219"/>
    <x v="0"/>
    <m/>
  </r>
  <r>
    <x v="0"/>
    <x v="1"/>
    <x v="2"/>
    <x v="27"/>
    <x v="396"/>
    <n v="37"/>
    <n v="192"/>
    <n v="46"/>
    <s v="WHH (BMZ, AA )"/>
    <d v="2018-08-31T00:00:00"/>
    <m/>
    <s v="Yes"/>
    <n v="0"/>
    <n v="0"/>
    <m/>
    <m/>
    <n v="8000"/>
    <m/>
    <n v="4"/>
    <m/>
    <m/>
    <m/>
    <m/>
    <m/>
    <m/>
    <m/>
    <n v="10"/>
    <m/>
    <m/>
    <m/>
    <n v="10"/>
    <x v="4"/>
    <x v="4"/>
    <m/>
    <m/>
    <m/>
    <m/>
    <m/>
    <m/>
    <m/>
    <m/>
    <m/>
    <m/>
    <x v="0"/>
    <m/>
    <m/>
    <m/>
    <m/>
    <s v="no test"/>
    <s v="no test"/>
    <x v="1"/>
    <n v="1"/>
    <n v="1"/>
    <n v="1"/>
    <n v="192"/>
    <n v="0"/>
    <n v="0"/>
    <n v="1"/>
    <n v="192"/>
    <n v="0.38400000000000001"/>
    <n v="0"/>
    <n v="0"/>
    <n v="0.61599999999999999"/>
    <n v="1"/>
    <n v="10"/>
    <n v="1"/>
    <n v="192"/>
    <n v="0"/>
    <n v="0"/>
    <n v="10"/>
    <n v="0"/>
    <n v="0"/>
    <n v="0"/>
    <n v="0"/>
    <n v="0"/>
    <n v="0"/>
    <n v="0"/>
    <n v="0"/>
    <n v="1"/>
    <n v="0"/>
    <n v="0"/>
    <n v="0"/>
    <n v="0"/>
    <n v="0"/>
    <n v="0"/>
    <n v="0"/>
    <n v="0"/>
    <s v="uncovered"/>
    <x v="1"/>
    <x v="0"/>
    <x v="2"/>
    <x v="0"/>
    <n v="0"/>
    <n v="0"/>
    <s v="MMR015CMP249"/>
    <x v="0"/>
    <m/>
  </r>
  <r>
    <x v="0"/>
    <x v="1"/>
    <x v="2"/>
    <x v="27"/>
    <x v="397"/>
    <n v="196"/>
    <n v="978"/>
    <n v="223"/>
    <s v="WHH (BMZ, AA )"/>
    <d v="2018-08-31T00:00:00"/>
    <n v="0"/>
    <s v="No"/>
    <n v="0"/>
    <n v="0"/>
    <m/>
    <m/>
    <n v="43200"/>
    <m/>
    <n v="16"/>
    <m/>
    <n v="0"/>
    <n v="0"/>
    <n v="0"/>
    <n v="0"/>
    <n v="0"/>
    <m/>
    <n v="127"/>
    <n v="85"/>
    <n v="0"/>
    <m/>
    <n v="212"/>
    <x v="3"/>
    <x v="4"/>
    <n v="0"/>
    <n v="0"/>
    <m/>
    <n v="0.6"/>
    <s v="Both"/>
    <n v="4"/>
    <m/>
    <n v="1"/>
    <n v="0"/>
    <n v="0"/>
    <x v="0"/>
    <m/>
    <m/>
    <m/>
    <m/>
    <s v="no test"/>
    <s v="no test"/>
    <x v="1"/>
    <n v="1"/>
    <n v="1"/>
    <n v="1"/>
    <n v="978"/>
    <n v="0"/>
    <n v="0"/>
    <n v="1"/>
    <n v="978"/>
    <n v="1.956"/>
    <n v="0"/>
    <n v="0"/>
    <n v="4.4000000000000039E-2"/>
    <n v="2"/>
    <n v="212"/>
    <n v="0.77914110429447858"/>
    <n v="762"/>
    <n v="0"/>
    <n v="0"/>
    <n v="163"/>
    <n v="0.40094339622641512"/>
    <n v="0"/>
    <n v="500"/>
    <n v="0"/>
    <n v="0"/>
    <n v="0"/>
    <n v="0"/>
    <n v="0"/>
    <n v="1"/>
    <n v="0.5112474437627812"/>
    <n v="0"/>
    <n v="0"/>
    <n v="0"/>
    <n v="0"/>
    <n v="0"/>
    <n v="117.6"/>
    <s v="Yes"/>
    <s v="KBC"/>
    <x v="1"/>
    <x v="1"/>
    <x v="0"/>
    <x v="0"/>
    <n v="23.38503"/>
    <n v="97.837040000000002"/>
    <s v="MMR015CMP020"/>
    <x v="0"/>
    <m/>
  </r>
  <r>
    <x v="0"/>
    <x v="24"/>
    <x v="2"/>
    <x v="27"/>
    <x v="398"/>
    <n v="24"/>
    <n v="86"/>
    <n v="20"/>
    <s v="MHF"/>
    <d v="2018-11-17T00:00:00"/>
    <m/>
    <s v="Yes"/>
    <n v="0.56999999999999995"/>
    <n v="0.43"/>
    <n v="0"/>
    <n v="0"/>
    <n v="38880"/>
    <n v="0"/>
    <n v="0"/>
    <m/>
    <n v="0"/>
    <n v="0"/>
    <n v="0"/>
    <n v="0"/>
    <n v="0"/>
    <m/>
    <n v="6"/>
    <m/>
    <m/>
    <m/>
    <n v="6"/>
    <x v="4"/>
    <x v="4"/>
    <m/>
    <m/>
    <m/>
    <n v="0"/>
    <s v="Communal"/>
    <m/>
    <n v="1"/>
    <n v="1"/>
    <n v="20"/>
    <n v="0"/>
    <x v="0"/>
    <m/>
    <m/>
    <m/>
    <m/>
    <s v="no test"/>
    <s v="no test"/>
    <x v="1"/>
    <n v="1"/>
    <n v="1"/>
    <n v="1"/>
    <n v="86"/>
    <n v="0"/>
    <n v="0"/>
    <n v="1"/>
    <n v="86"/>
    <n v="0.17199999999999999"/>
    <n v="0"/>
    <n v="0"/>
    <n v="0.82800000000000007"/>
    <n v="1"/>
    <n v="6"/>
    <n v="1"/>
    <n v="86"/>
    <n v="0"/>
    <n v="0"/>
    <n v="4"/>
    <n v="0"/>
    <n v="0"/>
    <n v="86"/>
    <n v="0"/>
    <n v="1"/>
    <n v="0"/>
    <n v="0"/>
    <n v="0"/>
    <n v="1"/>
    <n v="1"/>
    <n v="0.83333333333333337"/>
    <n v="0"/>
    <n v="100"/>
    <n v="0"/>
    <n v="100"/>
    <n v="0"/>
    <n v="0"/>
    <s v="uncovered"/>
    <x v="1"/>
    <x v="0"/>
    <x v="2"/>
    <x v="0"/>
    <n v="0"/>
    <n v="0"/>
    <s v="MMR015CMP246"/>
    <x v="0"/>
    <m/>
  </r>
  <r>
    <x v="0"/>
    <x v="21"/>
    <x v="2"/>
    <x v="29"/>
    <x v="399"/>
    <n v="33"/>
    <n v="147"/>
    <m/>
    <s v="ADRA/CANADA,WHH(BMZ, AA)"/>
    <s v="31/12/2018,30/6/2018"/>
    <n v="0"/>
    <s v="Yes"/>
    <n v="0.5"/>
    <n v="1"/>
    <m/>
    <n v="1"/>
    <n v="6750"/>
    <m/>
    <n v="6"/>
    <m/>
    <n v="0"/>
    <n v="0"/>
    <n v="0"/>
    <n v="0"/>
    <n v="0"/>
    <m/>
    <n v="18"/>
    <n v="0"/>
    <n v="0"/>
    <m/>
    <n v="18"/>
    <x v="0"/>
    <x v="0"/>
    <n v="0"/>
    <n v="0"/>
    <m/>
    <n v="0.6"/>
    <s v="Communal"/>
    <m/>
    <n v="5"/>
    <n v="2"/>
    <n v="0"/>
    <n v="0"/>
    <x v="0"/>
    <m/>
    <m/>
    <m/>
    <m/>
    <s v="no test"/>
    <s v="no test"/>
    <x v="1"/>
    <n v="1"/>
    <n v="1"/>
    <n v="1"/>
    <n v="147"/>
    <n v="0"/>
    <n v="0"/>
    <n v="1"/>
    <n v="147"/>
    <n v="0.29399999999999998"/>
    <n v="0"/>
    <n v="0"/>
    <n v="0.70599999999999996"/>
    <n v="1"/>
    <n v="18"/>
    <n v="1"/>
    <n v="147"/>
    <n v="0"/>
    <n v="0"/>
    <n v="7"/>
    <n v="0"/>
    <n v="0"/>
    <n v="147"/>
    <n v="0"/>
    <n v="1"/>
    <n v="0"/>
    <n v="0"/>
    <n v="0"/>
    <n v="1"/>
    <n v="1"/>
    <n v="0"/>
    <n v="0"/>
    <n v="0"/>
    <n v="0"/>
    <n v="0"/>
    <n v="19.8"/>
    <s v="Yes"/>
    <s v="KBC"/>
    <x v="1"/>
    <x v="0"/>
    <x v="0"/>
    <x v="0"/>
    <n v="23.250678000000001"/>
    <n v="97.124403000000001"/>
    <s v="MMR015CMP009"/>
    <x v="0"/>
    <m/>
  </r>
  <r>
    <x v="0"/>
    <x v="5"/>
    <x v="2"/>
    <x v="29"/>
    <x v="400"/>
    <n v="30"/>
    <n v="171"/>
    <n v="60"/>
    <s v="HARP"/>
    <d v="2018-12-31T00:00:00"/>
    <n v="0"/>
    <s v="Yes"/>
    <n v="0.75"/>
    <n v="1"/>
    <n v="0"/>
    <n v="1"/>
    <n v="7200"/>
    <n v="1"/>
    <n v="2"/>
    <m/>
    <n v="2"/>
    <n v="0"/>
    <n v="18"/>
    <n v="3"/>
    <n v="0"/>
    <m/>
    <n v="8"/>
    <n v="0"/>
    <n v="0"/>
    <s v="two times"/>
    <n v="10"/>
    <x v="0"/>
    <x v="2"/>
    <n v="4"/>
    <n v="0"/>
    <m/>
    <n v="1"/>
    <s v="Communal"/>
    <n v="0"/>
    <n v="2"/>
    <n v="2"/>
    <n v="29"/>
    <n v="0"/>
    <x v="0"/>
    <m/>
    <m/>
    <m/>
    <m/>
    <n v="0"/>
    <n v="0.16666666666666666"/>
    <x v="0"/>
    <n v="1"/>
    <n v="1"/>
    <n v="1"/>
    <n v="171"/>
    <n v="1"/>
    <n v="171"/>
    <n v="1"/>
    <n v="171"/>
    <n v="0.34200000000000003"/>
    <n v="0"/>
    <n v="0"/>
    <n v="0.65799999999999992"/>
    <n v="1"/>
    <n v="8"/>
    <n v="0.93567251461988299"/>
    <n v="160"/>
    <n v="0.11695906432748537"/>
    <n v="1"/>
    <n v="9"/>
    <n v="0"/>
    <n v="0"/>
    <n v="171"/>
    <n v="0"/>
    <n v="1"/>
    <n v="0"/>
    <n v="0"/>
    <n v="0"/>
    <n v="1"/>
    <n v="1"/>
    <n v="0.96666666666666667"/>
    <n v="0"/>
    <n v="145"/>
    <n v="0"/>
    <n v="145"/>
    <n v="30"/>
    <s v="Yes"/>
    <s v="KMSS-LSO"/>
    <x v="1"/>
    <x v="0"/>
    <x v="0"/>
    <x v="0"/>
    <n v="23.24661"/>
    <n v="97.116680000000002"/>
    <s v="MMR015CMP209"/>
    <x v="0"/>
    <m/>
  </r>
  <r>
    <x v="0"/>
    <x v="1"/>
    <x v="2"/>
    <x v="30"/>
    <x v="401"/>
    <n v="146"/>
    <n v="494"/>
    <m/>
    <s v="WHH (BMZ, AA )"/>
    <d v="2018-08-31T00:00:00"/>
    <m/>
    <s v="No"/>
    <n v="0"/>
    <n v="0"/>
    <m/>
    <m/>
    <m/>
    <m/>
    <m/>
    <m/>
    <m/>
    <m/>
    <m/>
    <m/>
    <m/>
    <m/>
    <n v="0"/>
    <m/>
    <m/>
    <m/>
    <m/>
    <x v="1"/>
    <x v="1"/>
    <m/>
    <m/>
    <m/>
    <m/>
    <m/>
    <m/>
    <m/>
    <m/>
    <m/>
    <m/>
    <x v="0"/>
    <m/>
    <m/>
    <m/>
    <m/>
    <s v="no test"/>
    <s v="no test"/>
    <x v="1"/>
    <n v="0"/>
    <n v="0"/>
    <n v="0"/>
    <n v="0"/>
    <n v="0"/>
    <n v="0"/>
    <n v="0"/>
    <n v="0"/>
    <n v="0"/>
    <n v="1"/>
    <n v="494"/>
    <n v="1"/>
    <n v="1"/>
    <n v="0"/>
    <n v="0"/>
    <n v="0"/>
    <n v="1"/>
    <n v="25"/>
    <n v="25"/>
    <n v="0"/>
    <n v="0"/>
    <n v="0"/>
    <n v="0"/>
    <n v="0"/>
    <n v="0"/>
    <n v="0"/>
    <n v="0"/>
    <n v="1"/>
    <n v="0"/>
    <n v="0"/>
    <n v="0"/>
    <n v="0"/>
    <n v="0"/>
    <n v="0"/>
    <n v="0"/>
    <s v="Yes"/>
    <s v="KBC"/>
    <x v="1"/>
    <x v="0"/>
    <x v="0"/>
    <x v="0"/>
    <n v="24.08738"/>
    <n v="98.115809999999996"/>
    <s v="MMR015CMP247"/>
    <x v="0"/>
    <m/>
  </r>
  <r>
    <x v="0"/>
    <x v="1"/>
    <x v="2"/>
    <x v="30"/>
    <x v="402"/>
    <n v="154"/>
    <n v="779"/>
    <n v="124"/>
    <s v="SCI"/>
    <d v="2019-11-30T00:00:00"/>
    <n v="0"/>
    <s v="Yes"/>
    <n v="0.5"/>
    <n v="0.8"/>
    <n v="0"/>
    <n v="1"/>
    <m/>
    <m/>
    <n v="0"/>
    <m/>
    <n v="0"/>
    <n v="0"/>
    <n v="0"/>
    <n v="0"/>
    <n v="0"/>
    <m/>
    <n v="60"/>
    <n v="0"/>
    <n v="0"/>
    <m/>
    <n v="0"/>
    <x v="0"/>
    <x v="0"/>
    <m/>
    <m/>
    <m/>
    <n v="1"/>
    <s v="Communal"/>
    <n v="0"/>
    <n v="11"/>
    <n v="3"/>
    <n v="0"/>
    <n v="0"/>
    <x v="0"/>
    <m/>
    <m/>
    <m/>
    <m/>
    <s v="no test"/>
    <s v="no test"/>
    <x v="1"/>
    <n v="1"/>
    <n v="0.3209242618741977"/>
    <n v="1"/>
    <n v="779"/>
    <n v="0"/>
    <n v="0"/>
    <n v="1"/>
    <n v="779"/>
    <n v="1.5580000000000001"/>
    <n v="0"/>
    <n v="0"/>
    <n v="0.44199999999999995"/>
    <n v="2"/>
    <n v="60"/>
    <n v="1"/>
    <n v="779"/>
    <n v="0"/>
    <n v="0"/>
    <n v="39"/>
    <n v="0"/>
    <n v="0"/>
    <n v="779"/>
    <n v="0"/>
    <n v="1"/>
    <n v="0"/>
    <n v="0"/>
    <n v="0"/>
    <n v="1"/>
    <n v="1"/>
    <n v="0"/>
    <n v="0"/>
    <n v="0"/>
    <n v="0"/>
    <n v="0"/>
    <n v="154"/>
    <n v="0"/>
    <n v="0"/>
    <x v="1"/>
    <x v="0"/>
    <x v="3"/>
    <x v="0"/>
    <n v="24.08738"/>
    <n v="98.115809999999996"/>
    <s v="MMR015CMP022"/>
    <x v="0"/>
    <m/>
  </r>
  <r>
    <x v="0"/>
    <x v="21"/>
    <x v="2"/>
    <x v="30"/>
    <x v="403"/>
    <n v="51"/>
    <n v="207"/>
    <m/>
    <s v="ADRA/CANADA,WHH(BMZ, AA)"/>
    <s v="31/12/18,30/6/18"/>
    <n v="0"/>
    <s v="Yes"/>
    <n v="0.5"/>
    <n v="1"/>
    <n v="0"/>
    <n v="1"/>
    <n v="7200"/>
    <m/>
    <n v="8"/>
    <m/>
    <n v="0"/>
    <n v="0"/>
    <n v="0"/>
    <n v="0"/>
    <n v="0"/>
    <m/>
    <n v="12"/>
    <n v="0"/>
    <n v="0"/>
    <m/>
    <n v="9"/>
    <x v="0"/>
    <x v="0"/>
    <m/>
    <m/>
    <m/>
    <n v="0.7"/>
    <s v="Communal"/>
    <n v="0"/>
    <n v="3"/>
    <n v="1"/>
    <n v="0"/>
    <n v="0"/>
    <x v="0"/>
    <m/>
    <m/>
    <m/>
    <m/>
    <s v="no test"/>
    <s v="no test"/>
    <x v="1"/>
    <n v="1"/>
    <n v="1"/>
    <n v="1"/>
    <n v="207"/>
    <n v="0"/>
    <n v="0"/>
    <n v="1"/>
    <n v="207"/>
    <n v="0.41399999999999998"/>
    <n v="0"/>
    <n v="0"/>
    <n v="0.58600000000000008"/>
    <n v="1"/>
    <n v="12"/>
    <n v="1"/>
    <n v="207"/>
    <n v="0"/>
    <n v="0"/>
    <n v="10"/>
    <n v="0"/>
    <n v="0"/>
    <n v="207"/>
    <n v="0"/>
    <n v="1"/>
    <n v="0"/>
    <n v="0"/>
    <n v="0"/>
    <n v="1"/>
    <n v="1"/>
    <n v="0"/>
    <n v="0"/>
    <n v="0"/>
    <n v="0"/>
    <n v="0"/>
    <n v="35.699999999999996"/>
    <s v="Yes"/>
    <s v="KBC"/>
    <x v="1"/>
    <x v="0"/>
    <x v="0"/>
    <x v="0"/>
    <n v="24.006319999999999"/>
    <n v="97.909400000000005"/>
    <s v="MMR015CMP213"/>
    <x v="0"/>
    <m/>
  </r>
  <r>
    <x v="0"/>
    <x v="5"/>
    <x v="2"/>
    <x v="30"/>
    <x v="404"/>
    <n v="23"/>
    <n v="178"/>
    <n v="30"/>
    <s v="HARP"/>
    <d v="2018-12-31T00:00:00"/>
    <n v="0"/>
    <s v="Yes"/>
    <n v="0.75"/>
    <n v="1"/>
    <n v="1"/>
    <n v="1"/>
    <n v="7200"/>
    <m/>
    <n v="2"/>
    <m/>
    <n v="2"/>
    <n v="1"/>
    <n v="10"/>
    <n v="1"/>
    <n v="0"/>
    <m/>
    <n v="8"/>
    <n v="0"/>
    <n v="0"/>
    <m/>
    <n v="4"/>
    <x v="0"/>
    <x v="2"/>
    <n v="0"/>
    <n v="1"/>
    <m/>
    <n v="1"/>
    <s v="Communal"/>
    <n v="1"/>
    <n v="0"/>
    <n v="2"/>
    <n v="17"/>
    <n v="0"/>
    <x v="0"/>
    <m/>
    <m/>
    <m/>
    <m/>
    <n v="0.5"/>
    <n v="0.1"/>
    <x v="0"/>
    <n v="1"/>
    <n v="1"/>
    <n v="1"/>
    <n v="178"/>
    <n v="0"/>
    <n v="0"/>
    <n v="1"/>
    <n v="178"/>
    <n v="0.35599999999999998"/>
    <n v="0"/>
    <n v="0"/>
    <n v="0.64400000000000002"/>
    <n v="1"/>
    <n v="8"/>
    <n v="0.898876404494382"/>
    <n v="160"/>
    <n v="0.11235955056179775"/>
    <n v="1"/>
    <n v="9"/>
    <n v="0"/>
    <n v="0"/>
    <n v="178"/>
    <n v="0"/>
    <n v="1"/>
    <n v="0"/>
    <n v="0"/>
    <n v="0"/>
    <n v="1"/>
    <n v="1"/>
    <n v="0.73913043478260865"/>
    <n v="0"/>
    <n v="85"/>
    <n v="0"/>
    <n v="85"/>
    <n v="23"/>
    <s v="Yes"/>
    <s v="KMSS-LSO"/>
    <x v="1"/>
    <x v="0"/>
    <x v="0"/>
    <x v="0"/>
    <n v="24.006789000000001"/>
    <n v="97.911647000000002"/>
    <s v="MMR015CMP216"/>
    <x v="0"/>
    <m/>
  </r>
  <r>
    <x v="0"/>
    <x v="26"/>
    <x v="2"/>
    <x v="29"/>
    <x v="405"/>
    <n v="86"/>
    <n v="300"/>
    <n v="50"/>
    <s v="GFFO,WHH(BMZ,AA)"/>
    <s v="30/Nov/2019,30/6/18"/>
    <n v="0"/>
    <s v="Yes"/>
    <n v="0.11"/>
    <n v="0.5"/>
    <n v="0"/>
    <n v="0"/>
    <n v="8640"/>
    <n v="0"/>
    <n v="8"/>
    <m/>
    <n v="0"/>
    <n v="0"/>
    <n v="0"/>
    <n v="0"/>
    <n v="0"/>
    <m/>
    <n v="86"/>
    <n v="0"/>
    <n v="0"/>
    <m/>
    <n v="86"/>
    <x v="1"/>
    <x v="1"/>
    <n v="0"/>
    <n v="0"/>
    <m/>
    <n v="0"/>
    <s v="Household"/>
    <n v="0"/>
    <n v="0"/>
    <n v="1"/>
    <n v="0"/>
    <n v="0"/>
    <x v="0"/>
    <m/>
    <m/>
    <m/>
    <m/>
    <s v="no test"/>
    <s v="no test"/>
    <x v="1"/>
    <n v="1"/>
    <n v="1"/>
    <n v="1"/>
    <n v="300"/>
    <n v="0"/>
    <n v="0"/>
    <n v="1"/>
    <n v="300"/>
    <n v="0.6"/>
    <n v="0"/>
    <n v="0"/>
    <n v="0.4"/>
    <n v="1"/>
    <n v="86"/>
    <n v="1"/>
    <n v="300"/>
    <n v="0"/>
    <n v="0"/>
    <n v="15"/>
    <n v="0"/>
    <n v="0"/>
    <n v="300"/>
    <n v="0"/>
    <n v="1"/>
    <n v="0"/>
    <n v="0"/>
    <n v="0"/>
    <n v="1"/>
    <n v="1"/>
    <n v="0"/>
    <n v="0"/>
    <n v="0"/>
    <n v="0"/>
    <n v="0"/>
    <n v="0"/>
    <n v="0"/>
    <s v="uncovered"/>
    <x v="1"/>
    <x v="0"/>
    <x v="2"/>
    <x v="0"/>
    <n v="0"/>
    <n v="0"/>
    <s v="MMR015CMP222"/>
    <x v="0"/>
    <m/>
  </r>
  <r>
    <x v="0"/>
    <x v="5"/>
    <x v="2"/>
    <x v="31"/>
    <x v="406"/>
    <n v="67"/>
    <n v="309"/>
    <m/>
    <s v="HARP"/>
    <d v="2018-12-31T00:00:00"/>
    <n v="0"/>
    <s v="Yes"/>
    <n v="0.5"/>
    <n v="0.65"/>
    <n v="0"/>
    <n v="1"/>
    <n v="14400"/>
    <m/>
    <n v="2"/>
    <m/>
    <n v="3"/>
    <n v="2"/>
    <n v="33"/>
    <n v="12"/>
    <n v="0"/>
    <m/>
    <n v="17"/>
    <n v="4"/>
    <n v="0"/>
    <m/>
    <n v="15"/>
    <x v="0"/>
    <x v="0"/>
    <m/>
    <m/>
    <m/>
    <n v="1"/>
    <s v="Communal"/>
    <n v="0"/>
    <n v="2"/>
    <n v="2"/>
    <n v="74"/>
    <n v="0"/>
    <x v="0"/>
    <m/>
    <m/>
    <m/>
    <m/>
    <n v="0.66666666666666663"/>
    <n v="0.36363636363636365"/>
    <x v="0"/>
    <n v="1"/>
    <n v="1"/>
    <n v="1"/>
    <n v="309"/>
    <n v="0"/>
    <n v="0"/>
    <n v="1"/>
    <n v="309"/>
    <n v="0.61799999999999999"/>
    <n v="0"/>
    <n v="0"/>
    <n v="0.38200000000000001"/>
    <n v="1"/>
    <n v="21"/>
    <n v="1"/>
    <n v="309"/>
    <n v="0"/>
    <n v="0"/>
    <n v="15"/>
    <n v="0.19047619047619047"/>
    <n v="0"/>
    <n v="309"/>
    <n v="0"/>
    <n v="1"/>
    <n v="1"/>
    <n v="309"/>
    <n v="1"/>
    <n v="0"/>
    <n v="1"/>
    <n v="1"/>
    <n v="0"/>
    <n v="370"/>
    <n v="0"/>
    <n v="370"/>
    <n v="67"/>
    <s v="Yes"/>
    <s v="KBC"/>
    <x v="1"/>
    <x v="0"/>
    <x v="0"/>
    <x v="0"/>
    <n v="23.821380000000001"/>
    <n v="97.681970000000007"/>
    <s v="MMR015CMP004"/>
    <x v="0"/>
    <m/>
  </r>
  <r>
    <x v="0"/>
    <x v="24"/>
    <x v="2"/>
    <x v="31"/>
    <x v="407"/>
    <n v="53"/>
    <n v="281"/>
    <n v="61"/>
    <s v="GFFO,WHH(BMZ,AA)"/>
    <s v="30/Nov/2019,30/6/18"/>
    <n v="0"/>
    <s v="Yes"/>
    <n v="0.67"/>
    <n v="1"/>
    <n v="0"/>
    <n v="0"/>
    <n v="7680"/>
    <n v="0"/>
    <n v="0"/>
    <n v="0"/>
    <n v="0"/>
    <n v="0"/>
    <n v="0"/>
    <n v="0"/>
    <n v="0"/>
    <m/>
    <n v="10"/>
    <n v="0"/>
    <n v="0"/>
    <m/>
    <n v="10"/>
    <x v="0"/>
    <x v="4"/>
    <n v="0"/>
    <n v="0"/>
    <m/>
    <n v="0"/>
    <s v="Household"/>
    <n v="0"/>
    <n v="2"/>
    <n v="1"/>
    <n v="0"/>
    <n v="0"/>
    <x v="0"/>
    <m/>
    <m/>
    <m/>
    <m/>
    <s v="no test"/>
    <s v="no test"/>
    <x v="1"/>
    <n v="1"/>
    <n v="1"/>
    <n v="1"/>
    <n v="281"/>
    <n v="0"/>
    <n v="0"/>
    <n v="1"/>
    <n v="281"/>
    <n v="0.56200000000000006"/>
    <n v="0"/>
    <n v="0"/>
    <n v="0.43799999999999994"/>
    <n v="1"/>
    <n v="10"/>
    <n v="0.71174377224199292"/>
    <n v="200"/>
    <n v="0.28469750889679712"/>
    <n v="4"/>
    <n v="14"/>
    <n v="0"/>
    <n v="0"/>
    <n v="281"/>
    <n v="0"/>
    <n v="1"/>
    <n v="0"/>
    <n v="0"/>
    <n v="0"/>
    <n v="1"/>
    <n v="1"/>
    <n v="0"/>
    <n v="0"/>
    <n v="0"/>
    <n v="0"/>
    <n v="0"/>
    <n v="0"/>
    <n v="0"/>
    <s v="uncovered"/>
    <x v="1"/>
    <x v="0"/>
    <x v="2"/>
    <x v="0"/>
    <n v="23.611999999999998"/>
    <n v="97.506"/>
    <s v="MMR015CMP224"/>
    <x v="0"/>
    <m/>
  </r>
  <r>
    <x v="0"/>
    <x v="7"/>
    <x v="2"/>
    <x v="27"/>
    <x v="408"/>
    <n v="31"/>
    <n v="180"/>
    <n v="61"/>
    <s v="GFFO"/>
    <s v="31/Nov/2019"/>
    <n v="0"/>
    <s v="Yes"/>
    <n v="0.44"/>
    <n v="1"/>
    <n v="0"/>
    <n v="0"/>
    <n v="4608"/>
    <n v="0"/>
    <n v="0"/>
    <m/>
    <n v="0"/>
    <n v="0"/>
    <n v="16"/>
    <n v="12"/>
    <n v="0"/>
    <m/>
    <n v="20"/>
    <n v="0"/>
    <n v="0"/>
    <m/>
    <n v="20"/>
    <x v="3"/>
    <x v="2"/>
    <n v="0"/>
    <n v="0"/>
    <m/>
    <n v="0"/>
    <s v="Household"/>
    <n v="0"/>
    <n v="0"/>
    <n v="1"/>
    <n v="0"/>
    <n v="0"/>
    <x v="0"/>
    <m/>
    <m/>
    <m/>
    <m/>
    <s v="no test"/>
    <n v="0.75"/>
    <x v="0"/>
    <n v="1"/>
    <n v="1"/>
    <n v="1"/>
    <n v="180"/>
    <n v="0"/>
    <n v="0"/>
    <n v="1"/>
    <n v="180"/>
    <n v="0.36"/>
    <n v="0"/>
    <n v="0"/>
    <n v="0.64"/>
    <n v="1"/>
    <n v="20"/>
    <n v="1"/>
    <n v="180"/>
    <n v="0"/>
    <n v="0"/>
    <n v="9"/>
    <n v="0"/>
    <n v="0"/>
    <n v="180"/>
    <n v="0"/>
    <n v="1"/>
    <n v="0"/>
    <n v="0"/>
    <n v="0"/>
    <n v="1"/>
    <n v="1"/>
    <n v="0"/>
    <n v="0"/>
    <n v="0"/>
    <n v="0"/>
    <n v="0"/>
    <n v="0"/>
    <n v="0"/>
    <s v="uncovered"/>
    <x v="1"/>
    <x v="0"/>
    <x v="2"/>
    <x v="0"/>
    <n v="23.850999999999999"/>
    <n v="98.337999999999994"/>
    <s v="MMR015CMP227"/>
    <x v="0"/>
    <m/>
  </r>
  <r>
    <x v="0"/>
    <x v="5"/>
    <x v="2"/>
    <x v="31"/>
    <x v="409"/>
    <n v="44"/>
    <n v="217"/>
    <n v="115"/>
    <s v="HARP"/>
    <d v="2018-12-31T00:00:00"/>
    <n v="0"/>
    <s v="Yes"/>
    <n v="0.75"/>
    <n v="0.5"/>
    <n v="1"/>
    <n v="1"/>
    <n v="10800"/>
    <m/>
    <n v="2"/>
    <m/>
    <n v="2"/>
    <n v="2"/>
    <n v="19"/>
    <n v="7"/>
    <n v="0"/>
    <m/>
    <n v="16"/>
    <n v="3"/>
    <n v="1"/>
    <m/>
    <n v="17"/>
    <x v="0"/>
    <x v="0"/>
    <m/>
    <m/>
    <m/>
    <n v="1"/>
    <s v="Communal"/>
    <n v="0"/>
    <n v="2"/>
    <n v="2"/>
    <n v="42"/>
    <n v="0"/>
    <x v="0"/>
    <m/>
    <m/>
    <m/>
    <m/>
    <n v="1"/>
    <n v="0.36842105263157893"/>
    <x v="0"/>
    <n v="1"/>
    <n v="1"/>
    <n v="1"/>
    <n v="217"/>
    <n v="0"/>
    <n v="0"/>
    <n v="1"/>
    <n v="217"/>
    <n v="0.434"/>
    <n v="0"/>
    <n v="0"/>
    <n v="0.56600000000000006"/>
    <n v="1"/>
    <n v="19"/>
    <n v="1"/>
    <n v="217"/>
    <n v="0"/>
    <n v="0"/>
    <n v="11"/>
    <n v="0.15789473684210525"/>
    <n v="20"/>
    <n v="217"/>
    <n v="0"/>
    <n v="1"/>
    <n v="0"/>
    <n v="0"/>
    <n v="0"/>
    <n v="1"/>
    <n v="1"/>
    <n v="0.95454545454545459"/>
    <n v="0"/>
    <n v="210"/>
    <n v="0"/>
    <n v="210"/>
    <n v="44"/>
    <s v="Yes"/>
    <s v="KMSS-LSO"/>
    <x v="1"/>
    <x v="0"/>
    <x v="0"/>
    <x v="0"/>
    <n v="23.828150000000001"/>
    <n v="97.670360000000002"/>
    <s v="MMR015CMP003"/>
    <x v="0"/>
    <s v="data is provided from both SCI/KMSS"/>
  </r>
  <r>
    <x v="0"/>
    <x v="24"/>
    <x v="2"/>
    <x v="31"/>
    <x v="410"/>
    <n v="68"/>
    <n v="350"/>
    <n v="140"/>
    <s v="MHF"/>
    <d v="2018-11-17T00:00:00"/>
    <m/>
    <s v="Yes"/>
    <n v="0.4"/>
    <n v="0.2"/>
    <n v="1"/>
    <n v="1"/>
    <n v="30800"/>
    <n v="3"/>
    <n v="2"/>
    <m/>
    <n v="0"/>
    <n v="0"/>
    <n v="10"/>
    <n v="8"/>
    <n v="0"/>
    <m/>
    <n v="10"/>
    <n v="0"/>
    <n v="20"/>
    <s v="Quarterly"/>
    <n v="10"/>
    <x v="0"/>
    <x v="0"/>
    <m/>
    <m/>
    <m/>
    <n v="1"/>
    <s v="Communal"/>
    <n v="0"/>
    <n v="2"/>
    <n v="1"/>
    <n v="69"/>
    <n v="0"/>
    <x v="0"/>
    <m/>
    <m/>
    <m/>
    <m/>
    <s v="no test"/>
    <n v="0.8"/>
    <x v="0"/>
    <n v="1"/>
    <n v="1"/>
    <n v="1"/>
    <n v="350"/>
    <n v="1"/>
    <n v="350"/>
    <n v="1"/>
    <n v="350"/>
    <n v="0.7"/>
    <n v="0"/>
    <n v="0"/>
    <n v="0.30000000000000004"/>
    <n v="1"/>
    <n v="10"/>
    <n v="0.5714285714285714"/>
    <n v="200"/>
    <n v="0.45714285714285713"/>
    <n v="8"/>
    <n v="18"/>
    <n v="0"/>
    <n v="350"/>
    <n v="350"/>
    <n v="0"/>
    <n v="1"/>
    <n v="1"/>
    <n v="350"/>
    <n v="1"/>
    <n v="0"/>
    <n v="1"/>
    <n v="1"/>
    <n v="0"/>
    <n v="345"/>
    <n v="0"/>
    <n v="345"/>
    <n v="68"/>
    <s v="Yes"/>
    <s v="KBC"/>
    <x v="1"/>
    <x v="0"/>
    <x v="0"/>
    <x v="0"/>
    <n v="23.828520000000001"/>
    <n v="97.669557999999995"/>
    <s v="MMR015CMP001"/>
    <x v="0"/>
    <m/>
  </r>
  <r>
    <x v="0"/>
    <x v="24"/>
    <x v="2"/>
    <x v="31"/>
    <x v="411"/>
    <n v="34"/>
    <n v="176"/>
    <n v="77"/>
    <s v="MHF,WHH(BMZ, AA),ECHO"/>
    <s v="17/11/2018,30/6/18"/>
    <m/>
    <s v="Yes"/>
    <n v="0.56999999999999995"/>
    <n v="0.14000000000000001"/>
    <m/>
    <n v="1"/>
    <n v="46354"/>
    <m/>
    <n v="1"/>
    <m/>
    <m/>
    <m/>
    <m/>
    <m/>
    <m/>
    <m/>
    <n v="9"/>
    <n v="0"/>
    <n v="0"/>
    <m/>
    <n v="17"/>
    <x v="4"/>
    <x v="0"/>
    <n v="0"/>
    <n v="0"/>
    <m/>
    <n v="1"/>
    <s v="Communal"/>
    <n v="0"/>
    <n v="1"/>
    <n v="1"/>
    <n v="36"/>
    <n v="0"/>
    <x v="0"/>
    <m/>
    <m/>
    <m/>
    <m/>
    <s v="no test"/>
    <s v="no test"/>
    <x v="1"/>
    <n v="1"/>
    <n v="1"/>
    <n v="1"/>
    <n v="176"/>
    <n v="0"/>
    <n v="0"/>
    <n v="1"/>
    <n v="176"/>
    <n v="0.35199999999999998"/>
    <n v="0"/>
    <n v="0"/>
    <n v="0.64800000000000002"/>
    <n v="1"/>
    <n v="9"/>
    <n v="1"/>
    <n v="176"/>
    <n v="0"/>
    <n v="0"/>
    <n v="9"/>
    <n v="0"/>
    <n v="0"/>
    <n v="176"/>
    <n v="0"/>
    <n v="1"/>
    <n v="1"/>
    <n v="176"/>
    <n v="1"/>
    <n v="0"/>
    <n v="1"/>
    <n v="1"/>
    <n v="0"/>
    <n v="180"/>
    <n v="0"/>
    <n v="180"/>
    <n v="34"/>
    <s v="Yes"/>
    <s v="KBC"/>
    <x v="1"/>
    <x v="0"/>
    <x v="0"/>
    <x v="0"/>
    <n v="23.841646999999998"/>
    <n v="97.700940000000003"/>
    <s v="MMR015CMP214"/>
    <x v="0"/>
    <m/>
  </r>
  <r>
    <x v="0"/>
    <x v="27"/>
    <x v="2"/>
    <x v="28"/>
    <x v="412"/>
    <n v="57"/>
    <n v="263"/>
    <n v="67"/>
    <s v="MHF,ADRA/CANADA,WHH(BMZ, AA)"/>
    <s v="17/11/2018,31/12/2018,30/6/18"/>
    <m/>
    <s v="Yes"/>
    <n v="0.8"/>
    <n v="0.5"/>
    <m/>
    <n v="1"/>
    <n v="5760"/>
    <m/>
    <n v="1"/>
    <m/>
    <n v="0"/>
    <n v="0"/>
    <n v="0"/>
    <n v="0"/>
    <n v="0"/>
    <m/>
    <n v="17"/>
    <n v="0"/>
    <n v="0"/>
    <m/>
    <n v="17"/>
    <x v="0"/>
    <x v="0"/>
    <n v="0"/>
    <n v="0"/>
    <m/>
    <n v="1"/>
    <s v="Communal"/>
    <m/>
    <n v="3"/>
    <n v="1"/>
    <n v="40"/>
    <n v="0"/>
    <x v="0"/>
    <m/>
    <m/>
    <m/>
    <m/>
    <s v="no test"/>
    <s v="no test"/>
    <x v="1"/>
    <n v="1"/>
    <n v="1"/>
    <n v="1"/>
    <n v="263"/>
    <n v="0"/>
    <n v="0"/>
    <n v="1"/>
    <n v="263"/>
    <n v="0.52600000000000002"/>
    <n v="0"/>
    <n v="0"/>
    <n v="0.47399999999999998"/>
    <n v="1"/>
    <n v="17"/>
    <n v="1"/>
    <n v="263"/>
    <n v="0"/>
    <n v="0"/>
    <n v="13"/>
    <n v="0"/>
    <n v="0"/>
    <n v="263"/>
    <n v="0"/>
    <n v="1"/>
    <n v="0"/>
    <n v="0"/>
    <n v="0"/>
    <n v="1"/>
    <n v="1"/>
    <n v="0.70175438596491224"/>
    <n v="0"/>
    <n v="200"/>
    <n v="0"/>
    <n v="200"/>
    <n v="57"/>
    <s v="Yes"/>
    <s v="KBC"/>
    <x v="1"/>
    <x v="0"/>
    <x v="0"/>
    <x v="0"/>
    <n v="23.094290000000001"/>
    <n v="97.404089999999997"/>
    <s v="MMR015CMP014"/>
    <x v="0"/>
    <m/>
  </r>
  <r>
    <x v="0"/>
    <x v="1"/>
    <x v="2"/>
    <x v="28"/>
    <x v="413"/>
    <n v="34"/>
    <n v="182"/>
    <m/>
    <s v="WHH(BMZ, AA)"/>
    <d v="2018-06-30T00:00:00"/>
    <n v="0"/>
    <s v="No"/>
    <n v="0"/>
    <n v="0"/>
    <m/>
    <n v="1"/>
    <n v="1800"/>
    <m/>
    <n v="2"/>
    <m/>
    <n v="0"/>
    <n v="0"/>
    <n v="0"/>
    <n v="0"/>
    <n v="0"/>
    <m/>
    <n v="7"/>
    <n v="0"/>
    <n v="0"/>
    <m/>
    <n v="5"/>
    <x v="0"/>
    <x v="0"/>
    <n v="0"/>
    <n v="0"/>
    <m/>
    <n v="0.7"/>
    <s v="Communal"/>
    <m/>
    <n v="2"/>
    <n v="2"/>
    <n v="0"/>
    <n v="0"/>
    <x v="0"/>
    <m/>
    <m/>
    <m/>
    <m/>
    <s v="no test"/>
    <s v="no test"/>
    <x v="1"/>
    <n v="1"/>
    <n v="1"/>
    <n v="1"/>
    <n v="182"/>
    <n v="0"/>
    <n v="0"/>
    <n v="1"/>
    <n v="182"/>
    <n v="0.36399999999999999"/>
    <n v="0"/>
    <n v="0"/>
    <n v="0.63600000000000001"/>
    <n v="1"/>
    <n v="7"/>
    <n v="0.76923076923076927"/>
    <n v="140"/>
    <n v="0.21978021978021978"/>
    <n v="2"/>
    <n v="9"/>
    <n v="0"/>
    <n v="0"/>
    <n v="182"/>
    <n v="0"/>
    <n v="1"/>
    <n v="0"/>
    <n v="0"/>
    <n v="0"/>
    <n v="1"/>
    <n v="1"/>
    <n v="0"/>
    <n v="0"/>
    <n v="0"/>
    <n v="0"/>
    <n v="0"/>
    <n v="23.799999999999997"/>
    <s v="Yes"/>
    <s v="KMSS-LSO"/>
    <x v="1"/>
    <x v="0"/>
    <x v="0"/>
    <x v="0"/>
    <n v="0"/>
    <n v="0"/>
    <s v="MMR015CMP232"/>
    <x v="0"/>
    <m/>
  </r>
  <r>
    <x v="0"/>
    <x v="24"/>
    <x v="2"/>
    <x v="31"/>
    <x v="414"/>
    <n v="118"/>
    <n v="568"/>
    <n v="132"/>
    <s v="MHF,WHH(BMZ, AA),ECHO"/>
    <s v="17/11/2018,30/6/18"/>
    <m/>
    <s v="Yes"/>
    <n v="0.5"/>
    <n v="1"/>
    <n v="0"/>
    <n v="1"/>
    <n v="14400"/>
    <n v="3"/>
    <n v="2"/>
    <m/>
    <n v="1"/>
    <n v="1"/>
    <n v="9"/>
    <n v="9"/>
    <n v="0"/>
    <m/>
    <n v="16"/>
    <n v="0"/>
    <n v="0"/>
    <m/>
    <n v="16"/>
    <x v="0"/>
    <x v="0"/>
    <n v="0"/>
    <n v="0"/>
    <s v="no proper place for solid waste"/>
    <n v="1"/>
    <s v="Communal"/>
    <m/>
    <n v="6"/>
    <n v="2"/>
    <n v="121"/>
    <n v="0"/>
    <x v="0"/>
    <m/>
    <m/>
    <m/>
    <m/>
    <n v="1"/>
    <n v="1"/>
    <x v="0"/>
    <n v="1"/>
    <n v="1"/>
    <n v="1"/>
    <n v="568"/>
    <n v="1"/>
    <n v="568"/>
    <n v="1"/>
    <n v="568"/>
    <n v="1.1359999999999999"/>
    <n v="0"/>
    <n v="0"/>
    <n v="0"/>
    <n v="1"/>
    <n v="16"/>
    <n v="0.56338028169014087"/>
    <n v="320"/>
    <n v="0.42253521126760568"/>
    <n v="12"/>
    <n v="28"/>
    <n v="0"/>
    <n v="0"/>
    <n v="568"/>
    <n v="0"/>
    <n v="1"/>
    <n v="1"/>
    <n v="568"/>
    <n v="1"/>
    <n v="0"/>
    <n v="1"/>
    <n v="1"/>
    <n v="0"/>
    <n v="605"/>
    <n v="0"/>
    <n v="605"/>
    <n v="118"/>
    <s v="Yes"/>
    <s v="KBC"/>
    <x v="1"/>
    <x v="0"/>
    <x v="0"/>
    <x v="0"/>
    <n v="23.838190000000001"/>
    <n v="97.709879999999998"/>
    <s v="MMR015CMP215"/>
    <x v="0"/>
    <m/>
  </r>
  <r>
    <x v="0"/>
    <x v="1"/>
    <x v="2"/>
    <x v="28"/>
    <x v="415"/>
    <n v="16"/>
    <n v="81"/>
    <n v="18"/>
    <s v="WHH (BMZ, AA )"/>
    <d v="2018-08-31T00:00:00"/>
    <m/>
    <s v="NA"/>
    <s v="NA"/>
    <s v="NA"/>
    <n v="0"/>
    <n v="0"/>
    <n v="17280"/>
    <n v="1"/>
    <m/>
    <m/>
    <n v="0"/>
    <n v="0"/>
    <n v="0"/>
    <n v="0"/>
    <n v="0"/>
    <s v="Solar Pump System (9600 Litre per day)"/>
    <n v="17"/>
    <n v="0"/>
    <n v="0"/>
    <m/>
    <n v="17"/>
    <x v="4"/>
    <x v="4"/>
    <n v="0"/>
    <n v="0"/>
    <m/>
    <n v="0"/>
    <s v="Household"/>
    <m/>
    <m/>
    <n v="1"/>
    <n v="0"/>
    <n v="0"/>
    <x v="0"/>
    <m/>
    <m/>
    <m/>
    <m/>
    <s v="no test"/>
    <s v="no test"/>
    <x v="1"/>
    <n v="1"/>
    <n v="1"/>
    <n v="1"/>
    <n v="81"/>
    <n v="1"/>
    <n v="81"/>
    <n v="1"/>
    <n v="81"/>
    <n v="0.16200000000000001"/>
    <n v="0"/>
    <n v="0"/>
    <n v="0.83799999999999997"/>
    <n v="1"/>
    <n v="17"/>
    <n v="1"/>
    <n v="81"/>
    <n v="0"/>
    <n v="0"/>
    <n v="4"/>
    <n v="0"/>
    <n v="0"/>
    <n v="81"/>
    <n v="0"/>
    <n v="1"/>
    <n v="0"/>
    <n v="0"/>
    <n v="0"/>
    <n v="1"/>
    <n v="1"/>
    <n v="0"/>
    <n v="0"/>
    <n v="0"/>
    <n v="0"/>
    <n v="0"/>
    <n v="0"/>
    <n v="0"/>
    <s v="uncovered"/>
    <x v="1"/>
    <x v="0"/>
    <x v="2"/>
    <x v="0"/>
    <n v="22.765999999999998"/>
    <n v="97.358999999999995"/>
    <s v="MMR015CMP221"/>
    <x v="0"/>
    <m/>
  </r>
  <r>
    <x v="0"/>
    <x v="1"/>
    <x v="2"/>
    <x v="32"/>
    <x v="416"/>
    <n v="17"/>
    <n v="88"/>
    <m/>
    <m/>
    <m/>
    <m/>
    <m/>
    <m/>
    <m/>
    <m/>
    <m/>
    <m/>
    <m/>
    <m/>
    <m/>
    <m/>
    <m/>
    <m/>
    <m/>
    <m/>
    <m/>
    <m/>
    <m/>
    <m/>
    <m/>
    <m/>
    <x v="2"/>
    <x v="3"/>
    <m/>
    <m/>
    <m/>
    <m/>
    <m/>
    <m/>
    <m/>
    <m/>
    <m/>
    <m/>
    <x v="0"/>
    <m/>
    <m/>
    <m/>
    <m/>
    <s v="no test"/>
    <s v="no test"/>
    <x v="1"/>
    <n v="0"/>
    <n v="0"/>
    <n v="0"/>
    <n v="0"/>
    <n v="0"/>
    <n v="0"/>
    <n v="0"/>
    <n v="0"/>
    <n v="0"/>
    <n v="1"/>
    <n v="88"/>
    <n v="1"/>
    <n v="1"/>
    <n v="0"/>
    <n v="0"/>
    <n v="0"/>
    <n v="0.90909090909090906"/>
    <n v="4"/>
    <n v="4"/>
    <n v="0"/>
    <n v="0"/>
    <n v="0"/>
    <n v="0"/>
    <n v="0"/>
    <n v="0"/>
    <n v="0"/>
    <n v="0"/>
    <n v="1"/>
    <n v="0"/>
    <n v="0"/>
    <n v="0"/>
    <n v="0"/>
    <n v="0"/>
    <n v="0"/>
    <n v="0"/>
    <n v="0"/>
    <n v="0"/>
    <x v="4"/>
    <x v="0"/>
    <x v="2"/>
    <x v="0"/>
    <n v="0"/>
    <n v="0"/>
    <n v="0"/>
    <x v="0"/>
    <m/>
  </r>
  <r>
    <x v="1"/>
    <x v="0"/>
    <x v="0"/>
    <x v="0"/>
    <x v="0"/>
    <n v="70"/>
    <n v="356"/>
    <m/>
    <s v="ECHO/OFDA"/>
    <s v="31/12/2018, 30/06/2019"/>
    <n v="0"/>
    <s v="Yes"/>
    <n v="0"/>
    <n v="0"/>
    <n v="0"/>
    <n v="10"/>
    <n v="2228400"/>
    <n v="0"/>
    <n v="0"/>
    <m/>
    <n v="0"/>
    <n v="0"/>
    <n v="10"/>
    <n v="9"/>
    <n v="0"/>
    <s v="WASH committee data is combine with AD 2000 camp"/>
    <n v="13"/>
    <n v="0"/>
    <m/>
    <s v="Monthly"/>
    <n v="0"/>
    <x v="0"/>
    <x v="0"/>
    <n v="0"/>
    <n v="0"/>
    <s v="The data is combine with AD 2000 camp"/>
    <n v="1"/>
    <s v="Both"/>
    <n v="0"/>
    <n v="2"/>
    <n v="1"/>
    <n v="0"/>
    <n v="0"/>
    <x v="0"/>
    <m/>
    <n v="1"/>
    <n v="0"/>
    <s v="For this camp all of data informations are combine with AD 2000, not separated. "/>
    <s v="no test"/>
    <n v="0.9"/>
    <x v="0"/>
    <n v="1"/>
    <n v="1"/>
    <n v="1"/>
    <n v="356"/>
    <n v="0"/>
    <n v="0"/>
    <n v="1"/>
    <n v="356"/>
    <n v="0.71199999999999997"/>
    <n v="0"/>
    <n v="0"/>
    <n v="0.28800000000000003"/>
    <n v="1"/>
    <n v="13"/>
    <n v="0.7303370786516854"/>
    <n v="260"/>
    <n v="0.28089887640449435"/>
    <n v="5"/>
    <n v="18"/>
    <n v="0"/>
    <n v="0"/>
    <n v="356"/>
    <n v="0"/>
    <n v="1"/>
    <n v="0"/>
    <n v="0"/>
    <n v="0"/>
    <n v="1"/>
    <n v="1"/>
    <n v="0"/>
    <n v="0"/>
    <n v="0"/>
    <n v="0"/>
    <n v="0"/>
    <n v="70"/>
    <n v="0"/>
    <n v="0"/>
    <x v="0"/>
    <x v="0"/>
    <x v="0"/>
    <x v="0"/>
    <n v="0"/>
    <n v="0"/>
    <n v="0"/>
    <x v="0"/>
    <m/>
  </r>
  <r>
    <x v="1"/>
    <x v="0"/>
    <x v="0"/>
    <x v="0"/>
    <x v="1"/>
    <n v="166"/>
    <n v="815"/>
    <m/>
    <s v="ECHO/OFDA"/>
    <s v="31/12/2018, 30/06/2019"/>
    <n v="0"/>
    <s v="Yes"/>
    <n v="0.47619047619047616"/>
    <n v="0"/>
    <n v="0"/>
    <n v="1"/>
    <n v="6624400"/>
    <n v="0"/>
    <n v="0"/>
    <m/>
    <n v="0"/>
    <n v="0"/>
    <n v="11"/>
    <n v="7"/>
    <n v="0"/>
    <m/>
    <n v="36"/>
    <n v="0"/>
    <n v="39"/>
    <s v="Monthly"/>
    <n v="0"/>
    <x v="0"/>
    <x v="0"/>
    <n v="0"/>
    <n v="0"/>
    <m/>
    <n v="1"/>
    <s v="Both"/>
    <n v="0"/>
    <n v="3"/>
    <n v="2"/>
    <n v="524"/>
    <n v="0"/>
    <x v="0"/>
    <m/>
    <n v="4"/>
    <n v="0"/>
    <s v="Nill"/>
    <s v="no test"/>
    <n v="0.63636363636363635"/>
    <x v="0"/>
    <n v="1"/>
    <n v="1"/>
    <n v="1"/>
    <n v="815"/>
    <n v="0"/>
    <n v="0"/>
    <n v="1"/>
    <n v="815"/>
    <n v="1.63"/>
    <n v="0"/>
    <n v="0"/>
    <n v="0.37000000000000011"/>
    <n v="2"/>
    <n v="36"/>
    <n v="0.8834355828220859"/>
    <n v="720"/>
    <n v="0.12269938650306748"/>
    <n v="5"/>
    <n v="41"/>
    <n v="0"/>
    <n v="780"/>
    <n v="815"/>
    <n v="0"/>
    <n v="1"/>
    <n v="1"/>
    <n v="815"/>
    <n v="1"/>
    <n v="0"/>
    <n v="1"/>
    <n v="1"/>
    <n v="0"/>
    <n v="2620"/>
    <n v="0"/>
    <n v="2620"/>
    <n v="166"/>
    <s v="Yes"/>
    <s v="KMSS-BMO"/>
    <x v="1"/>
    <x v="0"/>
    <x v="0"/>
    <x v="0"/>
    <n v="24.260719999999999"/>
    <n v="97.238829999999993"/>
    <s v="MMR001CMP050"/>
    <x v="0"/>
    <m/>
  </r>
  <r>
    <x v="1"/>
    <x v="1"/>
    <x v="0"/>
    <x v="0"/>
    <x v="2"/>
    <n v="11"/>
    <n v="52"/>
    <m/>
    <s v="USAID"/>
    <d v="2018-09-01T00:00:00"/>
    <n v="0"/>
    <s v="No"/>
    <n v="0"/>
    <n v="0"/>
    <n v="1"/>
    <n v="1"/>
    <n v="0"/>
    <n v="0"/>
    <n v="0"/>
    <m/>
    <m/>
    <m/>
    <m/>
    <m/>
    <m/>
    <m/>
    <n v="2"/>
    <n v="0"/>
    <m/>
    <m/>
    <n v="0"/>
    <x v="0"/>
    <x v="0"/>
    <m/>
    <m/>
    <m/>
    <n v="0"/>
    <s v="Both"/>
    <n v="0"/>
    <n v="1"/>
    <n v="0"/>
    <n v="11"/>
    <n v="11"/>
    <x v="0"/>
    <m/>
    <m/>
    <m/>
    <m/>
    <s v="no test"/>
    <s v="no test"/>
    <x v="1"/>
    <n v="1"/>
    <n v="1"/>
    <n v="1"/>
    <n v="52"/>
    <n v="0"/>
    <n v="0"/>
    <n v="1"/>
    <n v="52"/>
    <n v="0.104"/>
    <n v="0"/>
    <n v="0"/>
    <n v="0.89600000000000002"/>
    <n v="1"/>
    <n v="2"/>
    <n v="0.76923076923076927"/>
    <n v="40"/>
    <n v="0.38461538461538458"/>
    <n v="1"/>
    <n v="3"/>
    <n v="0"/>
    <n v="0"/>
    <n v="0"/>
    <n v="1"/>
    <n v="0"/>
    <n v="1"/>
    <n v="52"/>
    <n v="1"/>
    <n v="0"/>
    <n v="0"/>
    <n v="1"/>
    <n v="1"/>
    <n v="55"/>
    <n v="55"/>
    <n v="55"/>
    <n v="0"/>
    <s v="Yes"/>
    <s v="KBC"/>
    <x v="1"/>
    <x v="0"/>
    <x v="0"/>
    <x v="0"/>
    <n v="24.260466999999998"/>
    <n v="97.252650000000003"/>
    <s v="MMR001CMP194"/>
    <x v="0"/>
    <m/>
  </r>
  <r>
    <x v="1"/>
    <x v="2"/>
    <x v="0"/>
    <x v="0"/>
    <x v="3"/>
    <n v="190"/>
    <n v="928"/>
    <m/>
    <m/>
    <m/>
    <m/>
    <s v="No"/>
    <n v="0"/>
    <n v="0"/>
    <m/>
    <m/>
    <m/>
    <m/>
    <m/>
    <m/>
    <m/>
    <m/>
    <m/>
    <m/>
    <m/>
    <m/>
    <n v="0"/>
    <m/>
    <m/>
    <m/>
    <m/>
    <x v="1"/>
    <x v="1"/>
    <m/>
    <m/>
    <m/>
    <m/>
    <m/>
    <m/>
    <m/>
    <m/>
    <m/>
    <m/>
    <x v="0"/>
    <m/>
    <m/>
    <m/>
    <m/>
    <s v="no test"/>
    <s v="no test"/>
    <x v="1"/>
    <n v="0"/>
    <n v="0"/>
    <n v="0"/>
    <n v="0"/>
    <n v="0"/>
    <n v="0"/>
    <n v="0"/>
    <n v="0"/>
    <n v="0"/>
    <n v="1"/>
    <n v="928"/>
    <n v="2"/>
    <n v="2"/>
    <n v="0"/>
    <n v="0"/>
    <n v="0"/>
    <n v="0.99137931034482762"/>
    <n v="46"/>
    <n v="46"/>
    <n v="0"/>
    <n v="0"/>
    <n v="0"/>
    <n v="0"/>
    <n v="0"/>
    <n v="0"/>
    <n v="0"/>
    <n v="0"/>
    <n v="1"/>
    <n v="0"/>
    <n v="0"/>
    <n v="0"/>
    <n v="0"/>
    <n v="0"/>
    <n v="0"/>
    <n v="0"/>
    <n v="0"/>
    <s v="uncovered"/>
    <x v="1"/>
    <x v="0"/>
    <x v="1"/>
    <x v="0"/>
    <n v="24.263786"/>
    <n v="97.228835000000004"/>
    <s v="MMR001CMP163"/>
    <x v="1"/>
    <m/>
  </r>
  <r>
    <x v="1"/>
    <x v="1"/>
    <x v="0"/>
    <x v="0"/>
    <x v="4"/>
    <n v="39"/>
    <n v="232"/>
    <m/>
    <s v="USAID, Christian AID, HIDA, WHH ( AA )"/>
    <s v="9/1/2018,1-dec-2018"/>
    <n v="0"/>
    <s v="Yes"/>
    <n v="0.4"/>
    <n v="0.2"/>
    <n v="0"/>
    <n v="2"/>
    <n v="0"/>
    <n v="0"/>
    <n v="0"/>
    <m/>
    <m/>
    <m/>
    <m/>
    <m/>
    <m/>
    <m/>
    <n v="7"/>
    <n v="0"/>
    <m/>
    <m/>
    <n v="0"/>
    <x v="0"/>
    <x v="2"/>
    <m/>
    <m/>
    <m/>
    <n v="1"/>
    <s v="Both"/>
    <n v="0"/>
    <n v="2"/>
    <n v="2"/>
    <n v="39"/>
    <n v="39"/>
    <x v="0"/>
    <m/>
    <m/>
    <m/>
    <m/>
    <s v="no test"/>
    <s v="no test"/>
    <x v="1"/>
    <n v="1"/>
    <n v="1"/>
    <n v="1"/>
    <n v="232"/>
    <n v="0"/>
    <n v="0"/>
    <n v="1"/>
    <n v="232"/>
    <n v="0.46400000000000002"/>
    <n v="0"/>
    <n v="0"/>
    <n v="0.53600000000000003"/>
    <n v="1"/>
    <n v="7"/>
    <n v="0.60344827586206895"/>
    <n v="140"/>
    <n v="0.43103448275862072"/>
    <n v="5"/>
    <n v="12"/>
    <n v="0"/>
    <n v="0"/>
    <n v="232"/>
    <n v="1"/>
    <n v="1"/>
    <n v="1"/>
    <n v="232"/>
    <n v="1"/>
    <n v="0"/>
    <n v="1"/>
    <n v="1"/>
    <n v="1"/>
    <n v="195"/>
    <n v="195"/>
    <n v="195"/>
    <n v="39"/>
    <s v="Yes"/>
    <s v="KBC"/>
    <x v="1"/>
    <x v="0"/>
    <x v="0"/>
    <x v="0"/>
    <n v="24.24766"/>
    <n v="97.236919999999998"/>
    <s v="MMR001CMP052"/>
    <x v="0"/>
    <m/>
  </r>
  <r>
    <x v="1"/>
    <x v="1"/>
    <x v="0"/>
    <x v="0"/>
    <x v="5"/>
    <n v="131"/>
    <n v="757"/>
    <m/>
    <s v="USAID, Christian AID, HIDA"/>
    <s v="9/1/2018,1-dec-2018"/>
    <n v="0"/>
    <s v="Yes"/>
    <n v="0.9"/>
    <n v="0.9"/>
    <n v="3"/>
    <n v="1"/>
    <n v="0"/>
    <n v="0"/>
    <n v="0"/>
    <m/>
    <m/>
    <m/>
    <m/>
    <m/>
    <m/>
    <m/>
    <n v="23"/>
    <n v="0"/>
    <n v="4"/>
    <m/>
    <n v="0"/>
    <x v="0"/>
    <x v="2"/>
    <m/>
    <m/>
    <m/>
    <n v="1"/>
    <s v="Both"/>
    <n v="0"/>
    <n v="5"/>
    <n v="2"/>
    <n v="131"/>
    <n v="131"/>
    <x v="0"/>
    <m/>
    <m/>
    <m/>
    <m/>
    <s v="no test"/>
    <s v="no test"/>
    <x v="1"/>
    <n v="1"/>
    <n v="1"/>
    <n v="1"/>
    <n v="757"/>
    <n v="0"/>
    <n v="0"/>
    <n v="1"/>
    <n v="757"/>
    <n v="1.514"/>
    <n v="0"/>
    <n v="0"/>
    <n v="0.48599999999999999"/>
    <n v="2"/>
    <n v="23"/>
    <n v="0.607661822985469"/>
    <n v="460.00000000000006"/>
    <n v="0.39630118890356669"/>
    <n v="15"/>
    <n v="38"/>
    <n v="0"/>
    <n v="80"/>
    <n v="757"/>
    <n v="1"/>
    <n v="1"/>
    <n v="1"/>
    <n v="757"/>
    <n v="1"/>
    <n v="0"/>
    <n v="1"/>
    <n v="1"/>
    <n v="1"/>
    <n v="655"/>
    <n v="655"/>
    <n v="655"/>
    <n v="131"/>
    <s v="Yes"/>
    <s v="Shalom"/>
    <x v="1"/>
    <x v="0"/>
    <x v="0"/>
    <x v="0"/>
    <n v="24.2631743589744"/>
    <n v="97.240183461538507"/>
    <s v="MMR001CMP049"/>
    <x v="0"/>
    <m/>
  </r>
  <r>
    <x v="1"/>
    <x v="3"/>
    <x v="0"/>
    <x v="0"/>
    <x v="6"/>
    <n v="37"/>
    <n v="161"/>
    <m/>
    <s v="ADRA/CANADA"/>
    <d v="2018-12-31T00:00:00"/>
    <m/>
    <m/>
    <m/>
    <m/>
    <m/>
    <m/>
    <m/>
    <m/>
    <m/>
    <m/>
    <m/>
    <m/>
    <m/>
    <m/>
    <m/>
    <m/>
    <m/>
    <m/>
    <m/>
    <m/>
    <m/>
    <x v="2"/>
    <x v="3"/>
    <m/>
    <m/>
    <m/>
    <m/>
    <m/>
    <m/>
    <m/>
    <m/>
    <m/>
    <m/>
    <x v="0"/>
    <m/>
    <m/>
    <m/>
    <m/>
    <s v="no test"/>
    <s v="no test"/>
    <x v="1"/>
    <n v="0"/>
    <n v="0"/>
    <n v="0"/>
    <n v="0"/>
    <n v="0"/>
    <n v="0"/>
    <n v="0"/>
    <n v="0"/>
    <n v="0"/>
    <n v="1"/>
    <n v="161"/>
    <n v="1"/>
    <n v="1"/>
    <n v="0"/>
    <n v="0"/>
    <n v="0"/>
    <n v="0.99378881987577627"/>
    <n v="8"/>
    <n v="8"/>
    <n v="0"/>
    <n v="0"/>
    <n v="0"/>
    <n v="0"/>
    <n v="0"/>
    <n v="0"/>
    <n v="0"/>
    <n v="0"/>
    <n v="1"/>
    <n v="0"/>
    <n v="0"/>
    <n v="0"/>
    <n v="0"/>
    <n v="0"/>
    <n v="0"/>
    <n v="0"/>
    <n v="0"/>
    <n v="0"/>
    <x v="4"/>
    <x v="0"/>
    <x v="0"/>
    <x v="0"/>
    <n v="0"/>
    <n v="0"/>
    <n v="0"/>
    <x v="0"/>
    <m/>
  </r>
  <r>
    <x v="1"/>
    <x v="1"/>
    <x v="0"/>
    <x v="0"/>
    <x v="7"/>
    <n v="11"/>
    <n v="51"/>
    <m/>
    <s v="USAID"/>
    <d v="2018-09-01T00:00:00"/>
    <n v="0"/>
    <s v="No"/>
    <n v="0"/>
    <n v="0"/>
    <n v="0"/>
    <n v="1"/>
    <n v="0"/>
    <n v="0"/>
    <n v="0"/>
    <m/>
    <m/>
    <m/>
    <m/>
    <m/>
    <m/>
    <m/>
    <n v="4"/>
    <n v="0"/>
    <m/>
    <m/>
    <n v="0"/>
    <x v="0"/>
    <x v="0"/>
    <m/>
    <m/>
    <m/>
    <n v="1"/>
    <s v="Both"/>
    <n v="0"/>
    <n v="2"/>
    <n v="1"/>
    <n v="11"/>
    <n v="11"/>
    <x v="0"/>
    <m/>
    <m/>
    <m/>
    <m/>
    <s v="no test"/>
    <s v="no test"/>
    <x v="1"/>
    <n v="1"/>
    <n v="1"/>
    <n v="1"/>
    <n v="51"/>
    <n v="0"/>
    <n v="0"/>
    <n v="1"/>
    <n v="51"/>
    <n v="0.10199999999999999"/>
    <n v="0"/>
    <n v="0"/>
    <n v="0.89800000000000002"/>
    <n v="1"/>
    <n v="4"/>
    <n v="1"/>
    <n v="51"/>
    <n v="0"/>
    <n v="0"/>
    <n v="3"/>
    <n v="0"/>
    <n v="0"/>
    <n v="51"/>
    <n v="1"/>
    <n v="1"/>
    <n v="1"/>
    <n v="51"/>
    <n v="1"/>
    <n v="0"/>
    <n v="1"/>
    <n v="1"/>
    <n v="1"/>
    <n v="55"/>
    <n v="55"/>
    <n v="55"/>
    <n v="11"/>
    <s v="Yes"/>
    <s v="Shalom"/>
    <x v="1"/>
    <x v="0"/>
    <x v="0"/>
    <x v="0"/>
    <n v="24.253067000000001"/>
    <n v="97.234200000000001"/>
    <s v="MMR001CMP051"/>
    <x v="0"/>
    <m/>
  </r>
  <r>
    <x v="1"/>
    <x v="1"/>
    <x v="0"/>
    <x v="0"/>
    <x v="8"/>
    <n v="21"/>
    <n v="111"/>
    <m/>
    <s v="USAID"/>
    <d v="2018-09-01T00:00:00"/>
    <n v="0"/>
    <s v="Yes"/>
    <n v="0.9"/>
    <n v="0.9"/>
    <n v="0"/>
    <n v="0"/>
    <n v="0"/>
    <n v="0"/>
    <n v="0"/>
    <m/>
    <m/>
    <m/>
    <m/>
    <m/>
    <m/>
    <m/>
    <n v="4"/>
    <n v="0"/>
    <n v="2"/>
    <m/>
    <n v="0"/>
    <x v="0"/>
    <x v="0"/>
    <m/>
    <m/>
    <m/>
    <n v="1"/>
    <s v="Both"/>
    <n v="0"/>
    <n v="2"/>
    <n v="2"/>
    <n v="21"/>
    <n v="21"/>
    <x v="0"/>
    <m/>
    <m/>
    <m/>
    <m/>
    <s v="no test"/>
    <s v="no test"/>
    <x v="1"/>
    <n v="0"/>
    <n v="0"/>
    <n v="0"/>
    <n v="0"/>
    <n v="0"/>
    <n v="0"/>
    <n v="0"/>
    <n v="0"/>
    <n v="0"/>
    <n v="1"/>
    <n v="111"/>
    <n v="1"/>
    <n v="1"/>
    <n v="4"/>
    <n v="0.72072072072072069"/>
    <n v="80"/>
    <n v="0.3603603603603604"/>
    <n v="2"/>
    <n v="6"/>
    <n v="0"/>
    <n v="40"/>
    <n v="111"/>
    <n v="1"/>
    <n v="1"/>
    <n v="1"/>
    <n v="111"/>
    <n v="1"/>
    <n v="0"/>
    <n v="1"/>
    <n v="1"/>
    <n v="1"/>
    <n v="105"/>
    <n v="105"/>
    <n v="105"/>
    <n v="21"/>
    <s v="Yes"/>
    <s v="KMSS-BMO"/>
    <x v="1"/>
    <x v="0"/>
    <x v="0"/>
    <x v="0"/>
    <n v="24.32638"/>
    <n v="97.315860000000001"/>
    <s v="MMR001CMP054"/>
    <x v="0"/>
    <m/>
  </r>
  <r>
    <x v="1"/>
    <x v="0"/>
    <x v="0"/>
    <x v="0"/>
    <x v="9"/>
    <n v="148"/>
    <n v="778"/>
    <m/>
    <s v="ECHO/OFDA"/>
    <s v="31/12/2018, 30/06/2019"/>
    <n v="0"/>
    <s v="Yes"/>
    <n v="0.65217391304347827"/>
    <n v="0"/>
    <n v="0"/>
    <n v="4"/>
    <n v="9119700"/>
    <n v="0"/>
    <n v="0"/>
    <m/>
    <n v="0"/>
    <n v="0"/>
    <n v="23"/>
    <n v="23"/>
    <n v="0"/>
    <m/>
    <n v="43"/>
    <n v="0"/>
    <n v="37"/>
    <s v="Monthly"/>
    <n v="0"/>
    <x v="0"/>
    <x v="0"/>
    <n v="0"/>
    <n v="0"/>
    <m/>
    <n v="1"/>
    <s v="Both"/>
    <n v="0"/>
    <n v="9"/>
    <n v="3"/>
    <n v="363"/>
    <n v="0"/>
    <x v="0"/>
    <m/>
    <n v="5"/>
    <n v="0"/>
    <s v="Nill"/>
    <s v="no test"/>
    <n v="1"/>
    <x v="0"/>
    <n v="1"/>
    <n v="1"/>
    <n v="1"/>
    <n v="778"/>
    <n v="0"/>
    <n v="0"/>
    <n v="1"/>
    <n v="778"/>
    <n v="1.556"/>
    <n v="0"/>
    <n v="0"/>
    <n v="0.44399999999999995"/>
    <n v="2"/>
    <n v="43"/>
    <n v="1"/>
    <n v="778"/>
    <n v="0"/>
    <n v="0"/>
    <n v="39"/>
    <n v="0"/>
    <n v="740"/>
    <n v="778"/>
    <n v="0"/>
    <n v="1"/>
    <n v="1"/>
    <n v="778"/>
    <n v="1"/>
    <n v="0"/>
    <n v="1"/>
    <n v="1"/>
    <n v="0"/>
    <n v="1815"/>
    <n v="0"/>
    <n v="1815"/>
    <n v="148"/>
    <s v="Yes"/>
    <s v="KBC"/>
    <x v="1"/>
    <x v="0"/>
    <x v="0"/>
    <x v="0"/>
    <n v="24.222349999999999"/>
    <n v="97.252650000000003"/>
    <s v="MMR001CMP193"/>
    <x v="0"/>
    <m/>
  </r>
  <r>
    <x v="1"/>
    <x v="0"/>
    <x v="0"/>
    <x v="0"/>
    <x v="10"/>
    <n v="638"/>
    <n v="4010"/>
    <m/>
    <s v="ECHO/OFDA"/>
    <s v="31/12/2018, 30/06/2019"/>
    <n v="0"/>
    <s v="Yes"/>
    <n v="0.43478260869565216"/>
    <n v="0"/>
    <n v="0"/>
    <n v="22"/>
    <n v="5382000"/>
    <n v="0"/>
    <n v="0"/>
    <m/>
    <n v="0"/>
    <n v="0"/>
    <n v="25"/>
    <n v="22"/>
    <n v="0"/>
    <m/>
    <n v="160"/>
    <n v="0"/>
    <n v="100"/>
    <s v="Monthly"/>
    <n v="0"/>
    <x v="0"/>
    <x v="0"/>
    <n v="0"/>
    <n v="0"/>
    <m/>
    <n v="1"/>
    <s v="Both"/>
    <n v="0"/>
    <n v="15"/>
    <n v="5"/>
    <n v="1368"/>
    <n v="0"/>
    <x v="0"/>
    <m/>
    <n v="8"/>
    <n v="0"/>
    <s v="Nill"/>
    <s v="no test"/>
    <n v="0.88"/>
    <x v="0"/>
    <n v="1"/>
    <n v="1"/>
    <n v="1"/>
    <n v="4010"/>
    <n v="0"/>
    <n v="0"/>
    <n v="1"/>
    <n v="4010"/>
    <n v="8.02"/>
    <n v="0"/>
    <n v="0"/>
    <n v="0"/>
    <n v="8"/>
    <n v="160"/>
    <n v="0.79800498753117211"/>
    <n v="3200"/>
    <n v="0.20448877805486285"/>
    <n v="41"/>
    <n v="201"/>
    <n v="0"/>
    <n v="2000"/>
    <n v="2500"/>
    <n v="0"/>
    <n v="0"/>
    <n v="1"/>
    <n v="0"/>
    <n v="0"/>
    <n v="1"/>
    <n v="0.62344139650872821"/>
    <n v="1"/>
    <n v="0"/>
    <n v="6840"/>
    <n v="0"/>
    <n v="6840"/>
    <n v="638"/>
    <s v="Yes"/>
    <s v="KBC"/>
    <x v="1"/>
    <x v="0"/>
    <x v="0"/>
    <x v="0"/>
    <n v="24.268292826086999"/>
    <n v="97.229116811594196"/>
    <s v="MMR001CMP047"/>
    <x v="0"/>
    <m/>
  </r>
  <r>
    <x v="1"/>
    <x v="0"/>
    <x v="0"/>
    <x v="0"/>
    <x v="11"/>
    <n v="281"/>
    <n v="1409"/>
    <m/>
    <s v="ECHO/OFDA"/>
    <s v="31/12/2018, 30/06/2019"/>
    <n v="0"/>
    <s v="No"/>
    <n v="0"/>
    <n v="0"/>
    <n v="0"/>
    <n v="0"/>
    <n v="0"/>
    <n v="0"/>
    <n v="0"/>
    <m/>
    <n v="0"/>
    <n v="0"/>
    <n v="0"/>
    <n v="0"/>
    <n v="39"/>
    <m/>
    <n v="0"/>
    <n v="0"/>
    <n v="0"/>
    <s v="Monthly"/>
    <n v="0"/>
    <x v="0"/>
    <x v="0"/>
    <n v="0"/>
    <n v="0"/>
    <m/>
    <n v="1"/>
    <s v="Both"/>
    <n v="0"/>
    <n v="0"/>
    <n v="0"/>
    <n v="0"/>
    <n v="0"/>
    <x v="0"/>
    <m/>
    <n v="0"/>
    <n v="0"/>
    <s v="Nill"/>
    <s v="no test"/>
    <s v="no test"/>
    <x v="1"/>
    <n v="0"/>
    <n v="0"/>
    <n v="0"/>
    <n v="0"/>
    <n v="0"/>
    <n v="0"/>
    <n v="0"/>
    <n v="0"/>
    <n v="0"/>
    <n v="1"/>
    <n v="1409"/>
    <n v="3"/>
    <n v="3"/>
    <n v="0"/>
    <n v="0"/>
    <n v="0"/>
    <n v="0.99361249112845984"/>
    <n v="70"/>
    <n v="70"/>
    <n v="0"/>
    <n v="0"/>
    <n v="0"/>
    <n v="0"/>
    <n v="0"/>
    <n v="0"/>
    <n v="0"/>
    <n v="0"/>
    <n v="1"/>
    <n v="0"/>
    <n v="0"/>
    <n v="0"/>
    <n v="0"/>
    <n v="0"/>
    <n v="0"/>
    <n v="281"/>
    <s v="No"/>
    <n v="0"/>
    <x v="0"/>
    <x v="0"/>
    <x v="0"/>
    <x v="0"/>
    <n v="0"/>
    <n v="0"/>
    <n v="0"/>
    <x v="0"/>
    <s v="to ask"/>
  </r>
  <r>
    <x v="1"/>
    <x v="1"/>
    <x v="0"/>
    <x v="0"/>
    <x v="12"/>
    <n v="13"/>
    <n v="75"/>
    <m/>
    <s v="USAID"/>
    <d v="2018-09-01T00:00:00"/>
    <n v="0"/>
    <s v="No"/>
    <n v="0"/>
    <n v="0"/>
    <n v="0"/>
    <n v="1"/>
    <n v="0"/>
    <n v="0"/>
    <n v="0"/>
    <m/>
    <m/>
    <m/>
    <m/>
    <m/>
    <m/>
    <m/>
    <n v="10"/>
    <n v="0"/>
    <m/>
    <m/>
    <n v="0"/>
    <x v="0"/>
    <x v="0"/>
    <m/>
    <m/>
    <m/>
    <n v="1"/>
    <s v="Both"/>
    <n v="0"/>
    <n v="2"/>
    <n v="1"/>
    <n v="13"/>
    <n v="13"/>
    <x v="0"/>
    <m/>
    <m/>
    <m/>
    <m/>
    <s v="no test"/>
    <s v="no test"/>
    <x v="1"/>
    <n v="1"/>
    <n v="1"/>
    <n v="1"/>
    <n v="75"/>
    <n v="0"/>
    <n v="0"/>
    <n v="1"/>
    <n v="75"/>
    <n v="0.15"/>
    <n v="0"/>
    <n v="0"/>
    <n v="0.85"/>
    <n v="1"/>
    <n v="10"/>
    <n v="1"/>
    <n v="75"/>
    <n v="0"/>
    <n v="0"/>
    <n v="4"/>
    <n v="0"/>
    <n v="0"/>
    <n v="75"/>
    <n v="1"/>
    <n v="1"/>
    <n v="1"/>
    <n v="75"/>
    <n v="1"/>
    <n v="0"/>
    <n v="1"/>
    <n v="1"/>
    <n v="1"/>
    <n v="65"/>
    <n v="65"/>
    <n v="65"/>
    <n v="13"/>
    <s v="Yes"/>
    <s v="Shalom"/>
    <x v="1"/>
    <x v="0"/>
    <x v="0"/>
    <x v="0"/>
    <n v="24.24953"/>
    <n v="97.240639999999999"/>
    <s v="MMR001CMP053"/>
    <x v="0"/>
    <m/>
  </r>
  <r>
    <x v="1"/>
    <x v="4"/>
    <x v="0"/>
    <x v="1"/>
    <x v="13"/>
    <n v="108"/>
    <n v="519"/>
    <m/>
    <s v="UNICEF/OFDA"/>
    <d v="2017-07-31T00:00:00"/>
    <n v="0"/>
    <s v="Yes"/>
    <n v="0.6"/>
    <n v="1"/>
    <n v="0"/>
    <n v="0"/>
    <n v="0"/>
    <n v="0"/>
    <n v="1"/>
    <m/>
    <n v="2"/>
    <n v="0"/>
    <n v="3"/>
    <n v="0"/>
    <n v="0"/>
    <s v="We need to check with how many litre/day of gravity system when we will go field trip to Chihpwi"/>
    <n v="26"/>
    <n v="4"/>
    <n v="0"/>
    <m/>
    <n v="26"/>
    <x v="3"/>
    <x v="2"/>
    <n v="0"/>
    <n v="0"/>
    <m/>
    <n v="0.5"/>
    <s v="Communal"/>
    <n v="0"/>
    <n v="5"/>
    <n v="0"/>
    <n v="0"/>
    <n v="0"/>
    <x v="0"/>
    <m/>
    <n v="1"/>
    <m/>
    <m/>
    <n v="0"/>
    <n v="0"/>
    <x v="0"/>
    <n v="0"/>
    <n v="0"/>
    <n v="0"/>
    <n v="0"/>
    <n v="0"/>
    <n v="0"/>
    <n v="0"/>
    <n v="0"/>
    <n v="0"/>
    <n v="1"/>
    <n v="519"/>
    <n v="1"/>
    <n v="1"/>
    <n v="30"/>
    <n v="1"/>
    <n v="519"/>
    <n v="0"/>
    <n v="0"/>
    <n v="26"/>
    <n v="0.13333333333333333"/>
    <n v="0"/>
    <n v="0"/>
    <n v="0"/>
    <n v="0"/>
    <n v="0"/>
    <n v="0"/>
    <n v="0"/>
    <n v="1"/>
    <n v="0"/>
    <n v="0"/>
    <n v="0"/>
    <n v="0"/>
    <n v="0"/>
    <n v="0"/>
    <n v="54"/>
    <s v="Yes"/>
    <s v="Shalom"/>
    <x v="1"/>
    <x v="0"/>
    <x v="0"/>
    <x v="0"/>
    <n v="25.889410000000002"/>
    <n v="98.131550000000004"/>
    <s v="MMR001CMP042"/>
    <x v="0"/>
    <m/>
  </r>
  <r>
    <x v="1"/>
    <x v="3"/>
    <x v="0"/>
    <x v="1"/>
    <x v="14"/>
    <n v="160"/>
    <n v="823"/>
    <m/>
    <s v="Plan/GFFO,ADRA/CANADA  "/>
    <d v="2019-03-31T00:00:00"/>
    <n v="0"/>
    <s v="Yes"/>
    <n v="0.6"/>
    <n v="0.5"/>
    <n v="0"/>
    <n v="0"/>
    <n v="349920"/>
    <n v="0"/>
    <n v="0"/>
    <m/>
    <n v="0"/>
    <n v="0"/>
    <n v="0"/>
    <n v="0"/>
    <n v="0"/>
    <m/>
    <n v="27"/>
    <n v="0"/>
    <n v="0"/>
    <m/>
    <n v="0"/>
    <x v="0"/>
    <x v="0"/>
    <m/>
    <n v="5"/>
    <m/>
    <n v="0.6"/>
    <s v="Both"/>
    <n v="0"/>
    <n v="4"/>
    <n v="3"/>
    <n v="0"/>
    <n v="0"/>
    <x v="0"/>
    <m/>
    <m/>
    <m/>
    <m/>
    <s v="no test"/>
    <s v="no test"/>
    <x v="1"/>
    <n v="1"/>
    <n v="1"/>
    <n v="1"/>
    <n v="823"/>
    <n v="0"/>
    <n v="0"/>
    <n v="1"/>
    <n v="823"/>
    <n v="1.6459999999999999"/>
    <n v="0"/>
    <n v="0"/>
    <n v="0.35400000000000009"/>
    <n v="2"/>
    <n v="27"/>
    <n v="0.65613608748481167"/>
    <n v="540"/>
    <n v="0.3402187120291616"/>
    <n v="14"/>
    <n v="41"/>
    <n v="0"/>
    <n v="0"/>
    <n v="823"/>
    <n v="0"/>
    <n v="1"/>
    <n v="0"/>
    <n v="0"/>
    <n v="0"/>
    <n v="1"/>
    <n v="1"/>
    <n v="0"/>
    <n v="0"/>
    <n v="0"/>
    <n v="0"/>
    <n v="0"/>
    <n v="96"/>
    <s v="Yes"/>
    <s v="KBC"/>
    <x v="1"/>
    <x v="0"/>
    <x v="0"/>
    <x v="1"/>
    <n v="25.754110000000001"/>
    <n v="98.475719999999995"/>
    <s v="MMR001CMP043"/>
    <x v="0"/>
    <m/>
  </r>
  <r>
    <x v="1"/>
    <x v="4"/>
    <x v="0"/>
    <x v="1"/>
    <x v="15"/>
    <n v="143"/>
    <n v="640"/>
    <m/>
    <s v="OFDA"/>
    <d v="2017-07-31T00:00:00"/>
    <n v="0"/>
    <s v="Yes"/>
    <n v="0.43"/>
    <n v="0"/>
    <n v="0"/>
    <n v="0"/>
    <n v="0"/>
    <n v="0"/>
    <n v="2"/>
    <m/>
    <n v="2"/>
    <n v="2"/>
    <n v="3"/>
    <n v="1"/>
    <n v="0"/>
    <m/>
    <n v="39"/>
    <n v="2"/>
    <n v="0"/>
    <m/>
    <n v="39"/>
    <x v="3"/>
    <x v="2"/>
    <n v="0"/>
    <n v="0"/>
    <m/>
    <n v="0.3"/>
    <s v="Communal"/>
    <n v="0"/>
    <n v="9"/>
    <n v="0"/>
    <n v="0"/>
    <n v="0"/>
    <x v="0"/>
    <m/>
    <n v="1"/>
    <m/>
    <m/>
    <n v="1"/>
    <n v="0.33333333333333331"/>
    <x v="0"/>
    <n v="0"/>
    <n v="0"/>
    <n v="0"/>
    <n v="0"/>
    <n v="0"/>
    <n v="0"/>
    <n v="0"/>
    <n v="0"/>
    <n v="0"/>
    <n v="1"/>
    <n v="640"/>
    <n v="1"/>
    <n v="1"/>
    <n v="41"/>
    <n v="1"/>
    <n v="640"/>
    <n v="0"/>
    <n v="0"/>
    <n v="32"/>
    <n v="4.878048780487805E-2"/>
    <n v="0"/>
    <n v="0"/>
    <n v="0"/>
    <n v="0"/>
    <n v="0"/>
    <n v="0"/>
    <n v="0"/>
    <n v="1"/>
    <n v="0"/>
    <n v="0"/>
    <n v="0"/>
    <n v="0"/>
    <n v="0"/>
    <n v="0"/>
    <n v="42.9"/>
    <s v="Yes"/>
    <s v="Shalom"/>
    <x v="1"/>
    <x v="0"/>
    <x v="0"/>
    <x v="0"/>
    <n v="25.887339999999998"/>
    <n v="98.129990000000006"/>
    <s v="MMR001CMP195"/>
    <x v="0"/>
    <m/>
  </r>
  <r>
    <x v="1"/>
    <x v="5"/>
    <x v="0"/>
    <x v="1"/>
    <x v="16"/>
    <n v="57"/>
    <n v="267"/>
    <m/>
    <s v="DFID/UNICEF"/>
    <d v="2018-12-31T00:00:00"/>
    <n v="0"/>
    <s v="Yes"/>
    <n v="0.6"/>
    <n v="0.3"/>
    <n v="0"/>
    <n v="0"/>
    <n v="4000"/>
    <n v="0"/>
    <n v="4"/>
    <m/>
    <n v="0"/>
    <n v="0"/>
    <n v="0"/>
    <n v="0"/>
    <n v="0"/>
    <s v="Need to be renovation of GFS"/>
    <n v="12"/>
    <n v="0"/>
    <n v="0"/>
    <m/>
    <n v="8"/>
    <x v="0"/>
    <x v="2"/>
    <n v="0"/>
    <n v="0"/>
    <m/>
    <n v="0"/>
    <s v="Communal"/>
    <n v="0"/>
    <n v="3"/>
    <n v="1"/>
    <n v="0"/>
    <n v="0"/>
    <x v="1"/>
    <m/>
    <m/>
    <m/>
    <m/>
    <s v="no test"/>
    <s v="no test"/>
    <x v="1"/>
    <n v="0.99875156054931347"/>
    <n v="0.99875156054931347"/>
    <n v="0.99875156054931347"/>
    <n v="266.66666666666669"/>
    <n v="0"/>
    <n v="0"/>
    <n v="0.99875156054931347"/>
    <n v="266.66666666666669"/>
    <n v="0.53333333333333333"/>
    <n v="1.2484394506865337E-3"/>
    <n v="0.3333333333333045"/>
    <n v="0.46666666666666667"/>
    <n v="1"/>
    <n v="12"/>
    <n v="0.898876404494382"/>
    <n v="240"/>
    <n v="7.4906367041198504E-2"/>
    <n v="1"/>
    <n v="13"/>
    <n v="0"/>
    <n v="0"/>
    <n v="267"/>
    <n v="0"/>
    <n v="1"/>
    <n v="0"/>
    <n v="0"/>
    <n v="0"/>
    <n v="1"/>
    <n v="1"/>
    <n v="0"/>
    <n v="0"/>
    <n v="0"/>
    <n v="0"/>
    <n v="0"/>
    <n v="0"/>
    <s v="Yes"/>
    <s v="KMSS-MYT"/>
    <x v="1"/>
    <x v="0"/>
    <x v="0"/>
    <x v="0"/>
    <n v="25.60867"/>
    <n v="98.377780000000001"/>
    <s v="MMR001CMP210"/>
    <x v="0"/>
    <m/>
  </r>
  <r>
    <x v="1"/>
    <x v="5"/>
    <x v="0"/>
    <x v="1"/>
    <x v="17"/>
    <n v="30"/>
    <n v="173"/>
    <m/>
    <s v="DFID / UNICEF "/>
    <d v="2018-12-31T00:00:00"/>
    <n v="0"/>
    <s v="Yes"/>
    <n v="0.4"/>
    <n v="0.3"/>
    <n v="0"/>
    <n v="0"/>
    <n v="2000"/>
    <n v="0"/>
    <n v="2"/>
    <m/>
    <n v="0"/>
    <n v="0"/>
    <n v="0"/>
    <n v="0"/>
    <n v="0"/>
    <m/>
    <n v="10"/>
    <n v="0"/>
    <n v="0"/>
    <m/>
    <n v="0"/>
    <x v="0"/>
    <x v="2"/>
    <n v="0"/>
    <n v="0"/>
    <m/>
    <n v="0"/>
    <s v="Communal"/>
    <n v="0"/>
    <n v="0"/>
    <n v="1"/>
    <n v="0"/>
    <n v="0"/>
    <x v="1"/>
    <m/>
    <m/>
    <m/>
    <m/>
    <s v="no test"/>
    <s v="no test"/>
    <x v="1"/>
    <n v="0.77071290944123316"/>
    <n v="0.77071290944123316"/>
    <n v="0.77071290944123316"/>
    <n v="133.33333333333334"/>
    <n v="0"/>
    <n v="0"/>
    <n v="0.77071290944123316"/>
    <n v="133.33333333333334"/>
    <n v="0.26666666666666666"/>
    <n v="0.22928709055876684"/>
    <n v="39.666666666666664"/>
    <n v="0.73333333333333339"/>
    <n v="1"/>
    <n v="10"/>
    <n v="1"/>
    <n v="173"/>
    <n v="0"/>
    <n v="0"/>
    <n v="9"/>
    <n v="0"/>
    <n v="0"/>
    <n v="173"/>
    <n v="0"/>
    <n v="1"/>
    <n v="0"/>
    <n v="0"/>
    <n v="0"/>
    <n v="1"/>
    <n v="1"/>
    <n v="0"/>
    <n v="0"/>
    <n v="0"/>
    <n v="0"/>
    <n v="0"/>
    <n v="0"/>
    <s v="Yes"/>
    <s v="KMSS-MYT"/>
    <x v="1"/>
    <x v="0"/>
    <x v="0"/>
    <x v="0"/>
    <n v="25.645959999999999"/>
    <n v="98.356260000000006"/>
    <s v="MMR001CMP225"/>
    <x v="0"/>
    <m/>
  </r>
  <r>
    <x v="1"/>
    <x v="5"/>
    <x v="0"/>
    <x v="2"/>
    <x v="18"/>
    <n v="70"/>
    <n v="350"/>
    <m/>
    <s v="DFID/UNICEF"/>
    <d v="2018-12-31T00:00:00"/>
    <n v="0"/>
    <s v="Yes"/>
    <n v="0.5"/>
    <n v="0.1"/>
    <n v="2"/>
    <n v="0"/>
    <n v="4000"/>
    <n v="0"/>
    <n v="3"/>
    <m/>
    <n v="1"/>
    <n v="0"/>
    <n v="12"/>
    <n v="1"/>
    <n v="0"/>
    <m/>
    <n v="8"/>
    <n v="0"/>
    <n v="0"/>
    <m/>
    <n v="8"/>
    <x v="0"/>
    <x v="2"/>
    <n v="0"/>
    <n v="0"/>
    <m/>
    <n v="0"/>
    <s v="Communal"/>
    <n v="0"/>
    <n v="3"/>
    <n v="2"/>
    <n v="0"/>
    <n v="0"/>
    <x v="1"/>
    <m/>
    <m/>
    <m/>
    <m/>
    <n v="0"/>
    <n v="8.3333333333333329E-2"/>
    <x v="0"/>
    <n v="1"/>
    <n v="1"/>
    <n v="1"/>
    <n v="350"/>
    <n v="0"/>
    <n v="0"/>
    <n v="1"/>
    <n v="350"/>
    <n v="0.7"/>
    <n v="0"/>
    <n v="0"/>
    <n v="0.30000000000000004"/>
    <n v="1"/>
    <n v="8"/>
    <n v="0.45714285714285713"/>
    <n v="160"/>
    <n v="0.5714285714285714"/>
    <n v="10"/>
    <n v="18"/>
    <n v="0"/>
    <n v="0"/>
    <n v="350"/>
    <n v="0"/>
    <n v="1"/>
    <n v="0"/>
    <n v="0"/>
    <n v="0"/>
    <n v="1"/>
    <n v="1"/>
    <n v="0"/>
    <n v="0"/>
    <n v="0"/>
    <n v="0"/>
    <n v="0"/>
    <n v="0"/>
    <s v="Yes"/>
    <s v="KMSS-MYT"/>
    <x v="1"/>
    <x v="0"/>
    <x v="0"/>
    <x v="0"/>
    <n v="25.656009999999998"/>
    <n v="96.361609999999999"/>
    <s v="MMR001CMP168"/>
    <x v="0"/>
    <m/>
  </r>
  <r>
    <x v="1"/>
    <x v="4"/>
    <x v="0"/>
    <x v="2"/>
    <x v="19"/>
    <n v="65"/>
    <n v="350"/>
    <m/>
    <s v="OFDA"/>
    <d v="2017-07-31T00:00:00"/>
    <n v="0"/>
    <s v="Yes"/>
    <n v="0.2"/>
    <n v="1"/>
    <n v="2"/>
    <n v="1"/>
    <n v="1500"/>
    <n v="0"/>
    <n v="3"/>
    <m/>
    <n v="2"/>
    <n v="0"/>
    <n v="1"/>
    <n v="0"/>
    <n v="0"/>
    <m/>
    <n v="20"/>
    <n v="20"/>
    <n v="0"/>
    <s v="one time"/>
    <n v="20"/>
    <x v="0"/>
    <x v="0"/>
    <n v="0"/>
    <n v="0"/>
    <m/>
    <n v="0.5"/>
    <s v="Communal"/>
    <n v="0"/>
    <n v="4"/>
    <n v="0"/>
    <n v="0"/>
    <n v="0"/>
    <x v="0"/>
    <m/>
    <n v="1"/>
    <m/>
    <m/>
    <n v="0"/>
    <n v="0"/>
    <x v="0"/>
    <n v="1"/>
    <n v="1"/>
    <n v="1"/>
    <n v="350"/>
    <n v="0"/>
    <n v="0"/>
    <n v="1"/>
    <n v="350"/>
    <n v="0.7"/>
    <n v="0"/>
    <n v="0"/>
    <n v="0.30000000000000004"/>
    <n v="1"/>
    <n v="40"/>
    <n v="1"/>
    <n v="350"/>
    <n v="0"/>
    <n v="0"/>
    <n v="18"/>
    <n v="0.5"/>
    <n v="0"/>
    <n v="0"/>
    <n v="0"/>
    <n v="0"/>
    <n v="0"/>
    <n v="0"/>
    <n v="0"/>
    <n v="1"/>
    <n v="0"/>
    <n v="0"/>
    <n v="0"/>
    <n v="0"/>
    <n v="0"/>
    <n v="0"/>
    <n v="32.5"/>
    <s v="Yes"/>
    <s v="Shalom"/>
    <x v="1"/>
    <x v="0"/>
    <x v="0"/>
    <x v="0"/>
    <n v="25.635300000000001"/>
    <n v="96.345569999999995"/>
    <s v="MMR001CMP176"/>
    <x v="0"/>
    <m/>
  </r>
  <r>
    <x v="1"/>
    <x v="4"/>
    <x v="0"/>
    <x v="2"/>
    <x v="20"/>
    <n v="14"/>
    <n v="81"/>
    <m/>
    <s v="OFDA"/>
    <d v="2017-07-31T00:00:00"/>
    <n v="0"/>
    <s v="Yes"/>
    <n v="0.5"/>
    <n v="0"/>
    <n v="1"/>
    <n v="0"/>
    <n v="500"/>
    <n v="0"/>
    <n v="1"/>
    <m/>
    <n v="1"/>
    <n v="0"/>
    <n v="1"/>
    <n v="0"/>
    <n v="0"/>
    <m/>
    <n v="4"/>
    <n v="0"/>
    <n v="0"/>
    <m/>
    <n v="4"/>
    <x v="0"/>
    <x v="2"/>
    <n v="0"/>
    <n v="0"/>
    <m/>
    <n v="0.2"/>
    <s v="Communal"/>
    <n v="0"/>
    <n v="2"/>
    <n v="0"/>
    <n v="0"/>
    <n v="0"/>
    <x v="0"/>
    <m/>
    <n v="1"/>
    <m/>
    <m/>
    <n v="0"/>
    <n v="0"/>
    <x v="0"/>
    <n v="1"/>
    <n v="1"/>
    <n v="1"/>
    <n v="81"/>
    <n v="0"/>
    <n v="0"/>
    <n v="1"/>
    <n v="81"/>
    <n v="0.16200000000000001"/>
    <n v="0"/>
    <n v="0"/>
    <n v="0.83799999999999997"/>
    <n v="1"/>
    <n v="4"/>
    <n v="0.98765432098765427"/>
    <n v="80"/>
    <n v="0"/>
    <n v="0"/>
    <n v="4"/>
    <n v="0"/>
    <n v="0"/>
    <n v="0"/>
    <n v="0"/>
    <n v="0"/>
    <n v="0"/>
    <n v="0"/>
    <n v="0"/>
    <n v="1"/>
    <n v="0"/>
    <n v="0"/>
    <n v="0"/>
    <n v="0"/>
    <n v="0"/>
    <n v="0"/>
    <n v="2.8000000000000003"/>
    <s v="Yes"/>
    <s v="Shalom"/>
    <x v="1"/>
    <x v="0"/>
    <x v="0"/>
    <x v="0"/>
    <n v="25.616509000000001"/>
    <n v="96.317350000000005"/>
    <s v="MMR001CMP190"/>
    <x v="0"/>
    <m/>
  </r>
  <r>
    <x v="1"/>
    <x v="4"/>
    <x v="0"/>
    <x v="2"/>
    <x v="21"/>
    <n v="37"/>
    <n v="228"/>
    <m/>
    <s v="OFDA"/>
    <d v="2017-07-31T00:00:00"/>
    <n v="0"/>
    <s v="Yes"/>
    <n v="0.5"/>
    <n v="0"/>
    <n v="2"/>
    <n v="0"/>
    <n v="2000"/>
    <n v="0"/>
    <n v="2"/>
    <m/>
    <n v="1"/>
    <n v="0"/>
    <n v="2"/>
    <n v="0"/>
    <n v="0"/>
    <s v="Water distribution system(overhead tank) is not functioning"/>
    <n v="10"/>
    <n v="4"/>
    <n v="0"/>
    <s v="one time"/>
    <n v="10"/>
    <x v="0"/>
    <x v="0"/>
    <n v="0"/>
    <n v="0"/>
    <m/>
    <n v="0.6"/>
    <s v="Communal"/>
    <n v="0"/>
    <n v="3"/>
    <n v="0"/>
    <n v="0"/>
    <n v="0"/>
    <x v="0"/>
    <m/>
    <n v="1"/>
    <m/>
    <m/>
    <n v="0"/>
    <n v="0"/>
    <x v="0"/>
    <n v="1"/>
    <n v="1"/>
    <n v="1"/>
    <n v="228"/>
    <n v="0"/>
    <n v="0"/>
    <n v="1"/>
    <n v="228"/>
    <n v="0.45600000000000002"/>
    <n v="0"/>
    <n v="0"/>
    <n v="0.54400000000000004"/>
    <n v="1"/>
    <n v="14"/>
    <n v="0.8771929824561403"/>
    <n v="200"/>
    <n v="0"/>
    <n v="0"/>
    <n v="11"/>
    <n v="0.2857142857142857"/>
    <n v="0"/>
    <n v="0"/>
    <n v="0"/>
    <n v="0"/>
    <n v="0"/>
    <n v="0"/>
    <n v="0"/>
    <n v="1"/>
    <n v="0"/>
    <n v="0"/>
    <n v="0"/>
    <n v="0"/>
    <n v="0"/>
    <n v="0"/>
    <n v="22.2"/>
    <s v="Yes"/>
    <s v="KBC"/>
    <x v="1"/>
    <x v="0"/>
    <x v="0"/>
    <x v="0"/>
    <n v="25.647649999999999"/>
    <n v="96.346469999999997"/>
    <s v="MMR001CMP169"/>
    <x v="0"/>
    <m/>
  </r>
  <r>
    <x v="1"/>
    <x v="4"/>
    <x v="0"/>
    <x v="2"/>
    <x v="22"/>
    <n v="5"/>
    <n v="26"/>
    <m/>
    <s v="OFDA"/>
    <d v="2017-07-31T00:00:00"/>
    <n v="0"/>
    <s v="Yes"/>
    <n v="0.25"/>
    <n v="1"/>
    <n v="0"/>
    <n v="0"/>
    <n v="0"/>
    <n v="0"/>
    <n v="1"/>
    <m/>
    <n v="1"/>
    <n v="0"/>
    <n v="0"/>
    <n v="0"/>
    <n v="0"/>
    <s v="This camp using water source from private pipe line distribution."/>
    <n v="2"/>
    <n v="0"/>
    <n v="0"/>
    <s v="one time"/>
    <n v="2"/>
    <x v="0"/>
    <x v="2"/>
    <n v="0"/>
    <n v="0"/>
    <m/>
    <n v="0.5"/>
    <s v="Communal"/>
    <n v="0"/>
    <n v="1"/>
    <n v="0"/>
    <n v="0"/>
    <n v="0"/>
    <x v="0"/>
    <m/>
    <n v="1"/>
    <m/>
    <m/>
    <n v="0"/>
    <s v="no test"/>
    <x v="0"/>
    <n v="0"/>
    <n v="0"/>
    <n v="0"/>
    <n v="0"/>
    <n v="0"/>
    <n v="0"/>
    <n v="0"/>
    <n v="0"/>
    <n v="0"/>
    <n v="1"/>
    <n v="26"/>
    <n v="1"/>
    <n v="1"/>
    <n v="2"/>
    <n v="1"/>
    <n v="26"/>
    <n v="0"/>
    <n v="0"/>
    <n v="1"/>
    <n v="0"/>
    <n v="0"/>
    <n v="0"/>
    <n v="0"/>
    <n v="0"/>
    <n v="0"/>
    <n v="0"/>
    <n v="0"/>
    <n v="1"/>
    <n v="0"/>
    <n v="0"/>
    <n v="0"/>
    <n v="0"/>
    <n v="0"/>
    <n v="0"/>
    <n v="2.5"/>
    <s v="Yes"/>
    <s v="uncovered"/>
    <x v="1"/>
    <x v="0"/>
    <x v="2"/>
    <x v="0"/>
    <n v="25.582065"/>
    <n v="96.283377000000002"/>
    <s v="MMR001CMP109"/>
    <x v="0"/>
    <m/>
  </r>
  <r>
    <x v="1"/>
    <x v="4"/>
    <x v="0"/>
    <x v="2"/>
    <x v="23"/>
    <n v="70"/>
    <n v="365"/>
    <m/>
    <s v="OFDA"/>
    <d v="2017-07-31T00:00:00"/>
    <n v="0"/>
    <s v="Yes"/>
    <n v="0.56999999999999995"/>
    <n v="0"/>
    <n v="1"/>
    <n v="1"/>
    <n v="0"/>
    <n v="0"/>
    <n v="2"/>
    <m/>
    <n v="2"/>
    <n v="1"/>
    <n v="1"/>
    <n v="0"/>
    <n v="0"/>
    <m/>
    <n v="22"/>
    <n v="18"/>
    <n v="4"/>
    <s v="Quarterly"/>
    <n v="22"/>
    <x v="0"/>
    <x v="0"/>
    <n v="0"/>
    <n v="0"/>
    <m/>
    <n v="0.2"/>
    <s v="Communal"/>
    <n v="0"/>
    <n v="3"/>
    <n v="0"/>
    <n v="0"/>
    <n v="0"/>
    <x v="0"/>
    <m/>
    <n v="1"/>
    <m/>
    <m/>
    <n v="0.5"/>
    <n v="0"/>
    <x v="0"/>
    <n v="1"/>
    <n v="1"/>
    <n v="1"/>
    <n v="365"/>
    <n v="0"/>
    <n v="0"/>
    <n v="1"/>
    <n v="365"/>
    <n v="0.73"/>
    <n v="0"/>
    <n v="0"/>
    <n v="0.27"/>
    <n v="1"/>
    <n v="40"/>
    <n v="1"/>
    <n v="365"/>
    <n v="0"/>
    <n v="0"/>
    <n v="18"/>
    <n v="0.45"/>
    <n v="80"/>
    <n v="0"/>
    <n v="0"/>
    <n v="0"/>
    <n v="0"/>
    <n v="0"/>
    <n v="0"/>
    <n v="1"/>
    <n v="0"/>
    <n v="0"/>
    <n v="0"/>
    <n v="0"/>
    <n v="0"/>
    <n v="0"/>
    <n v="14"/>
    <s v="Yes"/>
    <s v="Shalom"/>
    <x v="1"/>
    <x v="0"/>
    <x v="0"/>
    <x v="0"/>
    <n v="25.637309999999999"/>
    <n v="96.35257"/>
    <s v="MMR001CMP174"/>
    <x v="0"/>
    <m/>
  </r>
  <r>
    <x v="1"/>
    <x v="3"/>
    <x v="0"/>
    <x v="2"/>
    <x v="24"/>
    <n v="13"/>
    <n v="46"/>
    <m/>
    <s v="ADRA/CANADA"/>
    <d v="2018-12-31T00:00:00"/>
    <n v="0"/>
    <s v="Yes"/>
    <n v="0.6"/>
    <n v="0.5"/>
    <n v="0"/>
    <n v="3"/>
    <n v="2000"/>
    <n v="0"/>
    <n v="0"/>
    <m/>
    <n v="0"/>
    <n v="0"/>
    <n v="0"/>
    <n v="0"/>
    <n v="0"/>
    <m/>
    <n v="9"/>
    <n v="0"/>
    <n v="0"/>
    <m/>
    <n v="0"/>
    <x v="0"/>
    <x v="2"/>
    <m/>
    <m/>
    <m/>
    <n v="1"/>
    <s v="Communal"/>
    <n v="0"/>
    <n v="2"/>
    <n v="1"/>
    <n v="0"/>
    <n v="0"/>
    <x v="0"/>
    <m/>
    <m/>
    <m/>
    <m/>
    <s v="no test"/>
    <s v="no test"/>
    <x v="1"/>
    <n v="1"/>
    <n v="1"/>
    <n v="1"/>
    <n v="46"/>
    <n v="0"/>
    <n v="0"/>
    <n v="1"/>
    <n v="46"/>
    <n v="9.1999999999999998E-2"/>
    <n v="0"/>
    <n v="0"/>
    <n v="0.90800000000000003"/>
    <n v="1"/>
    <n v="9"/>
    <n v="1"/>
    <n v="46"/>
    <n v="0"/>
    <n v="0"/>
    <n v="2"/>
    <n v="0"/>
    <n v="0"/>
    <n v="46"/>
    <n v="0"/>
    <n v="1"/>
    <n v="0"/>
    <n v="0"/>
    <n v="0"/>
    <n v="1"/>
    <n v="1"/>
    <n v="0"/>
    <n v="0"/>
    <n v="0"/>
    <n v="0"/>
    <n v="0"/>
    <n v="13"/>
    <s v="Yes"/>
    <s v="KBC"/>
    <x v="1"/>
    <x v="0"/>
    <x v="0"/>
    <x v="0"/>
    <n v="25.51352"/>
    <n v="96.705960000000005"/>
    <s v="MMR001CMP148"/>
    <x v="0"/>
    <m/>
  </r>
  <r>
    <x v="1"/>
    <x v="4"/>
    <x v="0"/>
    <x v="2"/>
    <x v="25"/>
    <n v="4"/>
    <n v="27"/>
    <m/>
    <s v="OFDA"/>
    <d v="2017-07-31T00:00:00"/>
    <n v="0"/>
    <s v="Yes"/>
    <n v="1"/>
    <n v="0"/>
    <n v="1"/>
    <n v="0"/>
    <n v="1000"/>
    <n v="0"/>
    <n v="1"/>
    <m/>
    <n v="0"/>
    <n v="0"/>
    <n v="0"/>
    <n v="0"/>
    <n v="0"/>
    <m/>
    <n v="0"/>
    <n v="0"/>
    <n v="0"/>
    <m/>
    <n v="0"/>
    <x v="0"/>
    <x v="2"/>
    <n v="0"/>
    <n v="0"/>
    <m/>
    <n v="0.6"/>
    <s v="Communal"/>
    <n v="0"/>
    <n v="0"/>
    <n v="0"/>
    <n v="0"/>
    <n v="0"/>
    <x v="0"/>
    <m/>
    <m/>
    <m/>
    <m/>
    <s v="no test"/>
    <s v="no test"/>
    <x v="1"/>
    <n v="1"/>
    <n v="1"/>
    <n v="1"/>
    <n v="27"/>
    <n v="0"/>
    <n v="0"/>
    <n v="1"/>
    <n v="27"/>
    <n v="5.3999999999999999E-2"/>
    <n v="0"/>
    <n v="0"/>
    <n v="0.94599999999999995"/>
    <n v="1"/>
    <n v="0"/>
    <n v="0"/>
    <n v="0"/>
    <n v="0.7407407407407407"/>
    <n v="1"/>
    <n v="1"/>
    <n v="0"/>
    <n v="0"/>
    <n v="0"/>
    <n v="0"/>
    <n v="0"/>
    <n v="0"/>
    <n v="0"/>
    <n v="0"/>
    <n v="1"/>
    <n v="0"/>
    <n v="0"/>
    <n v="0"/>
    <n v="0"/>
    <n v="0"/>
    <n v="0"/>
    <n v="2.4"/>
    <s v="Yes"/>
    <s v="uncovered"/>
    <x v="1"/>
    <x v="0"/>
    <x v="2"/>
    <x v="0"/>
    <n v="25.615960999999999"/>
    <n v="96.316564"/>
    <s v="MMR001CMP191"/>
    <x v="0"/>
    <m/>
  </r>
  <r>
    <x v="1"/>
    <x v="4"/>
    <x v="0"/>
    <x v="2"/>
    <x v="26"/>
    <n v="103"/>
    <n v="504"/>
    <m/>
    <s v="OFDA"/>
    <d v="2017-07-31T00:00:00"/>
    <n v="0"/>
    <s v="Yes"/>
    <n v="0.56999999999999995"/>
    <n v="0"/>
    <n v="0"/>
    <n v="1"/>
    <n v="4000"/>
    <n v="0"/>
    <n v="1"/>
    <m/>
    <n v="2"/>
    <n v="0"/>
    <n v="1"/>
    <n v="0"/>
    <n v="0"/>
    <m/>
    <n v="30"/>
    <n v="2"/>
    <n v="0"/>
    <s v="two times"/>
    <n v="30"/>
    <x v="0"/>
    <x v="0"/>
    <n v="0"/>
    <n v="0"/>
    <m/>
    <n v="0.5"/>
    <s v="Communal"/>
    <n v="0"/>
    <n v="4"/>
    <n v="0"/>
    <n v="0"/>
    <n v="0"/>
    <x v="0"/>
    <m/>
    <n v="1"/>
    <m/>
    <m/>
    <n v="0"/>
    <n v="0"/>
    <x v="0"/>
    <n v="1"/>
    <n v="1"/>
    <n v="1"/>
    <n v="504"/>
    <n v="0"/>
    <n v="0"/>
    <n v="1"/>
    <n v="504"/>
    <n v="1.008"/>
    <n v="0"/>
    <n v="0"/>
    <n v="0"/>
    <n v="1"/>
    <n v="32"/>
    <n v="1"/>
    <n v="504"/>
    <n v="0"/>
    <n v="0"/>
    <n v="25"/>
    <n v="6.25E-2"/>
    <n v="0"/>
    <n v="0"/>
    <n v="0"/>
    <n v="0"/>
    <n v="0"/>
    <n v="0"/>
    <n v="0"/>
    <n v="1"/>
    <n v="0"/>
    <n v="0"/>
    <n v="0"/>
    <n v="0"/>
    <n v="0"/>
    <n v="0"/>
    <n v="51.5"/>
    <s v="Yes"/>
    <s v="KBC"/>
    <x v="1"/>
    <x v="0"/>
    <x v="0"/>
    <x v="0"/>
    <n v="25.611160000000002"/>
    <n v="96.312790000000007"/>
    <s v="MMR001CMP229"/>
    <x v="0"/>
    <m/>
  </r>
  <r>
    <x v="1"/>
    <x v="2"/>
    <x v="0"/>
    <x v="2"/>
    <x v="27"/>
    <n v="13"/>
    <n v="56"/>
    <m/>
    <m/>
    <m/>
    <m/>
    <m/>
    <m/>
    <m/>
    <m/>
    <m/>
    <m/>
    <m/>
    <m/>
    <m/>
    <m/>
    <m/>
    <m/>
    <m/>
    <m/>
    <m/>
    <m/>
    <m/>
    <m/>
    <m/>
    <m/>
    <x v="2"/>
    <x v="3"/>
    <m/>
    <m/>
    <m/>
    <m/>
    <m/>
    <m/>
    <m/>
    <m/>
    <m/>
    <m/>
    <x v="0"/>
    <m/>
    <m/>
    <m/>
    <m/>
    <s v="no test"/>
    <s v="no test"/>
    <x v="1"/>
    <n v="0"/>
    <n v="0"/>
    <n v="0"/>
    <n v="0"/>
    <n v="0"/>
    <n v="0"/>
    <n v="0"/>
    <n v="0"/>
    <n v="0"/>
    <n v="1"/>
    <n v="56"/>
    <n v="1"/>
    <n v="1"/>
    <n v="0"/>
    <n v="0"/>
    <n v="0"/>
    <n v="1"/>
    <n v="3"/>
    <n v="3"/>
    <n v="0"/>
    <n v="0"/>
    <n v="0"/>
    <n v="0"/>
    <n v="0"/>
    <n v="0"/>
    <n v="0"/>
    <n v="0"/>
    <n v="1"/>
    <n v="0"/>
    <n v="0"/>
    <n v="0"/>
    <n v="0"/>
    <n v="0"/>
    <n v="0"/>
    <n v="0"/>
    <n v="0"/>
    <s v="uncovered"/>
    <x v="4"/>
    <x v="0"/>
    <x v="2"/>
    <x v="0"/>
    <n v="0"/>
    <n v="0"/>
    <s v="MMR001CMP270"/>
    <x v="1"/>
    <m/>
  </r>
  <r>
    <x v="1"/>
    <x v="2"/>
    <x v="0"/>
    <x v="2"/>
    <x v="28"/>
    <n v="39"/>
    <n v="171"/>
    <m/>
    <m/>
    <m/>
    <m/>
    <m/>
    <m/>
    <m/>
    <m/>
    <m/>
    <m/>
    <m/>
    <m/>
    <m/>
    <m/>
    <m/>
    <m/>
    <m/>
    <m/>
    <m/>
    <m/>
    <m/>
    <m/>
    <m/>
    <m/>
    <x v="2"/>
    <x v="3"/>
    <m/>
    <m/>
    <m/>
    <m/>
    <m/>
    <m/>
    <m/>
    <m/>
    <m/>
    <m/>
    <x v="0"/>
    <m/>
    <m/>
    <m/>
    <m/>
    <s v="no test"/>
    <s v="no test"/>
    <x v="1"/>
    <n v="0"/>
    <n v="0"/>
    <n v="0"/>
    <n v="0"/>
    <n v="0"/>
    <n v="0"/>
    <n v="0"/>
    <n v="0"/>
    <n v="0"/>
    <n v="1"/>
    <n v="171"/>
    <n v="1"/>
    <n v="1"/>
    <n v="0"/>
    <n v="0"/>
    <n v="0"/>
    <n v="1"/>
    <n v="9"/>
    <n v="9"/>
    <n v="0"/>
    <n v="0"/>
    <n v="0"/>
    <n v="0"/>
    <n v="0"/>
    <n v="0"/>
    <n v="0"/>
    <n v="0"/>
    <n v="1"/>
    <n v="0"/>
    <n v="0"/>
    <n v="0"/>
    <n v="0"/>
    <n v="0"/>
    <n v="0"/>
    <n v="0"/>
    <n v="0"/>
    <s v="uncovered"/>
    <x v="4"/>
    <x v="0"/>
    <x v="2"/>
    <x v="0"/>
    <n v="0"/>
    <n v="0"/>
    <s v="MMR001CMP268"/>
    <x v="1"/>
    <m/>
  </r>
  <r>
    <x v="1"/>
    <x v="4"/>
    <x v="0"/>
    <x v="2"/>
    <x v="29"/>
    <n v="123"/>
    <n v="656"/>
    <m/>
    <s v="OFDA"/>
    <d v="2017-07-31T00:00:00"/>
    <n v="0"/>
    <s v="Yes"/>
    <n v="0.4"/>
    <n v="0"/>
    <n v="1"/>
    <n v="1"/>
    <n v="1500"/>
    <m/>
    <n v="2"/>
    <m/>
    <n v="2"/>
    <n v="0"/>
    <n v="2"/>
    <n v="0"/>
    <n v="0"/>
    <m/>
    <n v="28"/>
    <n v="10"/>
    <n v="10"/>
    <s v="two times"/>
    <n v="28"/>
    <x v="0"/>
    <x v="0"/>
    <n v="0"/>
    <n v="0"/>
    <m/>
    <n v="0.4"/>
    <s v="Communal"/>
    <n v="0"/>
    <n v="4"/>
    <n v="0"/>
    <n v="0"/>
    <n v="0"/>
    <x v="0"/>
    <m/>
    <n v="2"/>
    <m/>
    <m/>
    <n v="0"/>
    <n v="0"/>
    <x v="0"/>
    <n v="1"/>
    <n v="0.91463414634146345"/>
    <n v="1"/>
    <n v="656"/>
    <n v="0"/>
    <n v="0"/>
    <n v="1"/>
    <n v="656"/>
    <n v="1.3120000000000001"/>
    <n v="0"/>
    <n v="0"/>
    <n v="0"/>
    <n v="1"/>
    <n v="38"/>
    <n v="0.85365853658536583"/>
    <n v="560"/>
    <n v="0"/>
    <n v="0"/>
    <n v="33"/>
    <n v="0.26315789473684209"/>
    <n v="200"/>
    <n v="0"/>
    <n v="0"/>
    <n v="0"/>
    <n v="0"/>
    <n v="0"/>
    <n v="0"/>
    <n v="1"/>
    <n v="0"/>
    <n v="0"/>
    <n v="0"/>
    <n v="0"/>
    <n v="0"/>
    <n v="0"/>
    <n v="49.2"/>
    <s v="Yes"/>
    <s v="KBC"/>
    <x v="1"/>
    <x v="0"/>
    <x v="0"/>
    <x v="0"/>
    <n v="0"/>
    <n v="0"/>
    <s v="MMR001CMP250"/>
    <x v="0"/>
    <m/>
  </r>
  <r>
    <x v="1"/>
    <x v="4"/>
    <x v="0"/>
    <x v="2"/>
    <x v="30"/>
    <n v="19"/>
    <n v="102"/>
    <m/>
    <s v="OFDA"/>
    <d v="2017-07-31T00:00:00"/>
    <n v="0"/>
    <s v="Yes"/>
    <n v="0.67"/>
    <n v="0"/>
    <n v="1"/>
    <n v="0"/>
    <n v="0"/>
    <n v="0"/>
    <n v="1"/>
    <m/>
    <n v="2"/>
    <n v="0"/>
    <n v="1"/>
    <n v="0"/>
    <n v="0"/>
    <m/>
    <n v="8"/>
    <n v="0"/>
    <n v="0"/>
    <s v="one time"/>
    <n v="8"/>
    <x v="0"/>
    <x v="0"/>
    <n v="0"/>
    <n v="0"/>
    <m/>
    <n v="0.5"/>
    <s v="Communal"/>
    <n v="0"/>
    <n v="4"/>
    <n v="0"/>
    <n v="0"/>
    <n v="0"/>
    <x v="0"/>
    <m/>
    <n v="1"/>
    <m/>
    <m/>
    <n v="0"/>
    <n v="0"/>
    <x v="0"/>
    <n v="1"/>
    <n v="1"/>
    <n v="1"/>
    <n v="102"/>
    <n v="0"/>
    <n v="0"/>
    <n v="1"/>
    <n v="102"/>
    <n v="0.20399999999999999"/>
    <n v="0"/>
    <n v="0"/>
    <n v="0.79600000000000004"/>
    <n v="1"/>
    <n v="8"/>
    <n v="1"/>
    <n v="102"/>
    <n v="0"/>
    <n v="0"/>
    <n v="5"/>
    <n v="0"/>
    <n v="0"/>
    <n v="0"/>
    <n v="0"/>
    <n v="0"/>
    <n v="0"/>
    <n v="0"/>
    <n v="0"/>
    <n v="1"/>
    <n v="0"/>
    <n v="0"/>
    <n v="0"/>
    <n v="0"/>
    <n v="0"/>
    <n v="0"/>
    <n v="9.5"/>
    <s v="Yes"/>
    <s v="Shalom"/>
    <x v="1"/>
    <x v="0"/>
    <x v="0"/>
    <x v="0"/>
    <n v="25.566510000000001"/>
    <n v="96.269199999999998"/>
    <s v="MMR001CMP181"/>
    <x v="0"/>
    <m/>
  </r>
  <r>
    <x v="1"/>
    <x v="4"/>
    <x v="0"/>
    <x v="2"/>
    <x v="31"/>
    <n v="12"/>
    <n v="62"/>
    <m/>
    <s v="OFDA"/>
    <d v="2017-07-31T00:00:00"/>
    <n v="0"/>
    <s v="Yes"/>
    <n v="0.56999999999999995"/>
    <n v="1"/>
    <n v="1"/>
    <n v="0"/>
    <n v="0"/>
    <n v="0"/>
    <n v="1"/>
    <m/>
    <n v="1"/>
    <n v="0"/>
    <n v="2"/>
    <n v="0"/>
    <n v="0"/>
    <m/>
    <n v="4"/>
    <n v="0"/>
    <n v="0"/>
    <s v="one time"/>
    <n v="4"/>
    <x v="0"/>
    <x v="2"/>
    <n v="0"/>
    <n v="0"/>
    <m/>
    <n v="0.6"/>
    <s v="Communal"/>
    <n v="0"/>
    <n v="2"/>
    <n v="0"/>
    <n v="0"/>
    <n v="0"/>
    <x v="0"/>
    <m/>
    <n v="1"/>
    <m/>
    <m/>
    <n v="0"/>
    <n v="0"/>
    <x v="0"/>
    <n v="1"/>
    <n v="1"/>
    <n v="1"/>
    <n v="62"/>
    <n v="0"/>
    <n v="0"/>
    <n v="1"/>
    <n v="62"/>
    <n v="0.124"/>
    <n v="0"/>
    <n v="0"/>
    <n v="0.876"/>
    <n v="1"/>
    <n v="4"/>
    <n v="1"/>
    <n v="62"/>
    <n v="0"/>
    <n v="0"/>
    <n v="3"/>
    <n v="0"/>
    <n v="0"/>
    <n v="0"/>
    <n v="0"/>
    <n v="0"/>
    <n v="0"/>
    <n v="0"/>
    <n v="0"/>
    <n v="1"/>
    <n v="0"/>
    <n v="0"/>
    <n v="0"/>
    <n v="0"/>
    <n v="0"/>
    <n v="0"/>
    <n v="7.1999999999999993"/>
    <s v="Yes"/>
    <s v="Shalom"/>
    <x v="1"/>
    <x v="0"/>
    <x v="0"/>
    <x v="0"/>
    <n v="25.61842"/>
    <n v="96.316400000000002"/>
    <s v="MMR001CMP167"/>
    <x v="0"/>
    <m/>
  </r>
  <r>
    <x v="1"/>
    <x v="5"/>
    <x v="0"/>
    <x v="2"/>
    <x v="32"/>
    <n v="63"/>
    <n v="321"/>
    <m/>
    <s v="DFID/UNICEF"/>
    <d v="2018-12-31T00:00:00"/>
    <n v="0"/>
    <s v="Yes"/>
    <n v="0.7"/>
    <n v="0.7"/>
    <n v="1"/>
    <n v="1"/>
    <n v="10000"/>
    <m/>
    <m/>
    <m/>
    <n v="1"/>
    <n v="1"/>
    <n v="14"/>
    <n v="6"/>
    <m/>
    <m/>
    <n v="9"/>
    <n v="0"/>
    <n v="0"/>
    <m/>
    <n v="0"/>
    <x v="0"/>
    <x v="0"/>
    <m/>
    <m/>
    <m/>
    <m/>
    <s v="Communal"/>
    <m/>
    <n v="3"/>
    <n v="2"/>
    <n v="0"/>
    <n v="0"/>
    <x v="0"/>
    <m/>
    <m/>
    <m/>
    <m/>
    <n v="1"/>
    <n v="0.42857142857142855"/>
    <x v="0"/>
    <n v="1"/>
    <n v="1"/>
    <n v="1"/>
    <n v="321"/>
    <n v="0"/>
    <n v="0"/>
    <n v="1"/>
    <n v="321"/>
    <n v="0.64200000000000002"/>
    <n v="0"/>
    <n v="0"/>
    <n v="0.35799999999999998"/>
    <n v="1"/>
    <n v="9"/>
    <n v="0.56074766355140182"/>
    <n v="179.99999999999997"/>
    <n v="0.43613707165109034"/>
    <n v="7"/>
    <n v="16"/>
    <n v="0"/>
    <n v="0"/>
    <n v="321"/>
    <n v="0"/>
    <n v="1"/>
    <n v="0"/>
    <n v="0"/>
    <n v="0"/>
    <n v="1"/>
    <n v="1"/>
    <n v="0"/>
    <n v="0"/>
    <n v="0"/>
    <n v="0"/>
    <n v="0"/>
    <n v="0"/>
    <n v="0"/>
    <n v="0"/>
    <x v="0"/>
    <x v="0"/>
    <x v="2"/>
    <x v="0"/>
    <n v="0"/>
    <n v="0"/>
    <n v="0"/>
    <x v="0"/>
    <m/>
  </r>
  <r>
    <x v="1"/>
    <x v="4"/>
    <x v="0"/>
    <x v="2"/>
    <x v="33"/>
    <n v="4"/>
    <n v="15"/>
    <m/>
    <s v="OFDA"/>
    <d v="2017-07-31T00:00:00"/>
    <n v="0"/>
    <s v="Yes"/>
    <n v="0.2"/>
    <n v="0"/>
    <n v="1"/>
    <n v="1"/>
    <n v="0"/>
    <n v="0"/>
    <n v="1"/>
    <m/>
    <n v="0"/>
    <n v="0"/>
    <n v="0"/>
    <n v="0"/>
    <n v="0"/>
    <m/>
    <n v="0"/>
    <n v="0"/>
    <n v="0"/>
    <m/>
    <n v="0"/>
    <x v="0"/>
    <x v="2"/>
    <n v="0"/>
    <n v="0"/>
    <m/>
    <n v="0.6"/>
    <s v="Communal"/>
    <n v="0"/>
    <n v="0"/>
    <n v="0"/>
    <n v="0"/>
    <n v="0"/>
    <x v="0"/>
    <m/>
    <m/>
    <m/>
    <m/>
    <s v="no test"/>
    <s v="no test"/>
    <x v="1"/>
    <n v="1"/>
    <n v="1"/>
    <n v="1"/>
    <n v="15"/>
    <n v="0"/>
    <n v="0"/>
    <n v="1"/>
    <n v="15"/>
    <n v="0.03"/>
    <n v="0"/>
    <n v="0"/>
    <n v="0.97"/>
    <n v="1"/>
    <n v="0"/>
    <n v="0"/>
    <n v="0"/>
    <n v="1"/>
    <n v="1"/>
    <n v="1"/>
    <n v="0"/>
    <n v="0"/>
    <n v="0"/>
    <n v="0"/>
    <n v="0"/>
    <n v="0"/>
    <n v="0"/>
    <n v="0"/>
    <n v="1"/>
    <n v="0"/>
    <n v="0"/>
    <n v="0"/>
    <n v="0"/>
    <n v="0"/>
    <n v="0"/>
    <n v="2.4"/>
    <s v="Yes"/>
    <s v="uncovered"/>
    <x v="1"/>
    <x v="0"/>
    <x v="2"/>
    <x v="0"/>
    <n v="25.6145"/>
    <n v="96.319829999999996"/>
    <s v="MMR001CMP091"/>
    <x v="0"/>
    <m/>
  </r>
  <r>
    <x v="1"/>
    <x v="3"/>
    <x v="0"/>
    <x v="2"/>
    <x v="34"/>
    <n v="10"/>
    <n v="18"/>
    <m/>
    <s v="ADRA/CANADA"/>
    <d v="2018-12-31T00:00:00"/>
    <n v="30"/>
    <s v="NA"/>
    <n v="0"/>
    <n v="0.5"/>
    <n v="0"/>
    <n v="0"/>
    <n v="0"/>
    <n v="0"/>
    <n v="0"/>
    <m/>
    <n v="0"/>
    <n v="0"/>
    <n v="0"/>
    <n v="0"/>
    <n v="0"/>
    <m/>
    <n v="0"/>
    <n v="0"/>
    <n v="0"/>
    <m/>
    <n v="0"/>
    <x v="4"/>
    <x v="2"/>
    <m/>
    <m/>
    <m/>
    <n v="0.2"/>
    <s v="Household"/>
    <n v="0"/>
    <n v="0"/>
    <n v="1"/>
    <n v="0"/>
    <n v="0"/>
    <x v="0"/>
    <m/>
    <m/>
    <m/>
    <m/>
    <s v="no test"/>
    <s v="no test"/>
    <x v="1"/>
    <n v="0"/>
    <n v="0"/>
    <n v="0"/>
    <n v="0"/>
    <n v="0"/>
    <n v="0"/>
    <n v="0"/>
    <n v="0"/>
    <n v="0"/>
    <n v="1"/>
    <n v="18"/>
    <n v="1"/>
    <n v="1"/>
    <n v="0"/>
    <n v="0"/>
    <n v="0"/>
    <n v="1"/>
    <n v="1"/>
    <n v="1"/>
    <n v="0"/>
    <n v="0"/>
    <n v="18"/>
    <n v="0"/>
    <n v="1"/>
    <n v="0"/>
    <n v="0"/>
    <n v="0"/>
    <n v="1"/>
    <n v="1"/>
    <n v="0"/>
    <n v="0"/>
    <n v="0"/>
    <n v="0"/>
    <n v="0"/>
    <n v="2"/>
    <s v="Yes"/>
    <s v="KMSS-MYT"/>
    <x v="1"/>
    <x v="0"/>
    <x v="0"/>
    <x v="0"/>
    <n v="25.920006000000001"/>
    <n v="96.662092000000001"/>
    <s v="MMR001CMP247"/>
    <x v="0"/>
    <m/>
  </r>
  <r>
    <x v="1"/>
    <x v="4"/>
    <x v="0"/>
    <x v="2"/>
    <x v="35"/>
    <n v="11"/>
    <n v="45"/>
    <m/>
    <s v="OFDA"/>
    <d v="2017-07-31T00:00:00"/>
    <n v="0"/>
    <s v="Yes"/>
    <n v="0.6"/>
    <n v="0"/>
    <n v="0"/>
    <n v="1"/>
    <n v="1000"/>
    <n v="0"/>
    <n v="1"/>
    <m/>
    <n v="1"/>
    <n v="0"/>
    <n v="2"/>
    <n v="0"/>
    <n v="0"/>
    <m/>
    <n v="5"/>
    <n v="0"/>
    <n v="0"/>
    <s v="two times"/>
    <n v="5"/>
    <x v="0"/>
    <x v="2"/>
    <n v="0"/>
    <n v="0"/>
    <m/>
    <n v="0.6"/>
    <s v="Communal"/>
    <n v="0"/>
    <n v="2"/>
    <n v="0"/>
    <n v="0"/>
    <n v="0"/>
    <x v="0"/>
    <m/>
    <n v="1"/>
    <m/>
    <m/>
    <n v="0"/>
    <n v="0"/>
    <x v="0"/>
    <n v="1"/>
    <n v="1"/>
    <n v="1"/>
    <n v="45"/>
    <n v="0"/>
    <n v="0"/>
    <n v="1"/>
    <n v="45"/>
    <n v="0.09"/>
    <n v="0"/>
    <n v="0"/>
    <n v="0.91"/>
    <n v="1"/>
    <n v="5"/>
    <n v="1"/>
    <n v="45"/>
    <n v="0"/>
    <n v="0"/>
    <n v="2"/>
    <n v="0"/>
    <n v="0"/>
    <n v="0"/>
    <n v="0"/>
    <n v="0"/>
    <n v="0"/>
    <n v="0"/>
    <n v="0"/>
    <n v="1"/>
    <n v="0"/>
    <n v="0"/>
    <n v="0"/>
    <n v="0"/>
    <n v="0"/>
    <n v="0"/>
    <n v="6.6"/>
    <s v="Yes"/>
    <s v="uncovered"/>
    <x v="1"/>
    <x v="0"/>
    <x v="2"/>
    <x v="0"/>
    <n v="25.617998"/>
    <n v="96.339590000000001"/>
    <s v="MMR001CMP192"/>
    <x v="0"/>
    <m/>
  </r>
  <r>
    <x v="1"/>
    <x v="5"/>
    <x v="0"/>
    <x v="2"/>
    <x v="36"/>
    <n v="48"/>
    <n v="221"/>
    <m/>
    <s v="DFID/UNICEF"/>
    <d v="2018-12-31T00:00:00"/>
    <n v="0"/>
    <s v="Yes"/>
    <n v="0.6"/>
    <n v="0.1"/>
    <n v="1"/>
    <n v="1"/>
    <n v="4000"/>
    <n v="0"/>
    <n v="2"/>
    <m/>
    <n v="1"/>
    <n v="0"/>
    <n v="15"/>
    <n v="4"/>
    <n v="0"/>
    <m/>
    <n v="8"/>
    <n v="0"/>
    <n v="0"/>
    <m/>
    <n v="0"/>
    <x v="0"/>
    <x v="0"/>
    <n v="0"/>
    <n v="0"/>
    <m/>
    <n v="0"/>
    <s v="Communal"/>
    <n v="0"/>
    <n v="2"/>
    <n v="2"/>
    <n v="0"/>
    <n v="0"/>
    <x v="1"/>
    <m/>
    <m/>
    <m/>
    <m/>
    <n v="0"/>
    <n v="0.26666666666666666"/>
    <x v="0"/>
    <n v="1"/>
    <n v="1"/>
    <n v="1"/>
    <n v="221"/>
    <n v="0"/>
    <n v="0"/>
    <n v="1"/>
    <n v="221"/>
    <n v="0.442"/>
    <n v="0"/>
    <n v="0"/>
    <n v="0.55800000000000005"/>
    <n v="1"/>
    <n v="8"/>
    <n v="0.72398190045248867"/>
    <n v="160"/>
    <n v="0.27149321266968324"/>
    <n v="3"/>
    <n v="11"/>
    <n v="0"/>
    <n v="0"/>
    <n v="221"/>
    <n v="0"/>
    <n v="1"/>
    <n v="0"/>
    <n v="0"/>
    <n v="0"/>
    <n v="1"/>
    <n v="1"/>
    <n v="0"/>
    <n v="0"/>
    <n v="0"/>
    <n v="0"/>
    <n v="0"/>
    <n v="0"/>
    <s v="Yes"/>
    <s v="KMSS-MYT"/>
    <x v="1"/>
    <x v="0"/>
    <x v="0"/>
    <x v="0"/>
    <n v="25.613894999999999"/>
    <n v="96.341352999999998"/>
    <s v="MMR001CMP103"/>
    <x v="0"/>
    <m/>
  </r>
  <r>
    <x v="1"/>
    <x v="4"/>
    <x v="0"/>
    <x v="2"/>
    <x v="37"/>
    <n v="10"/>
    <n v="37"/>
    <m/>
    <s v="OFDA"/>
    <d v="2017-07-31T00:00:00"/>
    <n v="0"/>
    <s v="Yes"/>
    <n v="0.5"/>
    <n v="0"/>
    <n v="1"/>
    <n v="1"/>
    <n v="0"/>
    <n v="0"/>
    <n v="2"/>
    <m/>
    <n v="1"/>
    <n v="0"/>
    <n v="2"/>
    <n v="0"/>
    <n v="0"/>
    <m/>
    <n v="2"/>
    <n v="2"/>
    <n v="0"/>
    <s v="two times"/>
    <n v="2"/>
    <x v="0"/>
    <x v="0"/>
    <n v="0"/>
    <n v="0"/>
    <m/>
    <n v="0.5"/>
    <s v="Communal"/>
    <n v="0"/>
    <n v="2"/>
    <n v="0"/>
    <n v="0"/>
    <n v="0"/>
    <x v="0"/>
    <m/>
    <n v="1"/>
    <m/>
    <m/>
    <n v="0"/>
    <n v="0"/>
    <x v="0"/>
    <n v="1"/>
    <n v="1"/>
    <n v="1"/>
    <n v="37"/>
    <n v="0"/>
    <n v="0"/>
    <n v="1"/>
    <n v="37"/>
    <n v="7.3999999999999996E-2"/>
    <n v="0"/>
    <n v="0"/>
    <n v="0.92600000000000005"/>
    <n v="1"/>
    <n v="4"/>
    <n v="1"/>
    <n v="37"/>
    <n v="0"/>
    <n v="0"/>
    <n v="2"/>
    <n v="0.5"/>
    <n v="0"/>
    <n v="0"/>
    <n v="0"/>
    <n v="0"/>
    <n v="0"/>
    <n v="0"/>
    <n v="0"/>
    <n v="1"/>
    <n v="0"/>
    <n v="0"/>
    <n v="0"/>
    <n v="0"/>
    <n v="0"/>
    <n v="0"/>
    <n v="5"/>
    <s v="Yes"/>
    <s v="uncovered"/>
    <x v="1"/>
    <x v="0"/>
    <x v="2"/>
    <x v="0"/>
    <n v="25.56551"/>
    <n v="96.279200000000003"/>
    <s v="MMR001CMP182"/>
    <x v="0"/>
    <m/>
  </r>
  <r>
    <x v="1"/>
    <x v="4"/>
    <x v="0"/>
    <x v="2"/>
    <x v="38"/>
    <n v="8"/>
    <n v="25"/>
    <m/>
    <s v="OFDA"/>
    <d v="2017-07-31T00:00:00"/>
    <n v="0"/>
    <s v="Yes"/>
    <n v="0"/>
    <n v="0"/>
    <n v="1"/>
    <n v="0"/>
    <n v="1000"/>
    <n v="0"/>
    <n v="1"/>
    <m/>
    <n v="0"/>
    <n v="0"/>
    <n v="0"/>
    <n v="0"/>
    <n v="0"/>
    <m/>
    <n v="0"/>
    <n v="0"/>
    <n v="0"/>
    <m/>
    <n v="0"/>
    <x v="0"/>
    <x v="2"/>
    <n v="0"/>
    <n v="0"/>
    <m/>
    <n v="0.6"/>
    <s v="Communal"/>
    <n v="0"/>
    <n v="0"/>
    <n v="0"/>
    <n v="0"/>
    <n v="0"/>
    <x v="0"/>
    <m/>
    <m/>
    <m/>
    <m/>
    <s v="no test"/>
    <s v="no test"/>
    <x v="1"/>
    <n v="1"/>
    <n v="1"/>
    <n v="1"/>
    <n v="25"/>
    <n v="0"/>
    <n v="0"/>
    <n v="1"/>
    <n v="25"/>
    <n v="0.05"/>
    <n v="0"/>
    <n v="0"/>
    <n v="0.95"/>
    <n v="1"/>
    <n v="0"/>
    <n v="0"/>
    <n v="0"/>
    <n v="0.8"/>
    <n v="1"/>
    <n v="1"/>
    <n v="0"/>
    <n v="0"/>
    <n v="0"/>
    <n v="0"/>
    <n v="0"/>
    <n v="0"/>
    <n v="0"/>
    <n v="0"/>
    <n v="1"/>
    <n v="0"/>
    <n v="0"/>
    <n v="0"/>
    <n v="0"/>
    <n v="0"/>
    <n v="0"/>
    <n v="4.8"/>
    <s v="Yes"/>
    <s v="KBC"/>
    <x v="1"/>
    <x v="0"/>
    <x v="3"/>
    <x v="0"/>
    <n v="25.668399999999998"/>
    <n v="96.353030000000004"/>
    <s v="MMR001CMP183"/>
    <x v="0"/>
    <m/>
  </r>
  <r>
    <x v="1"/>
    <x v="3"/>
    <x v="0"/>
    <x v="2"/>
    <x v="39"/>
    <n v="30"/>
    <n v="120"/>
    <m/>
    <s v="ADRA/CANADA"/>
    <d v="2018-12-31T00:00:00"/>
    <n v="0"/>
    <s v="Yes"/>
    <n v="0.4"/>
    <n v="0.5"/>
    <n v="1"/>
    <n v="1"/>
    <n v="0"/>
    <n v="0"/>
    <n v="0"/>
    <m/>
    <n v="0"/>
    <n v="0"/>
    <n v="0"/>
    <n v="0"/>
    <n v="0"/>
    <m/>
    <n v="8"/>
    <n v="0"/>
    <n v="0"/>
    <m/>
    <n v="0"/>
    <x v="4"/>
    <x v="2"/>
    <m/>
    <m/>
    <m/>
    <n v="0.2"/>
    <s v="Communal"/>
    <n v="0"/>
    <n v="2"/>
    <n v="1"/>
    <n v="0"/>
    <n v="0"/>
    <x v="0"/>
    <m/>
    <m/>
    <m/>
    <m/>
    <s v="no test"/>
    <s v="no test"/>
    <x v="1"/>
    <n v="1"/>
    <n v="1"/>
    <n v="1"/>
    <n v="120"/>
    <n v="0"/>
    <n v="0"/>
    <n v="1"/>
    <n v="120"/>
    <n v="0.24"/>
    <n v="0"/>
    <n v="0"/>
    <n v="0.76"/>
    <n v="1"/>
    <n v="8"/>
    <n v="1"/>
    <n v="120"/>
    <n v="0"/>
    <n v="0"/>
    <n v="6"/>
    <n v="0"/>
    <n v="0"/>
    <n v="120"/>
    <n v="0"/>
    <n v="1"/>
    <n v="0"/>
    <n v="0"/>
    <n v="0"/>
    <n v="1"/>
    <n v="1"/>
    <n v="0"/>
    <n v="0"/>
    <n v="0"/>
    <n v="0"/>
    <n v="0"/>
    <n v="6"/>
    <s v="Yes"/>
    <s v="KBC"/>
    <x v="1"/>
    <x v="0"/>
    <x v="0"/>
    <x v="0"/>
    <n v="25.920006000000001"/>
    <n v="96.662092000000001"/>
    <s v="MMR001CMP244"/>
    <x v="0"/>
    <m/>
  </r>
  <r>
    <x v="1"/>
    <x v="3"/>
    <x v="0"/>
    <x v="2"/>
    <x v="40"/>
    <n v="6"/>
    <n v="15"/>
    <m/>
    <s v="ADRA/CANADA"/>
    <d v="2018-12-31T00:00:00"/>
    <n v="0"/>
    <s v="Yes"/>
    <n v="0.4"/>
    <n v="0.5"/>
    <n v="0"/>
    <n v="1"/>
    <n v="0"/>
    <n v="0"/>
    <n v="0"/>
    <m/>
    <n v="0"/>
    <n v="0"/>
    <n v="0"/>
    <n v="0"/>
    <n v="0"/>
    <m/>
    <n v="2"/>
    <n v="0"/>
    <n v="0"/>
    <m/>
    <n v="0"/>
    <x v="4"/>
    <x v="0"/>
    <m/>
    <m/>
    <m/>
    <n v="0.2"/>
    <s v="Communal"/>
    <n v="0"/>
    <n v="1"/>
    <n v="1"/>
    <n v="0"/>
    <n v="0"/>
    <x v="0"/>
    <m/>
    <m/>
    <m/>
    <m/>
    <s v="no test"/>
    <s v="no test"/>
    <x v="1"/>
    <n v="1"/>
    <n v="1"/>
    <n v="1"/>
    <n v="15"/>
    <n v="0"/>
    <n v="0"/>
    <n v="1"/>
    <n v="15"/>
    <n v="0.03"/>
    <n v="0"/>
    <n v="0"/>
    <n v="0.97"/>
    <n v="1"/>
    <n v="2"/>
    <n v="1"/>
    <n v="15"/>
    <n v="0"/>
    <n v="0"/>
    <n v="1"/>
    <n v="0"/>
    <n v="0"/>
    <n v="15"/>
    <n v="0"/>
    <n v="1"/>
    <n v="0"/>
    <n v="0"/>
    <n v="0"/>
    <n v="1"/>
    <n v="1"/>
    <n v="0"/>
    <n v="0"/>
    <n v="0"/>
    <n v="0"/>
    <n v="0"/>
    <n v="1.2000000000000002"/>
    <s v="Yes"/>
    <s v="uncovered"/>
    <x v="1"/>
    <x v="0"/>
    <x v="2"/>
    <x v="0"/>
    <n v="25.920006000000001"/>
    <n v="96.662092000000001"/>
    <s v="MMR001CMP246"/>
    <x v="0"/>
    <m/>
  </r>
  <r>
    <x v="1"/>
    <x v="5"/>
    <x v="0"/>
    <x v="2"/>
    <x v="41"/>
    <n v="20"/>
    <n v="84"/>
    <m/>
    <s v="UNICEF"/>
    <d v="2018-12-31T00:00:00"/>
    <n v="0"/>
    <s v="Yes"/>
    <n v="0.5"/>
    <n v="0.5"/>
    <n v="0"/>
    <n v="1"/>
    <n v="2000"/>
    <n v="0"/>
    <n v="0"/>
    <m/>
    <n v="0"/>
    <n v="0"/>
    <n v="0"/>
    <n v="0"/>
    <n v="0"/>
    <m/>
    <n v="4"/>
    <n v="0"/>
    <n v="0"/>
    <m/>
    <n v="0"/>
    <x v="0"/>
    <x v="0"/>
    <m/>
    <m/>
    <m/>
    <n v="0.2"/>
    <s v="Communal"/>
    <n v="0"/>
    <n v="1"/>
    <n v="1"/>
    <n v="0"/>
    <n v="0"/>
    <x v="0"/>
    <m/>
    <m/>
    <m/>
    <m/>
    <s v="no test"/>
    <s v="no test"/>
    <x v="1"/>
    <n v="1"/>
    <n v="1"/>
    <n v="1"/>
    <n v="84"/>
    <n v="0"/>
    <n v="0"/>
    <n v="1"/>
    <n v="84"/>
    <n v="0.16800000000000001"/>
    <n v="0"/>
    <n v="0"/>
    <n v="0.83199999999999996"/>
    <n v="1"/>
    <n v="4"/>
    <n v="0.95238095238095233"/>
    <n v="80"/>
    <n v="0"/>
    <n v="0"/>
    <n v="4"/>
    <n v="0"/>
    <n v="0"/>
    <n v="84"/>
    <n v="0"/>
    <n v="1"/>
    <n v="0"/>
    <n v="0"/>
    <n v="0"/>
    <n v="1"/>
    <n v="1"/>
    <n v="0"/>
    <n v="0"/>
    <n v="0"/>
    <n v="0"/>
    <n v="0"/>
    <n v="4"/>
    <n v="0"/>
    <n v="0"/>
    <x v="0"/>
    <x v="0"/>
    <x v="0"/>
    <x v="0"/>
    <n v="0"/>
    <n v="0"/>
    <n v="0"/>
    <x v="0"/>
    <m/>
  </r>
  <r>
    <x v="1"/>
    <x v="4"/>
    <x v="0"/>
    <x v="2"/>
    <x v="42"/>
    <n v="32"/>
    <n v="173"/>
    <m/>
    <s v="OFDA"/>
    <d v="2017-07-31T00:00:00"/>
    <n v="0"/>
    <s v="Yes"/>
    <n v="0.25"/>
    <n v="0"/>
    <n v="0"/>
    <n v="0"/>
    <n v="500"/>
    <n v="0"/>
    <n v="1"/>
    <m/>
    <n v="1"/>
    <n v="0"/>
    <n v="1"/>
    <n v="1"/>
    <n v="0"/>
    <m/>
    <n v="10"/>
    <n v="4"/>
    <n v="0"/>
    <s v="one time"/>
    <n v="10"/>
    <x v="0"/>
    <x v="0"/>
    <n v="0"/>
    <n v="0"/>
    <m/>
    <n v="0.4"/>
    <s v="Communal"/>
    <n v="0"/>
    <n v="3"/>
    <n v="0"/>
    <n v="0"/>
    <n v="0"/>
    <x v="0"/>
    <m/>
    <n v="1"/>
    <m/>
    <m/>
    <n v="0"/>
    <n v="1"/>
    <x v="0"/>
    <n v="0.19267822736030829"/>
    <n v="0.19267822736030829"/>
    <n v="0.19267822736030829"/>
    <n v="33.333333333333336"/>
    <n v="0"/>
    <n v="0"/>
    <n v="0.19267822736030829"/>
    <n v="33.333333333333336"/>
    <n v="6.6666666666666666E-2"/>
    <n v="0.80732177263969174"/>
    <n v="139.66666666666666"/>
    <n v="0.93333333333333335"/>
    <n v="1"/>
    <n v="14"/>
    <n v="1"/>
    <n v="173"/>
    <n v="0"/>
    <n v="0"/>
    <n v="9"/>
    <n v="0.2857142857142857"/>
    <n v="0"/>
    <n v="0"/>
    <n v="0"/>
    <n v="0"/>
    <n v="0"/>
    <n v="0"/>
    <n v="0"/>
    <n v="1"/>
    <n v="0"/>
    <n v="0"/>
    <n v="0"/>
    <n v="0"/>
    <n v="0"/>
    <n v="0"/>
    <n v="12.8"/>
    <s v="Yes"/>
    <s v="KBC"/>
    <x v="1"/>
    <x v="0"/>
    <x v="0"/>
    <x v="0"/>
    <n v="25.577559999999998"/>
    <n v="96.286680000000004"/>
    <s v="MMR001CMP184"/>
    <x v="0"/>
    <m/>
  </r>
  <r>
    <x v="1"/>
    <x v="4"/>
    <x v="0"/>
    <x v="2"/>
    <x v="43"/>
    <n v="16"/>
    <n v="67"/>
    <m/>
    <s v="OFDA"/>
    <d v="2017-07-31T00:00:00"/>
    <n v="0"/>
    <s v="Yes"/>
    <n v="0.5"/>
    <n v="1"/>
    <n v="1"/>
    <n v="0"/>
    <n v="0"/>
    <n v="0"/>
    <n v="1"/>
    <m/>
    <n v="1"/>
    <n v="0"/>
    <n v="2"/>
    <n v="0"/>
    <n v="0"/>
    <m/>
    <n v="2"/>
    <n v="0"/>
    <n v="2"/>
    <s v="one time"/>
    <n v="2"/>
    <x v="0"/>
    <x v="2"/>
    <n v="0"/>
    <n v="0"/>
    <m/>
    <n v="0.6"/>
    <s v="Communal"/>
    <n v="0"/>
    <n v="2"/>
    <n v="0"/>
    <n v="0"/>
    <n v="0"/>
    <x v="0"/>
    <m/>
    <n v="1"/>
    <m/>
    <m/>
    <n v="0"/>
    <n v="0"/>
    <x v="0"/>
    <n v="1"/>
    <n v="1"/>
    <n v="1"/>
    <n v="67"/>
    <n v="0"/>
    <n v="0"/>
    <n v="1"/>
    <n v="67"/>
    <n v="0.13400000000000001"/>
    <n v="0"/>
    <n v="0"/>
    <n v="0.86599999999999999"/>
    <n v="1"/>
    <n v="2"/>
    <n v="0.59701492537313428"/>
    <n v="40"/>
    <n v="0.29850746268656714"/>
    <n v="1"/>
    <n v="3"/>
    <n v="0"/>
    <n v="40"/>
    <n v="0"/>
    <n v="0"/>
    <n v="0"/>
    <n v="0"/>
    <n v="0"/>
    <n v="0"/>
    <n v="1"/>
    <n v="0"/>
    <n v="0"/>
    <n v="0"/>
    <n v="0"/>
    <n v="0"/>
    <n v="0"/>
    <n v="9.6"/>
    <s v="Yes"/>
    <s v="KBC"/>
    <x v="1"/>
    <x v="0"/>
    <x v="0"/>
    <x v="0"/>
    <n v="25.599250000000001"/>
    <n v="96.306910999999999"/>
    <s v="MMR001CMP105"/>
    <x v="0"/>
    <m/>
  </r>
  <r>
    <x v="1"/>
    <x v="6"/>
    <x v="0"/>
    <x v="3"/>
    <x v="44"/>
    <n v="415"/>
    <n v="1786"/>
    <m/>
    <s v="SCI/FFO"/>
    <d v="2019-11-30T00:00:00"/>
    <n v="0"/>
    <s v="Yes"/>
    <n v="0.6"/>
    <n v="0.1"/>
    <n v="4"/>
    <n v="0"/>
    <n v="23166"/>
    <n v="0"/>
    <n v="0"/>
    <m/>
    <n v="3"/>
    <n v="0"/>
    <n v="44"/>
    <n v="10"/>
    <n v="0"/>
    <m/>
    <n v="160"/>
    <n v="40"/>
    <n v="0"/>
    <m/>
    <n v="0"/>
    <x v="4"/>
    <x v="2"/>
    <n v="0"/>
    <n v="0"/>
    <m/>
    <n v="1"/>
    <s v="Communal"/>
    <n v="0"/>
    <n v="13"/>
    <n v="1"/>
    <n v="374"/>
    <n v="0"/>
    <x v="1"/>
    <m/>
    <n v="7"/>
    <m/>
    <m/>
    <n v="0"/>
    <n v="0.22727272727272727"/>
    <x v="0"/>
    <n v="1"/>
    <n v="1"/>
    <n v="1"/>
    <n v="1786"/>
    <n v="0"/>
    <n v="0"/>
    <n v="1"/>
    <n v="1786"/>
    <n v="3.5720000000000001"/>
    <n v="0"/>
    <n v="0"/>
    <n v="0.42799999999999994"/>
    <n v="4"/>
    <n v="200"/>
    <n v="1"/>
    <n v="1786"/>
    <n v="0"/>
    <n v="0"/>
    <n v="89"/>
    <n v="0.2"/>
    <n v="0"/>
    <n v="500"/>
    <n v="0"/>
    <n v="0"/>
    <n v="0"/>
    <n v="0"/>
    <n v="0"/>
    <n v="1"/>
    <n v="0.27995520716685329"/>
    <n v="0.90120481927710838"/>
    <n v="0"/>
    <n v="1870"/>
    <n v="0"/>
    <n v="1870"/>
    <n v="415"/>
    <s v="Yes"/>
    <s v="KMSS-BMO"/>
    <x v="1"/>
    <x v="0"/>
    <x v="0"/>
    <x v="1"/>
    <n v="24.002433"/>
    <n v="97.609832999999995"/>
    <s v="MMR001CMP129"/>
    <x v="0"/>
    <m/>
  </r>
  <r>
    <x v="1"/>
    <x v="6"/>
    <x v="0"/>
    <x v="3"/>
    <x v="45"/>
    <n v="567"/>
    <n v="2478"/>
    <m/>
    <s v="SCI/FFO"/>
    <d v="2019-11-30T00:00:00"/>
    <n v="0"/>
    <s v="Yes"/>
    <n v="0.5"/>
    <n v="0.1"/>
    <n v="1"/>
    <n v="0"/>
    <n v="7588"/>
    <n v="0"/>
    <n v="0"/>
    <m/>
    <n v="0"/>
    <n v="0"/>
    <n v="0"/>
    <n v="0"/>
    <n v="0"/>
    <m/>
    <n v="124"/>
    <n v="15"/>
    <n v="1"/>
    <m/>
    <n v="0"/>
    <x v="4"/>
    <x v="2"/>
    <n v="0"/>
    <n v="0"/>
    <m/>
    <n v="0"/>
    <s v="Communal"/>
    <n v="0"/>
    <n v="6"/>
    <m/>
    <n v="467"/>
    <n v="0"/>
    <x v="1"/>
    <m/>
    <n v="13"/>
    <m/>
    <m/>
    <s v="no test"/>
    <s v="no test"/>
    <x v="1"/>
    <n v="1"/>
    <n v="0.30503093892924404"/>
    <n v="1"/>
    <n v="2478"/>
    <n v="0"/>
    <n v="0"/>
    <n v="1"/>
    <n v="2478"/>
    <n v="4.9560000000000004"/>
    <n v="0"/>
    <n v="0"/>
    <n v="4.3999999999999595E-2"/>
    <n v="5"/>
    <n v="139"/>
    <n v="1"/>
    <n v="2478"/>
    <n v="0"/>
    <n v="0"/>
    <n v="124"/>
    <n v="0.1079136690647482"/>
    <n v="20"/>
    <n v="0"/>
    <n v="0"/>
    <n v="0"/>
    <n v="0"/>
    <n v="0"/>
    <n v="0"/>
    <n v="1"/>
    <n v="0"/>
    <n v="0.82363315696649031"/>
    <n v="0"/>
    <n v="2335"/>
    <n v="0"/>
    <n v="2335"/>
    <n v="0"/>
    <s v="Yes"/>
    <s v="KMSS-BMO"/>
    <x v="1"/>
    <x v="0"/>
    <x v="0"/>
    <x v="1"/>
    <n v="24.056132999999999"/>
    <n v="97.625617000000005"/>
    <s v="MMR001CMP128"/>
    <x v="0"/>
    <m/>
  </r>
  <r>
    <x v="1"/>
    <x v="3"/>
    <x v="0"/>
    <x v="3"/>
    <x v="46"/>
    <n v="432"/>
    <n v="1855"/>
    <m/>
    <s v="Plan/GFFO,ADRA/CANADA  "/>
    <d v="2019-03-31T00:00:00"/>
    <n v="0"/>
    <s v="Yes"/>
    <n v="0.8"/>
    <n v="0.5"/>
    <n v="0"/>
    <n v="4"/>
    <n v="0"/>
    <n v="0"/>
    <n v="0"/>
    <m/>
    <n v="0"/>
    <n v="0"/>
    <n v="0"/>
    <n v="0"/>
    <n v="0"/>
    <m/>
    <n v="110"/>
    <n v="40"/>
    <n v="0"/>
    <m/>
    <n v="0"/>
    <x v="0"/>
    <x v="2"/>
    <m/>
    <m/>
    <m/>
    <n v="0.6"/>
    <s v="Communal"/>
    <n v="0"/>
    <n v="10"/>
    <n v="3"/>
    <n v="0"/>
    <n v="0"/>
    <x v="0"/>
    <m/>
    <m/>
    <m/>
    <m/>
    <s v="no test"/>
    <s v="no test"/>
    <x v="1"/>
    <n v="1"/>
    <n v="0.53908355795148244"/>
    <n v="1"/>
    <n v="1855"/>
    <n v="0"/>
    <n v="0"/>
    <n v="1"/>
    <n v="1855"/>
    <n v="3.71"/>
    <n v="0"/>
    <n v="0"/>
    <n v="0.29000000000000004"/>
    <n v="4"/>
    <n v="150"/>
    <n v="1"/>
    <n v="1855"/>
    <n v="0"/>
    <n v="0"/>
    <n v="93"/>
    <n v="0.26666666666666666"/>
    <n v="0"/>
    <n v="1500"/>
    <n v="0"/>
    <n v="0"/>
    <n v="0"/>
    <n v="0"/>
    <n v="0"/>
    <n v="1"/>
    <n v="0.80862533692722371"/>
    <n v="0"/>
    <n v="0"/>
    <n v="0"/>
    <n v="0"/>
    <n v="0"/>
    <n v="259.2"/>
    <s v="Yes"/>
    <s v="KBC"/>
    <x v="1"/>
    <x v="0"/>
    <x v="0"/>
    <x v="0"/>
    <n v="23.972453000000002"/>
    <n v="97.225881000000001"/>
    <s v="MMR001CMP218"/>
    <x v="0"/>
    <m/>
  </r>
  <r>
    <x v="1"/>
    <x v="5"/>
    <x v="0"/>
    <x v="3"/>
    <x v="47"/>
    <n v="172"/>
    <n v="803"/>
    <m/>
    <s v="DFID/HARP"/>
    <d v="2020-12-31T00:00:00"/>
    <n v="0"/>
    <s v="No"/>
    <n v="0"/>
    <n v="0"/>
    <n v="3"/>
    <n v="2"/>
    <n v="0"/>
    <n v="0"/>
    <s v="-"/>
    <m/>
    <m/>
    <m/>
    <m/>
    <m/>
    <m/>
    <s v="Already tested the water quality test in Mai Khaung camp and the water quality report has not been develop yet."/>
    <n v="47"/>
    <n v="0"/>
    <m/>
    <m/>
    <n v="0"/>
    <x v="0"/>
    <x v="0"/>
    <m/>
    <m/>
    <m/>
    <n v="0.75"/>
    <s v="Household"/>
    <n v="0"/>
    <n v="4"/>
    <n v="2"/>
    <m/>
    <m/>
    <x v="0"/>
    <m/>
    <m/>
    <m/>
    <s v="Quarterly Hygiene kits distribution is doing by Metta."/>
    <s v="no test"/>
    <s v="no test"/>
    <x v="1"/>
    <n v="1"/>
    <n v="1"/>
    <n v="1"/>
    <n v="803"/>
    <n v="0"/>
    <n v="0"/>
    <n v="1"/>
    <n v="803"/>
    <n v="2"/>
    <n v="0"/>
    <n v="0"/>
    <n v="0"/>
    <n v="2"/>
    <n v="47"/>
    <n v="1"/>
    <n v="803"/>
    <n v="0"/>
    <n v="0"/>
    <n v="40"/>
    <n v="0"/>
    <n v="0"/>
    <n v="803"/>
    <n v="0"/>
    <n v="1"/>
    <n v="0"/>
    <n v="0"/>
    <n v="0"/>
    <n v="1"/>
    <n v="1"/>
    <n v="0"/>
    <n v="0"/>
    <n v="0"/>
    <n v="0"/>
    <n v="0"/>
    <n v="129"/>
    <s v="Yes"/>
    <s v="KMSS-BMO"/>
    <x v="1"/>
    <x v="0"/>
    <x v="0"/>
    <x v="0"/>
    <n v="23.976571"/>
    <n v="97.227057000000002"/>
    <s v="MMR001CMP223"/>
    <x v="0"/>
    <s v="to confirm not found in Q1-2018"/>
  </r>
  <r>
    <x v="1"/>
    <x v="7"/>
    <x v="0"/>
    <x v="3"/>
    <x v="48"/>
    <n v="127"/>
    <n v="647"/>
    <n v="245"/>
    <s v="MHF"/>
    <d v="2018-11-17T00:00:00"/>
    <m/>
    <s v="Yes"/>
    <n v="0.2"/>
    <n v="0.2"/>
    <n v="0"/>
    <n v="1"/>
    <n v="9000"/>
    <n v="1"/>
    <n v="1"/>
    <m/>
    <n v="0"/>
    <n v="0"/>
    <n v="0"/>
    <n v="0"/>
    <n v="0"/>
    <m/>
    <n v="16"/>
    <n v="16"/>
    <n v="10"/>
    <s v="Monthly"/>
    <n v="16"/>
    <x v="0"/>
    <x v="0"/>
    <n v="0"/>
    <n v="0"/>
    <m/>
    <m/>
    <s v="Communal"/>
    <n v="0"/>
    <n v="4"/>
    <n v="1"/>
    <n v="127"/>
    <n v="0"/>
    <x v="0"/>
    <m/>
    <m/>
    <m/>
    <m/>
    <s v="no test"/>
    <s v="no test"/>
    <x v="1"/>
    <n v="1"/>
    <n v="1"/>
    <n v="1"/>
    <n v="647"/>
    <n v="0.38639876352395675"/>
    <n v="250"/>
    <n v="1"/>
    <n v="647"/>
    <n v="1.294"/>
    <n v="0"/>
    <n v="0"/>
    <n v="0"/>
    <n v="1"/>
    <n v="32"/>
    <n v="0.49459041731066461"/>
    <n v="320"/>
    <n v="0"/>
    <n v="0"/>
    <n v="32"/>
    <n v="0.5"/>
    <n v="200"/>
    <n v="500"/>
    <n v="0"/>
    <n v="0"/>
    <n v="1"/>
    <n v="0"/>
    <n v="0"/>
    <n v="1"/>
    <n v="0.77279752704791349"/>
    <n v="1"/>
    <n v="0"/>
    <n v="635"/>
    <n v="0"/>
    <n v="635"/>
    <n v="0"/>
    <s v="Yes"/>
    <s v="KBC"/>
    <x v="1"/>
    <x v="0"/>
    <x v="0"/>
    <x v="0"/>
    <n v="23.83013"/>
    <n v="97.589979999999997"/>
    <s v="MMR001CMP133"/>
    <x v="0"/>
    <m/>
  </r>
  <r>
    <x v="1"/>
    <x v="7"/>
    <x v="0"/>
    <x v="3"/>
    <x v="49"/>
    <n v="117"/>
    <n v="524"/>
    <n v="190"/>
    <s v="MHF"/>
    <d v="2018-11-17T00:00:00"/>
    <m/>
    <s v="Yes"/>
    <n v="0.56999999999999995"/>
    <n v="0.43"/>
    <m/>
    <n v="3"/>
    <n v="153600"/>
    <m/>
    <n v="3"/>
    <m/>
    <m/>
    <m/>
    <m/>
    <m/>
    <m/>
    <m/>
    <n v="29"/>
    <n v="8"/>
    <n v="1"/>
    <s v="Quarterly"/>
    <n v="29"/>
    <x v="3"/>
    <x v="2"/>
    <m/>
    <m/>
    <m/>
    <m/>
    <s v="Communal"/>
    <m/>
    <n v="4"/>
    <n v="1"/>
    <n v="117"/>
    <m/>
    <x v="0"/>
    <m/>
    <m/>
    <m/>
    <m/>
    <s v="no test"/>
    <s v="no test"/>
    <x v="1"/>
    <n v="1"/>
    <n v="1"/>
    <n v="1"/>
    <n v="524"/>
    <n v="0"/>
    <n v="0"/>
    <n v="1"/>
    <n v="524"/>
    <n v="1.048"/>
    <n v="0"/>
    <n v="0"/>
    <n v="0"/>
    <n v="1"/>
    <n v="37"/>
    <n v="1"/>
    <n v="524"/>
    <n v="0"/>
    <n v="0"/>
    <n v="26"/>
    <n v="0.21621621621621623"/>
    <n v="20"/>
    <n v="500"/>
    <n v="0"/>
    <n v="1"/>
    <n v="1"/>
    <n v="524"/>
    <n v="1"/>
    <n v="0"/>
    <n v="0.95419847328244278"/>
    <n v="1"/>
    <n v="0"/>
    <n v="585"/>
    <n v="0"/>
    <n v="585"/>
    <n v="0"/>
    <s v="Yes"/>
    <s v="KBC"/>
    <x v="1"/>
    <x v="0"/>
    <x v="0"/>
    <x v="0"/>
    <n v="23.829599000000002"/>
    <n v="97.590767"/>
    <s v="MMR001CMP230"/>
    <x v="0"/>
    <m/>
  </r>
  <r>
    <x v="1"/>
    <x v="7"/>
    <x v="0"/>
    <x v="3"/>
    <x v="50"/>
    <n v="443"/>
    <n v="2338"/>
    <m/>
    <s v="MHF"/>
    <d v="2018-11-17T00:00:00"/>
    <m/>
    <s v="Yes"/>
    <n v="0.14000000000000001"/>
    <n v="0.14000000000000001"/>
    <n v="1"/>
    <n v="3"/>
    <n v="65500"/>
    <n v="7"/>
    <n v="5"/>
    <m/>
    <n v="0"/>
    <n v="0"/>
    <n v="0"/>
    <n v="0"/>
    <n v="0"/>
    <m/>
    <n v="144"/>
    <n v="10"/>
    <n v="11"/>
    <s v="Monthly"/>
    <n v="154"/>
    <x v="0"/>
    <x v="0"/>
    <n v="0"/>
    <n v="0"/>
    <m/>
    <m/>
    <s v="Communal"/>
    <n v="0"/>
    <n v="16"/>
    <n v="2"/>
    <n v="443"/>
    <n v="0"/>
    <x v="0"/>
    <m/>
    <m/>
    <m/>
    <m/>
    <s v="no test"/>
    <s v="no test"/>
    <x v="1"/>
    <n v="1"/>
    <n v="1"/>
    <n v="1"/>
    <n v="2338"/>
    <n v="0.74850299401197606"/>
    <n v="1750"/>
    <n v="1"/>
    <n v="2338"/>
    <n v="4.6760000000000002"/>
    <n v="0"/>
    <n v="0"/>
    <n v="0.32399999999999984"/>
    <n v="5"/>
    <n v="154"/>
    <n v="1"/>
    <n v="2338"/>
    <n v="0"/>
    <n v="0"/>
    <n v="117"/>
    <n v="6.4935064935064929E-2"/>
    <n v="220"/>
    <n v="1000"/>
    <n v="0"/>
    <n v="0"/>
    <n v="1"/>
    <n v="0"/>
    <n v="0"/>
    <n v="1"/>
    <n v="0.42771599657827203"/>
    <n v="1"/>
    <n v="0"/>
    <n v="2215"/>
    <n v="0"/>
    <n v="2215"/>
    <n v="0"/>
    <s v="Yes"/>
    <s v="KMSS-BMO"/>
    <x v="1"/>
    <x v="0"/>
    <x v="0"/>
    <x v="0"/>
    <n v="23.835319999999999"/>
    <n v="97.578490000000002"/>
    <s v="MMR001CMP132"/>
    <x v="0"/>
    <m/>
  </r>
  <r>
    <x v="1"/>
    <x v="7"/>
    <x v="0"/>
    <x v="3"/>
    <x v="51"/>
    <n v="119"/>
    <n v="637"/>
    <n v="177"/>
    <s v="MHF"/>
    <d v="2018-11-17T00:00:00"/>
    <m/>
    <s v="Yes"/>
    <n v="0.28999999999999998"/>
    <n v="0.28999999999999998"/>
    <n v="1"/>
    <n v="2"/>
    <n v="14286"/>
    <m/>
    <n v="3"/>
    <m/>
    <m/>
    <m/>
    <m/>
    <m/>
    <m/>
    <m/>
    <n v="36"/>
    <m/>
    <m/>
    <m/>
    <n v="36"/>
    <x v="3"/>
    <x v="2"/>
    <m/>
    <m/>
    <m/>
    <m/>
    <m/>
    <m/>
    <n v="3"/>
    <n v="1"/>
    <n v="119"/>
    <m/>
    <x v="0"/>
    <m/>
    <m/>
    <m/>
    <m/>
    <s v="no test"/>
    <s v="no test"/>
    <x v="1"/>
    <n v="1"/>
    <n v="1"/>
    <n v="1"/>
    <n v="637"/>
    <n v="0"/>
    <n v="0"/>
    <n v="1"/>
    <n v="637"/>
    <n v="1.274"/>
    <n v="0"/>
    <n v="0"/>
    <n v="0"/>
    <n v="1"/>
    <n v="36"/>
    <n v="1"/>
    <n v="637"/>
    <n v="0"/>
    <n v="0"/>
    <n v="32"/>
    <n v="0"/>
    <n v="0"/>
    <n v="500"/>
    <n v="0"/>
    <n v="0"/>
    <n v="1"/>
    <n v="0"/>
    <n v="0"/>
    <n v="1"/>
    <n v="0.78492935635792782"/>
    <n v="1"/>
    <n v="0"/>
    <n v="595"/>
    <n v="0"/>
    <n v="595"/>
    <n v="0"/>
    <s v="Yes"/>
    <s v="KMSS-BMO"/>
    <x v="1"/>
    <x v="0"/>
    <x v="0"/>
    <x v="0"/>
    <n v="23.833477999999999"/>
    <n v="97.578367"/>
    <s v="MMR001CMP228"/>
    <x v="0"/>
    <m/>
  </r>
  <r>
    <x v="1"/>
    <x v="2"/>
    <x v="0"/>
    <x v="3"/>
    <x v="52"/>
    <n v="175"/>
    <n v="834"/>
    <m/>
    <m/>
    <m/>
    <m/>
    <s v="No"/>
    <n v="0"/>
    <n v="0"/>
    <m/>
    <m/>
    <m/>
    <m/>
    <m/>
    <m/>
    <m/>
    <m/>
    <m/>
    <m/>
    <m/>
    <m/>
    <n v="0"/>
    <m/>
    <m/>
    <m/>
    <m/>
    <x v="1"/>
    <x v="1"/>
    <m/>
    <m/>
    <m/>
    <m/>
    <m/>
    <m/>
    <m/>
    <m/>
    <m/>
    <m/>
    <x v="0"/>
    <m/>
    <m/>
    <m/>
    <m/>
    <s v="no test"/>
    <s v="no test"/>
    <x v="1"/>
    <n v="0"/>
    <n v="0"/>
    <n v="0"/>
    <n v="0"/>
    <n v="0"/>
    <n v="0"/>
    <n v="0"/>
    <n v="0"/>
    <n v="0"/>
    <n v="1"/>
    <n v="834"/>
    <n v="2"/>
    <n v="2"/>
    <n v="0"/>
    <n v="0"/>
    <n v="0"/>
    <n v="1"/>
    <n v="42"/>
    <n v="42"/>
    <n v="0"/>
    <n v="0"/>
    <n v="0"/>
    <n v="0"/>
    <n v="0"/>
    <n v="0"/>
    <n v="0"/>
    <n v="0"/>
    <n v="1"/>
    <n v="0"/>
    <n v="0"/>
    <n v="0"/>
    <n v="0"/>
    <n v="0"/>
    <n v="0"/>
    <n v="0"/>
    <n v="0"/>
    <s v="uncovered"/>
    <x v="1"/>
    <x v="0"/>
    <x v="1"/>
    <x v="0"/>
    <n v="23.827870999999998"/>
    <n v="97.588291999999996"/>
    <s v="MMR001CMP134"/>
    <x v="1"/>
    <m/>
  </r>
  <r>
    <x v="1"/>
    <x v="1"/>
    <x v="0"/>
    <x v="3"/>
    <x v="53"/>
    <n v="185"/>
    <n v="823"/>
    <m/>
    <s v="USAID,Christian Aid, "/>
    <s v="9/1/2018,1-Dec-2018"/>
    <n v="0"/>
    <s v="Yes"/>
    <n v="0.8"/>
    <n v="0.8"/>
    <n v="3"/>
    <n v="6"/>
    <n v="0"/>
    <n v="0"/>
    <n v="0"/>
    <m/>
    <m/>
    <m/>
    <m/>
    <m/>
    <m/>
    <m/>
    <n v="44"/>
    <n v="0"/>
    <n v="2"/>
    <m/>
    <n v="0"/>
    <x v="0"/>
    <x v="0"/>
    <m/>
    <m/>
    <m/>
    <n v="1"/>
    <s v="Both"/>
    <n v="0"/>
    <n v="7"/>
    <n v="3"/>
    <n v="185"/>
    <n v="185"/>
    <x v="0"/>
    <m/>
    <m/>
    <m/>
    <m/>
    <s v="no test"/>
    <s v="no test"/>
    <x v="1"/>
    <n v="1"/>
    <n v="1"/>
    <n v="1"/>
    <n v="823"/>
    <n v="0"/>
    <n v="0"/>
    <n v="1"/>
    <n v="823"/>
    <n v="1.6459999999999999"/>
    <n v="0"/>
    <n v="0"/>
    <n v="0.35400000000000009"/>
    <n v="2"/>
    <n v="44"/>
    <n v="1"/>
    <n v="823"/>
    <n v="0"/>
    <n v="0"/>
    <n v="41"/>
    <n v="0"/>
    <n v="40"/>
    <n v="823"/>
    <n v="1"/>
    <n v="1"/>
    <n v="1"/>
    <n v="823"/>
    <n v="1"/>
    <n v="0"/>
    <n v="1"/>
    <n v="1"/>
    <n v="1"/>
    <n v="925"/>
    <n v="925"/>
    <n v="925"/>
    <n v="185"/>
    <s v="Yes"/>
    <s v="KBC"/>
    <x v="1"/>
    <x v="0"/>
    <x v="0"/>
    <x v="0"/>
    <n v="24.129059999999999"/>
    <n v="97.291820000000001"/>
    <s v="MMR001CMP066"/>
    <x v="0"/>
    <m/>
  </r>
  <r>
    <x v="1"/>
    <x v="2"/>
    <x v="0"/>
    <x v="3"/>
    <x v="54"/>
    <n v="80"/>
    <n v="290"/>
    <m/>
    <m/>
    <m/>
    <m/>
    <s v="No"/>
    <n v="0"/>
    <n v="0"/>
    <m/>
    <m/>
    <m/>
    <m/>
    <m/>
    <m/>
    <m/>
    <m/>
    <m/>
    <m/>
    <m/>
    <m/>
    <n v="0"/>
    <m/>
    <m/>
    <m/>
    <m/>
    <x v="1"/>
    <x v="1"/>
    <m/>
    <m/>
    <m/>
    <m/>
    <m/>
    <m/>
    <m/>
    <m/>
    <m/>
    <m/>
    <x v="0"/>
    <m/>
    <m/>
    <m/>
    <m/>
    <s v="no test"/>
    <s v="no test"/>
    <x v="1"/>
    <n v="0"/>
    <n v="0"/>
    <n v="0"/>
    <n v="0"/>
    <n v="0"/>
    <n v="0"/>
    <n v="0"/>
    <n v="0"/>
    <n v="0"/>
    <n v="1"/>
    <n v="290"/>
    <n v="1"/>
    <n v="1"/>
    <n v="0"/>
    <n v="0"/>
    <n v="0"/>
    <n v="1"/>
    <n v="15"/>
    <n v="15"/>
    <n v="0"/>
    <n v="0"/>
    <n v="0"/>
    <n v="0"/>
    <n v="0"/>
    <n v="0"/>
    <n v="0"/>
    <n v="0"/>
    <n v="1"/>
    <n v="0"/>
    <n v="0"/>
    <n v="0"/>
    <n v="0"/>
    <n v="0"/>
    <n v="0"/>
    <n v="0"/>
    <n v="0"/>
    <s v="uncovered"/>
    <x v="1"/>
    <x v="0"/>
    <x v="1"/>
    <x v="0"/>
    <n v="24.118618999999999"/>
    <n v="97.298055000000005"/>
    <s v="MMR001CMP196"/>
    <x v="1"/>
    <m/>
  </r>
  <r>
    <x v="1"/>
    <x v="5"/>
    <x v="0"/>
    <x v="3"/>
    <x v="55"/>
    <n v="16"/>
    <n v="89"/>
    <m/>
    <s v="DFID/HARP"/>
    <d v="2017-09-30T00:00:00"/>
    <n v="0"/>
    <s v="No"/>
    <n v="0"/>
    <n v="0"/>
    <n v="1"/>
    <n v="0"/>
    <m/>
    <n v="0"/>
    <m/>
    <m/>
    <m/>
    <m/>
    <m/>
    <m/>
    <m/>
    <s v="Not safe"/>
    <n v="0"/>
    <n v="0"/>
    <m/>
    <m/>
    <n v="0"/>
    <x v="1"/>
    <x v="1"/>
    <m/>
    <m/>
    <m/>
    <n v="0"/>
    <m/>
    <n v="0"/>
    <n v="1"/>
    <n v="0"/>
    <m/>
    <m/>
    <x v="0"/>
    <m/>
    <m/>
    <m/>
    <m/>
    <s v="no test"/>
    <s v="no test"/>
    <x v="1"/>
    <n v="1"/>
    <n v="1"/>
    <n v="1"/>
    <n v="89"/>
    <n v="0"/>
    <n v="0"/>
    <n v="1"/>
    <n v="89"/>
    <n v="0.17799999999999999"/>
    <n v="0"/>
    <n v="0"/>
    <n v="0.82200000000000006"/>
    <n v="1"/>
    <n v="0"/>
    <n v="0"/>
    <n v="0"/>
    <n v="0.898876404494382"/>
    <n v="4"/>
    <n v="4"/>
    <n v="0"/>
    <n v="0"/>
    <n v="0"/>
    <n v="0"/>
    <n v="0"/>
    <n v="0"/>
    <n v="0"/>
    <n v="0"/>
    <n v="1"/>
    <n v="0"/>
    <n v="0"/>
    <n v="0"/>
    <n v="0"/>
    <n v="0"/>
    <n v="0"/>
    <n v="0"/>
    <n v="0"/>
    <n v="0"/>
    <x v="0"/>
    <x v="0"/>
    <x v="0"/>
    <x v="0"/>
    <n v="0"/>
    <n v="0"/>
    <n v="0"/>
    <x v="0"/>
    <s v="to confirm not found in Q1-2018"/>
  </r>
  <r>
    <x v="1"/>
    <x v="5"/>
    <x v="0"/>
    <x v="4"/>
    <x v="56"/>
    <n v="31"/>
    <n v="96"/>
    <m/>
    <s v="UNICEF"/>
    <d v="2018-12-31T00:00:00"/>
    <n v="0"/>
    <s v="Yes"/>
    <n v="0.5"/>
    <n v="0.5"/>
    <n v="1"/>
    <n v="0"/>
    <n v="5000"/>
    <n v="0"/>
    <n v="0"/>
    <m/>
    <n v="0"/>
    <n v="0"/>
    <n v="0"/>
    <n v="0"/>
    <n v="0"/>
    <m/>
    <n v="4"/>
    <n v="0"/>
    <n v="0"/>
    <m/>
    <n v="0"/>
    <x v="0"/>
    <x v="2"/>
    <n v="0"/>
    <m/>
    <m/>
    <m/>
    <s v="Communal"/>
    <n v="0"/>
    <n v="1"/>
    <n v="2"/>
    <n v="0"/>
    <n v="0"/>
    <x v="0"/>
    <m/>
    <m/>
    <m/>
    <s v="Need Hygiene Promotion "/>
    <s v="no test"/>
    <s v="no test"/>
    <x v="1"/>
    <n v="1"/>
    <n v="1"/>
    <n v="1"/>
    <n v="96"/>
    <n v="0"/>
    <n v="0"/>
    <n v="1"/>
    <n v="96"/>
    <n v="0.192"/>
    <n v="0"/>
    <n v="0"/>
    <n v="0.80800000000000005"/>
    <n v="1"/>
    <n v="4"/>
    <n v="0.83333333333333337"/>
    <n v="80"/>
    <n v="0.20833333333333334"/>
    <n v="1"/>
    <n v="5"/>
    <n v="0"/>
    <n v="0"/>
    <n v="96"/>
    <n v="0"/>
    <n v="1"/>
    <n v="0"/>
    <n v="0"/>
    <n v="0"/>
    <n v="1"/>
    <n v="1"/>
    <n v="0"/>
    <n v="0"/>
    <n v="0"/>
    <n v="0"/>
    <n v="0"/>
    <n v="0"/>
    <n v="0"/>
    <s v="uncovered"/>
    <x v="4"/>
    <x v="0"/>
    <x v="2"/>
    <x v="0"/>
    <n v="0"/>
    <n v="0"/>
    <s v="MMR001CMP262"/>
    <x v="0"/>
    <m/>
  </r>
  <r>
    <x v="1"/>
    <x v="3"/>
    <x v="0"/>
    <x v="4"/>
    <x v="57"/>
    <n v="13"/>
    <n v="66"/>
    <m/>
    <s v="ADRA/CANADA"/>
    <d v="2018-12-31T00:00:00"/>
    <n v="0"/>
    <s v="Yes"/>
    <n v="0.8"/>
    <n v="0.8"/>
    <n v="0"/>
    <n v="2"/>
    <n v="2000"/>
    <n v="0"/>
    <n v="0"/>
    <m/>
    <n v="0"/>
    <n v="0"/>
    <n v="0"/>
    <n v="0"/>
    <n v="0"/>
    <m/>
    <n v="6"/>
    <n v="0"/>
    <n v="4"/>
    <m/>
    <n v="0"/>
    <x v="0"/>
    <x v="2"/>
    <m/>
    <m/>
    <m/>
    <n v="0.6"/>
    <s v="Communal"/>
    <n v="0"/>
    <n v="2"/>
    <n v="1"/>
    <n v="0"/>
    <n v="0"/>
    <x v="0"/>
    <m/>
    <m/>
    <m/>
    <m/>
    <s v="no test"/>
    <s v="no test"/>
    <x v="1"/>
    <n v="1"/>
    <n v="1"/>
    <n v="1"/>
    <n v="66"/>
    <n v="0"/>
    <n v="0"/>
    <n v="1"/>
    <n v="66"/>
    <n v="0.13200000000000001"/>
    <n v="0"/>
    <n v="0"/>
    <n v="0.86799999999999999"/>
    <n v="1"/>
    <n v="6"/>
    <n v="1"/>
    <n v="66"/>
    <n v="0"/>
    <n v="0"/>
    <n v="3"/>
    <n v="0"/>
    <n v="66"/>
    <n v="66"/>
    <n v="0"/>
    <n v="1"/>
    <n v="0"/>
    <n v="0"/>
    <n v="0"/>
    <n v="1"/>
    <n v="1"/>
    <n v="0"/>
    <n v="0"/>
    <n v="0"/>
    <n v="0"/>
    <n v="0"/>
    <n v="7.8"/>
    <s v="Yes"/>
    <s v="KBC"/>
    <x v="1"/>
    <x v="0"/>
    <x v="0"/>
    <x v="0"/>
    <n v="25.305669999999999"/>
    <n v="96.922619999999995"/>
    <s v="MMR001CMP078"/>
    <x v="0"/>
    <m/>
  </r>
  <r>
    <x v="1"/>
    <x v="2"/>
    <x v="0"/>
    <x v="4"/>
    <x v="58"/>
    <n v="79"/>
    <n v="419"/>
    <m/>
    <m/>
    <m/>
    <m/>
    <m/>
    <m/>
    <m/>
    <m/>
    <m/>
    <m/>
    <m/>
    <m/>
    <m/>
    <m/>
    <m/>
    <m/>
    <m/>
    <m/>
    <m/>
    <m/>
    <m/>
    <m/>
    <m/>
    <m/>
    <x v="2"/>
    <x v="3"/>
    <m/>
    <m/>
    <m/>
    <m/>
    <m/>
    <m/>
    <m/>
    <m/>
    <m/>
    <m/>
    <x v="0"/>
    <m/>
    <m/>
    <m/>
    <m/>
    <s v="no test"/>
    <s v="no test"/>
    <x v="1"/>
    <n v="0"/>
    <n v="0"/>
    <n v="0"/>
    <n v="0"/>
    <n v="0"/>
    <n v="0"/>
    <n v="0"/>
    <n v="0"/>
    <n v="0"/>
    <n v="1"/>
    <n v="419"/>
    <n v="1"/>
    <n v="1"/>
    <n v="0"/>
    <n v="0"/>
    <n v="0"/>
    <n v="1"/>
    <n v="21"/>
    <n v="21"/>
    <n v="0"/>
    <n v="0"/>
    <n v="0"/>
    <n v="0"/>
    <n v="0"/>
    <n v="0"/>
    <n v="0"/>
    <n v="0"/>
    <n v="1"/>
    <n v="0"/>
    <n v="0"/>
    <n v="0"/>
    <n v="0"/>
    <n v="0"/>
    <n v="0"/>
    <n v="0"/>
    <n v="0"/>
    <n v="0"/>
    <x v="4"/>
    <x v="0"/>
    <x v="2"/>
    <x v="0"/>
    <n v="0"/>
    <n v="0"/>
    <n v="0"/>
    <x v="1"/>
    <m/>
  </r>
  <r>
    <x v="1"/>
    <x v="5"/>
    <x v="0"/>
    <x v="4"/>
    <x v="59"/>
    <n v="79"/>
    <n v="321"/>
    <m/>
    <s v="UNICEF"/>
    <d v="2018-12-31T00:00:00"/>
    <n v="0"/>
    <s v="Yes"/>
    <n v="0.4"/>
    <n v="0.4"/>
    <n v="1"/>
    <n v="0"/>
    <n v="5000"/>
    <n v="0"/>
    <n v="0"/>
    <m/>
    <n v="0"/>
    <n v="0"/>
    <n v="0"/>
    <n v="0"/>
    <n v="0"/>
    <m/>
    <n v="8"/>
    <n v="0"/>
    <n v="0"/>
    <m/>
    <n v="0"/>
    <x v="0"/>
    <x v="2"/>
    <m/>
    <m/>
    <m/>
    <m/>
    <s v="Communal"/>
    <n v="1"/>
    <n v="0"/>
    <n v="2"/>
    <n v="0"/>
    <n v="0"/>
    <x v="0"/>
    <m/>
    <m/>
    <m/>
    <s v="Need Hygiene Promotion "/>
    <s v="no test"/>
    <s v="no test"/>
    <x v="1"/>
    <n v="1"/>
    <n v="1"/>
    <n v="1"/>
    <n v="321"/>
    <n v="0"/>
    <n v="0"/>
    <n v="1"/>
    <n v="321"/>
    <n v="0.64200000000000002"/>
    <n v="0"/>
    <n v="0"/>
    <n v="0.35799999999999998"/>
    <n v="1"/>
    <n v="8"/>
    <n v="0.49844236760124611"/>
    <n v="160"/>
    <n v="0.49844236760124611"/>
    <n v="8"/>
    <n v="16"/>
    <n v="0"/>
    <n v="0"/>
    <n v="321"/>
    <n v="0"/>
    <n v="1"/>
    <n v="0"/>
    <n v="0"/>
    <n v="0"/>
    <n v="1"/>
    <n v="1"/>
    <n v="0"/>
    <n v="0"/>
    <n v="0"/>
    <n v="0"/>
    <n v="0"/>
    <n v="0"/>
    <n v="0"/>
    <s v="uncovered"/>
    <x v="4"/>
    <x v="0"/>
    <x v="2"/>
    <x v="0"/>
    <n v="97.013800000000003"/>
    <n v="25.383465999999999"/>
    <s v="MMR001CMP260"/>
    <x v="0"/>
    <m/>
  </r>
  <r>
    <x v="1"/>
    <x v="3"/>
    <x v="0"/>
    <x v="4"/>
    <x v="60"/>
    <n v="16"/>
    <n v="98"/>
    <m/>
    <s v="ADRA/CANADA"/>
    <d v="2018-12-31T00:00:00"/>
    <n v="0"/>
    <s v="Yes"/>
    <n v="0.8"/>
    <n v="0.8"/>
    <n v="0"/>
    <n v="2"/>
    <n v="2000"/>
    <n v="0"/>
    <n v="0"/>
    <m/>
    <n v="0"/>
    <n v="0"/>
    <n v="0"/>
    <n v="0"/>
    <n v="0"/>
    <m/>
    <n v="2"/>
    <n v="0"/>
    <n v="0"/>
    <m/>
    <n v="0"/>
    <x v="0"/>
    <x v="2"/>
    <m/>
    <m/>
    <m/>
    <n v="0.6"/>
    <s v="Communal"/>
    <n v="0"/>
    <n v="2"/>
    <n v="1"/>
    <n v="0"/>
    <n v="0"/>
    <x v="0"/>
    <m/>
    <m/>
    <m/>
    <m/>
    <s v="no test"/>
    <s v="no test"/>
    <x v="1"/>
    <n v="1"/>
    <n v="1"/>
    <n v="1"/>
    <n v="98"/>
    <n v="0"/>
    <n v="0"/>
    <n v="1"/>
    <n v="98"/>
    <n v="0.19600000000000001"/>
    <n v="0"/>
    <n v="0"/>
    <n v="0.80400000000000005"/>
    <n v="1"/>
    <n v="2"/>
    <n v="0.40816326530612246"/>
    <n v="40"/>
    <n v="0.61224489795918358"/>
    <n v="3"/>
    <n v="5"/>
    <n v="0"/>
    <n v="0"/>
    <n v="98"/>
    <n v="0"/>
    <n v="1"/>
    <n v="0"/>
    <n v="0"/>
    <n v="0"/>
    <n v="1"/>
    <n v="1"/>
    <n v="0"/>
    <n v="0"/>
    <n v="0"/>
    <n v="0"/>
    <n v="0"/>
    <n v="9.6"/>
    <s v="Yes"/>
    <s v="KBC"/>
    <x v="1"/>
    <x v="0"/>
    <x v="0"/>
    <x v="0"/>
    <n v="25.296579999999999"/>
    <n v="96.942279999999997"/>
    <s v="MMR001CMP077"/>
    <x v="0"/>
    <m/>
  </r>
  <r>
    <x v="1"/>
    <x v="5"/>
    <x v="0"/>
    <x v="4"/>
    <x v="61"/>
    <n v="20"/>
    <n v="105"/>
    <m/>
    <s v="UNICEF"/>
    <d v="2018-12-31T00:00:00"/>
    <n v="0"/>
    <s v="Yes"/>
    <n v="0.4"/>
    <n v="0.1"/>
    <n v="3"/>
    <n v="0"/>
    <n v="6000"/>
    <n v="0"/>
    <n v="0"/>
    <m/>
    <n v="0"/>
    <n v="0"/>
    <n v="0"/>
    <n v="0"/>
    <n v="0"/>
    <m/>
    <n v="20"/>
    <n v="0"/>
    <n v="0"/>
    <m/>
    <n v="0"/>
    <x v="0"/>
    <x v="2"/>
    <n v="0"/>
    <n v="0"/>
    <m/>
    <n v="0"/>
    <s v="Communal"/>
    <n v="0"/>
    <n v="0"/>
    <n v="0"/>
    <n v="0"/>
    <n v="0"/>
    <x v="1"/>
    <m/>
    <m/>
    <m/>
    <m/>
    <s v="no test"/>
    <s v="no test"/>
    <x v="1"/>
    <n v="1"/>
    <n v="1"/>
    <n v="1"/>
    <n v="105"/>
    <n v="0"/>
    <n v="0"/>
    <n v="1"/>
    <n v="105"/>
    <n v="0.21"/>
    <n v="0"/>
    <n v="0"/>
    <n v="0.79"/>
    <n v="1"/>
    <n v="20"/>
    <n v="1"/>
    <n v="105"/>
    <n v="0"/>
    <n v="0"/>
    <n v="5"/>
    <n v="0"/>
    <n v="0"/>
    <n v="0"/>
    <n v="0"/>
    <n v="0"/>
    <n v="0"/>
    <n v="0"/>
    <n v="0"/>
    <n v="1"/>
    <n v="0"/>
    <n v="0"/>
    <n v="0"/>
    <n v="0"/>
    <n v="0"/>
    <n v="0"/>
    <n v="0"/>
    <n v="0"/>
    <n v="0"/>
    <x v="1"/>
    <x v="0"/>
    <x v="3"/>
    <x v="0"/>
    <n v="25.299679999999999"/>
    <n v="96.942279999999997"/>
    <s v="MMR001CMP237"/>
    <x v="0"/>
    <m/>
  </r>
  <r>
    <x v="1"/>
    <x v="5"/>
    <x v="0"/>
    <x v="4"/>
    <x v="62"/>
    <n v="45"/>
    <n v="220"/>
    <m/>
    <s v="UNICEF"/>
    <d v="2018-12-31T00:00:00"/>
    <n v="0"/>
    <s v="Yes"/>
    <n v="0.4"/>
    <n v="0.4"/>
    <n v="3"/>
    <n v="0"/>
    <n v="8000"/>
    <n v="0"/>
    <n v="0"/>
    <m/>
    <n v="0"/>
    <n v="0"/>
    <n v="0"/>
    <n v="0"/>
    <n v="0"/>
    <m/>
    <n v="7"/>
    <n v="1"/>
    <n v="0"/>
    <m/>
    <n v="0"/>
    <x v="0"/>
    <x v="2"/>
    <n v="0"/>
    <n v="0"/>
    <m/>
    <m/>
    <s v="Communal"/>
    <n v="1"/>
    <n v="0"/>
    <n v="2"/>
    <n v="0"/>
    <n v="0"/>
    <x v="0"/>
    <m/>
    <m/>
    <m/>
    <s v="Need Hygiene Promotion "/>
    <s v="no test"/>
    <s v="no test"/>
    <x v="1"/>
    <n v="1"/>
    <n v="1"/>
    <n v="1"/>
    <n v="220"/>
    <n v="0"/>
    <n v="0"/>
    <n v="1"/>
    <n v="220"/>
    <n v="0.44"/>
    <n v="0"/>
    <n v="0"/>
    <n v="0.56000000000000005"/>
    <n v="1"/>
    <n v="8"/>
    <n v="0.63636363636363635"/>
    <n v="140"/>
    <n v="0.27272727272727271"/>
    <n v="3"/>
    <n v="11"/>
    <n v="0.125"/>
    <n v="0"/>
    <n v="220"/>
    <n v="0"/>
    <n v="1"/>
    <n v="0"/>
    <n v="0"/>
    <n v="0"/>
    <n v="1"/>
    <n v="1"/>
    <n v="0"/>
    <n v="0"/>
    <n v="0"/>
    <n v="0"/>
    <n v="0"/>
    <n v="0"/>
    <n v="0"/>
    <s v="uncovered"/>
    <x v="4"/>
    <x v="0"/>
    <x v="2"/>
    <x v="0"/>
    <n v="97.010629910000006"/>
    <n v="25.370330525559201"/>
    <s v="MMR001CMP259"/>
    <x v="0"/>
    <m/>
  </r>
  <r>
    <x v="1"/>
    <x v="3"/>
    <x v="0"/>
    <x v="4"/>
    <x v="63"/>
    <n v="33"/>
    <n v="154"/>
    <m/>
    <s v="ADRA/CANADA"/>
    <d v="2018-12-31T00:00:00"/>
    <m/>
    <m/>
    <m/>
    <m/>
    <m/>
    <m/>
    <m/>
    <m/>
    <m/>
    <m/>
    <m/>
    <m/>
    <m/>
    <m/>
    <m/>
    <m/>
    <n v="2"/>
    <m/>
    <m/>
    <m/>
    <m/>
    <x v="2"/>
    <x v="3"/>
    <m/>
    <m/>
    <m/>
    <m/>
    <m/>
    <m/>
    <m/>
    <m/>
    <m/>
    <m/>
    <x v="0"/>
    <m/>
    <m/>
    <m/>
    <m/>
    <s v="no test"/>
    <s v="no test"/>
    <x v="1"/>
    <n v="0"/>
    <n v="0"/>
    <n v="0"/>
    <n v="0"/>
    <n v="0"/>
    <n v="0"/>
    <n v="0"/>
    <n v="0"/>
    <n v="0"/>
    <n v="1"/>
    <n v="154"/>
    <n v="1"/>
    <n v="1"/>
    <n v="0"/>
    <n v="0"/>
    <n v="0"/>
    <n v="1"/>
    <n v="8"/>
    <n v="8"/>
    <n v="0"/>
    <n v="0"/>
    <n v="0"/>
    <n v="0"/>
    <n v="0"/>
    <n v="0"/>
    <n v="0"/>
    <n v="0"/>
    <n v="1"/>
    <n v="0"/>
    <n v="0"/>
    <n v="0"/>
    <n v="0"/>
    <n v="0"/>
    <n v="0"/>
    <n v="0"/>
    <n v="0"/>
    <n v="0"/>
    <x v="4"/>
    <x v="0"/>
    <x v="2"/>
    <x v="0"/>
    <n v="0"/>
    <n v="0"/>
    <n v="0"/>
    <x v="0"/>
    <m/>
  </r>
  <r>
    <x v="1"/>
    <x v="8"/>
    <x v="0"/>
    <x v="4"/>
    <x v="64"/>
    <n v="112"/>
    <n v="474"/>
    <m/>
    <s v="ADRA/CANADA,UNICEF"/>
    <d v="2018-12-31T00:00:00"/>
    <n v="0"/>
    <s v="Yes"/>
    <n v="0.5"/>
    <n v="0.5"/>
    <n v="1"/>
    <n v="0"/>
    <n v="5000"/>
    <n v="0"/>
    <n v="0"/>
    <n v="0"/>
    <n v="0"/>
    <n v="0"/>
    <n v="0"/>
    <n v="0"/>
    <n v="0"/>
    <m/>
    <n v="16"/>
    <n v="0"/>
    <n v="0"/>
    <m/>
    <n v="8"/>
    <x v="0"/>
    <x v="2"/>
    <n v="0"/>
    <n v="0"/>
    <m/>
    <m/>
    <s v="Communal"/>
    <n v="0"/>
    <n v="1"/>
    <n v="2"/>
    <n v="0"/>
    <n v="0"/>
    <x v="0"/>
    <m/>
    <m/>
    <m/>
    <s v="Need Hygiene Promotion "/>
    <s v="no test"/>
    <s v="no test"/>
    <x v="1"/>
    <n v="1"/>
    <n v="1"/>
    <n v="1"/>
    <n v="474"/>
    <n v="0"/>
    <n v="0"/>
    <n v="1"/>
    <n v="474"/>
    <n v="0.94799999999999995"/>
    <n v="0"/>
    <n v="0"/>
    <n v="5.2000000000000046E-2"/>
    <n v="1"/>
    <n v="16"/>
    <n v="0.67510548523206748"/>
    <n v="320"/>
    <n v="0.33755274261603374"/>
    <n v="8"/>
    <n v="24"/>
    <n v="0"/>
    <n v="0"/>
    <n v="474"/>
    <n v="0"/>
    <n v="1"/>
    <n v="0"/>
    <n v="0"/>
    <n v="0"/>
    <n v="1"/>
    <n v="1"/>
    <n v="0"/>
    <n v="0"/>
    <n v="0"/>
    <n v="0"/>
    <n v="0"/>
    <n v="0"/>
    <n v="0"/>
    <s v="KBC"/>
    <x v="4"/>
    <x v="0"/>
    <x v="0"/>
    <x v="0"/>
    <n v="97.104997409999996"/>
    <n v="25.379014999999999"/>
    <s v="MMR001CMP261"/>
    <x v="0"/>
    <m/>
  </r>
  <r>
    <x v="1"/>
    <x v="3"/>
    <x v="0"/>
    <x v="4"/>
    <x v="65"/>
    <n v="11"/>
    <n v="33"/>
    <m/>
    <s v="ADRA/CANADA"/>
    <d v="2018-12-31T00:00:00"/>
    <n v="0"/>
    <s v="Yes"/>
    <n v="0.8"/>
    <n v="0.8"/>
    <n v="1"/>
    <n v="2"/>
    <n v="2000"/>
    <n v="0"/>
    <n v="0"/>
    <m/>
    <n v="0"/>
    <n v="0"/>
    <n v="0"/>
    <n v="0"/>
    <n v="0"/>
    <m/>
    <n v="3"/>
    <n v="0"/>
    <n v="0"/>
    <m/>
    <n v="0"/>
    <x v="0"/>
    <x v="2"/>
    <m/>
    <m/>
    <m/>
    <n v="0.6"/>
    <s v="Communal"/>
    <n v="0"/>
    <n v="2"/>
    <n v="1"/>
    <n v="0"/>
    <n v="0"/>
    <x v="0"/>
    <m/>
    <m/>
    <m/>
    <m/>
    <s v="no test"/>
    <s v="no test"/>
    <x v="1"/>
    <n v="1"/>
    <n v="1"/>
    <n v="1"/>
    <n v="33"/>
    <n v="0"/>
    <n v="0"/>
    <n v="1"/>
    <n v="33"/>
    <n v="6.6000000000000003E-2"/>
    <n v="0"/>
    <n v="0"/>
    <n v="0.93399999999999994"/>
    <n v="1"/>
    <n v="3"/>
    <n v="1"/>
    <n v="33"/>
    <n v="0"/>
    <n v="0"/>
    <n v="2"/>
    <n v="0"/>
    <n v="0"/>
    <n v="33"/>
    <n v="0"/>
    <n v="1"/>
    <n v="0"/>
    <n v="0"/>
    <n v="0"/>
    <n v="1"/>
    <n v="1"/>
    <n v="0"/>
    <n v="0"/>
    <n v="0"/>
    <n v="0"/>
    <n v="0"/>
    <n v="6.6"/>
    <s v="Yes"/>
    <s v="KBC"/>
    <x v="1"/>
    <x v="0"/>
    <x v="0"/>
    <x v="0"/>
    <n v="25.30442"/>
    <n v="96.948740000000001"/>
    <s v="MMR001CMP079"/>
    <x v="0"/>
    <m/>
  </r>
  <r>
    <x v="1"/>
    <x v="3"/>
    <x v="0"/>
    <x v="4"/>
    <x v="66"/>
    <n v="28"/>
    <n v="129"/>
    <m/>
    <s v="ADRA/CANADA"/>
    <d v="2018-12-31T00:00:00"/>
    <n v="0"/>
    <s v="Yes"/>
    <n v="0.8"/>
    <n v="0.8"/>
    <n v="1"/>
    <n v="2"/>
    <n v="3000"/>
    <n v="0"/>
    <n v="0"/>
    <m/>
    <n v="0"/>
    <n v="0"/>
    <n v="0"/>
    <n v="0"/>
    <n v="0"/>
    <m/>
    <n v="8"/>
    <n v="0"/>
    <n v="0"/>
    <m/>
    <n v="0"/>
    <x v="0"/>
    <x v="2"/>
    <m/>
    <m/>
    <m/>
    <n v="0.6"/>
    <s v="Communal"/>
    <n v="0"/>
    <n v="2"/>
    <n v="1"/>
    <n v="0"/>
    <n v="0"/>
    <x v="0"/>
    <m/>
    <m/>
    <m/>
    <m/>
    <s v="no test"/>
    <s v="no test"/>
    <x v="1"/>
    <n v="1"/>
    <n v="1"/>
    <n v="1"/>
    <n v="129"/>
    <n v="0"/>
    <n v="0"/>
    <n v="1"/>
    <n v="129"/>
    <n v="0.25800000000000001"/>
    <n v="0"/>
    <n v="0"/>
    <n v="0.74199999999999999"/>
    <n v="1"/>
    <n v="8"/>
    <n v="1"/>
    <n v="129"/>
    <n v="0"/>
    <n v="0"/>
    <n v="6"/>
    <n v="0"/>
    <n v="0"/>
    <n v="129"/>
    <n v="0"/>
    <n v="1"/>
    <n v="0"/>
    <n v="0"/>
    <n v="0"/>
    <n v="1"/>
    <n v="1"/>
    <n v="0"/>
    <n v="0"/>
    <n v="0"/>
    <n v="0"/>
    <n v="0"/>
    <n v="16.8"/>
    <s v="Yes"/>
    <s v="KBC"/>
    <x v="1"/>
    <x v="0"/>
    <x v="0"/>
    <x v="0"/>
    <n v="25.225000000000001"/>
    <n v="96.793999999999997"/>
    <s v="MMR001CMP236"/>
    <x v="0"/>
    <m/>
  </r>
  <r>
    <x v="1"/>
    <x v="2"/>
    <x v="0"/>
    <x v="5"/>
    <x v="67"/>
    <n v="27"/>
    <n v="121"/>
    <m/>
    <m/>
    <m/>
    <m/>
    <s v="No"/>
    <n v="0"/>
    <n v="0"/>
    <m/>
    <m/>
    <m/>
    <m/>
    <m/>
    <m/>
    <m/>
    <m/>
    <m/>
    <m/>
    <m/>
    <m/>
    <n v="0"/>
    <m/>
    <m/>
    <m/>
    <m/>
    <x v="1"/>
    <x v="1"/>
    <m/>
    <m/>
    <m/>
    <m/>
    <m/>
    <m/>
    <m/>
    <m/>
    <m/>
    <m/>
    <x v="0"/>
    <m/>
    <m/>
    <m/>
    <m/>
    <s v="no test"/>
    <s v="no test"/>
    <x v="1"/>
    <n v="0"/>
    <n v="0"/>
    <n v="0"/>
    <n v="0"/>
    <n v="0"/>
    <n v="0"/>
    <n v="0"/>
    <n v="0"/>
    <n v="0"/>
    <n v="1"/>
    <n v="121"/>
    <n v="1"/>
    <n v="1"/>
    <n v="0"/>
    <n v="0"/>
    <n v="0"/>
    <n v="0.99173553719008267"/>
    <n v="6"/>
    <n v="6"/>
    <n v="0"/>
    <n v="0"/>
    <n v="0"/>
    <n v="0"/>
    <n v="0"/>
    <n v="0"/>
    <n v="0"/>
    <n v="0"/>
    <n v="1"/>
    <n v="0"/>
    <n v="0"/>
    <n v="0"/>
    <n v="0"/>
    <n v="0"/>
    <n v="0"/>
    <n v="0"/>
    <n v="0"/>
    <s v="uncovered"/>
    <x v="1"/>
    <x v="0"/>
    <x v="1"/>
    <x v="0"/>
    <n v="24.996279999999999"/>
    <n v="96.52534"/>
    <s v="MMR001CMP232"/>
    <x v="1"/>
    <m/>
  </r>
  <r>
    <x v="1"/>
    <x v="3"/>
    <x v="0"/>
    <x v="5"/>
    <x v="68"/>
    <n v="39"/>
    <n v="121"/>
    <m/>
    <m/>
    <m/>
    <m/>
    <m/>
    <m/>
    <m/>
    <m/>
    <m/>
    <m/>
    <m/>
    <m/>
    <m/>
    <m/>
    <m/>
    <m/>
    <m/>
    <m/>
    <m/>
    <m/>
    <m/>
    <m/>
    <m/>
    <m/>
    <x v="2"/>
    <x v="3"/>
    <m/>
    <m/>
    <m/>
    <m/>
    <m/>
    <m/>
    <m/>
    <m/>
    <m/>
    <m/>
    <x v="0"/>
    <m/>
    <m/>
    <m/>
    <m/>
    <s v="no test"/>
    <s v="no test"/>
    <x v="1"/>
    <n v="0"/>
    <n v="0"/>
    <n v="0"/>
    <n v="0"/>
    <n v="0"/>
    <n v="0"/>
    <n v="0"/>
    <n v="0"/>
    <n v="0"/>
    <n v="1"/>
    <n v="121"/>
    <n v="1"/>
    <n v="1"/>
    <n v="0"/>
    <n v="0"/>
    <n v="0"/>
    <n v="0.99173553719008267"/>
    <n v="6"/>
    <n v="6"/>
    <n v="0"/>
    <n v="0"/>
    <n v="0"/>
    <n v="0"/>
    <n v="0"/>
    <n v="0"/>
    <n v="0"/>
    <n v="0"/>
    <n v="1"/>
    <n v="0"/>
    <n v="0"/>
    <n v="0"/>
    <n v="0"/>
    <n v="0"/>
    <n v="0"/>
    <n v="0"/>
    <n v="0"/>
    <n v="0"/>
    <x v="0"/>
    <x v="0"/>
    <x v="2"/>
    <x v="1"/>
    <n v="0"/>
    <n v="0"/>
    <n v="0"/>
    <x v="0"/>
    <m/>
  </r>
  <r>
    <x v="1"/>
    <x v="2"/>
    <x v="0"/>
    <x v="5"/>
    <x v="69"/>
    <n v="14"/>
    <n v="63"/>
    <m/>
    <m/>
    <m/>
    <m/>
    <s v="No"/>
    <n v="0"/>
    <n v="0"/>
    <m/>
    <m/>
    <m/>
    <m/>
    <m/>
    <m/>
    <m/>
    <m/>
    <m/>
    <m/>
    <m/>
    <m/>
    <n v="0"/>
    <m/>
    <m/>
    <m/>
    <m/>
    <x v="1"/>
    <x v="1"/>
    <m/>
    <m/>
    <m/>
    <m/>
    <m/>
    <m/>
    <m/>
    <m/>
    <m/>
    <m/>
    <x v="0"/>
    <m/>
    <m/>
    <m/>
    <m/>
    <s v="no test"/>
    <s v="no test"/>
    <x v="1"/>
    <n v="0"/>
    <n v="0"/>
    <n v="0"/>
    <n v="0"/>
    <n v="0"/>
    <n v="0"/>
    <n v="0"/>
    <n v="0"/>
    <n v="0"/>
    <n v="1"/>
    <n v="63"/>
    <n v="1"/>
    <n v="1"/>
    <n v="0"/>
    <n v="0"/>
    <n v="0"/>
    <n v="0.95238095238095244"/>
    <n v="3"/>
    <n v="3"/>
    <n v="0"/>
    <n v="0"/>
    <n v="0"/>
    <n v="0"/>
    <n v="0"/>
    <n v="0"/>
    <n v="0"/>
    <n v="0"/>
    <n v="1"/>
    <n v="0"/>
    <n v="0"/>
    <n v="0"/>
    <n v="0"/>
    <n v="0"/>
    <n v="0"/>
    <n v="0"/>
    <n v="0"/>
    <s v="uncovered"/>
    <x v="1"/>
    <x v="0"/>
    <x v="1"/>
    <x v="0"/>
    <n v="24.764959999999999"/>
    <n v="96.366919999999993"/>
    <s v="MMR001CMP233"/>
    <x v="1"/>
    <m/>
  </r>
  <r>
    <x v="1"/>
    <x v="3"/>
    <x v="0"/>
    <x v="5"/>
    <x v="70"/>
    <n v="19"/>
    <n v="115"/>
    <m/>
    <s v="ADRA/CANADA"/>
    <d v="2018-12-31T00:00:00"/>
    <n v="0"/>
    <s v="Yes"/>
    <n v="0.6"/>
    <n v="0.5"/>
    <n v="0"/>
    <n v="2"/>
    <n v="0"/>
    <n v="0"/>
    <n v="0"/>
    <m/>
    <n v="0"/>
    <n v="0"/>
    <n v="0"/>
    <n v="0"/>
    <n v="0"/>
    <m/>
    <n v="5"/>
    <n v="0"/>
    <n v="0"/>
    <m/>
    <n v="0"/>
    <x v="0"/>
    <x v="2"/>
    <m/>
    <m/>
    <m/>
    <n v="0.6"/>
    <s v="Communal"/>
    <n v="0"/>
    <n v="2"/>
    <n v="1"/>
    <n v="0"/>
    <n v="0"/>
    <x v="0"/>
    <m/>
    <m/>
    <m/>
    <m/>
    <s v="no test"/>
    <s v="no test"/>
    <x v="1"/>
    <n v="1"/>
    <n v="1"/>
    <n v="1"/>
    <n v="115"/>
    <n v="0"/>
    <n v="0"/>
    <n v="1"/>
    <n v="115"/>
    <n v="0.23"/>
    <n v="0"/>
    <n v="0"/>
    <n v="0.77"/>
    <n v="1"/>
    <n v="5"/>
    <n v="0.86956521739130432"/>
    <n v="100"/>
    <n v="0.17391304347826086"/>
    <n v="1"/>
    <n v="6"/>
    <n v="0"/>
    <n v="0"/>
    <n v="115"/>
    <n v="0"/>
    <n v="1"/>
    <n v="0"/>
    <n v="0"/>
    <n v="0"/>
    <n v="1"/>
    <n v="1"/>
    <n v="0"/>
    <n v="0"/>
    <n v="0"/>
    <n v="0"/>
    <n v="0"/>
    <n v="11.4"/>
    <s v="Yes"/>
    <s v="KBC"/>
    <x v="1"/>
    <x v="0"/>
    <x v="0"/>
    <x v="0"/>
    <n v="24.998349999999999"/>
    <n v="96.364949999999993"/>
    <s v="MMR001CMP152"/>
    <x v="0"/>
    <m/>
  </r>
  <r>
    <x v="1"/>
    <x v="5"/>
    <x v="0"/>
    <x v="5"/>
    <x v="71"/>
    <n v="11"/>
    <n v="50"/>
    <m/>
    <s v="DFID/UNICEF"/>
    <d v="2018-12-31T00:00:00"/>
    <n v="0"/>
    <s v="Yes"/>
    <n v="0.3"/>
    <n v="0.6"/>
    <n v="1"/>
    <n v="1"/>
    <n v="4000"/>
    <n v="0"/>
    <n v="0"/>
    <m/>
    <n v="0"/>
    <n v="0"/>
    <n v="0"/>
    <n v="0"/>
    <n v="0"/>
    <s v="Need to renovation Tube well"/>
    <n v="2"/>
    <n v="0"/>
    <n v="0"/>
    <m/>
    <n v="4"/>
    <x v="0"/>
    <x v="2"/>
    <n v="0"/>
    <n v="0"/>
    <m/>
    <n v="0"/>
    <s v="Communal"/>
    <n v="0"/>
    <n v="1"/>
    <n v="1"/>
    <n v="0"/>
    <n v="0"/>
    <x v="1"/>
    <m/>
    <m/>
    <m/>
    <m/>
    <s v="no test"/>
    <s v="no test"/>
    <x v="1"/>
    <n v="1"/>
    <n v="1"/>
    <n v="1"/>
    <n v="50"/>
    <n v="0"/>
    <n v="0"/>
    <n v="1"/>
    <n v="50"/>
    <n v="0.1"/>
    <n v="0"/>
    <n v="0"/>
    <n v="0.9"/>
    <n v="1"/>
    <n v="2"/>
    <n v="0.8"/>
    <n v="40"/>
    <n v="0.4"/>
    <n v="1"/>
    <n v="3"/>
    <n v="0"/>
    <n v="0"/>
    <n v="50"/>
    <n v="0"/>
    <n v="1"/>
    <n v="0"/>
    <n v="0"/>
    <n v="0"/>
    <n v="1"/>
    <n v="1"/>
    <n v="0"/>
    <n v="0"/>
    <n v="0"/>
    <n v="0"/>
    <n v="0"/>
    <n v="0"/>
    <s v="Yes"/>
    <s v="KMSS-MYT"/>
    <x v="1"/>
    <x v="0"/>
    <x v="0"/>
    <x v="0"/>
    <n v="24.764800000000001"/>
    <n v="96.367059999999995"/>
    <s v="MMR001CMP080"/>
    <x v="0"/>
    <m/>
  </r>
  <r>
    <x v="1"/>
    <x v="1"/>
    <x v="0"/>
    <x v="6"/>
    <x v="72"/>
    <n v="141"/>
    <n v="665"/>
    <m/>
    <s v="USAID, Christian AID, HIDA"/>
    <s v="9/1/2018,1-dec-2018"/>
    <n v="0"/>
    <s v="Yes"/>
    <n v="0.5"/>
    <n v="0.5"/>
    <n v="3"/>
    <n v="2"/>
    <n v="0"/>
    <n v="0"/>
    <n v="0"/>
    <m/>
    <m/>
    <m/>
    <m/>
    <m/>
    <m/>
    <m/>
    <n v="24"/>
    <n v="0"/>
    <n v="4"/>
    <m/>
    <n v="0"/>
    <x v="0"/>
    <x v="0"/>
    <m/>
    <m/>
    <m/>
    <n v="1"/>
    <s v="Both"/>
    <n v="0"/>
    <n v="3"/>
    <n v="2"/>
    <n v="141"/>
    <n v="141"/>
    <x v="0"/>
    <m/>
    <m/>
    <m/>
    <m/>
    <s v="no test"/>
    <s v="no test"/>
    <x v="1"/>
    <n v="1"/>
    <n v="1"/>
    <n v="1"/>
    <n v="665"/>
    <n v="0"/>
    <n v="0"/>
    <n v="1"/>
    <n v="665"/>
    <n v="1.33"/>
    <n v="0"/>
    <n v="0"/>
    <n v="0"/>
    <n v="1"/>
    <n v="24"/>
    <n v="0.72180451127819545"/>
    <n v="480"/>
    <n v="0.27067669172932329"/>
    <n v="9"/>
    <n v="33"/>
    <n v="0"/>
    <n v="80"/>
    <n v="665"/>
    <n v="1"/>
    <n v="1"/>
    <n v="1"/>
    <n v="665"/>
    <n v="1"/>
    <n v="0"/>
    <n v="1"/>
    <n v="1"/>
    <n v="1"/>
    <n v="705"/>
    <n v="705"/>
    <n v="705"/>
    <n v="141"/>
    <n v="0"/>
    <n v="0"/>
    <x v="0"/>
    <x v="0"/>
    <x v="0"/>
    <x v="0"/>
    <n v="0"/>
    <n v="0"/>
    <n v="0"/>
    <x v="0"/>
    <m/>
  </r>
  <r>
    <x v="1"/>
    <x v="5"/>
    <x v="0"/>
    <x v="6"/>
    <x v="73"/>
    <n v="98"/>
    <n v="446"/>
    <m/>
    <s v="DFID/UNICEF"/>
    <d v="2018-12-31T00:00:00"/>
    <n v="0"/>
    <s v="Yes"/>
    <n v="0.5"/>
    <n v="0.3"/>
    <n v="0"/>
    <n v="0"/>
    <n v="7000"/>
    <n v="0"/>
    <n v="8"/>
    <m/>
    <n v="0"/>
    <n v="0"/>
    <n v="0"/>
    <n v="0"/>
    <n v="0"/>
    <m/>
    <n v="93"/>
    <n v="0"/>
    <n v="0"/>
    <m/>
    <n v="0"/>
    <x v="0"/>
    <x v="2"/>
    <n v="0"/>
    <n v="0"/>
    <m/>
    <n v="0"/>
    <s v="Communal"/>
    <n v="0"/>
    <n v="2"/>
    <n v="2"/>
    <n v="0"/>
    <n v="0"/>
    <x v="1"/>
    <m/>
    <m/>
    <m/>
    <m/>
    <s v="no test"/>
    <s v="no test"/>
    <x v="1"/>
    <n v="1"/>
    <n v="1"/>
    <n v="1"/>
    <n v="446"/>
    <n v="0"/>
    <n v="0"/>
    <n v="1"/>
    <n v="446"/>
    <n v="0.89200000000000002"/>
    <n v="0"/>
    <n v="0"/>
    <n v="0.10799999999999998"/>
    <n v="1"/>
    <n v="93"/>
    <n v="1"/>
    <n v="446"/>
    <n v="0"/>
    <n v="0"/>
    <n v="22"/>
    <n v="0"/>
    <n v="0"/>
    <n v="446"/>
    <n v="0"/>
    <n v="1"/>
    <n v="0"/>
    <n v="0"/>
    <n v="0"/>
    <n v="1"/>
    <n v="1"/>
    <n v="0"/>
    <n v="0"/>
    <n v="0"/>
    <n v="0"/>
    <n v="0"/>
    <n v="0"/>
    <s v="Yes"/>
    <s v="KMSS-MYT"/>
    <x v="1"/>
    <x v="0"/>
    <x v="0"/>
    <x v="1"/>
    <n v="24.461033"/>
    <n v="97.537099999999995"/>
    <s v="MMR001CMP123"/>
    <x v="0"/>
    <m/>
  </r>
  <r>
    <x v="1"/>
    <x v="1"/>
    <x v="0"/>
    <x v="6"/>
    <x v="74"/>
    <n v="664"/>
    <n v="3294"/>
    <m/>
    <s v="WHH-BMZ,WHH-AA"/>
    <d v="2018-06-30T00:00:00"/>
    <n v="0"/>
    <s v="Yes"/>
    <n v="0.4"/>
    <n v="0.4"/>
    <n v="3"/>
    <n v="0"/>
    <n v="65880"/>
    <n v="0"/>
    <n v="0"/>
    <m/>
    <m/>
    <m/>
    <m/>
    <m/>
    <m/>
    <n v="0"/>
    <n v="202"/>
    <n v="4"/>
    <m/>
    <m/>
    <n v="1"/>
    <x v="0"/>
    <x v="0"/>
    <m/>
    <m/>
    <n v="0"/>
    <n v="0.99"/>
    <s v="Communal"/>
    <n v="0"/>
    <n v="21"/>
    <n v="4"/>
    <m/>
    <m/>
    <x v="0"/>
    <m/>
    <m/>
    <m/>
    <n v="0"/>
    <s v="no test"/>
    <s v="no test"/>
    <x v="1"/>
    <n v="1"/>
    <n v="1"/>
    <n v="1"/>
    <n v="3294"/>
    <n v="0"/>
    <n v="0"/>
    <n v="1"/>
    <n v="3294"/>
    <n v="7"/>
    <n v="0"/>
    <n v="0"/>
    <n v="0"/>
    <n v="7"/>
    <n v="206"/>
    <n v="1"/>
    <n v="3294"/>
    <n v="0"/>
    <n v="0"/>
    <n v="165"/>
    <n v="1.9417475728155338E-2"/>
    <n v="0"/>
    <n v="2000"/>
    <n v="0"/>
    <n v="0"/>
    <n v="0"/>
    <n v="0"/>
    <n v="0"/>
    <n v="1"/>
    <n v="0.60716454159077105"/>
    <n v="0"/>
    <n v="0"/>
    <n v="0"/>
    <n v="0"/>
    <n v="0"/>
    <n v="657.36"/>
    <s v="Yes"/>
    <s v="KMSS-MYT"/>
    <x v="1"/>
    <x v="0"/>
    <x v="0"/>
    <x v="1"/>
    <n v="24.661905999999998"/>
    <n v="97.573126000000002"/>
    <s v="MMR001CMP122"/>
    <x v="0"/>
    <m/>
  </r>
  <r>
    <x v="1"/>
    <x v="9"/>
    <x v="0"/>
    <x v="6"/>
    <x v="75"/>
    <n v="1490"/>
    <n v="8486"/>
    <m/>
    <s v="OFDA"/>
    <s v="30/06/2019"/>
    <n v="0"/>
    <s v="Yes"/>
    <n v="0"/>
    <n v="0"/>
    <n v="0"/>
    <n v="3"/>
    <n v="9331200"/>
    <n v="0"/>
    <n v="0"/>
    <n v="0"/>
    <n v="0"/>
    <n v="0"/>
    <n v="69"/>
    <n v="21"/>
    <n v="0"/>
    <m/>
    <n v="532"/>
    <n v="22"/>
    <n v="187"/>
    <s v="Quarterly"/>
    <n v="0"/>
    <x v="0"/>
    <x v="0"/>
    <n v="0"/>
    <n v="0"/>
    <m/>
    <n v="0.95"/>
    <s v="Both"/>
    <n v="0"/>
    <n v="49"/>
    <n v="11"/>
    <n v="0"/>
    <m/>
    <x v="0"/>
    <m/>
    <n v="21"/>
    <n v="0"/>
    <s v="Nill"/>
    <s v="no test"/>
    <n v="0.30434782608695654"/>
    <x v="0"/>
    <n v="1"/>
    <n v="1"/>
    <n v="1"/>
    <n v="8486"/>
    <n v="0"/>
    <n v="0"/>
    <n v="1"/>
    <n v="8486"/>
    <n v="16.972000000000001"/>
    <n v="0"/>
    <n v="0"/>
    <n v="2.7999999999998693E-2"/>
    <n v="17"/>
    <n v="554"/>
    <n v="1"/>
    <n v="8486"/>
    <n v="0"/>
    <n v="0"/>
    <n v="424"/>
    <n v="3.9711191335740074E-2"/>
    <n v="3740"/>
    <n v="5500"/>
    <n v="0"/>
    <n v="0"/>
    <n v="0"/>
    <n v="0"/>
    <n v="0"/>
    <n v="1"/>
    <n v="0.64812632571293893"/>
    <n v="0"/>
    <n v="0"/>
    <n v="0"/>
    <n v="0"/>
    <n v="0"/>
    <n v="1415.5"/>
    <s v="Yes"/>
    <s v="KMSS-MYT"/>
    <x v="1"/>
    <x v="0"/>
    <x v="0"/>
    <x v="1"/>
    <n v="24.688338999999999"/>
    <n v="97.568331999999998"/>
    <s v="MMR001CMP121"/>
    <x v="0"/>
    <m/>
  </r>
  <r>
    <x v="1"/>
    <x v="1"/>
    <x v="0"/>
    <x v="6"/>
    <x v="76"/>
    <n v="17"/>
    <n v="106"/>
    <m/>
    <s v="USAID,Christian Aid, HIDA"/>
    <s v="9/1/2018,1-dec-2018"/>
    <n v="0"/>
    <s v="No"/>
    <n v="0"/>
    <n v="0"/>
    <n v="1"/>
    <n v="0"/>
    <n v="0"/>
    <n v="0"/>
    <n v="0"/>
    <m/>
    <m/>
    <m/>
    <m/>
    <m/>
    <m/>
    <m/>
    <n v="4"/>
    <n v="0"/>
    <n v="2"/>
    <m/>
    <n v="0"/>
    <x v="0"/>
    <x v="0"/>
    <m/>
    <m/>
    <m/>
    <n v="1"/>
    <s v="Both"/>
    <n v="0"/>
    <n v="2"/>
    <n v="1"/>
    <n v="17"/>
    <n v="17"/>
    <x v="0"/>
    <m/>
    <m/>
    <m/>
    <m/>
    <s v="no test"/>
    <s v="no test"/>
    <x v="1"/>
    <n v="1"/>
    <n v="1"/>
    <n v="1"/>
    <n v="106"/>
    <n v="0"/>
    <n v="0"/>
    <n v="1"/>
    <n v="106"/>
    <n v="0.21199999999999999"/>
    <n v="0"/>
    <n v="0"/>
    <n v="0.78800000000000003"/>
    <n v="1"/>
    <n v="4"/>
    <n v="0.75471698113207553"/>
    <n v="80"/>
    <n v="0.18867924528301888"/>
    <n v="1"/>
    <n v="5"/>
    <n v="0"/>
    <n v="40"/>
    <n v="106"/>
    <n v="1"/>
    <n v="1"/>
    <n v="1"/>
    <n v="106"/>
    <n v="1"/>
    <n v="0"/>
    <n v="1"/>
    <n v="1"/>
    <n v="1"/>
    <n v="85"/>
    <n v="85"/>
    <n v="85"/>
    <n v="17"/>
    <n v="0"/>
    <n v="0"/>
    <x v="0"/>
    <x v="0"/>
    <x v="0"/>
    <x v="0"/>
    <n v="0"/>
    <n v="0"/>
    <n v="0"/>
    <x v="0"/>
    <m/>
  </r>
  <r>
    <x v="1"/>
    <x v="1"/>
    <x v="0"/>
    <x v="6"/>
    <x v="77"/>
    <n v="19"/>
    <n v="94"/>
    <m/>
    <s v="USAID,Christian Aid, HIDA"/>
    <s v="9/1/2018,1-Dec-2018"/>
    <n v="0"/>
    <s v="No"/>
    <n v="0"/>
    <n v="0"/>
    <n v="5"/>
    <n v="0"/>
    <n v="1350"/>
    <n v="0"/>
    <n v="0"/>
    <m/>
    <m/>
    <m/>
    <m/>
    <m/>
    <m/>
    <m/>
    <n v="5"/>
    <n v="0"/>
    <m/>
    <m/>
    <n v="0"/>
    <x v="0"/>
    <x v="0"/>
    <m/>
    <m/>
    <m/>
    <n v="1"/>
    <s v="Both"/>
    <n v="0"/>
    <n v="1"/>
    <n v="1"/>
    <n v="19"/>
    <n v="19"/>
    <x v="0"/>
    <m/>
    <m/>
    <m/>
    <m/>
    <s v="no test"/>
    <s v="no test"/>
    <x v="1"/>
    <n v="1"/>
    <n v="1"/>
    <n v="1"/>
    <n v="94"/>
    <n v="0"/>
    <n v="0"/>
    <n v="1"/>
    <n v="94"/>
    <n v="0.188"/>
    <n v="0"/>
    <n v="0"/>
    <n v="0.81200000000000006"/>
    <n v="1"/>
    <n v="5"/>
    <n v="1"/>
    <n v="94"/>
    <n v="0"/>
    <n v="0"/>
    <n v="5"/>
    <n v="0"/>
    <n v="0"/>
    <n v="94"/>
    <n v="1"/>
    <n v="1"/>
    <n v="1"/>
    <n v="94"/>
    <n v="1"/>
    <n v="0"/>
    <n v="1"/>
    <n v="1"/>
    <n v="1"/>
    <n v="95"/>
    <n v="95"/>
    <n v="95"/>
    <n v="19"/>
    <n v="0"/>
    <n v="0"/>
    <x v="0"/>
    <x v="0"/>
    <x v="0"/>
    <x v="0"/>
    <n v="0"/>
    <n v="0"/>
    <n v="0"/>
    <x v="0"/>
    <m/>
  </r>
  <r>
    <x v="1"/>
    <x v="2"/>
    <x v="0"/>
    <x v="6"/>
    <x v="78"/>
    <n v="3"/>
    <n v="18"/>
    <m/>
    <m/>
    <m/>
    <m/>
    <s v="No"/>
    <n v="0"/>
    <n v="0"/>
    <m/>
    <m/>
    <m/>
    <m/>
    <m/>
    <m/>
    <m/>
    <m/>
    <m/>
    <m/>
    <m/>
    <m/>
    <n v="0"/>
    <m/>
    <m/>
    <m/>
    <m/>
    <x v="1"/>
    <x v="1"/>
    <m/>
    <m/>
    <m/>
    <m/>
    <m/>
    <m/>
    <m/>
    <m/>
    <m/>
    <m/>
    <x v="0"/>
    <m/>
    <m/>
    <m/>
    <m/>
    <s v="no test"/>
    <s v="no test"/>
    <x v="1"/>
    <n v="0"/>
    <n v="0"/>
    <n v="0"/>
    <n v="0"/>
    <n v="0"/>
    <n v="0"/>
    <n v="0"/>
    <n v="0"/>
    <n v="0"/>
    <n v="1"/>
    <n v="18"/>
    <n v="1"/>
    <n v="1"/>
    <n v="0"/>
    <n v="0"/>
    <n v="0"/>
    <n v="1"/>
    <n v="1"/>
    <n v="1"/>
    <n v="0"/>
    <n v="0"/>
    <n v="0"/>
    <n v="0"/>
    <n v="0"/>
    <n v="0"/>
    <n v="0"/>
    <n v="0"/>
    <n v="1"/>
    <n v="0"/>
    <n v="0"/>
    <n v="0"/>
    <n v="0"/>
    <n v="0"/>
    <n v="0"/>
    <n v="0"/>
    <n v="0"/>
    <s v="uncovered"/>
    <x v="1"/>
    <x v="0"/>
    <x v="1"/>
    <x v="0"/>
    <n v="24.377054000000001"/>
    <n v="97.343406999999999"/>
    <s v="MMR001CMP200"/>
    <x v="1"/>
    <m/>
  </r>
  <r>
    <x v="1"/>
    <x v="9"/>
    <x v="0"/>
    <x v="6"/>
    <x v="79"/>
    <n v="440"/>
    <n v="2199"/>
    <m/>
    <s v="OFDA"/>
    <s v="30/06/2019"/>
    <n v="0"/>
    <s v="No"/>
    <n v="0"/>
    <n v="0"/>
    <n v="0"/>
    <n v="1"/>
    <n v="0"/>
    <n v="0"/>
    <n v="0"/>
    <n v="0"/>
    <n v="0"/>
    <n v="0"/>
    <m/>
    <m/>
    <n v="0"/>
    <m/>
    <n v="16"/>
    <n v="0"/>
    <n v="0"/>
    <m/>
    <n v="0"/>
    <x v="0"/>
    <x v="4"/>
    <n v="0"/>
    <n v="0"/>
    <m/>
    <n v="0"/>
    <s v="Both"/>
    <n v="0"/>
    <s v="-"/>
    <m/>
    <n v="0"/>
    <n v="0"/>
    <x v="0"/>
    <m/>
    <n v="0"/>
    <n v="0"/>
    <s v="Nill"/>
    <s v="no test"/>
    <s v="no test"/>
    <x v="1"/>
    <n v="1"/>
    <n v="0.11368804001819009"/>
    <n v="1"/>
    <n v="2199"/>
    <n v="0"/>
    <n v="0"/>
    <n v="1"/>
    <n v="2199"/>
    <n v="4.3979999999999997"/>
    <n v="0"/>
    <n v="0"/>
    <n v="0"/>
    <n v="4"/>
    <n v="16"/>
    <n v="0.14552069122328332"/>
    <n v="320"/>
    <n v="0.85493406093678947"/>
    <n v="94"/>
    <n v="110"/>
    <n v="0"/>
    <n v="0"/>
    <n v="0"/>
    <n v="0"/>
    <n v="0"/>
    <n v="0"/>
    <n v="0"/>
    <n v="0"/>
    <n v="1"/>
    <n v="0"/>
    <n v="0"/>
    <n v="0"/>
    <n v="0"/>
    <n v="0"/>
    <n v="0"/>
    <n v="0"/>
    <n v="0"/>
    <n v="0"/>
    <x v="0"/>
    <x v="0"/>
    <x v="4"/>
    <x v="1"/>
    <n v="0"/>
    <n v="0"/>
    <n v="0"/>
    <x v="0"/>
    <m/>
  </r>
  <r>
    <x v="1"/>
    <x v="0"/>
    <x v="0"/>
    <x v="6"/>
    <x v="80"/>
    <n v="40"/>
    <n v="240"/>
    <m/>
    <s v="ECHO/OFDA"/>
    <s v="31/12/2018, 30/06/2019"/>
    <n v="0"/>
    <s v="Yes"/>
    <n v="0.66666666666666663"/>
    <n v="1"/>
    <n v="0"/>
    <n v="1"/>
    <n v="271500"/>
    <n v="0"/>
    <n v="0"/>
    <m/>
    <n v="0"/>
    <n v="0"/>
    <n v="8"/>
    <n v="7"/>
    <n v="0"/>
    <m/>
    <n v="9"/>
    <n v="0"/>
    <n v="8"/>
    <s v="Monthly"/>
    <n v="0"/>
    <x v="0"/>
    <x v="0"/>
    <n v="0"/>
    <n v="0"/>
    <s v="nil"/>
    <n v="1"/>
    <s v="Both"/>
    <n v="0"/>
    <n v="1"/>
    <n v="1"/>
    <n v="170"/>
    <n v="0"/>
    <x v="0"/>
    <m/>
    <n v="1"/>
    <n v="0"/>
    <s v="Nill"/>
    <s v="no test"/>
    <n v="0.875"/>
    <x v="0"/>
    <n v="1"/>
    <n v="1"/>
    <n v="1"/>
    <n v="240"/>
    <n v="0"/>
    <n v="0"/>
    <n v="1"/>
    <n v="240"/>
    <n v="0"/>
    <n v="0"/>
    <n v="0"/>
    <n v="1"/>
    <n v="1"/>
    <n v="9"/>
    <n v="0.75"/>
    <n v="180"/>
    <n v="0.25"/>
    <n v="3"/>
    <n v="12"/>
    <n v="0"/>
    <n v="160"/>
    <n v="240"/>
    <n v="0"/>
    <n v="1"/>
    <n v="1"/>
    <n v="240"/>
    <n v="1"/>
    <n v="0"/>
    <n v="1"/>
    <n v="1"/>
    <n v="0"/>
    <n v="850"/>
    <n v="0"/>
    <n v="850"/>
    <n v="40"/>
    <s v="Yes"/>
    <s v="KBC"/>
    <x v="1"/>
    <x v="0"/>
    <x v="0"/>
    <x v="0"/>
    <n v="24.200972"/>
    <n v="97.718582999999995"/>
    <s v="MMR001CMP071"/>
    <x v="0"/>
    <s v="to ask not found in Q1 2018"/>
  </r>
  <r>
    <x v="1"/>
    <x v="0"/>
    <x v="0"/>
    <x v="6"/>
    <x v="81"/>
    <n v="67"/>
    <n v="379"/>
    <m/>
    <s v="ECHO/OFDA"/>
    <s v="31/12/2018, 30/06/2019"/>
    <n v="0"/>
    <s v="Yes"/>
    <n v="0.375"/>
    <n v="0"/>
    <n v="0"/>
    <n v="1"/>
    <n v="274980"/>
    <n v="0"/>
    <n v="0"/>
    <m/>
    <n v="0"/>
    <n v="0"/>
    <n v="9"/>
    <n v="8"/>
    <n v="0"/>
    <m/>
    <n v="13"/>
    <n v="0"/>
    <n v="12"/>
    <s v="Monthly"/>
    <n v="0"/>
    <x v="0"/>
    <x v="0"/>
    <n v="0"/>
    <n v="0"/>
    <s v="nil"/>
    <n v="1"/>
    <s v="Both"/>
    <n v="0"/>
    <n v="2"/>
    <n v="1"/>
    <n v="108"/>
    <n v="0"/>
    <x v="0"/>
    <m/>
    <n v="1"/>
    <n v="0"/>
    <s v="Nill"/>
    <s v="no test"/>
    <n v="0.88888888888888884"/>
    <x v="0"/>
    <n v="1"/>
    <n v="1"/>
    <n v="1"/>
    <n v="379"/>
    <n v="0"/>
    <n v="0"/>
    <n v="1"/>
    <n v="379"/>
    <n v="1"/>
    <n v="0"/>
    <n v="0"/>
    <n v="0"/>
    <n v="1"/>
    <n v="13"/>
    <n v="0.68601583113456466"/>
    <n v="260"/>
    <n v="0.31662269129287601"/>
    <n v="6"/>
    <n v="19"/>
    <n v="0"/>
    <n v="240"/>
    <n v="379"/>
    <n v="0"/>
    <n v="1"/>
    <n v="1"/>
    <n v="379"/>
    <n v="1"/>
    <n v="0"/>
    <n v="1"/>
    <n v="1"/>
    <n v="0"/>
    <n v="540"/>
    <n v="0"/>
    <n v="540"/>
    <n v="67"/>
    <s v="Yes"/>
    <s v="KMSS-BMO"/>
    <x v="1"/>
    <x v="0"/>
    <x v="0"/>
    <x v="0"/>
    <n v="24.205417000000001"/>
    <n v="97.724566999999993"/>
    <s v="MMR001CMP069"/>
    <x v="0"/>
    <s v="to ask not found in Q1 2018"/>
  </r>
  <r>
    <x v="1"/>
    <x v="0"/>
    <x v="0"/>
    <x v="6"/>
    <x v="82"/>
    <n v="203"/>
    <n v="1138"/>
    <m/>
    <s v="ECHO/OFDA"/>
    <s v="31/12/2018, 30/06/2019"/>
    <n v="0"/>
    <s v="Yes"/>
    <n v="0.6"/>
    <n v="0"/>
    <n v="2"/>
    <n v="3"/>
    <n v="1978965"/>
    <n v="0"/>
    <n v="0"/>
    <m/>
    <n v="0"/>
    <n v="0"/>
    <n v="34"/>
    <n v="34"/>
    <n v="0"/>
    <s v="In this camp,we are combine  of 4 different place (Lisu 1, 2, 3, 4) for HH water quality test "/>
    <n v="40"/>
    <n v="0"/>
    <n v="22"/>
    <s v="Monthly"/>
    <n v="0"/>
    <x v="0"/>
    <x v="0"/>
    <n v="0"/>
    <n v="0"/>
    <m/>
    <n v="1"/>
    <s v="Both"/>
    <n v="0"/>
    <n v="5"/>
    <n v="4"/>
    <n v="461"/>
    <n v="0"/>
    <x v="0"/>
    <m/>
    <n v="4"/>
    <n v="0"/>
    <s v="Nill"/>
    <s v="no test"/>
    <n v="1"/>
    <x v="0"/>
    <n v="1"/>
    <n v="1"/>
    <n v="1"/>
    <n v="1138"/>
    <n v="0"/>
    <n v="0"/>
    <n v="1"/>
    <n v="1138"/>
    <n v="2.2759999999999998"/>
    <n v="0"/>
    <n v="0"/>
    <n v="0"/>
    <n v="2"/>
    <n v="40"/>
    <n v="0.70298769771529002"/>
    <n v="800"/>
    <n v="0.29876977152899825"/>
    <n v="17"/>
    <n v="57"/>
    <n v="0"/>
    <n v="440"/>
    <n v="1138"/>
    <n v="0"/>
    <n v="1"/>
    <n v="1"/>
    <n v="1138"/>
    <n v="1"/>
    <n v="0"/>
    <n v="1"/>
    <n v="1"/>
    <n v="0"/>
    <n v="2305"/>
    <n v="0"/>
    <n v="2305"/>
    <n v="203"/>
    <s v="Yes"/>
    <s v="KBC"/>
    <x v="1"/>
    <x v="0"/>
    <x v="0"/>
    <x v="0"/>
    <n v="24.200433"/>
    <n v="97.717133000000004"/>
    <s v="MMR001CMP070"/>
    <x v="0"/>
    <m/>
  </r>
  <r>
    <x v="1"/>
    <x v="0"/>
    <x v="0"/>
    <x v="6"/>
    <x v="83"/>
    <n v="470"/>
    <n v="2350"/>
    <m/>
    <s v="OFDA"/>
    <s v="30/06/2019"/>
    <n v="0"/>
    <s v="No"/>
    <n v="0"/>
    <n v="0"/>
    <n v="0"/>
    <n v="1"/>
    <n v="0"/>
    <n v="0"/>
    <n v="0"/>
    <m/>
    <n v="0"/>
    <n v="0"/>
    <n v="0"/>
    <n v="0"/>
    <n v="51"/>
    <m/>
    <n v="0"/>
    <n v="0"/>
    <n v="0"/>
    <s v="Monthly"/>
    <n v="0"/>
    <x v="0"/>
    <x v="4"/>
    <n v="0"/>
    <n v="0"/>
    <m/>
    <n v="1"/>
    <s v="Both"/>
    <n v="0"/>
    <n v="0"/>
    <n v="0"/>
    <n v="0"/>
    <n v="0"/>
    <x v="0"/>
    <m/>
    <n v="0"/>
    <n v="0"/>
    <s v="Nill"/>
    <s v="no test"/>
    <s v="no test"/>
    <x v="1"/>
    <n v="1"/>
    <n v="0.10638297872340426"/>
    <n v="1"/>
    <n v="2350"/>
    <n v="0"/>
    <n v="0"/>
    <n v="1"/>
    <n v="2350"/>
    <n v="4.7"/>
    <n v="0"/>
    <n v="0"/>
    <n v="0.29999999999999982"/>
    <n v="5"/>
    <n v="0"/>
    <n v="0"/>
    <n v="0"/>
    <n v="1"/>
    <n v="118"/>
    <n v="118"/>
    <n v="0"/>
    <n v="0"/>
    <n v="0"/>
    <n v="0"/>
    <n v="0"/>
    <n v="0"/>
    <n v="0"/>
    <n v="0"/>
    <n v="1"/>
    <n v="0"/>
    <n v="0"/>
    <n v="0"/>
    <n v="0"/>
    <n v="0"/>
    <n v="0"/>
    <n v="470"/>
    <n v="0"/>
    <n v="0"/>
    <x v="0"/>
    <x v="0"/>
    <x v="4"/>
    <x v="0"/>
    <n v="0"/>
    <n v="0"/>
    <n v="0"/>
    <x v="0"/>
    <m/>
  </r>
  <r>
    <x v="1"/>
    <x v="1"/>
    <x v="0"/>
    <x v="6"/>
    <x v="84"/>
    <n v="217"/>
    <n v="1172"/>
    <m/>
    <s v="USAID, Christian Aid, HIDA"/>
    <s v="9/1/2018,1-Dec-2018"/>
    <n v="0"/>
    <s v="Yes"/>
    <n v="0.6"/>
    <n v="0"/>
    <n v="1"/>
    <n v="3"/>
    <n v="0"/>
    <n v="0"/>
    <n v="0"/>
    <m/>
    <m/>
    <m/>
    <m/>
    <m/>
    <m/>
    <m/>
    <n v="47"/>
    <n v="0"/>
    <n v="3"/>
    <m/>
    <n v="0"/>
    <x v="0"/>
    <x v="0"/>
    <m/>
    <m/>
    <m/>
    <n v="1"/>
    <s v="Both"/>
    <n v="0"/>
    <n v="7"/>
    <n v="2"/>
    <n v="217"/>
    <n v="217"/>
    <x v="0"/>
    <m/>
    <m/>
    <m/>
    <m/>
    <s v="no test"/>
    <s v="no test"/>
    <x v="1"/>
    <n v="1"/>
    <n v="0.85324232081911267"/>
    <n v="1"/>
    <n v="1172"/>
    <n v="0"/>
    <n v="0"/>
    <n v="1"/>
    <n v="1172"/>
    <n v="2.3439999999999999"/>
    <n v="0"/>
    <n v="0"/>
    <n v="0"/>
    <n v="2"/>
    <n v="47"/>
    <n v="0.80204778156996592"/>
    <n v="940.00000000000011"/>
    <n v="0.20477815699658702"/>
    <n v="12"/>
    <n v="59"/>
    <n v="0"/>
    <n v="60"/>
    <n v="1000"/>
    <n v="1"/>
    <n v="1"/>
    <n v="1"/>
    <n v="1172"/>
    <n v="1"/>
    <n v="0"/>
    <n v="0.85324232081911267"/>
    <n v="1"/>
    <n v="1"/>
    <n v="1085"/>
    <n v="1085"/>
    <n v="1085"/>
    <n v="217"/>
    <s v="Yes"/>
    <s v="KMSS-BMO"/>
    <x v="1"/>
    <x v="0"/>
    <x v="0"/>
    <x v="0"/>
    <n v="24.245100000000001"/>
    <n v="97.325019999999995"/>
    <s v="MMR001CMP062"/>
    <x v="0"/>
    <m/>
  </r>
  <r>
    <x v="1"/>
    <x v="0"/>
    <x v="0"/>
    <x v="6"/>
    <x v="85"/>
    <n v="117"/>
    <n v="650"/>
    <m/>
    <s v="ECHO/OFDA"/>
    <s v="31/12/2018, 30/06/2019"/>
    <n v="0"/>
    <s v="Yes"/>
    <n v="0.5714285714285714"/>
    <n v="0"/>
    <n v="1"/>
    <n v="1"/>
    <n v="4333500"/>
    <n v="0"/>
    <n v="0"/>
    <m/>
    <n v="0"/>
    <n v="0"/>
    <n v="16"/>
    <n v="13"/>
    <n v="0"/>
    <m/>
    <n v="28"/>
    <n v="0"/>
    <n v="27"/>
    <m/>
    <n v="0"/>
    <x v="0"/>
    <x v="4"/>
    <n v="0"/>
    <n v="0"/>
    <m/>
    <n v="1"/>
    <s v="Both"/>
    <n v="0"/>
    <n v="4"/>
    <n v="2"/>
    <n v="0"/>
    <n v="0"/>
    <x v="0"/>
    <m/>
    <n v="3"/>
    <n v="0"/>
    <s v="Nill"/>
    <s v="no test"/>
    <n v="0.8125"/>
    <x v="0"/>
    <n v="1"/>
    <n v="1"/>
    <n v="1"/>
    <n v="650"/>
    <n v="0"/>
    <n v="0"/>
    <n v="1"/>
    <n v="650"/>
    <n v="1.3"/>
    <n v="0"/>
    <n v="0"/>
    <n v="0"/>
    <n v="1"/>
    <n v="28"/>
    <n v="0.86153846153846159"/>
    <n v="560"/>
    <n v="0.15384615384615385"/>
    <n v="5"/>
    <n v="33"/>
    <n v="0"/>
    <n v="540"/>
    <n v="650"/>
    <n v="0"/>
    <n v="1"/>
    <n v="0"/>
    <n v="0"/>
    <n v="0"/>
    <n v="1"/>
    <n v="1"/>
    <n v="0"/>
    <n v="0"/>
    <n v="0"/>
    <n v="0"/>
    <n v="0"/>
    <n v="117"/>
    <n v="0"/>
    <n v="0"/>
    <x v="0"/>
    <x v="0"/>
    <x v="0"/>
    <x v="0"/>
    <n v="0"/>
    <n v="0"/>
    <n v="0"/>
    <x v="0"/>
    <m/>
  </r>
  <r>
    <x v="1"/>
    <x v="1"/>
    <x v="0"/>
    <x v="6"/>
    <x v="86"/>
    <n v="3"/>
    <n v="13"/>
    <m/>
    <s v="USAID"/>
    <d v="2018-09-01T00:00:00"/>
    <n v="0"/>
    <s v="No"/>
    <n v="0"/>
    <n v="0"/>
    <n v="2"/>
    <n v="0"/>
    <n v="0"/>
    <n v="0"/>
    <n v="0"/>
    <m/>
    <m/>
    <m/>
    <m/>
    <m/>
    <m/>
    <m/>
    <n v="2"/>
    <n v="0"/>
    <n v="0"/>
    <m/>
    <n v="0"/>
    <x v="0"/>
    <x v="0"/>
    <m/>
    <m/>
    <m/>
    <n v="1"/>
    <s v="Both"/>
    <n v="0"/>
    <n v="1"/>
    <n v="0"/>
    <n v="3"/>
    <n v="3"/>
    <x v="0"/>
    <m/>
    <m/>
    <m/>
    <m/>
    <s v="no test"/>
    <s v="no test"/>
    <x v="1"/>
    <n v="1"/>
    <n v="1"/>
    <n v="1"/>
    <n v="13"/>
    <n v="0"/>
    <n v="0"/>
    <n v="1"/>
    <n v="13"/>
    <n v="2.5999999999999999E-2"/>
    <n v="0"/>
    <n v="0"/>
    <n v="0.97399999999999998"/>
    <n v="1"/>
    <n v="2"/>
    <n v="1"/>
    <n v="13"/>
    <n v="0"/>
    <n v="0"/>
    <n v="1"/>
    <n v="0"/>
    <n v="0"/>
    <n v="0"/>
    <n v="1"/>
    <n v="0"/>
    <n v="1"/>
    <n v="13"/>
    <n v="1"/>
    <n v="0"/>
    <n v="0"/>
    <n v="1"/>
    <n v="1"/>
    <n v="15"/>
    <n v="15"/>
    <n v="15"/>
    <n v="3"/>
    <n v="0"/>
    <n v="0"/>
    <x v="1"/>
    <x v="0"/>
    <x v="3"/>
    <x v="0"/>
    <n v="24.251860000000001"/>
    <n v="97.346940000000004"/>
    <s v="MMR001CMP058"/>
    <x v="0"/>
    <m/>
  </r>
  <r>
    <x v="1"/>
    <x v="1"/>
    <x v="0"/>
    <x v="6"/>
    <x v="87"/>
    <n v="109"/>
    <n v="453"/>
    <m/>
    <s v="USAID, Christian AID, HIDA"/>
    <s v="9/1/2018,1-Dec-2018"/>
    <n v="0"/>
    <s v="Yes"/>
    <n v="0.5"/>
    <n v="0.5"/>
    <n v="1"/>
    <n v="1"/>
    <n v="0"/>
    <n v="0"/>
    <n v="0"/>
    <m/>
    <m/>
    <m/>
    <m/>
    <m/>
    <m/>
    <m/>
    <n v="10"/>
    <n v="0"/>
    <m/>
    <m/>
    <n v="0"/>
    <x v="0"/>
    <x v="0"/>
    <m/>
    <m/>
    <m/>
    <n v="1"/>
    <s v="Both"/>
    <n v="0"/>
    <n v="4"/>
    <n v="2"/>
    <n v="109"/>
    <n v="109"/>
    <x v="0"/>
    <m/>
    <m/>
    <m/>
    <m/>
    <s v="no test"/>
    <s v="no test"/>
    <x v="1"/>
    <n v="1"/>
    <n v="1"/>
    <n v="1"/>
    <n v="453"/>
    <n v="0"/>
    <n v="0"/>
    <n v="1"/>
    <n v="453"/>
    <n v="0.90600000000000003"/>
    <n v="0"/>
    <n v="0"/>
    <n v="9.3999999999999972E-2"/>
    <n v="1"/>
    <n v="10"/>
    <n v="0.44150110375275936"/>
    <n v="200"/>
    <n v="0.57395143487858724"/>
    <n v="13"/>
    <n v="23"/>
    <n v="0"/>
    <n v="0"/>
    <n v="453"/>
    <n v="1"/>
    <n v="1"/>
    <n v="1"/>
    <n v="453"/>
    <n v="1"/>
    <n v="0"/>
    <n v="1"/>
    <n v="1"/>
    <n v="1"/>
    <n v="545"/>
    <n v="545"/>
    <n v="545"/>
    <n v="109"/>
    <s v="Yes"/>
    <s v="KBC"/>
    <x v="1"/>
    <x v="0"/>
    <x v="0"/>
    <x v="0"/>
    <n v="24.250689999999999"/>
    <n v="97.344359999999995"/>
    <s v="MMR001CMP056"/>
    <x v="0"/>
    <m/>
  </r>
  <r>
    <x v="1"/>
    <x v="2"/>
    <x v="0"/>
    <x v="6"/>
    <x v="88"/>
    <n v="223"/>
    <n v="1067"/>
    <m/>
    <m/>
    <m/>
    <m/>
    <s v="No"/>
    <n v="0"/>
    <n v="0"/>
    <m/>
    <m/>
    <m/>
    <m/>
    <m/>
    <m/>
    <m/>
    <m/>
    <m/>
    <m/>
    <m/>
    <m/>
    <n v="0"/>
    <m/>
    <m/>
    <m/>
    <m/>
    <x v="1"/>
    <x v="1"/>
    <m/>
    <m/>
    <m/>
    <m/>
    <m/>
    <m/>
    <m/>
    <m/>
    <m/>
    <m/>
    <x v="0"/>
    <m/>
    <m/>
    <m/>
    <m/>
    <s v="no test"/>
    <s v="no test"/>
    <x v="1"/>
    <n v="0"/>
    <n v="0"/>
    <n v="0"/>
    <n v="0"/>
    <n v="0"/>
    <n v="0"/>
    <n v="0"/>
    <n v="0"/>
    <n v="0"/>
    <n v="1"/>
    <n v="1067"/>
    <n v="2"/>
    <n v="2"/>
    <n v="0"/>
    <n v="0"/>
    <n v="0"/>
    <n v="0.99343955014058105"/>
    <n v="53"/>
    <n v="53"/>
    <n v="0"/>
    <n v="0"/>
    <n v="0"/>
    <n v="0"/>
    <n v="0"/>
    <n v="0"/>
    <n v="0"/>
    <n v="0"/>
    <n v="1"/>
    <n v="0"/>
    <n v="0"/>
    <n v="0"/>
    <n v="0"/>
    <n v="0"/>
    <n v="0"/>
    <n v="0"/>
    <n v="0"/>
    <s v="uncovered"/>
    <x v="1"/>
    <x v="0"/>
    <x v="1"/>
    <x v="0"/>
    <n v="24.251232000000002"/>
    <n v="97.348405"/>
    <s v="MMR001CMP197"/>
    <x v="1"/>
    <m/>
  </r>
  <r>
    <x v="1"/>
    <x v="2"/>
    <x v="0"/>
    <x v="6"/>
    <x v="89"/>
    <n v="47"/>
    <n v="153"/>
    <m/>
    <m/>
    <m/>
    <m/>
    <s v="No"/>
    <n v="0"/>
    <n v="0"/>
    <m/>
    <m/>
    <m/>
    <m/>
    <m/>
    <m/>
    <m/>
    <m/>
    <m/>
    <m/>
    <m/>
    <m/>
    <n v="0"/>
    <m/>
    <m/>
    <m/>
    <m/>
    <x v="1"/>
    <x v="1"/>
    <m/>
    <m/>
    <m/>
    <m/>
    <m/>
    <m/>
    <m/>
    <m/>
    <m/>
    <m/>
    <x v="0"/>
    <m/>
    <m/>
    <m/>
    <m/>
    <s v="no test"/>
    <s v="no test"/>
    <x v="1"/>
    <n v="0"/>
    <n v="0"/>
    <n v="0"/>
    <n v="0"/>
    <n v="0"/>
    <n v="0"/>
    <n v="0"/>
    <n v="0"/>
    <n v="0"/>
    <n v="1"/>
    <n v="153"/>
    <n v="1"/>
    <n v="1"/>
    <n v="0"/>
    <n v="0"/>
    <n v="0"/>
    <n v="1"/>
    <n v="8"/>
    <n v="8"/>
    <n v="0"/>
    <n v="0"/>
    <n v="0"/>
    <n v="0"/>
    <n v="0"/>
    <n v="0"/>
    <n v="0"/>
    <n v="0"/>
    <n v="1"/>
    <n v="0"/>
    <n v="0"/>
    <n v="0"/>
    <n v="0"/>
    <n v="0"/>
    <n v="0"/>
    <n v="0"/>
    <n v="0"/>
    <s v="uncovered"/>
    <x v="1"/>
    <x v="0"/>
    <x v="1"/>
    <x v="0"/>
    <n v="24.404876999999999"/>
    <n v="97.407787999999996"/>
    <s v="MMR001CMP061"/>
    <x v="1"/>
    <m/>
  </r>
  <r>
    <x v="1"/>
    <x v="6"/>
    <x v="0"/>
    <x v="6"/>
    <x v="90"/>
    <n v="353"/>
    <n v="1663"/>
    <m/>
    <s v="SCI/FFO"/>
    <d v="2019-11-30T00:00:00"/>
    <n v="0"/>
    <s v="Yes"/>
    <n v="0.5"/>
    <n v="0.1"/>
    <n v="0"/>
    <n v="0"/>
    <n v="27096"/>
    <n v="0"/>
    <n v="0"/>
    <m/>
    <n v="3"/>
    <n v="0"/>
    <n v="45"/>
    <n v="10"/>
    <n v="0"/>
    <m/>
    <n v="107"/>
    <n v="10"/>
    <n v="1"/>
    <m/>
    <n v="0"/>
    <x v="4"/>
    <x v="4"/>
    <n v="0"/>
    <n v="0"/>
    <m/>
    <n v="0.24"/>
    <s v="Communal"/>
    <n v="0"/>
    <n v="16"/>
    <m/>
    <n v="269"/>
    <n v="0"/>
    <x v="1"/>
    <m/>
    <n v="9"/>
    <m/>
    <m/>
    <n v="0"/>
    <n v="0.22222222222222221"/>
    <x v="0"/>
    <n v="1"/>
    <n v="1"/>
    <n v="1"/>
    <n v="1663"/>
    <n v="0"/>
    <n v="0"/>
    <n v="1"/>
    <n v="1663"/>
    <n v="3.3260000000000001"/>
    <n v="0"/>
    <n v="0"/>
    <n v="0"/>
    <n v="3"/>
    <n v="117"/>
    <n v="1"/>
    <n v="1663"/>
    <n v="0"/>
    <n v="0"/>
    <n v="83"/>
    <n v="8.5470085470085472E-2"/>
    <n v="20"/>
    <n v="0"/>
    <n v="0"/>
    <n v="0"/>
    <n v="0"/>
    <n v="0"/>
    <n v="0"/>
    <n v="1"/>
    <n v="0"/>
    <n v="0.76203966005665724"/>
    <n v="0"/>
    <n v="1345"/>
    <n v="0"/>
    <n v="1345"/>
    <n v="84.72"/>
    <s v="Yes"/>
    <s v="KMSS-BMO"/>
    <x v="1"/>
    <x v="0"/>
    <x v="0"/>
    <x v="1"/>
    <n v="24.378167000000001"/>
    <n v="97.669366999999994"/>
    <s v="MMR001CMP131"/>
    <x v="0"/>
    <m/>
  </r>
  <r>
    <x v="1"/>
    <x v="0"/>
    <x v="0"/>
    <x v="6"/>
    <x v="91"/>
    <n v="49"/>
    <n v="300"/>
    <m/>
    <s v="ECHO/OFDA"/>
    <s v="31/12/2018, 30/06/2019"/>
    <n v="0"/>
    <s v="Yes"/>
    <n v="0.63636363636363635"/>
    <n v="1"/>
    <n v="2"/>
    <n v="0"/>
    <n v="106500"/>
    <n v="0"/>
    <n v="0"/>
    <m/>
    <n v="0"/>
    <n v="0"/>
    <n v="9"/>
    <n v="5"/>
    <n v="0"/>
    <m/>
    <n v="22"/>
    <n v="0"/>
    <n v="13"/>
    <s v="Monthly"/>
    <n v="0"/>
    <x v="0"/>
    <x v="0"/>
    <n v="0"/>
    <n v="0"/>
    <m/>
    <n v="1"/>
    <s v="Both"/>
    <n v="0"/>
    <n v="3"/>
    <n v="1"/>
    <n v="75"/>
    <n v="0"/>
    <x v="0"/>
    <m/>
    <n v="2"/>
    <n v="0"/>
    <s v="Nill"/>
    <s v="no test"/>
    <n v="0.55555555555555558"/>
    <x v="0"/>
    <n v="1"/>
    <n v="1"/>
    <n v="1"/>
    <n v="300"/>
    <n v="0"/>
    <n v="0"/>
    <n v="1"/>
    <n v="300"/>
    <n v="0.6"/>
    <n v="0"/>
    <n v="0"/>
    <n v="0.4"/>
    <n v="1"/>
    <n v="22"/>
    <n v="1"/>
    <n v="300"/>
    <n v="0"/>
    <n v="0"/>
    <n v="15"/>
    <n v="0"/>
    <n v="260"/>
    <n v="300"/>
    <n v="0"/>
    <n v="1"/>
    <n v="1"/>
    <n v="300"/>
    <n v="1"/>
    <n v="0"/>
    <n v="1"/>
    <n v="1"/>
    <n v="0"/>
    <n v="375"/>
    <n v="0"/>
    <n v="375"/>
    <n v="49"/>
    <s v="Yes"/>
    <s v="KBC"/>
    <x v="1"/>
    <x v="0"/>
    <x v="0"/>
    <x v="0"/>
    <n v="24.205417000000001"/>
    <n v="97.724483000000006"/>
    <s v="MMR001CMP072"/>
    <x v="0"/>
    <m/>
  </r>
  <r>
    <x v="1"/>
    <x v="6"/>
    <x v="0"/>
    <x v="6"/>
    <x v="92"/>
    <n v="663"/>
    <n v="3411"/>
    <m/>
    <s v="SCI/FFO"/>
    <d v="2019-11-30T00:00:00"/>
    <n v="0"/>
    <s v="Yes"/>
    <n v="0.5"/>
    <n v="0.1"/>
    <n v="0"/>
    <n v="0"/>
    <n v="5290"/>
    <n v="0"/>
    <n v="0"/>
    <m/>
    <n v="0"/>
    <n v="0"/>
    <n v="0"/>
    <n v="0"/>
    <n v="0"/>
    <m/>
    <n v="243"/>
    <n v="10"/>
    <n v="1"/>
    <m/>
    <n v="0"/>
    <x v="4"/>
    <x v="0"/>
    <n v="0"/>
    <n v="0"/>
    <m/>
    <n v="0.53"/>
    <s v="Communal"/>
    <n v="0"/>
    <n v="15"/>
    <m/>
    <n v="513"/>
    <n v="0"/>
    <x v="1"/>
    <m/>
    <n v="9"/>
    <m/>
    <m/>
    <s v="no test"/>
    <s v="no test"/>
    <x v="1"/>
    <n v="0.10339098993452556"/>
    <n v="0.10339098993452556"/>
    <n v="0.10339098993452556"/>
    <n v="352.66666666666669"/>
    <n v="0"/>
    <n v="0"/>
    <n v="0.10339098993452556"/>
    <n v="352.66666666666669"/>
    <n v="0.70533333333333337"/>
    <n v="0.89660901006547444"/>
    <n v="3058.3333333333335"/>
    <n v="6.2946666666666662"/>
    <n v="7"/>
    <n v="253"/>
    <n v="1"/>
    <n v="3411"/>
    <n v="0"/>
    <n v="0"/>
    <n v="171"/>
    <n v="3.9525691699604744E-2"/>
    <n v="20"/>
    <n v="0"/>
    <n v="0"/>
    <n v="0"/>
    <n v="0"/>
    <n v="0"/>
    <n v="0"/>
    <n v="1"/>
    <n v="0"/>
    <n v="0.77375565610859731"/>
    <n v="0"/>
    <n v="2565"/>
    <n v="0"/>
    <n v="2565"/>
    <n v="351.39000000000004"/>
    <s v="Yes"/>
    <s v="KMSS-BMO"/>
    <x v="1"/>
    <x v="0"/>
    <x v="0"/>
    <x v="1"/>
    <n v="24.2744"/>
    <n v="97.752667000000002"/>
    <s v="MMR001CMP126"/>
    <x v="0"/>
    <m/>
  </r>
  <r>
    <x v="1"/>
    <x v="0"/>
    <x v="0"/>
    <x v="6"/>
    <x v="93"/>
    <n v="41"/>
    <n v="253"/>
    <m/>
    <s v="ECHO/OFDA"/>
    <s v="31/12/2018, 30/06/2019"/>
    <n v="0"/>
    <s v="Yes"/>
    <n v="0.58333333333333337"/>
    <n v="1"/>
    <n v="1"/>
    <n v="1"/>
    <n v="154500"/>
    <n v="0"/>
    <n v="0"/>
    <m/>
    <n v="0"/>
    <n v="0"/>
    <n v="8"/>
    <n v="7"/>
    <n v="0"/>
    <m/>
    <n v="18"/>
    <n v="0"/>
    <n v="17"/>
    <s v="Monthly"/>
    <n v="0"/>
    <x v="0"/>
    <x v="0"/>
    <n v="0"/>
    <n v="0"/>
    <m/>
    <n v="1"/>
    <s v="Both"/>
    <n v="0"/>
    <n v="2"/>
    <n v="1"/>
    <n v="124"/>
    <n v="0"/>
    <x v="0"/>
    <m/>
    <n v="2"/>
    <n v="0"/>
    <s v="Nill"/>
    <s v="no test"/>
    <n v="0.875"/>
    <x v="0"/>
    <n v="1"/>
    <n v="1"/>
    <n v="1"/>
    <n v="253"/>
    <n v="0"/>
    <n v="0"/>
    <n v="1"/>
    <n v="253"/>
    <n v="0.50600000000000001"/>
    <n v="0"/>
    <n v="0"/>
    <n v="0.49399999999999999"/>
    <n v="1"/>
    <n v="18"/>
    <n v="1"/>
    <n v="253"/>
    <n v="0"/>
    <n v="0"/>
    <n v="13"/>
    <n v="0"/>
    <n v="253"/>
    <n v="253"/>
    <n v="0"/>
    <n v="1"/>
    <n v="1"/>
    <n v="253"/>
    <n v="1"/>
    <n v="0"/>
    <n v="1"/>
    <n v="1"/>
    <n v="0"/>
    <n v="620"/>
    <n v="0"/>
    <n v="620"/>
    <n v="41"/>
    <s v="Yes"/>
    <s v="KBC"/>
    <x v="1"/>
    <x v="0"/>
    <x v="0"/>
    <x v="0"/>
    <n v="24.207332999999998"/>
    <n v="97.710864000000001"/>
    <s v="MMR001CMP073"/>
    <x v="0"/>
    <m/>
  </r>
  <r>
    <x v="1"/>
    <x v="3"/>
    <x v="0"/>
    <x v="7"/>
    <x v="94"/>
    <n v="24"/>
    <n v="103"/>
    <m/>
    <m/>
    <m/>
    <m/>
    <m/>
    <m/>
    <m/>
    <m/>
    <m/>
    <m/>
    <m/>
    <m/>
    <m/>
    <m/>
    <m/>
    <m/>
    <m/>
    <m/>
    <m/>
    <m/>
    <m/>
    <m/>
    <m/>
    <m/>
    <x v="2"/>
    <x v="3"/>
    <m/>
    <m/>
    <m/>
    <m/>
    <m/>
    <m/>
    <m/>
    <m/>
    <m/>
    <m/>
    <x v="0"/>
    <m/>
    <m/>
    <m/>
    <m/>
    <s v="no test"/>
    <s v="no test"/>
    <x v="1"/>
    <n v="0"/>
    <n v="0"/>
    <n v="0"/>
    <n v="0"/>
    <n v="0"/>
    <n v="0"/>
    <n v="0"/>
    <n v="0"/>
    <n v="0"/>
    <n v="1"/>
    <n v="103"/>
    <n v="1"/>
    <n v="1"/>
    <n v="0"/>
    <n v="0"/>
    <n v="0"/>
    <n v="0.97087378640776689"/>
    <n v="5"/>
    <n v="5"/>
    <n v="0"/>
    <n v="0"/>
    <n v="0"/>
    <n v="0"/>
    <n v="0"/>
    <n v="0"/>
    <n v="0"/>
    <n v="0"/>
    <n v="1"/>
    <n v="0"/>
    <n v="0"/>
    <n v="0"/>
    <n v="0"/>
    <n v="0"/>
    <n v="0"/>
    <n v="0"/>
    <n v="0"/>
    <n v="0"/>
    <x v="0"/>
    <x v="0"/>
    <x v="2"/>
    <x v="1"/>
    <n v="0"/>
    <n v="0"/>
    <n v="0"/>
    <x v="0"/>
    <m/>
  </r>
  <r>
    <x v="1"/>
    <x v="3"/>
    <x v="0"/>
    <x v="7"/>
    <x v="95"/>
    <n v="42"/>
    <n v="185"/>
    <m/>
    <s v="Plan/GFFO,ADRA/CANADA  "/>
    <s v="31/March/2019,31/Dec/2018"/>
    <n v="0"/>
    <s v="Yes"/>
    <n v="0.6"/>
    <n v="0.5"/>
    <n v="0"/>
    <n v="3"/>
    <n v="4000"/>
    <n v="0"/>
    <n v="0"/>
    <m/>
    <n v="0"/>
    <n v="0"/>
    <n v="0"/>
    <n v="0"/>
    <n v="0"/>
    <m/>
    <n v="7"/>
    <n v="0"/>
    <n v="0"/>
    <m/>
    <n v="0"/>
    <x v="0"/>
    <x v="2"/>
    <m/>
    <m/>
    <m/>
    <n v="0.6"/>
    <s v="Communal"/>
    <n v="0"/>
    <n v="3"/>
    <n v="1"/>
    <n v="0"/>
    <n v="0"/>
    <x v="0"/>
    <m/>
    <m/>
    <m/>
    <m/>
    <s v="no test"/>
    <s v="no test"/>
    <x v="1"/>
    <n v="1"/>
    <n v="1"/>
    <n v="1"/>
    <n v="185"/>
    <n v="0"/>
    <n v="0"/>
    <n v="1"/>
    <n v="185"/>
    <n v="0.37"/>
    <n v="0"/>
    <n v="0"/>
    <n v="0.63"/>
    <n v="1"/>
    <n v="7"/>
    <n v="0.7567567567567568"/>
    <n v="140"/>
    <n v="0.21621621621621623"/>
    <n v="2"/>
    <n v="9"/>
    <n v="0"/>
    <n v="0"/>
    <n v="185"/>
    <n v="0"/>
    <n v="1"/>
    <n v="0"/>
    <n v="0"/>
    <n v="0"/>
    <n v="1"/>
    <n v="1"/>
    <n v="0"/>
    <n v="0"/>
    <n v="0"/>
    <n v="0"/>
    <n v="0"/>
    <n v="25.2"/>
    <s v="Yes"/>
    <s v="KBC"/>
    <x v="1"/>
    <x v="0"/>
    <x v="0"/>
    <x v="0"/>
    <n v="25.3959740909091"/>
    <n v="97.382997575757599"/>
    <s v="MMR001CMP010"/>
    <x v="0"/>
    <m/>
  </r>
  <r>
    <x v="1"/>
    <x v="3"/>
    <x v="0"/>
    <x v="7"/>
    <x v="96"/>
    <n v="198"/>
    <n v="1114"/>
    <m/>
    <s v="Plan/GFFO,ADRA/CANADA  "/>
    <s v="31/March/2019,31/Dec/2018"/>
    <n v="0"/>
    <s v="Yes"/>
    <n v="0.6"/>
    <n v="0.5"/>
    <n v="1"/>
    <n v="4"/>
    <n v="3000"/>
    <n v="0"/>
    <n v="0"/>
    <m/>
    <n v="0"/>
    <n v="0"/>
    <n v="0"/>
    <n v="0"/>
    <n v="0"/>
    <m/>
    <n v="43"/>
    <n v="0"/>
    <n v="0"/>
    <m/>
    <n v="0"/>
    <x v="0"/>
    <x v="0"/>
    <m/>
    <m/>
    <m/>
    <n v="0.6"/>
    <s v="Communal"/>
    <n v="0"/>
    <n v="3"/>
    <n v="4"/>
    <n v="0"/>
    <n v="0"/>
    <x v="0"/>
    <m/>
    <m/>
    <m/>
    <m/>
    <s v="no test"/>
    <s v="no test"/>
    <x v="1"/>
    <n v="1"/>
    <n v="1"/>
    <n v="1"/>
    <n v="1114"/>
    <n v="0"/>
    <n v="0"/>
    <n v="1"/>
    <n v="1114"/>
    <n v="2.2280000000000002"/>
    <n v="0"/>
    <n v="0"/>
    <n v="0"/>
    <n v="2"/>
    <n v="43"/>
    <n v="0.7719928186714542"/>
    <n v="860"/>
    <n v="0.23339317773788149"/>
    <n v="13"/>
    <n v="56"/>
    <n v="0"/>
    <n v="0"/>
    <n v="1114"/>
    <n v="0"/>
    <n v="1"/>
    <n v="0"/>
    <n v="0"/>
    <n v="0"/>
    <n v="1"/>
    <n v="1"/>
    <n v="0"/>
    <n v="0"/>
    <n v="0"/>
    <n v="0"/>
    <n v="0"/>
    <n v="118.8"/>
    <s v="Yes"/>
    <s v="KBC"/>
    <x v="1"/>
    <x v="0"/>
    <x v="0"/>
    <x v="0"/>
    <n v="25.403476999999999"/>
    <n v="97.373361000000003"/>
    <s v="MMR001CMP018"/>
    <x v="0"/>
    <m/>
  </r>
  <r>
    <x v="1"/>
    <x v="5"/>
    <x v="0"/>
    <x v="7"/>
    <x v="97"/>
    <n v="88"/>
    <n v="430"/>
    <m/>
    <s v="DFID/UNICEF"/>
    <d v="2018-12-31T00:00:00"/>
    <n v="0"/>
    <s v="Yes"/>
    <n v="0.5"/>
    <n v="0.5"/>
    <n v="1"/>
    <n v="3"/>
    <n v="5000"/>
    <n v="0"/>
    <n v="4"/>
    <m/>
    <n v="3"/>
    <n v="1"/>
    <n v="12"/>
    <n v="0"/>
    <n v="0"/>
    <m/>
    <n v="22"/>
    <n v="0"/>
    <n v="0"/>
    <m/>
    <n v="10"/>
    <x v="0"/>
    <x v="0"/>
    <n v="0"/>
    <n v="0"/>
    <m/>
    <n v="0"/>
    <s v="Communal"/>
    <n v="0"/>
    <n v="3"/>
    <n v="2"/>
    <n v="0"/>
    <n v="0"/>
    <x v="1"/>
    <m/>
    <m/>
    <m/>
    <m/>
    <n v="0.33333333333333331"/>
    <n v="0"/>
    <x v="0"/>
    <n v="1"/>
    <n v="1"/>
    <n v="1"/>
    <n v="430"/>
    <n v="0"/>
    <n v="0"/>
    <n v="1"/>
    <n v="430"/>
    <n v="0.86"/>
    <n v="0"/>
    <n v="0"/>
    <n v="0.14000000000000001"/>
    <n v="1"/>
    <n v="22"/>
    <n v="1"/>
    <n v="430"/>
    <n v="0"/>
    <n v="0"/>
    <n v="22"/>
    <n v="0"/>
    <n v="0"/>
    <n v="430"/>
    <n v="0"/>
    <n v="1"/>
    <n v="0"/>
    <n v="0"/>
    <n v="0"/>
    <n v="1"/>
    <n v="1"/>
    <n v="0"/>
    <n v="0"/>
    <n v="0"/>
    <n v="0"/>
    <n v="0"/>
    <n v="0"/>
    <s v="Yes"/>
    <s v="KMSS-MYT"/>
    <x v="1"/>
    <x v="0"/>
    <x v="0"/>
    <x v="0"/>
    <n v="25.401061110000001"/>
    <n v="97.379594999999995"/>
    <s v="MMR001CMP019"/>
    <x v="0"/>
    <m/>
  </r>
  <r>
    <x v="1"/>
    <x v="3"/>
    <x v="0"/>
    <x v="7"/>
    <x v="98"/>
    <n v="118"/>
    <n v="489"/>
    <m/>
    <s v="ADRA/CANADA"/>
    <d v="2018-12-31T00:00:00"/>
    <m/>
    <m/>
    <m/>
    <m/>
    <m/>
    <m/>
    <m/>
    <m/>
    <m/>
    <m/>
    <m/>
    <m/>
    <m/>
    <m/>
    <m/>
    <m/>
    <m/>
    <m/>
    <m/>
    <m/>
    <m/>
    <x v="2"/>
    <x v="3"/>
    <m/>
    <m/>
    <m/>
    <m/>
    <m/>
    <m/>
    <m/>
    <m/>
    <m/>
    <m/>
    <x v="0"/>
    <m/>
    <m/>
    <m/>
    <m/>
    <s v="no test"/>
    <s v="no test"/>
    <x v="1"/>
    <n v="0"/>
    <n v="0"/>
    <n v="0"/>
    <n v="0"/>
    <n v="0"/>
    <n v="0"/>
    <n v="0"/>
    <n v="0"/>
    <n v="0"/>
    <n v="1"/>
    <n v="489"/>
    <n v="1"/>
    <n v="1"/>
    <n v="0"/>
    <n v="0"/>
    <n v="0"/>
    <n v="0.98159509202453987"/>
    <n v="24"/>
    <n v="24"/>
    <n v="0"/>
    <n v="0"/>
    <n v="0"/>
    <n v="0"/>
    <n v="0"/>
    <n v="0"/>
    <n v="0"/>
    <n v="0"/>
    <n v="1"/>
    <n v="0"/>
    <n v="0"/>
    <n v="0"/>
    <n v="0"/>
    <n v="0"/>
    <n v="0"/>
    <n v="0"/>
    <n v="0"/>
    <s v="KBC"/>
    <x v="4"/>
    <x v="0"/>
    <x v="0"/>
    <x v="0"/>
    <n v="0"/>
    <n v="0"/>
    <s v="MMR001CMP265"/>
    <x v="0"/>
    <m/>
  </r>
  <r>
    <x v="1"/>
    <x v="2"/>
    <x v="0"/>
    <x v="7"/>
    <x v="99"/>
    <n v="19"/>
    <n v="46"/>
    <m/>
    <m/>
    <m/>
    <m/>
    <m/>
    <m/>
    <m/>
    <m/>
    <m/>
    <m/>
    <m/>
    <m/>
    <m/>
    <m/>
    <m/>
    <m/>
    <m/>
    <m/>
    <m/>
    <m/>
    <m/>
    <m/>
    <m/>
    <m/>
    <x v="2"/>
    <x v="3"/>
    <m/>
    <m/>
    <m/>
    <m/>
    <m/>
    <m/>
    <m/>
    <m/>
    <m/>
    <m/>
    <x v="0"/>
    <m/>
    <m/>
    <m/>
    <m/>
    <s v="no test"/>
    <s v="no test"/>
    <x v="1"/>
    <n v="0"/>
    <n v="0"/>
    <n v="0"/>
    <n v="0"/>
    <n v="0"/>
    <n v="0"/>
    <n v="0"/>
    <n v="0"/>
    <n v="0"/>
    <n v="1"/>
    <n v="46"/>
    <n v="1"/>
    <n v="1"/>
    <n v="0"/>
    <n v="0"/>
    <n v="0"/>
    <n v="0.86956521739130443"/>
    <n v="2"/>
    <n v="2"/>
    <n v="0"/>
    <n v="0"/>
    <n v="0"/>
    <n v="0"/>
    <n v="0"/>
    <n v="0"/>
    <n v="0"/>
    <n v="0"/>
    <n v="1"/>
    <n v="0"/>
    <n v="0"/>
    <n v="0"/>
    <n v="0"/>
    <n v="0"/>
    <n v="0"/>
    <n v="0"/>
    <n v="0"/>
    <s v="uncovered"/>
    <x v="1"/>
    <x v="0"/>
    <x v="2"/>
    <x v="0"/>
    <n v="0"/>
    <n v="0"/>
    <s v="MMR001CMP256"/>
    <x v="1"/>
    <m/>
  </r>
  <r>
    <x v="1"/>
    <x v="3"/>
    <x v="0"/>
    <x v="7"/>
    <x v="100"/>
    <n v="44"/>
    <n v="195"/>
    <m/>
    <s v="Plan/GFFO,ADRA/CANADA  "/>
    <s v="31/March/2019,31/Dec/2018"/>
    <n v="0"/>
    <s v="Yes"/>
    <n v="0.6"/>
    <n v="0.5"/>
    <n v="1"/>
    <n v="1"/>
    <n v="3000"/>
    <n v="0"/>
    <n v="0"/>
    <m/>
    <n v="0"/>
    <n v="0"/>
    <n v="0"/>
    <n v="0"/>
    <n v="0"/>
    <m/>
    <n v="8"/>
    <n v="0"/>
    <n v="0"/>
    <m/>
    <n v="0"/>
    <x v="0"/>
    <x v="0"/>
    <m/>
    <m/>
    <m/>
    <n v="0.6"/>
    <s v="Communal"/>
    <n v="0"/>
    <n v="1"/>
    <n v="1"/>
    <n v="0"/>
    <n v="0"/>
    <x v="0"/>
    <m/>
    <m/>
    <m/>
    <m/>
    <s v="no test"/>
    <s v="no test"/>
    <x v="1"/>
    <n v="1"/>
    <n v="1"/>
    <n v="1"/>
    <n v="195"/>
    <n v="0"/>
    <n v="0"/>
    <n v="1"/>
    <n v="195"/>
    <n v="0.39"/>
    <n v="0"/>
    <n v="0"/>
    <n v="0.61"/>
    <n v="1"/>
    <n v="8"/>
    <n v="0.82051282051282048"/>
    <n v="160"/>
    <n v="0.20512820512820512"/>
    <n v="2"/>
    <n v="10"/>
    <n v="0"/>
    <n v="0"/>
    <n v="195"/>
    <n v="0"/>
    <n v="1"/>
    <n v="0"/>
    <n v="0"/>
    <n v="0"/>
    <n v="1"/>
    <n v="1"/>
    <n v="0"/>
    <n v="0"/>
    <n v="0"/>
    <n v="0"/>
    <n v="0"/>
    <n v="26.4"/>
    <s v="Yes"/>
    <s v="KBC"/>
    <x v="1"/>
    <x v="0"/>
    <x v="0"/>
    <x v="0"/>
    <n v="25.3660036111111"/>
    <n v="97.405202777777802"/>
    <s v="MMR001CMP013"/>
    <x v="0"/>
    <m/>
  </r>
  <r>
    <x v="1"/>
    <x v="2"/>
    <x v="0"/>
    <x v="7"/>
    <x v="101"/>
    <n v="375"/>
    <n v="1691"/>
    <m/>
    <m/>
    <m/>
    <m/>
    <s v="No"/>
    <n v="0"/>
    <n v="0"/>
    <m/>
    <m/>
    <m/>
    <m/>
    <m/>
    <m/>
    <m/>
    <m/>
    <m/>
    <m/>
    <m/>
    <m/>
    <n v="0"/>
    <m/>
    <m/>
    <m/>
    <m/>
    <x v="1"/>
    <x v="1"/>
    <m/>
    <m/>
    <m/>
    <m/>
    <m/>
    <m/>
    <m/>
    <m/>
    <m/>
    <m/>
    <x v="0"/>
    <m/>
    <m/>
    <m/>
    <m/>
    <s v="no test"/>
    <s v="no test"/>
    <x v="1"/>
    <n v="0"/>
    <n v="0"/>
    <n v="0"/>
    <n v="0"/>
    <n v="0"/>
    <n v="0"/>
    <n v="0"/>
    <n v="0"/>
    <n v="0"/>
    <n v="1"/>
    <n v="1691"/>
    <n v="3"/>
    <n v="3"/>
    <n v="0"/>
    <n v="0"/>
    <n v="0"/>
    <n v="1"/>
    <n v="85"/>
    <n v="85"/>
    <n v="0"/>
    <n v="0"/>
    <n v="0"/>
    <n v="0"/>
    <n v="0"/>
    <n v="0"/>
    <n v="0"/>
    <n v="0"/>
    <n v="1"/>
    <n v="0"/>
    <n v="0"/>
    <n v="0"/>
    <n v="0"/>
    <n v="0"/>
    <n v="0"/>
    <n v="0"/>
    <n v="0"/>
    <s v="uncovered"/>
    <x v="1"/>
    <x v="0"/>
    <x v="1"/>
    <x v="0"/>
    <n v="0"/>
    <n v="0"/>
    <s v="MMR001CMP147"/>
    <x v="1"/>
    <m/>
  </r>
  <r>
    <x v="1"/>
    <x v="3"/>
    <x v="0"/>
    <x v="7"/>
    <x v="102"/>
    <n v="51"/>
    <n v="252"/>
    <m/>
    <m/>
    <m/>
    <m/>
    <m/>
    <m/>
    <m/>
    <m/>
    <m/>
    <m/>
    <m/>
    <m/>
    <m/>
    <m/>
    <m/>
    <m/>
    <m/>
    <m/>
    <m/>
    <m/>
    <m/>
    <m/>
    <m/>
    <m/>
    <x v="2"/>
    <x v="3"/>
    <m/>
    <m/>
    <m/>
    <m/>
    <m/>
    <m/>
    <m/>
    <m/>
    <m/>
    <m/>
    <x v="0"/>
    <m/>
    <m/>
    <m/>
    <m/>
    <s v="no test"/>
    <s v="no test"/>
    <x v="1"/>
    <n v="0"/>
    <n v="0"/>
    <n v="0"/>
    <n v="0"/>
    <n v="0"/>
    <n v="0"/>
    <n v="0"/>
    <n v="0"/>
    <n v="0"/>
    <n v="1"/>
    <n v="252"/>
    <n v="1"/>
    <n v="1"/>
    <n v="0"/>
    <n v="0"/>
    <n v="0"/>
    <n v="1"/>
    <n v="13"/>
    <n v="13"/>
    <n v="0"/>
    <n v="0"/>
    <n v="0"/>
    <n v="0"/>
    <n v="0"/>
    <n v="0"/>
    <n v="0"/>
    <n v="0"/>
    <n v="1"/>
    <n v="0"/>
    <n v="0"/>
    <n v="0"/>
    <n v="0"/>
    <n v="0"/>
    <n v="0"/>
    <n v="0"/>
    <n v="0"/>
    <n v="0"/>
    <x v="0"/>
    <x v="0"/>
    <x v="2"/>
    <x v="1"/>
    <n v="0"/>
    <n v="0"/>
    <n v="0"/>
    <x v="0"/>
    <m/>
  </r>
  <r>
    <x v="1"/>
    <x v="3"/>
    <x v="0"/>
    <x v="7"/>
    <x v="103"/>
    <n v="105"/>
    <n v="578"/>
    <m/>
    <s v="Plan/GFFO,ADRA/CANADA  "/>
    <s v="31/March/2019,31/Dec/2018"/>
    <n v="0"/>
    <s v="Yes"/>
    <n v="0.6"/>
    <n v="0.5"/>
    <n v="1"/>
    <n v="1"/>
    <n v="4000"/>
    <n v="0"/>
    <n v="0"/>
    <m/>
    <n v="0"/>
    <n v="0"/>
    <n v="0"/>
    <n v="0"/>
    <n v="0"/>
    <m/>
    <n v="8"/>
    <n v="0"/>
    <n v="0"/>
    <m/>
    <n v="0"/>
    <x v="0"/>
    <x v="0"/>
    <m/>
    <m/>
    <m/>
    <n v="0.6"/>
    <s v="Communal"/>
    <n v="0"/>
    <n v="2"/>
    <n v="1"/>
    <n v="0"/>
    <n v="0"/>
    <x v="0"/>
    <m/>
    <m/>
    <m/>
    <m/>
    <s v="no test"/>
    <s v="no test"/>
    <x v="1"/>
    <n v="1"/>
    <n v="1"/>
    <n v="1"/>
    <n v="578"/>
    <n v="0"/>
    <n v="0"/>
    <n v="1"/>
    <n v="578"/>
    <n v="1.1559999999999999"/>
    <n v="0"/>
    <n v="0"/>
    <n v="0"/>
    <n v="1"/>
    <n v="8"/>
    <n v="0.27681660899653981"/>
    <n v="160"/>
    <n v="0.72664359861591699"/>
    <n v="21"/>
    <n v="29"/>
    <n v="0"/>
    <n v="0"/>
    <n v="500"/>
    <n v="0"/>
    <n v="1"/>
    <n v="0"/>
    <n v="0"/>
    <n v="0"/>
    <n v="1"/>
    <n v="0.86505190311418689"/>
    <n v="0"/>
    <n v="0"/>
    <n v="0"/>
    <n v="0"/>
    <n v="0"/>
    <n v="63"/>
    <s v="Yes"/>
    <s v="KBC"/>
    <x v="1"/>
    <x v="0"/>
    <x v="0"/>
    <x v="0"/>
    <n v="25.362420757575801"/>
    <n v="97.409035000000003"/>
    <s v="MMR001CMP015"/>
    <x v="0"/>
    <m/>
  </r>
  <r>
    <x v="1"/>
    <x v="3"/>
    <x v="0"/>
    <x v="7"/>
    <x v="104"/>
    <n v="138"/>
    <n v="697"/>
    <m/>
    <s v="Plan/GFFO,ADRA/CANADA  "/>
    <s v="31/March/2019,31/Dec/2018"/>
    <n v="0"/>
    <s v="Yes"/>
    <n v="0.6"/>
    <n v="0.5"/>
    <n v="0"/>
    <n v="2"/>
    <n v="2000"/>
    <n v="0"/>
    <n v="0"/>
    <m/>
    <n v="0"/>
    <n v="0"/>
    <n v="0"/>
    <n v="0"/>
    <n v="0"/>
    <m/>
    <n v="32"/>
    <n v="0"/>
    <n v="0"/>
    <m/>
    <n v="0"/>
    <x v="0"/>
    <x v="0"/>
    <m/>
    <m/>
    <m/>
    <n v="0.6"/>
    <s v="Communal"/>
    <n v="0"/>
    <n v="2"/>
    <n v="1"/>
    <n v="0"/>
    <n v="0"/>
    <x v="0"/>
    <m/>
    <m/>
    <m/>
    <m/>
    <s v="no test"/>
    <s v="no test"/>
    <x v="1"/>
    <n v="1"/>
    <n v="0.90865614538498329"/>
    <n v="1"/>
    <n v="697"/>
    <n v="0"/>
    <n v="0"/>
    <n v="1"/>
    <n v="697"/>
    <n v="1.3939999999999999"/>
    <n v="0"/>
    <n v="0"/>
    <n v="0"/>
    <n v="1"/>
    <n v="32"/>
    <n v="0.9182209469153515"/>
    <n v="640"/>
    <n v="8.6083213773314196E-2"/>
    <n v="3"/>
    <n v="35"/>
    <n v="0"/>
    <n v="0"/>
    <n v="500"/>
    <n v="0"/>
    <n v="0"/>
    <n v="0"/>
    <n v="0"/>
    <n v="0"/>
    <n v="1"/>
    <n v="0.71736011477761841"/>
    <n v="0"/>
    <n v="0"/>
    <n v="0"/>
    <n v="0"/>
    <n v="0"/>
    <n v="82.8"/>
    <s v="Yes"/>
    <s v="KBC"/>
    <x v="1"/>
    <x v="0"/>
    <x v="0"/>
    <x v="0"/>
    <n v="25.3510167948718"/>
    <n v="97.403402307692303"/>
    <s v="MMR001CMP014"/>
    <x v="0"/>
    <m/>
  </r>
  <r>
    <x v="1"/>
    <x v="3"/>
    <x v="0"/>
    <x v="7"/>
    <x v="105"/>
    <n v="61"/>
    <n v="304"/>
    <m/>
    <s v="Plan/GFFO,ADRA/CANADA  "/>
    <s v="31/March/2019,31/Dec/2018"/>
    <n v="0"/>
    <s v="Yes"/>
    <n v="0.6"/>
    <n v="0.5"/>
    <n v="1"/>
    <n v="1"/>
    <n v="2000"/>
    <n v="0"/>
    <n v="0"/>
    <m/>
    <n v="0"/>
    <n v="0"/>
    <n v="0"/>
    <n v="0"/>
    <n v="0"/>
    <m/>
    <n v="7"/>
    <n v="0"/>
    <n v="0"/>
    <m/>
    <n v="0"/>
    <x v="0"/>
    <x v="0"/>
    <m/>
    <m/>
    <m/>
    <n v="0.6"/>
    <s v="Communal"/>
    <n v="0"/>
    <n v="3"/>
    <n v="2"/>
    <n v="0"/>
    <n v="0"/>
    <x v="0"/>
    <m/>
    <m/>
    <m/>
    <m/>
    <s v="no test"/>
    <s v="no test"/>
    <x v="1"/>
    <n v="1"/>
    <n v="1"/>
    <n v="1"/>
    <n v="304"/>
    <n v="0"/>
    <n v="0"/>
    <n v="1"/>
    <n v="304"/>
    <n v="0.60799999999999998"/>
    <n v="0"/>
    <n v="0"/>
    <n v="0.39200000000000002"/>
    <n v="1"/>
    <n v="7"/>
    <n v="0.46052631578947367"/>
    <n v="140"/>
    <n v="0.52631578947368418"/>
    <n v="8"/>
    <n v="15"/>
    <n v="0"/>
    <n v="0"/>
    <n v="304"/>
    <n v="0"/>
    <n v="1"/>
    <n v="0"/>
    <n v="0"/>
    <n v="0"/>
    <n v="1"/>
    <n v="1"/>
    <n v="0"/>
    <n v="0"/>
    <n v="0"/>
    <n v="0"/>
    <n v="0"/>
    <n v="36.6"/>
    <s v="Yes"/>
    <s v="KBC"/>
    <x v="1"/>
    <x v="0"/>
    <x v="0"/>
    <x v="0"/>
    <n v="25.360463124999999"/>
    <n v="97.4113064583333"/>
    <s v="MMR001CMP016"/>
    <x v="0"/>
    <m/>
  </r>
  <r>
    <x v="1"/>
    <x v="3"/>
    <x v="0"/>
    <x v="7"/>
    <x v="106"/>
    <n v="103"/>
    <n v="581"/>
    <m/>
    <s v="Plan/GFFO,ADRA/CANADA  "/>
    <s v="31/March/2019,31/Dec/2018"/>
    <n v="0"/>
    <s v="Yes"/>
    <n v="0.6"/>
    <n v="0.5"/>
    <n v="1"/>
    <n v="2"/>
    <n v="2000"/>
    <n v="0"/>
    <n v="0"/>
    <m/>
    <n v="0"/>
    <n v="0"/>
    <n v="0"/>
    <n v="0"/>
    <n v="0"/>
    <m/>
    <n v="30"/>
    <n v="0"/>
    <n v="0"/>
    <m/>
    <n v="0"/>
    <x v="0"/>
    <x v="0"/>
    <m/>
    <m/>
    <m/>
    <n v="0.6"/>
    <s v="Communal"/>
    <n v="0"/>
    <n v="2"/>
    <n v="2"/>
    <n v="0"/>
    <n v="0"/>
    <x v="0"/>
    <m/>
    <m/>
    <m/>
    <m/>
    <s v="no test"/>
    <s v="no test"/>
    <x v="1"/>
    <n v="1"/>
    <n v="1"/>
    <n v="1"/>
    <n v="581"/>
    <n v="0"/>
    <n v="0"/>
    <n v="1"/>
    <n v="581"/>
    <n v="1.1619999999999999"/>
    <n v="0"/>
    <n v="0"/>
    <n v="0"/>
    <n v="1"/>
    <n v="30"/>
    <n v="1"/>
    <n v="581"/>
    <n v="0"/>
    <n v="0"/>
    <n v="29"/>
    <n v="0"/>
    <n v="0"/>
    <n v="581"/>
    <n v="0"/>
    <n v="1"/>
    <n v="0"/>
    <n v="0"/>
    <n v="0"/>
    <n v="1"/>
    <n v="1"/>
    <n v="0"/>
    <n v="0"/>
    <n v="0"/>
    <n v="0"/>
    <n v="0"/>
    <n v="61.8"/>
    <s v="Yes"/>
    <s v="KBC"/>
    <x v="1"/>
    <x v="0"/>
    <x v="0"/>
    <x v="0"/>
    <n v="25.428910999999999"/>
    <n v="97.418694000000002"/>
    <s v="MMR001CMP008"/>
    <x v="0"/>
    <m/>
  </r>
  <r>
    <x v="1"/>
    <x v="4"/>
    <x v="0"/>
    <x v="7"/>
    <x v="107"/>
    <n v="24"/>
    <n v="97"/>
    <m/>
    <s v="OFDA"/>
    <d v="2017-07-31T00:00:00"/>
    <n v="0"/>
    <s v="Yes"/>
    <n v="1"/>
    <n v="1"/>
    <n v="1"/>
    <n v="1"/>
    <n v="1000"/>
    <n v="0"/>
    <n v="1"/>
    <m/>
    <n v="2"/>
    <n v="0"/>
    <n v="4"/>
    <n v="2"/>
    <n v="0"/>
    <m/>
    <n v="3"/>
    <n v="0"/>
    <n v="2"/>
    <s v="two times"/>
    <n v="3"/>
    <x v="0"/>
    <x v="2"/>
    <n v="0"/>
    <n v="0"/>
    <m/>
    <n v="0.6"/>
    <s v="Communal"/>
    <n v="0"/>
    <n v="2"/>
    <n v="0"/>
    <n v="0"/>
    <n v="0"/>
    <x v="0"/>
    <m/>
    <n v="1"/>
    <m/>
    <m/>
    <n v="0"/>
    <n v="0.5"/>
    <x v="0"/>
    <n v="1"/>
    <n v="1"/>
    <n v="1"/>
    <n v="97"/>
    <n v="0"/>
    <n v="0"/>
    <n v="1"/>
    <n v="97"/>
    <n v="0.19400000000000001"/>
    <n v="0"/>
    <n v="0"/>
    <n v="0.80600000000000005"/>
    <n v="1"/>
    <n v="3"/>
    <n v="0.61855670103092786"/>
    <n v="60"/>
    <n v="0.41237113402061859"/>
    <n v="2"/>
    <n v="5"/>
    <n v="0"/>
    <n v="40"/>
    <n v="0"/>
    <n v="0"/>
    <n v="0"/>
    <n v="0"/>
    <n v="0"/>
    <n v="0"/>
    <n v="1"/>
    <n v="0"/>
    <n v="0"/>
    <n v="0"/>
    <n v="0"/>
    <n v="0"/>
    <n v="0"/>
    <n v="14.399999999999999"/>
    <s v="Yes"/>
    <s v="Shalom"/>
    <x v="1"/>
    <x v="0"/>
    <x v="0"/>
    <x v="0"/>
    <n v="25.374343974359"/>
    <n v="97.2843958974359"/>
    <s v="MMR001CMP020"/>
    <x v="0"/>
    <m/>
  </r>
  <r>
    <x v="1"/>
    <x v="4"/>
    <x v="0"/>
    <x v="7"/>
    <x v="108"/>
    <n v="14"/>
    <n v="76"/>
    <m/>
    <s v="OFDA"/>
    <d v="2017-07-31T00:00:00"/>
    <n v="0"/>
    <s v="Yes"/>
    <n v="0.6"/>
    <n v="1"/>
    <n v="1"/>
    <n v="0"/>
    <n v="1000"/>
    <n v="0"/>
    <n v="1"/>
    <m/>
    <n v="2"/>
    <n v="1"/>
    <n v="4"/>
    <n v="2"/>
    <n v="0"/>
    <m/>
    <n v="3"/>
    <n v="0"/>
    <n v="3"/>
    <s v="two times"/>
    <n v="3"/>
    <x v="0"/>
    <x v="2"/>
    <n v="0"/>
    <n v="0"/>
    <m/>
    <n v="0.6"/>
    <s v="Communal"/>
    <n v="0"/>
    <n v="1"/>
    <n v="0"/>
    <n v="0"/>
    <n v="0"/>
    <x v="0"/>
    <m/>
    <n v="1"/>
    <m/>
    <m/>
    <n v="0.5"/>
    <n v="0.5"/>
    <x v="0"/>
    <n v="1"/>
    <n v="1"/>
    <n v="1"/>
    <n v="76"/>
    <n v="0"/>
    <n v="0"/>
    <n v="1"/>
    <n v="76"/>
    <n v="0.152"/>
    <n v="0"/>
    <n v="0"/>
    <n v="0.84799999999999998"/>
    <n v="1"/>
    <n v="3"/>
    <n v="0.78947368421052633"/>
    <n v="60"/>
    <n v="0.26315789473684209"/>
    <n v="1"/>
    <n v="4"/>
    <n v="0"/>
    <n v="60"/>
    <n v="0"/>
    <n v="0"/>
    <n v="0"/>
    <n v="0"/>
    <n v="0"/>
    <n v="0"/>
    <n v="1"/>
    <n v="0"/>
    <n v="0"/>
    <n v="0"/>
    <n v="0"/>
    <n v="0"/>
    <n v="0"/>
    <n v="8.4"/>
    <s v="Yes"/>
    <s v="Shalom"/>
    <x v="1"/>
    <x v="0"/>
    <x v="0"/>
    <x v="0"/>
    <n v="25.371049444444399"/>
    <n v="97.290952037037002"/>
    <s v="MMR001CMP021"/>
    <x v="0"/>
    <m/>
  </r>
  <r>
    <x v="1"/>
    <x v="5"/>
    <x v="0"/>
    <x v="7"/>
    <x v="109"/>
    <n v="63"/>
    <n v="311"/>
    <m/>
    <s v="DFID/UNICEF"/>
    <d v="2018-12-31T00:00:00"/>
    <n v="0"/>
    <s v="Yes"/>
    <n v="0.5"/>
    <n v="0.2"/>
    <n v="0"/>
    <n v="0"/>
    <n v="5000"/>
    <n v="0"/>
    <n v="4"/>
    <m/>
    <n v="4"/>
    <n v="2"/>
    <n v="11"/>
    <n v="1"/>
    <n v="0"/>
    <m/>
    <n v="20"/>
    <n v="0"/>
    <n v="0"/>
    <m/>
    <n v="13"/>
    <x v="0"/>
    <x v="0"/>
    <n v="0"/>
    <n v="0"/>
    <m/>
    <n v="0"/>
    <s v="Communal"/>
    <n v="0"/>
    <n v="3"/>
    <n v="2"/>
    <n v="0"/>
    <n v="0"/>
    <x v="1"/>
    <m/>
    <m/>
    <m/>
    <m/>
    <n v="0.5"/>
    <n v="9.0909090909090912E-2"/>
    <x v="0"/>
    <n v="1"/>
    <n v="1"/>
    <n v="1"/>
    <n v="311"/>
    <n v="0"/>
    <n v="0"/>
    <n v="1"/>
    <n v="311"/>
    <n v="0.622"/>
    <n v="0"/>
    <n v="0"/>
    <n v="0.378"/>
    <n v="1"/>
    <n v="20"/>
    <n v="1"/>
    <n v="311"/>
    <n v="0"/>
    <n v="0"/>
    <n v="16"/>
    <n v="0"/>
    <n v="0"/>
    <n v="311"/>
    <n v="0"/>
    <n v="1"/>
    <n v="0"/>
    <n v="0"/>
    <n v="0"/>
    <n v="1"/>
    <n v="1"/>
    <n v="0"/>
    <n v="0"/>
    <n v="0"/>
    <n v="0"/>
    <n v="0"/>
    <n v="0"/>
    <s v="Yes"/>
    <s v="KMSS-MYT"/>
    <x v="1"/>
    <x v="0"/>
    <x v="0"/>
    <x v="0"/>
    <n v="25.410569299999999"/>
    <n v="97.359320179999997"/>
    <s v="MMR001CMP024"/>
    <x v="0"/>
    <m/>
  </r>
  <r>
    <x v="1"/>
    <x v="3"/>
    <x v="0"/>
    <x v="7"/>
    <x v="110"/>
    <n v="67"/>
    <n v="295"/>
    <m/>
    <s v="Plan/GFFO,ADRA/CANADA  "/>
    <s v="31/March/2019,31/Dec/2018"/>
    <n v="0"/>
    <s v="Yes"/>
    <n v="0.6"/>
    <n v="0.5"/>
    <n v="1"/>
    <n v="2"/>
    <n v="1500"/>
    <n v="0"/>
    <n v="0"/>
    <m/>
    <n v="0"/>
    <n v="0"/>
    <n v="0"/>
    <n v="0"/>
    <n v="0"/>
    <m/>
    <n v="10"/>
    <n v="0"/>
    <n v="8"/>
    <m/>
    <n v="0"/>
    <x v="0"/>
    <x v="0"/>
    <m/>
    <m/>
    <m/>
    <n v="0.6"/>
    <s v="Communal"/>
    <n v="0"/>
    <n v="2"/>
    <n v="1"/>
    <n v="0"/>
    <n v="0"/>
    <x v="0"/>
    <m/>
    <m/>
    <m/>
    <m/>
    <s v="no test"/>
    <s v="no test"/>
    <x v="1"/>
    <n v="1"/>
    <n v="1"/>
    <n v="1"/>
    <n v="295"/>
    <n v="0"/>
    <n v="0"/>
    <n v="1"/>
    <n v="295"/>
    <n v="0.59"/>
    <n v="0"/>
    <n v="0"/>
    <n v="0.41000000000000003"/>
    <n v="1"/>
    <n v="10"/>
    <n v="0.67796610169491522"/>
    <n v="200"/>
    <n v="0.33898305084745761"/>
    <n v="5"/>
    <n v="15"/>
    <n v="0"/>
    <n v="160"/>
    <n v="295"/>
    <n v="0"/>
    <n v="1"/>
    <n v="0"/>
    <n v="0"/>
    <n v="0"/>
    <n v="1"/>
    <n v="1"/>
    <n v="0"/>
    <n v="0"/>
    <n v="0"/>
    <n v="0"/>
    <n v="0"/>
    <n v="40.199999999999996"/>
    <s v="Yes"/>
    <s v="KBC"/>
    <x v="1"/>
    <x v="0"/>
    <x v="0"/>
    <x v="0"/>
    <n v="25.422194000000001"/>
    <n v="97.394547000000003"/>
    <s v="MMR001CMP002"/>
    <x v="0"/>
    <m/>
  </r>
  <r>
    <x v="1"/>
    <x v="5"/>
    <x v="0"/>
    <x v="7"/>
    <x v="111"/>
    <n v="49"/>
    <n v="289"/>
    <m/>
    <s v="DFID/UNICEF"/>
    <d v="2018-12-31T00:00:00"/>
    <n v="0"/>
    <s v="Yes"/>
    <n v="0.6"/>
    <n v="0.5"/>
    <n v="2"/>
    <n v="0"/>
    <n v="6000"/>
    <n v="0"/>
    <n v="0"/>
    <m/>
    <n v="2"/>
    <n v="2"/>
    <n v="14"/>
    <n v="1"/>
    <n v="0"/>
    <m/>
    <n v="12"/>
    <n v="0"/>
    <n v="0"/>
    <m/>
    <n v="12"/>
    <x v="0"/>
    <x v="0"/>
    <n v="0"/>
    <n v="0"/>
    <m/>
    <n v="0"/>
    <s v="Communal"/>
    <n v="0"/>
    <n v="3"/>
    <n v="2"/>
    <n v="0"/>
    <n v="0"/>
    <x v="1"/>
    <m/>
    <m/>
    <m/>
    <m/>
    <n v="1"/>
    <n v="7.1428571428571425E-2"/>
    <x v="0"/>
    <n v="1"/>
    <n v="1"/>
    <n v="1"/>
    <n v="289"/>
    <n v="0"/>
    <n v="0"/>
    <n v="1"/>
    <n v="289"/>
    <n v="0.57799999999999996"/>
    <n v="0"/>
    <n v="0"/>
    <n v="0.42200000000000004"/>
    <n v="1"/>
    <n v="12"/>
    <n v="0.83044982698961933"/>
    <n v="240"/>
    <n v="0.13840830449826991"/>
    <n v="2"/>
    <n v="14"/>
    <n v="0"/>
    <n v="0"/>
    <n v="289"/>
    <n v="0"/>
    <n v="1"/>
    <n v="0"/>
    <n v="0"/>
    <n v="0"/>
    <n v="1"/>
    <n v="1"/>
    <n v="0"/>
    <n v="0"/>
    <n v="0"/>
    <n v="0"/>
    <n v="0"/>
    <n v="0"/>
    <s v="Yes"/>
    <s v="KMSS-MYT"/>
    <x v="1"/>
    <x v="0"/>
    <x v="0"/>
    <x v="0"/>
    <n v="25.493819999999999"/>
    <n v="97.4345"/>
    <s v="MMR001CMP162"/>
    <x v="0"/>
    <m/>
  </r>
  <r>
    <x v="1"/>
    <x v="2"/>
    <x v="0"/>
    <x v="7"/>
    <x v="112"/>
    <n v="46"/>
    <n v="212"/>
    <m/>
    <m/>
    <m/>
    <m/>
    <m/>
    <m/>
    <m/>
    <m/>
    <m/>
    <m/>
    <m/>
    <m/>
    <m/>
    <m/>
    <m/>
    <m/>
    <m/>
    <m/>
    <m/>
    <m/>
    <m/>
    <m/>
    <m/>
    <m/>
    <x v="2"/>
    <x v="3"/>
    <m/>
    <m/>
    <m/>
    <m/>
    <m/>
    <m/>
    <m/>
    <m/>
    <m/>
    <m/>
    <x v="0"/>
    <m/>
    <m/>
    <m/>
    <m/>
    <s v="no test"/>
    <s v="no test"/>
    <x v="1"/>
    <n v="0"/>
    <n v="0"/>
    <n v="0"/>
    <n v="0"/>
    <n v="0"/>
    <n v="0"/>
    <n v="0"/>
    <n v="0"/>
    <n v="0"/>
    <n v="1"/>
    <n v="212"/>
    <n v="1"/>
    <n v="1"/>
    <n v="0"/>
    <n v="0"/>
    <n v="0"/>
    <n v="1"/>
    <n v="11"/>
    <n v="11"/>
    <n v="0"/>
    <n v="0"/>
    <n v="0"/>
    <n v="0"/>
    <n v="0"/>
    <n v="0"/>
    <n v="0"/>
    <n v="0"/>
    <n v="1"/>
    <n v="0"/>
    <n v="0"/>
    <n v="0"/>
    <n v="0"/>
    <n v="0"/>
    <n v="0"/>
    <n v="0"/>
    <n v="0"/>
    <s v="uncovered"/>
    <x v="4"/>
    <x v="0"/>
    <x v="2"/>
    <x v="0"/>
    <n v="25.493819999999999"/>
    <n v="97.4345"/>
    <s v="MMR001CMP271"/>
    <x v="1"/>
    <m/>
  </r>
  <r>
    <x v="1"/>
    <x v="3"/>
    <x v="0"/>
    <x v="7"/>
    <x v="113"/>
    <n v="119"/>
    <n v="569"/>
    <m/>
    <s v="Plan/GFFO,ADRA/CANADA  "/>
    <s v="31/March/2019,31/Dec/2018"/>
    <n v="0"/>
    <s v="Yes"/>
    <n v="0.6"/>
    <n v="0.5"/>
    <n v="1"/>
    <n v="1"/>
    <n v="3000"/>
    <n v="0"/>
    <n v="0"/>
    <m/>
    <n v="0"/>
    <n v="0"/>
    <n v="0"/>
    <n v="0"/>
    <n v="0"/>
    <m/>
    <n v="13"/>
    <n v="0"/>
    <n v="0"/>
    <m/>
    <n v="0"/>
    <x v="0"/>
    <x v="0"/>
    <m/>
    <m/>
    <m/>
    <n v="0.6"/>
    <s v="Both"/>
    <n v="0"/>
    <n v="2"/>
    <n v="2"/>
    <n v="0"/>
    <n v="0"/>
    <x v="0"/>
    <m/>
    <m/>
    <m/>
    <m/>
    <s v="no test"/>
    <s v="no test"/>
    <x v="1"/>
    <n v="1"/>
    <n v="1"/>
    <n v="1"/>
    <n v="569"/>
    <n v="0"/>
    <n v="0"/>
    <n v="1"/>
    <n v="569"/>
    <n v="1.1379999999999999"/>
    <n v="0"/>
    <n v="0"/>
    <n v="0"/>
    <n v="1"/>
    <n v="13"/>
    <n v="0.45694200351493847"/>
    <n v="260"/>
    <n v="0.52724077328646746"/>
    <n v="15"/>
    <n v="28"/>
    <n v="0"/>
    <n v="0"/>
    <n v="569"/>
    <n v="0"/>
    <n v="1"/>
    <n v="0"/>
    <n v="0"/>
    <n v="0"/>
    <n v="1"/>
    <n v="1"/>
    <n v="0"/>
    <n v="0"/>
    <n v="0"/>
    <n v="0"/>
    <n v="0"/>
    <n v="71.399999999999991"/>
    <s v="Yes"/>
    <s v="KBC"/>
    <x v="1"/>
    <x v="0"/>
    <x v="0"/>
    <x v="0"/>
    <n v="25.412313000000001"/>
    <n v="97.399628000000007"/>
    <s v="MMR001CMP006"/>
    <x v="0"/>
    <m/>
  </r>
  <r>
    <x v="1"/>
    <x v="4"/>
    <x v="0"/>
    <x v="7"/>
    <x v="114"/>
    <n v="23"/>
    <n v="114"/>
    <m/>
    <s v="OFDA"/>
    <d v="2017-07-31T00:00:00"/>
    <n v="0"/>
    <s v="Yes"/>
    <n v="0.71"/>
    <n v="1"/>
    <n v="1"/>
    <n v="0"/>
    <n v="0"/>
    <n v="0"/>
    <n v="2"/>
    <m/>
    <n v="1"/>
    <n v="0"/>
    <n v="3"/>
    <n v="0"/>
    <n v="0"/>
    <m/>
    <n v="7"/>
    <n v="0"/>
    <n v="0"/>
    <s v="one time"/>
    <n v="7"/>
    <x v="0"/>
    <x v="2"/>
    <n v="0"/>
    <n v="0"/>
    <m/>
    <n v="0.6"/>
    <s v="Communal"/>
    <n v="0"/>
    <n v="2"/>
    <n v="0"/>
    <n v="0"/>
    <n v="0"/>
    <x v="0"/>
    <m/>
    <n v="1"/>
    <m/>
    <m/>
    <n v="0"/>
    <n v="0"/>
    <x v="0"/>
    <n v="1"/>
    <n v="1"/>
    <n v="1"/>
    <n v="114"/>
    <n v="0"/>
    <n v="0"/>
    <n v="1"/>
    <n v="114"/>
    <n v="0.22800000000000001"/>
    <n v="0"/>
    <n v="0"/>
    <n v="0.77200000000000002"/>
    <n v="1"/>
    <n v="7"/>
    <n v="1"/>
    <n v="114"/>
    <n v="0"/>
    <n v="0"/>
    <n v="6"/>
    <n v="0"/>
    <n v="0"/>
    <n v="0"/>
    <n v="0"/>
    <n v="0"/>
    <n v="0"/>
    <n v="0"/>
    <n v="0"/>
    <n v="1"/>
    <n v="0"/>
    <n v="0"/>
    <n v="0"/>
    <n v="0"/>
    <n v="0"/>
    <n v="0"/>
    <n v="13.799999999999999"/>
    <s v="Yes"/>
    <s v="Shalom"/>
    <x v="1"/>
    <x v="0"/>
    <x v="0"/>
    <x v="0"/>
    <n v="25.423817"/>
    <n v="97.418004999999994"/>
    <s v="MMR001CMP007"/>
    <x v="0"/>
    <m/>
  </r>
  <r>
    <x v="1"/>
    <x v="3"/>
    <x v="0"/>
    <x v="7"/>
    <x v="115"/>
    <n v="91"/>
    <n v="501"/>
    <m/>
    <s v="Plan/GFFO,ADRA/CANADA  "/>
    <s v="31/March/2019,31/Dec/2018"/>
    <n v="0"/>
    <s v="Yes"/>
    <n v="0.6"/>
    <n v="0.5"/>
    <n v="1"/>
    <n v="1"/>
    <n v="0"/>
    <n v="0"/>
    <n v="0"/>
    <m/>
    <n v="0"/>
    <n v="0"/>
    <n v="0"/>
    <n v="0"/>
    <n v="0"/>
    <m/>
    <n v="17"/>
    <n v="0"/>
    <n v="0"/>
    <m/>
    <n v="0"/>
    <x v="0"/>
    <x v="0"/>
    <m/>
    <m/>
    <m/>
    <n v="0.6"/>
    <s v="Both"/>
    <n v="0"/>
    <n v="2"/>
    <n v="2"/>
    <n v="0"/>
    <n v="0"/>
    <x v="0"/>
    <m/>
    <m/>
    <m/>
    <m/>
    <s v="no test"/>
    <s v="no test"/>
    <x v="1"/>
    <n v="1"/>
    <n v="0.99800399201596801"/>
    <n v="1"/>
    <n v="501"/>
    <n v="0"/>
    <n v="0"/>
    <n v="1"/>
    <n v="501"/>
    <n v="1.002"/>
    <n v="0"/>
    <n v="0"/>
    <n v="0"/>
    <n v="1"/>
    <n v="17"/>
    <n v="0.67864271457085823"/>
    <n v="340"/>
    <n v="0.31936127744510978"/>
    <n v="8"/>
    <n v="25"/>
    <n v="0"/>
    <n v="0"/>
    <n v="501"/>
    <n v="0"/>
    <n v="1"/>
    <n v="0"/>
    <n v="0"/>
    <n v="0"/>
    <n v="1"/>
    <n v="1"/>
    <n v="0"/>
    <n v="0"/>
    <n v="0"/>
    <n v="0"/>
    <n v="0"/>
    <n v="54.6"/>
    <s v="Yes"/>
    <s v="KBC"/>
    <x v="1"/>
    <x v="0"/>
    <x v="0"/>
    <x v="0"/>
    <n v="25.440928"/>
    <n v="97.419403000000003"/>
    <s v="MMR001CMP009"/>
    <x v="0"/>
    <m/>
  </r>
  <r>
    <x v="1"/>
    <x v="2"/>
    <x v="0"/>
    <x v="7"/>
    <x v="116"/>
    <n v="235"/>
    <n v="1043"/>
    <m/>
    <m/>
    <m/>
    <m/>
    <m/>
    <m/>
    <m/>
    <m/>
    <m/>
    <m/>
    <m/>
    <m/>
    <m/>
    <m/>
    <m/>
    <m/>
    <m/>
    <m/>
    <m/>
    <m/>
    <m/>
    <m/>
    <m/>
    <m/>
    <x v="2"/>
    <x v="3"/>
    <m/>
    <m/>
    <m/>
    <m/>
    <m/>
    <m/>
    <m/>
    <m/>
    <m/>
    <m/>
    <x v="0"/>
    <m/>
    <m/>
    <m/>
    <m/>
    <s v="no test"/>
    <s v="no test"/>
    <x v="1"/>
    <n v="0"/>
    <n v="0"/>
    <n v="0"/>
    <n v="0"/>
    <n v="0"/>
    <n v="0"/>
    <n v="0"/>
    <n v="0"/>
    <n v="0"/>
    <n v="1"/>
    <n v="1043"/>
    <n v="2"/>
    <n v="2"/>
    <n v="0"/>
    <n v="0"/>
    <n v="0"/>
    <n v="0.99712368168744014"/>
    <n v="52"/>
    <n v="52"/>
    <n v="0"/>
    <n v="0"/>
    <n v="0"/>
    <n v="0"/>
    <n v="0"/>
    <n v="0"/>
    <n v="0"/>
    <n v="0"/>
    <n v="1"/>
    <n v="0"/>
    <n v="0"/>
    <n v="0"/>
    <n v="0"/>
    <n v="0"/>
    <n v="0"/>
    <n v="0"/>
    <n v="0"/>
    <s v="uncovered"/>
    <x v="4"/>
    <x v="0"/>
    <x v="2"/>
    <x v="0"/>
    <n v="97.49136"/>
    <n v="25.717300000000002"/>
    <s v="MMR001CMP264"/>
    <x v="1"/>
    <m/>
  </r>
  <r>
    <x v="1"/>
    <x v="3"/>
    <x v="0"/>
    <x v="7"/>
    <x v="117"/>
    <n v="69"/>
    <n v="369"/>
    <m/>
    <s v="Plan/GFFO,ADRA/CANADA  "/>
    <s v="31/March/2019,31/Dec/2018"/>
    <n v="0"/>
    <s v="Yes"/>
    <n v="0.6"/>
    <n v="0.5"/>
    <n v="0"/>
    <n v="2"/>
    <n v="1500"/>
    <n v="0"/>
    <n v="0"/>
    <m/>
    <n v="0"/>
    <n v="0"/>
    <n v="0"/>
    <n v="0"/>
    <n v="0"/>
    <m/>
    <n v="11"/>
    <n v="8"/>
    <n v="0"/>
    <m/>
    <n v="0"/>
    <x v="0"/>
    <x v="0"/>
    <m/>
    <m/>
    <m/>
    <n v="0.6"/>
    <s v="Both"/>
    <n v="0"/>
    <n v="2"/>
    <n v="2"/>
    <n v="0"/>
    <n v="0"/>
    <x v="0"/>
    <m/>
    <m/>
    <m/>
    <m/>
    <s v="no test"/>
    <s v="no test"/>
    <x v="1"/>
    <n v="1"/>
    <n v="1"/>
    <n v="1"/>
    <n v="369"/>
    <n v="0"/>
    <n v="0"/>
    <n v="1"/>
    <n v="369"/>
    <n v="0.73799999999999999"/>
    <n v="0"/>
    <n v="0"/>
    <n v="0.26200000000000001"/>
    <n v="1"/>
    <n v="19"/>
    <n v="0.59620596205962062"/>
    <n v="220"/>
    <n v="0"/>
    <n v="0"/>
    <n v="18"/>
    <n v="0.42105263157894735"/>
    <n v="0"/>
    <n v="369"/>
    <n v="0"/>
    <n v="1"/>
    <n v="0"/>
    <n v="0"/>
    <n v="0"/>
    <n v="1"/>
    <n v="1"/>
    <n v="0"/>
    <n v="0"/>
    <n v="0"/>
    <n v="0"/>
    <n v="0"/>
    <n v="41.4"/>
    <s v="Yes"/>
    <s v="KBC"/>
    <x v="1"/>
    <x v="0"/>
    <x v="0"/>
    <x v="0"/>
    <n v="25.415482000000001"/>
    <n v="97.386718999999999"/>
    <s v="MMR001CMP001"/>
    <x v="0"/>
    <m/>
  </r>
  <r>
    <x v="1"/>
    <x v="4"/>
    <x v="0"/>
    <x v="7"/>
    <x v="118"/>
    <n v="54"/>
    <n v="266"/>
    <m/>
    <s v="OFDA"/>
    <d v="2017-07-31T00:00:00"/>
    <n v="0"/>
    <s v="Yes"/>
    <n v="0.71"/>
    <n v="1"/>
    <n v="1"/>
    <n v="4"/>
    <n v="2000"/>
    <n v="0"/>
    <n v="1"/>
    <m/>
    <n v="4"/>
    <n v="4"/>
    <n v="4"/>
    <n v="1"/>
    <n v="0"/>
    <m/>
    <n v="10"/>
    <n v="2"/>
    <n v="4"/>
    <s v="two times"/>
    <n v="10"/>
    <x v="0"/>
    <x v="0"/>
    <n v="0"/>
    <n v="0"/>
    <m/>
    <n v="0.5"/>
    <s v="Communal"/>
    <n v="0"/>
    <n v="4"/>
    <n v="0"/>
    <n v="0"/>
    <n v="0"/>
    <x v="0"/>
    <m/>
    <n v="1"/>
    <m/>
    <m/>
    <n v="1"/>
    <n v="0.25"/>
    <x v="0"/>
    <n v="1"/>
    <n v="1"/>
    <n v="1"/>
    <n v="266"/>
    <n v="0"/>
    <n v="0"/>
    <n v="1"/>
    <n v="266"/>
    <n v="0.53200000000000003"/>
    <n v="0"/>
    <n v="0"/>
    <n v="0.46799999999999997"/>
    <n v="1"/>
    <n v="12"/>
    <n v="0.75187969924812026"/>
    <n v="200"/>
    <n v="7.5187969924812026E-2"/>
    <n v="1"/>
    <n v="13"/>
    <n v="0.16666666666666666"/>
    <n v="80"/>
    <n v="0"/>
    <n v="0"/>
    <n v="0"/>
    <n v="0"/>
    <n v="0"/>
    <n v="0"/>
    <n v="1"/>
    <n v="0"/>
    <n v="0"/>
    <n v="0"/>
    <n v="0"/>
    <n v="0"/>
    <n v="0"/>
    <n v="27"/>
    <s v="Yes"/>
    <s v="Shalom"/>
    <x v="1"/>
    <x v="0"/>
    <x v="0"/>
    <x v="0"/>
    <n v="25.423209"/>
    <n v="97.379987"/>
    <s v="MMR001CMP023"/>
    <x v="0"/>
    <m/>
  </r>
  <r>
    <x v="1"/>
    <x v="4"/>
    <x v="0"/>
    <x v="7"/>
    <x v="119"/>
    <n v="7"/>
    <n v="31"/>
    <m/>
    <s v="OFDA"/>
    <d v="2017-07-31T00:00:00"/>
    <n v="0"/>
    <s v="Yes"/>
    <n v="0.5"/>
    <n v="1"/>
    <n v="0"/>
    <n v="1"/>
    <n v="400"/>
    <n v="0"/>
    <n v="0"/>
    <m/>
    <n v="1"/>
    <n v="0"/>
    <n v="2"/>
    <n v="0"/>
    <n v="0"/>
    <m/>
    <n v="2"/>
    <n v="0"/>
    <n v="0"/>
    <s v="one time"/>
    <n v="2"/>
    <x v="0"/>
    <x v="2"/>
    <n v="0"/>
    <n v="0"/>
    <m/>
    <n v="0.5"/>
    <s v="Communal"/>
    <n v="0"/>
    <n v="2"/>
    <n v="0"/>
    <n v="0"/>
    <n v="0"/>
    <x v="0"/>
    <m/>
    <n v="1"/>
    <m/>
    <m/>
    <n v="0"/>
    <n v="0"/>
    <x v="0"/>
    <n v="1"/>
    <n v="1"/>
    <n v="1"/>
    <n v="31"/>
    <n v="0"/>
    <n v="0"/>
    <n v="1"/>
    <n v="31"/>
    <n v="6.2E-2"/>
    <n v="0"/>
    <n v="0"/>
    <n v="0.93799999999999994"/>
    <n v="1"/>
    <n v="2"/>
    <n v="1"/>
    <n v="31"/>
    <n v="0"/>
    <n v="0"/>
    <n v="2"/>
    <n v="0"/>
    <n v="0"/>
    <n v="0"/>
    <n v="0"/>
    <n v="0"/>
    <n v="0"/>
    <n v="0"/>
    <n v="0"/>
    <n v="1"/>
    <n v="0"/>
    <n v="0"/>
    <n v="0"/>
    <n v="0"/>
    <n v="0"/>
    <n v="0"/>
    <n v="3.5"/>
    <s v="Yes"/>
    <s v="uncovered"/>
    <x v="1"/>
    <x v="0"/>
    <x v="2"/>
    <x v="0"/>
    <n v="25.417733999999999"/>
    <n v="97.389778000000007"/>
    <s v="MMR001CMP004"/>
    <x v="0"/>
    <m/>
  </r>
  <r>
    <x v="1"/>
    <x v="3"/>
    <x v="0"/>
    <x v="7"/>
    <x v="120"/>
    <n v="30"/>
    <n v="171"/>
    <m/>
    <s v="Plan/GFFO,ADRA/CANADA  "/>
    <s v="31/March/2019,31/Dec/2018"/>
    <n v="0"/>
    <s v="Yes"/>
    <n v="0.6"/>
    <n v="0.5"/>
    <n v="0"/>
    <n v="3"/>
    <n v="0"/>
    <n v="0"/>
    <n v="0"/>
    <m/>
    <n v="0"/>
    <n v="0"/>
    <n v="0"/>
    <n v="0"/>
    <n v="0"/>
    <m/>
    <n v="5"/>
    <n v="0"/>
    <n v="0"/>
    <m/>
    <n v="0"/>
    <x v="0"/>
    <x v="2"/>
    <m/>
    <m/>
    <m/>
    <n v="0.6"/>
    <s v="Both"/>
    <n v="0"/>
    <n v="2"/>
    <n v="1"/>
    <n v="0"/>
    <n v="0"/>
    <x v="0"/>
    <m/>
    <m/>
    <m/>
    <m/>
    <s v="no test"/>
    <s v="no test"/>
    <x v="1"/>
    <n v="1"/>
    <n v="1"/>
    <n v="1"/>
    <n v="171"/>
    <n v="0"/>
    <n v="0"/>
    <n v="1"/>
    <n v="171"/>
    <n v="0.34200000000000003"/>
    <n v="0"/>
    <n v="0"/>
    <n v="0.65799999999999992"/>
    <n v="1"/>
    <n v="5"/>
    <n v="0.58479532163742687"/>
    <n v="100"/>
    <n v="0.46783625730994149"/>
    <n v="4"/>
    <n v="9"/>
    <n v="0"/>
    <n v="0"/>
    <n v="171"/>
    <n v="0"/>
    <n v="1"/>
    <n v="0"/>
    <n v="0"/>
    <n v="0"/>
    <n v="1"/>
    <n v="1"/>
    <n v="0"/>
    <n v="0"/>
    <n v="0"/>
    <n v="0"/>
    <n v="0"/>
    <n v="18"/>
    <s v="Yes"/>
    <s v="KBC"/>
    <x v="1"/>
    <x v="0"/>
    <x v="0"/>
    <x v="0"/>
    <n v="25.404752999999999"/>
    <n v="97.377662999999998"/>
    <s v="MMR001CMP003"/>
    <x v="0"/>
    <m/>
  </r>
  <r>
    <x v="1"/>
    <x v="3"/>
    <x v="0"/>
    <x v="7"/>
    <x v="121"/>
    <n v="46"/>
    <n v="239"/>
    <m/>
    <s v="Plan/GFFO,ADRA/CANADA  "/>
    <s v="31/March/2019,31/Dec/2018"/>
    <n v="0"/>
    <s v="Yes"/>
    <n v="0.6"/>
    <n v="0.5"/>
    <n v="0"/>
    <n v="3"/>
    <n v="2000"/>
    <n v="0"/>
    <n v="0"/>
    <m/>
    <n v="0"/>
    <n v="0"/>
    <n v="0"/>
    <n v="0"/>
    <n v="0"/>
    <m/>
    <n v="13"/>
    <n v="0"/>
    <n v="0"/>
    <m/>
    <n v="0"/>
    <x v="0"/>
    <x v="0"/>
    <m/>
    <m/>
    <m/>
    <n v="0.6"/>
    <s v="Both"/>
    <n v="0"/>
    <n v="3"/>
    <n v="1"/>
    <n v="0"/>
    <n v="0"/>
    <x v="0"/>
    <m/>
    <m/>
    <m/>
    <m/>
    <s v="no test"/>
    <s v="no test"/>
    <x v="1"/>
    <n v="1"/>
    <n v="1"/>
    <n v="1"/>
    <n v="239"/>
    <n v="0"/>
    <n v="0"/>
    <n v="1"/>
    <n v="239"/>
    <n v="0.47799999999999998"/>
    <n v="0"/>
    <n v="0"/>
    <n v="0.52200000000000002"/>
    <n v="1"/>
    <n v="13"/>
    <n v="1"/>
    <n v="239"/>
    <n v="0"/>
    <n v="0"/>
    <n v="12"/>
    <n v="0"/>
    <n v="0"/>
    <n v="239"/>
    <n v="0"/>
    <n v="1"/>
    <n v="0"/>
    <n v="0"/>
    <n v="0"/>
    <n v="1"/>
    <n v="1"/>
    <n v="0"/>
    <n v="0"/>
    <n v="0"/>
    <n v="0"/>
    <n v="0"/>
    <n v="27.599999999999998"/>
    <s v="Yes"/>
    <s v="KBC"/>
    <x v="1"/>
    <x v="0"/>
    <x v="0"/>
    <x v="0"/>
    <n v="25.404015000000001"/>
    <n v="97.382192000000003"/>
    <s v="MMR001CMP005"/>
    <x v="0"/>
    <m/>
  </r>
  <r>
    <x v="1"/>
    <x v="3"/>
    <x v="0"/>
    <x v="7"/>
    <x v="122"/>
    <n v="18"/>
    <n v="87"/>
    <m/>
    <s v="ADRA/CANADA"/>
    <d v="2018-12-31T00:00:00"/>
    <m/>
    <m/>
    <m/>
    <m/>
    <m/>
    <m/>
    <m/>
    <m/>
    <m/>
    <m/>
    <m/>
    <m/>
    <m/>
    <m/>
    <m/>
    <m/>
    <m/>
    <m/>
    <m/>
    <m/>
    <m/>
    <x v="2"/>
    <x v="3"/>
    <m/>
    <m/>
    <m/>
    <m/>
    <m/>
    <m/>
    <m/>
    <m/>
    <m/>
    <m/>
    <x v="0"/>
    <m/>
    <m/>
    <m/>
    <m/>
    <s v="no test"/>
    <s v="no test"/>
    <x v="1"/>
    <n v="0"/>
    <n v="0"/>
    <n v="0"/>
    <n v="0"/>
    <n v="0"/>
    <n v="0"/>
    <n v="0"/>
    <n v="0"/>
    <n v="0"/>
    <n v="1"/>
    <n v="87"/>
    <n v="1"/>
    <n v="1"/>
    <n v="0"/>
    <n v="0"/>
    <n v="0"/>
    <n v="0.91954022988505757"/>
    <n v="4"/>
    <n v="4"/>
    <n v="0"/>
    <n v="0"/>
    <n v="0"/>
    <n v="0"/>
    <n v="0"/>
    <n v="0"/>
    <n v="0"/>
    <n v="0"/>
    <n v="1"/>
    <n v="0"/>
    <n v="0"/>
    <n v="0"/>
    <n v="0"/>
    <n v="0"/>
    <n v="0"/>
    <n v="0"/>
    <n v="0"/>
    <s v="uncovered"/>
    <x v="4"/>
    <x v="0"/>
    <x v="2"/>
    <x v="0"/>
    <n v="0"/>
    <n v="0"/>
    <s v="MMR001CMP267"/>
    <x v="0"/>
    <m/>
  </r>
  <r>
    <x v="1"/>
    <x v="3"/>
    <x v="0"/>
    <x v="7"/>
    <x v="123"/>
    <n v="169"/>
    <n v="724"/>
    <m/>
    <s v="ADRA/CANADA"/>
    <d v="2018-12-31T00:00:00"/>
    <m/>
    <m/>
    <m/>
    <m/>
    <m/>
    <m/>
    <m/>
    <m/>
    <m/>
    <m/>
    <m/>
    <m/>
    <m/>
    <m/>
    <m/>
    <m/>
    <m/>
    <m/>
    <m/>
    <m/>
    <m/>
    <x v="2"/>
    <x v="3"/>
    <m/>
    <m/>
    <m/>
    <m/>
    <m/>
    <m/>
    <m/>
    <m/>
    <m/>
    <m/>
    <x v="0"/>
    <m/>
    <m/>
    <m/>
    <m/>
    <s v="no test"/>
    <s v="no test"/>
    <x v="1"/>
    <n v="0"/>
    <n v="0"/>
    <n v="0"/>
    <n v="0"/>
    <n v="0"/>
    <n v="0"/>
    <n v="0"/>
    <n v="0"/>
    <n v="0"/>
    <n v="1"/>
    <n v="724"/>
    <n v="1"/>
    <n v="1"/>
    <n v="0"/>
    <n v="0"/>
    <n v="0"/>
    <n v="0.99447513812154686"/>
    <n v="36"/>
    <n v="36"/>
    <n v="0"/>
    <n v="0"/>
    <n v="0"/>
    <n v="0"/>
    <n v="0"/>
    <n v="0"/>
    <n v="0"/>
    <n v="0"/>
    <n v="1"/>
    <n v="0"/>
    <n v="0"/>
    <n v="0"/>
    <n v="0"/>
    <n v="0"/>
    <n v="0"/>
    <n v="0"/>
    <n v="0"/>
    <s v="KBC"/>
    <x v="4"/>
    <x v="0"/>
    <x v="0"/>
    <x v="0"/>
    <n v="97.431079999999994"/>
    <n v="25.480989999999998"/>
    <s v="MMR001CMP263"/>
    <x v="0"/>
    <m/>
  </r>
  <r>
    <x v="1"/>
    <x v="2"/>
    <x v="0"/>
    <x v="8"/>
    <x v="124"/>
    <n v="10"/>
    <n v="56"/>
    <m/>
    <m/>
    <m/>
    <m/>
    <s v="No"/>
    <n v="0"/>
    <n v="0"/>
    <m/>
    <m/>
    <m/>
    <m/>
    <m/>
    <m/>
    <m/>
    <m/>
    <m/>
    <m/>
    <m/>
    <m/>
    <n v="0"/>
    <m/>
    <m/>
    <m/>
    <m/>
    <x v="1"/>
    <x v="1"/>
    <m/>
    <m/>
    <m/>
    <m/>
    <m/>
    <m/>
    <m/>
    <m/>
    <m/>
    <m/>
    <x v="0"/>
    <m/>
    <m/>
    <m/>
    <m/>
    <s v="no test"/>
    <s v="no test"/>
    <x v="1"/>
    <n v="0"/>
    <n v="0"/>
    <n v="0"/>
    <n v="0"/>
    <n v="0"/>
    <n v="0"/>
    <n v="0"/>
    <n v="0"/>
    <n v="0"/>
    <n v="1"/>
    <n v="56"/>
    <n v="1"/>
    <n v="1"/>
    <n v="0"/>
    <n v="0"/>
    <n v="0"/>
    <n v="1"/>
    <n v="3"/>
    <n v="3"/>
    <n v="0"/>
    <n v="0"/>
    <n v="0"/>
    <n v="0"/>
    <n v="0"/>
    <n v="0"/>
    <n v="0"/>
    <n v="0"/>
    <n v="1"/>
    <n v="0"/>
    <n v="0"/>
    <n v="0"/>
    <n v="0"/>
    <n v="0"/>
    <n v="0"/>
    <n v="0"/>
    <n v="0"/>
    <s v="uncovered"/>
    <x v="1"/>
    <x v="0"/>
    <x v="1"/>
    <x v="0"/>
    <n v="27.248964999999998"/>
    <n v="97.561105999999995"/>
    <s v="MMR001CMP227"/>
    <x v="1"/>
    <m/>
  </r>
  <r>
    <x v="1"/>
    <x v="3"/>
    <x v="0"/>
    <x v="8"/>
    <x v="125"/>
    <n v="61"/>
    <n v="281"/>
    <m/>
    <s v="ADRA/CANADA"/>
    <d v="2018-12-31T00:00:00"/>
    <n v="0"/>
    <s v="Yes"/>
    <n v="0.6"/>
    <n v="0.5"/>
    <n v="1"/>
    <n v="0"/>
    <n v="2000"/>
    <n v="1"/>
    <n v="0"/>
    <m/>
    <n v="0"/>
    <n v="0"/>
    <n v="0"/>
    <n v="0"/>
    <n v="0"/>
    <m/>
    <n v="8"/>
    <n v="0"/>
    <n v="0"/>
    <m/>
    <n v="0"/>
    <x v="0"/>
    <x v="0"/>
    <m/>
    <m/>
    <m/>
    <n v="0.6"/>
    <s v="Both"/>
    <n v="0"/>
    <n v="2"/>
    <n v="2"/>
    <n v="0"/>
    <n v="0"/>
    <x v="0"/>
    <m/>
    <m/>
    <m/>
    <m/>
    <s v="no test"/>
    <s v="no test"/>
    <x v="1"/>
    <n v="1"/>
    <n v="1"/>
    <n v="1"/>
    <n v="281"/>
    <n v="0.88967971530249113"/>
    <n v="250"/>
    <n v="1"/>
    <n v="281"/>
    <n v="0.56200000000000006"/>
    <n v="0"/>
    <n v="0"/>
    <n v="0.43799999999999994"/>
    <n v="1"/>
    <n v="8"/>
    <n v="0.56939501779359436"/>
    <n v="160.00000000000003"/>
    <n v="0.42704626334519569"/>
    <n v="6"/>
    <n v="14"/>
    <n v="0"/>
    <n v="0"/>
    <n v="281"/>
    <n v="0"/>
    <n v="1"/>
    <n v="0"/>
    <n v="0"/>
    <n v="0"/>
    <n v="1"/>
    <n v="1"/>
    <n v="0"/>
    <n v="0"/>
    <n v="0"/>
    <n v="0"/>
    <n v="0"/>
    <n v="36.6"/>
    <s v="Yes"/>
    <s v="KBC"/>
    <x v="1"/>
    <x v="0"/>
    <x v="0"/>
    <x v="0"/>
    <n v="27.337499999999999"/>
    <n v="97.416121000000004"/>
    <s v="MMR001CMP234"/>
    <x v="0"/>
    <m/>
  </r>
  <r>
    <x v="1"/>
    <x v="2"/>
    <x v="0"/>
    <x v="8"/>
    <x v="126"/>
    <n v="14"/>
    <n v="75"/>
    <m/>
    <m/>
    <m/>
    <m/>
    <s v="No"/>
    <n v="0"/>
    <n v="0"/>
    <m/>
    <m/>
    <m/>
    <m/>
    <m/>
    <m/>
    <m/>
    <m/>
    <m/>
    <m/>
    <m/>
    <m/>
    <n v="0"/>
    <m/>
    <m/>
    <m/>
    <m/>
    <x v="1"/>
    <x v="1"/>
    <m/>
    <m/>
    <m/>
    <m/>
    <m/>
    <m/>
    <m/>
    <m/>
    <m/>
    <m/>
    <x v="0"/>
    <m/>
    <m/>
    <m/>
    <m/>
    <s v="no test"/>
    <s v="no test"/>
    <x v="1"/>
    <n v="0"/>
    <n v="0"/>
    <n v="0"/>
    <n v="0"/>
    <n v="0"/>
    <n v="0"/>
    <n v="0"/>
    <n v="0"/>
    <n v="0"/>
    <n v="1"/>
    <n v="75"/>
    <n v="1"/>
    <n v="1"/>
    <n v="0"/>
    <n v="0"/>
    <n v="0"/>
    <n v="1"/>
    <n v="4"/>
    <n v="4"/>
    <n v="0"/>
    <n v="0"/>
    <n v="0"/>
    <n v="0"/>
    <n v="0"/>
    <n v="0"/>
    <n v="0"/>
    <n v="0"/>
    <n v="1"/>
    <n v="0"/>
    <n v="0"/>
    <n v="0"/>
    <n v="0"/>
    <n v="0"/>
    <n v="0"/>
    <n v="0"/>
    <n v="0"/>
    <s v="uncovered"/>
    <x v="1"/>
    <x v="0"/>
    <x v="1"/>
    <x v="0"/>
    <n v="27.311699999999998"/>
    <n v="97.415289999999999"/>
    <s v="MMR001CMP075"/>
    <x v="1"/>
    <m/>
  </r>
  <r>
    <x v="1"/>
    <x v="3"/>
    <x v="0"/>
    <x v="9"/>
    <x v="127"/>
    <n v="86"/>
    <n v="381"/>
    <m/>
    <m/>
    <m/>
    <m/>
    <m/>
    <m/>
    <m/>
    <m/>
    <m/>
    <m/>
    <m/>
    <m/>
    <m/>
    <m/>
    <m/>
    <m/>
    <m/>
    <m/>
    <m/>
    <m/>
    <m/>
    <m/>
    <m/>
    <m/>
    <x v="2"/>
    <x v="3"/>
    <m/>
    <m/>
    <m/>
    <m/>
    <m/>
    <m/>
    <m/>
    <m/>
    <m/>
    <m/>
    <x v="0"/>
    <m/>
    <m/>
    <m/>
    <m/>
    <s v="no test"/>
    <s v="no test"/>
    <x v="1"/>
    <n v="0"/>
    <n v="0"/>
    <n v="0"/>
    <n v="0"/>
    <n v="0"/>
    <n v="0"/>
    <n v="0"/>
    <n v="0"/>
    <n v="0"/>
    <n v="1"/>
    <n v="381"/>
    <n v="1"/>
    <n v="1"/>
    <n v="0"/>
    <n v="0"/>
    <n v="0"/>
    <n v="0.99737532808398943"/>
    <n v="19"/>
    <n v="19"/>
    <n v="0"/>
    <n v="0"/>
    <n v="0"/>
    <n v="0"/>
    <n v="0"/>
    <n v="0"/>
    <n v="0"/>
    <n v="0"/>
    <n v="1"/>
    <n v="0"/>
    <n v="0"/>
    <n v="0"/>
    <n v="0"/>
    <n v="0"/>
    <n v="0"/>
    <n v="0"/>
    <n v="0"/>
    <n v="0"/>
    <x v="0"/>
    <x v="0"/>
    <x v="2"/>
    <x v="1"/>
    <n v="0"/>
    <n v="0"/>
    <n v="0"/>
    <x v="0"/>
    <m/>
  </r>
  <r>
    <x v="1"/>
    <x v="3"/>
    <x v="0"/>
    <x v="9"/>
    <x v="128"/>
    <n v="228"/>
    <n v="1015"/>
    <n v="0"/>
    <s v="MHF"/>
    <d v="2018-08-03T00:00:00"/>
    <n v="0"/>
    <s v="Yes"/>
    <n v="0.4"/>
    <n v="0.4"/>
    <n v="13"/>
    <n v="1"/>
    <n v="20300"/>
    <n v="0"/>
    <m/>
    <m/>
    <n v="15"/>
    <n v="0"/>
    <n v="24"/>
    <n v="8"/>
    <n v="6"/>
    <m/>
    <n v="16"/>
    <n v="0"/>
    <n v="0"/>
    <m/>
    <m/>
    <x v="0"/>
    <x v="4"/>
    <n v="0"/>
    <m/>
    <m/>
    <n v="0"/>
    <s v="Both"/>
    <m/>
    <m/>
    <m/>
    <m/>
    <m/>
    <x v="1"/>
    <m/>
    <m/>
    <m/>
    <m/>
    <n v="0"/>
    <n v="0.33333333333333331"/>
    <x v="0"/>
    <n v="1"/>
    <n v="1"/>
    <n v="1"/>
    <n v="1015"/>
    <n v="0"/>
    <n v="0"/>
    <n v="1"/>
    <n v="1015"/>
    <n v="2.0299999999999998"/>
    <n v="0"/>
    <n v="0"/>
    <n v="0"/>
    <n v="2"/>
    <n v="16"/>
    <n v="0.31527093596059114"/>
    <n v="320"/>
    <n v="0.68965517241379315"/>
    <n v="35"/>
    <n v="51"/>
    <n v="0"/>
    <n v="0"/>
    <n v="0"/>
    <n v="0"/>
    <n v="0"/>
    <n v="0"/>
    <n v="0"/>
    <n v="0"/>
    <n v="1"/>
    <n v="0"/>
    <n v="0"/>
    <n v="0"/>
    <n v="0"/>
    <n v="0"/>
    <n v="0"/>
    <n v="0"/>
    <n v="0"/>
    <n v="0"/>
    <x v="0"/>
    <x v="0"/>
    <x v="2"/>
    <x v="1"/>
    <n v="0"/>
    <n v="0"/>
    <n v="0"/>
    <x v="0"/>
    <m/>
  </r>
  <r>
    <x v="1"/>
    <x v="1"/>
    <x v="0"/>
    <x v="9"/>
    <x v="129"/>
    <n v="45"/>
    <n v="259"/>
    <m/>
    <s v="USAID, Christian AID, HIDA"/>
    <s v="9/1/2018,1-Dec-2018"/>
    <n v="0"/>
    <s v="Yes"/>
    <n v="0.8"/>
    <n v="0.6"/>
    <n v="0"/>
    <n v="1"/>
    <n v="0"/>
    <n v="0"/>
    <n v="0"/>
    <m/>
    <m/>
    <m/>
    <m/>
    <m/>
    <m/>
    <m/>
    <n v="13"/>
    <n v="0"/>
    <m/>
    <m/>
    <n v="0"/>
    <x v="0"/>
    <x v="0"/>
    <m/>
    <m/>
    <m/>
    <n v="1"/>
    <s v="Both"/>
    <n v="0"/>
    <n v="5"/>
    <n v="1"/>
    <n v="45"/>
    <n v="45"/>
    <x v="0"/>
    <m/>
    <m/>
    <m/>
    <m/>
    <s v="no test"/>
    <s v="no test"/>
    <x v="1"/>
    <n v="1"/>
    <n v="0.96525096525096521"/>
    <n v="1"/>
    <n v="259"/>
    <n v="0"/>
    <n v="0"/>
    <n v="1"/>
    <n v="259"/>
    <n v="0.51800000000000002"/>
    <n v="0"/>
    <n v="0"/>
    <n v="0.48199999999999998"/>
    <n v="1"/>
    <n v="13"/>
    <n v="1"/>
    <n v="259"/>
    <n v="0"/>
    <n v="0"/>
    <n v="13"/>
    <n v="0"/>
    <n v="0"/>
    <n v="259"/>
    <n v="1"/>
    <n v="1"/>
    <n v="1"/>
    <n v="259"/>
    <n v="1"/>
    <n v="0"/>
    <n v="1"/>
    <n v="1"/>
    <n v="1"/>
    <n v="225"/>
    <n v="225"/>
    <n v="225"/>
    <n v="45"/>
    <s v="Yes"/>
    <s v="KBC"/>
    <x v="1"/>
    <x v="0"/>
    <x v="0"/>
    <x v="0"/>
    <n v="24.200361000000001"/>
    <n v="96.807353000000006"/>
    <s v="MMR001CMP067"/>
    <x v="0"/>
    <m/>
  </r>
  <r>
    <x v="1"/>
    <x v="1"/>
    <x v="0"/>
    <x v="9"/>
    <x v="130"/>
    <n v="33"/>
    <n v="169"/>
    <m/>
    <s v="USAID, Christian AID, HIDA"/>
    <s v="9/1/2018,1-Dec-2018"/>
    <n v="0"/>
    <s v="Yes"/>
    <n v="0.8"/>
    <n v="0.6"/>
    <n v="0"/>
    <n v="1"/>
    <n v="0"/>
    <n v="0"/>
    <n v="0"/>
    <m/>
    <m/>
    <m/>
    <m/>
    <m/>
    <m/>
    <m/>
    <n v="14"/>
    <n v="0"/>
    <n v="0"/>
    <m/>
    <n v="0"/>
    <x v="0"/>
    <x v="0"/>
    <m/>
    <m/>
    <m/>
    <n v="1"/>
    <s v="Both"/>
    <n v="0"/>
    <n v="3"/>
    <n v="1"/>
    <n v="33"/>
    <n v="33"/>
    <x v="0"/>
    <m/>
    <m/>
    <m/>
    <m/>
    <s v="no test"/>
    <s v="no test"/>
    <x v="1"/>
    <n v="1"/>
    <n v="1"/>
    <n v="1"/>
    <n v="169"/>
    <n v="0"/>
    <n v="0"/>
    <n v="1"/>
    <n v="169"/>
    <n v="0.33800000000000002"/>
    <n v="0"/>
    <n v="0"/>
    <n v="0.66199999999999992"/>
    <n v="1"/>
    <n v="14"/>
    <n v="1"/>
    <n v="169"/>
    <n v="0"/>
    <n v="0"/>
    <n v="8"/>
    <n v="0"/>
    <n v="0"/>
    <n v="169"/>
    <n v="1"/>
    <n v="1"/>
    <n v="1"/>
    <n v="169"/>
    <n v="1"/>
    <n v="0"/>
    <n v="1"/>
    <n v="1"/>
    <n v="1"/>
    <n v="165"/>
    <n v="165"/>
    <n v="165"/>
    <n v="33"/>
    <s v="Yes"/>
    <s v="KMSS-BMO"/>
    <x v="1"/>
    <x v="0"/>
    <x v="0"/>
    <x v="0"/>
    <n v="24.200367"/>
    <n v="96.807353000000006"/>
    <s v="MMR001CMP068"/>
    <x v="0"/>
    <m/>
  </r>
  <r>
    <x v="1"/>
    <x v="3"/>
    <x v="0"/>
    <x v="9"/>
    <x v="131"/>
    <n v="63"/>
    <n v="270"/>
    <m/>
    <m/>
    <m/>
    <m/>
    <m/>
    <m/>
    <m/>
    <m/>
    <m/>
    <m/>
    <m/>
    <m/>
    <m/>
    <m/>
    <m/>
    <m/>
    <m/>
    <m/>
    <m/>
    <m/>
    <m/>
    <m/>
    <m/>
    <m/>
    <x v="2"/>
    <x v="3"/>
    <m/>
    <m/>
    <m/>
    <m/>
    <m/>
    <m/>
    <m/>
    <m/>
    <m/>
    <m/>
    <x v="0"/>
    <m/>
    <m/>
    <m/>
    <m/>
    <s v="no test"/>
    <s v="no test"/>
    <x v="1"/>
    <n v="0"/>
    <n v="0"/>
    <n v="0"/>
    <n v="0"/>
    <n v="0"/>
    <n v="0"/>
    <n v="0"/>
    <n v="0"/>
    <n v="0"/>
    <n v="1"/>
    <n v="270"/>
    <n v="1"/>
    <n v="1"/>
    <n v="0"/>
    <n v="0"/>
    <n v="0"/>
    <n v="1"/>
    <n v="14"/>
    <n v="14"/>
    <n v="0"/>
    <n v="0"/>
    <n v="0"/>
    <n v="0"/>
    <n v="0"/>
    <n v="0"/>
    <n v="0"/>
    <n v="0"/>
    <n v="1"/>
    <n v="0"/>
    <n v="0"/>
    <n v="0"/>
    <n v="0"/>
    <n v="0"/>
    <n v="0"/>
    <n v="0"/>
    <n v="0"/>
    <n v="0"/>
    <x v="0"/>
    <x v="0"/>
    <x v="2"/>
    <x v="1"/>
    <n v="0"/>
    <n v="0"/>
    <n v="0"/>
    <x v="0"/>
    <m/>
  </r>
  <r>
    <x v="1"/>
    <x v="3"/>
    <x v="0"/>
    <x v="9"/>
    <x v="132"/>
    <n v="78"/>
    <n v="324"/>
    <m/>
    <m/>
    <m/>
    <m/>
    <m/>
    <m/>
    <m/>
    <m/>
    <m/>
    <m/>
    <m/>
    <m/>
    <m/>
    <m/>
    <m/>
    <m/>
    <m/>
    <m/>
    <m/>
    <m/>
    <m/>
    <m/>
    <m/>
    <m/>
    <x v="2"/>
    <x v="3"/>
    <m/>
    <m/>
    <m/>
    <m/>
    <m/>
    <m/>
    <m/>
    <m/>
    <m/>
    <m/>
    <x v="0"/>
    <m/>
    <m/>
    <m/>
    <m/>
    <s v="no test"/>
    <s v="no test"/>
    <x v="1"/>
    <n v="0"/>
    <n v="0"/>
    <n v="0"/>
    <n v="0"/>
    <n v="0"/>
    <n v="0"/>
    <n v="0"/>
    <n v="0"/>
    <n v="0"/>
    <n v="1"/>
    <n v="324"/>
    <n v="1"/>
    <n v="1"/>
    <n v="0"/>
    <n v="0"/>
    <n v="0"/>
    <n v="0.98765432098765438"/>
    <n v="16"/>
    <n v="16"/>
    <n v="0"/>
    <n v="0"/>
    <n v="0"/>
    <n v="0"/>
    <n v="0"/>
    <n v="0"/>
    <n v="0"/>
    <n v="0"/>
    <n v="1"/>
    <n v="0"/>
    <n v="0"/>
    <n v="0"/>
    <n v="0"/>
    <n v="0"/>
    <n v="0"/>
    <n v="0"/>
    <n v="0"/>
    <n v="0"/>
    <x v="0"/>
    <x v="0"/>
    <x v="2"/>
    <x v="1"/>
    <n v="0"/>
    <n v="0"/>
    <n v="0"/>
    <x v="0"/>
    <m/>
  </r>
  <r>
    <x v="1"/>
    <x v="3"/>
    <x v="0"/>
    <x v="10"/>
    <x v="133"/>
    <n v="127"/>
    <n v="547"/>
    <m/>
    <s v="ADRA/CANADA"/>
    <d v="2018-12-31T00:00:00"/>
    <n v="0"/>
    <s v="Yes"/>
    <n v="0.5"/>
    <n v="0.5"/>
    <n v="0"/>
    <n v="0"/>
    <n v="0"/>
    <n v="0"/>
    <n v="0"/>
    <m/>
    <n v="0"/>
    <n v="0"/>
    <n v="0"/>
    <n v="0"/>
    <n v="0"/>
    <m/>
    <n v="74"/>
    <n v="0"/>
    <n v="0"/>
    <m/>
    <n v="0"/>
    <x v="4"/>
    <x v="0"/>
    <m/>
    <m/>
    <m/>
    <n v="0.2"/>
    <s v="Household"/>
    <n v="0"/>
    <n v="0"/>
    <n v="2"/>
    <n v="0"/>
    <n v="0"/>
    <x v="0"/>
    <m/>
    <m/>
    <m/>
    <m/>
    <s v="no test"/>
    <s v="no test"/>
    <x v="1"/>
    <n v="0"/>
    <n v="0"/>
    <n v="0"/>
    <n v="0"/>
    <n v="0"/>
    <n v="0"/>
    <n v="0"/>
    <n v="0"/>
    <n v="0"/>
    <n v="1"/>
    <n v="547"/>
    <n v="1"/>
    <n v="1"/>
    <n v="74"/>
    <n v="1"/>
    <n v="547"/>
    <n v="0"/>
    <n v="0"/>
    <n v="27"/>
    <n v="0"/>
    <n v="0"/>
    <n v="547"/>
    <n v="0"/>
    <n v="1"/>
    <n v="0"/>
    <n v="0"/>
    <n v="0"/>
    <n v="1"/>
    <n v="1"/>
    <n v="0"/>
    <n v="0"/>
    <n v="0"/>
    <n v="0"/>
    <n v="0"/>
    <n v="25.400000000000002"/>
    <s v="Yes"/>
    <s v="KBC"/>
    <x v="1"/>
    <x v="0"/>
    <x v="0"/>
    <x v="1"/>
    <n v="26.569633"/>
    <n v="97.745480999999998"/>
    <s v="MMR001CMP238"/>
    <x v="0"/>
    <m/>
  </r>
  <r>
    <x v="1"/>
    <x v="3"/>
    <x v="0"/>
    <x v="10"/>
    <x v="134"/>
    <n v="68"/>
    <n v="268"/>
    <m/>
    <s v="ADRA/CANADA"/>
    <d v="2018-12-31T00:00:00"/>
    <n v="0"/>
    <s v="Yes"/>
    <n v="0.4"/>
    <n v="0.5"/>
    <n v="0"/>
    <n v="0"/>
    <n v="0"/>
    <n v="0"/>
    <n v="0"/>
    <m/>
    <n v="0"/>
    <n v="0"/>
    <n v="0"/>
    <n v="0"/>
    <n v="0"/>
    <m/>
    <n v="65"/>
    <n v="0"/>
    <n v="0"/>
    <m/>
    <n v="0"/>
    <x v="4"/>
    <x v="0"/>
    <m/>
    <m/>
    <m/>
    <n v="0.2"/>
    <s v="Household"/>
    <n v="0"/>
    <n v="0"/>
    <n v="1"/>
    <n v="0"/>
    <n v="0"/>
    <x v="0"/>
    <m/>
    <m/>
    <m/>
    <m/>
    <s v="no test"/>
    <s v="no test"/>
    <x v="1"/>
    <n v="0"/>
    <n v="0"/>
    <n v="0"/>
    <n v="0"/>
    <n v="0"/>
    <n v="0"/>
    <n v="0"/>
    <n v="0"/>
    <n v="0"/>
    <n v="1"/>
    <n v="268"/>
    <n v="1"/>
    <n v="1"/>
    <n v="65"/>
    <n v="1"/>
    <n v="268"/>
    <n v="0"/>
    <n v="0"/>
    <n v="13"/>
    <n v="0"/>
    <n v="0"/>
    <n v="268"/>
    <n v="0"/>
    <n v="1"/>
    <n v="0"/>
    <n v="0"/>
    <n v="0"/>
    <n v="1"/>
    <n v="1"/>
    <n v="0"/>
    <n v="0"/>
    <n v="0"/>
    <n v="0"/>
    <n v="0"/>
    <n v="13.600000000000001"/>
    <s v="Yes"/>
    <s v="KBC"/>
    <x v="1"/>
    <x v="0"/>
    <x v="0"/>
    <x v="1"/>
    <n v="26.548506"/>
    <n v="97.75609"/>
    <s v="MMR001CMP239"/>
    <x v="0"/>
    <m/>
  </r>
  <r>
    <x v="1"/>
    <x v="2"/>
    <x v="0"/>
    <x v="10"/>
    <x v="135"/>
    <n v="5"/>
    <n v="32"/>
    <m/>
    <m/>
    <m/>
    <m/>
    <s v="No"/>
    <n v="0"/>
    <n v="0"/>
    <m/>
    <m/>
    <m/>
    <m/>
    <m/>
    <m/>
    <m/>
    <m/>
    <m/>
    <m/>
    <m/>
    <m/>
    <n v="0"/>
    <m/>
    <m/>
    <m/>
    <m/>
    <x v="1"/>
    <x v="1"/>
    <m/>
    <m/>
    <m/>
    <m/>
    <m/>
    <m/>
    <m/>
    <m/>
    <m/>
    <m/>
    <x v="0"/>
    <m/>
    <m/>
    <m/>
    <m/>
    <s v="no test"/>
    <s v="no test"/>
    <x v="1"/>
    <n v="0"/>
    <n v="0"/>
    <n v="0"/>
    <n v="0"/>
    <n v="0"/>
    <n v="0"/>
    <n v="0"/>
    <n v="0"/>
    <n v="0"/>
    <n v="1"/>
    <n v="32"/>
    <n v="1"/>
    <n v="1"/>
    <n v="0"/>
    <n v="0"/>
    <n v="0"/>
    <n v="1"/>
    <n v="2"/>
    <n v="2"/>
    <n v="0"/>
    <n v="0"/>
    <n v="0"/>
    <n v="0"/>
    <n v="0"/>
    <n v="0"/>
    <n v="0"/>
    <n v="0"/>
    <n v="1"/>
    <n v="0"/>
    <n v="0"/>
    <n v="0"/>
    <n v="0"/>
    <n v="0"/>
    <n v="0"/>
    <n v="0"/>
    <n v="0"/>
    <s v="uncovered"/>
    <x v="1"/>
    <x v="0"/>
    <x v="2"/>
    <x v="0"/>
    <n v="26.541930000000001"/>
    <n v="97.568836000000005"/>
    <s v="MMR001CMP206"/>
    <x v="1"/>
    <m/>
  </r>
  <r>
    <x v="1"/>
    <x v="2"/>
    <x v="0"/>
    <x v="11"/>
    <x v="136"/>
    <n v="72"/>
    <n v="228"/>
    <m/>
    <m/>
    <m/>
    <m/>
    <m/>
    <m/>
    <m/>
    <m/>
    <m/>
    <m/>
    <m/>
    <m/>
    <m/>
    <m/>
    <m/>
    <m/>
    <m/>
    <m/>
    <m/>
    <m/>
    <m/>
    <m/>
    <m/>
    <m/>
    <x v="2"/>
    <x v="3"/>
    <m/>
    <m/>
    <m/>
    <m/>
    <m/>
    <m/>
    <m/>
    <m/>
    <m/>
    <m/>
    <x v="0"/>
    <m/>
    <m/>
    <m/>
    <m/>
    <s v="no test"/>
    <s v="no test"/>
    <x v="1"/>
    <n v="0"/>
    <n v="0"/>
    <n v="0"/>
    <n v="0"/>
    <n v="0"/>
    <n v="0"/>
    <n v="0"/>
    <n v="0"/>
    <n v="0"/>
    <n v="1"/>
    <n v="228"/>
    <n v="1"/>
    <n v="1"/>
    <n v="0"/>
    <n v="0"/>
    <n v="0"/>
    <n v="0.96491228070175439"/>
    <n v="11"/>
    <n v="11"/>
    <n v="0"/>
    <n v="0"/>
    <n v="0"/>
    <n v="0"/>
    <n v="0"/>
    <n v="0"/>
    <n v="0"/>
    <n v="0"/>
    <n v="1"/>
    <n v="0"/>
    <n v="0"/>
    <n v="0"/>
    <n v="0"/>
    <n v="0"/>
    <n v="0"/>
    <n v="0"/>
    <n v="0"/>
    <n v="0"/>
    <x v="4"/>
    <x v="0"/>
    <x v="2"/>
    <x v="0"/>
    <n v="0"/>
    <n v="0"/>
    <n v="0"/>
    <x v="1"/>
    <m/>
  </r>
  <r>
    <x v="1"/>
    <x v="2"/>
    <x v="0"/>
    <x v="11"/>
    <x v="137"/>
    <n v="110"/>
    <n v="566"/>
    <m/>
    <m/>
    <m/>
    <m/>
    <m/>
    <m/>
    <m/>
    <m/>
    <m/>
    <m/>
    <m/>
    <m/>
    <m/>
    <m/>
    <m/>
    <m/>
    <m/>
    <m/>
    <m/>
    <m/>
    <m/>
    <m/>
    <m/>
    <m/>
    <x v="2"/>
    <x v="3"/>
    <m/>
    <m/>
    <m/>
    <m/>
    <m/>
    <m/>
    <m/>
    <m/>
    <m/>
    <m/>
    <x v="0"/>
    <m/>
    <m/>
    <m/>
    <m/>
    <s v="no test"/>
    <s v="no test"/>
    <x v="1"/>
    <n v="0"/>
    <n v="0"/>
    <n v="0"/>
    <n v="0"/>
    <n v="0"/>
    <n v="0"/>
    <n v="0"/>
    <n v="0"/>
    <n v="0"/>
    <n v="1"/>
    <n v="566"/>
    <n v="1"/>
    <n v="1"/>
    <n v="0"/>
    <n v="0"/>
    <n v="0"/>
    <n v="0.98939929328621901"/>
    <n v="28"/>
    <n v="28"/>
    <n v="0"/>
    <n v="0"/>
    <n v="0"/>
    <n v="0"/>
    <n v="0"/>
    <n v="0"/>
    <n v="0"/>
    <n v="0"/>
    <n v="1"/>
    <n v="0"/>
    <n v="0"/>
    <n v="0"/>
    <n v="0"/>
    <n v="0"/>
    <n v="0"/>
    <n v="0"/>
    <n v="0"/>
    <n v="0"/>
    <x v="4"/>
    <x v="0"/>
    <x v="2"/>
    <x v="0"/>
    <n v="0"/>
    <n v="0"/>
    <n v="0"/>
    <x v="1"/>
    <m/>
  </r>
  <r>
    <x v="1"/>
    <x v="5"/>
    <x v="0"/>
    <x v="11"/>
    <x v="138"/>
    <n v="42"/>
    <n v="205"/>
    <m/>
    <s v="UNICEF"/>
    <d v="2018-12-31T00:00:00"/>
    <n v="0"/>
    <s v="Yes"/>
    <n v="0.7"/>
    <n v="0.7"/>
    <n v="0"/>
    <n v="0"/>
    <n v="2000"/>
    <n v="0"/>
    <n v="0"/>
    <m/>
    <n v="0"/>
    <n v="0"/>
    <n v="0"/>
    <n v="0"/>
    <n v="0"/>
    <s v="Need to be construction Tube well"/>
    <n v="2"/>
    <n v="0"/>
    <n v="0"/>
    <m/>
    <n v="0"/>
    <x v="0"/>
    <x v="2"/>
    <n v="0"/>
    <n v="0"/>
    <m/>
    <n v="0"/>
    <s v="Communal"/>
    <n v="0"/>
    <n v="0"/>
    <n v="2"/>
    <n v="0"/>
    <n v="0"/>
    <x v="1"/>
    <m/>
    <m/>
    <m/>
    <s v="Need Hygiene Kits and  Hygiene Promotion"/>
    <s v="no test"/>
    <s v="no test"/>
    <x v="1"/>
    <n v="0.65040650406504075"/>
    <n v="0.65040650406504075"/>
    <n v="0.65040650406504075"/>
    <n v="133.33333333333334"/>
    <n v="0"/>
    <n v="0"/>
    <n v="0.65040650406504075"/>
    <n v="133.33333333333334"/>
    <n v="0.26666666666666666"/>
    <n v="0.34959349593495925"/>
    <n v="71.666666666666643"/>
    <n v="0.73333333333333339"/>
    <n v="1"/>
    <n v="2"/>
    <n v="0.1951219512195122"/>
    <n v="40"/>
    <n v="0.78048780487804881"/>
    <n v="8"/>
    <n v="10"/>
    <n v="0"/>
    <n v="0"/>
    <n v="205"/>
    <n v="0"/>
    <n v="1"/>
    <n v="0"/>
    <n v="0"/>
    <n v="0"/>
    <n v="1"/>
    <n v="1"/>
    <n v="0"/>
    <n v="0"/>
    <n v="0"/>
    <n v="0"/>
    <n v="0"/>
    <n v="0"/>
    <n v="0"/>
    <s v="uncovered"/>
    <x v="1"/>
    <x v="0"/>
    <x v="2"/>
    <x v="0"/>
    <n v="0"/>
    <n v="0"/>
    <s v="MMR001CMP252"/>
    <x v="0"/>
    <m/>
  </r>
  <r>
    <x v="1"/>
    <x v="5"/>
    <x v="0"/>
    <x v="11"/>
    <x v="139"/>
    <n v="36"/>
    <n v="152"/>
    <m/>
    <s v="UNICEF"/>
    <d v="2018-12-31T00:00:00"/>
    <n v="0"/>
    <s v="Yes"/>
    <n v="0.7"/>
    <n v="0.7"/>
    <n v="0"/>
    <n v="2"/>
    <n v="3500"/>
    <n v="0"/>
    <n v="0"/>
    <m/>
    <n v="1"/>
    <n v="1"/>
    <n v="0"/>
    <n v="0"/>
    <n v="0"/>
    <s v="Need to be construction Tube well"/>
    <n v="8"/>
    <n v="0"/>
    <n v="0"/>
    <m/>
    <n v="0"/>
    <x v="0"/>
    <x v="2"/>
    <n v="0"/>
    <n v="0"/>
    <m/>
    <n v="0"/>
    <s v="Communal"/>
    <n v="2"/>
    <n v="0"/>
    <n v="2"/>
    <n v="0"/>
    <n v="0"/>
    <x v="1"/>
    <m/>
    <m/>
    <m/>
    <s v="Need Hygiene Kits and  Hygiene Promotion"/>
    <n v="1"/>
    <s v="no test"/>
    <x v="0"/>
    <n v="1"/>
    <n v="1"/>
    <n v="1"/>
    <n v="152"/>
    <n v="0"/>
    <n v="0"/>
    <n v="1"/>
    <n v="152"/>
    <n v="0.30399999999999999"/>
    <n v="0"/>
    <n v="0"/>
    <n v="0.69599999999999995"/>
    <n v="1"/>
    <n v="8"/>
    <n v="1"/>
    <n v="152"/>
    <n v="0"/>
    <n v="0"/>
    <n v="8"/>
    <n v="0"/>
    <n v="0"/>
    <n v="152"/>
    <n v="0"/>
    <n v="1"/>
    <n v="0"/>
    <n v="0"/>
    <n v="0"/>
    <n v="1"/>
    <n v="1"/>
    <n v="0"/>
    <n v="0"/>
    <n v="0"/>
    <n v="0"/>
    <n v="0"/>
    <n v="0"/>
    <n v="0"/>
    <s v="uncovered"/>
    <x v="1"/>
    <x v="0"/>
    <x v="2"/>
    <x v="0"/>
    <n v="0"/>
    <n v="0"/>
    <s v="MMR001CMP254"/>
    <x v="0"/>
    <m/>
  </r>
  <r>
    <x v="1"/>
    <x v="5"/>
    <x v="0"/>
    <x v="11"/>
    <x v="140"/>
    <n v="127"/>
    <n v="450"/>
    <m/>
    <s v="UNICEF"/>
    <d v="2018-12-31T00:00:00"/>
    <n v="0"/>
    <s v="Yes"/>
    <n v="0.7"/>
    <n v="0.7"/>
    <n v="1"/>
    <n v="1"/>
    <n v="2000"/>
    <n v="0"/>
    <n v="0"/>
    <m/>
    <n v="1"/>
    <n v="1"/>
    <n v="0"/>
    <n v="0"/>
    <n v="0"/>
    <s v="Need to be construction Tube well"/>
    <n v="19"/>
    <n v="0"/>
    <n v="0"/>
    <m/>
    <n v="0"/>
    <x v="0"/>
    <x v="2"/>
    <n v="0"/>
    <n v="0"/>
    <m/>
    <n v="0"/>
    <s v="Communal"/>
    <n v="4"/>
    <n v="0"/>
    <n v="2"/>
    <n v="0"/>
    <n v="0"/>
    <x v="1"/>
    <m/>
    <m/>
    <m/>
    <s v="Need Hygiene Kits and  Hygiene Promotion"/>
    <n v="1"/>
    <s v="no test"/>
    <x v="0"/>
    <n v="1"/>
    <n v="1"/>
    <n v="1"/>
    <n v="450"/>
    <n v="0"/>
    <n v="0"/>
    <n v="1"/>
    <n v="450"/>
    <n v="0.9"/>
    <n v="0"/>
    <n v="0"/>
    <n v="9.9999999999999978E-2"/>
    <n v="1"/>
    <n v="19"/>
    <n v="0.84444444444444444"/>
    <n v="380"/>
    <n v="0.17777777777777778"/>
    <n v="4"/>
    <n v="23"/>
    <n v="0"/>
    <n v="0"/>
    <n v="450"/>
    <n v="0"/>
    <n v="1"/>
    <n v="0"/>
    <n v="0"/>
    <n v="0"/>
    <n v="1"/>
    <n v="1"/>
    <n v="0"/>
    <n v="0"/>
    <n v="0"/>
    <n v="0"/>
    <n v="0"/>
    <n v="0"/>
    <n v="0"/>
    <s v="uncovered"/>
    <x v="1"/>
    <x v="0"/>
    <x v="0"/>
    <x v="0"/>
    <n v="0"/>
    <n v="0"/>
    <s v="MMR001CMP253"/>
    <x v="0"/>
    <m/>
  </r>
  <r>
    <x v="1"/>
    <x v="5"/>
    <x v="0"/>
    <x v="11"/>
    <x v="141"/>
    <n v="31"/>
    <n v="129"/>
    <m/>
    <s v="UNICEF"/>
    <d v="2018-12-31T00:00:00"/>
    <n v="0"/>
    <s v="Yes"/>
    <n v="0.7"/>
    <n v="0.7"/>
    <n v="1"/>
    <n v="4"/>
    <n v="10000"/>
    <n v="0"/>
    <n v="0"/>
    <m/>
    <n v="1"/>
    <n v="0"/>
    <n v="0"/>
    <n v="0"/>
    <n v="0"/>
    <s v="Need to be construction Tube well"/>
    <n v="33"/>
    <n v="0"/>
    <n v="0"/>
    <m/>
    <n v="0"/>
    <x v="0"/>
    <x v="2"/>
    <n v="0"/>
    <n v="0"/>
    <m/>
    <n v="0"/>
    <s v="Communal"/>
    <n v="3"/>
    <n v="2"/>
    <n v="2"/>
    <n v="0"/>
    <n v="0"/>
    <x v="1"/>
    <m/>
    <m/>
    <m/>
    <s v="Need Hygiene Kits and  Hygiene Promotion"/>
    <n v="0"/>
    <s v="no test"/>
    <x v="0"/>
    <n v="1"/>
    <n v="1"/>
    <n v="1"/>
    <n v="129"/>
    <n v="0"/>
    <n v="0"/>
    <n v="1"/>
    <n v="129"/>
    <n v="0.25800000000000001"/>
    <n v="0"/>
    <n v="0"/>
    <n v="0.74199999999999999"/>
    <n v="1"/>
    <n v="33"/>
    <n v="1"/>
    <n v="129"/>
    <n v="0"/>
    <n v="0"/>
    <n v="6"/>
    <n v="0"/>
    <n v="0"/>
    <n v="129"/>
    <n v="0"/>
    <n v="1"/>
    <n v="0"/>
    <n v="0"/>
    <n v="0"/>
    <n v="1"/>
    <n v="1"/>
    <n v="0"/>
    <n v="0"/>
    <n v="0"/>
    <n v="0"/>
    <n v="0"/>
    <n v="0"/>
    <n v="0"/>
    <s v="uncovered"/>
    <x v="1"/>
    <x v="0"/>
    <x v="2"/>
    <x v="0"/>
    <n v="0"/>
    <n v="0"/>
    <s v="MMR001CMP251"/>
    <x v="0"/>
    <m/>
  </r>
  <r>
    <x v="1"/>
    <x v="5"/>
    <x v="0"/>
    <x v="12"/>
    <x v="142"/>
    <n v="130"/>
    <n v="527"/>
    <m/>
    <s v="DFID/UNICEF"/>
    <d v="2018-12-31T00:00:00"/>
    <n v="0"/>
    <s v="Yes"/>
    <n v="0.6"/>
    <n v="0.3"/>
    <n v="0"/>
    <n v="0"/>
    <n v="10000"/>
    <n v="0"/>
    <n v="6"/>
    <m/>
    <n v="0"/>
    <n v="0"/>
    <n v="0"/>
    <n v="0"/>
    <n v="0"/>
    <m/>
    <n v="90"/>
    <n v="0"/>
    <n v="0"/>
    <m/>
    <n v="25"/>
    <x v="0"/>
    <x v="2"/>
    <n v="0"/>
    <n v="0"/>
    <m/>
    <n v="0"/>
    <s v="Communal"/>
    <n v="0"/>
    <n v="2"/>
    <n v="2"/>
    <n v="0"/>
    <n v="0"/>
    <x v="1"/>
    <m/>
    <m/>
    <m/>
    <m/>
    <s v="no test"/>
    <s v="no test"/>
    <x v="1"/>
    <n v="1"/>
    <n v="1"/>
    <n v="1"/>
    <n v="527"/>
    <n v="0"/>
    <n v="0"/>
    <n v="1"/>
    <n v="527"/>
    <n v="1.054"/>
    <n v="0"/>
    <n v="0"/>
    <n v="0"/>
    <n v="1"/>
    <n v="90"/>
    <n v="1"/>
    <n v="527"/>
    <n v="0"/>
    <n v="0"/>
    <n v="26"/>
    <n v="0"/>
    <n v="0"/>
    <n v="527"/>
    <n v="0"/>
    <n v="1"/>
    <n v="0"/>
    <n v="0"/>
    <n v="0"/>
    <n v="1"/>
    <n v="1"/>
    <n v="0"/>
    <n v="0"/>
    <n v="0"/>
    <n v="0"/>
    <n v="0"/>
    <n v="0"/>
    <s v="Yes"/>
    <s v="KMSS-MYT"/>
    <x v="1"/>
    <x v="0"/>
    <x v="0"/>
    <x v="1"/>
    <n v="25.220278"/>
    <n v="97.915833000000006"/>
    <s v="MMR001CMP113"/>
    <x v="0"/>
    <m/>
  </r>
  <r>
    <x v="1"/>
    <x v="2"/>
    <x v="0"/>
    <x v="12"/>
    <x v="143"/>
    <n v="62"/>
    <n v="410"/>
    <m/>
    <m/>
    <m/>
    <n v="0"/>
    <s v="No"/>
    <n v="0"/>
    <n v="0"/>
    <n v="0"/>
    <n v="2"/>
    <m/>
    <m/>
    <n v="0"/>
    <m/>
    <m/>
    <m/>
    <m/>
    <m/>
    <m/>
    <m/>
    <n v="10"/>
    <m/>
    <m/>
    <m/>
    <n v="0"/>
    <x v="1"/>
    <x v="1"/>
    <m/>
    <m/>
    <m/>
    <n v="1"/>
    <s v="Both"/>
    <n v="0"/>
    <n v="3"/>
    <n v="3"/>
    <m/>
    <m/>
    <x v="0"/>
    <m/>
    <m/>
    <m/>
    <m/>
    <s v="no test"/>
    <s v="no test"/>
    <x v="1"/>
    <n v="1"/>
    <n v="1"/>
    <n v="1"/>
    <n v="410"/>
    <n v="0"/>
    <n v="0"/>
    <n v="1"/>
    <n v="410"/>
    <n v="1"/>
    <n v="0"/>
    <n v="0"/>
    <n v="0"/>
    <n v="1"/>
    <n v="10"/>
    <n v="0.48780487804878048"/>
    <n v="200"/>
    <n v="0.53658536585365857"/>
    <n v="11"/>
    <n v="21"/>
    <n v="0"/>
    <n v="0"/>
    <n v="410"/>
    <n v="0"/>
    <n v="1"/>
    <n v="0"/>
    <n v="0"/>
    <n v="0"/>
    <n v="1"/>
    <n v="1"/>
    <n v="0"/>
    <n v="0"/>
    <n v="0"/>
    <n v="0"/>
    <n v="0"/>
    <n v="62"/>
    <n v="0"/>
    <s v="uncovered"/>
    <x v="1"/>
    <x v="0"/>
    <x v="2"/>
    <x v="0"/>
    <n v="25.305008999999998"/>
    <n v="97.430321000000006"/>
    <s v="MMR001CMP248"/>
    <x v="1"/>
    <m/>
  </r>
  <r>
    <x v="1"/>
    <x v="4"/>
    <x v="0"/>
    <x v="12"/>
    <x v="144"/>
    <n v="103"/>
    <n v="503"/>
    <m/>
    <s v="OFDA"/>
    <d v="2017-07-31T00:00:00"/>
    <n v="0"/>
    <s v="Yes"/>
    <n v="1"/>
    <n v="1"/>
    <n v="2"/>
    <n v="0"/>
    <n v="2000"/>
    <n v="0"/>
    <n v="2"/>
    <m/>
    <n v="2"/>
    <n v="0"/>
    <n v="4"/>
    <n v="1"/>
    <n v="0"/>
    <m/>
    <n v="16"/>
    <n v="6"/>
    <n v="4"/>
    <s v="two times"/>
    <n v="16"/>
    <x v="0"/>
    <x v="0"/>
    <n v="0"/>
    <n v="0"/>
    <m/>
    <n v="0.5"/>
    <s v="Communal"/>
    <n v="0"/>
    <n v="4"/>
    <n v="0"/>
    <n v="0"/>
    <n v="0"/>
    <x v="0"/>
    <m/>
    <n v="1"/>
    <m/>
    <m/>
    <n v="0"/>
    <n v="0.25"/>
    <x v="0"/>
    <n v="1"/>
    <n v="1"/>
    <n v="1"/>
    <n v="503"/>
    <n v="0"/>
    <n v="0"/>
    <n v="1"/>
    <n v="503"/>
    <n v="1.006"/>
    <n v="0"/>
    <n v="0"/>
    <n v="0"/>
    <n v="1"/>
    <n v="22"/>
    <n v="0.63618290258449306"/>
    <n v="320"/>
    <n v="0.11928429423459246"/>
    <n v="3"/>
    <n v="25"/>
    <n v="0.27272727272727271"/>
    <n v="80"/>
    <n v="0"/>
    <n v="0"/>
    <n v="0"/>
    <n v="0"/>
    <n v="0"/>
    <n v="0"/>
    <n v="1"/>
    <n v="0"/>
    <n v="0"/>
    <n v="0"/>
    <n v="0"/>
    <n v="0"/>
    <n v="0"/>
    <n v="51.5"/>
    <s v="Yes"/>
    <s v="Shalom"/>
    <x v="1"/>
    <x v="0"/>
    <x v="0"/>
    <x v="0"/>
    <n v="25.321710740740698"/>
    <n v="97.404195925926004"/>
    <s v="MMR001CMP028"/>
    <x v="0"/>
    <m/>
  </r>
  <r>
    <x v="1"/>
    <x v="3"/>
    <x v="0"/>
    <x v="12"/>
    <x v="145"/>
    <n v="154"/>
    <n v="903"/>
    <m/>
    <s v="ADRA/CANADA"/>
    <d v="2018-12-31T00:00:00"/>
    <n v="0"/>
    <s v="Yes"/>
    <n v="0.6"/>
    <n v="0.5"/>
    <n v="0"/>
    <n v="0"/>
    <n v="116640"/>
    <n v="0"/>
    <n v="0"/>
    <m/>
    <n v="0"/>
    <n v="0"/>
    <n v="0"/>
    <n v="0"/>
    <n v="0"/>
    <m/>
    <n v="50"/>
    <n v="0"/>
    <n v="0"/>
    <m/>
    <n v="0"/>
    <x v="0"/>
    <x v="0"/>
    <m/>
    <m/>
    <m/>
    <n v="0.6"/>
    <s v="Both"/>
    <n v="0"/>
    <n v="4"/>
    <n v="3"/>
    <n v="0"/>
    <n v="0"/>
    <x v="0"/>
    <m/>
    <m/>
    <m/>
    <m/>
    <s v="no test"/>
    <s v="no test"/>
    <x v="1"/>
    <n v="1"/>
    <n v="1"/>
    <n v="1"/>
    <n v="903"/>
    <n v="0"/>
    <n v="0"/>
    <n v="1"/>
    <n v="903"/>
    <n v="1.806"/>
    <n v="0"/>
    <n v="0"/>
    <n v="0.19399999999999995"/>
    <n v="2"/>
    <n v="50"/>
    <n v="1"/>
    <n v="903"/>
    <n v="0"/>
    <n v="0"/>
    <n v="45"/>
    <n v="0"/>
    <n v="0"/>
    <n v="903"/>
    <n v="0"/>
    <n v="1"/>
    <n v="0"/>
    <n v="0"/>
    <n v="0"/>
    <n v="1"/>
    <n v="1"/>
    <n v="0"/>
    <n v="0"/>
    <n v="0"/>
    <n v="0"/>
    <n v="0"/>
    <n v="92.399999999999991"/>
    <s v="Yes"/>
    <s v="KBC"/>
    <x v="1"/>
    <x v="0"/>
    <x v="0"/>
    <x v="1"/>
    <n v="25.200333000000001"/>
    <n v="97.807182999999995"/>
    <s v="MMR001CMP115"/>
    <x v="0"/>
    <m/>
  </r>
  <r>
    <x v="1"/>
    <x v="1"/>
    <x v="0"/>
    <x v="12"/>
    <x v="146"/>
    <n v="144"/>
    <n v="862"/>
    <m/>
    <s v="WHH-BMZ,WHH-AA"/>
    <d v="2018-06-30T00:00:00"/>
    <n v="0"/>
    <s v="Yes"/>
    <n v="0.5"/>
    <n v="0.5"/>
    <n v="0"/>
    <n v="0"/>
    <n v="5172"/>
    <n v="0"/>
    <n v="0"/>
    <m/>
    <m/>
    <m/>
    <m/>
    <m/>
    <m/>
    <n v="0"/>
    <n v="20"/>
    <n v="0"/>
    <m/>
    <m/>
    <n v="0"/>
    <x v="0"/>
    <x v="0"/>
    <m/>
    <m/>
    <n v="0"/>
    <n v="1"/>
    <s v="Communal"/>
    <n v="0"/>
    <n v="0"/>
    <n v="0"/>
    <m/>
    <m/>
    <x v="0"/>
    <m/>
    <m/>
    <m/>
    <n v="0"/>
    <s v="no test"/>
    <s v="no test"/>
    <x v="1"/>
    <n v="0.4"/>
    <n v="0.4"/>
    <n v="0.4"/>
    <n v="344.8"/>
    <n v="0"/>
    <n v="0"/>
    <n v="0.4"/>
    <n v="344.8"/>
    <n v="1"/>
    <n v="0.6"/>
    <n v="517.19999999999993"/>
    <n v="1"/>
    <n v="2"/>
    <n v="20"/>
    <n v="0.46403712296983757"/>
    <n v="400"/>
    <n v="0.53364269141531318"/>
    <n v="23"/>
    <n v="43"/>
    <n v="0"/>
    <n v="0"/>
    <n v="0"/>
    <n v="0"/>
    <n v="0"/>
    <n v="0"/>
    <n v="0"/>
    <n v="0"/>
    <n v="1"/>
    <n v="0"/>
    <n v="0"/>
    <n v="0"/>
    <n v="0"/>
    <n v="0"/>
    <n v="0"/>
    <n v="144"/>
    <n v="0"/>
    <s v="uncovered"/>
    <x v="1"/>
    <x v="0"/>
    <x v="5"/>
    <x v="1"/>
    <n v="24.752471"/>
    <n v="97.541793999999996"/>
    <s v="MMR001CMP208"/>
    <x v="0"/>
    <m/>
  </r>
  <r>
    <x v="1"/>
    <x v="3"/>
    <x v="0"/>
    <x v="12"/>
    <x v="147"/>
    <n v="31"/>
    <n v="178"/>
    <m/>
    <s v="Plan/GFFO,ADRA/CANADA  "/>
    <d v="2019-03-31T00:00:00"/>
    <n v="0"/>
    <s v="Yes"/>
    <n v="0.6"/>
    <n v="0.5"/>
    <n v="2"/>
    <n v="1"/>
    <n v="0"/>
    <n v="0"/>
    <n v="0"/>
    <m/>
    <n v="0"/>
    <n v="0"/>
    <n v="0"/>
    <n v="0"/>
    <n v="0"/>
    <m/>
    <n v="6"/>
    <n v="0"/>
    <n v="0"/>
    <m/>
    <n v="0"/>
    <x v="0"/>
    <x v="2"/>
    <m/>
    <m/>
    <m/>
    <n v="0.6"/>
    <s v="Both"/>
    <n v="0"/>
    <n v="3"/>
    <n v="1"/>
    <n v="0"/>
    <n v="0"/>
    <x v="0"/>
    <m/>
    <m/>
    <m/>
    <m/>
    <s v="no test"/>
    <s v="no test"/>
    <x v="1"/>
    <n v="1"/>
    <n v="1"/>
    <n v="1"/>
    <n v="178"/>
    <n v="0"/>
    <n v="0"/>
    <n v="1"/>
    <n v="178"/>
    <n v="0.35599999999999998"/>
    <n v="0"/>
    <n v="0"/>
    <n v="0.64400000000000002"/>
    <n v="1"/>
    <n v="6"/>
    <n v="0.6741573033707865"/>
    <n v="120"/>
    <n v="0.33707865168539325"/>
    <n v="3"/>
    <n v="9"/>
    <n v="0"/>
    <n v="0"/>
    <n v="178"/>
    <n v="0"/>
    <n v="1"/>
    <n v="0"/>
    <n v="0"/>
    <n v="0"/>
    <n v="1"/>
    <n v="1"/>
    <n v="0"/>
    <n v="0"/>
    <n v="0"/>
    <n v="0"/>
    <n v="0"/>
    <n v="18.599999999999998"/>
    <s v="Yes"/>
    <s v="KBC"/>
    <x v="1"/>
    <x v="0"/>
    <x v="0"/>
    <x v="0"/>
    <n v="25.356632000000001"/>
    <n v="97.451965000000001"/>
    <s v="MMR001CMP027"/>
    <x v="0"/>
    <m/>
  </r>
  <r>
    <x v="1"/>
    <x v="3"/>
    <x v="0"/>
    <x v="12"/>
    <x v="148"/>
    <n v="440"/>
    <n v="1723"/>
    <m/>
    <s v="Plan/GFFO,ADRA/CANADA  "/>
    <d v="2019-03-31T00:00:00"/>
    <n v="0"/>
    <s v="Yes"/>
    <n v="0.6"/>
    <n v="0.5"/>
    <n v="0"/>
    <n v="0"/>
    <n v="349920"/>
    <n v="0"/>
    <n v="0"/>
    <m/>
    <n v="0"/>
    <n v="0"/>
    <n v="0"/>
    <n v="0"/>
    <n v="0"/>
    <m/>
    <n v="500"/>
    <n v="0"/>
    <n v="0"/>
    <m/>
    <n v="0"/>
    <x v="0"/>
    <x v="0"/>
    <m/>
    <m/>
    <m/>
    <n v="0.6"/>
    <s v="Household"/>
    <n v="0"/>
    <n v="12"/>
    <n v="6"/>
    <n v="0"/>
    <n v="0"/>
    <x v="0"/>
    <m/>
    <m/>
    <m/>
    <m/>
    <s v="no test"/>
    <s v="no test"/>
    <x v="1"/>
    <n v="1"/>
    <n v="1"/>
    <n v="1"/>
    <n v="1723"/>
    <n v="0"/>
    <n v="0"/>
    <n v="1"/>
    <n v="1723"/>
    <n v="3.4460000000000002"/>
    <n v="0"/>
    <n v="0"/>
    <n v="0"/>
    <n v="3"/>
    <n v="500"/>
    <n v="1"/>
    <n v="1723"/>
    <n v="0"/>
    <n v="0"/>
    <n v="287"/>
    <n v="0"/>
    <n v="0"/>
    <n v="1723"/>
    <n v="0"/>
    <n v="1"/>
    <n v="0"/>
    <n v="0"/>
    <n v="0"/>
    <n v="1"/>
    <n v="1"/>
    <n v="0"/>
    <n v="0"/>
    <n v="0"/>
    <n v="0"/>
    <n v="0"/>
    <n v="264"/>
    <s v="Yes"/>
    <s v="KMSS-MYT"/>
    <x v="1"/>
    <x v="1"/>
    <x v="0"/>
    <x v="1"/>
    <n v="24.980250000000002"/>
    <n v="97.715230000000005"/>
    <s v="MMR001CMP119"/>
    <x v="0"/>
    <m/>
  </r>
  <r>
    <x v="1"/>
    <x v="4"/>
    <x v="0"/>
    <x v="12"/>
    <x v="149"/>
    <n v="333"/>
    <n v="1801"/>
    <m/>
    <s v="OFDA"/>
    <d v="2017-07-31T00:00:00"/>
    <n v="0"/>
    <s v="Yes"/>
    <n v="0.69"/>
    <n v="1"/>
    <n v="4"/>
    <n v="3"/>
    <n v="4000"/>
    <n v="0"/>
    <n v="4"/>
    <m/>
    <n v="5"/>
    <n v="0"/>
    <n v="12"/>
    <n v="1"/>
    <n v="0"/>
    <m/>
    <n v="29"/>
    <n v="6"/>
    <n v="9"/>
    <s v="two times"/>
    <n v="29"/>
    <x v="0"/>
    <x v="0"/>
    <n v="0"/>
    <n v="0"/>
    <m/>
    <n v="0.5"/>
    <s v="Communal"/>
    <n v="0"/>
    <n v="7"/>
    <n v="0"/>
    <n v="0"/>
    <n v="0"/>
    <x v="0"/>
    <m/>
    <n v="1"/>
    <m/>
    <m/>
    <n v="0"/>
    <n v="8.3333333333333329E-2"/>
    <x v="0"/>
    <n v="1"/>
    <n v="1"/>
    <n v="1"/>
    <n v="1801"/>
    <n v="0"/>
    <n v="0"/>
    <n v="1"/>
    <n v="1801"/>
    <n v="3.6019999999999999"/>
    <n v="0"/>
    <n v="0"/>
    <n v="0.39800000000000013"/>
    <n v="4"/>
    <n v="35"/>
    <n v="0.32204330927262631"/>
    <n v="580"/>
    <n v="0.61077179344808441"/>
    <n v="55"/>
    <n v="90"/>
    <n v="0.17142857142857143"/>
    <n v="180"/>
    <n v="0"/>
    <n v="0"/>
    <n v="0"/>
    <n v="0"/>
    <n v="0"/>
    <n v="0"/>
    <n v="1"/>
    <n v="0"/>
    <n v="0"/>
    <n v="0"/>
    <n v="0"/>
    <n v="0"/>
    <n v="0"/>
    <n v="166.5"/>
    <s v="Yes"/>
    <s v="Shalom"/>
    <x v="1"/>
    <x v="0"/>
    <x v="0"/>
    <x v="0"/>
    <n v="25.424529444444399"/>
    <n v="97.433419259259296"/>
    <s v="MMR001CMP031"/>
    <x v="0"/>
    <m/>
  </r>
  <r>
    <x v="1"/>
    <x v="5"/>
    <x v="0"/>
    <x v="12"/>
    <x v="150"/>
    <n v="284"/>
    <n v="1492"/>
    <m/>
    <s v="DFID/UNICEF"/>
    <d v="2018-12-31T00:00:00"/>
    <n v="0"/>
    <s v="Yes"/>
    <n v="0.6"/>
    <n v="0.2"/>
    <n v="10"/>
    <n v="5"/>
    <n v="12000"/>
    <n v="0"/>
    <n v="10"/>
    <m/>
    <n v="10"/>
    <n v="1"/>
    <n v="9"/>
    <n v="2"/>
    <n v="0"/>
    <s v="Need to renovation Tube well"/>
    <n v="87"/>
    <n v="0"/>
    <n v="0"/>
    <m/>
    <n v="40"/>
    <x v="0"/>
    <x v="0"/>
    <n v="0"/>
    <n v="0"/>
    <m/>
    <n v="0"/>
    <s v="Communal"/>
    <n v="0"/>
    <n v="6"/>
    <n v="4"/>
    <n v="0"/>
    <n v="0"/>
    <x v="1"/>
    <m/>
    <m/>
    <m/>
    <m/>
    <n v="0.1"/>
    <n v="0.22222222222222221"/>
    <x v="0"/>
    <n v="1"/>
    <n v="1"/>
    <n v="1"/>
    <n v="1492"/>
    <n v="0"/>
    <n v="0"/>
    <n v="1"/>
    <n v="1492"/>
    <n v="2.984"/>
    <n v="0"/>
    <n v="0"/>
    <n v="1.6000000000000014E-2"/>
    <n v="3"/>
    <n v="87"/>
    <n v="1"/>
    <n v="1492"/>
    <n v="0"/>
    <n v="0"/>
    <n v="75"/>
    <n v="0"/>
    <n v="0"/>
    <n v="1492"/>
    <n v="0"/>
    <n v="1"/>
    <n v="0"/>
    <n v="0"/>
    <n v="0"/>
    <n v="1"/>
    <n v="1"/>
    <n v="0"/>
    <n v="0"/>
    <n v="0"/>
    <n v="0"/>
    <n v="0"/>
    <n v="0"/>
    <s v="Yes"/>
    <s v="KMSS-MYT"/>
    <x v="1"/>
    <x v="0"/>
    <x v="0"/>
    <x v="0"/>
    <n v="25.415667500000001"/>
    <n v="97.437782499999997"/>
    <s v="MMR001CMP029"/>
    <x v="0"/>
    <m/>
  </r>
  <r>
    <x v="1"/>
    <x v="3"/>
    <x v="0"/>
    <x v="12"/>
    <x v="151"/>
    <n v="499"/>
    <n v="2551"/>
    <m/>
    <s v="Plan/GFFO,ADRA/CANADA  "/>
    <d v="2019-03-31T00:00:00"/>
    <n v="0"/>
    <s v="Yes"/>
    <n v="0.6"/>
    <n v="0.5"/>
    <n v="9"/>
    <n v="0"/>
    <n v="0"/>
    <n v="0"/>
    <n v="0"/>
    <m/>
    <n v="0"/>
    <n v="0"/>
    <n v="0"/>
    <n v="0"/>
    <n v="0"/>
    <m/>
    <n v="130"/>
    <n v="0"/>
    <n v="0"/>
    <m/>
    <n v="0"/>
    <x v="0"/>
    <x v="0"/>
    <m/>
    <m/>
    <m/>
    <n v="0.6"/>
    <s v="Both"/>
    <n v="0"/>
    <n v="6"/>
    <n v="6"/>
    <n v="0"/>
    <n v="0"/>
    <x v="0"/>
    <m/>
    <m/>
    <m/>
    <m/>
    <s v="no test"/>
    <s v="no test"/>
    <x v="1"/>
    <n v="1"/>
    <n v="0.88200705605644847"/>
    <n v="1"/>
    <n v="2551"/>
    <n v="0"/>
    <n v="0"/>
    <n v="1"/>
    <n v="2551"/>
    <n v="5.1020000000000003"/>
    <n v="0"/>
    <n v="0"/>
    <n v="0"/>
    <n v="5"/>
    <n v="130"/>
    <n v="1"/>
    <n v="2551"/>
    <n v="0"/>
    <n v="0"/>
    <n v="128"/>
    <n v="0"/>
    <n v="0"/>
    <n v="2551"/>
    <n v="0"/>
    <n v="1"/>
    <n v="0"/>
    <n v="0"/>
    <n v="0"/>
    <n v="1"/>
    <n v="1"/>
    <n v="0"/>
    <n v="0"/>
    <n v="0"/>
    <n v="0"/>
    <n v="0"/>
    <n v="299.39999999999998"/>
    <s v="Yes"/>
    <s v="KBC"/>
    <x v="1"/>
    <x v="0"/>
    <x v="0"/>
    <x v="0"/>
    <n v="25.4118005797101"/>
    <n v="97.434855869565197"/>
    <s v="MMR001CMP040"/>
    <x v="0"/>
    <m/>
  </r>
  <r>
    <x v="1"/>
    <x v="3"/>
    <x v="0"/>
    <x v="12"/>
    <x v="152"/>
    <n v="46"/>
    <n v="193"/>
    <m/>
    <s v="Plan/GFFO,ADRA/CANADA  "/>
    <d v="2019-03-31T00:00:00"/>
    <n v="0"/>
    <s v="Yes"/>
    <n v="0.6"/>
    <n v="0.5"/>
    <n v="2"/>
    <n v="0"/>
    <n v="2000"/>
    <n v="0"/>
    <n v="0"/>
    <m/>
    <n v="0"/>
    <n v="0"/>
    <n v="0"/>
    <n v="0"/>
    <n v="0"/>
    <m/>
    <n v="10"/>
    <n v="0"/>
    <n v="0"/>
    <m/>
    <n v="0"/>
    <x v="0"/>
    <x v="0"/>
    <m/>
    <m/>
    <m/>
    <n v="0.6"/>
    <s v="Communal"/>
    <n v="0"/>
    <n v="2"/>
    <n v="1"/>
    <n v="0"/>
    <n v="0"/>
    <x v="0"/>
    <m/>
    <m/>
    <m/>
    <m/>
    <s v="no test"/>
    <s v="no test"/>
    <x v="1"/>
    <n v="1"/>
    <n v="1"/>
    <n v="1"/>
    <n v="193"/>
    <n v="0"/>
    <n v="0"/>
    <n v="1"/>
    <n v="193"/>
    <n v="0.38600000000000001"/>
    <n v="0"/>
    <n v="0"/>
    <n v="0.61399999999999999"/>
    <n v="1"/>
    <n v="10"/>
    <n v="1"/>
    <n v="193"/>
    <n v="0"/>
    <n v="0"/>
    <n v="10"/>
    <n v="0"/>
    <n v="0"/>
    <n v="193"/>
    <n v="0"/>
    <n v="1"/>
    <n v="0"/>
    <n v="0"/>
    <n v="0"/>
    <n v="1"/>
    <n v="1"/>
    <n v="0"/>
    <n v="0"/>
    <n v="0"/>
    <n v="0"/>
    <n v="0"/>
    <n v="27.599999999999998"/>
    <s v="Yes"/>
    <s v="KBC"/>
    <x v="1"/>
    <x v="0"/>
    <x v="0"/>
    <x v="0"/>
    <n v="25.409612685185198"/>
    <n v="97.426536944444507"/>
    <s v="MMR001CMP039"/>
    <x v="0"/>
    <m/>
  </r>
  <r>
    <x v="1"/>
    <x v="4"/>
    <x v="0"/>
    <x v="12"/>
    <x v="153"/>
    <n v="20"/>
    <n v="86"/>
    <m/>
    <s v="OFDA"/>
    <d v="2017-07-31T00:00:00"/>
    <n v="0"/>
    <s v="Yes"/>
    <n v="0.8"/>
    <n v="1"/>
    <n v="1"/>
    <n v="1"/>
    <n v="0"/>
    <n v="0"/>
    <n v="1"/>
    <m/>
    <n v="1"/>
    <n v="0"/>
    <n v="2"/>
    <n v="0"/>
    <n v="0"/>
    <m/>
    <n v="4"/>
    <n v="2"/>
    <n v="3"/>
    <s v="two times"/>
    <n v="4"/>
    <x v="0"/>
    <x v="2"/>
    <n v="0"/>
    <n v="0"/>
    <m/>
    <n v="0.5"/>
    <s v="Communal"/>
    <n v="0"/>
    <n v="2"/>
    <n v="0"/>
    <n v="0"/>
    <n v="0"/>
    <x v="0"/>
    <m/>
    <n v="1"/>
    <m/>
    <m/>
    <n v="0"/>
    <n v="0"/>
    <x v="0"/>
    <n v="1"/>
    <n v="1"/>
    <n v="1"/>
    <n v="86"/>
    <n v="0"/>
    <n v="0"/>
    <n v="1"/>
    <n v="86"/>
    <n v="0.17199999999999999"/>
    <n v="0"/>
    <n v="0"/>
    <n v="0.82800000000000007"/>
    <n v="1"/>
    <n v="6"/>
    <n v="0.93023255813953487"/>
    <n v="80"/>
    <n v="0"/>
    <n v="0"/>
    <n v="4"/>
    <n v="0.33333333333333331"/>
    <n v="60"/>
    <n v="0"/>
    <n v="0"/>
    <n v="0"/>
    <n v="0"/>
    <n v="0"/>
    <n v="0"/>
    <n v="1"/>
    <n v="0"/>
    <n v="0"/>
    <n v="0"/>
    <n v="0"/>
    <n v="0"/>
    <n v="0"/>
    <n v="10"/>
    <s v="Yes"/>
    <s v="Shalom"/>
    <x v="1"/>
    <x v="0"/>
    <x v="0"/>
    <x v="0"/>
    <n v="25.351965"/>
    <n v="97.345039"/>
    <s v="MMR001CMP033"/>
    <x v="0"/>
    <m/>
  </r>
  <r>
    <x v="1"/>
    <x v="3"/>
    <x v="0"/>
    <x v="12"/>
    <x v="154"/>
    <n v="183"/>
    <n v="895"/>
    <m/>
    <s v="ADRA/CANADA"/>
    <d v="2018-12-31T00:00:00"/>
    <n v="0"/>
    <s v="Yes"/>
    <n v="0.6"/>
    <n v="0.5"/>
    <n v="0"/>
    <n v="0"/>
    <n v="194400"/>
    <n v="0"/>
    <n v="0"/>
    <m/>
    <n v="0"/>
    <n v="0"/>
    <n v="0"/>
    <n v="0"/>
    <n v="0"/>
    <m/>
    <n v="150"/>
    <n v="0"/>
    <n v="0"/>
    <m/>
    <n v="0"/>
    <x v="0"/>
    <x v="0"/>
    <m/>
    <m/>
    <m/>
    <n v="0.6"/>
    <s v="Household"/>
    <n v="150"/>
    <n v="4"/>
    <n v="3"/>
    <n v="0"/>
    <n v="0"/>
    <x v="0"/>
    <m/>
    <m/>
    <m/>
    <m/>
    <s v="no test"/>
    <s v="no test"/>
    <x v="1"/>
    <n v="1"/>
    <n v="1"/>
    <n v="1"/>
    <n v="895"/>
    <n v="0"/>
    <n v="0"/>
    <n v="1"/>
    <n v="895"/>
    <n v="1.79"/>
    <n v="0"/>
    <n v="0"/>
    <n v="0.20999999999999996"/>
    <n v="2"/>
    <n v="150"/>
    <n v="1"/>
    <n v="895"/>
    <n v="0"/>
    <n v="0"/>
    <n v="149"/>
    <n v="0"/>
    <n v="0"/>
    <n v="895"/>
    <n v="0"/>
    <n v="1"/>
    <n v="0"/>
    <n v="0"/>
    <n v="0"/>
    <n v="1"/>
    <n v="1"/>
    <n v="0"/>
    <n v="0"/>
    <n v="0"/>
    <n v="0"/>
    <n v="0"/>
    <n v="109.8"/>
    <s v="Yes"/>
    <s v="KBC"/>
    <x v="1"/>
    <x v="1"/>
    <x v="0"/>
    <x v="1"/>
    <n v="24.831944"/>
    <n v="97.751389000000003"/>
    <s v="MMR001CMP120"/>
    <x v="0"/>
    <m/>
  </r>
  <r>
    <x v="1"/>
    <x v="5"/>
    <x v="0"/>
    <x v="12"/>
    <x v="155"/>
    <n v="89"/>
    <n v="550"/>
    <m/>
    <s v="DFID/UNICEF"/>
    <d v="2018-12-31T00:00:00"/>
    <n v="0"/>
    <s v="Yes"/>
    <n v="0.5"/>
    <n v="0.1"/>
    <n v="0"/>
    <n v="0"/>
    <n v="10000"/>
    <n v="0"/>
    <n v="10"/>
    <m/>
    <n v="0"/>
    <n v="0"/>
    <n v="0"/>
    <n v="0"/>
    <n v="0"/>
    <m/>
    <n v="98"/>
    <n v="0"/>
    <n v="0"/>
    <m/>
    <n v="27"/>
    <x v="0"/>
    <x v="2"/>
    <n v="0"/>
    <n v="0"/>
    <m/>
    <n v="0"/>
    <s v="Communal"/>
    <n v="0"/>
    <n v="2"/>
    <n v="2"/>
    <n v="0"/>
    <n v="0"/>
    <x v="1"/>
    <m/>
    <m/>
    <m/>
    <m/>
    <s v="no test"/>
    <s v="no test"/>
    <x v="1"/>
    <n v="1"/>
    <n v="1"/>
    <n v="1"/>
    <n v="550"/>
    <n v="0"/>
    <n v="0"/>
    <n v="1"/>
    <n v="550"/>
    <n v="1.1000000000000001"/>
    <n v="0"/>
    <n v="0"/>
    <n v="0"/>
    <n v="1"/>
    <n v="98"/>
    <n v="1"/>
    <n v="550"/>
    <n v="0"/>
    <n v="0"/>
    <n v="28"/>
    <n v="0"/>
    <n v="0"/>
    <n v="550"/>
    <n v="0"/>
    <n v="1"/>
    <n v="0"/>
    <n v="0"/>
    <n v="0"/>
    <n v="1"/>
    <n v="1"/>
    <n v="0"/>
    <n v="0"/>
    <n v="0"/>
    <n v="0"/>
    <n v="0"/>
    <n v="0"/>
    <s v="Yes"/>
    <s v="KMSS-MYT"/>
    <x v="1"/>
    <x v="0"/>
    <x v="0"/>
    <x v="1"/>
    <n v="25.265277999999999"/>
    <n v="97.990555999999998"/>
    <s v="MMR001CMP160"/>
    <x v="0"/>
    <m/>
  </r>
  <r>
    <x v="1"/>
    <x v="4"/>
    <x v="0"/>
    <x v="12"/>
    <x v="156"/>
    <n v="115"/>
    <n v="460"/>
    <m/>
    <s v="OFDA"/>
    <d v="2017-07-31T00:00:00"/>
    <n v="0"/>
    <s v="Yes"/>
    <n v="0.6"/>
    <n v="1"/>
    <n v="5"/>
    <n v="0"/>
    <n v="1000"/>
    <n v="0"/>
    <n v="3"/>
    <m/>
    <n v="3"/>
    <n v="2"/>
    <n v="7"/>
    <n v="2"/>
    <n v="0"/>
    <m/>
    <n v="4"/>
    <n v="0"/>
    <n v="6"/>
    <s v="Quarterly"/>
    <n v="4"/>
    <x v="0"/>
    <x v="0"/>
    <n v="0"/>
    <n v="0"/>
    <m/>
    <n v="0.5"/>
    <s v="Communal"/>
    <n v="0"/>
    <n v="2"/>
    <n v="0"/>
    <n v="0"/>
    <n v="0"/>
    <x v="0"/>
    <m/>
    <n v="2"/>
    <m/>
    <m/>
    <n v="0.66666666666666663"/>
    <n v="0.2857142857142857"/>
    <x v="0"/>
    <n v="1"/>
    <n v="1"/>
    <n v="1"/>
    <n v="460"/>
    <n v="0"/>
    <n v="0"/>
    <n v="1"/>
    <n v="460"/>
    <n v="0.92"/>
    <n v="0"/>
    <n v="0"/>
    <n v="7.999999999999996E-2"/>
    <n v="1"/>
    <n v="4"/>
    <n v="0.17391304347826086"/>
    <n v="80"/>
    <n v="0.82608695652173914"/>
    <n v="19"/>
    <n v="23"/>
    <n v="0"/>
    <n v="120"/>
    <n v="0"/>
    <n v="0"/>
    <n v="0"/>
    <n v="0"/>
    <n v="0"/>
    <n v="0"/>
    <n v="1"/>
    <n v="0"/>
    <n v="0"/>
    <n v="0"/>
    <n v="0"/>
    <n v="0"/>
    <n v="0"/>
    <n v="57.5"/>
    <s v="Yes"/>
    <s v="Shalom"/>
    <x v="1"/>
    <x v="0"/>
    <x v="0"/>
    <x v="0"/>
    <n v="25.3540362037037"/>
    <n v="97.441166388888902"/>
    <s v="MMR001CMP032"/>
    <x v="0"/>
    <m/>
  </r>
  <r>
    <x v="1"/>
    <x v="3"/>
    <x v="0"/>
    <x v="12"/>
    <x v="157"/>
    <n v="64"/>
    <n v="322"/>
    <m/>
    <s v="Plan/GFFO,ADRA/CANADA  "/>
    <d v="2019-03-31T00:00:00"/>
    <n v="0"/>
    <s v="Yes"/>
    <n v="0.6"/>
    <n v="0.5"/>
    <n v="1"/>
    <n v="0"/>
    <n v="0"/>
    <n v="0"/>
    <n v="0"/>
    <m/>
    <n v="0"/>
    <n v="0"/>
    <n v="0"/>
    <n v="0"/>
    <n v="0"/>
    <m/>
    <n v="10"/>
    <n v="0"/>
    <n v="0"/>
    <m/>
    <n v="0"/>
    <x v="0"/>
    <x v="0"/>
    <m/>
    <m/>
    <m/>
    <n v="0.6"/>
    <s v="Communal"/>
    <n v="0"/>
    <n v="2"/>
    <n v="1"/>
    <n v="0"/>
    <n v="0"/>
    <x v="0"/>
    <m/>
    <m/>
    <m/>
    <m/>
    <s v="no test"/>
    <s v="no test"/>
    <x v="1"/>
    <n v="1"/>
    <n v="0.77639751552795033"/>
    <n v="1"/>
    <n v="322"/>
    <n v="0"/>
    <n v="0"/>
    <n v="1"/>
    <n v="322"/>
    <n v="0.64400000000000002"/>
    <n v="0"/>
    <n v="0"/>
    <n v="0.35599999999999998"/>
    <n v="1"/>
    <n v="10"/>
    <n v="0.6211180124223602"/>
    <n v="199.99999999999997"/>
    <n v="0.37267080745341613"/>
    <n v="6"/>
    <n v="16"/>
    <n v="0"/>
    <n v="0"/>
    <n v="322"/>
    <n v="0"/>
    <n v="1"/>
    <n v="0"/>
    <n v="0"/>
    <n v="0"/>
    <n v="1"/>
    <n v="1"/>
    <n v="0"/>
    <n v="0"/>
    <n v="0"/>
    <n v="0"/>
    <n v="0"/>
    <n v="38.4"/>
    <s v="Yes"/>
    <s v="KBC"/>
    <x v="1"/>
    <x v="0"/>
    <x v="0"/>
    <x v="0"/>
    <n v="25.351724999999998"/>
    <n v="97.438432380952406"/>
    <s v="MMR001CMP025"/>
    <x v="0"/>
    <m/>
  </r>
  <r>
    <x v="1"/>
    <x v="4"/>
    <x v="0"/>
    <x v="12"/>
    <x v="158"/>
    <n v="29"/>
    <n v="159"/>
    <m/>
    <s v="OFDA"/>
    <d v="2017-07-31T00:00:00"/>
    <n v="0"/>
    <s v="Yes"/>
    <n v="0.8"/>
    <n v="1"/>
    <n v="2"/>
    <n v="0"/>
    <n v="2000"/>
    <n v="0"/>
    <n v="2"/>
    <m/>
    <n v="2"/>
    <n v="0"/>
    <n v="2"/>
    <n v="0"/>
    <n v="0"/>
    <m/>
    <n v="3"/>
    <n v="1"/>
    <n v="9"/>
    <s v="Quarterly"/>
    <n v="3"/>
    <x v="0"/>
    <x v="2"/>
    <n v="0"/>
    <n v="0"/>
    <m/>
    <n v="0.5"/>
    <s v="Communal"/>
    <n v="0"/>
    <n v="5"/>
    <n v="0"/>
    <n v="0"/>
    <n v="0"/>
    <x v="0"/>
    <m/>
    <n v="1"/>
    <m/>
    <m/>
    <n v="0"/>
    <n v="0"/>
    <x v="0"/>
    <n v="1"/>
    <n v="1"/>
    <n v="1"/>
    <n v="159"/>
    <n v="0"/>
    <n v="0"/>
    <n v="1"/>
    <n v="159"/>
    <n v="0.318"/>
    <n v="0"/>
    <n v="0"/>
    <n v="0.68199999999999994"/>
    <n v="1"/>
    <n v="4"/>
    <n v="0.37735849056603776"/>
    <n v="60.000000000000007"/>
    <n v="0.50314465408805031"/>
    <n v="4"/>
    <n v="8"/>
    <n v="0.25"/>
    <n v="159"/>
    <n v="0"/>
    <n v="0"/>
    <n v="0"/>
    <n v="0"/>
    <n v="0"/>
    <n v="0"/>
    <n v="1"/>
    <n v="0"/>
    <n v="0"/>
    <n v="0"/>
    <n v="0"/>
    <n v="0"/>
    <n v="0"/>
    <n v="14.5"/>
    <s v="Yes"/>
    <s v="Shalom"/>
    <x v="1"/>
    <x v="0"/>
    <x v="0"/>
    <x v="0"/>
    <n v="25.345918166666699"/>
    <n v="97.437472666666693"/>
    <s v="MMR001CMP030"/>
    <x v="0"/>
    <m/>
  </r>
  <r>
    <x v="1"/>
    <x v="4"/>
    <x v="0"/>
    <x v="12"/>
    <x v="159"/>
    <n v="90"/>
    <n v="492"/>
    <m/>
    <s v="OFDA"/>
    <d v="2017-07-31T00:00:00"/>
    <n v="0"/>
    <s v="Yes"/>
    <n v="0.75"/>
    <n v="1"/>
    <n v="1"/>
    <n v="0"/>
    <n v="2000"/>
    <n v="0"/>
    <n v="3"/>
    <m/>
    <n v="0"/>
    <n v="0"/>
    <n v="0"/>
    <n v="0"/>
    <n v="0"/>
    <m/>
    <n v="16"/>
    <n v="3"/>
    <n v="6"/>
    <m/>
    <n v="16"/>
    <x v="0"/>
    <x v="0"/>
    <n v="0"/>
    <n v="0"/>
    <m/>
    <n v="0.5"/>
    <s v="Communal"/>
    <n v="0"/>
    <n v="4"/>
    <n v="0"/>
    <n v="0"/>
    <n v="0"/>
    <x v="0"/>
    <m/>
    <m/>
    <m/>
    <m/>
    <s v="no test"/>
    <s v="no test"/>
    <x v="1"/>
    <n v="1"/>
    <n v="0.77913279132791335"/>
    <n v="1"/>
    <n v="492"/>
    <n v="0"/>
    <n v="0"/>
    <n v="1"/>
    <n v="492"/>
    <n v="0.98399999999999999"/>
    <n v="0"/>
    <n v="0"/>
    <n v="1.6000000000000014E-2"/>
    <n v="1"/>
    <n v="19"/>
    <n v="0.65040650406504064"/>
    <n v="320"/>
    <n v="0.24390243902439024"/>
    <n v="6"/>
    <n v="25"/>
    <n v="0.15789473684210525"/>
    <n v="120"/>
    <n v="0"/>
    <n v="0"/>
    <n v="0"/>
    <n v="0"/>
    <n v="0"/>
    <n v="0"/>
    <n v="1"/>
    <n v="0"/>
    <n v="0"/>
    <n v="0"/>
    <n v="0"/>
    <n v="0"/>
    <n v="0"/>
    <n v="45"/>
    <s v="Yes"/>
    <s v="Shalom"/>
    <x v="1"/>
    <x v="0"/>
    <x v="3"/>
    <x v="0"/>
    <n v="25.350809000000002"/>
    <n v="97.432495000000003"/>
    <s v="MMR001CMP026"/>
    <x v="0"/>
    <m/>
  </r>
  <r>
    <x v="1"/>
    <x v="2"/>
    <x v="0"/>
    <x v="12"/>
    <x v="160"/>
    <n v="80"/>
    <n v="449"/>
    <m/>
    <m/>
    <m/>
    <m/>
    <m/>
    <m/>
    <m/>
    <m/>
    <m/>
    <m/>
    <m/>
    <m/>
    <m/>
    <m/>
    <m/>
    <m/>
    <m/>
    <m/>
    <m/>
    <m/>
    <m/>
    <m/>
    <m/>
    <m/>
    <x v="2"/>
    <x v="3"/>
    <m/>
    <m/>
    <m/>
    <m/>
    <m/>
    <m/>
    <m/>
    <m/>
    <m/>
    <m/>
    <x v="0"/>
    <m/>
    <m/>
    <m/>
    <m/>
    <s v="no test"/>
    <s v="no test"/>
    <x v="1"/>
    <n v="0"/>
    <n v="0"/>
    <n v="0"/>
    <n v="0"/>
    <n v="0"/>
    <n v="0"/>
    <n v="0"/>
    <n v="0"/>
    <n v="0"/>
    <n v="1"/>
    <n v="449"/>
    <n v="1"/>
    <n v="1"/>
    <n v="0"/>
    <n v="0"/>
    <n v="0"/>
    <n v="0.97995545657015593"/>
    <n v="22"/>
    <n v="22"/>
    <n v="0"/>
    <n v="0"/>
    <n v="0"/>
    <n v="0"/>
    <n v="0"/>
    <n v="0"/>
    <n v="0"/>
    <n v="0"/>
    <n v="1"/>
    <n v="0"/>
    <n v="0"/>
    <n v="0"/>
    <n v="0"/>
    <n v="0"/>
    <n v="0"/>
    <n v="0"/>
    <n v="0"/>
    <s v="uncovered"/>
    <x v="1"/>
    <x v="0"/>
    <x v="2"/>
    <x v="0"/>
    <n v="0"/>
    <n v="0"/>
    <s v="MMR001CMP258"/>
    <x v="1"/>
    <m/>
  </r>
  <r>
    <x v="1"/>
    <x v="3"/>
    <x v="0"/>
    <x v="12"/>
    <x v="161"/>
    <n v="413"/>
    <n v="1893"/>
    <m/>
    <s v="Plan/GFFO,ADRA/CANADA  "/>
    <d v="2019-03-31T00:00:00"/>
    <n v="0"/>
    <s v="Yes"/>
    <n v="0.8"/>
    <n v="0.5"/>
    <n v="0"/>
    <n v="0"/>
    <n v="38880"/>
    <n v="0"/>
    <n v="0"/>
    <m/>
    <n v="0"/>
    <n v="0"/>
    <n v="0"/>
    <n v="0"/>
    <n v="0"/>
    <m/>
    <n v="413"/>
    <n v="0"/>
    <n v="0"/>
    <m/>
    <n v="0"/>
    <x v="0"/>
    <x v="0"/>
    <m/>
    <n v="30"/>
    <m/>
    <n v="1"/>
    <s v="Household"/>
    <n v="400"/>
    <n v="9"/>
    <n v="6"/>
    <n v="0"/>
    <n v="0"/>
    <x v="0"/>
    <m/>
    <m/>
    <m/>
    <m/>
    <s v="no test"/>
    <s v="no test"/>
    <x v="1"/>
    <n v="1"/>
    <n v="1"/>
    <n v="1"/>
    <n v="1893"/>
    <n v="0"/>
    <n v="0"/>
    <n v="1"/>
    <n v="1893"/>
    <n v="3.786"/>
    <n v="0"/>
    <n v="0"/>
    <n v="0.21399999999999997"/>
    <n v="4"/>
    <n v="413"/>
    <n v="1"/>
    <n v="1893"/>
    <n v="0"/>
    <n v="0"/>
    <n v="95"/>
    <n v="0"/>
    <n v="0"/>
    <n v="1893"/>
    <n v="0"/>
    <n v="1"/>
    <n v="0"/>
    <n v="0"/>
    <n v="0"/>
    <n v="1"/>
    <n v="1"/>
    <n v="0"/>
    <n v="0"/>
    <n v="0"/>
    <n v="0"/>
    <n v="0"/>
    <n v="413"/>
    <s v="Yes"/>
    <s v="KBC"/>
    <x v="1"/>
    <x v="0"/>
    <x v="0"/>
    <x v="1"/>
    <n v="0"/>
    <n v="0"/>
    <s v="MMR001CMP249"/>
    <x v="0"/>
    <m/>
  </r>
  <r>
    <x v="1"/>
    <x v="3"/>
    <x v="0"/>
    <x v="12"/>
    <x v="162"/>
    <n v="179"/>
    <n v="962"/>
    <m/>
    <s v="ADRA/CANADA"/>
    <d v="2018-12-31T00:00:00"/>
    <n v="0"/>
    <s v="Yes"/>
    <n v="0.6"/>
    <n v="0.5"/>
    <n v="0"/>
    <n v="0"/>
    <n v="272160"/>
    <n v="0"/>
    <n v="0"/>
    <m/>
    <n v="0"/>
    <n v="0"/>
    <n v="0"/>
    <n v="0"/>
    <n v="0"/>
    <m/>
    <n v="150"/>
    <n v="0"/>
    <n v="0"/>
    <m/>
    <n v="0"/>
    <x v="0"/>
    <x v="0"/>
    <m/>
    <m/>
    <m/>
    <n v="1"/>
    <s v="Both"/>
    <n v="0"/>
    <n v="4"/>
    <n v="3"/>
    <n v="0"/>
    <n v="0"/>
    <x v="0"/>
    <m/>
    <m/>
    <m/>
    <m/>
    <s v="no test"/>
    <s v="no test"/>
    <x v="1"/>
    <n v="1"/>
    <n v="1"/>
    <n v="1"/>
    <n v="962"/>
    <n v="0"/>
    <n v="0"/>
    <n v="1"/>
    <n v="962"/>
    <n v="1.9239999999999999"/>
    <n v="0"/>
    <n v="0"/>
    <n v="7.6000000000000068E-2"/>
    <n v="2"/>
    <n v="150"/>
    <n v="1"/>
    <n v="962"/>
    <n v="0"/>
    <n v="0"/>
    <n v="48"/>
    <n v="0"/>
    <n v="0"/>
    <n v="962"/>
    <n v="0"/>
    <n v="1"/>
    <n v="0"/>
    <n v="0"/>
    <n v="0"/>
    <n v="1"/>
    <n v="1"/>
    <n v="0"/>
    <n v="0"/>
    <n v="0"/>
    <n v="0"/>
    <n v="0"/>
    <n v="179"/>
    <s v="Yes"/>
    <s v="KBC"/>
    <x v="1"/>
    <x v="0"/>
    <x v="0"/>
    <x v="0"/>
    <n v="25.418084"/>
    <n v="98.025662999999994"/>
    <s v="MMR001CMP041"/>
    <x v="0"/>
    <m/>
  </r>
  <r>
    <x v="1"/>
    <x v="4"/>
    <x v="0"/>
    <x v="12"/>
    <x v="163"/>
    <n v="46"/>
    <n v="190"/>
    <m/>
    <s v="OFDA"/>
    <d v="2017-07-31T00:00:00"/>
    <n v="0"/>
    <s v="Yes"/>
    <n v="1"/>
    <n v="1"/>
    <n v="1"/>
    <n v="0"/>
    <n v="1000"/>
    <n v="0"/>
    <n v="2"/>
    <m/>
    <n v="1"/>
    <n v="0"/>
    <n v="2"/>
    <n v="1"/>
    <n v="0"/>
    <m/>
    <n v="4"/>
    <n v="2"/>
    <n v="2"/>
    <s v="two times"/>
    <n v="4"/>
    <x v="0"/>
    <x v="0"/>
    <n v="0"/>
    <n v="0"/>
    <m/>
    <n v="0.5"/>
    <s v="Communal"/>
    <n v="0"/>
    <n v="2"/>
    <n v="0"/>
    <n v="0"/>
    <n v="0"/>
    <x v="0"/>
    <m/>
    <n v="1"/>
    <m/>
    <m/>
    <n v="0"/>
    <n v="0.5"/>
    <x v="0"/>
    <n v="1"/>
    <n v="1"/>
    <n v="1"/>
    <n v="190"/>
    <n v="0"/>
    <n v="0"/>
    <n v="1"/>
    <n v="190"/>
    <n v="0.38"/>
    <n v="0"/>
    <n v="0"/>
    <n v="0.62"/>
    <n v="1"/>
    <n v="6"/>
    <n v="0.42105263157894735"/>
    <n v="80"/>
    <n v="0.42105263157894735"/>
    <n v="4"/>
    <n v="10"/>
    <n v="0.33333333333333331"/>
    <n v="40"/>
    <n v="0"/>
    <n v="0"/>
    <n v="0"/>
    <n v="0"/>
    <n v="0"/>
    <n v="0"/>
    <n v="1"/>
    <n v="0"/>
    <n v="0"/>
    <n v="0"/>
    <n v="0"/>
    <n v="0"/>
    <n v="0"/>
    <n v="23"/>
    <s v="Yes"/>
    <s v="Shalom"/>
    <x v="1"/>
    <x v="0"/>
    <x v="0"/>
    <x v="0"/>
    <n v="25.333683333333301"/>
    <n v="97.428251153846105"/>
    <s v="MMR001CMP037"/>
    <x v="0"/>
    <m/>
  </r>
  <r>
    <x v="1"/>
    <x v="3"/>
    <x v="0"/>
    <x v="12"/>
    <x v="164"/>
    <n v="80"/>
    <n v="344"/>
    <m/>
    <s v="ADRA/CANADA"/>
    <d v="2018-12-31T00:00:00"/>
    <m/>
    <m/>
    <m/>
    <m/>
    <m/>
    <m/>
    <m/>
    <m/>
    <m/>
    <m/>
    <m/>
    <m/>
    <m/>
    <m/>
    <m/>
    <m/>
    <m/>
    <m/>
    <m/>
    <m/>
    <m/>
    <x v="2"/>
    <x v="3"/>
    <m/>
    <m/>
    <m/>
    <m/>
    <m/>
    <m/>
    <m/>
    <m/>
    <m/>
    <m/>
    <x v="0"/>
    <m/>
    <m/>
    <m/>
    <m/>
    <s v="no test"/>
    <s v="no test"/>
    <x v="1"/>
    <n v="0"/>
    <n v="0"/>
    <n v="0"/>
    <n v="0"/>
    <n v="0"/>
    <n v="0"/>
    <n v="0"/>
    <n v="0"/>
    <n v="0"/>
    <n v="1"/>
    <n v="344"/>
    <n v="1"/>
    <n v="1"/>
    <n v="0"/>
    <n v="0"/>
    <n v="0"/>
    <n v="0.9883720930232559"/>
    <n v="17"/>
    <n v="17"/>
    <n v="0"/>
    <n v="0"/>
    <n v="0"/>
    <n v="0"/>
    <n v="0"/>
    <n v="0"/>
    <n v="0"/>
    <n v="0"/>
    <n v="1"/>
    <n v="0"/>
    <n v="0"/>
    <n v="0"/>
    <n v="0"/>
    <n v="0"/>
    <n v="0"/>
    <n v="0"/>
    <n v="0"/>
    <s v="KBC"/>
    <x v="4"/>
    <x v="0"/>
    <x v="0"/>
    <x v="0"/>
    <n v="0"/>
    <n v="0"/>
    <s v="MMR001CMP269"/>
    <x v="0"/>
    <m/>
  </r>
  <r>
    <x v="1"/>
    <x v="4"/>
    <x v="0"/>
    <x v="12"/>
    <x v="165"/>
    <n v="69"/>
    <n v="291"/>
    <m/>
    <s v="OFDA"/>
    <d v="2017-07-31T00:00:00"/>
    <n v="0"/>
    <s v="Yes"/>
    <n v="0.43"/>
    <n v="0"/>
    <n v="2"/>
    <n v="0"/>
    <n v="3000"/>
    <n v="0"/>
    <n v="4"/>
    <m/>
    <n v="2"/>
    <n v="1"/>
    <n v="4"/>
    <n v="1"/>
    <n v="0"/>
    <m/>
    <n v="8"/>
    <n v="1"/>
    <n v="0"/>
    <s v="two times"/>
    <n v="8"/>
    <x v="0"/>
    <x v="0"/>
    <n v="0"/>
    <n v="0"/>
    <m/>
    <n v="0.5"/>
    <s v="Communal"/>
    <n v="0"/>
    <n v="4"/>
    <n v="0"/>
    <n v="0"/>
    <n v="0"/>
    <x v="0"/>
    <m/>
    <n v="1"/>
    <m/>
    <m/>
    <n v="0.5"/>
    <n v="0.25"/>
    <x v="0"/>
    <n v="1"/>
    <n v="1"/>
    <n v="1"/>
    <n v="291"/>
    <n v="0"/>
    <n v="0"/>
    <n v="1"/>
    <n v="291"/>
    <n v="0.58199999999999996"/>
    <n v="0"/>
    <n v="0"/>
    <n v="0.41800000000000004"/>
    <n v="1"/>
    <n v="9"/>
    <n v="0.54982817869415812"/>
    <n v="160"/>
    <n v="0.41237113402061853"/>
    <n v="6"/>
    <n v="15"/>
    <n v="0.1111111111111111"/>
    <n v="0"/>
    <n v="0"/>
    <n v="0"/>
    <n v="0"/>
    <n v="0"/>
    <n v="0"/>
    <n v="0"/>
    <n v="1"/>
    <n v="0"/>
    <n v="0"/>
    <n v="0"/>
    <n v="0"/>
    <n v="0"/>
    <n v="0"/>
    <n v="34.5"/>
    <s v="Yes"/>
    <s v="Shalom"/>
    <x v="1"/>
    <x v="0"/>
    <x v="0"/>
    <x v="0"/>
    <n v="25.351250396825399"/>
    <n v="97.444283730158702"/>
    <s v="MMR001CMP038"/>
    <x v="0"/>
    <m/>
  </r>
  <r>
    <x v="1"/>
    <x v="1"/>
    <x v="0"/>
    <x v="12"/>
    <x v="166"/>
    <n v="560"/>
    <n v="2902"/>
    <m/>
    <s v="WHH-BMZ,WHH-AA"/>
    <d v="2018-06-30T00:00:00"/>
    <n v="0"/>
    <s v="Yes"/>
    <n v="0.31"/>
    <n v="0.31"/>
    <n v="0"/>
    <n v="0"/>
    <n v="58040"/>
    <n v="0"/>
    <n v="0"/>
    <m/>
    <m/>
    <m/>
    <m/>
    <m/>
    <m/>
    <n v="0"/>
    <n v="78"/>
    <n v="8"/>
    <m/>
    <m/>
    <n v="1"/>
    <x v="0"/>
    <x v="0"/>
    <m/>
    <m/>
    <n v="0"/>
    <n v="0.99"/>
    <s v="Communal"/>
    <n v="0"/>
    <n v="5"/>
    <n v="5"/>
    <m/>
    <m/>
    <x v="0"/>
    <m/>
    <m/>
    <m/>
    <n v="0"/>
    <s v="no test"/>
    <s v="no test"/>
    <x v="1"/>
    <n v="1"/>
    <n v="1"/>
    <n v="1"/>
    <n v="2902"/>
    <n v="0"/>
    <n v="0"/>
    <n v="1"/>
    <n v="2902"/>
    <n v="6"/>
    <n v="0"/>
    <n v="0"/>
    <n v="0"/>
    <n v="6"/>
    <n v="86"/>
    <n v="0.53756030323914539"/>
    <n v="1560"/>
    <n v="0.4066161268090972"/>
    <n v="59"/>
    <n v="145"/>
    <n v="9.3023255813953487E-2"/>
    <n v="0"/>
    <n v="2500"/>
    <n v="0"/>
    <n v="1"/>
    <n v="0"/>
    <n v="0"/>
    <n v="0"/>
    <n v="1"/>
    <n v="0.86147484493452786"/>
    <n v="0"/>
    <n v="0"/>
    <n v="0"/>
    <n v="0"/>
    <n v="0"/>
    <n v="554.4"/>
    <s v="Yes"/>
    <s v="KMSS-MYT"/>
    <x v="1"/>
    <x v="0"/>
    <x v="0"/>
    <x v="1"/>
    <n v="24.755253"/>
    <n v="97.546893999999995"/>
    <s v="MMR001CMP116"/>
    <x v="0"/>
    <m/>
  </r>
  <r>
    <x v="1"/>
    <x v="1"/>
    <x v="0"/>
    <x v="12"/>
    <x v="167"/>
    <n v="134"/>
    <n v="709"/>
    <m/>
    <s v="WHH-BMZ,WHH-AA"/>
    <d v="2018-06-30T00:00:00"/>
    <n v="0"/>
    <s v="Yes"/>
    <n v="0.3"/>
    <n v="0.3"/>
    <n v="0"/>
    <n v="0"/>
    <n v="14180"/>
    <n v="0"/>
    <n v="0"/>
    <m/>
    <m/>
    <m/>
    <m/>
    <m/>
    <m/>
    <n v="0"/>
    <n v="44"/>
    <n v="0"/>
    <m/>
    <m/>
    <n v="1"/>
    <x v="0"/>
    <x v="2"/>
    <m/>
    <m/>
    <n v="0"/>
    <n v="1"/>
    <s v="Communal"/>
    <n v="0"/>
    <n v="7"/>
    <n v="0"/>
    <m/>
    <m/>
    <x v="0"/>
    <m/>
    <m/>
    <m/>
    <n v="0"/>
    <s v="no test"/>
    <s v="no test"/>
    <x v="1"/>
    <n v="1"/>
    <n v="1"/>
    <n v="1"/>
    <n v="709"/>
    <n v="0"/>
    <n v="0"/>
    <n v="1"/>
    <n v="709"/>
    <n v="1.4179999999999999"/>
    <n v="0"/>
    <n v="0"/>
    <n v="0"/>
    <n v="1"/>
    <n v="44"/>
    <n v="1"/>
    <n v="709"/>
    <n v="0"/>
    <n v="0"/>
    <n v="35"/>
    <n v="0"/>
    <n v="0"/>
    <n v="0"/>
    <n v="0"/>
    <n v="0"/>
    <n v="0"/>
    <n v="0"/>
    <n v="0"/>
    <n v="1"/>
    <n v="0"/>
    <n v="0"/>
    <n v="0"/>
    <n v="0"/>
    <n v="0"/>
    <n v="0"/>
    <n v="134"/>
    <n v="0"/>
    <n v="0"/>
    <x v="0"/>
    <x v="0"/>
    <x v="0"/>
    <x v="1"/>
    <n v="0"/>
    <n v="0"/>
    <n v="0"/>
    <x v="0"/>
    <m/>
  </r>
  <r>
    <x v="1"/>
    <x v="1"/>
    <x v="0"/>
    <x v="12"/>
    <x v="168"/>
    <n v="546"/>
    <n v="2550"/>
    <m/>
    <s v="WHH-BMZ,WHH-AA"/>
    <d v="2018-06-30T00:00:00"/>
    <n v="0"/>
    <s v="No"/>
    <n v="0"/>
    <n v="0"/>
    <n v="3"/>
    <n v="0"/>
    <n v="0"/>
    <n v="0"/>
    <n v="0"/>
    <m/>
    <m/>
    <m/>
    <m/>
    <m/>
    <m/>
    <n v="0"/>
    <n v="357"/>
    <n v="0"/>
    <m/>
    <m/>
    <n v="0"/>
    <x v="4"/>
    <x v="4"/>
    <m/>
    <m/>
    <n v="0"/>
    <n v="1"/>
    <m/>
    <n v="0"/>
    <n v="0"/>
    <n v="0"/>
    <m/>
    <m/>
    <x v="0"/>
    <m/>
    <m/>
    <m/>
    <n v="0"/>
    <s v="no test"/>
    <s v="no test"/>
    <x v="1"/>
    <n v="1"/>
    <n v="0.29411764705882354"/>
    <n v="1"/>
    <n v="2550"/>
    <n v="0"/>
    <n v="0"/>
    <n v="1"/>
    <n v="2550"/>
    <n v="5.0999999999999996"/>
    <n v="0"/>
    <n v="0"/>
    <n v="0"/>
    <n v="5"/>
    <n v="357"/>
    <n v="1"/>
    <n v="2550"/>
    <n v="0"/>
    <n v="0"/>
    <n v="128"/>
    <n v="0"/>
    <n v="0"/>
    <n v="0"/>
    <n v="0"/>
    <n v="0"/>
    <n v="0"/>
    <n v="0"/>
    <n v="0"/>
    <n v="1"/>
    <n v="0"/>
    <n v="0"/>
    <n v="0"/>
    <n v="0"/>
    <n v="0"/>
    <n v="0"/>
    <n v="546"/>
    <n v="0"/>
    <n v="0"/>
    <x v="0"/>
    <x v="0"/>
    <x v="1"/>
    <x v="1"/>
    <n v="0"/>
    <n v="0"/>
    <n v="0"/>
    <x v="0"/>
    <m/>
  </r>
  <r>
    <x v="1"/>
    <x v="10"/>
    <x v="1"/>
    <x v="13"/>
    <x v="169"/>
    <n v="68"/>
    <n v="342"/>
    <m/>
    <s v="BMZ"/>
    <d v="2019-05-01T00:00:00"/>
    <m/>
    <s v="Yes"/>
    <n v="0"/>
    <n v="0"/>
    <n v="0"/>
    <n v="0"/>
    <m/>
    <m/>
    <n v="0"/>
    <m/>
    <m/>
    <m/>
    <m/>
    <m/>
    <m/>
    <m/>
    <n v="0"/>
    <m/>
    <m/>
    <m/>
    <n v="0"/>
    <x v="1"/>
    <x v="1"/>
    <m/>
    <m/>
    <m/>
    <n v="0"/>
    <m/>
    <n v="0"/>
    <m/>
    <n v="0"/>
    <m/>
    <m/>
    <x v="0"/>
    <m/>
    <m/>
    <m/>
    <m/>
    <s v="no test"/>
    <s v="no test"/>
    <x v="1"/>
    <n v="0"/>
    <n v="0"/>
    <n v="0"/>
    <n v="0"/>
    <n v="0"/>
    <n v="0"/>
    <n v="0"/>
    <n v="0"/>
    <n v="0"/>
    <n v="1"/>
    <n v="342"/>
    <n v="1"/>
    <n v="1"/>
    <n v="0"/>
    <n v="0"/>
    <n v="0"/>
    <n v="1"/>
    <n v="57"/>
    <n v="57"/>
    <n v="0"/>
    <s v="N/A"/>
    <n v="0"/>
    <n v="0"/>
    <n v="0"/>
    <n v="0"/>
    <n v="0"/>
    <n v="0"/>
    <n v="1"/>
    <n v="0"/>
    <n v="0"/>
    <n v="0"/>
    <n v="0"/>
    <n v="0"/>
    <n v="0"/>
    <n v="0"/>
    <n v="0"/>
    <n v="0"/>
    <x v="2"/>
    <x v="2"/>
    <x v="6"/>
    <x v="2"/>
    <n v="19.726810455322301"/>
    <n v="94.0286865234375"/>
    <s v="199157"/>
    <x v="0"/>
    <m/>
  </r>
  <r>
    <x v="1"/>
    <x v="10"/>
    <x v="1"/>
    <x v="13"/>
    <x v="170"/>
    <n v="80"/>
    <n v="398"/>
    <m/>
    <s v="BMZ"/>
    <d v="2019-05-01T00:00:00"/>
    <m/>
    <s v="Yes"/>
    <n v="0"/>
    <n v="0"/>
    <n v="0"/>
    <n v="0"/>
    <m/>
    <m/>
    <n v="0"/>
    <m/>
    <m/>
    <m/>
    <m/>
    <m/>
    <m/>
    <m/>
    <n v="0"/>
    <m/>
    <m/>
    <m/>
    <n v="0"/>
    <x v="1"/>
    <x v="1"/>
    <m/>
    <m/>
    <m/>
    <n v="0"/>
    <m/>
    <n v="0"/>
    <m/>
    <n v="0"/>
    <m/>
    <m/>
    <x v="0"/>
    <m/>
    <m/>
    <m/>
    <m/>
    <s v="no test"/>
    <s v="no test"/>
    <x v="1"/>
    <n v="0"/>
    <n v="0"/>
    <n v="0"/>
    <n v="0"/>
    <n v="0"/>
    <n v="0"/>
    <n v="0"/>
    <n v="0"/>
    <n v="0"/>
    <n v="1"/>
    <n v="398"/>
    <n v="1"/>
    <n v="1"/>
    <n v="0"/>
    <n v="0"/>
    <n v="0"/>
    <n v="0.99497487437185939"/>
    <n v="66"/>
    <n v="66"/>
    <n v="0"/>
    <s v="N/A"/>
    <n v="0"/>
    <n v="0"/>
    <n v="0"/>
    <n v="0"/>
    <n v="0"/>
    <n v="0"/>
    <n v="1"/>
    <n v="0"/>
    <n v="0"/>
    <n v="0"/>
    <n v="0"/>
    <n v="0"/>
    <n v="0"/>
    <n v="0"/>
    <n v="0"/>
    <n v="0"/>
    <x v="2"/>
    <x v="2"/>
    <x v="6"/>
    <x v="3"/>
    <n v="19.9947109222412"/>
    <n v="93.836921691894503"/>
    <s v="199233"/>
    <x v="0"/>
    <m/>
  </r>
  <r>
    <x v="1"/>
    <x v="10"/>
    <x v="1"/>
    <x v="13"/>
    <x v="171"/>
    <n v="109"/>
    <n v="546"/>
    <m/>
    <s v="BMZ"/>
    <d v="2019-05-01T00:00:00"/>
    <m/>
    <s v="Yes"/>
    <n v="0"/>
    <n v="0"/>
    <n v="0"/>
    <n v="0"/>
    <m/>
    <m/>
    <n v="0"/>
    <m/>
    <m/>
    <m/>
    <m/>
    <m/>
    <m/>
    <m/>
    <n v="0"/>
    <m/>
    <m/>
    <m/>
    <n v="0"/>
    <x v="1"/>
    <x v="1"/>
    <m/>
    <m/>
    <m/>
    <n v="0"/>
    <m/>
    <n v="0"/>
    <m/>
    <n v="0"/>
    <m/>
    <m/>
    <x v="0"/>
    <m/>
    <m/>
    <m/>
    <m/>
    <s v="no test"/>
    <s v="no test"/>
    <x v="1"/>
    <n v="0"/>
    <n v="0"/>
    <n v="0"/>
    <n v="0"/>
    <n v="0"/>
    <n v="0"/>
    <n v="0"/>
    <n v="0"/>
    <n v="0"/>
    <n v="1"/>
    <n v="546"/>
    <n v="1"/>
    <n v="1"/>
    <n v="0"/>
    <n v="0"/>
    <n v="0"/>
    <n v="1"/>
    <n v="91"/>
    <n v="91"/>
    <n v="0"/>
    <s v="N/A"/>
    <n v="0"/>
    <n v="0"/>
    <n v="0"/>
    <n v="0"/>
    <n v="0"/>
    <n v="0"/>
    <n v="1"/>
    <n v="0"/>
    <n v="0"/>
    <n v="0"/>
    <n v="0"/>
    <n v="0"/>
    <n v="0"/>
    <n v="0"/>
    <n v="0"/>
    <n v="0"/>
    <x v="2"/>
    <x v="2"/>
    <x v="6"/>
    <x v="3"/>
    <n v="19.985679626464801"/>
    <n v="93.843322753906307"/>
    <s v="199235"/>
    <x v="0"/>
    <m/>
  </r>
  <r>
    <x v="1"/>
    <x v="10"/>
    <x v="1"/>
    <x v="13"/>
    <x v="172"/>
    <n v="157"/>
    <n v="786"/>
    <m/>
    <s v="BMZ"/>
    <d v="2019-05-01T00:00:00"/>
    <m/>
    <s v="Yes"/>
    <n v="0"/>
    <n v="0"/>
    <n v="0"/>
    <n v="0"/>
    <m/>
    <m/>
    <n v="0"/>
    <m/>
    <m/>
    <m/>
    <m/>
    <m/>
    <m/>
    <m/>
    <n v="0"/>
    <m/>
    <m/>
    <m/>
    <n v="0"/>
    <x v="1"/>
    <x v="1"/>
    <m/>
    <m/>
    <m/>
    <n v="0"/>
    <m/>
    <n v="0"/>
    <m/>
    <n v="0"/>
    <m/>
    <m/>
    <x v="0"/>
    <m/>
    <m/>
    <m/>
    <m/>
    <s v="no test"/>
    <s v="no test"/>
    <x v="1"/>
    <n v="0"/>
    <n v="0"/>
    <n v="0"/>
    <n v="0"/>
    <n v="0"/>
    <n v="0"/>
    <n v="0"/>
    <n v="0"/>
    <n v="0"/>
    <n v="1"/>
    <n v="786"/>
    <n v="2"/>
    <n v="2"/>
    <n v="0"/>
    <n v="0"/>
    <n v="0"/>
    <n v="1"/>
    <n v="131"/>
    <n v="131"/>
    <n v="0"/>
    <s v="N/A"/>
    <n v="0"/>
    <n v="0"/>
    <n v="0"/>
    <n v="0"/>
    <n v="0"/>
    <n v="0"/>
    <n v="1"/>
    <n v="0"/>
    <n v="0"/>
    <n v="0"/>
    <n v="0"/>
    <n v="0"/>
    <n v="0"/>
    <n v="0"/>
    <n v="0"/>
    <n v="0"/>
    <x v="2"/>
    <x v="2"/>
    <x v="6"/>
    <x v="3"/>
    <n v="19.988689422607401"/>
    <n v="93.842460632324205"/>
    <s v="199236"/>
    <x v="0"/>
    <m/>
  </r>
  <r>
    <x v="1"/>
    <x v="10"/>
    <x v="1"/>
    <x v="13"/>
    <x v="173"/>
    <n v="34"/>
    <n v="171"/>
    <m/>
    <s v="BMZ"/>
    <d v="2019-05-01T00:00:00"/>
    <m/>
    <s v="Yes"/>
    <n v="0"/>
    <n v="0"/>
    <n v="0"/>
    <n v="0"/>
    <m/>
    <m/>
    <n v="0"/>
    <m/>
    <m/>
    <m/>
    <m/>
    <m/>
    <m/>
    <m/>
    <n v="0"/>
    <m/>
    <m/>
    <m/>
    <n v="0"/>
    <x v="1"/>
    <x v="1"/>
    <m/>
    <m/>
    <m/>
    <n v="0"/>
    <m/>
    <n v="0"/>
    <m/>
    <n v="0"/>
    <m/>
    <m/>
    <x v="0"/>
    <m/>
    <m/>
    <m/>
    <m/>
    <s v="no test"/>
    <s v="no test"/>
    <x v="1"/>
    <n v="0"/>
    <n v="0"/>
    <n v="0"/>
    <n v="0"/>
    <n v="0"/>
    <n v="0"/>
    <n v="0"/>
    <n v="0"/>
    <n v="0"/>
    <n v="1"/>
    <n v="171"/>
    <n v="1"/>
    <n v="1"/>
    <n v="0"/>
    <n v="0"/>
    <n v="0"/>
    <n v="1"/>
    <n v="29"/>
    <n v="29"/>
    <n v="0"/>
    <s v="N/A"/>
    <n v="0"/>
    <n v="0"/>
    <n v="0"/>
    <n v="0"/>
    <n v="0"/>
    <n v="0"/>
    <n v="1"/>
    <n v="0"/>
    <n v="0"/>
    <n v="0"/>
    <n v="0"/>
    <n v="0"/>
    <n v="0"/>
    <n v="0"/>
    <n v="0"/>
    <n v="0"/>
    <x v="2"/>
    <x v="2"/>
    <x v="6"/>
    <x v="3"/>
    <n v="19.610979080200199"/>
    <n v="93.9847412109375"/>
    <s v="199264"/>
    <x v="0"/>
    <m/>
  </r>
  <r>
    <x v="1"/>
    <x v="10"/>
    <x v="1"/>
    <x v="13"/>
    <x v="174"/>
    <n v="55"/>
    <n v="273"/>
    <m/>
    <s v="BMZ"/>
    <d v="2019-05-01T00:00:00"/>
    <m/>
    <s v="Yes"/>
    <n v="0"/>
    <n v="0"/>
    <n v="0"/>
    <n v="0"/>
    <m/>
    <m/>
    <n v="0"/>
    <m/>
    <m/>
    <m/>
    <m/>
    <m/>
    <m/>
    <m/>
    <n v="0"/>
    <m/>
    <m/>
    <m/>
    <n v="0"/>
    <x v="1"/>
    <x v="1"/>
    <m/>
    <m/>
    <m/>
    <n v="0"/>
    <m/>
    <n v="0"/>
    <m/>
    <n v="0"/>
    <m/>
    <m/>
    <x v="0"/>
    <m/>
    <m/>
    <m/>
    <m/>
    <s v="no test"/>
    <s v="no test"/>
    <x v="1"/>
    <n v="0"/>
    <n v="0"/>
    <n v="0"/>
    <n v="0"/>
    <n v="0"/>
    <n v="0"/>
    <n v="0"/>
    <n v="0"/>
    <n v="0"/>
    <n v="1"/>
    <n v="273"/>
    <n v="1"/>
    <n v="1"/>
    <n v="0"/>
    <n v="0"/>
    <n v="0"/>
    <n v="1"/>
    <n v="46"/>
    <n v="46"/>
    <n v="0"/>
    <s v="N/A"/>
    <n v="0"/>
    <n v="0"/>
    <n v="0"/>
    <n v="0"/>
    <n v="0"/>
    <n v="0"/>
    <n v="1"/>
    <n v="0"/>
    <n v="0"/>
    <n v="0"/>
    <n v="0"/>
    <n v="0"/>
    <n v="0"/>
    <n v="0"/>
    <n v="0"/>
    <n v="0"/>
    <x v="2"/>
    <x v="2"/>
    <x v="6"/>
    <x v="3"/>
    <n v="19.721389770507798"/>
    <n v="94.019851684570298"/>
    <s v="199159"/>
    <x v="0"/>
    <m/>
  </r>
  <r>
    <x v="1"/>
    <x v="10"/>
    <x v="1"/>
    <x v="13"/>
    <x v="175"/>
    <n v="62"/>
    <n v="312"/>
    <m/>
    <s v="BMZ"/>
    <d v="2019-05-01T00:00:00"/>
    <m/>
    <s v="Yes"/>
    <n v="0"/>
    <n v="0"/>
    <n v="0"/>
    <n v="0"/>
    <m/>
    <m/>
    <n v="0"/>
    <m/>
    <m/>
    <m/>
    <m/>
    <m/>
    <m/>
    <m/>
    <n v="0"/>
    <m/>
    <m/>
    <m/>
    <n v="0"/>
    <x v="1"/>
    <x v="1"/>
    <m/>
    <m/>
    <m/>
    <n v="0"/>
    <m/>
    <n v="0"/>
    <m/>
    <n v="0"/>
    <m/>
    <m/>
    <x v="0"/>
    <m/>
    <m/>
    <m/>
    <m/>
    <s v="no test"/>
    <s v="no test"/>
    <x v="1"/>
    <n v="0"/>
    <n v="0"/>
    <n v="0"/>
    <n v="0"/>
    <n v="0"/>
    <n v="0"/>
    <n v="0"/>
    <n v="0"/>
    <n v="0"/>
    <n v="1"/>
    <n v="312"/>
    <n v="1"/>
    <n v="1"/>
    <n v="0"/>
    <n v="0"/>
    <n v="0"/>
    <n v="1"/>
    <n v="52"/>
    <n v="52"/>
    <n v="0"/>
    <s v="N/A"/>
    <n v="0"/>
    <n v="0"/>
    <n v="0"/>
    <n v="0"/>
    <n v="0"/>
    <n v="0"/>
    <n v="1"/>
    <n v="0"/>
    <n v="0"/>
    <n v="0"/>
    <n v="0"/>
    <n v="0"/>
    <n v="0"/>
    <n v="0"/>
    <n v="0"/>
    <n v="0"/>
    <x v="2"/>
    <x v="2"/>
    <x v="6"/>
    <x v="3"/>
    <n v="20.0087699890137"/>
    <n v="93.816879272460895"/>
    <s v="199240"/>
    <x v="0"/>
    <m/>
  </r>
  <r>
    <x v="1"/>
    <x v="10"/>
    <x v="1"/>
    <x v="13"/>
    <x v="176"/>
    <n v="135"/>
    <n v="674"/>
    <m/>
    <s v="BMZ"/>
    <d v="2019-05-01T00:00:00"/>
    <m/>
    <s v="Yes"/>
    <n v="0"/>
    <n v="0"/>
    <n v="0"/>
    <n v="0"/>
    <m/>
    <m/>
    <n v="0"/>
    <m/>
    <m/>
    <m/>
    <m/>
    <m/>
    <m/>
    <m/>
    <n v="0"/>
    <m/>
    <m/>
    <m/>
    <n v="0"/>
    <x v="1"/>
    <x v="1"/>
    <m/>
    <m/>
    <m/>
    <n v="0"/>
    <m/>
    <n v="0"/>
    <m/>
    <n v="0"/>
    <m/>
    <m/>
    <x v="0"/>
    <m/>
    <m/>
    <m/>
    <m/>
    <s v="no test"/>
    <s v="no test"/>
    <x v="1"/>
    <n v="0"/>
    <n v="0"/>
    <n v="0"/>
    <n v="0"/>
    <n v="0"/>
    <n v="0"/>
    <n v="0"/>
    <n v="0"/>
    <n v="0"/>
    <n v="1"/>
    <n v="674"/>
    <n v="1"/>
    <n v="1"/>
    <n v="0"/>
    <n v="0"/>
    <n v="0"/>
    <n v="0.9970326409495549"/>
    <n v="112"/>
    <n v="112"/>
    <n v="0"/>
    <s v="N/A"/>
    <n v="0"/>
    <n v="0"/>
    <n v="0"/>
    <n v="0"/>
    <n v="0"/>
    <n v="0"/>
    <n v="1"/>
    <n v="0"/>
    <n v="0"/>
    <n v="0"/>
    <n v="0"/>
    <n v="0"/>
    <n v="0"/>
    <n v="0"/>
    <n v="0"/>
    <n v="0"/>
    <x v="2"/>
    <x v="2"/>
    <x v="6"/>
    <x v="4"/>
    <n v="19.955690383911101"/>
    <n v="93.801551818847699"/>
    <s v="199134"/>
    <x v="0"/>
    <m/>
  </r>
  <r>
    <x v="1"/>
    <x v="10"/>
    <x v="1"/>
    <x v="13"/>
    <x v="177"/>
    <n v="75"/>
    <n v="373"/>
    <m/>
    <s v="BMZ"/>
    <d v="2019-05-01T00:00:00"/>
    <m/>
    <s v="Yes"/>
    <n v="0"/>
    <n v="0"/>
    <n v="0"/>
    <n v="0"/>
    <m/>
    <m/>
    <n v="0"/>
    <m/>
    <m/>
    <m/>
    <m/>
    <m/>
    <m/>
    <m/>
    <n v="0"/>
    <m/>
    <m/>
    <m/>
    <n v="0"/>
    <x v="1"/>
    <x v="1"/>
    <m/>
    <m/>
    <m/>
    <n v="0"/>
    <m/>
    <n v="0"/>
    <m/>
    <n v="0"/>
    <m/>
    <m/>
    <x v="0"/>
    <m/>
    <m/>
    <m/>
    <m/>
    <s v="no test"/>
    <s v="no test"/>
    <x v="1"/>
    <n v="0"/>
    <n v="0"/>
    <n v="0"/>
    <n v="0"/>
    <n v="0"/>
    <n v="0"/>
    <n v="0"/>
    <n v="0"/>
    <n v="0"/>
    <n v="1"/>
    <n v="373"/>
    <n v="1"/>
    <n v="1"/>
    <n v="0"/>
    <n v="0"/>
    <n v="0"/>
    <n v="0.99731903485254692"/>
    <n v="62"/>
    <n v="62"/>
    <n v="0"/>
    <s v="N/A"/>
    <n v="0"/>
    <n v="0"/>
    <n v="0"/>
    <n v="0"/>
    <n v="0"/>
    <n v="0"/>
    <n v="1"/>
    <n v="0"/>
    <n v="0"/>
    <n v="0"/>
    <n v="0"/>
    <n v="0"/>
    <n v="0"/>
    <n v="0"/>
    <n v="0"/>
    <n v="0"/>
    <x v="2"/>
    <x v="2"/>
    <x v="6"/>
    <x v="2"/>
    <n v="19.7062797546387"/>
    <n v="94.016433715820298"/>
    <s v="199161"/>
    <x v="0"/>
    <m/>
  </r>
  <r>
    <x v="1"/>
    <x v="10"/>
    <x v="1"/>
    <x v="13"/>
    <x v="178"/>
    <n v="27"/>
    <n v="136"/>
    <m/>
    <s v="BMZ"/>
    <d v="2019-05-01T00:00:00"/>
    <m/>
    <s v="Yes"/>
    <n v="0"/>
    <n v="0"/>
    <n v="0"/>
    <n v="0"/>
    <m/>
    <m/>
    <n v="0"/>
    <m/>
    <m/>
    <m/>
    <m/>
    <m/>
    <m/>
    <m/>
    <n v="0"/>
    <m/>
    <m/>
    <m/>
    <n v="0"/>
    <x v="1"/>
    <x v="1"/>
    <m/>
    <m/>
    <m/>
    <n v="0"/>
    <m/>
    <n v="0"/>
    <m/>
    <n v="0"/>
    <m/>
    <m/>
    <x v="0"/>
    <m/>
    <m/>
    <m/>
    <m/>
    <s v="no test"/>
    <s v="no test"/>
    <x v="1"/>
    <n v="0"/>
    <n v="0"/>
    <n v="0"/>
    <n v="0"/>
    <n v="0"/>
    <n v="0"/>
    <n v="0"/>
    <n v="0"/>
    <n v="0"/>
    <n v="1"/>
    <n v="136"/>
    <n v="1"/>
    <n v="1"/>
    <n v="0"/>
    <n v="0"/>
    <n v="0"/>
    <n v="1"/>
    <n v="23"/>
    <n v="23"/>
    <n v="0"/>
    <s v="N/A"/>
    <n v="0"/>
    <n v="0"/>
    <n v="0"/>
    <n v="0"/>
    <n v="0"/>
    <n v="0"/>
    <n v="1"/>
    <n v="0"/>
    <n v="0"/>
    <n v="0"/>
    <n v="0"/>
    <n v="0"/>
    <n v="0"/>
    <n v="0"/>
    <n v="0"/>
    <n v="0"/>
    <x v="2"/>
    <x v="2"/>
    <x v="6"/>
    <x v="2"/>
    <n v="19.619289398193398"/>
    <n v="93.959686279296903"/>
    <s v="199266"/>
    <x v="0"/>
    <m/>
  </r>
  <r>
    <x v="1"/>
    <x v="10"/>
    <x v="1"/>
    <x v="13"/>
    <x v="179"/>
    <n v="58"/>
    <n v="290"/>
    <m/>
    <s v="BMZ"/>
    <d v="2019-05-01T00:00:00"/>
    <m/>
    <s v="Yes"/>
    <n v="0"/>
    <n v="0"/>
    <n v="0"/>
    <n v="0"/>
    <m/>
    <m/>
    <n v="0"/>
    <m/>
    <m/>
    <m/>
    <m/>
    <m/>
    <m/>
    <m/>
    <n v="0"/>
    <m/>
    <m/>
    <m/>
    <n v="0"/>
    <x v="1"/>
    <x v="1"/>
    <m/>
    <m/>
    <m/>
    <n v="0"/>
    <m/>
    <n v="0"/>
    <m/>
    <n v="0"/>
    <m/>
    <m/>
    <x v="0"/>
    <m/>
    <m/>
    <m/>
    <m/>
    <s v="no test"/>
    <s v="no test"/>
    <x v="1"/>
    <n v="0"/>
    <n v="0"/>
    <n v="0"/>
    <n v="0"/>
    <n v="0"/>
    <n v="0"/>
    <n v="0"/>
    <n v="0"/>
    <n v="0"/>
    <n v="1"/>
    <n v="290"/>
    <n v="1"/>
    <n v="1"/>
    <n v="0"/>
    <n v="0"/>
    <n v="0"/>
    <n v="0.99310344827586206"/>
    <n v="48"/>
    <n v="48"/>
    <n v="0"/>
    <s v="N/A"/>
    <n v="0"/>
    <n v="0"/>
    <n v="0"/>
    <n v="0"/>
    <n v="0"/>
    <n v="0"/>
    <n v="1"/>
    <n v="0"/>
    <n v="0"/>
    <n v="0"/>
    <n v="0"/>
    <n v="0"/>
    <n v="0"/>
    <n v="0"/>
    <n v="0"/>
    <n v="0"/>
    <x v="2"/>
    <x v="2"/>
    <x v="6"/>
    <x v="3"/>
    <n v="19.484790802001999"/>
    <n v="94.007926940917997"/>
    <s v="199191"/>
    <x v="0"/>
    <m/>
  </r>
  <r>
    <x v="1"/>
    <x v="10"/>
    <x v="1"/>
    <x v="13"/>
    <x v="180"/>
    <n v="194"/>
    <n v="972"/>
    <m/>
    <s v="BMZ"/>
    <d v="2019-05-01T00:00:00"/>
    <m/>
    <s v="Yes"/>
    <n v="0"/>
    <n v="0"/>
    <n v="0"/>
    <n v="0"/>
    <m/>
    <m/>
    <n v="0"/>
    <m/>
    <m/>
    <m/>
    <m/>
    <m/>
    <m/>
    <m/>
    <n v="0"/>
    <m/>
    <m/>
    <m/>
    <n v="0"/>
    <x v="1"/>
    <x v="1"/>
    <m/>
    <m/>
    <m/>
    <n v="0"/>
    <m/>
    <n v="0"/>
    <m/>
    <n v="0"/>
    <m/>
    <m/>
    <x v="0"/>
    <m/>
    <m/>
    <m/>
    <m/>
    <s v="no test"/>
    <s v="no test"/>
    <x v="1"/>
    <n v="0"/>
    <n v="0"/>
    <n v="0"/>
    <n v="0"/>
    <n v="0"/>
    <n v="0"/>
    <n v="0"/>
    <n v="0"/>
    <n v="0"/>
    <n v="1"/>
    <n v="972"/>
    <n v="2"/>
    <n v="2"/>
    <n v="0"/>
    <n v="0"/>
    <n v="0"/>
    <n v="1"/>
    <n v="162"/>
    <n v="162"/>
    <n v="0"/>
    <s v="N/A"/>
    <n v="0"/>
    <n v="0"/>
    <n v="0"/>
    <n v="0"/>
    <n v="0"/>
    <n v="0"/>
    <n v="1"/>
    <n v="0"/>
    <n v="0"/>
    <n v="0"/>
    <n v="0"/>
    <n v="0"/>
    <n v="0"/>
    <n v="0"/>
    <n v="0"/>
    <n v="0"/>
    <x v="2"/>
    <x v="2"/>
    <x v="6"/>
    <x v="4"/>
    <n v="0"/>
    <n v="0"/>
    <n v="0"/>
    <x v="0"/>
    <m/>
  </r>
  <r>
    <x v="1"/>
    <x v="10"/>
    <x v="1"/>
    <x v="13"/>
    <x v="181"/>
    <n v="104"/>
    <n v="521"/>
    <m/>
    <s v="BMZ"/>
    <d v="2019-05-01T00:00:00"/>
    <m/>
    <s v="Yes"/>
    <n v="0"/>
    <n v="0"/>
    <n v="0"/>
    <n v="0"/>
    <m/>
    <m/>
    <n v="0"/>
    <m/>
    <m/>
    <m/>
    <m/>
    <m/>
    <m/>
    <m/>
    <n v="0"/>
    <m/>
    <m/>
    <m/>
    <n v="0"/>
    <x v="1"/>
    <x v="1"/>
    <m/>
    <m/>
    <m/>
    <n v="0"/>
    <m/>
    <n v="0"/>
    <m/>
    <n v="0"/>
    <m/>
    <m/>
    <x v="0"/>
    <m/>
    <m/>
    <m/>
    <m/>
    <s v="no test"/>
    <s v="no test"/>
    <x v="1"/>
    <n v="0"/>
    <n v="0"/>
    <n v="0"/>
    <n v="0"/>
    <n v="0"/>
    <n v="0"/>
    <n v="0"/>
    <n v="0"/>
    <n v="0"/>
    <n v="1"/>
    <n v="521"/>
    <n v="1"/>
    <n v="1"/>
    <n v="0"/>
    <n v="0"/>
    <n v="0"/>
    <n v="1"/>
    <n v="87"/>
    <n v="87"/>
    <n v="0"/>
    <s v="N/A"/>
    <n v="0"/>
    <n v="0"/>
    <n v="0"/>
    <n v="0"/>
    <n v="0"/>
    <n v="0"/>
    <n v="1"/>
    <n v="0"/>
    <n v="0"/>
    <n v="0"/>
    <n v="0"/>
    <n v="0"/>
    <n v="0"/>
    <n v="0"/>
    <n v="0"/>
    <n v="0"/>
    <x v="2"/>
    <x v="2"/>
    <x v="6"/>
    <x v="3"/>
    <n v="19.989589691162099"/>
    <n v="93.823867797851605"/>
    <s v="199250"/>
    <x v="0"/>
    <m/>
  </r>
  <r>
    <x v="1"/>
    <x v="10"/>
    <x v="1"/>
    <x v="13"/>
    <x v="182"/>
    <n v="44"/>
    <n v="221"/>
    <m/>
    <s v="BMZ"/>
    <d v="2019-05-01T00:00:00"/>
    <m/>
    <s v="Yes"/>
    <n v="0"/>
    <n v="0"/>
    <n v="0"/>
    <n v="0"/>
    <m/>
    <m/>
    <n v="0"/>
    <m/>
    <m/>
    <m/>
    <m/>
    <m/>
    <m/>
    <m/>
    <n v="0"/>
    <m/>
    <m/>
    <m/>
    <n v="0"/>
    <x v="1"/>
    <x v="1"/>
    <m/>
    <m/>
    <m/>
    <n v="0"/>
    <m/>
    <n v="0"/>
    <m/>
    <n v="0"/>
    <m/>
    <m/>
    <x v="0"/>
    <m/>
    <m/>
    <m/>
    <m/>
    <s v="no test"/>
    <s v="no test"/>
    <x v="1"/>
    <n v="0"/>
    <n v="0"/>
    <n v="0"/>
    <n v="0"/>
    <n v="0"/>
    <n v="0"/>
    <n v="0"/>
    <n v="0"/>
    <n v="0"/>
    <n v="1"/>
    <n v="221"/>
    <n v="1"/>
    <n v="1"/>
    <n v="0"/>
    <n v="0"/>
    <n v="0"/>
    <n v="1"/>
    <n v="37"/>
    <n v="37"/>
    <n v="0"/>
    <s v="N/A"/>
    <n v="0"/>
    <n v="0"/>
    <n v="0"/>
    <n v="0"/>
    <n v="0"/>
    <n v="0"/>
    <n v="1"/>
    <n v="0"/>
    <n v="0"/>
    <n v="0"/>
    <n v="0"/>
    <n v="0"/>
    <n v="0"/>
    <n v="0"/>
    <n v="0"/>
    <n v="0"/>
    <x v="2"/>
    <x v="2"/>
    <x v="6"/>
    <x v="3"/>
    <n v="19.725629806518601"/>
    <n v="94.031059265136705"/>
    <s v="199158"/>
    <x v="0"/>
    <m/>
  </r>
  <r>
    <x v="1"/>
    <x v="10"/>
    <x v="1"/>
    <x v="13"/>
    <x v="183"/>
    <n v="47"/>
    <n v="237"/>
    <m/>
    <s v="BMZ"/>
    <d v="2019-05-01T00:00:00"/>
    <m/>
    <s v="Yes"/>
    <n v="0"/>
    <n v="0"/>
    <n v="0"/>
    <n v="0"/>
    <m/>
    <m/>
    <n v="0"/>
    <m/>
    <m/>
    <m/>
    <m/>
    <m/>
    <m/>
    <m/>
    <n v="0"/>
    <m/>
    <m/>
    <m/>
    <n v="0"/>
    <x v="1"/>
    <x v="1"/>
    <m/>
    <m/>
    <m/>
    <n v="0"/>
    <m/>
    <n v="0"/>
    <m/>
    <n v="0"/>
    <m/>
    <m/>
    <x v="0"/>
    <m/>
    <m/>
    <m/>
    <m/>
    <s v="no test"/>
    <s v="no test"/>
    <x v="1"/>
    <n v="0"/>
    <n v="0"/>
    <n v="0"/>
    <n v="0"/>
    <n v="0"/>
    <n v="0"/>
    <n v="0"/>
    <n v="0"/>
    <n v="0"/>
    <n v="1"/>
    <n v="237"/>
    <n v="1"/>
    <n v="1"/>
    <n v="0"/>
    <n v="0"/>
    <n v="0"/>
    <n v="1"/>
    <n v="40"/>
    <n v="40"/>
    <n v="0"/>
    <s v="N/A"/>
    <n v="0"/>
    <n v="0"/>
    <n v="0"/>
    <n v="0"/>
    <n v="0"/>
    <n v="0"/>
    <n v="1"/>
    <n v="0"/>
    <n v="0"/>
    <n v="0"/>
    <n v="0"/>
    <n v="0"/>
    <n v="0"/>
    <n v="0"/>
    <n v="0"/>
    <n v="0"/>
    <x v="2"/>
    <x v="2"/>
    <x v="6"/>
    <x v="3"/>
    <n v="19.591590881347699"/>
    <n v="93.808258056640597"/>
    <n v="199195"/>
    <x v="0"/>
    <m/>
  </r>
  <r>
    <x v="1"/>
    <x v="10"/>
    <x v="1"/>
    <x v="13"/>
    <x v="184"/>
    <n v="89"/>
    <n v="443"/>
    <m/>
    <s v="BMZ"/>
    <d v="2019-05-01T00:00:00"/>
    <m/>
    <s v="Yes"/>
    <n v="0"/>
    <n v="0"/>
    <n v="0"/>
    <n v="0"/>
    <m/>
    <m/>
    <n v="0"/>
    <m/>
    <m/>
    <m/>
    <m/>
    <m/>
    <m/>
    <m/>
    <n v="0"/>
    <m/>
    <m/>
    <m/>
    <n v="0"/>
    <x v="1"/>
    <x v="1"/>
    <m/>
    <m/>
    <m/>
    <n v="0"/>
    <m/>
    <n v="0"/>
    <m/>
    <n v="0"/>
    <m/>
    <m/>
    <x v="0"/>
    <m/>
    <m/>
    <m/>
    <m/>
    <s v="no test"/>
    <s v="no test"/>
    <x v="1"/>
    <n v="0"/>
    <n v="0"/>
    <n v="0"/>
    <n v="0"/>
    <n v="0"/>
    <n v="0"/>
    <n v="0"/>
    <n v="0"/>
    <n v="0"/>
    <n v="1"/>
    <n v="443"/>
    <n v="1"/>
    <n v="1"/>
    <n v="0"/>
    <n v="0"/>
    <n v="0"/>
    <n v="1"/>
    <n v="74"/>
    <n v="74"/>
    <n v="0"/>
    <s v="N/A"/>
    <n v="0"/>
    <n v="0"/>
    <n v="0"/>
    <n v="0"/>
    <n v="0"/>
    <n v="0"/>
    <n v="1"/>
    <n v="0"/>
    <n v="0"/>
    <n v="0"/>
    <n v="0"/>
    <n v="0"/>
    <n v="0"/>
    <n v="0"/>
    <n v="0"/>
    <n v="0"/>
    <x v="2"/>
    <x v="2"/>
    <x v="6"/>
    <x v="2"/>
    <n v="19.639009475708001"/>
    <n v="94.036079406738295"/>
    <s v="199223"/>
    <x v="0"/>
    <m/>
  </r>
  <r>
    <x v="1"/>
    <x v="10"/>
    <x v="1"/>
    <x v="13"/>
    <x v="185"/>
    <n v="75"/>
    <n v="375"/>
    <m/>
    <s v="BMZ"/>
    <d v="2019-05-01T00:00:00"/>
    <m/>
    <s v="Yes"/>
    <n v="0"/>
    <n v="0"/>
    <n v="0"/>
    <n v="0"/>
    <m/>
    <m/>
    <n v="0"/>
    <m/>
    <m/>
    <m/>
    <m/>
    <m/>
    <m/>
    <m/>
    <n v="0"/>
    <m/>
    <m/>
    <m/>
    <n v="0"/>
    <x v="1"/>
    <x v="1"/>
    <m/>
    <m/>
    <m/>
    <n v="0"/>
    <m/>
    <n v="0"/>
    <m/>
    <n v="0"/>
    <m/>
    <m/>
    <x v="0"/>
    <m/>
    <m/>
    <m/>
    <m/>
    <s v="no test"/>
    <s v="no test"/>
    <x v="1"/>
    <n v="0"/>
    <n v="0"/>
    <n v="0"/>
    <n v="0"/>
    <n v="0"/>
    <n v="0"/>
    <n v="0"/>
    <n v="0"/>
    <n v="0"/>
    <n v="1"/>
    <n v="375"/>
    <n v="1"/>
    <n v="1"/>
    <n v="0"/>
    <n v="0"/>
    <n v="0"/>
    <n v="1"/>
    <n v="63"/>
    <n v="63"/>
    <n v="0"/>
    <s v="N/A"/>
    <n v="0"/>
    <n v="0"/>
    <n v="0"/>
    <n v="0"/>
    <n v="0"/>
    <n v="0"/>
    <n v="1"/>
    <n v="0"/>
    <n v="0"/>
    <n v="0"/>
    <n v="0"/>
    <n v="0"/>
    <n v="0"/>
    <n v="0"/>
    <n v="0"/>
    <n v="0"/>
    <x v="2"/>
    <x v="2"/>
    <x v="6"/>
    <x v="3"/>
    <n v="19.738719940185501"/>
    <n v="94.035491943359403"/>
    <s v="199160"/>
    <x v="0"/>
    <m/>
  </r>
  <r>
    <x v="1"/>
    <x v="10"/>
    <x v="1"/>
    <x v="13"/>
    <x v="186"/>
    <n v="248"/>
    <n v="1241"/>
    <m/>
    <s v="BMZ"/>
    <d v="2019-05-01T00:00:00"/>
    <m/>
    <s v="Yes"/>
    <n v="0"/>
    <n v="0"/>
    <n v="0"/>
    <n v="0"/>
    <m/>
    <m/>
    <n v="0"/>
    <m/>
    <m/>
    <m/>
    <m/>
    <m/>
    <m/>
    <m/>
    <n v="0"/>
    <m/>
    <m/>
    <m/>
    <n v="0"/>
    <x v="1"/>
    <x v="1"/>
    <m/>
    <m/>
    <m/>
    <n v="0"/>
    <m/>
    <n v="0"/>
    <m/>
    <n v="0"/>
    <m/>
    <m/>
    <x v="0"/>
    <m/>
    <m/>
    <m/>
    <m/>
    <s v="no test"/>
    <s v="no test"/>
    <x v="1"/>
    <n v="0"/>
    <n v="0"/>
    <n v="0"/>
    <n v="0"/>
    <n v="0"/>
    <n v="0"/>
    <n v="0"/>
    <n v="0"/>
    <n v="0"/>
    <n v="1"/>
    <n v="1241"/>
    <n v="2"/>
    <n v="2"/>
    <n v="0"/>
    <n v="0"/>
    <n v="0"/>
    <n v="1"/>
    <n v="207"/>
    <n v="207"/>
    <n v="0"/>
    <s v="N/A"/>
    <n v="0"/>
    <n v="0"/>
    <n v="0"/>
    <n v="0"/>
    <n v="0"/>
    <n v="0"/>
    <n v="1"/>
    <n v="0"/>
    <n v="0"/>
    <n v="0"/>
    <n v="0"/>
    <n v="0"/>
    <n v="0"/>
    <n v="0"/>
    <n v="0"/>
    <n v="0"/>
    <x v="2"/>
    <x v="2"/>
    <x v="6"/>
    <x v="3"/>
    <n v="19.646549224853501"/>
    <n v="94.004188537597699"/>
    <s v="199218"/>
    <x v="0"/>
    <m/>
  </r>
  <r>
    <x v="1"/>
    <x v="10"/>
    <x v="1"/>
    <x v="13"/>
    <x v="187"/>
    <n v="107"/>
    <n v="534"/>
    <m/>
    <s v="BMZ"/>
    <d v="2019-05-01T00:00:00"/>
    <m/>
    <s v="Yes"/>
    <n v="0"/>
    <n v="0"/>
    <n v="0"/>
    <n v="0"/>
    <m/>
    <m/>
    <n v="0"/>
    <m/>
    <m/>
    <m/>
    <m/>
    <m/>
    <m/>
    <m/>
    <n v="0"/>
    <m/>
    <m/>
    <m/>
    <n v="0"/>
    <x v="1"/>
    <x v="1"/>
    <m/>
    <m/>
    <m/>
    <n v="0"/>
    <m/>
    <n v="0"/>
    <m/>
    <n v="0"/>
    <m/>
    <m/>
    <x v="0"/>
    <m/>
    <m/>
    <m/>
    <m/>
    <s v="no test"/>
    <s v="no test"/>
    <x v="1"/>
    <n v="0"/>
    <n v="0"/>
    <n v="0"/>
    <n v="0"/>
    <n v="0"/>
    <n v="0"/>
    <n v="0"/>
    <n v="0"/>
    <n v="0"/>
    <n v="1"/>
    <n v="534"/>
    <n v="1"/>
    <n v="1"/>
    <n v="0"/>
    <n v="0"/>
    <n v="0"/>
    <n v="1"/>
    <n v="89"/>
    <n v="89"/>
    <n v="0"/>
    <s v="N/A"/>
    <n v="0"/>
    <n v="0"/>
    <n v="0"/>
    <n v="0"/>
    <n v="0"/>
    <n v="0"/>
    <n v="1"/>
    <n v="0"/>
    <n v="0"/>
    <n v="0"/>
    <n v="0"/>
    <n v="0"/>
    <n v="0"/>
    <n v="0"/>
    <n v="0"/>
    <n v="0"/>
    <x v="2"/>
    <x v="2"/>
    <x v="6"/>
    <x v="2"/>
    <n v="19.991359710693398"/>
    <n v="93.834663391113295"/>
    <s v="199248"/>
    <x v="0"/>
    <m/>
  </r>
  <r>
    <x v="1"/>
    <x v="10"/>
    <x v="1"/>
    <x v="13"/>
    <x v="188"/>
    <n v="123"/>
    <n v="615"/>
    <m/>
    <s v="BMZ"/>
    <d v="2019-05-01T00:00:00"/>
    <m/>
    <s v="Yes"/>
    <n v="0"/>
    <n v="0"/>
    <n v="0"/>
    <n v="0"/>
    <m/>
    <m/>
    <n v="0"/>
    <m/>
    <m/>
    <m/>
    <m/>
    <m/>
    <m/>
    <m/>
    <n v="0"/>
    <m/>
    <m/>
    <m/>
    <n v="0"/>
    <x v="1"/>
    <x v="1"/>
    <m/>
    <m/>
    <m/>
    <n v="0"/>
    <m/>
    <n v="0"/>
    <m/>
    <n v="0"/>
    <m/>
    <m/>
    <x v="0"/>
    <m/>
    <m/>
    <m/>
    <m/>
    <s v="no test"/>
    <s v="no test"/>
    <x v="1"/>
    <n v="0"/>
    <n v="0"/>
    <n v="0"/>
    <n v="0"/>
    <n v="0"/>
    <n v="0"/>
    <n v="0"/>
    <n v="0"/>
    <n v="0"/>
    <n v="1"/>
    <n v="615"/>
    <n v="1"/>
    <n v="1"/>
    <n v="0"/>
    <n v="0"/>
    <n v="0"/>
    <n v="1"/>
    <n v="103"/>
    <n v="103"/>
    <n v="0"/>
    <s v="N/A"/>
    <n v="0"/>
    <n v="0"/>
    <n v="0"/>
    <n v="0"/>
    <n v="0"/>
    <n v="0"/>
    <n v="1"/>
    <n v="0"/>
    <n v="0"/>
    <n v="0"/>
    <n v="0"/>
    <n v="0"/>
    <n v="0"/>
    <n v="0"/>
    <n v="0"/>
    <n v="0"/>
    <x v="2"/>
    <x v="2"/>
    <x v="6"/>
    <x v="3"/>
    <n v="19.9044303894043"/>
    <n v="93.792778015136705"/>
    <s v="199137"/>
    <x v="0"/>
    <m/>
  </r>
  <r>
    <x v="1"/>
    <x v="10"/>
    <x v="1"/>
    <x v="13"/>
    <x v="189"/>
    <n v="115"/>
    <n v="575"/>
    <m/>
    <s v="BMZ"/>
    <d v="2019-05-01T00:00:00"/>
    <m/>
    <s v="Yes"/>
    <n v="0"/>
    <n v="0"/>
    <n v="0"/>
    <n v="0"/>
    <m/>
    <m/>
    <n v="0"/>
    <m/>
    <m/>
    <m/>
    <m/>
    <m/>
    <m/>
    <m/>
    <n v="0"/>
    <m/>
    <m/>
    <m/>
    <n v="0"/>
    <x v="1"/>
    <x v="1"/>
    <m/>
    <m/>
    <m/>
    <n v="0"/>
    <m/>
    <n v="0"/>
    <m/>
    <n v="0"/>
    <m/>
    <m/>
    <x v="0"/>
    <m/>
    <m/>
    <m/>
    <m/>
    <s v="no test"/>
    <s v="no test"/>
    <x v="1"/>
    <n v="0"/>
    <n v="0"/>
    <n v="0"/>
    <n v="0"/>
    <n v="0"/>
    <n v="0"/>
    <n v="0"/>
    <n v="0"/>
    <n v="0"/>
    <n v="1"/>
    <n v="575"/>
    <n v="1"/>
    <n v="1"/>
    <n v="0"/>
    <n v="0"/>
    <n v="0"/>
    <n v="1"/>
    <n v="96"/>
    <n v="96"/>
    <n v="0"/>
    <s v="N/A"/>
    <n v="0"/>
    <n v="0"/>
    <n v="0"/>
    <n v="0"/>
    <n v="0"/>
    <n v="0"/>
    <n v="1"/>
    <n v="0"/>
    <n v="0"/>
    <n v="0"/>
    <n v="0"/>
    <n v="0"/>
    <n v="0"/>
    <n v="0"/>
    <n v="0"/>
    <n v="0"/>
    <x v="2"/>
    <x v="2"/>
    <x v="6"/>
    <x v="2"/>
    <n v="19.930080413818398"/>
    <n v="93.787002563476605"/>
    <s v="199135"/>
    <x v="0"/>
    <m/>
  </r>
  <r>
    <x v="1"/>
    <x v="10"/>
    <x v="1"/>
    <x v="13"/>
    <x v="190"/>
    <n v="144"/>
    <n v="719"/>
    <m/>
    <s v="BMZ"/>
    <d v="2019-05-01T00:00:00"/>
    <m/>
    <s v="Yes"/>
    <n v="0"/>
    <n v="0"/>
    <n v="0"/>
    <n v="0"/>
    <m/>
    <m/>
    <n v="0"/>
    <m/>
    <m/>
    <m/>
    <m/>
    <m/>
    <m/>
    <m/>
    <n v="0"/>
    <m/>
    <m/>
    <m/>
    <n v="0"/>
    <x v="1"/>
    <x v="1"/>
    <m/>
    <m/>
    <m/>
    <n v="0"/>
    <m/>
    <n v="0"/>
    <m/>
    <n v="0"/>
    <m/>
    <m/>
    <x v="0"/>
    <m/>
    <m/>
    <m/>
    <m/>
    <s v="no test"/>
    <s v="no test"/>
    <x v="1"/>
    <n v="0"/>
    <n v="0"/>
    <n v="0"/>
    <n v="0"/>
    <n v="0"/>
    <n v="0"/>
    <n v="0"/>
    <n v="0"/>
    <n v="0"/>
    <n v="1"/>
    <n v="719"/>
    <n v="1"/>
    <n v="1"/>
    <n v="0"/>
    <n v="0"/>
    <n v="0"/>
    <n v="1"/>
    <n v="120"/>
    <n v="120"/>
    <n v="0"/>
    <s v="N/A"/>
    <n v="0"/>
    <n v="0"/>
    <n v="0"/>
    <n v="0"/>
    <n v="0"/>
    <n v="0"/>
    <n v="1"/>
    <n v="0"/>
    <n v="0"/>
    <n v="0"/>
    <n v="0"/>
    <n v="0"/>
    <n v="0"/>
    <n v="0"/>
    <n v="0"/>
    <n v="0"/>
    <x v="2"/>
    <x v="2"/>
    <x v="6"/>
    <x v="3"/>
    <n v="19.611209869384801"/>
    <n v="93.995933532714801"/>
    <s v="199261"/>
    <x v="0"/>
    <m/>
  </r>
  <r>
    <x v="1"/>
    <x v="10"/>
    <x v="1"/>
    <x v="13"/>
    <x v="191"/>
    <n v="110"/>
    <n v="549"/>
    <m/>
    <s v="BMZ"/>
    <d v="2019-05-01T00:00:00"/>
    <m/>
    <s v="Yes"/>
    <n v="0"/>
    <n v="0"/>
    <n v="0"/>
    <n v="0"/>
    <m/>
    <m/>
    <n v="0"/>
    <m/>
    <m/>
    <m/>
    <m/>
    <m/>
    <m/>
    <m/>
    <n v="0"/>
    <m/>
    <m/>
    <m/>
    <n v="0"/>
    <x v="1"/>
    <x v="1"/>
    <m/>
    <m/>
    <m/>
    <n v="0"/>
    <m/>
    <n v="0"/>
    <m/>
    <n v="0"/>
    <m/>
    <m/>
    <x v="0"/>
    <m/>
    <m/>
    <m/>
    <m/>
    <s v="no test"/>
    <s v="no test"/>
    <x v="1"/>
    <n v="0"/>
    <n v="0"/>
    <n v="0"/>
    <n v="0"/>
    <n v="0"/>
    <n v="0"/>
    <n v="0"/>
    <n v="0"/>
    <n v="0"/>
    <n v="1"/>
    <n v="549"/>
    <n v="1"/>
    <n v="1"/>
    <n v="0"/>
    <n v="0"/>
    <n v="0"/>
    <n v="1"/>
    <n v="92"/>
    <n v="92"/>
    <n v="0"/>
    <s v="N/A"/>
    <n v="0"/>
    <n v="0"/>
    <n v="0"/>
    <n v="0"/>
    <n v="0"/>
    <n v="0"/>
    <n v="1"/>
    <n v="0"/>
    <n v="0"/>
    <n v="0"/>
    <n v="0"/>
    <n v="0"/>
    <n v="0"/>
    <n v="0"/>
    <n v="0"/>
    <n v="0"/>
    <x v="2"/>
    <x v="2"/>
    <x v="6"/>
    <x v="2"/>
    <n v="19.686580657958999"/>
    <n v="94.048843383789105"/>
    <s v="199156"/>
    <x v="0"/>
    <m/>
  </r>
  <r>
    <x v="1"/>
    <x v="10"/>
    <x v="1"/>
    <x v="13"/>
    <x v="192"/>
    <n v="72"/>
    <n v="360"/>
    <m/>
    <s v="BMZ"/>
    <d v="2019-05-01T00:00:00"/>
    <m/>
    <s v="Yes"/>
    <n v="0"/>
    <n v="0"/>
    <n v="0"/>
    <n v="0"/>
    <m/>
    <m/>
    <n v="0"/>
    <m/>
    <m/>
    <m/>
    <m/>
    <m/>
    <m/>
    <m/>
    <n v="0"/>
    <m/>
    <m/>
    <m/>
    <n v="0"/>
    <x v="1"/>
    <x v="1"/>
    <m/>
    <m/>
    <m/>
    <n v="0"/>
    <m/>
    <n v="0"/>
    <m/>
    <n v="0"/>
    <m/>
    <m/>
    <x v="0"/>
    <m/>
    <m/>
    <m/>
    <m/>
    <s v="no test"/>
    <s v="no test"/>
    <x v="1"/>
    <n v="0"/>
    <n v="0"/>
    <n v="0"/>
    <n v="0"/>
    <n v="0"/>
    <n v="0"/>
    <n v="0"/>
    <n v="0"/>
    <n v="0"/>
    <n v="1"/>
    <n v="360"/>
    <n v="1"/>
    <n v="1"/>
    <n v="0"/>
    <n v="0"/>
    <n v="0"/>
    <n v="1"/>
    <n v="60"/>
    <n v="60"/>
    <n v="0"/>
    <s v="N/A"/>
    <n v="0"/>
    <n v="0"/>
    <n v="0"/>
    <n v="0"/>
    <n v="0"/>
    <n v="0"/>
    <n v="1"/>
    <n v="0"/>
    <n v="0"/>
    <n v="0"/>
    <n v="0"/>
    <n v="0"/>
    <n v="0"/>
    <n v="0"/>
    <n v="0"/>
    <n v="0"/>
    <x v="2"/>
    <x v="2"/>
    <x v="6"/>
    <x v="3"/>
    <n v="19.627199172973601"/>
    <n v="93.962989807128906"/>
    <s v="199265"/>
    <x v="0"/>
    <m/>
  </r>
  <r>
    <x v="1"/>
    <x v="10"/>
    <x v="1"/>
    <x v="13"/>
    <x v="193"/>
    <n v="84"/>
    <n v="419"/>
    <m/>
    <s v="BMZ"/>
    <d v="2019-05-01T00:00:00"/>
    <m/>
    <s v="Yes"/>
    <n v="0"/>
    <n v="0"/>
    <n v="0"/>
    <n v="0"/>
    <m/>
    <m/>
    <n v="0"/>
    <m/>
    <m/>
    <m/>
    <m/>
    <m/>
    <m/>
    <m/>
    <n v="0"/>
    <m/>
    <m/>
    <m/>
    <n v="0"/>
    <x v="1"/>
    <x v="1"/>
    <m/>
    <m/>
    <m/>
    <n v="0"/>
    <m/>
    <n v="0"/>
    <m/>
    <n v="0"/>
    <m/>
    <m/>
    <x v="0"/>
    <m/>
    <m/>
    <m/>
    <m/>
    <s v="no test"/>
    <s v="no test"/>
    <x v="1"/>
    <n v="0"/>
    <n v="0"/>
    <n v="0"/>
    <n v="0"/>
    <n v="0"/>
    <n v="0"/>
    <n v="0"/>
    <n v="0"/>
    <n v="0"/>
    <n v="1"/>
    <n v="419"/>
    <n v="1"/>
    <n v="1"/>
    <n v="0"/>
    <n v="0"/>
    <n v="0"/>
    <n v="1"/>
    <n v="70"/>
    <n v="70"/>
    <n v="0"/>
    <s v="N/A"/>
    <n v="0"/>
    <n v="0"/>
    <n v="0"/>
    <n v="0"/>
    <n v="0"/>
    <n v="0"/>
    <n v="1"/>
    <n v="0"/>
    <n v="0"/>
    <n v="0"/>
    <n v="0"/>
    <n v="0"/>
    <n v="0"/>
    <n v="0"/>
    <n v="0"/>
    <n v="0"/>
    <x v="2"/>
    <x v="2"/>
    <x v="6"/>
    <x v="3"/>
    <n v="19.615800857543899"/>
    <n v="94.000473022460895"/>
    <s v="199262"/>
    <x v="0"/>
    <m/>
  </r>
  <r>
    <x v="1"/>
    <x v="10"/>
    <x v="1"/>
    <x v="13"/>
    <x v="194"/>
    <n v="235"/>
    <n v="1176"/>
    <m/>
    <s v="BMZ"/>
    <d v="2019-05-01T00:00:00"/>
    <m/>
    <s v="Yes"/>
    <n v="0"/>
    <n v="0"/>
    <n v="0"/>
    <n v="0"/>
    <m/>
    <m/>
    <n v="0"/>
    <m/>
    <m/>
    <m/>
    <m/>
    <m/>
    <m/>
    <m/>
    <n v="0"/>
    <m/>
    <m/>
    <m/>
    <n v="0"/>
    <x v="1"/>
    <x v="1"/>
    <m/>
    <m/>
    <m/>
    <n v="0"/>
    <m/>
    <n v="0"/>
    <m/>
    <n v="0"/>
    <m/>
    <m/>
    <x v="0"/>
    <m/>
    <m/>
    <m/>
    <m/>
    <s v="no test"/>
    <s v="no test"/>
    <x v="1"/>
    <n v="0"/>
    <n v="0"/>
    <n v="0"/>
    <n v="0"/>
    <n v="0"/>
    <n v="0"/>
    <n v="0"/>
    <n v="0"/>
    <n v="0"/>
    <n v="1"/>
    <n v="1176"/>
    <n v="2"/>
    <n v="2"/>
    <n v="0"/>
    <n v="0"/>
    <n v="0"/>
    <n v="1"/>
    <n v="196"/>
    <n v="196"/>
    <n v="0"/>
    <s v="N/A"/>
    <n v="0"/>
    <n v="0"/>
    <n v="0"/>
    <n v="0"/>
    <n v="0"/>
    <n v="0"/>
    <n v="1"/>
    <n v="0"/>
    <n v="0"/>
    <n v="0"/>
    <n v="0"/>
    <n v="0"/>
    <n v="0"/>
    <n v="0"/>
    <n v="0"/>
    <n v="0"/>
    <x v="2"/>
    <x v="2"/>
    <x v="6"/>
    <x v="2"/>
    <n v="19.988599777221701"/>
    <n v="93.803939819335895"/>
    <s v="199241"/>
    <x v="0"/>
    <m/>
  </r>
  <r>
    <x v="1"/>
    <x v="10"/>
    <x v="1"/>
    <x v="13"/>
    <x v="195"/>
    <n v="82"/>
    <n v="412"/>
    <m/>
    <s v="BMZ"/>
    <d v="2019-05-01T00:00:00"/>
    <m/>
    <s v="Yes"/>
    <n v="0"/>
    <n v="0"/>
    <n v="0"/>
    <n v="0"/>
    <m/>
    <m/>
    <n v="0"/>
    <m/>
    <m/>
    <m/>
    <m/>
    <m/>
    <m/>
    <m/>
    <n v="0"/>
    <m/>
    <m/>
    <m/>
    <n v="0"/>
    <x v="1"/>
    <x v="1"/>
    <m/>
    <m/>
    <m/>
    <n v="0"/>
    <m/>
    <n v="0"/>
    <m/>
    <n v="0"/>
    <m/>
    <m/>
    <x v="0"/>
    <m/>
    <m/>
    <m/>
    <m/>
    <s v="no test"/>
    <s v="no test"/>
    <x v="1"/>
    <n v="0"/>
    <n v="0"/>
    <n v="0"/>
    <n v="0"/>
    <n v="0"/>
    <n v="0"/>
    <n v="0"/>
    <n v="0"/>
    <n v="0"/>
    <n v="1"/>
    <n v="412"/>
    <n v="1"/>
    <n v="1"/>
    <n v="0"/>
    <n v="0"/>
    <n v="0"/>
    <n v="1"/>
    <n v="69"/>
    <n v="69"/>
    <n v="0"/>
    <s v="N/A"/>
    <n v="0"/>
    <n v="0"/>
    <n v="0"/>
    <n v="0"/>
    <n v="0"/>
    <n v="0"/>
    <n v="1"/>
    <n v="0"/>
    <n v="0"/>
    <n v="0"/>
    <n v="0"/>
    <n v="0"/>
    <n v="0"/>
    <n v="0"/>
    <n v="0"/>
    <n v="0"/>
    <x v="2"/>
    <x v="2"/>
    <x v="6"/>
    <x v="2"/>
    <n v="19.962713241577099"/>
    <n v="93.885574340820298"/>
    <s v="220838"/>
    <x v="0"/>
    <m/>
  </r>
  <r>
    <x v="1"/>
    <x v="10"/>
    <x v="1"/>
    <x v="13"/>
    <x v="196"/>
    <n v="229"/>
    <n v="1147"/>
    <m/>
    <s v="BMZ"/>
    <d v="2019-05-01T00:00:00"/>
    <m/>
    <s v="Yes"/>
    <n v="0"/>
    <n v="0"/>
    <n v="0"/>
    <n v="0"/>
    <m/>
    <m/>
    <n v="0"/>
    <m/>
    <m/>
    <m/>
    <m/>
    <m/>
    <m/>
    <m/>
    <n v="0"/>
    <m/>
    <m/>
    <m/>
    <n v="0"/>
    <x v="1"/>
    <x v="1"/>
    <m/>
    <m/>
    <m/>
    <n v="0"/>
    <m/>
    <n v="0"/>
    <m/>
    <n v="0"/>
    <m/>
    <m/>
    <x v="0"/>
    <m/>
    <m/>
    <m/>
    <m/>
    <s v="no test"/>
    <s v="no test"/>
    <x v="1"/>
    <n v="0"/>
    <n v="0"/>
    <n v="0"/>
    <n v="0"/>
    <n v="0"/>
    <n v="0"/>
    <n v="0"/>
    <n v="0"/>
    <n v="0"/>
    <n v="1"/>
    <n v="1147"/>
    <n v="2"/>
    <n v="2"/>
    <n v="0"/>
    <n v="0"/>
    <n v="0"/>
    <n v="0.99912816041848307"/>
    <n v="191"/>
    <n v="191"/>
    <n v="0"/>
    <s v="N/A"/>
    <n v="0"/>
    <n v="0"/>
    <n v="0"/>
    <n v="0"/>
    <n v="0"/>
    <n v="0"/>
    <n v="1"/>
    <n v="0"/>
    <n v="0"/>
    <n v="0"/>
    <n v="0"/>
    <n v="0"/>
    <n v="0"/>
    <n v="0"/>
    <n v="0"/>
    <n v="0"/>
    <x v="2"/>
    <x v="2"/>
    <x v="6"/>
    <x v="3"/>
    <n v="19.925739288330099"/>
    <n v="93.792991638183594"/>
    <s v="199133"/>
    <x v="0"/>
    <m/>
  </r>
  <r>
    <x v="1"/>
    <x v="11"/>
    <x v="1"/>
    <x v="14"/>
    <x v="197"/>
    <n v="24"/>
    <n v="91"/>
    <m/>
    <s v="UNICEF"/>
    <d v="2018-08-31T00:00:00"/>
    <n v="0"/>
    <m/>
    <m/>
    <m/>
    <n v="0"/>
    <n v="0"/>
    <n v="0"/>
    <n v="0"/>
    <n v="0"/>
    <m/>
    <m/>
    <m/>
    <m/>
    <m/>
    <m/>
    <m/>
    <m/>
    <m/>
    <m/>
    <m/>
    <n v="10"/>
    <x v="4"/>
    <x v="4"/>
    <m/>
    <m/>
    <s v="HH latrines in village"/>
    <n v="0"/>
    <s v="Household"/>
    <n v="0"/>
    <n v="0"/>
    <n v="7"/>
    <n v="24"/>
    <n v="24"/>
    <x v="0"/>
    <m/>
    <m/>
    <m/>
    <m/>
    <s v="no test"/>
    <s v="no test"/>
    <x v="1"/>
    <n v="0"/>
    <n v="0"/>
    <n v="0"/>
    <n v="0"/>
    <n v="0"/>
    <n v="0"/>
    <n v="0"/>
    <n v="0"/>
    <n v="0"/>
    <n v="1"/>
    <n v="91"/>
    <n v="1"/>
    <n v="1"/>
    <n v="0"/>
    <n v="0"/>
    <n v="0"/>
    <n v="0.98901098901098905"/>
    <n v="15"/>
    <n v="15"/>
    <n v="0"/>
    <s v="N/A"/>
    <n v="91"/>
    <n v="1"/>
    <n v="1"/>
    <n v="1"/>
    <n v="91"/>
    <n v="1"/>
    <n v="0"/>
    <n v="1"/>
    <n v="1"/>
    <n v="1"/>
    <n v="120"/>
    <n v="120"/>
    <n v="120"/>
    <n v="0"/>
    <n v="0"/>
    <n v="0"/>
    <x v="3"/>
    <x v="2"/>
    <x v="7"/>
    <x v="3"/>
    <n v="20.8490600585938"/>
    <n v="92.497413635253906"/>
    <n v="198313"/>
    <x v="0"/>
    <m/>
  </r>
  <r>
    <x v="1"/>
    <x v="11"/>
    <x v="1"/>
    <x v="14"/>
    <x v="198"/>
    <n v="22"/>
    <n v="90"/>
    <m/>
    <s v="UNICEF"/>
    <d v="2018-02-14T00:00:00"/>
    <n v="0"/>
    <m/>
    <m/>
    <m/>
    <n v="0"/>
    <n v="0"/>
    <n v="0"/>
    <n v="3"/>
    <n v="0"/>
    <m/>
    <m/>
    <m/>
    <m/>
    <m/>
    <m/>
    <m/>
    <n v="1"/>
    <n v="0"/>
    <m/>
    <m/>
    <n v="1"/>
    <x v="4"/>
    <x v="4"/>
    <m/>
    <m/>
    <s v="HH latrines in village"/>
    <n v="0"/>
    <s v="Household"/>
    <n v="0"/>
    <n v="0"/>
    <n v="9"/>
    <n v="22"/>
    <n v="22"/>
    <x v="0"/>
    <m/>
    <m/>
    <m/>
    <m/>
    <s v="no test"/>
    <s v="no test"/>
    <x v="1"/>
    <n v="0"/>
    <n v="0"/>
    <n v="0"/>
    <n v="0"/>
    <n v="1"/>
    <n v="90"/>
    <n v="1"/>
    <n v="90"/>
    <n v="0"/>
    <n v="0"/>
    <n v="0"/>
    <n v="1"/>
    <n v="1"/>
    <n v="1"/>
    <n v="6.6666666666666666E-2"/>
    <n v="6"/>
    <n v="0.93333333333333335"/>
    <n v="14"/>
    <n v="15"/>
    <n v="0"/>
    <s v="N/A"/>
    <n v="90"/>
    <n v="1"/>
    <n v="1"/>
    <n v="1"/>
    <n v="90"/>
    <n v="1"/>
    <n v="0"/>
    <n v="1"/>
    <n v="1"/>
    <n v="1"/>
    <n v="110"/>
    <n v="110"/>
    <n v="110"/>
    <n v="0"/>
    <n v="0"/>
    <n v="0"/>
    <x v="3"/>
    <x v="2"/>
    <x v="7"/>
    <x v="3"/>
    <n v="20.805580139160199"/>
    <n v="92.549842834472699"/>
    <n v="198336"/>
    <x v="0"/>
    <m/>
  </r>
  <r>
    <x v="1"/>
    <x v="11"/>
    <x v="1"/>
    <x v="14"/>
    <x v="199"/>
    <n v="851"/>
    <n v="4820"/>
    <m/>
    <s v="UNICEF"/>
    <d v="2018-08-31T00:00:00"/>
    <n v="0"/>
    <m/>
    <m/>
    <m/>
    <n v="0"/>
    <n v="0"/>
    <n v="0"/>
    <n v="0"/>
    <n v="1"/>
    <m/>
    <m/>
    <m/>
    <m/>
    <m/>
    <m/>
    <m/>
    <n v="1"/>
    <n v="0"/>
    <m/>
    <m/>
    <n v="10"/>
    <x v="4"/>
    <x v="4"/>
    <m/>
    <m/>
    <s v="HH latrines in village"/>
    <n v="0"/>
    <s v="Household"/>
    <n v="0"/>
    <n v="0"/>
    <n v="7"/>
    <n v="851"/>
    <n v="851"/>
    <x v="0"/>
    <m/>
    <m/>
    <m/>
    <m/>
    <s v="no test"/>
    <s v="no test"/>
    <x v="1"/>
    <n v="0"/>
    <n v="0"/>
    <n v="0"/>
    <n v="0"/>
    <n v="0"/>
    <n v="0"/>
    <n v="0"/>
    <n v="0"/>
    <n v="0"/>
    <n v="1"/>
    <n v="4820"/>
    <n v="10"/>
    <n v="10"/>
    <n v="1"/>
    <n v="1.2448132780082987E-3"/>
    <n v="6"/>
    <n v="0.99834024896265561"/>
    <n v="802"/>
    <n v="803"/>
    <n v="0"/>
    <s v="N/A"/>
    <n v="3500"/>
    <n v="1"/>
    <n v="1"/>
    <n v="1"/>
    <n v="4820"/>
    <n v="1"/>
    <n v="0"/>
    <n v="0.72614107883817425"/>
    <n v="1"/>
    <n v="1"/>
    <n v="4255"/>
    <n v="4255"/>
    <n v="4255"/>
    <n v="0"/>
    <n v="0"/>
    <n v="0"/>
    <x v="3"/>
    <x v="2"/>
    <x v="7"/>
    <x v="5"/>
    <n v="20.821479797363299"/>
    <n v="92.603950500488295"/>
    <s v="198356"/>
    <x v="0"/>
    <m/>
  </r>
  <r>
    <x v="1"/>
    <x v="11"/>
    <x v="1"/>
    <x v="14"/>
    <x v="200"/>
    <n v="22"/>
    <n v="88"/>
    <m/>
    <s v="UNICEF"/>
    <d v="2018-02-14T00:00:00"/>
    <n v="0"/>
    <m/>
    <m/>
    <m/>
    <n v="0"/>
    <n v="0"/>
    <n v="0"/>
    <n v="1"/>
    <n v="0"/>
    <m/>
    <m/>
    <m/>
    <m/>
    <m/>
    <m/>
    <m/>
    <n v="1"/>
    <n v="0"/>
    <m/>
    <m/>
    <n v="1"/>
    <x v="4"/>
    <x v="4"/>
    <m/>
    <m/>
    <s v="HH latrines in village"/>
    <n v="0"/>
    <s v="Household"/>
    <n v="0"/>
    <n v="0"/>
    <n v="7"/>
    <m/>
    <m/>
    <x v="0"/>
    <m/>
    <m/>
    <m/>
    <m/>
    <s v="no test"/>
    <s v="no test"/>
    <x v="1"/>
    <n v="0"/>
    <n v="0"/>
    <n v="0"/>
    <n v="0"/>
    <n v="1"/>
    <n v="88"/>
    <n v="1"/>
    <n v="88"/>
    <n v="0"/>
    <n v="0"/>
    <n v="0"/>
    <n v="1"/>
    <n v="1"/>
    <n v="1"/>
    <n v="6.8181818181818177E-2"/>
    <n v="6"/>
    <n v="0.95454545454545459"/>
    <n v="14"/>
    <n v="15"/>
    <n v="0"/>
    <s v="N/A"/>
    <n v="88"/>
    <n v="0"/>
    <n v="1"/>
    <n v="0"/>
    <n v="0"/>
    <n v="0"/>
    <n v="1"/>
    <n v="1"/>
    <n v="0"/>
    <n v="0"/>
    <n v="0"/>
    <n v="0"/>
    <n v="0"/>
    <n v="0"/>
    <n v="0"/>
    <n v="0"/>
    <x v="3"/>
    <x v="2"/>
    <x v="7"/>
    <x v="3"/>
    <n v="21.025630950927699"/>
    <n v="92.524818420410199"/>
    <n v="198196"/>
    <x v="0"/>
    <m/>
  </r>
  <r>
    <x v="1"/>
    <x v="11"/>
    <x v="1"/>
    <x v="14"/>
    <x v="201"/>
    <n v="95"/>
    <n v="370"/>
    <m/>
    <s v="UNICEF"/>
    <d v="2018-08-31T00:00:00"/>
    <n v="0"/>
    <m/>
    <m/>
    <m/>
    <n v="0"/>
    <n v="0"/>
    <n v="0"/>
    <n v="0"/>
    <n v="1"/>
    <m/>
    <m/>
    <m/>
    <m/>
    <m/>
    <m/>
    <m/>
    <m/>
    <m/>
    <m/>
    <m/>
    <n v="3"/>
    <x v="4"/>
    <x v="4"/>
    <m/>
    <m/>
    <s v="HH latrines in village"/>
    <n v="0"/>
    <s v="Household"/>
    <n v="0"/>
    <n v="0"/>
    <n v="7"/>
    <n v="95"/>
    <n v="95"/>
    <x v="0"/>
    <m/>
    <m/>
    <m/>
    <m/>
    <s v="no test"/>
    <s v="no test"/>
    <x v="1"/>
    <n v="0"/>
    <n v="0"/>
    <n v="0"/>
    <n v="0"/>
    <n v="0"/>
    <n v="0"/>
    <n v="0"/>
    <n v="0"/>
    <n v="0"/>
    <n v="1"/>
    <n v="370"/>
    <n v="1"/>
    <n v="1"/>
    <n v="0"/>
    <n v="0"/>
    <n v="0"/>
    <n v="1"/>
    <n v="62"/>
    <n v="62"/>
    <n v="0"/>
    <s v="N/A"/>
    <n v="370"/>
    <n v="1"/>
    <n v="1"/>
    <n v="1"/>
    <n v="370"/>
    <n v="1"/>
    <n v="0"/>
    <n v="1"/>
    <n v="1"/>
    <n v="1"/>
    <n v="475"/>
    <n v="475"/>
    <n v="475"/>
    <n v="0"/>
    <n v="0"/>
    <n v="0"/>
    <x v="3"/>
    <x v="2"/>
    <x v="7"/>
    <x v="6"/>
    <n v="20.936040878295898"/>
    <n v="92.475830078125"/>
    <n v="198177"/>
    <x v="0"/>
    <m/>
  </r>
  <r>
    <x v="1"/>
    <x v="2"/>
    <x v="1"/>
    <x v="14"/>
    <x v="202"/>
    <n v="360"/>
    <n v="1544"/>
    <m/>
    <m/>
    <m/>
    <n v="0"/>
    <m/>
    <m/>
    <m/>
    <n v="0"/>
    <n v="3"/>
    <n v="0"/>
    <n v="2"/>
    <n v="0"/>
    <m/>
    <m/>
    <m/>
    <m/>
    <m/>
    <m/>
    <m/>
    <n v="0"/>
    <n v="0"/>
    <m/>
    <m/>
    <n v="0"/>
    <x v="4"/>
    <x v="4"/>
    <m/>
    <m/>
    <s v="HH latrines in village"/>
    <n v="0"/>
    <s v="Household"/>
    <n v="0"/>
    <n v="0"/>
    <n v="7"/>
    <m/>
    <m/>
    <x v="0"/>
    <m/>
    <m/>
    <m/>
    <m/>
    <s v="no test"/>
    <s v="no test"/>
    <x v="1"/>
    <n v="1"/>
    <n v="0.48575129533678757"/>
    <n v="0.48575129533678757"/>
    <n v="750"/>
    <n v="0.32383419689119169"/>
    <n v="500"/>
    <n v="0.80958549222797926"/>
    <n v="1250"/>
    <n v="3"/>
    <n v="0.19041450777202074"/>
    <n v="294"/>
    <n v="0"/>
    <n v="3"/>
    <n v="0"/>
    <n v="0"/>
    <n v="0"/>
    <n v="0.99870466321243534"/>
    <n v="257"/>
    <n v="257"/>
    <n v="0"/>
    <s v="N/A"/>
    <n v="1544"/>
    <n v="0"/>
    <n v="1"/>
    <n v="0"/>
    <n v="0"/>
    <n v="0"/>
    <n v="1"/>
    <n v="1"/>
    <n v="0"/>
    <n v="0"/>
    <n v="0"/>
    <n v="0"/>
    <n v="0"/>
    <n v="0"/>
    <n v="0"/>
    <n v="0"/>
    <x v="3"/>
    <x v="2"/>
    <x v="7"/>
    <x v="3"/>
    <n v="20.926780700683601"/>
    <n v="92.5399169921875"/>
    <n v="198234"/>
    <x v="1"/>
    <s v="old MHDO village"/>
  </r>
  <r>
    <x v="1"/>
    <x v="11"/>
    <x v="1"/>
    <x v="14"/>
    <x v="203"/>
    <n v="217"/>
    <n v="1556"/>
    <m/>
    <s v="UNICEF"/>
    <d v="2018-02-14T00:00:00"/>
    <n v="0"/>
    <m/>
    <m/>
    <m/>
    <n v="0"/>
    <n v="0"/>
    <n v="0"/>
    <n v="3"/>
    <n v="0"/>
    <m/>
    <m/>
    <m/>
    <m/>
    <m/>
    <m/>
    <m/>
    <n v="15"/>
    <n v="0"/>
    <m/>
    <m/>
    <n v="15"/>
    <x v="4"/>
    <x v="4"/>
    <m/>
    <m/>
    <s v="HH latrines in village"/>
    <n v="0"/>
    <s v="Household"/>
    <n v="0"/>
    <n v="0"/>
    <n v="7"/>
    <n v="217"/>
    <n v="217"/>
    <x v="0"/>
    <m/>
    <m/>
    <m/>
    <m/>
    <s v="no test"/>
    <s v="no test"/>
    <x v="1"/>
    <n v="0"/>
    <n v="0"/>
    <n v="0"/>
    <n v="0"/>
    <n v="0.4820051413881748"/>
    <n v="750"/>
    <n v="0.4820051413881748"/>
    <n v="750"/>
    <n v="2"/>
    <n v="0.51799485861182526"/>
    <n v="806.00000000000011"/>
    <n v="1"/>
    <n v="3"/>
    <n v="15"/>
    <n v="5.7840616966580979E-2"/>
    <n v="90"/>
    <n v="0.94087403598971731"/>
    <n v="244"/>
    <n v="259"/>
    <n v="0"/>
    <s v="N/A"/>
    <n v="1556"/>
    <n v="1"/>
    <n v="1"/>
    <n v="1"/>
    <n v="1556"/>
    <n v="1"/>
    <n v="0"/>
    <n v="1"/>
    <n v="1"/>
    <n v="1"/>
    <n v="1085"/>
    <n v="1085"/>
    <n v="1085"/>
    <n v="0"/>
    <n v="0"/>
    <n v="0"/>
    <x v="3"/>
    <x v="2"/>
    <x v="7"/>
    <x v="3"/>
    <n v="20.782770156860401"/>
    <n v="92.551826477050795"/>
    <n v="198388"/>
    <x v="0"/>
    <m/>
  </r>
  <r>
    <x v="1"/>
    <x v="2"/>
    <x v="1"/>
    <x v="15"/>
    <x v="204"/>
    <n v="65"/>
    <n v="211"/>
    <m/>
    <m/>
    <m/>
    <n v="31"/>
    <s v="Yes"/>
    <n v="0.6"/>
    <n v="0"/>
    <n v="0"/>
    <n v="0"/>
    <n v="15066"/>
    <n v="0"/>
    <n v="0"/>
    <m/>
    <m/>
    <m/>
    <m/>
    <m/>
    <m/>
    <m/>
    <n v="65"/>
    <n v="65"/>
    <m/>
    <m/>
    <n v="65"/>
    <x v="3"/>
    <x v="0"/>
    <m/>
    <m/>
    <s v="still need to improve through hygiene awareness session"/>
    <n v="1"/>
    <s v="Household"/>
    <n v="0"/>
    <n v="0"/>
    <n v="1"/>
    <m/>
    <m/>
    <x v="0"/>
    <m/>
    <m/>
    <m/>
    <s v="not provided by Oxfam"/>
    <s v="no test"/>
    <s v="no test"/>
    <x v="1"/>
    <n v="1"/>
    <n v="1"/>
    <n v="1"/>
    <n v="211"/>
    <n v="0"/>
    <n v="0"/>
    <n v="1"/>
    <n v="211"/>
    <n v="0"/>
    <n v="0"/>
    <n v="0"/>
    <n v="1"/>
    <n v="1"/>
    <n v="130"/>
    <n v="1"/>
    <n v="211"/>
    <n v="0"/>
    <n v="0"/>
    <n v="35"/>
    <n v="0.5"/>
    <s v="N/A"/>
    <n v="211"/>
    <n v="0"/>
    <n v="1"/>
    <n v="0"/>
    <n v="0"/>
    <n v="0"/>
    <n v="1"/>
    <n v="1"/>
    <n v="0"/>
    <n v="0"/>
    <n v="0"/>
    <n v="0"/>
    <n v="0"/>
    <n v="65"/>
    <s v="Yes"/>
    <n v="0"/>
    <x v="3"/>
    <x v="2"/>
    <x v="8"/>
    <x v="3"/>
    <n v="19.421102000000001"/>
    <n v="93.552452000000002"/>
    <s v="MMR012CMP036"/>
    <x v="1"/>
    <m/>
  </r>
  <r>
    <x v="1"/>
    <x v="17"/>
    <x v="1"/>
    <x v="15"/>
    <x v="334"/>
    <n v="366"/>
    <n v="977"/>
    <s v="NA"/>
    <s v="UNICEF"/>
    <d v="2018-06-30T00:00:00"/>
    <m/>
    <s v="No"/>
    <m/>
    <m/>
    <n v="4"/>
    <n v="2"/>
    <n v="0"/>
    <n v="0"/>
    <m/>
    <m/>
    <m/>
    <m/>
    <m/>
    <m/>
    <n v="17"/>
    <s v="for this quarter"/>
    <n v="90"/>
    <n v="10"/>
    <m/>
    <m/>
    <m/>
    <x v="0"/>
    <x v="2"/>
    <m/>
    <m/>
    <m/>
    <n v="1"/>
    <s v="Communal"/>
    <n v="252"/>
    <n v="2"/>
    <n v="28"/>
    <m/>
    <m/>
    <x v="0"/>
    <m/>
    <m/>
    <m/>
    <m/>
    <s v="no test"/>
    <s v="no test"/>
    <x v="1"/>
    <n v="1"/>
    <n v="1"/>
    <n v="1"/>
    <n v="977"/>
    <n v="0"/>
    <n v="0"/>
    <n v="1"/>
    <n v="977"/>
    <n v="1.954"/>
    <n v="0"/>
    <n v="0"/>
    <n v="4.6000000000000041E-2"/>
    <n v="2"/>
    <n v="100"/>
    <n v="1"/>
    <n v="977"/>
    <n v="0"/>
    <n v="0"/>
    <n v="49"/>
    <n v="0.1"/>
    <n v="0"/>
    <n v="977"/>
    <n v="0"/>
    <n v="1"/>
    <n v="0"/>
    <n v="0"/>
    <n v="0"/>
    <n v="1"/>
    <n v="1"/>
    <n v="0"/>
    <n v="0"/>
    <n v="0"/>
    <n v="0"/>
    <n v="0"/>
    <n v="366"/>
    <s v="Yes"/>
    <n v="0"/>
    <x v="1"/>
    <x v="0"/>
    <x v="9"/>
    <x v="5"/>
    <n v="19.424576999999999"/>
    <n v="93.512326000000002"/>
    <s v="MMR012CMP035"/>
    <x v="0"/>
    <m/>
  </r>
  <r>
    <x v="1"/>
    <x v="12"/>
    <x v="1"/>
    <x v="17"/>
    <x v="206"/>
    <n v="93"/>
    <n v="415"/>
    <m/>
    <s v="GIZ"/>
    <d v="2019-05-30T00:00:00"/>
    <n v="0"/>
    <s v="No"/>
    <n v="0"/>
    <n v="0"/>
    <n v="0"/>
    <n v="0"/>
    <n v="0"/>
    <n v="0"/>
    <n v="0"/>
    <m/>
    <m/>
    <m/>
    <m/>
    <m/>
    <m/>
    <m/>
    <n v="4"/>
    <n v="0"/>
    <m/>
    <m/>
    <n v="0"/>
    <x v="3"/>
    <x v="2"/>
    <m/>
    <m/>
    <m/>
    <n v="0"/>
    <m/>
    <n v="0"/>
    <n v="0"/>
    <n v="0"/>
    <m/>
    <m/>
    <x v="0"/>
    <m/>
    <m/>
    <m/>
    <m/>
    <s v="no test"/>
    <s v="no test"/>
    <x v="1"/>
    <n v="0"/>
    <n v="0"/>
    <n v="0"/>
    <n v="0"/>
    <n v="0"/>
    <n v="0"/>
    <n v="0"/>
    <n v="0"/>
    <n v="0"/>
    <n v="1"/>
    <n v="415"/>
    <n v="1"/>
    <n v="1"/>
    <n v="4"/>
    <n v="5.7831325301204821E-2"/>
    <n v="24"/>
    <n v="0.93975903614457823"/>
    <n v="65"/>
    <n v="69"/>
    <n v="0"/>
    <s v="N/A"/>
    <n v="0"/>
    <n v="0"/>
    <n v="0"/>
    <n v="0"/>
    <n v="0"/>
    <n v="0"/>
    <n v="1"/>
    <n v="0"/>
    <n v="0"/>
    <n v="0"/>
    <n v="0"/>
    <n v="0"/>
    <n v="0"/>
    <n v="0"/>
    <n v="0"/>
    <n v="0"/>
    <x v="2"/>
    <x v="2"/>
    <x v="6"/>
    <x v="7"/>
    <n v="20.8550128936768"/>
    <n v="92.91"/>
    <n v="196824"/>
    <x v="0"/>
    <s v="CLTS Village"/>
  </r>
  <r>
    <x v="1"/>
    <x v="2"/>
    <x v="1"/>
    <x v="17"/>
    <x v="207"/>
    <n v="167"/>
    <n v="836"/>
    <m/>
    <m/>
    <m/>
    <m/>
    <s v="No"/>
    <n v="0"/>
    <n v="0"/>
    <n v="0"/>
    <n v="0"/>
    <m/>
    <m/>
    <n v="0"/>
    <m/>
    <m/>
    <m/>
    <m/>
    <m/>
    <m/>
    <m/>
    <n v="53"/>
    <m/>
    <m/>
    <m/>
    <n v="0"/>
    <x v="1"/>
    <x v="1"/>
    <m/>
    <m/>
    <m/>
    <n v="0"/>
    <m/>
    <n v="0"/>
    <m/>
    <n v="0"/>
    <m/>
    <m/>
    <x v="0"/>
    <m/>
    <m/>
    <m/>
    <m/>
    <s v="no test"/>
    <s v="no test"/>
    <x v="1"/>
    <n v="0"/>
    <n v="0"/>
    <n v="0"/>
    <n v="0"/>
    <n v="0"/>
    <n v="0"/>
    <n v="0"/>
    <n v="0"/>
    <n v="0"/>
    <n v="1"/>
    <n v="836"/>
    <n v="2"/>
    <n v="2"/>
    <n v="53"/>
    <n v="0.38038277511961721"/>
    <n v="318"/>
    <n v="0.61722488038277512"/>
    <n v="86"/>
    <n v="139"/>
    <n v="0"/>
    <s v="N/A"/>
    <n v="0"/>
    <n v="0"/>
    <n v="0"/>
    <n v="0"/>
    <n v="0"/>
    <n v="0"/>
    <n v="1"/>
    <n v="0"/>
    <n v="0"/>
    <n v="0"/>
    <n v="0"/>
    <n v="0"/>
    <n v="0"/>
    <n v="0"/>
    <n v="0"/>
    <n v="0"/>
    <x v="3"/>
    <x v="2"/>
    <x v="7"/>
    <x v="3"/>
    <n v="0"/>
    <n v="0"/>
    <n v="0"/>
    <x v="1"/>
    <m/>
  </r>
  <r>
    <x v="1"/>
    <x v="2"/>
    <x v="1"/>
    <x v="17"/>
    <x v="208"/>
    <n v="92"/>
    <n v="559"/>
    <m/>
    <m/>
    <m/>
    <m/>
    <s v="No"/>
    <n v="0"/>
    <n v="0"/>
    <n v="0"/>
    <n v="0"/>
    <m/>
    <m/>
    <n v="0"/>
    <m/>
    <m/>
    <m/>
    <m/>
    <m/>
    <m/>
    <m/>
    <n v="194"/>
    <m/>
    <m/>
    <m/>
    <n v="0"/>
    <x v="1"/>
    <x v="1"/>
    <m/>
    <m/>
    <m/>
    <n v="0"/>
    <m/>
    <n v="0"/>
    <m/>
    <n v="0"/>
    <m/>
    <m/>
    <x v="0"/>
    <m/>
    <m/>
    <m/>
    <m/>
    <s v="no test"/>
    <s v="no test"/>
    <x v="1"/>
    <n v="0"/>
    <n v="0"/>
    <n v="0"/>
    <n v="0"/>
    <n v="0"/>
    <n v="0"/>
    <n v="0"/>
    <n v="0"/>
    <n v="0"/>
    <n v="1"/>
    <n v="559"/>
    <n v="1"/>
    <n v="1"/>
    <n v="194"/>
    <n v="1"/>
    <n v="559"/>
    <n v="0"/>
    <n v="0"/>
    <n v="93"/>
    <n v="0"/>
    <s v="N/A"/>
    <n v="0"/>
    <n v="0"/>
    <n v="0"/>
    <n v="0"/>
    <n v="0"/>
    <n v="0"/>
    <n v="1"/>
    <n v="0"/>
    <n v="0"/>
    <n v="0"/>
    <n v="0"/>
    <n v="0"/>
    <n v="0"/>
    <n v="0"/>
    <n v="0"/>
    <n v="0"/>
    <x v="3"/>
    <x v="2"/>
    <x v="10"/>
    <x v="3"/>
    <n v="20.720213000000001"/>
    <n v="92.961841000000007"/>
    <s v="MMR012CMP024"/>
    <x v="1"/>
    <m/>
  </r>
  <r>
    <x v="1"/>
    <x v="2"/>
    <x v="1"/>
    <x v="17"/>
    <x v="209"/>
    <n v="175"/>
    <n v="855"/>
    <m/>
    <m/>
    <m/>
    <m/>
    <s v="No"/>
    <n v="0"/>
    <n v="0"/>
    <n v="0"/>
    <n v="0"/>
    <m/>
    <m/>
    <n v="1"/>
    <m/>
    <m/>
    <m/>
    <m/>
    <m/>
    <m/>
    <m/>
    <n v="0"/>
    <m/>
    <m/>
    <m/>
    <n v="0"/>
    <x v="1"/>
    <x v="1"/>
    <m/>
    <m/>
    <m/>
    <n v="0"/>
    <m/>
    <n v="0"/>
    <m/>
    <m/>
    <m/>
    <m/>
    <x v="0"/>
    <m/>
    <m/>
    <m/>
    <m/>
    <s v="no test"/>
    <s v="no test"/>
    <x v="1"/>
    <n v="0"/>
    <n v="0"/>
    <n v="0"/>
    <n v="0"/>
    <n v="0"/>
    <n v="0"/>
    <n v="0"/>
    <n v="0"/>
    <n v="0"/>
    <n v="1"/>
    <n v="855"/>
    <n v="2"/>
    <n v="2"/>
    <n v="0"/>
    <n v="0"/>
    <n v="0"/>
    <n v="1"/>
    <n v="143"/>
    <n v="143"/>
    <n v="0"/>
    <s v="N/A"/>
    <n v="0"/>
    <n v="0"/>
    <n v="0"/>
    <n v="0"/>
    <n v="0"/>
    <n v="0"/>
    <n v="1"/>
    <n v="0"/>
    <n v="0"/>
    <n v="0"/>
    <n v="0"/>
    <n v="0"/>
    <n v="0"/>
    <n v="0"/>
    <n v="0"/>
    <n v="0"/>
    <x v="3"/>
    <x v="2"/>
    <x v="7"/>
    <x v="3"/>
    <n v="20.627639770507798"/>
    <n v="93.022773742675795"/>
    <s v="196878"/>
    <x v="1"/>
    <m/>
  </r>
  <r>
    <x v="1"/>
    <x v="12"/>
    <x v="1"/>
    <x v="17"/>
    <x v="210"/>
    <n v="361"/>
    <n v="1669"/>
    <m/>
    <s v="GIZ"/>
    <d v="2019-05-30T00:00:00"/>
    <n v="0"/>
    <s v="No"/>
    <n v="0"/>
    <n v="0"/>
    <n v="0"/>
    <n v="0"/>
    <n v="0"/>
    <n v="0"/>
    <n v="0"/>
    <m/>
    <m/>
    <m/>
    <m/>
    <m/>
    <m/>
    <m/>
    <n v="0"/>
    <n v="0"/>
    <m/>
    <m/>
    <n v="0"/>
    <x v="3"/>
    <x v="2"/>
    <m/>
    <m/>
    <m/>
    <n v="0"/>
    <m/>
    <n v="0"/>
    <n v="0"/>
    <n v="0"/>
    <m/>
    <m/>
    <x v="0"/>
    <m/>
    <m/>
    <m/>
    <m/>
    <s v="no test"/>
    <s v="no test"/>
    <x v="1"/>
    <n v="0"/>
    <n v="0"/>
    <n v="0"/>
    <n v="0"/>
    <n v="0"/>
    <n v="0"/>
    <n v="0"/>
    <n v="0"/>
    <n v="0"/>
    <n v="1"/>
    <n v="1669"/>
    <n v="3"/>
    <n v="3"/>
    <n v="0"/>
    <n v="0"/>
    <n v="0"/>
    <n v="0.99940083882564401"/>
    <n v="278"/>
    <n v="278"/>
    <n v="0"/>
    <s v="N/A"/>
    <n v="0"/>
    <n v="0"/>
    <n v="0"/>
    <n v="0"/>
    <n v="0"/>
    <n v="0"/>
    <n v="1"/>
    <n v="0"/>
    <n v="0"/>
    <n v="0"/>
    <n v="0"/>
    <n v="0"/>
    <n v="0"/>
    <n v="0"/>
    <n v="0"/>
    <n v="0"/>
    <x v="2"/>
    <x v="2"/>
    <x v="6"/>
    <x v="3"/>
    <n v="20.705930709838899"/>
    <n v="93.001953125"/>
    <s v="196943"/>
    <x v="0"/>
    <s v="CLTS Village"/>
  </r>
  <r>
    <x v="1"/>
    <x v="12"/>
    <x v="1"/>
    <x v="17"/>
    <x v="211"/>
    <n v="73"/>
    <n v="397"/>
    <m/>
    <s v="GIZ"/>
    <d v="2019-05-30T00:00:00"/>
    <n v="0"/>
    <s v="No"/>
    <n v="0"/>
    <n v="0"/>
    <n v="0"/>
    <n v="0"/>
    <n v="0"/>
    <n v="0"/>
    <n v="0"/>
    <m/>
    <m/>
    <m/>
    <m/>
    <m/>
    <m/>
    <m/>
    <n v="17"/>
    <n v="0"/>
    <m/>
    <m/>
    <n v="0"/>
    <x v="3"/>
    <x v="2"/>
    <m/>
    <m/>
    <m/>
    <n v="0"/>
    <m/>
    <n v="0"/>
    <n v="0"/>
    <n v="0"/>
    <m/>
    <m/>
    <x v="0"/>
    <m/>
    <m/>
    <m/>
    <m/>
    <s v="no test"/>
    <s v="no test"/>
    <x v="1"/>
    <n v="0"/>
    <n v="0"/>
    <n v="0"/>
    <n v="0"/>
    <n v="0"/>
    <n v="0"/>
    <n v="0"/>
    <n v="0"/>
    <n v="0"/>
    <n v="1"/>
    <n v="397"/>
    <n v="1"/>
    <n v="1"/>
    <n v="17"/>
    <n v="0.25692695214105793"/>
    <n v="102"/>
    <n v="0.74055415617128462"/>
    <n v="49"/>
    <n v="66"/>
    <n v="0"/>
    <s v="N/A"/>
    <n v="0"/>
    <n v="0"/>
    <n v="0"/>
    <n v="0"/>
    <n v="0"/>
    <n v="0"/>
    <n v="1"/>
    <n v="0"/>
    <n v="0"/>
    <n v="0"/>
    <n v="0"/>
    <n v="0"/>
    <n v="0"/>
    <n v="0"/>
    <n v="0"/>
    <n v="0"/>
    <x v="2"/>
    <x v="2"/>
    <x v="6"/>
    <x v="7"/>
    <n v="20.851089477539102"/>
    <n v="92.916893005371094"/>
    <n v="196825"/>
    <x v="0"/>
    <s v="CLTS Village"/>
  </r>
  <r>
    <x v="1"/>
    <x v="2"/>
    <x v="1"/>
    <x v="17"/>
    <x v="212"/>
    <n v="165"/>
    <n v="786"/>
    <m/>
    <m/>
    <m/>
    <m/>
    <s v="No"/>
    <n v="0"/>
    <n v="0"/>
    <n v="0"/>
    <n v="0"/>
    <m/>
    <m/>
    <n v="1"/>
    <m/>
    <m/>
    <m/>
    <m/>
    <m/>
    <m/>
    <m/>
    <n v="0"/>
    <m/>
    <m/>
    <m/>
    <n v="0"/>
    <x v="1"/>
    <x v="1"/>
    <m/>
    <m/>
    <m/>
    <n v="0"/>
    <m/>
    <n v="0"/>
    <m/>
    <m/>
    <m/>
    <m/>
    <x v="0"/>
    <m/>
    <m/>
    <m/>
    <m/>
    <s v="no test"/>
    <s v="no test"/>
    <x v="1"/>
    <n v="0"/>
    <n v="0"/>
    <n v="0"/>
    <n v="0"/>
    <n v="0"/>
    <n v="0"/>
    <n v="0"/>
    <n v="0"/>
    <n v="0"/>
    <n v="1"/>
    <n v="786"/>
    <n v="2"/>
    <n v="2"/>
    <n v="0"/>
    <n v="0"/>
    <n v="0"/>
    <n v="1"/>
    <n v="131"/>
    <n v="131"/>
    <n v="0"/>
    <s v="N/A"/>
    <n v="0"/>
    <n v="0"/>
    <n v="0"/>
    <n v="0"/>
    <n v="0"/>
    <n v="0"/>
    <n v="1"/>
    <n v="0"/>
    <n v="0"/>
    <n v="0"/>
    <n v="0"/>
    <n v="0"/>
    <n v="0"/>
    <n v="0"/>
    <n v="0"/>
    <n v="0"/>
    <x v="3"/>
    <x v="2"/>
    <x v="7"/>
    <x v="3"/>
    <n v="20.644098281860401"/>
    <n v="93.036460876464801"/>
    <s v="196983"/>
    <x v="1"/>
    <m/>
  </r>
  <r>
    <x v="1"/>
    <x v="2"/>
    <x v="1"/>
    <x v="17"/>
    <x v="213"/>
    <n v="116"/>
    <n v="802"/>
    <m/>
    <m/>
    <m/>
    <m/>
    <s v="No"/>
    <n v="0"/>
    <n v="0"/>
    <n v="0"/>
    <n v="0"/>
    <m/>
    <m/>
    <n v="0"/>
    <m/>
    <m/>
    <m/>
    <m/>
    <m/>
    <m/>
    <m/>
    <n v="40"/>
    <m/>
    <m/>
    <m/>
    <n v="0"/>
    <x v="1"/>
    <x v="1"/>
    <m/>
    <m/>
    <m/>
    <n v="0"/>
    <m/>
    <n v="0"/>
    <m/>
    <n v="0"/>
    <m/>
    <m/>
    <x v="0"/>
    <m/>
    <m/>
    <m/>
    <m/>
    <s v="no test"/>
    <s v="no test"/>
    <x v="1"/>
    <n v="0"/>
    <n v="0"/>
    <n v="0"/>
    <n v="0"/>
    <n v="0"/>
    <n v="0"/>
    <n v="0"/>
    <n v="0"/>
    <n v="0"/>
    <n v="1"/>
    <n v="802"/>
    <n v="2"/>
    <n v="2"/>
    <n v="40"/>
    <n v="0.29925187032418954"/>
    <n v="240"/>
    <n v="0.70324189526184544"/>
    <n v="94"/>
    <n v="134"/>
    <n v="0"/>
    <s v="N/A"/>
    <n v="0"/>
    <n v="0"/>
    <n v="0"/>
    <n v="0"/>
    <n v="0"/>
    <n v="0"/>
    <n v="1"/>
    <n v="0"/>
    <n v="0"/>
    <n v="0"/>
    <n v="0"/>
    <n v="0"/>
    <n v="0"/>
    <n v="0"/>
    <n v="0"/>
    <n v="0"/>
    <x v="3"/>
    <x v="2"/>
    <x v="10"/>
    <x v="5"/>
    <n v="20.713259999999998"/>
    <n v="93.014089999999996"/>
    <s v="MMR012CMP027"/>
    <x v="1"/>
    <m/>
  </r>
  <r>
    <x v="1"/>
    <x v="2"/>
    <x v="1"/>
    <x v="17"/>
    <x v="214"/>
    <n v="314"/>
    <n v="1569"/>
    <m/>
    <m/>
    <m/>
    <m/>
    <s v="No"/>
    <n v="0"/>
    <n v="0"/>
    <n v="0"/>
    <n v="0"/>
    <m/>
    <m/>
    <n v="0"/>
    <m/>
    <m/>
    <m/>
    <m/>
    <m/>
    <m/>
    <m/>
    <n v="160"/>
    <m/>
    <m/>
    <m/>
    <n v="0"/>
    <x v="1"/>
    <x v="1"/>
    <m/>
    <m/>
    <m/>
    <n v="0"/>
    <m/>
    <n v="0"/>
    <m/>
    <n v="0"/>
    <m/>
    <m/>
    <x v="0"/>
    <m/>
    <m/>
    <m/>
    <m/>
    <s v="no test"/>
    <s v="no test"/>
    <x v="1"/>
    <n v="0"/>
    <n v="0"/>
    <n v="0"/>
    <n v="0"/>
    <n v="0"/>
    <n v="0"/>
    <n v="0"/>
    <n v="0"/>
    <n v="0"/>
    <n v="1"/>
    <n v="1569"/>
    <n v="3"/>
    <n v="3"/>
    <n v="160"/>
    <n v="0.6118546845124283"/>
    <n v="960"/>
    <n v="0.39005736137667302"/>
    <n v="102"/>
    <n v="262"/>
    <n v="0"/>
    <s v="N/A"/>
    <n v="0"/>
    <n v="0"/>
    <n v="0"/>
    <n v="0"/>
    <n v="0"/>
    <n v="0"/>
    <n v="1"/>
    <n v="0"/>
    <n v="0"/>
    <n v="0"/>
    <n v="0"/>
    <n v="0"/>
    <n v="0"/>
    <n v="0"/>
    <n v="0"/>
    <n v="0"/>
    <x v="3"/>
    <x v="2"/>
    <x v="7"/>
    <x v="3"/>
    <n v="20.709970473999999"/>
    <n v="93.015357971"/>
    <s v="196973"/>
    <x v="1"/>
    <m/>
  </r>
  <r>
    <x v="1"/>
    <x v="12"/>
    <x v="1"/>
    <x v="17"/>
    <x v="215"/>
    <n v="74"/>
    <n v="343"/>
    <m/>
    <s v="GIZ"/>
    <d v="2019-05-30T00:00:00"/>
    <n v="0"/>
    <s v="No"/>
    <n v="0"/>
    <n v="0"/>
    <n v="0"/>
    <n v="0"/>
    <n v="0"/>
    <n v="0"/>
    <n v="0"/>
    <m/>
    <m/>
    <m/>
    <m/>
    <m/>
    <m/>
    <m/>
    <n v="4"/>
    <n v="0"/>
    <m/>
    <m/>
    <n v="0"/>
    <x v="3"/>
    <x v="2"/>
    <m/>
    <m/>
    <m/>
    <n v="0"/>
    <m/>
    <n v="0"/>
    <n v="0"/>
    <n v="0"/>
    <m/>
    <m/>
    <x v="0"/>
    <m/>
    <m/>
    <m/>
    <m/>
    <s v="no test"/>
    <s v="no test"/>
    <x v="1"/>
    <n v="0"/>
    <n v="0"/>
    <n v="0"/>
    <n v="0"/>
    <n v="0"/>
    <n v="0"/>
    <n v="0"/>
    <n v="0"/>
    <n v="0"/>
    <n v="1"/>
    <n v="343"/>
    <n v="1"/>
    <n v="1"/>
    <n v="4"/>
    <n v="6.9970845481049565E-2"/>
    <n v="24"/>
    <n v="0.9271137026239068"/>
    <n v="53"/>
    <n v="57"/>
    <n v="0"/>
    <s v="N/A"/>
    <n v="0"/>
    <n v="0"/>
    <n v="0"/>
    <n v="0"/>
    <n v="0"/>
    <n v="0"/>
    <n v="1"/>
    <n v="0"/>
    <n v="0"/>
    <n v="0"/>
    <n v="0"/>
    <n v="0"/>
    <n v="0"/>
    <n v="0"/>
    <n v="0"/>
    <n v="0"/>
    <x v="2"/>
    <x v="2"/>
    <x v="6"/>
    <x v="7"/>
    <n v="20.803529739379901"/>
    <n v="92.929466247558594"/>
    <s v="196883"/>
    <x v="0"/>
    <s v="CLTS Village"/>
  </r>
  <r>
    <x v="1"/>
    <x v="12"/>
    <x v="1"/>
    <x v="17"/>
    <x v="216"/>
    <n v="326"/>
    <n v="1786"/>
    <m/>
    <s v="GIZ"/>
    <d v="2019-05-30T00:00:00"/>
    <n v="0"/>
    <s v="No"/>
    <n v="0"/>
    <n v="0"/>
    <n v="0"/>
    <n v="0"/>
    <n v="0"/>
    <n v="0"/>
    <n v="0"/>
    <m/>
    <m/>
    <m/>
    <m/>
    <m/>
    <m/>
    <m/>
    <n v="0"/>
    <n v="0"/>
    <m/>
    <m/>
    <n v="0"/>
    <x v="3"/>
    <x v="2"/>
    <m/>
    <m/>
    <m/>
    <n v="0"/>
    <m/>
    <n v="0"/>
    <n v="0"/>
    <n v="0"/>
    <m/>
    <m/>
    <x v="0"/>
    <m/>
    <m/>
    <m/>
    <m/>
    <s v="no test"/>
    <s v="no test"/>
    <x v="1"/>
    <n v="0"/>
    <n v="0"/>
    <n v="0"/>
    <n v="0"/>
    <n v="0"/>
    <n v="0"/>
    <n v="0"/>
    <n v="0"/>
    <n v="0"/>
    <n v="1"/>
    <n v="1786"/>
    <n v="4"/>
    <n v="4"/>
    <n v="0"/>
    <n v="0"/>
    <n v="0"/>
    <n v="1"/>
    <n v="298"/>
    <n v="298"/>
    <n v="0"/>
    <s v="N/A"/>
    <n v="0"/>
    <n v="0"/>
    <n v="0"/>
    <n v="0"/>
    <n v="0"/>
    <n v="0"/>
    <n v="1"/>
    <n v="0"/>
    <n v="0"/>
    <n v="0"/>
    <n v="0"/>
    <n v="0"/>
    <n v="0"/>
    <n v="0"/>
    <n v="0"/>
    <n v="0"/>
    <x v="3"/>
    <x v="2"/>
    <x v="10"/>
    <x v="5"/>
    <n v="20.696819999999999"/>
    <n v="93.009900000000002"/>
    <s v="MMR012CMP026"/>
    <x v="0"/>
    <s v="CLTS Village"/>
  </r>
  <r>
    <x v="1"/>
    <x v="2"/>
    <x v="1"/>
    <x v="17"/>
    <x v="219"/>
    <n v="97"/>
    <n v="557"/>
    <m/>
    <m/>
    <m/>
    <m/>
    <s v="No"/>
    <n v="0"/>
    <n v="0"/>
    <n v="0"/>
    <n v="0"/>
    <m/>
    <m/>
    <n v="0"/>
    <m/>
    <m/>
    <m/>
    <m/>
    <m/>
    <m/>
    <m/>
    <n v="235"/>
    <m/>
    <m/>
    <m/>
    <n v="0"/>
    <x v="1"/>
    <x v="1"/>
    <m/>
    <m/>
    <m/>
    <n v="0"/>
    <m/>
    <n v="0"/>
    <m/>
    <n v="0"/>
    <m/>
    <m/>
    <x v="0"/>
    <m/>
    <m/>
    <m/>
    <m/>
    <s v="no test"/>
    <s v="no test"/>
    <x v="1"/>
    <n v="0"/>
    <n v="0"/>
    <n v="0"/>
    <n v="0"/>
    <n v="0"/>
    <n v="0"/>
    <n v="0"/>
    <n v="0"/>
    <n v="0"/>
    <n v="1"/>
    <n v="557"/>
    <n v="1"/>
    <n v="1"/>
    <n v="235"/>
    <n v="1"/>
    <n v="557"/>
    <n v="0"/>
    <n v="0"/>
    <n v="93"/>
    <n v="0"/>
    <s v="N/A"/>
    <n v="0"/>
    <n v="0"/>
    <n v="0"/>
    <n v="0"/>
    <n v="0"/>
    <n v="0"/>
    <n v="1"/>
    <n v="0"/>
    <n v="0"/>
    <n v="0"/>
    <n v="0"/>
    <n v="0"/>
    <n v="0"/>
    <n v="0"/>
    <n v="0"/>
    <n v="0"/>
    <x v="3"/>
    <x v="2"/>
    <x v="8"/>
    <x v="5"/>
    <n v="20.886997999999998"/>
    <n v="93.006497999999993"/>
    <s v="MMR012CMP030"/>
    <x v="1"/>
    <m/>
  </r>
  <r>
    <x v="1"/>
    <x v="12"/>
    <x v="1"/>
    <x v="17"/>
    <x v="220"/>
    <n v="50"/>
    <n v="207"/>
    <m/>
    <s v="GIZ"/>
    <d v="2019-05-30T00:00:00"/>
    <n v="0"/>
    <s v="No"/>
    <n v="0"/>
    <n v="0"/>
    <n v="0"/>
    <n v="0"/>
    <n v="0"/>
    <n v="0"/>
    <n v="0"/>
    <m/>
    <m/>
    <m/>
    <m/>
    <m/>
    <m/>
    <m/>
    <n v="0"/>
    <n v="0"/>
    <m/>
    <m/>
    <n v="0"/>
    <x v="4"/>
    <x v="4"/>
    <m/>
    <m/>
    <m/>
    <n v="0"/>
    <m/>
    <n v="0"/>
    <n v="0"/>
    <n v="0"/>
    <m/>
    <m/>
    <x v="0"/>
    <m/>
    <m/>
    <m/>
    <m/>
    <s v="no test"/>
    <s v="no test"/>
    <x v="1"/>
    <n v="0"/>
    <n v="0"/>
    <n v="0"/>
    <n v="0"/>
    <n v="0"/>
    <n v="0"/>
    <n v="0"/>
    <n v="0"/>
    <n v="0"/>
    <n v="1"/>
    <n v="207"/>
    <n v="1"/>
    <n v="1"/>
    <n v="0"/>
    <n v="0"/>
    <n v="0"/>
    <n v="1"/>
    <n v="35"/>
    <n v="35"/>
    <n v="0"/>
    <s v="N/A"/>
    <n v="0"/>
    <n v="0"/>
    <n v="0"/>
    <n v="0"/>
    <n v="0"/>
    <n v="0"/>
    <n v="1"/>
    <n v="0"/>
    <n v="0"/>
    <n v="0"/>
    <n v="0"/>
    <n v="0"/>
    <n v="0"/>
    <n v="0"/>
    <n v="0"/>
    <n v="0"/>
    <x v="2"/>
    <x v="2"/>
    <x v="6"/>
    <x v="7"/>
    <n v="20.8950595855713"/>
    <n v="92.907356262207003"/>
    <n v="196807"/>
    <x v="0"/>
    <s v="CLTS Village"/>
  </r>
  <r>
    <x v="1"/>
    <x v="12"/>
    <x v="1"/>
    <x v="17"/>
    <x v="221"/>
    <n v="42"/>
    <n v="184"/>
    <m/>
    <s v="GIZ"/>
    <d v="2019-05-30T00:00:00"/>
    <n v="0"/>
    <s v="No"/>
    <n v="0"/>
    <n v="0"/>
    <n v="0"/>
    <n v="0"/>
    <n v="0"/>
    <n v="0"/>
    <n v="0"/>
    <m/>
    <m/>
    <m/>
    <m/>
    <m/>
    <m/>
    <m/>
    <n v="3"/>
    <n v="0"/>
    <m/>
    <m/>
    <n v="0"/>
    <x v="3"/>
    <x v="2"/>
    <m/>
    <m/>
    <m/>
    <n v="0"/>
    <m/>
    <n v="0"/>
    <n v="0"/>
    <n v="0"/>
    <m/>
    <m/>
    <x v="0"/>
    <m/>
    <m/>
    <m/>
    <m/>
    <s v="no test"/>
    <s v="no test"/>
    <x v="1"/>
    <n v="0"/>
    <n v="0"/>
    <n v="0"/>
    <n v="0"/>
    <n v="0"/>
    <n v="0"/>
    <n v="0"/>
    <n v="0"/>
    <n v="0"/>
    <n v="1"/>
    <n v="184"/>
    <n v="1"/>
    <n v="1"/>
    <n v="3"/>
    <n v="9.7826086956521743E-2"/>
    <n v="18"/>
    <n v="0.91304347826086951"/>
    <n v="28"/>
    <n v="31"/>
    <n v="0"/>
    <s v="N/A"/>
    <n v="0"/>
    <n v="0"/>
    <n v="0"/>
    <n v="0"/>
    <n v="0"/>
    <n v="0"/>
    <n v="1"/>
    <n v="0"/>
    <n v="0"/>
    <n v="0"/>
    <n v="0"/>
    <n v="0"/>
    <n v="0"/>
    <n v="0"/>
    <n v="0"/>
    <n v="0"/>
    <x v="2"/>
    <x v="2"/>
    <x v="6"/>
    <x v="7"/>
    <n v="20.807970046997099"/>
    <n v="92.929046630859403"/>
    <n v="196882"/>
    <x v="0"/>
    <s v="CLTS Village"/>
  </r>
  <r>
    <x v="1"/>
    <x v="2"/>
    <x v="1"/>
    <x v="17"/>
    <x v="222"/>
    <n v="130"/>
    <n v="664"/>
    <m/>
    <m/>
    <m/>
    <m/>
    <s v="No"/>
    <n v="0"/>
    <n v="0"/>
    <n v="0"/>
    <n v="0"/>
    <m/>
    <m/>
    <n v="1"/>
    <m/>
    <m/>
    <m/>
    <m/>
    <m/>
    <m/>
    <m/>
    <n v="0"/>
    <m/>
    <m/>
    <m/>
    <n v="0"/>
    <x v="1"/>
    <x v="1"/>
    <m/>
    <m/>
    <m/>
    <n v="0"/>
    <m/>
    <n v="0"/>
    <m/>
    <m/>
    <m/>
    <m/>
    <x v="0"/>
    <m/>
    <m/>
    <m/>
    <m/>
    <s v="no test"/>
    <s v="no test"/>
    <x v="1"/>
    <n v="0"/>
    <n v="0"/>
    <n v="0"/>
    <n v="0"/>
    <n v="0"/>
    <n v="0"/>
    <n v="0"/>
    <n v="0"/>
    <n v="0"/>
    <n v="1"/>
    <n v="664"/>
    <n v="1"/>
    <n v="1"/>
    <n v="0"/>
    <n v="0"/>
    <n v="0"/>
    <n v="1"/>
    <n v="111"/>
    <n v="111"/>
    <n v="0"/>
    <s v="N/A"/>
    <n v="0"/>
    <n v="0"/>
    <n v="0"/>
    <n v="0"/>
    <n v="0"/>
    <n v="0"/>
    <n v="1"/>
    <n v="0"/>
    <n v="0"/>
    <n v="0"/>
    <n v="0"/>
    <n v="0"/>
    <n v="0"/>
    <n v="0"/>
    <n v="0"/>
    <n v="0"/>
    <x v="3"/>
    <x v="2"/>
    <x v="7"/>
    <x v="3"/>
    <n v="20.6080207824707"/>
    <n v="93.035400390625"/>
    <s v="196875"/>
    <x v="1"/>
    <m/>
  </r>
  <r>
    <x v="1"/>
    <x v="2"/>
    <x v="1"/>
    <x v="17"/>
    <x v="223"/>
    <n v="289"/>
    <n v="1419"/>
    <m/>
    <m/>
    <m/>
    <m/>
    <s v="No"/>
    <n v="0"/>
    <n v="0"/>
    <n v="0"/>
    <n v="0"/>
    <m/>
    <m/>
    <n v="2"/>
    <m/>
    <m/>
    <m/>
    <m/>
    <m/>
    <m/>
    <m/>
    <n v="0"/>
    <m/>
    <m/>
    <m/>
    <n v="0"/>
    <x v="1"/>
    <x v="1"/>
    <m/>
    <m/>
    <m/>
    <n v="0"/>
    <m/>
    <n v="0"/>
    <m/>
    <m/>
    <m/>
    <m/>
    <x v="0"/>
    <m/>
    <m/>
    <m/>
    <m/>
    <s v="no test"/>
    <s v="no test"/>
    <x v="1"/>
    <n v="0"/>
    <n v="0"/>
    <n v="0"/>
    <n v="0"/>
    <n v="0"/>
    <n v="0"/>
    <n v="0"/>
    <n v="0"/>
    <n v="0"/>
    <n v="1"/>
    <n v="1419"/>
    <n v="3"/>
    <n v="3"/>
    <n v="0"/>
    <n v="0"/>
    <n v="0"/>
    <n v="1"/>
    <n v="237"/>
    <n v="237"/>
    <n v="0"/>
    <s v="N/A"/>
    <n v="0"/>
    <n v="0"/>
    <n v="0"/>
    <n v="0"/>
    <n v="0"/>
    <n v="0"/>
    <n v="1"/>
    <n v="0"/>
    <n v="0"/>
    <n v="0"/>
    <n v="0"/>
    <n v="0"/>
    <n v="0"/>
    <n v="0"/>
    <n v="0"/>
    <n v="0"/>
    <x v="3"/>
    <x v="2"/>
    <x v="7"/>
    <x v="3"/>
    <n v="20.716699600219702"/>
    <n v="92.997863769531307"/>
    <s v="196971"/>
    <x v="1"/>
    <m/>
  </r>
  <r>
    <x v="1"/>
    <x v="2"/>
    <x v="1"/>
    <x v="17"/>
    <x v="224"/>
    <n v="18"/>
    <n v="157"/>
    <m/>
    <m/>
    <m/>
    <m/>
    <s v="No"/>
    <n v="0"/>
    <n v="0"/>
    <n v="0"/>
    <n v="0"/>
    <m/>
    <m/>
    <n v="0"/>
    <m/>
    <m/>
    <m/>
    <m/>
    <m/>
    <m/>
    <m/>
    <n v="96"/>
    <m/>
    <m/>
    <m/>
    <n v="0"/>
    <x v="1"/>
    <x v="1"/>
    <m/>
    <m/>
    <m/>
    <n v="0"/>
    <m/>
    <n v="0"/>
    <m/>
    <n v="0"/>
    <m/>
    <m/>
    <x v="0"/>
    <m/>
    <m/>
    <m/>
    <m/>
    <s v="no test"/>
    <s v="no test"/>
    <x v="1"/>
    <n v="0"/>
    <n v="0"/>
    <n v="0"/>
    <n v="0"/>
    <n v="0"/>
    <n v="0"/>
    <n v="0"/>
    <n v="0"/>
    <n v="0"/>
    <n v="1"/>
    <n v="157"/>
    <n v="1"/>
    <n v="1"/>
    <n v="96"/>
    <n v="1"/>
    <n v="157"/>
    <n v="0"/>
    <n v="0"/>
    <n v="26"/>
    <n v="0"/>
    <s v="N/A"/>
    <n v="0"/>
    <n v="0"/>
    <n v="0"/>
    <n v="0"/>
    <n v="0"/>
    <n v="0"/>
    <n v="1"/>
    <n v="0"/>
    <n v="0"/>
    <n v="0"/>
    <n v="0"/>
    <n v="0"/>
    <n v="0"/>
    <n v="0"/>
    <n v="0"/>
    <n v="0"/>
    <x v="3"/>
    <x v="2"/>
    <x v="10"/>
    <x v="5"/>
    <n v="20.805734000000001"/>
    <n v="92.982675999999998"/>
    <s v="MMR012CMP020"/>
    <x v="1"/>
    <m/>
  </r>
  <r>
    <x v="1"/>
    <x v="12"/>
    <x v="1"/>
    <x v="17"/>
    <x v="225"/>
    <n v="122"/>
    <n v="486"/>
    <m/>
    <s v="GIZ"/>
    <d v="2019-05-30T00:00:00"/>
    <n v="0"/>
    <s v="No"/>
    <n v="0"/>
    <n v="0"/>
    <n v="0"/>
    <n v="0"/>
    <n v="0"/>
    <n v="0"/>
    <n v="0"/>
    <m/>
    <m/>
    <m/>
    <m/>
    <m/>
    <m/>
    <m/>
    <n v="0"/>
    <n v="0"/>
    <m/>
    <m/>
    <n v="0"/>
    <x v="3"/>
    <x v="2"/>
    <m/>
    <m/>
    <m/>
    <n v="0"/>
    <m/>
    <n v="0"/>
    <n v="0"/>
    <n v="0"/>
    <m/>
    <m/>
    <x v="0"/>
    <m/>
    <m/>
    <m/>
    <m/>
    <s v="no test"/>
    <s v="no test"/>
    <x v="1"/>
    <n v="0"/>
    <n v="0"/>
    <n v="0"/>
    <n v="0"/>
    <n v="0"/>
    <n v="0"/>
    <n v="0"/>
    <n v="0"/>
    <n v="0"/>
    <n v="1"/>
    <n v="486"/>
    <n v="1"/>
    <n v="1"/>
    <n v="0"/>
    <n v="0"/>
    <n v="0"/>
    <n v="1"/>
    <n v="81"/>
    <n v="81"/>
    <n v="0"/>
    <s v="N/A"/>
    <n v="0"/>
    <n v="0"/>
    <n v="0"/>
    <n v="0"/>
    <n v="0"/>
    <n v="0"/>
    <n v="1"/>
    <n v="0"/>
    <n v="0"/>
    <n v="0"/>
    <n v="0"/>
    <n v="0"/>
    <n v="0"/>
    <n v="0"/>
    <n v="0"/>
    <n v="0"/>
    <x v="2"/>
    <x v="2"/>
    <x v="6"/>
    <x v="7"/>
    <n v="20.785770416259801"/>
    <n v="92.931427001953097"/>
    <n v="196887"/>
    <x v="0"/>
    <s v="CLTS Village"/>
  </r>
  <r>
    <x v="1"/>
    <x v="12"/>
    <x v="1"/>
    <x v="17"/>
    <x v="226"/>
    <n v="293"/>
    <n v="1503"/>
    <m/>
    <s v="GIZ"/>
    <d v="2019-05-30T00:00:00"/>
    <n v="0"/>
    <s v="No"/>
    <n v="0"/>
    <n v="0"/>
    <n v="0"/>
    <n v="0"/>
    <n v="0"/>
    <n v="0"/>
    <n v="0"/>
    <m/>
    <m/>
    <m/>
    <m/>
    <m/>
    <m/>
    <m/>
    <n v="9"/>
    <n v="0"/>
    <m/>
    <m/>
    <n v="0"/>
    <x v="3"/>
    <x v="2"/>
    <m/>
    <m/>
    <m/>
    <n v="0"/>
    <m/>
    <n v="0"/>
    <n v="0"/>
    <n v="0"/>
    <m/>
    <m/>
    <x v="0"/>
    <m/>
    <m/>
    <m/>
    <m/>
    <s v="no test"/>
    <s v="no test"/>
    <x v="1"/>
    <n v="0"/>
    <n v="0"/>
    <n v="0"/>
    <n v="0"/>
    <n v="0"/>
    <n v="0"/>
    <n v="0"/>
    <n v="0"/>
    <n v="0"/>
    <n v="1"/>
    <n v="1503"/>
    <n v="3"/>
    <n v="3"/>
    <n v="9"/>
    <n v="3.5928143712574849E-2"/>
    <n v="54"/>
    <n v="0.96606786427145708"/>
    <n v="242"/>
    <n v="251"/>
    <n v="0"/>
    <s v="N/A"/>
    <n v="0"/>
    <n v="0"/>
    <n v="0"/>
    <n v="0"/>
    <n v="0"/>
    <n v="0"/>
    <n v="1"/>
    <n v="0"/>
    <n v="0"/>
    <n v="0"/>
    <n v="0"/>
    <n v="0"/>
    <n v="0"/>
    <n v="0"/>
    <n v="0"/>
    <n v="0"/>
    <x v="2"/>
    <x v="2"/>
    <x v="6"/>
    <x v="3"/>
    <n v="20.711349487304702"/>
    <n v="92.980506896972699"/>
    <n v="196944"/>
    <x v="0"/>
    <s v="CLTS Village"/>
  </r>
  <r>
    <x v="1"/>
    <x v="12"/>
    <x v="1"/>
    <x v="17"/>
    <x v="227"/>
    <n v="185"/>
    <n v="915"/>
    <m/>
    <s v="GIZ"/>
    <d v="2019-05-30T00:00:00"/>
    <n v="0"/>
    <s v="No"/>
    <n v="0"/>
    <n v="0"/>
    <n v="0"/>
    <n v="0"/>
    <n v="0"/>
    <n v="0"/>
    <n v="0"/>
    <m/>
    <m/>
    <m/>
    <m/>
    <m/>
    <m/>
    <m/>
    <n v="32"/>
    <n v="0"/>
    <m/>
    <m/>
    <n v="0"/>
    <x v="4"/>
    <x v="4"/>
    <m/>
    <m/>
    <m/>
    <n v="0"/>
    <m/>
    <n v="0"/>
    <n v="0"/>
    <n v="0"/>
    <m/>
    <m/>
    <x v="0"/>
    <m/>
    <m/>
    <m/>
    <m/>
    <s v="no test"/>
    <s v="no test"/>
    <x v="1"/>
    <n v="0"/>
    <n v="0"/>
    <n v="0"/>
    <n v="0"/>
    <n v="0"/>
    <n v="0"/>
    <n v="0"/>
    <n v="0"/>
    <n v="0"/>
    <n v="1"/>
    <n v="915"/>
    <n v="2"/>
    <n v="2"/>
    <n v="32"/>
    <n v="0.20983606557377049"/>
    <n v="192"/>
    <n v="0.79344262295081969"/>
    <n v="121"/>
    <n v="153"/>
    <n v="0"/>
    <s v="N/A"/>
    <n v="0"/>
    <n v="0"/>
    <n v="0"/>
    <n v="0"/>
    <n v="0"/>
    <n v="0"/>
    <n v="1"/>
    <n v="0"/>
    <n v="0"/>
    <n v="0"/>
    <n v="0"/>
    <n v="0"/>
    <n v="0"/>
    <n v="0"/>
    <n v="0"/>
    <n v="0"/>
    <x v="2"/>
    <x v="2"/>
    <x v="6"/>
    <x v="3"/>
    <n v="20.786739349365199"/>
    <n v="92.944313049316406"/>
    <s v="196884"/>
    <x v="0"/>
    <s v="CLTS Village"/>
  </r>
  <r>
    <x v="1"/>
    <x v="12"/>
    <x v="1"/>
    <x v="17"/>
    <x v="229"/>
    <n v="131"/>
    <n v="631"/>
    <m/>
    <s v="GIZ"/>
    <d v="2019-05-30T00:00:00"/>
    <n v="0"/>
    <s v="No"/>
    <n v="0"/>
    <n v="0"/>
    <n v="0"/>
    <n v="0"/>
    <n v="0"/>
    <n v="0"/>
    <n v="0"/>
    <m/>
    <m/>
    <m/>
    <m/>
    <m/>
    <m/>
    <m/>
    <n v="13"/>
    <n v="0"/>
    <m/>
    <m/>
    <n v="0"/>
    <x v="3"/>
    <x v="2"/>
    <m/>
    <m/>
    <m/>
    <n v="0"/>
    <m/>
    <n v="0"/>
    <n v="0"/>
    <n v="0"/>
    <m/>
    <m/>
    <x v="0"/>
    <m/>
    <m/>
    <m/>
    <m/>
    <s v="no test"/>
    <s v="no test"/>
    <x v="1"/>
    <n v="0"/>
    <n v="0"/>
    <n v="0"/>
    <n v="0"/>
    <n v="0"/>
    <n v="0"/>
    <n v="0"/>
    <n v="0"/>
    <n v="0"/>
    <n v="1"/>
    <n v="631"/>
    <n v="1"/>
    <n v="1"/>
    <n v="13"/>
    <n v="0.12361331220285261"/>
    <n v="78"/>
    <n v="0.87480190174326466"/>
    <n v="92"/>
    <n v="105"/>
    <n v="0"/>
    <s v="N/A"/>
    <n v="0"/>
    <n v="0"/>
    <n v="0"/>
    <n v="0"/>
    <n v="0"/>
    <n v="0"/>
    <n v="1"/>
    <n v="0"/>
    <n v="0"/>
    <n v="0"/>
    <n v="0"/>
    <n v="0"/>
    <n v="0"/>
    <n v="0"/>
    <n v="0"/>
    <n v="0"/>
    <x v="2"/>
    <x v="2"/>
    <x v="6"/>
    <x v="7"/>
    <n v="20.809240341186499"/>
    <n v="92.923919677734403"/>
    <n v="196881"/>
    <x v="0"/>
    <s v="CLTS Village"/>
  </r>
  <r>
    <x v="1"/>
    <x v="13"/>
    <x v="1"/>
    <x v="17"/>
    <x v="343"/>
    <n v="91"/>
    <n v="581"/>
    <n v="211"/>
    <s v="UMCOR"/>
    <d v="2019-03-30T00:00:00"/>
    <m/>
    <m/>
    <m/>
    <m/>
    <n v="0"/>
    <n v="0"/>
    <m/>
    <n v="3"/>
    <n v="0"/>
    <m/>
    <m/>
    <m/>
    <m/>
    <m/>
    <m/>
    <m/>
    <n v="13"/>
    <m/>
    <m/>
    <m/>
    <n v="0"/>
    <x v="1"/>
    <x v="1"/>
    <m/>
    <m/>
    <m/>
    <n v="0"/>
    <m/>
    <n v="0"/>
    <m/>
    <n v="0"/>
    <m/>
    <m/>
    <x v="0"/>
    <m/>
    <m/>
    <m/>
    <m/>
    <s v="no test"/>
    <s v="no test"/>
    <x v="1"/>
    <n v="0"/>
    <n v="0"/>
    <n v="0"/>
    <n v="0"/>
    <n v="1"/>
    <n v="581"/>
    <n v="1"/>
    <n v="581"/>
    <n v="1"/>
    <n v="0"/>
    <n v="0"/>
    <n v="0"/>
    <n v="1"/>
    <n v="13"/>
    <n v="0.44750430292598969"/>
    <n v="260"/>
    <n v="0.55077452667814109"/>
    <n v="16"/>
    <n v="29"/>
    <n v="0"/>
    <n v="0"/>
    <n v="0"/>
    <n v="0"/>
    <n v="0"/>
    <n v="0"/>
    <n v="0"/>
    <n v="0"/>
    <n v="1"/>
    <n v="0"/>
    <n v="0"/>
    <n v="0"/>
    <n v="0"/>
    <n v="0"/>
    <n v="0"/>
    <n v="0"/>
    <s v="Yes"/>
    <n v="0"/>
    <x v="1"/>
    <x v="0"/>
    <x v="12"/>
    <x v="5"/>
    <n v="20.865687000000001"/>
    <n v="92.965980999999999"/>
    <s v="MMR012CMP023"/>
    <x v="0"/>
    <m/>
  </r>
  <r>
    <x v="1"/>
    <x v="12"/>
    <x v="1"/>
    <x v="17"/>
    <x v="231"/>
    <n v="76"/>
    <n v="394"/>
    <m/>
    <s v="GIZ"/>
    <d v="2019-05-30T00:00:00"/>
    <n v="0"/>
    <s v="No"/>
    <n v="0"/>
    <n v="0"/>
    <n v="0"/>
    <n v="0"/>
    <n v="0"/>
    <n v="0"/>
    <n v="0"/>
    <m/>
    <m/>
    <m/>
    <m/>
    <m/>
    <m/>
    <m/>
    <n v="14"/>
    <n v="0"/>
    <m/>
    <m/>
    <n v="0"/>
    <x v="3"/>
    <x v="2"/>
    <m/>
    <m/>
    <m/>
    <n v="0"/>
    <m/>
    <n v="0"/>
    <n v="0"/>
    <n v="0"/>
    <m/>
    <m/>
    <x v="0"/>
    <m/>
    <m/>
    <m/>
    <m/>
    <s v="no test"/>
    <s v="no test"/>
    <x v="1"/>
    <n v="0"/>
    <n v="0"/>
    <n v="0"/>
    <n v="0"/>
    <n v="0"/>
    <n v="0"/>
    <n v="0"/>
    <n v="0"/>
    <n v="0"/>
    <n v="1"/>
    <n v="394"/>
    <n v="1"/>
    <n v="1"/>
    <n v="14"/>
    <n v="0.21319796954314721"/>
    <n v="84"/>
    <n v="0.79187817258883242"/>
    <n v="52"/>
    <n v="66"/>
    <n v="0"/>
    <s v="N/A"/>
    <n v="0"/>
    <n v="0"/>
    <n v="0"/>
    <n v="0"/>
    <n v="0"/>
    <n v="0"/>
    <n v="1"/>
    <n v="0"/>
    <n v="0"/>
    <n v="0"/>
    <n v="0"/>
    <n v="0"/>
    <n v="0"/>
    <n v="0"/>
    <n v="0"/>
    <n v="0"/>
    <x v="2"/>
    <x v="2"/>
    <x v="6"/>
    <x v="9"/>
    <n v="20.681715011596701"/>
    <n v="92.94140625"/>
    <n v="196930"/>
    <x v="0"/>
    <s v="CLTS Village"/>
  </r>
  <r>
    <x v="1"/>
    <x v="2"/>
    <x v="1"/>
    <x v="17"/>
    <x v="232"/>
    <n v="167"/>
    <n v="833"/>
    <m/>
    <m/>
    <m/>
    <m/>
    <s v="No"/>
    <n v="0"/>
    <n v="0"/>
    <n v="1"/>
    <m/>
    <m/>
    <m/>
    <n v="0"/>
    <m/>
    <m/>
    <m/>
    <m/>
    <m/>
    <m/>
    <m/>
    <n v="0"/>
    <m/>
    <m/>
    <m/>
    <n v="0"/>
    <x v="1"/>
    <x v="1"/>
    <m/>
    <m/>
    <m/>
    <n v="0"/>
    <m/>
    <n v="0"/>
    <m/>
    <n v="0"/>
    <m/>
    <m/>
    <x v="0"/>
    <m/>
    <m/>
    <m/>
    <m/>
    <s v="no test"/>
    <s v="no test"/>
    <x v="1"/>
    <n v="1"/>
    <n v="0.30012004801920766"/>
    <n v="0.30012004801920766"/>
    <n v="249.99999999999997"/>
    <n v="0"/>
    <n v="0"/>
    <n v="0.30012004801920766"/>
    <n v="249.99999999999997"/>
    <n v="1"/>
    <n v="0.69987995198079234"/>
    <n v="583"/>
    <n v="1"/>
    <n v="2"/>
    <n v="0"/>
    <n v="0"/>
    <n v="0"/>
    <n v="1"/>
    <n v="139"/>
    <n v="139"/>
    <n v="0"/>
    <s v="N/A"/>
    <n v="0"/>
    <n v="0"/>
    <n v="0"/>
    <n v="0"/>
    <n v="0"/>
    <n v="0"/>
    <n v="1"/>
    <n v="0"/>
    <n v="0"/>
    <n v="0"/>
    <n v="0"/>
    <n v="0"/>
    <n v="0"/>
    <n v="0"/>
    <n v="0"/>
    <n v="0"/>
    <x v="3"/>
    <x v="2"/>
    <x v="7"/>
    <x v="5"/>
    <n v="20.903770446777301"/>
    <n v="93.004432678222699"/>
    <s v="196787"/>
    <x v="1"/>
    <m/>
  </r>
  <r>
    <x v="1"/>
    <x v="12"/>
    <x v="1"/>
    <x v="17"/>
    <x v="233"/>
    <n v="47"/>
    <n v="203"/>
    <m/>
    <s v="GIZ"/>
    <d v="2019-05-30T00:00:00"/>
    <n v="0"/>
    <s v="No"/>
    <n v="0"/>
    <n v="0"/>
    <n v="0"/>
    <n v="0"/>
    <n v="0"/>
    <n v="0"/>
    <n v="0"/>
    <m/>
    <m/>
    <m/>
    <m/>
    <m/>
    <m/>
    <m/>
    <n v="0"/>
    <n v="0"/>
    <m/>
    <m/>
    <n v="0"/>
    <x v="3"/>
    <x v="2"/>
    <m/>
    <m/>
    <m/>
    <n v="0"/>
    <m/>
    <n v="0"/>
    <n v="0"/>
    <n v="0"/>
    <m/>
    <m/>
    <x v="0"/>
    <m/>
    <m/>
    <m/>
    <m/>
    <s v="no test"/>
    <s v="no test"/>
    <x v="1"/>
    <n v="0"/>
    <n v="0"/>
    <n v="0"/>
    <n v="0"/>
    <n v="0"/>
    <n v="0"/>
    <n v="0"/>
    <n v="0"/>
    <n v="0"/>
    <n v="1"/>
    <n v="203"/>
    <n v="1"/>
    <n v="1"/>
    <n v="0"/>
    <n v="0"/>
    <n v="0"/>
    <n v="1"/>
    <n v="34"/>
    <n v="34"/>
    <n v="0"/>
    <s v="N/A"/>
    <n v="0"/>
    <n v="0"/>
    <n v="0"/>
    <n v="0"/>
    <n v="0"/>
    <n v="0"/>
    <n v="1"/>
    <n v="0"/>
    <n v="0"/>
    <n v="0"/>
    <n v="0"/>
    <n v="0"/>
    <n v="0"/>
    <n v="0"/>
    <n v="0"/>
    <n v="0"/>
    <x v="2"/>
    <x v="2"/>
    <x v="6"/>
    <x v="7"/>
    <n v="0"/>
    <n v="0"/>
    <n v="0"/>
    <x v="0"/>
    <s v="CLTS Village"/>
  </r>
  <r>
    <x v="1"/>
    <x v="12"/>
    <x v="1"/>
    <x v="17"/>
    <x v="234"/>
    <n v="45"/>
    <n v="206"/>
    <m/>
    <s v="GIZ"/>
    <d v="2019-05-30T00:00:00"/>
    <n v="0"/>
    <s v="No"/>
    <n v="0"/>
    <n v="0"/>
    <n v="0"/>
    <n v="0"/>
    <n v="0"/>
    <n v="0"/>
    <n v="0"/>
    <m/>
    <m/>
    <m/>
    <m/>
    <m/>
    <m/>
    <m/>
    <n v="2"/>
    <n v="0"/>
    <m/>
    <m/>
    <n v="0"/>
    <x v="3"/>
    <x v="2"/>
    <m/>
    <m/>
    <m/>
    <n v="0"/>
    <m/>
    <n v="0"/>
    <n v="0"/>
    <n v="0"/>
    <m/>
    <m/>
    <x v="0"/>
    <m/>
    <m/>
    <m/>
    <m/>
    <s v="no test"/>
    <s v="no test"/>
    <x v="1"/>
    <n v="0"/>
    <n v="0"/>
    <n v="0"/>
    <n v="0"/>
    <n v="0"/>
    <n v="0"/>
    <n v="0"/>
    <n v="0"/>
    <n v="0"/>
    <n v="1"/>
    <n v="206"/>
    <n v="1"/>
    <n v="1"/>
    <n v="2"/>
    <n v="5.8252427184466021E-2"/>
    <n v="12"/>
    <n v="0.93203883495145623"/>
    <n v="32"/>
    <n v="34"/>
    <n v="0"/>
    <s v="N/A"/>
    <n v="0"/>
    <n v="0"/>
    <n v="0"/>
    <n v="0"/>
    <n v="0"/>
    <n v="0"/>
    <n v="1"/>
    <n v="0"/>
    <n v="0"/>
    <n v="0"/>
    <n v="0"/>
    <n v="0"/>
    <n v="0"/>
    <n v="0"/>
    <n v="0"/>
    <n v="0"/>
    <x v="2"/>
    <x v="2"/>
    <x v="6"/>
    <x v="3"/>
    <n v="0"/>
    <n v="0"/>
    <n v="0"/>
    <x v="0"/>
    <s v="CLTS Village"/>
  </r>
  <r>
    <x v="1"/>
    <x v="12"/>
    <x v="1"/>
    <x v="17"/>
    <x v="235"/>
    <n v="144"/>
    <n v="792"/>
    <m/>
    <s v="GIZ"/>
    <d v="2019-05-30T00:00:00"/>
    <n v="0"/>
    <s v="No"/>
    <n v="0"/>
    <n v="0"/>
    <n v="0"/>
    <n v="0"/>
    <n v="0"/>
    <n v="0"/>
    <n v="0"/>
    <m/>
    <m/>
    <m/>
    <m/>
    <m/>
    <m/>
    <m/>
    <n v="2"/>
    <n v="0"/>
    <m/>
    <m/>
    <n v="0"/>
    <x v="3"/>
    <x v="2"/>
    <m/>
    <m/>
    <m/>
    <n v="0"/>
    <m/>
    <n v="0"/>
    <n v="0"/>
    <n v="0"/>
    <m/>
    <m/>
    <x v="0"/>
    <m/>
    <m/>
    <m/>
    <m/>
    <s v="no test"/>
    <s v="no test"/>
    <x v="1"/>
    <n v="0"/>
    <n v="0"/>
    <n v="0"/>
    <n v="0"/>
    <n v="0"/>
    <n v="0"/>
    <n v="0"/>
    <n v="0"/>
    <n v="0"/>
    <n v="1"/>
    <n v="792"/>
    <n v="2"/>
    <n v="2"/>
    <n v="2"/>
    <n v="1.5151515151515152E-2"/>
    <n v="12"/>
    <n v="0.98484848484848486"/>
    <n v="130"/>
    <n v="132"/>
    <n v="0"/>
    <s v="N/A"/>
    <n v="0"/>
    <n v="0"/>
    <n v="0"/>
    <n v="0"/>
    <n v="0"/>
    <n v="0"/>
    <n v="1"/>
    <n v="0"/>
    <n v="0"/>
    <n v="0"/>
    <n v="0"/>
    <n v="0"/>
    <n v="0"/>
    <n v="0"/>
    <n v="0"/>
    <n v="0"/>
    <x v="2"/>
    <x v="2"/>
    <x v="6"/>
    <x v="10"/>
    <n v="0"/>
    <n v="0"/>
    <n v="196815"/>
    <x v="0"/>
    <s v="CLTS Village"/>
  </r>
  <r>
    <x v="1"/>
    <x v="12"/>
    <x v="1"/>
    <x v="17"/>
    <x v="237"/>
    <n v="170"/>
    <n v="825"/>
    <m/>
    <s v="GIZ"/>
    <d v="2019-05-30T00:00:00"/>
    <n v="0"/>
    <s v="No"/>
    <n v="0"/>
    <n v="0"/>
    <n v="0"/>
    <n v="0"/>
    <n v="0"/>
    <n v="0"/>
    <n v="0"/>
    <m/>
    <m/>
    <m/>
    <m/>
    <m/>
    <m/>
    <m/>
    <n v="4"/>
    <n v="0"/>
    <m/>
    <m/>
    <n v="0"/>
    <x v="3"/>
    <x v="2"/>
    <m/>
    <m/>
    <m/>
    <n v="0"/>
    <m/>
    <n v="0"/>
    <n v="0"/>
    <n v="0"/>
    <m/>
    <m/>
    <x v="0"/>
    <m/>
    <m/>
    <m/>
    <m/>
    <s v="no test"/>
    <s v="no test"/>
    <x v="1"/>
    <n v="0"/>
    <n v="0"/>
    <n v="0"/>
    <n v="0"/>
    <n v="0"/>
    <n v="0"/>
    <n v="0"/>
    <n v="0"/>
    <n v="0"/>
    <n v="1"/>
    <n v="825"/>
    <n v="2"/>
    <n v="2"/>
    <n v="4"/>
    <n v="2.9090909090909091E-2"/>
    <n v="24"/>
    <n v="0.97454545454545449"/>
    <n v="134"/>
    <n v="138"/>
    <n v="0"/>
    <s v="N/A"/>
    <n v="0"/>
    <n v="0"/>
    <n v="0"/>
    <n v="0"/>
    <n v="0"/>
    <n v="0"/>
    <n v="1"/>
    <n v="0"/>
    <n v="0"/>
    <n v="0"/>
    <n v="0"/>
    <n v="0"/>
    <n v="0"/>
    <n v="0"/>
    <n v="0"/>
    <n v="0"/>
    <x v="2"/>
    <x v="2"/>
    <x v="6"/>
    <x v="3"/>
    <n v="20.894269943237301"/>
    <n v="92.920730590820298"/>
    <n v="196814"/>
    <x v="0"/>
    <s v="CLTS Village"/>
  </r>
  <r>
    <x v="1"/>
    <x v="12"/>
    <x v="1"/>
    <x v="17"/>
    <x v="239"/>
    <n v="138"/>
    <n v="609"/>
    <m/>
    <s v="GIZ"/>
    <d v="2019-05-30T00:00:00"/>
    <n v="0"/>
    <s v="No"/>
    <n v="0"/>
    <n v="0"/>
    <n v="0"/>
    <n v="0"/>
    <n v="0"/>
    <n v="0"/>
    <n v="0"/>
    <m/>
    <m/>
    <m/>
    <m/>
    <m/>
    <m/>
    <m/>
    <n v="18"/>
    <n v="0"/>
    <m/>
    <m/>
    <n v="0"/>
    <x v="4"/>
    <x v="4"/>
    <m/>
    <m/>
    <m/>
    <n v="0"/>
    <m/>
    <n v="0"/>
    <n v="0"/>
    <n v="0"/>
    <m/>
    <m/>
    <x v="0"/>
    <m/>
    <m/>
    <m/>
    <m/>
    <s v="no test"/>
    <s v="no test"/>
    <x v="1"/>
    <n v="0"/>
    <n v="0"/>
    <n v="0"/>
    <n v="0"/>
    <n v="0"/>
    <n v="0"/>
    <n v="0"/>
    <n v="0"/>
    <n v="0"/>
    <n v="1"/>
    <n v="609"/>
    <n v="1"/>
    <n v="1"/>
    <n v="18"/>
    <n v="0.17733990147783252"/>
    <n v="108"/>
    <n v="0.82758620689655171"/>
    <n v="84"/>
    <n v="102"/>
    <n v="0"/>
    <s v="N/A"/>
    <n v="0"/>
    <n v="0"/>
    <n v="0"/>
    <n v="0"/>
    <n v="0"/>
    <n v="0"/>
    <n v="1"/>
    <n v="0"/>
    <n v="0"/>
    <n v="0"/>
    <n v="0"/>
    <n v="0"/>
    <n v="0"/>
    <n v="0"/>
    <n v="0"/>
    <n v="0"/>
    <x v="2"/>
    <x v="2"/>
    <x v="6"/>
    <x v="3"/>
    <n v="20.677059173583999"/>
    <n v="92.9532470703125"/>
    <s v="196929"/>
    <x v="0"/>
    <s v="CLTS Village"/>
  </r>
  <r>
    <x v="1"/>
    <x v="2"/>
    <x v="1"/>
    <x v="17"/>
    <x v="240"/>
    <n v="118"/>
    <n v="665"/>
    <m/>
    <m/>
    <m/>
    <m/>
    <s v="No"/>
    <n v="0"/>
    <n v="0"/>
    <n v="0"/>
    <n v="0"/>
    <m/>
    <m/>
    <n v="1"/>
    <m/>
    <m/>
    <m/>
    <m/>
    <m/>
    <m/>
    <m/>
    <n v="0"/>
    <m/>
    <m/>
    <m/>
    <n v="0"/>
    <x v="1"/>
    <x v="1"/>
    <m/>
    <m/>
    <m/>
    <n v="0"/>
    <m/>
    <n v="0"/>
    <m/>
    <m/>
    <m/>
    <m/>
    <x v="0"/>
    <m/>
    <m/>
    <m/>
    <m/>
    <s v="no test"/>
    <s v="no test"/>
    <x v="1"/>
    <n v="0"/>
    <n v="0"/>
    <n v="0"/>
    <n v="0"/>
    <n v="0"/>
    <n v="0"/>
    <n v="0"/>
    <n v="0"/>
    <n v="0"/>
    <n v="1"/>
    <n v="665"/>
    <n v="1"/>
    <n v="1"/>
    <n v="0"/>
    <n v="0"/>
    <n v="0"/>
    <n v="1"/>
    <n v="111"/>
    <n v="111"/>
    <n v="0"/>
    <s v="N/A"/>
    <n v="0"/>
    <n v="0"/>
    <n v="0"/>
    <n v="0"/>
    <n v="0"/>
    <n v="0"/>
    <n v="1"/>
    <n v="0"/>
    <n v="0"/>
    <n v="0"/>
    <n v="0"/>
    <n v="0"/>
    <n v="0"/>
    <n v="0"/>
    <n v="0"/>
    <n v="0"/>
    <x v="3"/>
    <x v="2"/>
    <x v="7"/>
    <x v="3"/>
    <n v="20.697889328002901"/>
    <n v="92.951232910156307"/>
    <s v="196927"/>
    <x v="1"/>
    <m/>
  </r>
  <r>
    <x v="1"/>
    <x v="2"/>
    <x v="1"/>
    <x v="17"/>
    <x v="243"/>
    <n v="395"/>
    <n v="1687"/>
    <m/>
    <m/>
    <m/>
    <m/>
    <s v="No"/>
    <n v="0"/>
    <n v="0"/>
    <n v="0"/>
    <n v="0"/>
    <m/>
    <m/>
    <n v="2"/>
    <m/>
    <m/>
    <m/>
    <m/>
    <m/>
    <m/>
    <m/>
    <n v="0"/>
    <m/>
    <m/>
    <m/>
    <n v="0"/>
    <x v="1"/>
    <x v="1"/>
    <m/>
    <m/>
    <m/>
    <n v="0"/>
    <m/>
    <n v="0"/>
    <m/>
    <m/>
    <m/>
    <m/>
    <x v="0"/>
    <m/>
    <m/>
    <m/>
    <m/>
    <s v="no test"/>
    <s v="no test"/>
    <x v="1"/>
    <n v="0"/>
    <n v="0"/>
    <n v="0"/>
    <n v="0"/>
    <n v="0"/>
    <n v="0"/>
    <n v="0"/>
    <n v="0"/>
    <n v="0"/>
    <n v="1"/>
    <n v="1687"/>
    <n v="3"/>
    <n v="3"/>
    <n v="0"/>
    <n v="0"/>
    <n v="0"/>
    <n v="0.99940723177237689"/>
    <n v="281"/>
    <n v="281"/>
    <n v="0"/>
    <s v="N/A"/>
    <n v="0"/>
    <n v="0"/>
    <n v="0"/>
    <n v="0"/>
    <n v="0"/>
    <n v="0"/>
    <n v="1"/>
    <n v="0"/>
    <n v="0"/>
    <n v="0"/>
    <n v="0"/>
    <n v="0"/>
    <n v="0"/>
    <n v="0"/>
    <n v="0"/>
    <n v="0"/>
    <x v="3"/>
    <x v="2"/>
    <x v="7"/>
    <x v="3"/>
    <n v="0"/>
    <n v="0"/>
    <n v="0"/>
    <x v="1"/>
    <m/>
  </r>
  <r>
    <x v="1"/>
    <x v="12"/>
    <x v="1"/>
    <x v="17"/>
    <x v="244"/>
    <n v="98"/>
    <n v="418"/>
    <m/>
    <s v="GIZ"/>
    <d v="2019-05-30T00:00:00"/>
    <n v="0"/>
    <s v="No"/>
    <n v="0"/>
    <n v="0"/>
    <n v="0"/>
    <n v="0"/>
    <n v="0"/>
    <n v="0"/>
    <n v="0"/>
    <m/>
    <m/>
    <m/>
    <m/>
    <m/>
    <m/>
    <m/>
    <n v="36"/>
    <n v="0"/>
    <m/>
    <m/>
    <n v="0"/>
    <x v="3"/>
    <x v="2"/>
    <m/>
    <m/>
    <m/>
    <n v="0"/>
    <m/>
    <n v="0"/>
    <n v="0"/>
    <n v="0"/>
    <m/>
    <m/>
    <x v="0"/>
    <m/>
    <m/>
    <m/>
    <m/>
    <s v="no test"/>
    <s v="no test"/>
    <x v="1"/>
    <n v="0"/>
    <n v="0"/>
    <n v="0"/>
    <n v="0"/>
    <n v="0"/>
    <n v="0"/>
    <n v="0"/>
    <n v="0"/>
    <n v="0"/>
    <n v="1"/>
    <n v="418"/>
    <n v="1"/>
    <n v="1"/>
    <n v="36"/>
    <n v="0.51674641148325362"/>
    <n v="216"/>
    <n v="0.48803827751196172"/>
    <n v="34"/>
    <n v="70"/>
    <n v="0"/>
    <s v="N/A"/>
    <n v="0"/>
    <n v="0"/>
    <n v="0"/>
    <n v="0"/>
    <n v="0"/>
    <n v="0"/>
    <n v="1"/>
    <n v="0"/>
    <n v="0"/>
    <n v="0"/>
    <n v="0"/>
    <n v="0"/>
    <n v="0"/>
    <n v="0"/>
    <n v="0"/>
    <n v="0"/>
    <x v="2"/>
    <x v="2"/>
    <x v="6"/>
    <x v="7"/>
    <n v="20.831729888916001"/>
    <n v="92.919639587402301"/>
    <n v="196880"/>
    <x v="0"/>
    <s v="CLTS Village"/>
  </r>
  <r>
    <x v="1"/>
    <x v="2"/>
    <x v="1"/>
    <x v="17"/>
    <x v="245"/>
    <n v="144"/>
    <n v="1006"/>
    <m/>
    <m/>
    <m/>
    <m/>
    <s v="No"/>
    <n v="0"/>
    <n v="0"/>
    <n v="0"/>
    <n v="0"/>
    <m/>
    <m/>
    <n v="0"/>
    <m/>
    <m/>
    <m/>
    <m/>
    <m/>
    <m/>
    <m/>
    <n v="33"/>
    <m/>
    <m/>
    <m/>
    <n v="0"/>
    <x v="1"/>
    <x v="1"/>
    <m/>
    <m/>
    <m/>
    <n v="0"/>
    <m/>
    <n v="0"/>
    <m/>
    <n v="0"/>
    <m/>
    <m/>
    <x v="0"/>
    <m/>
    <m/>
    <m/>
    <m/>
    <s v="no test"/>
    <s v="no test"/>
    <x v="1"/>
    <n v="0"/>
    <n v="0"/>
    <n v="0"/>
    <n v="0"/>
    <n v="0"/>
    <n v="0"/>
    <n v="0"/>
    <n v="0"/>
    <n v="0"/>
    <n v="1"/>
    <n v="1006"/>
    <n v="2"/>
    <n v="2"/>
    <n v="33"/>
    <n v="0.19681908548707752"/>
    <n v="198"/>
    <n v="0.80516898608349907"/>
    <n v="135"/>
    <n v="168"/>
    <n v="0"/>
    <s v="N/A"/>
    <n v="0"/>
    <n v="0"/>
    <n v="0"/>
    <n v="0"/>
    <n v="0"/>
    <n v="0"/>
    <n v="1"/>
    <n v="0"/>
    <n v="0"/>
    <n v="0"/>
    <n v="0"/>
    <n v="0"/>
    <n v="0"/>
    <n v="0"/>
    <n v="0"/>
    <n v="0"/>
    <x v="3"/>
    <x v="2"/>
    <x v="10"/>
    <x v="5"/>
    <n v="20.78332"/>
    <n v="92.987399999999994"/>
    <s v="MMR012CMP029"/>
    <x v="1"/>
    <m/>
  </r>
  <r>
    <x v="1"/>
    <x v="13"/>
    <x v="1"/>
    <x v="17"/>
    <x v="246"/>
    <n v="233"/>
    <n v="1163"/>
    <m/>
    <s v="LDS"/>
    <d v="2018-09-30T00:00:00"/>
    <m/>
    <s v="No"/>
    <n v="0"/>
    <n v="0"/>
    <n v="0"/>
    <n v="0"/>
    <m/>
    <m/>
    <n v="0"/>
    <m/>
    <m/>
    <m/>
    <m/>
    <m/>
    <m/>
    <m/>
    <n v="39"/>
    <m/>
    <m/>
    <m/>
    <n v="0"/>
    <x v="1"/>
    <x v="1"/>
    <m/>
    <m/>
    <m/>
    <n v="0"/>
    <m/>
    <n v="0"/>
    <m/>
    <n v="0"/>
    <m/>
    <m/>
    <x v="0"/>
    <m/>
    <m/>
    <m/>
    <m/>
    <s v="no test"/>
    <s v="no test"/>
    <x v="1"/>
    <n v="0"/>
    <n v="0"/>
    <n v="0"/>
    <n v="0"/>
    <n v="0"/>
    <n v="0"/>
    <n v="0"/>
    <n v="0"/>
    <n v="0"/>
    <n v="1"/>
    <n v="1163"/>
    <n v="2"/>
    <n v="2"/>
    <n v="39"/>
    <n v="0.20120378331900257"/>
    <n v="234"/>
    <n v="0.79965606190885641"/>
    <n v="155"/>
    <n v="194"/>
    <n v="0"/>
    <s v="N/A"/>
    <n v="0"/>
    <n v="0"/>
    <n v="0"/>
    <n v="0"/>
    <n v="0"/>
    <n v="0"/>
    <n v="1"/>
    <n v="0"/>
    <n v="0"/>
    <n v="0"/>
    <n v="0"/>
    <n v="0"/>
    <n v="0"/>
    <n v="0"/>
    <n v="0"/>
    <n v="0"/>
    <x v="3"/>
    <x v="2"/>
    <x v="7"/>
    <x v="3"/>
    <n v="20.785699844360401"/>
    <n v="92.986633300781307"/>
    <s v="196869"/>
    <x v="0"/>
    <m/>
  </r>
  <r>
    <x v="1"/>
    <x v="12"/>
    <x v="1"/>
    <x v="17"/>
    <x v="247"/>
    <n v="454"/>
    <n v="3020"/>
    <m/>
    <s v="GIZ"/>
    <d v="2019-05-30T00:00:00"/>
    <n v="0"/>
    <s v="No"/>
    <n v="0"/>
    <n v="0"/>
    <n v="0"/>
    <n v="0"/>
    <n v="0"/>
    <n v="0"/>
    <n v="2"/>
    <m/>
    <m/>
    <m/>
    <m/>
    <m/>
    <m/>
    <m/>
    <n v="5"/>
    <n v="0"/>
    <m/>
    <m/>
    <n v="0"/>
    <x v="4"/>
    <x v="4"/>
    <m/>
    <m/>
    <m/>
    <n v="0"/>
    <m/>
    <n v="0"/>
    <n v="0"/>
    <n v="0"/>
    <m/>
    <m/>
    <x v="0"/>
    <m/>
    <m/>
    <m/>
    <m/>
    <s v="no test"/>
    <s v="no test"/>
    <x v="1"/>
    <n v="0"/>
    <n v="0"/>
    <n v="0"/>
    <n v="0"/>
    <n v="0"/>
    <n v="0"/>
    <n v="0"/>
    <n v="0"/>
    <n v="0"/>
    <n v="1"/>
    <n v="3020"/>
    <n v="6"/>
    <n v="6"/>
    <n v="5"/>
    <n v="9.9337748344370865E-3"/>
    <n v="30"/>
    <n v="0.98940397350993381"/>
    <n v="498"/>
    <n v="503"/>
    <n v="0"/>
    <s v="N/A"/>
    <n v="0"/>
    <n v="0"/>
    <n v="0"/>
    <n v="0"/>
    <n v="0"/>
    <n v="0"/>
    <n v="1"/>
    <n v="0"/>
    <n v="0"/>
    <n v="0"/>
    <n v="0"/>
    <n v="0"/>
    <n v="0"/>
    <n v="0"/>
    <n v="0"/>
    <n v="0"/>
    <x v="2"/>
    <x v="2"/>
    <x v="6"/>
    <x v="5"/>
    <n v="20.859569549560501"/>
    <n v="92.941146850585895"/>
    <s v="196823"/>
    <x v="0"/>
    <s v="CLTS Village"/>
  </r>
  <r>
    <x v="1"/>
    <x v="12"/>
    <x v="1"/>
    <x v="17"/>
    <x v="248"/>
    <n v="513"/>
    <n v="3224"/>
    <m/>
    <s v="GIZ"/>
    <d v="2019-05-30T00:00:00"/>
    <n v="0"/>
    <s v="No"/>
    <n v="0"/>
    <n v="0"/>
    <n v="0"/>
    <n v="0"/>
    <n v="0"/>
    <n v="0"/>
    <n v="0"/>
    <m/>
    <m/>
    <m/>
    <m/>
    <m/>
    <m/>
    <m/>
    <n v="0"/>
    <n v="0"/>
    <m/>
    <m/>
    <n v="0"/>
    <x v="3"/>
    <x v="2"/>
    <m/>
    <m/>
    <m/>
    <n v="0"/>
    <m/>
    <n v="0"/>
    <n v="0"/>
    <n v="0"/>
    <m/>
    <m/>
    <x v="0"/>
    <m/>
    <m/>
    <m/>
    <m/>
    <s v="no test"/>
    <s v="no test"/>
    <x v="1"/>
    <n v="0"/>
    <n v="0"/>
    <n v="0"/>
    <n v="0"/>
    <n v="0"/>
    <n v="0"/>
    <n v="0"/>
    <n v="0"/>
    <n v="0"/>
    <n v="1"/>
    <n v="3224"/>
    <n v="6"/>
    <n v="6"/>
    <n v="0"/>
    <n v="0"/>
    <n v="0"/>
    <n v="0.99937965260545902"/>
    <n v="537"/>
    <n v="537"/>
    <n v="0"/>
    <s v="N/A"/>
    <n v="0"/>
    <n v="0"/>
    <n v="0"/>
    <n v="0"/>
    <n v="0"/>
    <n v="0"/>
    <n v="1"/>
    <n v="0"/>
    <n v="0"/>
    <n v="0"/>
    <n v="0"/>
    <n v="0"/>
    <n v="0"/>
    <n v="0"/>
    <n v="0"/>
    <n v="0"/>
    <x v="2"/>
    <x v="2"/>
    <x v="6"/>
    <x v="5"/>
    <n v="20.864519119262699"/>
    <n v="92.940399169921903"/>
    <n v="196817"/>
    <x v="0"/>
    <s v="CLTS Village"/>
  </r>
  <r>
    <x v="1"/>
    <x v="12"/>
    <x v="1"/>
    <x v="17"/>
    <x v="249"/>
    <n v="168"/>
    <n v="1002"/>
    <m/>
    <s v="GIZ"/>
    <d v="2019-05-30T00:00:00"/>
    <n v="0"/>
    <s v="No"/>
    <n v="0"/>
    <n v="0"/>
    <n v="0"/>
    <n v="0"/>
    <n v="0"/>
    <n v="0"/>
    <n v="0"/>
    <m/>
    <m/>
    <m/>
    <m/>
    <m/>
    <m/>
    <m/>
    <n v="1"/>
    <n v="0"/>
    <m/>
    <m/>
    <n v="0"/>
    <x v="3"/>
    <x v="2"/>
    <m/>
    <m/>
    <m/>
    <n v="0"/>
    <m/>
    <n v="0"/>
    <n v="0"/>
    <n v="0"/>
    <m/>
    <m/>
    <x v="0"/>
    <m/>
    <m/>
    <m/>
    <m/>
    <s v="no test"/>
    <s v="no test"/>
    <x v="1"/>
    <n v="0"/>
    <n v="0"/>
    <n v="0"/>
    <n v="0"/>
    <n v="0"/>
    <n v="0"/>
    <n v="0"/>
    <n v="0"/>
    <n v="0"/>
    <n v="1"/>
    <n v="1002"/>
    <n v="2"/>
    <n v="2"/>
    <n v="1"/>
    <n v="5.9880239520958087E-3"/>
    <n v="6"/>
    <n v="0.99401197604790414"/>
    <n v="166"/>
    <n v="167"/>
    <n v="0"/>
    <s v="N/A"/>
    <n v="0"/>
    <n v="0"/>
    <n v="0"/>
    <n v="0"/>
    <n v="0"/>
    <n v="0"/>
    <n v="1"/>
    <n v="0"/>
    <n v="0"/>
    <n v="0"/>
    <n v="0"/>
    <n v="0"/>
    <n v="0"/>
    <n v="0"/>
    <n v="0"/>
    <n v="0"/>
    <x v="2"/>
    <x v="2"/>
    <x v="6"/>
    <x v="5"/>
    <n v="0"/>
    <n v="0"/>
    <n v="196818"/>
    <x v="0"/>
    <s v="CLTS Village"/>
  </r>
  <r>
    <x v="1"/>
    <x v="2"/>
    <x v="1"/>
    <x v="17"/>
    <x v="250"/>
    <n v="181"/>
    <n v="907"/>
    <m/>
    <m/>
    <m/>
    <m/>
    <s v="No"/>
    <n v="0"/>
    <n v="0"/>
    <n v="0"/>
    <n v="0"/>
    <m/>
    <m/>
    <n v="0"/>
    <m/>
    <m/>
    <m/>
    <m/>
    <m/>
    <m/>
    <m/>
    <n v="41"/>
    <m/>
    <m/>
    <m/>
    <n v="0"/>
    <x v="1"/>
    <x v="1"/>
    <m/>
    <m/>
    <m/>
    <n v="0"/>
    <m/>
    <n v="0"/>
    <m/>
    <n v="0"/>
    <m/>
    <m/>
    <x v="0"/>
    <m/>
    <m/>
    <m/>
    <m/>
    <s v="no test"/>
    <s v="no test"/>
    <x v="1"/>
    <n v="0"/>
    <n v="0"/>
    <n v="0"/>
    <n v="0"/>
    <n v="0"/>
    <n v="0"/>
    <n v="0"/>
    <n v="0"/>
    <n v="0"/>
    <n v="1"/>
    <n v="907"/>
    <n v="2"/>
    <n v="2"/>
    <n v="41"/>
    <n v="0.27122381477398017"/>
    <n v="246"/>
    <n v="0.72767364939360535"/>
    <n v="110"/>
    <n v="151"/>
    <n v="0"/>
    <s v="N/A"/>
    <n v="0"/>
    <n v="0"/>
    <n v="0"/>
    <n v="0"/>
    <n v="0"/>
    <n v="0"/>
    <n v="1"/>
    <n v="0"/>
    <n v="0"/>
    <n v="0"/>
    <n v="0"/>
    <n v="0"/>
    <n v="0"/>
    <n v="0"/>
    <n v="0"/>
    <n v="0"/>
    <x v="3"/>
    <x v="2"/>
    <x v="7"/>
    <x v="3"/>
    <n v="20.806400299072301"/>
    <n v="92.982147216796903"/>
    <s v="196873"/>
    <x v="1"/>
    <m/>
  </r>
  <r>
    <x v="1"/>
    <x v="12"/>
    <x v="1"/>
    <x v="17"/>
    <x v="251"/>
    <n v="173"/>
    <n v="867"/>
    <m/>
    <s v="GIZ"/>
    <d v="2019-05-30T00:00:00"/>
    <n v="20"/>
    <s v="No"/>
    <n v="0"/>
    <n v="0"/>
    <n v="0"/>
    <n v="0"/>
    <n v="0"/>
    <n v="0"/>
    <n v="0"/>
    <m/>
    <m/>
    <m/>
    <m/>
    <m/>
    <m/>
    <m/>
    <n v="17"/>
    <n v="0"/>
    <m/>
    <m/>
    <n v="0"/>
    <x v="3"/>
    <x v="2"/>
    <m/>
    <m/>
    <m/>
    <n v="0"/>
    <m/>
    <n v="0"/>
    <n v="0"/>
    <n v="0"/>
    <m/>
    <m/>
    <x v="0"/>
    <m/>
    <m/>
    <m/>
    <m/>
    <s v="no test"/>
    <s v="no test"/>
    <x v="1"/>
    <n v="0"/>
    <n v="0"/>
    <n v="0"/>
    <n v="0"/>
    <n v="0"/>
    <n v="0"/>
    <n v="0"/>
    <n v="0"/>
    <n v="0"/>
    <n v="1"/>
    <n v="867"/>
    <n v="2"/>
    <n v="2"/>
    <n v="17"/>
    <n v="0.11764705882352941"/>
    <n v="102"/>
    <n v="0.88581314878892736"/>
    <n v="128"/>
    <n v="145"/>
    <n v="0"/>
    <s v="N/A"/>
    <n v="0"/>
    <n v="0"/>
    <n v="0"/>
    <n v="0"/>
    <n v="0"/>
    <n v="0"/>
    <n v="1"/>
    <n v="0"/>
    <n v="0"/>
    <n v="0"/>
    <n v="0"/>
    <n v="0"/>
    <n v="0"/>
    <n v="0"/>
    <n v="0"/>
    <n v="0"/>
    <x v="3"/>
    <x v="2"/>
    <x v="10"/>
    <x v="5"/>
    <n v="20.587142"/>
    <n v="93.258573999999996"/>
    <s v="MMR012CMP005"/>
    <x v="0"/>
    <s v="CLTS Village"/>
  </r>
  <r>
    <x v="1"/>
    <x v="12"/>
    <x v="1"/>
    <x v="17"/>
    <x v="252"/>
    <n v="90"/>
    <n v="375"/>
    <m/>
    <s v="GIZ"/>
    <d v="2019-05-30T00:00:00"/>
    <n v="0"/>
    <s v="No"/>
    <n v="0"/>
    <n v="0"/>
    <m/>
    <m/>
    <m/>
    <m/>
    <m/>
    <m/>
    <m/>
    <m/>
    <m/>
    <m/>
    <m/>
    <m/>
    <m/>
    <m/>
    <m/>
    <m/>
    <m/>
    <x v="1"/>
    <x v="1"/>
    <m/>
    <m/>
    <m/>
    <m/>
    <m/>
    <m/>
    <m/>
    <m/>
    <m/>
    <m/>
    <x v="0"/>
    <m/>
    <m/>
    <m/>
    <m/>
    <s v="no test"/>
    <s v="no test"/>
    <x v="1"/>
    <n v="0"/>
    <n v="0"/>
    <n v="0"/>
    <n v="0"/>
    <n v="0"/>
    <n v="0"/>
    <n v="0"/>
    <n v="0"/>
    <n v="0"/>
    <n v="1"/>
    <n v="375"/>
    <n v="1"/>
    <n v="1"/>
    <n v="0"/>
    <n v="0"/>
    <n v="0"/>
    <n v="1"/>
    <n v="63"/>
    <n v="63"/>
    <n v="0"/>
    <s v="N/A"/>
    <n v="0"/>
    <n v="0"/>
    <n v="0"/>
    <n v="0"/>
    <n v="0"/>
    <n v="0"/>
    <n v="1"/>
    <n v="0"/>
    <n v="0"/>
    <n v="0"/>
    <n v="0"/>
    <n v="0"/>
    <n v="0"/>
    <n v="0"/>
    <n v="0"/>
    <n v="0"/>
    <x v="2"/>
    <x v="2"/>
    <x v="6"/>
    <x v="3"/>
    <n v="20.8037109375"/>
    <n v="92.946136474609403"/>
    <s v="196886"/>
    <x v="0"/>
    <s v="CLTS Village"/>
  </r>
  <r>
    <x v="1"/>
    <x v="12"/>
    <x v="1"/>
    <x v="17"/>
    <x v="254"/>
    <n v="73"/>
    <n v="306"/>
    <m/>
    <s v="GIZ"/>
    <d v="2019-05-30T00:00:00"/>
    <n v="0"/>
    <s v="No"/>
    <n v="0"/>
    <n v="0"/>
    <n v="0"/>
    <n v="0"/>
    <n v="0"/>
    <n v="0"/>
    <n v="0"/>
    <m/>
    <m/>
    <m/>
    <m/>
    <m/>
    <m/>
    <m/>
    <n v="0"/>
    <n v="0"/>
    <m/>
    <m/>
    <n v="0"/>
    <x v="3"/>
    <x v="2"/>
    <m/>
    <m/>
    <m/>
    <n v="0"/>
    <m/>
    <n v="0"/>
    <n v="0"/>
    <n v="0"/>
    <m/>
    <m/>
    <x v="0"/>
    <m/>
    <m/>
    <m/>
    <m/>
    <s v="no test"/>
    <s v="no test"/>
    <x v="1"/>
    <n v="0"/>
    <n v="0"/>
    <n v="0"/>
    <n v="0"/>
    <n v="0"/>
    <n v="0"/>
    <n v="0"/>
    <n v="0"/>
    <n v="0"/>
    <n v="1"/>
    <n v="306"/>
    <n v="1"/>
    <n v="1"/>
    <n v="0"/>
    <n v="0"/>
    <n v="0"/>
    <n v="1"/>
    <n v="51"/>
    <n v="51"/>
    <n v="0"/>
    <s v="N/A"/>
    <n v="0"/>
    <n v="0"/>
    <n v="0"/>
    <n v="0"/>
    <n v="0"/>
    <n v="0"/>
    <n v="1"/>
    <n v="0"/>
    <n v="0"/>
    <n v="0"/>
    <n v="0"/>
    <n v="0"/>
    <n v="0"/>
    <n v="0"/>
    <n v="0"/>
    <n v="0"/>
    <x v="2"/>
    <x v="2"/>
    <x v="6"/>
    <x v="3"/>
    <n v="0"/>
    <n v="0"/>
    <n v="0"/>
    <x v="0"/>
    <s v="CLTS Village"/>
  </r>
  <r>
    <x v="1"/>
    <x v="13"/>
    <x v="1"/>
    <x v="17"/>
    <x v="255"/>
    <n v="56"/>
    <n v="237"/>
    <n v="38"/>
    <s v="LDS"/>
    <d v="2018-09-30T00:00:00"/>
    <m/>
    <s v="No"/>
    <n v="0"/>
    <n v="0"/>
    <n v="0"/>
    <n v="0"/>
    <m/>
    <m/>
    <n v="0"/>
    <m/>
    <m/>
    <m/>
    <m/>
    <m/>
    <m/>
    <m/>
    <n v="73"/>
    <m/>
    <m/>
    <m/>
    <n v="0"/>
    <x v="1"/>
    <x v="1"/>
    <m/>
    <m/>
    <m/>
    <n v="0"/>
    <m/>
    <n v="0"/>
    <m/>
    <n v="0"/>
    <m/>
    <m/>
    <x v="0"/>
    <m/>
    <m/>
    <m/>
    <m/>
    <s v="no test"/>
    <s v="no test"/>
    <x v="1"/>
    <n v="0"/>
    <n v="0"/>
    <n v="0"/>
    <n v="0"/>
    <n v="0"/>
    <n v="0"/>
    <n v="0"/>
    <n v="0"/>
    <n v="0"/>
    <n v="1"/>
    <n v="237"/>
    <n v="1"/>
    <n v="1"/>
    <n v="73"/>
    <n v="1"/>
    <n v="237"/>
    <n v="0"/>
    <n v="0"/>
    <n v="40"/>
    <n v="0"/>
    <s v="N/A"/>
    <n v="0"/>
    <n v="0"/>
    <n v="0"/>
    <n v="0"/>
    <n v="0"/>
    <n v="0"/>
    <n v="1"/>
    <n v="0"/>
    <n v="0"/>
    <n v="0"/>
    <n v="0"/>
    <n v="0"/>
    <n v="0"/>
    <n v="0"/>
    <n v="0"/>
    <n v="0"/>
    <x v="3"/>
    <x v="2"/>
    <x v="7"/>
    <x v="8"/>
    <n v="20.860509872436499"/>
    <n v="92.966751098632798"/>
    <n v="196828"/>
    <x v="0"/>
    <m/>
  </r>
  <r>
    <x v="1"/>
    <x v="13"/>
    <x v="1"/>
    <x v="17"/>
    <x v="256"/>
    <n v="138"/>
    <n v="885"/>
    <n v="286"/>
    <s v="LDS"/>
    <d v="2018-09-30T00:00:00"/>
    <m/>
    <s v="No"/>
    <n v="0"/>
    <n v="0"/>
    <n v="0"/>
    <n v="0"/>
    <m/>
    <m/>
    <n v="0"/>
    <m/>
    <m/>
    <m/>
    <m/>
    <m/>
    <m/>
    <m/>
    <n v="73"/>
    <m/>
    <m/>
    <m/>
    <n v="0"/>
    <x v="1"/>
    <x v="1"/>
    <m/>
    <m/>
    <m/>
    <n v="0"/>
    <m/>
    <n v="0"/>
    <m/>
    <n v="0"/>
    <m/>
    <m/>
    <x v="0"/>
    <m/>
    <m/>
    <m/>
    <m/>
    <s v="no test"/>
    <s v="no test"/>
    <x v="1"/>
    <n v="0"/>
    <n v="0"/>
    <n v="0"/>
    <n v="0"/>
    <n v="0"/>
    <n v="0"/>
    <n v="0"/>
    <n v="0"/>
    <n v="0"/>
    <n v="1"/>
    <n v="885"/>
    <n v="2"/>
    <n v="2"/>
    <n v="73"/>
    <n v="0.49491525423728816"/>
    <n v="438"/>
    <n v="0.50847457627118642"/>
    <n v="75"/>
    <n v="148"/>
    <n v="0"/>
    <s v="N/A"/>
    <n v="0"/>
    <n v="0"/>
    <n v="0"/>
    <n v="0"/>
    <n v="0"/>
    <n v="0"/>
    <n v="1"/>
    <n v="0"/>
    <n v="0"/>
    <n v="0"/>
    <n v="0"/>
    <n v="0"/>
    <n v="0"/>
    <n v="0"/>
    <n v="0"/>
    <n v="0"/>
    <x v="3"/>
    <x v="2"/>
    <x v="10"/>
    <x v="5"/>
    <n v="20.727589999999999"/>
    <n v="92.969350000000006"/>
    <s v="MMR012CMP028"/>
    <x v="0"/>
    <m/>
  </r>
  <r>
    <x v="1"/>
    <x v="2"/>
    <x v="1"/>
    <x v="17"/>
    <x v="257"/>
    <n v="139"/>
    <n v="695"/>
    <m/>
    <m/>
    <m/>
    <m/>
    <s v="No"/>
    <n v="0"/>
    <n v="0"/>
    <n v="0"/>
    <n v="0"/>
    <m/>
    <m/>
    <n v="0"/>
    <m/>
    <m/>
    <m/>
    <m/>
    <m/>
    <m/>
    <m/>
    <n v="73"/>
    <m/>
    <m/>
    <m/>
    <n v="0"/>
    <x v="1"/>
    <x v="1"/>
    <m/>
    <m/>
    <m/>
    <n v="0"/>
    <m/>
    <n v="0"/>
    <m/>
    <n v="0"/>
    <m/>
    <m/>
    <x v="0"/>
    <m/>
    <m/>
    <m/>
    <m/>
    <s v="no test"/>
    <s v="no test"/>
    <x v="1"/>
    <n v="0"/>
    <n v="0"/>
    <n v="0"/>
    <n v="0"/>
    <n v="0"/>
    <n v="0"/>
    <n v="0"/>
    <n v="0"/>
    <n v="0"/>
    <n v="1"/>
    <n v="695"/>
    <n v="1"/>
    <n v="1"/>
    <n v="73"/>
    <n v="0.63021582733812953"/>
    <n v="438"/>
    <n v="0.37122302158273385"/>
    <n v="43"/>
    <n v="116"/>
    <n v="0"/>
    <s v="N/A"/>
    <n v="0"/>
    <n v="0"/>
    <n v="0"/>
    <n v="0"/>
    <n v="0"/>
    <n v="0"/>
    <n v="1"/>
    <n v="0"/>
    <n v="0"/>
    <n v="0"/>
    <n v="0"/>
    <n v="0"/>
    <n v="0"/>
    <n v="0"/>
    <n v="0"/>
    <n v="0"/>
    <x v="3"/>
    <x v="2"/>
    <x v="7"/>
    <x v="3"/>
    <n v="20.723630905151399"/>
    <n v="92.974327087402301"/>
    <s v="196951"/>
    <x v="1"/>
    <m/>
  </r>
  <r>
    <x v="1"/>
    <x v="11"/>
    <x v="1"/>
    <x v="19"/>
    <x v="258"/>
    <n v="113"/>
    <n v="420"/>
    <m/>
    <s v="UNICEF"/>
    <d v="2018-02-14T00:00:00"/>
    <n v="0"/>
    <m/>
    <m/>
    <m/>
    <n v="3"/>
    <n v="0"/>
    <n v="0"/>
    <n v="2"/>
    <n v="0"/>
    <m/>
    <m/>
    <m/>
    <m/>
    <m/>
    <m/>
    <m/>
    <n v="0"/>
    <n v="0"/>
    <m/>
    <m/>
    <n v="0"/>
    <x v="4"/>
    <x v="4"/>
    <m/>
    <m/>
    <m/>
    <n v="0"/>
    <s v="Household"/>
    <n v="0"/>
    <n v="0"/>
    <n v="5"/>
    <n v="120"/>
    <n v="120"/>
    <x v="0"/>
    <m/>
    <m/>
    <m/>
    <m/>
    <s v="no test"/>
    <s v="no test"/>
    <x v="1"/>
    <n v="1"/>
    <n v="1"/>
    <n v="1"/>
    <n v="420"/>
    <n v="1"/>
    <n v="420"/>
    <n v="1"/>
    <n v="420"/>
    <n v="1"/>
    <n v="0"/>
    <n v="0"/>
    <n v="0"/>
    <n v="1"/>
    <n v="0"/>
    <n v="0"/>
    <n v="0"/>
    <n v="1"/>
    <n v="70"/>
    <n v="70"/>
    <n v="0"/>
    <s v="N/A"/>
    <n v="420"/>
    <n v="1"/>
    <n v="1"/>
    <n v="1"/>
    <n v="420"/>
    <n v="1"/>
    <n v="0"/>
    <n v="1"/>
    <n v="1"/>
    <n v="1"/>
    <n v="600"/>
    <n v="600"/>
    <n v="600"/>
    <n v="0"/>
    <n v="0"/>
    <n v="0"/>
    <x v="3"/>
    <x v="2"/>
    <x v="7"/>
    <x v="3"/>
    <n v="20.910375595092798"/>
    <n v="92.400138854980497"/>
    <n v="220734"/>
    <x v="0"/>
    <m/>
  </r>
  <r>
    <x v="1"/>
    <x v="11"/>
    <x v="1"/>
    <x v="19"/>
    <x v="259"/>
    <n v="41"/>
    <n v="200"/>
    <m/>
    <s v="UNICEF"/>
    <d v="2018-08-31T00:00:00"/>
    <n v="0"/>
    <m/>
    <m/>
    <m/>
    <n v="0"/>
    <n v="0"/>
    <n v="0"/>
    <n v="0"/>
    <n v="1"/>
    <m/>
    <m/>
    <m/>
    <m/>
    <m/>
    <m/>
    <m/>
    <m/>
    <m/>
    <m/>
    <m/>
    <n v="4"/>
    <x v="4"/>
    <x v="4"/>
    <m/>
    <m/>
    <m/>
    <n v="0"/>
    <s v="Household"/>
    <n v="0"/>
    <n v="0"/>
    <n v="5"/>
    <n v="41"/>
    <n v="41"/>
    <x v="0"/>
    <m/>
    <m/>
    <m/>
    <m/>
    <s v="no test"/>
    <s v="no test"/>
    <x v="1"/>
    <n v="0"/>
    <n v="0"/>
    <n v="0"/>
    <n v="0"/>
    <n v="0"/>
    <n v="0"/>
    <n v="0"/>
    <n v="0"/>
    <n v="0"/>
    <n v="1"/>
    <n v="200"/>
    <n v="1"/>
    <n v="1"/>
    <n v="0"/>
    <n v="0"/>
    <n v="0"/>
    <n v="0.98999999999999988"/>
    <n v="33"/>
    <n v="33"/>
    <n v="0"/>
    <s v="N/A"/>
    <n v="200"/>
    <n v="1"/>
    <n v="1"/>
    <n v="1"/>
    <n v="200"/>
    <n v="1"/>
    <n v="0"/>
    <n v="1"/>
    <n v="1"/>
    <n v="1"/>
    <n v="205"/>
    <n v="205"/>
    <n v="205"/>
    <n v="0"/>
    <n v="0"/>
    <n v="0"/>
    <x v="3"/>
    <x v="2"/>
    <x v="7"/>
    <x v="3"/>
    <n v="20.473930358886701"/>
    <n v="92.668853759765597"/>
    <n v="197631"/>
    <x v="0"/>
    <m/>
  </r>
  <r>
    <x v="1"/>
    <x v="11"/>
    <x v="1"/>
    <x v="19"/>
    <x v="260"/>
    <n v="104"/>
    <n v="521"/>
    <m/>
    <s v="UNICEF"/>
    <d v="2018-02-14T00:00:00"/>
    <n v="0"/>
    <m/>
    <m/>
    <m/>
    <n v="0"/>
    <n v="0"/>
    <n v="0"/>
    <n v="1"/>
    <n v="0"/>
    <m/>
    <m/>
    <m/>
    <m/>
    <m/>
    <m/>
    <m/>
    <n v="3"/>
    <n v="0"/>
    <m/>
    <m/>
    <n v="3"/>
    <x v="4"/>
    <x v="4"/>
    <m/>
    <m/>
    <m/>
    <n v="0"/>
    <s v="Household"/>
    <n v="0"/>
    <n v="0"/>
    <n v="5"/>
    <n v="104"/>
    <n v="104"/>
    <x v="0"/>
    <m/>
    <m/>
    <m/>
    <m/>
    <s v="no test"/>
    <s v="no test"/>
    <x v="1"/>
    <n v="0"/>
    <n v="0"/>
    <n v="0"/>
    <n v="0"/>
    <n v="0.47984644913627639"/>
    <n v="250"/>
    <n v="0.47984644913627639"/>
    <n v="250"/>
    <n v="1"/>
    <n v="0.52015355086372361"/>
    <n v="271"/>
    <n v="0"/>
    <n v="1"/>
    <n v="3"/>
    <n v="3.4548944337811902E-2"/>
    <n v="18"/>
    <n v="0.9673704414587333"/>
    <n v="84"/>
    <n v="87"/>
    <n v="0"/>
    <s v="N/A"/>
    <n v="521"/>
    <n v="1"/>
    <n v="1"/>
    <n v="1"/>
    <n v="521"/>
    <n v="1"/>
    <n v="0"/>
    <n v="1"/>
    <n v="1"/>
    <n v="1"/>
    <n v="520"/>
    <n v="520"/>
    <n v="520"/>
    <n v="0"/>
    <n v="0"/>
    <n v="0"/>
    <x v="3"/>
    <x v="2"/>
    <x v="7"/>
    <x v="3"/>
    <n v="20.987419128418001"/>
    <n v="92.362136840820298"/>
    <n v="197913"/>
    <x v="0"/>
    <m/>
  </r>
  <r>
    <x v="1"/>
    <x v="11"/>
    <x v="1"/>
    <x v="19"/>
    <x v="261"/>
    <n v="153"/>
    <n v="1290"/>
    <m/>
    <s v="UNICEF"/>
    <d v="2018-08-31T00:00:00"/>
    <n v="0"/>
    <m/>
    <m/>
    <m/>
    <n v="0"/>
    <n v="0"/>
    <n v="0"/>
    <n v="0"/>
    <n v="0"/>
    <m/>
    <m/>
    <m/>
    <m/>
    <m/>
    <m/>
    <m/>
    <m/>
    <m/>
    <m/>
    <m/>
    <n v="2"/>
    <x v="4"/>
    <x v="4"/>
    <m/>
    <m/>
    <m/>
    <n v="0"/>
    <s v="Household"/>
    <n v="0"/>
    <n v="0"/>
    <n v="5"/>
    <n v="153"/>
    <n v="153"/>
    <x v="0"/>
    <m/>
    <m/>
    <m/>
    <m/>
    <s v="no test"/>
    <s v="no test"/>
    <x v="1"/>
    <n v="0"/>
    <n v="0"/>
    <n v="0"/>
    <n v="0"/>
    <n v="0"/>
    <n v="0"/>
    <n v="0"/>
    <n v="0"/>
    <n v="0"/>
    <n v="1"/>
    <n v="1290"/>
    <n v="3"/>
    <n v="3"/>
    <n v="0"/>
    <n v="0"/>
    <n v="0"/>
    <n v="1"/>
    <n v="215"/>
    <n v="215"/>
    <n v="0"/>
    <s v="N/A"/>
    <n v="1290"/>
    <n v="1"/>
    <n v="1"/>
    <n v="1"/>
    <n v="1290"/>
    <n v="1"/>
    <n v="0"/>
    <n v="1"/>
    <n v="1"/>
    <n v="1"/>
    <n v="765"/>
    <n v="765"/>
    <n v="765"/>
    <n v="0"/>
    <n v="0"/>
    <n v="0"/>
    <x v="3"/>
    <x v="2"/>
    <x v="7"/>
    <x v="5"/>
    <n v="20.866529464721701"/>
    <n v="92.364883422851605"/>
    <n v="197969"/>
    <x v="0"/>
    <m/>
  </r>
  <r>
    <x v="1"/>
    <x v="15"/>
    <x v="1"/>
    <x v="19"/>
    <x v="262"/>
    <n v="210"/>
    <n v="694"/>
    <m/>
    <s v="German (AA/BMZ)"/>
    <d v="2020-10-30T00:00:00"/>
    <n v="2"/>
    <s v="NA"/>
    <s v="NA"/>
    <s v="NA"/>
    <m/>
    <m/>
    <m/>
    <m/>
    <m/>
    <m/>
    <m/>
    <m/>
    <m/>
    <m/>
    <m/>
    <m/>
    <m/>
    <m/>
    <m/>
    <m/>
    <m/>
    <x v="2"/>
    <x v="3"/>
    <m/>
    <m/>
    <m/>
    <m/>
    <m/>
    <m/>
    <m/>
    <m/>
    <n v="138"/>
    <n v="138"/>
    <x v="0"/>
    <m/>
    <m/>
    <m/>
    <m/>
    <s v="no test"/>
    <s v="no test"/>
    <x v="1"/>
    <n v="0"/>
    <n v="0"/>
    <n v="0"/>
    <n v="0"/>
    <n v="0"/>
    <n v="0"/>
    <n v="0"/>
    <n v="0"/>
    <n v="0"/>
    <n v="1"/>
    <n v="694"/>
    <n v="1"/>
    <n v="1"/>
    <n v="0"/>
    <n v="0"/>
    <n v="0"/>
    <n v="1"/>
    <n v="116"/>
    <n v="116"/>
    <n v="0"/>
    <s v="N/A"/>
    <n v="0"/>
    <n v="0"/>
    <n v="0"/>
    <n v="0"/>
    <n v="0"/>
    <n v="0"/>
    <n v="1"/>
    <n v="0"/>
    <n v="0.65714285714285714"/>
    <n v="0.65714285714285714"/>
    <n v="690"/>
    <n v="690"/>
    <n v="690"/>
    <n v="0"/>
    <n v="0"/>
    <n v="0"/>
    <x v="3"/>
    <x v="2"/>
    <x v="7"/>
    <x v="5"/>
    <n v="21.012830734252901"/>
    <n v="92.338958740234403"/>
    <n v="197878"/>
    <x v="0"/>
    <m/>
  </r>
  <r>
    <x v="1"/>
    <x v="11"/>
    <x v="1"/>
    <x v="19"/>
    <x v="263"/>
    <n v="350"/>
    <n v="1711"/>
    <m/>
    <s v="UNICEF"/>
    <d v="2018-08-31T00:00:00"/>
    <n v="0"/>
    <m/>
    <m/>
    <m/>
    <n v="0"/>
    <n v="0"/>
    <n v="0"/>
    <n v="0"/>
    <n v="0"/>
    <m/>
    <m/>
    <m/>
    <m/>
    <m/>
    <m/>
    <m/>
    <m/>
    <m/>
    <m/>
    <m/>
    <n v="12"/>
    <x v="4"/>
    <x v="4"/>
    <m/>
    <m/>
    <m/>
    <n v="0"/>
    <s v="Household"/>
    <n v="0"/>
    <n v="0"/>
    <n v="5"/>
    <n v="350"/>
    <n v="350"/>
    <x v="0"/>
    <m/>
    <m/>
    <m/>
    <m/>
    <s v="no test"/>
    <s v="no test"/>
    <x v="1"/>
    <n v="0"/>
    <n v="0"/>
    <n v="0"/>
    <n v="0"/>
    <n v="0"/>
    <n v="0"/>
    <n v="0"/>
    <n v="0"/>
    <n v="0"/>
    <n v="1"/>
    <n v="1711"/>
    <n v="3"/>
    <n v="3"/>
    <n v="0"/>
    <n v="0"/>
    <n v="0"/>
    <n v="0.99941554646405606"/>
    <n v="285"/>
    <n v="285"/>
    <n v="0"/>
    <s v="N/A"/>
    <n v="1711"/>
    <n v="1"/>
    <n v="1"/>
    <n v="1"/>
    <n v="1711"/>
    <n v="1"/>
    <n v="0"/>
    <n v="1"/>
    <n v="1"/>
    <n v="1"/>
    <n v="1750"/>
    <n v="1750"/>
    <n v="1750"/>
    <n v="0"/>
    <n v="0"/>
    <n v="0"/>
    <x v="3"/>
    <x v="2"/>
    <x v="7"/>
    <x v="5"/>
    <n v="20.903369903564499"/>
    <n v="92.332237243652301"/>
    <n v="197961"/>
    <x v="0"/>
    <m/>
  </r>
  <r>
    <x v="1"/>
    <x v="11"/>
    <x v="1"/>
    <x v="19"/>
    <x v="264"/>
    <n v="79"/>
    <n v="334"/>
    <m/>
    <s v="UNICEF"/>
    <d v="2018-02-14T00:00:00"/>
    <n v="0"/>
    <m/>
    <m/>
    <m/>
    <n v="1"/>
    <n v="25"/>
    <n v="0"/>
    <n v="5"/>
    <n v="1"/>
    <m/>
    <m/>
    <m/>
    <m/>
    <m/>
    <m/>
    <m/>
    <n v="5"/>
    <n v="0"/>
    <m/>
    <m/>
    <n v="5"/>
    <x v="4"/>
    <x v="4"/>
    <m/>
    <m/>
    <m/>
    <n v="0"/>
    <s v="Household"/>
    <n v="0"/>
    <n v="0"/>
    <n v="5"/>
    <n v="79"/>
    <n v="79"/>
    <x v="0"/>
    <m/>
    <m/>
    <m/>
    <m/>
    <s v="no test"/>
    <s v="no test"/>
    <x v="1"/>
    <n v="1"/>
    <n v="1"/>
    <n v="1"/>
    <n v="334"/>
    <n v="1"/>
    <n v="334"/>
    <n v="1"/>
    <n v="334"/>
    <n v="1"/>
    <n v="0"/>
    <n v="0"/>
    <n v="0"/>
    <n v="1"/>
    <n v="5"/>
    <n v="8.9820359281437126E-2"/>
    <n v="30"/>
    <n v="0.91616766467065869"/>
    <n v="51"/>
    <n v="56"/>
    <n v="0"/>
    <s v="N/A"/>
    <n v="334"/>
    <n v="1"/>
    <n v="1"/>
    <n v="1"/>
    <n v="334"/>
    <n v="1"/>
    <n v="0"/>
    <n v="1"/>
    <n v="1"/>
    <n v="1"/>
    <n v="395"/>
    <n v="395"/>
    <n v="395"/>
    <n v="0"/>
    <n v="0"/>
    <n v="0"/>
    <x v="3"/>
    <x v="2"/>
    <x v="7"/>
    <x v="3"/>
    <n v="21.007270812988299"/>
    <n v="92.3585205078125"/>
    <n v="197910"/>
    <x v="0"/>
    <m/>
  </r>
  <r>
    <x v="1"/>
    <x v="11"/>
    <x v="1"/>
    <x v="19"/>
    <x v="265"/>
    <n v="220"/>
    <n v="1442"/>
    <m/>
    <s v="UNICEF"/>
    <d v="2018-08-31T00:00:00"/>
    <n v="0"/>
    <m/>
    <m/>
    <m/>
    <n v="0"/>
    <n v="0"/>
    <n v="0"/>
    <n v="0"/>
    <n v="0"/>
    <m/>
    <m/>
    <m/>
    <m/>
    <m/>
    <m/>
    <m/>
    <m/>
    <m/>
    <m/>
    <m/>
    <n v="18"/>
    <x v="4"/>
    <x v="4"/>
    <m/>
    <m/>
    <m/>
    <n v="0"/>
    <s v="Household"/>
    <n v="0"/>
    <n v="0"/>
    <n v="5"/>
    <n v="181"/>
    <n v="181"/>
    <x v="0"/>
    <m/>
    <m/>
    <m/>
    <m/>
    <s v="no test"/>
    <s v="no test"/>
    <x v="1"/>
    <n v="0"/>
    <n v="0"/>
    <n v="0"/>
    <n v="0"/>
    <n v="0"/>
    <n v="0"/>
    <n v="0"/>
    <n v="0"/>
    <n v="0"/>
    <n v="1"/>
    <n v="1442"/>
    <n v="3"/>
    <n v="3"/>
    <n v="0"/>
    <n v="0"/>
    <n v="0"/>
    <n v="0.9986130374479889"/>
    <n v="240"/>
    <n v="240"/>
    <n v="0"/>
    <s v="N/A"/>
    <n v="1442"/>
    <n v="0"/>
    <n v="1"/>
    <n v="0"/>
    <n v="0"/>
    <n v="0"/>
    <n v="1"/>
    <n v="1"/>
    <n v="0.82272727272727275"/>
    <n v="0.82272727272727275"/>
    <n v="905"/>
    <n v="905"/>
    <n v="905"/>
    <n v="0"/>
    <n v="0"/>
    <n v="0"/>
    <x v="3"/>
    <x v="2"/>
    <x v="7"/>
    <x v="5"/>
    <n v="20.872400283813501"/>
    <n v="92.337608337402301"/>
    <n v="197971"/>
    <x v="0"/>
    <m/>
  </r>
  <r>
    <x v="1"/>
    <x v="15"/>
    <x v="1"/>
    <x v="19"/>
    <x v="266"/>
    <n v="87"/>
    <n v="412"/>
    <m/>
    <s v="German (AA/BMZ)"/>
    <d v="2020-10-30T00:00:00"/>
    <n v="2"/>
    <s v="NA"/>
    <s v="NA"/>
    <s v="NA"/>
    <m/>
    <m/>
    <m/>
    <m/>
    <m/>
    <m/>
    <m/>
    <m/>
    <m/>
    <m/>
    <m/>
    <m/>
    <m/>
    <m/>
    <m/>
    <m/>
    <m/>
    <x v="2"/>
    <x v="3"/>
    <m/>
    <m/>
    <m/>
    <m/>
    <m/>
    <m/>
    <m/>
    <m/>
    <m/>
    <m/>
    <x v="0"/>
    <m/>
    <m/>
    <m/>
    <m/>
    <s v="no test"/>
    <s v="no test"/>
    <x v="1"/>
    <n v="0"/>
    <n v="0"/>
    <n v="0"/>
    <n v="0"/>
    <n v="0"/>
    <n v="0"/>
    <n v="0"/>
    <n v="0"/>
    <n v="0"/>
    <n v="1"/>
    <n v="412"/>
    <n v="1"/>
    <n v="1"/>
    <n v="0"/>
    <n v="0"/>
    <n v="0"/>
    <n v="1"/>
    <n v="69"/>
    <n v="69"/>
    <n v="0"/>
    <s v="N/A"/>
    <n v="0"/>
    <n v="0"/>
    <n v="0"/>
    <n v="0"/>
    <n v="0"/>
    <n v="0"/>
    <n v="1"/>
    <n v="0"/>
    <n v="0"/>
    <n v="0"/>
    <n v="0"/>
    <n v="0"/>
    <n v="0"/>
    <n v="0"/>
    <n v="0"/>
    <n v="0"/>
    <x v="3"/>
    <x v="2"/>
    <x v="7"/>
    <x v="3"/>
    <n v="21.2182006835938"/>
    <n v="92.323173522949205"/>
    <n v="197830"/>
    <x v="0"/>
    <m/>
  </r>
  <r>
    <x v="1"/>
    <x v="11"/>
    <x v="1"/>
    <x v="19"/>
    <x v="267"/>
    <n v="115"/>
    <n v="700"/>
    <m/>
    <s v="UNICEF"/>
    <d v="2018-08-31T00:00:00"/>
    <n v="0"/>
    <m/>
    <m/>
    <m/>
    <n v="0"/>
    <n v="0"/>
    <n v="0"/>
    <n v="0"/>
    <n v="1"/>
    <m/>
    <m/>
    <m/>
    <m/>
    <m/>
    <m/>
    <m/>
    <m/>
    <m/>
    <m/>
    <m/>
    <n v="3"/>
    <x v="4"/>
    <x v="4"/>
    <m/>
    <m/>
    <m/>
    <n v="0"/>
    <s v="Household"/>
    <n v="0"/>
    <n v="0"/>
    <n v="5"/>
    <n v="115"/>
    <n v="115"/>
    <x v="0"/>
    <m/>
    <m/>
    <m/>
    <m/>
    <s v="no test"/>
    <s v="no test"/>
    <x v="1"/>
    <n v="0"/>
    <n v="0"/>
    <n v="0"/>
    <n v="0"/>
    <n v="0"/>
    <n v="0"/>
    <n v="0"/>
    <n v="0"/>
    <n v="0"/>
    <n v="1"/>
    <n v="700"/>
    <n v="1"/>
    <n v="1"/>
    <n v="0"/>
    <n v="0"/>
    <n v="0"/>
    <n v="1"/>
    <n v="117"/>
    <n v="117"/>
    <n v="0"/>
    <s v="N/A"/>
    <n v="700"/>
    <n v="1"/>
    <n v="1"/>
    <n v="1"/>
    <n v="700"/>
    <n v="1"/>
    <n v="0"/>
    <n v="1"/>
    <n v="1"/>
    <n v="1"/>
    <n v="575"/>
    <n v="575"/>
    <n v="575"/>
    <n v="0"/>
    <n v="0"/>
    <n v="0"/>
    <x v="3"/>
    <x v="2"/>
    <x v="7"/>
    <x v="3"/>
    <n v="20.731571197509801"/>
    <n v="92.428176879882798"/>
    <n v="198016"/>
    <x v="0"/>
    <m/>
  </r>
  <r>
    <x v="1"/>
    <x v="15"/>
    <x v="1"/>
    <x v="19"/>
    <x v="268"/>
    <n v="34"/>
    <n v="163"/>
    <m/>
    <s v="German (AA/BMZ)"/>
    <d v="2020-10-30T00:00:00"/>
    <n v="2"/>
    <s v="NA"/>
    <s v="NA"/>
    <s v="NA"/>
    <m/>
    <m/>
    <m/>
    <m/>
    <m/>
    <m/>
    <m/>
    <m/>
    <m/>
    <m/>
    <m/>
    <m/>
    <m/>
    <m/>
    <m/>
    <m/>
    <m/>
    <x v="2"/>
    <x v="3"/>
    <m/>
    <m/>
    <m/>
    <m/>
    <m/>
    <m/>
    <m/>
    <m/>
    <n v="34"/>
    <n v="34"/>
    <x v="0"/>
    <m/>
    <m/>
    <m/>
    <m/>
    <s v="no test"/>
    <s v="no test"/>
    <x v="1"/>
    <n v="0"/>
    <n v="0"/>
    <n v="0"/>
    <n v="0"/>
    <n v="0"/>
    <n v="0"/>
    <n v="0"/>
    <n v="0"/>
    <n v="0"/>
    <n v="1"/>
    <n v="163"/>
    <n v="1"/>
    <n v="1"/>
    <n v="0"/>
    <n v="0"/>
    <n v="0"/>
    <n v="0.99386503067484655"/>
    <n v="27"/>
    <n v="27"/>
    <n v="0"/>
    <s v="N/A"/>
    <n v="0"/>
    <n v="1"/>
    <n v="0"/>
    <n v="1"/>
    <n v="163"/>
    <n v="1"/>
    <n v="0"/>
    <n v="0"/>
    <n v="1"/>
    <n v="1"/>
    <n v="170"/>
    <n v="170"/>
    <n v="170"/>
    <n v="0"/>
    <n v="0"/>
    <n v="0"/>
    <x v="3"/>
    <x v="2"/>
    <x v="7"/>
    <x v="3"/>
    <n v="21.153581619262699"/>
    <n v="92.250885009765597"/>
    <s v="220747"/>
    <x v="0"/>
    <m/>
  </r>
  <r>
    <x v="1"/>
    <x v="15"/>
    <x v="1"/>
    <x v="19"/>
    <x v="269"/>
    <n v="144"/>
    <n v="742"/>
    <m/>
    <s v="German (AA/BMZ)"/>
    <d v="2020-10-30T00:00:00"/>
    <n v="2"/>
    <s v="NA"/>
    <s v="NA"/>
    <s v="NA"/>
    <m/>
    <m/>
    <m/>
    <m/>
    <m/>
    <m/>
    <m/>
    <m/>
    <m/>
    <m/>
    <m/>
    <m/>
    <m/>
    <m/>
    <m/>
    <m/>
    <m/>
    <x v="2"/>
    <x v="3"/>
    <m/>
    <m/>
    <m/>
    <m/>
    <m/>
    <m/>
    <m/>
    <m/>
    <n v="138"/>
    <n v="138"/>
    <x v="0"/>
    <m/>
    <m/>
    <m/>
    <m/>
    <s v="no test"/>
    <s v="no test"/>
    <x v="1"/>
    <n v="0"/>
    <n v="0"/>
    <n v="0"/>
    <n v="0"/>
    <n v="0"/>
    <n v="0"/>
    <n v="0"/>
    <n v="0"/>
    <n v="0"/>
    <n v="1"/>
    <n v="742"/>
    <n v="1"/>
    <n v="1"/>
    <n v="0"/>
    <n v="0"/>
    <n v="0"/>
    <n v="1"/>
    <n v="124"/>
    <n v="124"/>
    <n v="0"/>
    <s v="N/A"/>
    <n v="0"/>
    <n v="0"/>
    <n v="0"/>
    <n v="0"/>
    <n v="0"/>
    <n v="0"/>
    <n v="1"/>
    <n v="0"/>
    <n v="0.95833333333333337"/>
    <n v="0.95833333333333337"/>
    <n v="690"/>
    <n v="690"/>
    <n v="690"/>
    <n v="0"/>
    <n v="0"/>
    <n v="0"/>
    <x v="3"/>
    <x v="2"/>
    <x v="7"/>
    <x v="3"/>
    <n v="21.177719116210898"/>
    <n v="92.239547729492202"/>
    <n v="198101"/>
    <x v="0"/>
    <m/>
  </r>
  <r>
    <x v="1"/>
    <x v="11"/>
    <x v="1"/>
    <x v="19"/>
    <x v="270"/>
    <n v="60"/>
    <n v="128"/>
    <m/>
    <s v="UNICEF"/>
    <d v="2018-02-14T00:00:00"/>
    <n v="0"/>
    <m/>
    <m/>
    <m/>
    <n v="1"/>
    <n v="2"/>
    <n v="0"/>
    <n v="3"/>
    <n v="0"/>
    <m/>
    <m/>
    <m/>
    <m/>
    <m/>
    <m/>
    <m/>
    <n v="8"/>
    <n v="0"/>
    <m/>
    <m/>
    <n v="8"/>
    <x v="4"/>
    <x v="4"/>
    <m/>
    <m/>
    <m/>
    <n v="0"/>
    <s v="Household"/>
    <n v="0"/>
    <n v="0"/>
    <n v="5"/>
    <n v="60"/>
    <n v="60"/>
    <x v="0"/>
    <m/>
    <m/>
    <m/>
    <m/>
    <s v="no test"/>
    <s v="no test"/>
    <x v="1"/>
    <n v="1"/>
    <n v="1"/>
    <n v="1"/>
    <n v="128"/>
    <n v="1"/>
    <n v="128"/>
    <n v="1"/>
    <n v="128"/>
    <n v="0"/>
    <n v="0"/>
    <n v="0"/>
    <n v="1"/>
    <n v="1"/>
    <n v="8"/>
    <n v="0.375"/>
    <n v="48"/>
    <n v="0.609375"/>
    <n v="13"/>
    <n v="21"/>
    <n v="0"/>
    <s v="N/A"/>
    <n v="128"/>
    <n v="1"/>
    <n v="1"/>
    <n v="1"/>
    <n v="128"/>
    <n v="1"/>
    <n v="0"/>
    <n v="1"/>
    <n v="1"/>
    <n v="1"/>
    <n v="300"/>
    <n v="300"/>
    <n v="300"/>
    <n v="0"/>
    <n v="0"/>
    <n v="0"/>
    <x v="3"/>
    <x v="2"/>
    <x v="7"/>
    <x v="3"/>
    <n v="21.0094203948975"/>
    <n v="92.318077087402301"/>
    <n v="197893"/>
    <x v="0"/>
    <m/>
  </r>
  <r>
    <x v="1"/>
    <x v="11"/>
    <x v="1"/>
    <x v="19"/>
    <x v="271"/>
    <n v="43"/>
    <n v="220"/>
    <m/>
    <s v="UNICEF"/>
    <d v="2018-08-31T00:00:00"/>
    <n v="0"/>
    <m/>
    <m/>
    <m/>
    <n v="0"/>
    <n v="0"/>
    <n v="0"/>
    <n v="0"/>
    <n v="0"/>
    <m/>
    <m/>
    <m/>
    <m/>
    <m/>
    <m/>
    <m/>
    <m/>
    <m/>
    <m/>
    <m/>
    <n v="2"/>
    <x v="4"/>
    <x v="4"/>
    <m/>
    <m/>
    <m/>
    <n v="0"/>
    <s v="Household"/>
    <n v="0"/>
    <n v="0"/>
    <n v="5"/>
    <n v="43"/>
    <n v="43"/>
    <x v="0"/>
    <m/>
    <m/>
    <m/>
    <m/>
    <s v="no test"/>
    <s v="no test"/>
    <x v="1"/>
    <n v="0"/>
    <n v="0"/>
    <n v="0"/>
    <n v="0"/>
    <n v="0"/>
    <n v="0"/>
    <n v="0"/>
    <n v="0"/>
    <n v="0"/>
    <n v="1"/>
    <n v="220"/>
    <n v="1"/>
    <n v="1"/>
    <n v="0"/>
    <n v="0"/>
    <n v="0"/>
    <n v="1"/>
    <n v="37"/>
    <n v="37"/>
    <n v="0"/>
    <s v="N/A"/>
    <n v="220"/>
    <n v="1"/>
    <n v="1"/>
    <n v="1"/>
    <n v="220"/>
    <n v="1"/>
    <n v="0"/>
    <n v="1"/>
    <n v="1"/>
    <n v="1"/>
    <n v="215"/>
    <n v="215"/>
    <n v="215"/>
    <n v="0"/>
    <n v="0"/>
    <n v="0"/>
    <x v="3"/>
    <x v="2"/>
    <x v="7"/>
    <x v="3"/>
    <n v="20.946010589599599"/>
    <n v="92.301872253417997"/>
    <n v="197899"/>
    <x v="0"/>
    <m/>
  </r>
  <r>
    <x v="1"/>
    <x v="2"/>
    <x v="1"/>
    <x v="19"/>
    <x v="272"/>
    <n v="173"/>
    <n v="1205"/>
    <m/>
    <m/>
    <m/>
    <n v="0"/>
    <s v="Yes"/>
    <n v="0"/>
    <n v="0"/>
    <n v="1"/>
    <n v="10"/>
    <n v="0"/>
    <n v="5"/>
    <n v="0"/>
    <m/>
    <m/>
    <m/>
    <m/>
    <m/>
    <m/>
    <m/>
    <n v="0"/>
    <n v="0"/>
    <m/>
    <m/>
    <n v="0"/>
    <x v="4"/>
    <x v="4"/>
    <m/>
    <m/>
    <m/>
    <n v="0"/>
    <s v="Household"/>
    <n v="0"/>
    <n v="0"/>
    <n v="7"/>
    <m/>
    <m/>
    <x v="0"/>
    <m/>
    <m/>
    <m/>
    <m/>
    <s v="no test"/>
    <s v="no test"/>
    <x v="1"/>
    <n v="1"/>
    <n v="1"/>
    <n v="1"/>
    <n v="1205"/>
    <n v="1"/>
    <n v="1205"/>
    <n v="1"/>
    <n v="1205"/>
    <n v="2"/>
    <n v="0"/>
    <n v="0"/>
    <n v="0"/>
    <n v="2"/>
    <n v="0"/>
    <n v="0"/>
    <n v="0"/>
    <n v="1"/>
    <n v="201"/>
    <n v="201"/>
    <n v="0"/>
    <s v="N/A"/>
    <n v="1205"/>
    <n v="0"/>
    <n v="1"/>
    <n v="0"/>
    <n v="0"/>
    <n v="0"/>
    <n v="1"/>
    <n v="1"/>
    <n v="0"/>
    <n v="0"/>
    <n v="0"/>
    <n v="0"/>
    <n v="0"/>
    <n v="0"/>
    <n v="0"/>
    <n v="0"/>
    <x v="3"/>
    <x v="2"/>
    <x v="7"/>
    <x v="5"/>
    <n v="21.000970840454102"/>
    <n v="92.334213256835895"/>
    <n v="197903"/>
    <x v="1"/>
    <s v="old MHDO village"/>
  </r>
  <r>
    <x v="1"/>
    <x v="2"/>
    <x v="1"/>
    <x v="20"/>
    <x v="273"/>
    <n v="124"/>
    <n v="479"/>
    <m/>
    <m/>
    <m/>
    <m/>
    <s v="No"/>
    <n v="0"/>
    <n v="0"/>
    <n v="0"/>
    <n v="0"/>
    <m/>
    <m/>
    <n v="0"/>
    <m/>
    <m/>
    <m/>
    <m/>
    <m/>
    <m/>
    <m/>
    <n v="8"/>
    <m/>
    <m/>
    <m/>
    <n v="8"/>
    <x v="1"/>
    <x v="1"/>
    <m/>
    <m/>
    <m/>
    <n v="0"/>
    <m/>
    <n v="0"/>
    <m/>
    <m/>
    <m/>
    <m/>
    <x v="0"/>
    <m/>
    <m/>
    <m/>
    <m/>
    <s v="no test"/>
    <s v="no test"/>
    <x v="1"/>
    <n v="0"/>
    <n v="0"/>
    <n v="0"/>
    <n v="0"/>
    <n v="0"/>
    <n v="0"/>
    <n v="0"/>
    <n v="0"/>
    <n v="0"/>
    <n v="1"/>
    <n v="479"/>
    <n v="1"/>
    <n v="1"/>
    <n v="8"/>
    <n v="0.10020876826722339"/>
    <n v="48"/>
    <n v="0.90187891440501045"/>
    <n v="72"/>
    <n v="80"/>
    <n v="0"/>
    <s v="N/A"/>
    <n v="0"/>
    <n v="0"/>
    <n v="0"/>
    <n v="0"/>
    <n v="0"/>
    <n v="0"/>
    <n v="1"/>
    <n v="0"/>
    <n v="0"/>
    <n v="0"/>
    <n v="0"/>
    <n v="0"/>
    <n v="0"/>
    <n v="0"/>
    <n v="0"/>
    <n v="0"/>
    <x v="3"/>
    <x v="2"/>
    <x v="7"/>
    <x v="11"/>
    <n v="20.394809723000002"/>
    <n v="93.251609802000004"/>
    <s v="196994"/>
    <x v="1"/>
    <m/>
  </r>
  <r>
    <x v="1"/>
    <x v="2"/>
    <x v="1"/>
    <x v="20"/>
    <x v="274"/>
    <n v="178"/>
    <n v="763"/>
    <m/>
    <m/>
    <m/>
    <m/>
    <s v="No"/>
    <n v="0"/>
    <n v="0"/>
    <n v="0"/>
    <n v="0"/>
    <m/>
    <m/>
    <n v="0"/>
    <m/>
    <m/>
    <m/>
    <m/>
    <m/>
    <m/>
    <m/>
    <n v="5"/>
    <m/>
    <m/>
    <m/>
    <n v="5"/>
    <x v="1"/>
    <x v="1"/>
    <m/>
    <m/>
    <m/>
    <n v="0"/>
    <m/>
    <n v="0"/>
    <m/>
    <m/>
    <m/>
    <m/>
    <x v="0"/>
    <m/>
    <m/>
    <m/>
    <m/>
    <s v="no test"/>
    <s v="no test"/>
    <x v="1"/>
    <n v="0"/>
    <n v="0"/>
    <n v="0"/>
    <n v="0"/>
    <n v="0"/>
    <n v="0"/>
    <n v="0"/>
    <n v="0"/>
    <n v="0"/>
    <n v="1"/>
    <n v="763"/>
    <n v="2"/>
    <n v="2"/>
    <n v="5"/>
    <n v="3.9318479685452164E-2"/>
    <n v="30"/>
    <n v="0.95937090432503269"/>
    <n v="122"/>
    <n v="127"/>
    <n v="0"/>
    <s v="N/A"/>
    <n v="0"/>
    <n v="0"/>
    <n v="0"/>
    <n v="0"/>
    <n v="0"/>
    <n v="0"/>
    <n v="1"/>
    <n v="0"/>
    <n v="0"/>
    <n v="0"/>
    <n v="0"/>
    <n v="0"/>
    <n v="0"/>
    <n v="0"/>
    <n v="0"/>
    <n v="0"/>
    <x v="3"/>
    <x v="2"/>
    <x v="7"/>
    <x v="3"/>
    <n v="0"/>
    <n v="0"/>
    <s v="197174"/>
    <x v="1"/>
    <m/>
  </r>
  <r>
    <x v="1"/>
    <x v="2"/>
    <x v="1"/>
    <x v="20"/>
    <x v="275"/>
    <n v="42"/>
    <n v="183"/>
    <m/>
    <m/>
    <m/>
    <m/>
    <s v="No"/>
    <n v="0"/>
    <n v="0"/>
    <n v="2"/>
    <n v="0"/>
    <m/>
    <m/>
    <n v="2"/>
    <m/>
    <m/>
    <m/>
    <m/>
    <m/>
    <m/>
    <m/>
    <n v="0"/>
    <m/>
    <m/>
    <m/>
    <n v="0"/>
    <x v="1"/>
    <x v="1"/>
    <m/>
    <m/>
    <m/>
    <n v="0"/>
    <m/>
    <n v="0"/>
    <m/>
    <m/>
    <m/>
    <m/>
    <x v="0"/>
    <m/>
    <m/>
    <m/>
    <m/>
    <s v="no test"/>
    <s v="no test"/>
    <x v="1"/>
    <n v="1"/>
    <n v="1"/>
    <n v="1"/>
    <n v="183"/>
    <n v="0"/>
    <n v="0"/>
    <n v="1"/>
    <n v="183"/>
    <n v="0"/>
    <n v="0"/>
    <n v="0"/>
    <n v="1"/>
    <n v="1"/>
    <n v="0"/>
    <n v="0"/>
    <n v="0"/>
    <n v="1"/>
    <n v="31"/>
    <n v="31"/>
    <n v="0"/>
    <s v="N/A"/>
    <n v="0"/>
    <n v="0"/>
    <n v="0"/>
    <n v="0"/>
    <n v="0"/>
    <n v="0"/>
    <n v="1"/>
    <n v="0"/>
    <n v="0"/>
    <n v="0"/>
    <n v="0"/>
    <n v="0"/>
    <n v="0"/>
    <n v="0"/>
    <n v="0"/>
    <n v="0"/>
    <x v="3"/>
    <x v="2"/>
    <x v="7"/>
    <x v="3"/>
    <n v="20.398889541999999"/>
    <n v="93.254051208000007"/>
    <s v="196996"/>
    <x v="1"/>
    <m/>
  </r>
  <r>
    <x v="1"/>
    <x v="2"/>
    <x v="1"/>
    <x v="20"/>
    <x v="276"/>
    <n v="415"/>
    <n v="1628"/>
    <m/>
    <m/>
    <m/>
    <m/>
    <s v="No"/>
    <n v="0"/>
    <n v="0"/>
    <n v="0"/>
    <n v="0"/>
    <m/>
    <m/>
    <n v="0"/>
    <m/>
    <m/>
    <m/>
    <m/>
    <m/>
    <m/>
    <m/>
    <n v="45"/>
    <m/>
    <m/>
    <m/>
    <n v="45"/>
    <x v="1"/>
    <x v="1"/>
    <m/>
    <m/>
    <m/>
    <n v="0"/>
    <m/>
    <n v="0"/>
    <m/>
    <m/>
    <m/>
    <m/>
    <x v="0"/>
    <m/>
    <m/>
    <m/>
    <m/>
    <s v="no test"/>
    <s v="no test"/>
    <x v="1"/>
    <n v="0"/>
    <n v="0"/>
    <n v="0"/>
    <n v="0"/>
    <n v="0"/>
    <n v="0"/>
    <n v="0"/>
    <n v="0"/>
    <n v="0"/>
    <n v="1"/>
    <n v="1628"/>
    <n v="3"/>
    <n v="3"/>
    <n v="45"/>
    <n v="0.16584766584766586"/>
    <n v="270"/>
    <n v="0.83292383292383299"/>
    <n v="226"/>
    <n v="271"/>
    <n v="0"/>
    <s v="N/A"/>
    <n v="0"/>
    <n v="0"/>
    <n v="0"/>
    <n v="0"/>
    <n v="0"/>
    <n v="0"/>
    <n v="1"/>
    <n v="0"/>
    <n v="0"/>
    <n v="0"/>
    <n v="0"/>
    <n v="0"/>
    <n v="0"/>
    <n v="0"/>
    <n v="0"/>
    <n v="0"/>
    <x v="3"/>
    <x v="2"/>
    <x v="7"/>
    <x v="3"/>
    <n v="20.218471527099599"/>
    <n v="93.424331665039105"/>
    <s v="220671"/>
    <x v="1"/>
    <m/>
  </r>
  <r>
    <x v="1"/>
    <x v="2"/>
    <x v="1"/>
    <x v="20"/>
    <x v="277"/>
    <n v="150"/>
    <n v="730"/>
    <m/>
    <m/>
    <m/>
    <m/>
    <s v="No"/>
    <n v="0"/>
    <n v="0"/>
    <n v="2"/>
    <n v="0"/>
    <m/>
    <m/>
    <n v="3"/>
    <m/>
    <m/>
    <m/>
    <m/>
    <m/>
    <m/>
    <m/>
    <n v="55"/>
    <m/>
    <m/>
    <m/>
    <n v="55"/>
    <x v="1"/>
    <x v="1"/>
    <m/>
    <m/>
    <m/>
    <n v="1"/>
    <m/>
    <n v="15"/>
    <m/>
    <n v="4"/>
    <m/>
    <m/>
    <x v="0"/>
    <m/>
    <m/>
    <m/>
    <m/>
    <s v="no test"/>
    <s v="no test"/>
    <x v="1"/>
    <n v="1"/>
    <n v="0.68493150684931503"/>
    <n v="0.68493150684931503"/>
    <n v="500"/>
    <n v="0"/>
    <n v="0"/>
    <n v="0.68493150684931503"/>
    <n v="500"/>
    <n v="1"/>
    <n v="0.31506849315068497"/>
    <n v="230.00000000000003"/>
    <n v="0"/>
    <n v="1"/>
    <n v="55"/>
    <n v="0.45205479452054792"/>
    <n v="330"/>
    <n v="0.55068493150684927"/>
    <n v="67"/>
    <n v="122"/>
    <n v="0"/>
    <s v="N/A"/>
    <n v="730"/>
    <n v="0"/>
    <n v="1"/>
    <n v="0"/>
    <n v="0"/>
    <n v="0"/>
    <n v="1"/>
    <n v="1"/>
    <n v="0"/>
    <n v="0"/>
    <n v="0"/>
    <n v="0"/>
    <n v="0"/>
    <n v="150"/>
    <n v="0"/>
    <n v="0"/>
    <x v="3"/>
    <x v="2"/>
    <x v="10"/>
    <x v="5"/>
    <n v="20.39902"/>
    <n v="93.249669999999995"/>
    <s v="MMR012CMP003"/>
    <x v="1"/>
    <m/>
  </r>
  <r>
    <x v="1"/>
    <x v="2"/>
    <x v="1"/>
    <x v="20"/>
    <x v="278"/>
    <n v="175"/>
    <n v="659"/>
    <m/>
    <m/>
    <m/>
    <m/>
    <s v="No"/>
    <n v="0"/>
    <n v="0"/>
    <n v="2"/>
    <n v="0"/>
    <m/>
    <m/>
    <n v="0"/>
    <m/>
    <m/>
    <m/>
    <m/>
    <m/>
    <m/>
    <m/>
    <n v="12"/>
    <m/>
    <m/>
    <m/>
    <n v="12"/>
    <x v="1"/>
    <x v="1"/>
    <m/>
    <m/>
    <m/>
    <n v="0"/>
    <m/>
    <n v="0"/>
    <m/>
    <m/>
    <m/>
    <m/>
    <x v="0"/>
    <m/>
    <m/>
    <m/>
    <m/>
    <s v="no test"/>
    <s v="no test"/>
    <x v="1"/>
    <n v="1"/>
    <n v="0.75872534142640369"/>
    <n v="0.75872534142640369"/>
    <n v="500.00000000000006"/>
    <n v="0"/>
    <n v="0"/>
    <n v="0.75872534142640369"/>
    <n v="500.00000000000006"/>
    <n v="1"/>
    <n v="0.24127465857359631"/>
    <n v="158.99999999999997"/>
    <n v="0"/>
    <n v="1"/>
    <n v="12"/>
    <n v="0.10925644916540213"/>
    <n v="72"/>
    <n v="0.89226100151745069"/>
    <n v="98"/>
    <n v="110"/>
    <n v="0"/>
    <s v="N/A"/>
    <n v="0"/>
    <n v="0"/>
    <n v="0"/>
    <n v="0"/>
    <n v="0"/>
    <n v="0"/>
    <n v="1"/>
    <n v="0"/>
    <n v="0"/>
    <n v="0"/>
    <n v="0"/>
    <n v="0"/>
    <n v="0"/>
    <n v="0"/>
    <n v="0"/>
    <n v="0"/>
    <x v="3"/>
    <x v="2"/>
    <x v="7"/>
    <x v="3"/>
    <n v="20.5199794769287"/>
    <n v="93.277252197265597"/>
    <s v="197067"/>
    <x v="1"/>
    <m/>
  </r>
  <r>
    <x v="1"/>
    <x v="2"/>
    <x v="1"/>
    <x v="20"/>
    <x v="279"/>
    <n v="41"/>
    <n v="146"/>
    <m/>
    <m/>
    <m/>
    <m/>
    <s v="No"/>
    <n v="0"/>
    <n v="0"/>
    <n v="2"/>
    <n v="0"/>
    <m/>
    <m/>
    <n v="2"/>
    <m/>
    <m/>
    <m/>
    <m/>
    <m/>
    <m/>
    <m/>
    <n v="2"/>
    <m/>
    <m/>
    <m/>
    <n v="2"/>
    <x v="1"/>
    <x v="1"/>
    <m/>
    <m/>
    <m/>
    <n v="0"/>
    <m/>
    <n v="0"/>
    <m/>
    <m/>
    <m/>
    <m/>
    <x v="0"/>
    <m/>
    <m/>
    <m/>
    <m/>
    <s v="no test"/>
    <s v="no test"/>
    <x v="1"/>
    <n v="1"/>
    <n v="1"/>
    <n v="1"/>
    <n v="146"/>
    <n v="0"/>
    <n v="0"/>
    <n v="1"/>
    <n v="146"/>
    <n v="0"/>
    <n v="0"/>
    <n v="0"/>
    <n v="1"/>
    <n v="1"/>
    <n v="2"/>
    <n v="8.2191780821917804E-2"/>
    <n v="12"/>
    <n v="0.90410958904109595"/>
    <n v="22"/>
    <n v="24"/>
    <n v="0"/>
    <s v="N/A"/>
    <n v="0"/>
    <n v="0"/>
    <n v="0"/>
    <n v="0"/>
    <n v="0"/>
    <n v="0"/>
    <n v="1"/>
    <n v="0"/>
    <n v="0"/>
    <n v="0"/>
    <n v="0"/>
    <n v="0"/>
    <n v="0"/>
    <n v="0"/>
    <n v="0"/>
    <n v="0"/>
    <x v="3"/>
    <x v="2"/>
    <x v="7"/>
    <x v="3"/>
    <n v="20.396680832000001"/>
    <n v="93.252868652000004"/>
    <s v="196998"/>
    <x v="1"/>
    <m/>
  </r>
  <r>
    <x v="1"/>
    <x v="2"/>
    <x v="1"/>
    <x v="20"/>
    <x v="280"/>
    <n v="280"/>
    <n v="1423"/>
    <m/>
    <m/>
    <m/>
    <m/>
    <s v="No"/>
    <n v="0"/>
    <n v="0"/>
    <n v="2"/>
    <n v="0"/>
    <m/>
    <m/>
    <n v="3"/>
    <m/>
    <m/>
    <m/>
    <m/>
    <m/>
    <m/>
    <m/>
    <n v="60"/>
    <m/>
    <m/>
    <m/>
    <n v="60"/>
    <x v="1"/>
    <x v="1"/>
    <m/>
    <m/>
    <m/>
    <n v="1"/>
    <m/>
    <n v="0"/>
    <m/>
    <n v="6"/>
    <m/>
    <m/>
    <x v="0"/>
    <m/>
    <m/>
    <m/>
    <m/>
    <s v="no test"/>
    <s v="no test"/>
    <x v="1"/>
    <n v="1"/>
    <n v="0.35137034434293746"/>
    <n v="0.35137034434293746"/>
    <n v="500"/>
    <n v="0"/>
    <n v="0"/>
    <n v="0.35137034434293746"/>
    <n v="500"/>
    <n v="1"/>
    <n v="0.64862965565706254"/>
    <n v="923"/>
    <n v="2"/>
    <n v="3"/>
    <n v="60"/>
    <n v="0.25298664792691494"/>
    <n v="359.99999999999994"/>
    <n v="0.74631061138439914"/>
    <n v="177"/>
    <n v="237"/>
    <n v="0"/>
    <s v="N/A"/>
    <n v="1423"/>
    <n v="0"/>
    <n v="1"/>
    <n v="0"/>
    <n v="0"/>
    <n v="0"/>
    <n v="1"/>
    <n v="1"/>
    <n v="0"/>
    <n v="0"/>
    <n v="0"/>
    <n v="0"/>
    <n v="0"/>
    <n v="280"/>
    <n v="0"/>
    <n v="0"/>
    <x v="3"/>
    <x v="2"/>
    <x v="10"/>
    <x v="5"/>
    <n v="20.392137999999999"/>
    <n v="93.257272"/>
    <s v="MMR012CMP002"/>
    <x v="1"/>
    <m/>
  </r>
  <r>
    <x v="1"/>
    <x v="2"/>
    <x v="1"/>
    <x v="21"/>
    <x v="281"/>
    <n v="146"/>
    <n v="731"/>
    <m/>
    <m/>
    <m/>
    <m/>
    <s v="No"/>
    <n v="0"/>
    <n v="0"/>
    <n v="1"/>
    <m/>
    <m/>
    <m/>
    <n v="0"/>
    <m/>
    <m/>
    <m/>
    <m/>
    <m/>
    <m/>
    <m/>
    <n v="5"/>
    <m/>
    <m/>
    <m/>
    <n v="0"/>
    <x v="1"/>
    <x v="1"/>
    <m/>
    <m/>
    <m/>
    <n v="0"/>
    <m/>
    <n v="0"/>
    <m/>
    <n v="0"/>
    <m/>
    <m/>
    <x v="0"/>
    <m/>
    <m/>
    <m/>
    <m/>
    <s v="no test"/>
    <s v="no test"/>
    <x v="1"/>
    <n v="1"/>
    <n v="0.34199726402188785"/>
    <n v="0.34199726402188785"/>
    <n v="250.00000000000003"/>
    <n v="0"/>
    <n v="0"/>
    <n v="0.34199726402188785"/>
    <n v="250.00000000000003"/>
    <n v="1"/>
    <n v="0.65800273597811221"/>
    <n v="481"/>
    <n v="0"/>
    <n v="1"/>
    <n v="5"/>
    <n v="4.1039671682626538E-2"/>
    <n v="30"/>
    <n v="0.96032831737346103"/>
    <n v="117"/>
    <n v="122"/>
    <n v="0"/>
    <s v="N/A"/>
    <n v="0"/>
    <n v="0"/>
    <n v="0"/>
    <n v="0"/>
    <n v="0"/>
    <n v="0"/>
    <n v="1"/>
    <n v="0"/>
    <n v="0"/>
    <n v="0"/>
    <n v="0"/>
    <n v="0"/>
    <n v="0"/>
    <n v="0"/>
    <n v="0"/>
    <n v="0"/>
    <x v="3"/>
    <x v="2"/>
    <x v="7"/>
    <x v="5"/>
    <n v="20.697229385376001"/>
    <n v="93.044059753417997"/>
    <s v="196643"/>
    <x v="1"/>
    <m/>
  </r>
  <r>
    <x v="1"/>
    <x v="2"/>
    <x v="1"/>
    <x v="21"/>
    <x v="282"/>
    <n v="23"/>
    <n v="117"/>
    <m/>
    <m/>
    <m/>
    <m/>
    <s v="No"/>
    <n v="0"/>
    <n v="0"/>
    <n v="2"/>
    <m/>
    <m/>
    <m/>
    <n v="0"/>
    <m/>
    <m/>
    <m/>
    <m/>
    <m/>
    <m/>
    <m/>
    <n v="0"/>
    <m/>
    <m/>
    <m/>
    <n v="0"/>
    <x v="1"/>
    <x v="1"/>
    <m/>
    <m/>
    <m/>
    <n v="0"/>
    <m/>
    <n v="0"/>
    <m/>
    <n v="0"/>
    <m/>
    <m/>
    <x v="0"/>
    <m/>
    <m/>
    <m/>
    <m/>
    <s v="no test"/>
    <s v="no test"/>
    <x v="1"/>
    <n v="1"/>
    <n v="1"/>
    <n v="1"/>
    <n v="117"/>
    <n v="0"/>
    <n v="0"/>
    <n v="1"/>
    <n v="117"/>
    <n v="0"/>
    <n v="0"/>
    <n v="0"/>
    <n v="1"/>
    <n v="1"/>
    <n v="0"/>
    <n v="0"/>
    <n v="0"/>
    <n v="1"/>
    <n v="20"/>
    <n v="20"/>
    <n v="0"/>
    <s v="N/A"/>
    <n v="0"/>
    <n v="0"/>
    <n v="0"/>
    <n v="0"/>
    <n v="0"/>
    <n v="0"/>
    <n v="1"/>
    <n v="0"/>
    <n v="0"/>
    <n v="0"/>
    <n v="0"/>
    <n v="0"/>
    <n v="0"/>
    <n v="0"/>
    <n v="0"/>
    <n v="0"/>
    <x v="3"/>
    <x v="2"/>
    <x v="7"/>
    <x v="3"/>
    <n v="20.489089965820298"/>
    <n v="93.211738586425795"/>
    <s v="196508"/>
    <x v="1"/>
    <m/>
  </r>
  <r>
    <x v="1"/>
    <x v="2"/>
    <x v="1"/>
    <x v="21"/>
    <x v="283"/>
    <n v="44"/>
    <n v="221"/>
    <m/>
    <m/>
    <m/>
    <m/>
    <s v="No"/>
    <n v="0"/>
    <n v="0"/>
    <n v="2"/>
    <m/>
    <m/>
    <m/>
    <n v="0"/>
    <m/>
    <m/>
    <m/>
    <m/>
    <m/>
    <m/>
    <m/>
    <n v="3"/>
    <m/>
    <m/>
    <m/>
    <n v="0"/>
    <x v="1"/>
    <x v="1"/>
    <m/>
    <m/>
    <m/>
    <n v="0"/>
    <m/>
    <n v="0"/>
    <m/>
    <n v="0"/>
    <m/>
    <m/>
    <x v="0"/>
    <m/>
    <m/>
    <m/>
    <m/>
    <s v="no test"/>
    <s v="no test"/>
    <x v="1"/>
    <n v="1"/>
    <n v="1"/>
    <n v="1"/>
    <n v="221"/>
    <n v="0"/>
    <n v="0"/>
    <n v="1"/>
    <n v="221"/>
    <n v="0"/>
    <n v="0"/>
    <n v="0"/>
    <n v="1"/>
    <n v="1"/>
    <n v="3"/>
    <n v="8.1447963800904979E-2"/>
    <n v="18"/>
    <n v="0.92307692307692302"/>
    <n v="34"/>
    <n v="37"/>
    <n v="0"/>
    <s v="N/A"/>
    <n v="0"/>
    <n v="0"/>
    <n v="0"/>
    <n v="0"/>
    <n v="0"/>
    <n v="0"/>
    <n v="1"/>
    <n v="0"/>
    <n v="0"/>
    <n v="0"/>
    <n v="0"/>
    <n v="0"/>
    <n v="0"/>
    <n v="0"/>
    <n v="0"/>
    <n v="0"/>
    <x v="3"/>
    <x v="2"/>
    <x v="7"/>
    <x v="3"/>
    <n v="20.464775085449201"/>
    <n v="93.269363403320298"/>
    <s v="196496"/>
    <x v="1"/>
    <m/>
  </r>
  <r>
    <x v="1"/>
    <x v="2"/>
    <x v="1"/>
    <x v="21"/>
    <x v="284"/>
    <n v="161"/>
    <n v="807"/>
    <m/>
    <m/>
    <m/>
    <m/>
    <s v="No"/>
    <n v="0"/>
    <n v="0"/>
    <n v="1"/>
    <m/>
    <m/>
    <m/>
    <n v="0"/>
    <m/>
    <m/>
    <m/>
    <m/>
    <m/>
    <m/>
    <m/>
    <n v="4"/>
    <m/>
    <m/>
    <m/>
    <n v="0"/>
    <x v="1"/>
    <x v="1"/>
    <m/>
    <m/>
    <m/>
    <n v="0"/>
    <m/>
    <n v="0"/>
    <m/>
    <n v="0"/>
    <m/>
    <m/>
    <x v="0"/>
    <m/>
    <m/>
    <m/>
    <m/>
    <s v="no test"/>
    <s v="no test"/>
    <x v="1"/>
    <n v="1"/>
    <n v="0.3097893432465923"/>
    <n v="0.3097893432465923"/>
    <n v="249.99999999999997"/>
    <n v="0"/>
    <n v="0"/>
    <n v="0.3097893432465923"/>
    <n v="249.99999999999997"/>
    <n v="1"/>
    <n v="0.69021065675340765"/>
    <n v="557"/>
    <n v="1"/>
    <n v="2"/>
    <n v="4"/>
    <n v="2.9739776951672861E-2"/>
    <n v="24"/>
    <n v="0.97397769516728627"/>
    <n v="131"/>
    <n v="135"/>
    <n v="0"/>
    <s v="N/A"/>
    <n v="0"/>
    <n v="0"/>
    <n v="0"/>
    <n v="0"/>
    <n v="0"/>
    <n v="0"/>
    <n v="1"/>
    <n v="0"/>
    <n v="0"/>
    <n v="0"/>
    <n v="0"/>
    <n v="0"/>
    <n v="0"/>
    <n v="0"/>
    <n v="0"/>
    <n v="0"/>
    <x v="3"/>
    <x v="2"/>
    <x v="7"/>
    <x v="3"/>
    <n v="20.4625244140625"/>
    <n v="93.257278442382798"/>
    <s v="220626"/>
    <x v="1"/>
    <m/>
  </r>
  <r>
    <x v="1"/>
    <x v="2"/>
    <x v="1"/>
    <x v="21"/>
    <x v="285"/>
    <n v="211"/>
    <n v="1055"/>
    <m/>
    <m/>
    <m/>
    <m/>
    <s v="No"/>
    <n v="0"/>
    <n v="0"/>
    <n v="1"/>
    <m/>
    <m/>
    <m/>
    <n v="0"/>
    <m/>
    <m/>
    <m/>
    <m/>
    <m/>
    <m/>
    <m/>
    <n v="5"/>
    <m/>
    <m/>
    <m/>
    <n v="0"/>
    <x v="1"/>
    <x v="1"/>
    <m/>
    <m/>
    <m/>
    <n v="0"/>
    <m/>
    <n v="0"/>
    <m/>
    <n v="0"/>
    <m/>
    <m/>
    <x v="0"/>
    <m/>
    <m/>
    <m/>
    <m/>
    <s v="no test"/>
    <s v="no test"/>
    <x v="1"/>
    <n v="1"/>
    <n v="0.23696682464454977"/>
    <n v="0.23696682464454977"/>
    <n v="250"/>
    <n v="0"/>
    <n v="0"/>
    <n v="0.23696682464454977"/>
    <n v="250"/>
    <n v="1"/>
    <n v="0.76303317535545023"/>
    <n v="805"/>
    <n v="1"/>
    <n v="2"/>
    <n v="5"/>
    <n v="2.843601895734597E-2"/>
    <n v="30"/>
    <n v="0.97251184834123217"/>
    <n v="171"/>
    <n v="176"/>
    <n v="0"/>
    <s v="N/A"/>
    <n v="0"/>
    <n v="0"/>
    <n v="0"/>
    <n v="0"/>
    <n v="0"/>
    <n v="0"/>
    <n v="1"/>
    <n v="0"/>
    <n v="0"/>
    <n v="0"/>
    <n v="0"/>
    <n v="0"/>
    <n v="0"/>
    <n v="0"/>
    <n v="0"/>
    <n v="0"/>
    <x v="3"/>
    <x v="2"/>
    <x v="7"/>
    <x v="3"/>
    <n v="20.703550338745099"/>
    <n v="93.060462951660199"/>
    <s v="196642"/>
    <x v="1"/>
    <m/>
  </r>
  <r>
    <x v="1"/>
    <x v="16"/>
    <x v="1"/>
    <x v="22"/>
    <x v="286"/>
    <n v="40"/>
    <n v="217"/>
    <m/>
    <s v="UNICEF"/>
    <d v="2018-06-30T00:00:00"/>
    <n v="0"/>
    <s v="No"/>
    <n v="0"/>
    <n v="0"/>
    <n v="0"/>
    <n v="0"/>
    <n v="9765"/>
    <n v="0"/>
    <n v="0"/>
    <m/>
    <m/>
    <m/>
    <m/>
    <m/>
    <m/>
    <m/>
    <n v="40"/>
    <n v="0"/>
    <m/>
    <m/>
    <n v="40"/>
    <x v="4"/>
    <x v="0"/>
    <m/>
    <m/>
    <m/>
    <n v="0"/>
    <m/>
    <n v="0"/>
    <n v="0"/>
    <n v="2"/>
    <n v="40"/>
    <n v="40"/>
    <x v="0"/>
    <m/>
    <n v="0"/>
    <n v="2"/>
    <m/>
    <s v="no test"/>
    <s v="no test"/>
    <x v="1"/>
    <n v="1"/>
    <n v="1"/>
    <n v="1"/>
    <n v="217"/>
    <n v="0"/>
    <n v="0"/>
    <n v="1"/>
    <n v="217"/>
    <n v="0"/>
    <n v="0"/>
    <n v="0"/>
    <n v="1"/>
    <n v="1"/>
    <n v="40"/>
    <n v="1"/>
    <n v="217"/>
    <n v="0"/>
    <n v="0"/>
    <n v="36"/>
    <n v="0"/>
    <s v="N/A"/>
    <n v="217"/>
    <n v="1"/>
    <n v="1"/>
    <n v="1"/>
    <n v="217"/>
    <n v="1"/>
    <n v="0"/>
    <n v="1"/>
    <n v="1"/>
    <n v="1"/>
    <n v="200"/>
    <n v="200"/>
    <n v="200"/>
    <n v="0"/>
    <n v="0"/>
    <n v="0"/>
    <x v="3"/>
    <x v="2"/>
    <x v="8"/>
    <x v="3"/>
    <n v="20.041981"/>
    <n v="93.373951000000005"/>
    <s v="MMR012CMP013"/>
    <x v="0"/>
    <m/>
  </r>
  <r>
    <x v="1"/>
    <x v="16"/>
    <x v="1"/>
    <x v="22"/>
    <x v="361"/>
    <n v="713"/>
    <n v="2835"/>
    <m/>
    <s v="UNICEF"/>
    <d v="2018-06-30T00:00:00"/>
    <n v="0"/>
    <s v="Yes"/>
    <n v="0.47"/>
    <n v="0.105"/>
    <n v="0"/>
    <n v="0"/>
    <n v="56700"/>
    <n v="6"/>
    <n v="0"/>
    <m/>
    <n v="58"/>
    <n v="0.5"/>
    <n v="61"/>
    <n v="1.45"/>
    <m/>
    <m/>
    <n v="197"/>
    <n v="0"/>
    <n v="1"/>
    <s v="two times"/>
    <n v="0"/>
    <x v="0"/>
    <x v="0"/>
    <n v="30"/>
    <m/>
    <s v="Functional"/>
    <n v="1"/>
    <s v="Communal"/>
    <n v="0"/>
    <n v="4"/>
    <n v="8"/>
    <n v="713"/>
    <n v="713"/>
    <x v="0"/>
    <m/>
    <n v="0"/>
    <n v="28"/>
    <m/>
    <n v="8.6206896551724137E-3"/>
    <n v="2.3770491803278688E-2"/>
    <x v="0"/>
    <n v="1"/>
    <n v="1"/>
    <n v="1"/>
    <n v="2835"/>
    <n v="0.52910052910052907"/>
    <n v="1500"/>
    <n v="1"/>
    <n v="2835"/>
    <n v="6"/>
    <n v="0"/>
    <n v="0"/>
    <n v="0"/>
    <n v="6"/>
    <n v="197"/>
    <n v="1"/>
    <n v="2835"/>
    <n v="0"/>
    <n v="0"/>
    <n v="142"/>
    <n v="0"/>
    <n v="20"/>
    <n v="2835"/>
    <n v="1"/>
    <n v="1"/>
    <n v="1"/>
    <n v="2835"/>
    <n v="1"/>
    <n v="0"/>
    <n v="1"/>
    <n v="1"/>
    <n v="1"/>
    <n v="3565"/>
    <n v="3565"/>
    <n v="3565"/>
    <n v="713"/>
    <s v="Yes"/>
    <n v="0"/>
    <x v="1"/>
    <x v="0"/>
    <x v="9"/>
    <x v="5"/>
    <n v="20.037655000000001"/>
    <n v="93.370037999999994"/>
    <s v="MMR012CMP014"/>
    <x v="0"/>
    <m/>
  </r>
  <r>
    <x v="1"/>
    <x v="0"/>
    <x v="1"/>
    <x v="16"/>
    <x v="288"/>
    <n v="379"/>
    <n v="1914"/>
    <m/>
    <s v="ECHO, OFDA, UNICEF"/>
    <s v="31/12/2018, 30/06/2019, 13/09/2018"/>
    <n v="36"/>
    <s v="No"/>
    <n v="0"/>
    <n v="0"/>
    <n v="0"/>
    <n v="0"/>
    <n v="0"/>
    <n v="3"/>
    <n v="0"/>
    <n v="0"/>
    <n v="0"/>
    <m/>
    <n v="0"/>
    <m/>
    <n v="0"/>
    <s v="SI does not deliver water to the village, only CWF and HP sessions"/>
    <m/>
    <m/>
    <m/>
    <m/>
    <m/>
    <x v="3"/>
    <x v="0"/>
    <m/>
    <n v="0"/>
    <s v="There is solid waste management in ANY  villagebut no incinerator"/>
    <n v="0"/>
    <m/>
    <n v="0"/>
    <n v="0"/>
    <n v="3"/>
    <m/>
    <m/>
    <x v="0"/>
    <m/>
    <n v="0"/>
    <n v="0"/>
    <s v="Access to soap as incentive for mass cleaning campaigns"/>
    <s v="no test"/>
    <s v="no test"/>
    <x v="1"/>
    <n v="0"/>
    <n v="0"/>
    <n v="0"/>
    <n v="0"/>
    <n v="0.39184952978056425"/>
    <n v="750"/>
    <n v="0.39184952978056425"/>
    <n v="750"/>
    <n v="1.5"/>
    <n v="0.6081504702194358"/>
    <n v="1164.0000000000002"/>
    <n v="2.5"/>
    <n v="4"/>
    <n v="0"/>
    <n v="0"/>
    <n v="0"/>
    <n v="1"/>
    <n v="319"/>
    <n v="319"/>
    <n v="0"/>
    <s v="N/A"/>
    <n v="1500"/>
    <n v="0"/>
    <n v="1"/>
    <n v="0"/>
    <n v="0"/>
    <n v="0"/>
    <n v="1"/>
    <n v="0.78369905956112851"/>
    <n v="0"/>
    <n v="0"/>
    <n v="0"/>
    <n v="0"/>
    <n v="0"/>
    <n v="0"/>
    <n v="0"/>
    <n v="0"/>
    <x v="3"/>
    <x v="2"/>
    <x v="7"/>
    <x v="5"/>
    <n v="20.099340438842798"/>
    <n v="92.989143371582003"/>
    <s v="197558"/>
    <x v="0"/>
    <m/>
  </r>
  <r>
    <x v="1"/>
    <x v="0"/>
    <x v="1"/>
    <x v="16"/>
    <x v="205"/>
    <n v="1249"/>
    <n v="4666"/>
    <m/>
    <s v="ECHO, OFDA, UNICEF"/>
    <s v="31/12/2018, 30/06/2019, 13/09/2018"/>
    <n v="0"/>
    <s v="No"/>
    <n v="0"/>
    <n v="0"/>
    <n v="0"/>
    <n v="0"/>
    <n v="27983.516483516483"/>
    <n v="5"/>
    <n v="0"/>
    <n v="0"/>
    <n v="159"/>
    <n v="159"/>
    <n v="39"/>
    <n v="26"/>
    <n v="0"/>
    <m/>
    <n v="135"/>
    <n v="19"/>
    <n v="154"/>
    <s v="Monthly"/>
    <n v="0"/>
    <x v="3"/>
    <x v="0"/>
    <n v="12.985185185185186"/>
    <n v="0"/>
    <s v="There is solid waste management in ANY but no incinerator"/>
    <n v="0"/>
    <s v="Household"/>
    <n v="0"/>
    <n v="0"/>
    <n v="10"/>
    <n v="1249"/>
    <n v="1249"/>
    <x v="0"/>
    <m/>
    <m/>
    <m/>
    <s v="v39 and v40 can be completed in terms of amount of money but hardly in terms of number of workers as we'll face double countings"/>
    <n v="1"/>
    <n v="0.66666666666666663"/>
    <x v="0"/>
    <n v="0.39982163857003117"/>
    <n v="0.39982163857003117"/>
    <n v="0.39982163857003117"/>
    <n v="1865.5677655677655"/>
    <n v="0.26789541363051866"/>
    <n v="1250"/>
    <n v="0.66771705220054978"/>
    <n v="3115.5677655677655"/>
    <n v="6"/>
    <n v="0.33228294779945022"/>
    <n v="1550.4322344322347"/>
    <n v="3"/>
    <n v="9"/>
    <n v="154"/>
    <n v="0.57865409344192031"/>
    <n v="2700"/>
    <n v="0.33861980282897552"/>
    <n v="79"/>
    <n v="233"/>
    <n v="0.12337662337662338"/>
    <n v="3080"/>
    <n v="4666"/>
    <n v="1"/>
    <n v="1"/>
    <n v="1"/>
    <n v="4666"/>
    <n v="1"/>
    <n v="0"/>
    <n v="1"/>
    <n v="1"/>
    <n v="1"/>
    <n v="6245"/>
    <n v="6245"/>
    <n v="6245"/>
    <n v="0"/>
    <s v="Yes"/>
    <n v="0"/>
    <x v="1"/>
    <x v="0"/>
    <x v="9"/>
    <x v="5"/>
    <n v="20.108101999999999"/>
    <n v="92.985095000000001"/>
    <s v="MMR012CMP016"/>
    <x v="0"/>
    <m/>
  </r>
  <r>
    <x v="1"/>
    <x v="18"/>
    <x v="1"/>
    <x v="16"/>
    <x v="336"/>
    <n v="1341"/>
    <n v="5938"/>
    <m/>
    <s v="UNICEF"/>
    <d v="2018-09-30T00:00:00"/>
    <n v="0"/>
    <s v="No"/>
    <n v="0"/>
    <n v="0"/>
    <n v="0"/>
    <n v="0"/>
    <n v="81000"/>
    <n v="2"/>
    <n v="0"/>
    <m/>
    <n v="0"/>
    <n v="0"/>
    <n v="0"/>
    <n v="0"/>
    <n v="0"/>
    <m/>
    <n v="144"/>
    <n v="84"/>
    <n v="44"/>
    <s v="Weekly"/>
    <n v="0"/>
    <x v="0"/>
    <x v="2"/>
    <n v="0"/>
    <n v="0"/>
    <m/>
    <n v="0"/>
    <s v="Household"/>
    <n v="0"/>
    <n v="0"/>
    <n v="20"/>
    <n v="1341"/>
    <n v="1341"/>
    <x v="1"/>
    <m/>
    <n v="20"/>
    <n v="102"/>
    <m/>
    <s v="no test"/>
    <s v="no test"/>
    <x v="1"/>
    <n v="0.90939710340181878"/>
    <n v="0.90939710340181878"/>
    <n v="0.90939710340181878"/>
    <n v="5400"/>
    <n v="8.4203435500168414E-2"/>
    <n v="500.00000000000006"/>
    <n v="0.99360053890198718"/>
    <n v="5900"/>
    <n v="11.8"/>
    <n v="6.3994610980128153E-3"/>
    <n v="38.000000000000099"/>
    <n v="0.19999999999999929"/>
    <n v="12"/>
    <n v="228"/>
    <n v="0.48501178848097004"/>
    <n v="2880"/>
    <n v="0.23240148198046481"/>
    <n v="69"/>
    <n v="297"/>
    <n v="0.36842105263157893"/>
    <n v="880"/>
    <n v="5938"/>
    <n v="1"/>
    <n v="1"/>
    <n v="1"/>
    <n v="5938"/>
    <n v="1"/>
    <n v="0"/>
    <n v="1"/>
    <n v="1"/>
    <n v="1"/>
    <n v="6705"/>
    <n v="6705"/>
    <n v="6705"/>
    <n v="0"/>
    <s v="Yes"/>
    <n v="0"/>
    <x v="1"/>
    <x v="0"/>
    <x v="9"/>
    <x v="5"/>
    <n v="20.090183"/>
    <n v="93.010368999999997"/>
    <s v="MMR012CMP018"/>
    <x v="0"/>
    <m/>
  </r>
  <r>
    <x v="1"/>
    <x v="0"/>
    <x v="1"/>
    <x v="16"/>
    <x v="339"/>
    <n v="1010"/>
    <n v="4588"/>
    <m/>
    <s v="ECHO, OFDA, UNICEF"/>
    <s v="31/12/2018, 30/06/2019, 13/09/2018"/>
    <n v="0"/>
    <s v="No"/>
    <n v="0"/>
    <n v="0"/>
    <n v="0"/>
    <n v="0"/>
    <n v="0"/>
    <n v="1"/>
    <n v="0"/>
    <n v="0"/>
    <n v="0"/>
    <m/>
    <n v="38"/>
    <n v="21"/>
    <n v="0"/>
    <s v="SI does not deliver water to the village, HH filters distribution planned"/>
    <n v="105"/>
    <n v="27"/>
    <n v="132"/>
    <s v="Monthly"/>
    <n v="0"/>
    <x v="3"/>
    <x v="2"/>
    <n v="18.876190476190477"/>
    <n v="0"/>
    <m/>
    <n v="0"/>
    <s v="Household"/>
    <n v="0"/>
    <n v="0"/>
    <n v="9"/>
    <n v="1010"/>
    <n v="1010"/>
    <x v="0"/>
    <m/>
    <m/>
    <m/>
    <s v="v39 and v40 can be completed in terms of amount of money but hardly in terms of number of workers as we'll face double countings"/>
    <s v="no test"/>
    <n v="0.55263157894736847"/>
    <x v="0"/>
    <n v="0"/>
    <n v="0"/>
    <n v="0"/>
    <n v="0"/>
    <n v="5.4489973844812557E-2"/>
    <n v="250"/>
    <n v="5.4489973844812557E-2"/>
    <n v="250"/>
    <n v="1"/>
    <n v="0.94551002615518742"/>
    <n v="4338"/>
    <n v="8"/>
    <n v="9"/>
    <n v="132"/>
    <n v="0.45771578029642546"/>
    <n v="2100"/>
    <n v="0.42284219703574544"/>
    <n v="97"/>
    <n v="229"/>
    <n v="0.20454545454545456"/>
    <n v="2640"/>
    <n v="4500"/>
    <n v="1"/>
    <n v="1"/>
    <n v="1"/>
    <n v="4588"/>
    <n v="1"/>
    <n v="0"/>
    <n v="0.98081952920662596"/>
    <n v="1"/>
    <n v="1"/>
    <n v="5050"/>
    <n v="5050"/>
    <n v="5050"/>
    <n v="0"/>
    <s v="Yes"/>
    <n v="0"/>
    <x v="1"/>
    <x v="0"/>
    <x v="11"/>
    <x v="5"/>
    <n v="20.073437999999999"/>
    <n v="93.154551999999995"/>
    <s v="MMR012CMP017"/>
    <x v="0"/>
    <m/>
  </r>
  <r>
    <x v="1"/>
    <x v="0"/>
    <x v="1"/>
    <x v="16"/>
    <x v="340"/>
    <n v="905"/>
    <n v="4086"/>
    <m/>
    <s v="ECHO, OFDA, UNICEF"/>
    <s v="31/12/2018, 30/06/2019, 13/09/2018"/>
    <n v="0"/>
    <s v="No"/>
    <n v="0"/>
    <n v="0"/>
    <n v="0"/>
    <n v="0"/>
    <n v="17648.351648351647"/>
    <n v="3"/>
    <n v="0"/>
    <n v="0"/>
    <n v="142"/>
    <n v="142"/>
    <n v="39"/>
    <n v="16"/>
    <n v="0"/>
    <m/>
    <n v="110"/>
    <n v="12"/>
    <n v="122"/>
    <s v="Monthly"/>
    <n v="0"/>
    <x v="3"/>
    <x v="2"/>
    <n v="14.672727272727272"/>
    <n v="0"/>
    <m/>
    <n v="0"/>
    <s v="Household"/>
    <n v="0"/>
    <n v="0"/>
    <n v="10"/>
    <n v="905"/>
    <n v="905"/>
    <x v="0"/>
    <m/>
    <m/>
    <m/>
    <s v="v39 and v40 can be completed in terms of amount of money but hardly in terms of number of workers as we'll face double countings"/>
    <n v="1"/>
    <n v="0.41025641025641024"/>
    <x v="0"/>
    <n v="0.28794830556945089"/>
    <n v="0.28794830556945089"/>
    <n v="0.28794830556945089"/>
    <n v="1176.5567765567764"/>
    <n v="0.18355359765051396"/>
    <n v="750"/>
    <n v="0.47150190321996488"/>
    <n v="1926.5567765567764"/>
    <n v="4"/>
    <n v="0.52849809678003512"/>
    <n v="2159.4432234432234"/>
    <n v="4"/>
    <n v="8"/>
    <n v="122"/>
    <n v="0.53842388644150763"/>
    <n v="2200"/>
    <n v="0.40137053352912383"/>
    <n v="82"/>
    <n v="204"/>
    <n v="9.8360655737704916E-2"/>
    <n v="2440"/>
    <n v="4086"/>
    <n v="1"/>
    <n v="1"/>
    <n v="1"/>
    <n v="4086"/>
    <n v="1"/>
    <n v="0"/>
    <n v="1"/>
    <n v="1"/>
    <n v="1"/>
    <n v="4525"/>
    <n v="4525"/>
    <n v="4525"/>
    <n v="0"/>
    <s v="Yes"/>
    <n v="0"/>
    <x v="1"/>
    <x v="0"/>
    <x v="9"/>
    <x v="5"/>
    <n v="20.073437999999999"/>
    <n v="93.154551999999995"/>
    <s v="MMR012CMP017"/>
    <x v="0"/>
    <m/>
  </r>
  <r>
    <x v="1"/>
    <x v="7"/>
    <x v="1"/>
    <x v="16"/>
    <x v="293"/>
    <n v="204"/>
    <n v="1055"/>
    <m/>
    <s v="OFDA"/>
    <d v="2019-03-31T00:00:00"/>
    <n v="0"/>
    <s v="No"/>
    <n v="0"/>
    <n v="0"/>
    <n v="0"/>
    <n v="0"/>
    <n v="0"/>
    <n v="2"/>
    <n v="0"/>
    <m/>
    <n v="0"/>
    <n v="0"/>
    <n v="0"/>
    <n v="0"/>
    <n v="0"/>
    <m/>
    <n v="45"/>
    <n v="20"/>
    <n v="0"/>
    <m/>
    <n v="70"/>
    <x v="4"/>
    <x v="4"/>
    <n v="0"/>
    <n v="0"/>
    <m/>
    <n v="0"/>
    <s v="Household"/>
    <n v="0"/>
    <n v="0"/>
    <n v="3"/>
    <n v="0"/>
    <n v="0"/>
    <x v="0"/>
    <m/>
    <m/>
    <m/>
    <m/>
    <s v="no test"/>
    <s v="no test"/>
    <x v="1"/>
    <n v="0"/>
    <n v="0"/>
    <n v="0"/>
    <n v="0"/>
    <n v="0.47393364928909953"/>
    <n v="500"/>
    <n v="0.47393364928909953"/>
    <n v="500"/>
    <n v="1"/>
    <n v="0.52606635071090047"/>
    <n v="555"/>
    <n v="1"/>
    <n v="2"/>
    <n v="65"/>
    <n v="0.25592417061611372"/>
    <n v="270"/>
    <n v="0.63127962085308054"/>
    <n v="111"/>
    <n v="176"/>
    <n v="0.30769230769230771"/>
    <s v="N/A"/>
    <n v="1055"/>
    <n v="0"/>
    <n v="1"/>
    <n v="0"/>
    <n v="0"/>
    <n v="0"/>
    <n v="1"/>
    <n v="1"/>
    <n v="0"/>
    <n v="0"/>
    <n v="0"/>
    <n v="0"/>
    <n v="0"/>
    <n v="0"/>
    <n v="0"/>
    <n v="0"/>
    <x v="3"/>
    <x v="2"/>
    <x v="7"/>
    <x v="3"/>
    <n v="20.0839"/>
    <n v="92.993799999999993"/>
    <s v="197557"/>
    <x v="0"/>
    <m/>
  </r>
  <r>
    <x v="1"/>
    <x v="7"/>
    <x v="1"/>
    <x v="16"/>
    <x v="357"/>
    <n v="744"/>
    <n v="2810"/>
    <m/>
    <s v="OFDA"/>
    <d v="2019-03-31T00:00:00"/>
    <n v="0"/>
    <s v="No"/>
    <n v="0"/>
    <n v="0"/>
    <n v="14"/>
    <n v="0"/>
    <n v="64300"/>
    <n v="0"/>
    <n v="8"/>
    <m/>
    <n v="0"/>
    <n v="0"/>
    <n v="0"/>
    <n v="0"/>
    <n v="0"/>
    <m/>
    <n v="350"/>
    <n v="16"/>
    <n v="25"/>
    <m/>
    <n v="366"/>
    <x v="0"/>
    <x v="0"/>
    <n v="4"/>
    <n v="2"/>
    <m/>
    <n v="0.55000000000000004"/>
    <s v="Both"/>
    <n v="660"/>
    <n v="0"/>
    <n v="7"/>
    <n v="720"/>
    <n v="720"/>
    <x v="0"/>
    <m/>
    <m/>
    <m/>
    <m/>
    <s v="no test"/>
    <s v="no test"/>
    <x v="1"/>
    <n v="1"/>
    <n v="1"/>
    <n v="1"/>
    <n v="2810"/>
    <n v="0"/>
    <n v="0"/>
    <n v="1"/>
    <n v="2810"/>
    <n v="5.62"/>
    <n v="0"/>
    <n v="0"/>
    <n v="0.37999999999999989"/>
    <n v="6"/>
    <n v="366"/>
    <n v="1"/>
    <n v="2810"/>
    <n v="0"/>
    <n v="0"/>
    <n v="141"/>
    <n v="4.3715846994535519E-2"/>
    <n v="500"/>
    <n v="2810"/>
    <n v="0"/>
    <n v="1"/>
    <n v="0"/>
    <n v="0"/>
    <n v="0"/>
    <n v="1"/>
    <n v="1"/>
    <n v="0.967741935483871"/>
    <n v="0.967741935483871"/>
    <n v="3600"/>
    <n v="3600"/>
    <n v="3600"/>
    <n v="409.20000000000005"/>
    <s v="Yes"/>
    <n v="0"/>
    <x v="1"/>
    <x v="0"/>
    <x v="9"/>
    <x v="5"/>
    <n v="20.064226000000001"/>
    <n v="92.993758999999997"/>
    <s v="MMR012CMP019"/>
    <x v="0"/>
    <m/>
  </r>
  <r>
    <x v="1"/>
    <x v="7"/>
    <x v="1"/>
    <x v="16"/>
    <x v="295"/>
    <n v="948"/>
    <n v="3946"/>
    <m/>
    <s v="OFDA"/>
    <d v="2019-03-31T00:00:00"/>
    <n v="0"/>
    <s v="No"/>
    <n v="0"/>
    <n v="0"/>
    <n v="50"/>
    <n v="8"/>
    <n v="0"/>
    <n v="0"/>
    <n v="0"/>
    <m/>
    <n v="0"/>
    <n v="0"/>
    <n v="0"/>
    <n v="0"/>
    <n v="0"/>
    <m/>
    <n v="243"/>
    <n v="97"/>
    <n v="0"/>
    <m/>
    <n v="340"/>
    <x v="4"/>
    <x v="0"/>
    <n v="0"/>
    <n v="0"/>
    <m/>
    <n v="0.45"/>
    <s v="Both"/>
    <n v="0"/>
    <n v="0"/>
    <n v="7"/>
    <n v="0"/>
    <n v="0"/>
    <x v="0"/>
    <m/>
    <m/>
    <m/>
    <m/>
    <s v="no test"/>
    <s v="no test"/>
    <x v="1"/>
    <n v="1"/>
    <n v="1"/>
    <n v="1"/>
    <n v="3946"/>
    <n v="0"/>
    <n v="0"/>
    <n v="1"/>
    <n v="3946"/>
    <n v="7.8920000000000003"/>
    <n v="0"/>
    <n v="0"/>
    <n v="0.10799999999999965"/>
    <n v="8"/>
    <n v="340"/>
    <n v="0.36948808920425746"/>
    <n v="1458"/>
    <n v="0.48352762290927526"/>
    <n v="318"/>
    <n v="658"/>
    <n v="0.28529411764705881"/>
    <s v="N/A"/>
    <n v="3500"/>
    <n v="0"/>
    <n v="1"/>
    <n v="0"/>
    <n v="0"/>
    <n v="0"/>
    <n v="1"/>
    <n v="0.88697415103902688"/>
    <n v="0"/>
    <n v="0"/>
    <n v="0"/>
    <n v="0"/>
    <n v="0"/>
    <n v="426.6"/>
    <n v="0"/>
    <n v="0"/>
    <x v="3"/>
    <x v="2"/>
    <x v="7"/>
    <x v="5"/>
    <n v="20.0641"/>
    <n v="92.994600000000005"/>
    <s v="197548"/>
    <x v="0"/>
    <m/>
  </r>
  <r>
    <x v="1"/>
    <x v="7"/>
    <x v="1"/>
    <x v="16"/>
    <x v="296"/>
    <n v="477"/>
    <n v="2034"/>
    <m/>
    <s v="OFDA"/>
    <d v="2019-03-31T00:00:00"/>
    <n v="0"/>
    <s v="No"/>
    <n v="0"/>
    <n v="0"/>
    <n v="15"/>
    <n v="7"/>
    <n v="0"/>
    <n v="2"/>
    <n v="0"/>
    <m/>
    <n v="0"/>
    <n v="0"/>
    <n v="0"/>
    <n v="0"/>
    <n v="0"/>
    <m/>
    <n v="102"/>
    <n v="74"/>
    <n v="0"/>
    <m/>
    <n v="176"/>
    <x v="4"/>
    <x v="0"/>
    <n v="0"/>
    <n v="0"/>
    <s v="Village approach(Agency regular provide only cleaning mateirals)"/>
    <n v="0"/>
    <s v="Household"/>
    <n v="0"/>
    <n v="0"/>
    <n v="4"/>
    <n v="0"/>
    <n v="0"/>
    <x v="0"/>
    <m/>
    <m/>
    <m/>
    <m/>
    <s v="no test"/>
    <s v="no test"/>
    <x v="1"/>
    <n v="1"/>
    <n v="1"/>
    <n v="1"/>
    <n v="2034"/>
    <n v="0.24582104228121926"/>
    <n v="500"/>
    <n v="1"/>
    <n v="2034"/>
    <n v="4.0679999999999996"/>
    <n v="0"/>
    <n v="0"/>
    <n v="0"/>
    <n v="4"/>
    <n v="176"/>
    <n v="0.30088495575221241"/>
    <n v="612"/>
    <n v="0.4808259587020649"/>
    <n v="163"/>
    <n v="339"/>
    <n v="0.42045454545454547"/>
    <s v="N/A"/>
    <n v="2000"/>
    <n v="0"/>
    <n v="1"/>
    <n v="0"/>
    <n v="0"/>
    <n v="0"/>
    <n v="1"/>
    <n v="0.98328416912487704"/>
    <n v="0"/>
    <n v="0"/>
    <n v="0"/>
    <n v="0"/>
    <n v="0"/>
    <n v="0"/>
    <n v="0"/>
    <n v="0"/>
    <x v="3"/>
    <x v="2"/>
    <x v="7"/>
    <x v="3"/>
    <n v="20.057860999999999"/>
    <n v="92.995181000000002"/>
    <s v="197550"/>
    <x v="0"/>
    <m/>
  </r>
  <r>
    <x v="1"/>
    <x v="2"/>
    <x v="1"/>
    <x v="23"/>
    <x v="297"/>
    <n v="72"/>
    <n v="360"/>
    <m/>
    <m/>
    <m/>
    <m/>
    <s v="No"/>
    <n v="0"/>
    <n v="0"/>
    <n v="0"/>
    <m/>
    <m/>
    <m/>
    <n v="0"/>
    <m/>
    <m/>
    <m/>
    <m/>
    <m/>
    <m/>
    <m/>
    <n v="5"/>
    <m/>
    <m/>
    <m/>
    <n v="0"/>
    <x v="1"/>
    <x v="1"/>
    <m/>
    <m/>
    <m/>
    <n v="0"/>
    <m/>
    <n v="0"/>
    <m/>
    <n v="0"/>
    <m/>
    <m/>
    <x v="0"/>
    <m/>
    <m/>
    <m/>
    <m/>
    <s v="no test"/>
    <s v="no test"/>
    <x v="1"/>
    <n v="0"/>
    <n v="0"/>
    <n v="0"/>
    <n v="0"/>
    <n v="0"/>
    <n v="0"/>
    <n v="0"/>
    <n v="0"/>
    <n v="0"/>
    <n v="1"/>
    <n v="360"/>
    <n v="1"/>
    <n v="1"/>
    <n v="5"/>
    <n v="8.3333333333333329E-2"/>
    <n v="30"/>
    <n v="0.91666666666666663"/>
    <n v="55"/>
    <n v="60"/>
    <n v="0"/>
    <s v="N/A"/>
    <n v="0"/>
    <n v="0"/>
    <n v="0"/>
    <n v="0"/>
    <n v="0"/>
    <n v="0"/>
    <n v="1"/>
    <n v="0"/>
    <n v="0"/>
    <n v="0"/>
    <n v="0"/>
    <n v="0"/>
    <n v="0"/>
    <n v="0"/>
    <n v="0"/>
    <n v="0"/>
    <x v="3"/>
    <x v="2"/>
    <x v="7"/>
    <x v="5"/>
    <n v="20.494340897000001"/>
    <n v="93.054298400999997"/>
    <s v="196350"/>
    <x v="1"/>
    <m/>
  </r>
  <r>
    <x v="1"/>
    <x v="2"/>
    <x v="1"/>
    <x v="23"/>
    <x v="298"/>
    <n v="324"/>
    <n v="1618"/>
    <m/>
    <m/>
    <m/>
    <m/>
    <s v="No"/>
    <n v="0"/>
    <n v="0"/>
    <n v="0"/>
    <m/>
    <m/>
    <m/>
    <n v="0"/>
    <m/>
    <m/>
    <m/>
    <m/>
    <m/>
    <m/>
    <m/>
    <n v="45"/>
    <m/>
    <m/>
    <m/>
    <n v="0"/>
    <x v="1"/>
    <x v="1"/>
    <m/>
    <m/>
    <m/>
    <n v="0"/>
    <m/>
    <n v="0"/>
    <m/>
    <n v="0"/>
    <m/>
    <m/>
    <x v="0"/>
    <m/>
    <m/>
    <m/>
    <m/>
    <s v="no test"/>
    <s v="no test"/>
    <x v="1"/>
    <n v="0"/>
    <n v="0"/>
    <n v="0"/>
    <n v="0"/>
    <n v="0"/>
    <n v="0"/>
    <n v="0"/>
    <n v="0"/>
    <n v="0"/>
    <n v="1"/>
    <n v="1618"/>
    <n v="3"/>
    <n v="3"/>
    <n v="45"/>
    <n v="0.1668726823238566"/>
    <n v="270"/>
    <n v="0.83436341161928296"/>
    <n v="225"/>
    <n v="270"/>
    <n v="0"/>
    <s v="N/A"/>
    <n v="0"/>
    <n v="0"/>
    <n v="0"/>
    <n v="0"/>
    <n v="0"/>
    <n v="0"/>
    <n v="1"/>
    <n v="0"/>
    <n v="0"/>
    <n v="0"/>
    <n v="0"/>
    <n v="0"/>
    <n v="0"/>
    <n v="0"/>
    <n v="0"/>
    <n v="0"/>
    <x v="3"/>
    <x v="2"/>
    <x v="7"/>
    <x v="5"/>
    <n v="20.608819961999998"/>
    <n v="93.022407532000003"/>
    <s v="196318"/>
    <x v="1"/>
    <m/>
  </r>
  <r>
    <x v="1"/>
    <x v="2"/>
    <x v="1"/>
    <x v="23"/>
    <x v="299"/>
    <n v="149"/>
    <n v="747"/>
    <m/>
    <m/>
    <m/>
    <m/>
    <s v="No"/>
    <n v="0"/>
    <n v="0"/>
    <n v="0"/>
    <m/>
    <m/>
    <m/>
    <n v="0"/>
    <m/>
    <m/>
    <m/>
    <m/>
    <m/>
    <m/>
    <m/>
    <n v="0"/>
    <m/>
    <m/>
    <m/>
    <n v="0"/>
    <x v="1"/>
    <x v="1"/>
    <m/>
    <m/>
    <m/>
    <n v="0"/>
    <m/>
    <n v="0"/>
    <m/>
    <n v="0"/>
    <m/>
    <m/>
    <x v="0"/>
    <m/>
    <m/>
    <m/>
    <m/>
    <s v="no test"/>
    <s v="no test"/>
    <x v="1"/>
    <n v="0"/>
    <n v="0"/>
    <n v="0"/>
    <n v="0"/>
    <n v="0"/>
    <n v="0"/>
    <n v="0"/>
    <n v="0"/>
    <n v="0"/>
    <n v="1"/>
    <n v="747"/>
    <n v="1"/>
    <n v="1"/>
    <n v="0"/>
    <n v="0"/>
    <n v="0"/>
    <n v="1"/>
    <n v="125"/>
    <n v="125"/>
    <n v="0"/>
    <s v="N/A"/>
    <n v="0"/>
    <n v="0"/>
    <n v="0"/>
    <n v="0"/>
    <n v="0"/>
    <n v="0"/>
    <n v="1"/>
    <n v="0"/>
    <n v="0"/>
    <n v="0"/>
    <n v="0"/>
    <n v="0"/>
    <n v="0"/>
    <n v="0"/>
    <n v="0"/>
    <n v="0"/>
    <x v="3"/>
    <x v="2"/>
    <x v="7"/>
    <x v="3"/>
    <n v="20.630609511999999"/>
    <n v="92.998641968000001"/>
    <s v="196316"/>
    <x v="1"/>
    <m/>
  </r>
  <r>
    <x v="1"/>
    <x v="2"/>
    <x v="1"/>
    <x v="23"/>
    <x v="300"/>
    <n v="83"/>
    <n v="417"/>
    <m/>
    <m/>
    <m/>
    <m/>
    <s v="No"/>
    <n v="0"/>
    <n v="0"/>
    <n v="0"/>
    <m/>
    <m/>
    <m/>
    <n v="0"/>
    <m/>
    <m/>
    <m/>
    <m/>
    <m/>
    <m/>
    <m/>
    <n v="10"/>
    <m/>
    <m/>
    <m/>
    <n v="0"/>
    <x v="1"/>
    <x v="1"/>
    <m/>
    <m/>
    <m/>
    <n v="0"/>
    <m/>
    <n v="0"/>
    <m/>
    <n v="0"/>
    <m/>
    <m/>
    <x v="0"/>
    <m/>
    <m/>
    <m/>
    <m/>
    <s v="no test"/>
    <s v="no test"/>
    <x v="1"/>
    <n v="0"/>
    <n v="0"/>
    <n v="0"/>
    <n v="0"/>
    <n v="0"/>
    <n v="0"/>
    <n v="0"/>
    <n v="0"/>
    <n v="0"/>
    <n v="1"/>
    <n v="417"/>
    <n v="1"/>
    <n v="1"/>
    <n v="10"/>
    <n v="0.14388489208633093"/>
    <n v="60"/>
    <n v="0.86330935251798557"/>
    <n v="60"/>
    <n v="70"/>
    <n v="0"/>
    <s v="N/A"/>
    <n v="0"/>
    <n v="0"/>
    <n v="0"/>
    <n v="0"/>
    <n v="0"/>
    <n v="0"/>
    <n v="1"/>
    <n v="0"/>
    <n v="0"/>
    <n v="0"/>
    <n v="0"/>
    <n v="0"/>
    <n v="0"/>
    <n v="0"/>
    <n v="0"/>
    <n v="0"/>
    <x v="3"/>
    <x v="2"/>
    <x v="7"/>
    <x v="3"/>
    <n v="20.645240783999999"/>
    <n v="92.939758300999998"/>
    <s v="196313"/>
    <x v="1"/>
    <m/>
  </r>
  <r>
    <x v="1"/>
    <x v="2"/>
    <x v="1"/>
    <x v="23"/>
    <x v="301"/>
    <n v="130"/>
    <n v="650"/>
    <m/>
    <m/>
    <m/>
    <m/>
    <s v="No"/>
    <n v="0"/>
    <n v="0"/>
    <n v="0"/>
    <m/>
    <m/>
    <m/>
    <n v="0"/>
    <m/>
    <m/>
    <m/>
    <m/>
    <m/>
    <m/>
    <m/>
    <n v="23"/>
    <m/>
    <m/>
    <m/>
    <n v="0"/>
    <x v="1"/>
    <x v="1"/>
    <m/>
    <m/>
    <m/>
    <n v="0"/>
    <m/>
    <n v="0"/>
    <m/>
    <n v="0"/>
    <m/>
    <m/>
    <x v="0"/>
    <m/>
    <m/>
    <m/>
    <m/>
    <s v="no test"/>
    <s v="no test"/>
    <x v="1"/>
    <n v="0"/>
    <n v="0"/>
    <n v="0"/>
    <n v="0"/>
    <n v="0"/>
    <n v="0"/>
    <n v="0"/>
    <n v="0"/>
    <n v="0"/>
    <n v="1"/>
    <n v="650"/>
    <n v="1"/>
    <n v="1"/>
    <n v="23"/>
    <n v="0.21230769230769231"/>
    <n v="138"/>
    <n v="0.7846153846153846"/>
    <n v="85"/>
    <n v="108"/>
    <n v="0"/>
    <s v="N/A"/>
    <n v="0"/>
    <n v="0"/>
    <n v="0"/>
    <n v="0"/>
    <n v="0"/>
    <n v="0"/>
    <n v="1"/>
    <n v="0"/>
    <n v="0"/>
    <n v="0"/>
    <n v="0"/>
    <n v="0"/>
    <n v="0"/>
    <n v="0"/>
    <n v="0"/>
    <n v="0"/>
    <x v="3"/>
    <x v="2"/>
    <x v="7"/>
    <x v="3"/>
    <n v="20.482030868999999"/>
    <n v="93.045410156000003"/>
    <s v="196349"/>
    <x v="1"/>
    <m/>
  </r>
  <r>
    <x v="1"/>
    <x v="2"/>
    <x v="1"/>
    <x v="23"/>
    <x v="302"/>
    <n v="82"/>
    <n v="408"/>
    <m/>
    <m/>
    <m/>
    <m/>
    <s v="No"/>
    <n v="0"/>
    <n v="0"/>
    <n v="0"/>
    <m/>
    <m/>
    <m/>
    <n v="0"/>
    <m/>
    <m/>
    <m/>
    <m/>
    <m/>
    <m/>
    <m/>
    <n v="0"/>
    <m/>
    <m/>
    <m/>
    <n v="0"/>
    <x v="1"/>
    <x v="1"/>
    <m/>
    <m/>
    <m/>
    <n v="0"/>
    <m/>
    <n v="0"/>
    <m/>
    <n v="0"/>
    <m/>
    <m/>
    <x v="0"/>
    <m/>
    <m/>
    <m/>
    <m/>
    <s v="no test"/>
    <s v="no test"/>
    <x v="1"/>
    <n v="0"/>
    <n v="0"/>
    <n v="0"/>
    <n v="0"/>
    <n v="0"/>
    <n v="0"/>
    <n v="0"/>
    <n v="0"/>
    <n v="0"/>
    <n v="1"/>
    <n v="408"/>
    <n v="1"/>
    <n v="1"/>
    <n v="0"/>
    <n v="0"/>
    <n v="0"/>
    <n v="1"/>
    <n v="68"/>
    <n v="68"/>
    <n v="0"/>
    <s v="N/A"/>
    <n v="0"/>
    <n v="0"/>
    <n v="0"/>
    <n v="0"/>
    <n v="0"/>
    <n v="0"/>
    <n v="1"/>
    <n v="0"/>
    <n v="0"/>
    <n v="0"/>
    <n v="0"/>
    <n v="0"/>
    <n v="0"/>
    <n v="0"/>
    <n v="0"/>
    <n v="0"/>
    <x v="3"/>
    <x v="2"/>
    <x v="7"/>
    <x v="3"/>
    <n v="20.632720946999999"/>
    <n v="92.940132141000007"/>
    <s v="196312"/>
    <x v="1"/>
    <m/>
  </r>
  <r>
    <x v="1"/>
    <x v="2"/>
    <x v="1"/>
    <x v="23"/>
    <x v="303"/>
    <n v="246"/>
    <n v="1232"/>
    <m/>
    <m/>
    <m/>
    <m/>
    <s v="No"/>
    <n v="0"/>
    <n v="0"/>
    <n v="0"/>
    <m/>
    <m/>
    <m/>
    <n v="0"/>
    <m/>
    <m/>
    <m/>
    <m/>
    <m/>
    <m/>
    <m/>
    <n v="42"/>
    <m/>
    <m/>
    <m/>
    <n v="0"/>
    <x v="1"/>
    <x v="1"/>
    <m/>
    <m/>
    <m/>
    <n v="0"/>
    <m/>
    <n v="0"/>
    <m/>
    <n v="0"/>
    <m/>
    <m/>
    <x v="0"/>
    <m/>
    <m/>
    <m/>
    <m/>
    <s v="no test"/>
    <s v="no test"/>
    <x v="1"/>
    <n v="0"/>
    <n v="0"/>
    <n v="0"/>
    <n v="0"/>
    <n v="0"/>
    <n v="0"/>
    <n v="0"/>
    <n v="0"/>
    <n v="0"/>
    <n v="1"/>
    <n v="1232"/>
    <n v="2"/>
    <n v="2"/>
    <n v="42"/>
    <n v="0.20454545454545456"/>
    <n v="252.00000000000003"/>
    <n v="0.79383116883116878"/>
    <n v="163"/>
    <n v="205"/>
    <n v="0"/>
    <s v="N/A"/>
    <n v="0"/>
    <n v="0"/>
    <n v="0"/>
    <n v="0"/>
    <n v="0"/>
    <n v="0"/>
    <n v="1"/>
    <n v="0"/>
    <n v="0"/>
    <n v="0"/>
    <n v="0"/>
    <n v="0"/>
    <n v="0"/>
    <n v="0"/>
    <n v="0"/>
    <n v="0"/>
    <x v="3"/>
    <x v="2"/>
    <x v="7"/>
    <x v="3"/>
    <n v="20.596279144"/>
    <n v="92.987480164000004"/>
    <s v="196321"/>
    <x v="1"/>
    <m/>
  </r>
  <r>
    <x v="1"/>
    <x v="2"/>
    <x v="1"/>
    <x v="23"/>
    <x v="304"/>
    <n v="362"/>
    <n v="1811"/>
    <m/>
    <m/>
    <m/>
    <m/>
    <s v="No"/>
    <n v="0"/>
    <n v="0"/>
    <n v="0"/>
    <n v="4"/>
    <m/>
    <m/>
    <n v="0"/>
    <m/>
    <m/>
    <m/>
    <m/>
    <m/>
    <m/>
    <m/>
    <n v="141"/>
    <m/>
    <m/>
    <m/>
    <n v="141"/>
    <x v="1"/>
    <x v="1"/>
    <m/>
    <m/>
    <m/>
    <n v="0"/>
    <m/>
    <n v="0"/>
    <m/>
    <n v="0"/>
    <m/>
    <m/>
    <x v="0"/>
    <m/>
    <m/>
    <m/>
    <m/>
    <s v="no test"/>
    <s v="no test"/>
    <x v="1"/>
    <n v="1"/>
    <n v="0.55218111540585313"/>
    <n v="0.55218111540585313"/>
    <n v="1000"/>
    <n v="0"/>
    <n v="0"/>
    <n v="0.55218111540585313"/>
    <n v="1000"/>
    <n v="2"/>
    <n v="0.44781888459414687"/>
    <n v="811"/>
    <n v="2"/>
    <n v="4"/>
    <n v="141"/>
    <n v="0.46714522363335176"/>
    <n v="846"/>
    <n v="0.53340695748205413"/>
    <n v="161"/>
    <n v="302"/>
    <n v="0"/>
    <s v="N/A"/>
    <n v="0"/>
    <n v="0"/>
    <n v="0"/>
    <n v="0"/>
    <n v="0"/>
    <n v="0"/>
    <n v="1"/>
    <n v="0"/>
    <n v="0"/>
    <n v="0"/>
    <n v="0"/>
    <n v="0"/>
    <n v="0"/>
    <n v="0"/>
    <n v="0"/>
    <n v="0"/>
    <x v="3"/>
    <x v="2"/>
    <x v="7"/>
    <x v="3"/>
    <n v="20.268000000000001"/>
    <n v="92.977999999999994"/>
    <s v="196408"/>
    <x v="1"/>
    <m/>
  </r>
  <r>
    <x v="1"/>
    <x v="2"/>
    <x v="1"/>
    <x v="23"/>
    <x v="305"/>
    <n v="139"/>
    <n v="695"/>
    <m/>
    <m/>
    <m/>
    <m/>
    <s v="No"/>
    <n v="0"/>
    <n v="0"/>
    <n v="0"/>
    <n v="0"/>
    <m/>
    <m/>
    <n v="0"/>
    <m/>
    <m/>
    <m/>
    <m/>
    <m/>
    <m/>
    <m/>
    <n v="44"/>
    <m/>
    <m/>
    <m/>
    <n v="44"/>
    <x v="1"/>
    <x v="1"/>
    <m/>
    <m/>
    <m/>
    <n v="0"/>
    <m/>
    <n v="0"/>
    <m/>
    <n v="0"/>
    <m/>
    <m/>
    <x v="0"/>
    <m/>
    <m/>
    <m/>
    <m/>
    <s v="no test"/>
    <s v="no test"/>
    <x v="1"/>
    <n v="0"/>
    <n v="0"/>
    <n v="0"/>
    <n v="0"/>
    <n v="0"/>
    <n v="0"/>
    <n v="0"/>
    <n v="0"/>
    <m/>
    <n v="1"/>
    <n v="695"/>
    <n v="1"/>
    <n v="1"/>
    <n v="44"/>
    <n v="0.37985611510791367"/>
    <n v="264"/>
    <n v="0.62158273381294971"/>
    <n v="72"/>
    <n v="116"/>
    <n v="0"/>
    <s v="N/A"/>
    <n v="0"/>
    <n v="0"/>
    <n v="0"/>
    <n v="0"/>
    <n v="0"/>
    <n v="0"/>
    <n v="1"/>
    <n v="0"/>
    <n v="0"/>
    <n v="0"/>
    <n v="0"/>
    <n v="0"/>
    <n v="0"/>
    <n v="0"/>
    <n v="0"/>
    <n v="0"/>
    <x v="3"/>
    <x v="2"/>
    <x v="7"/>
    <x v="3"/>
    <n v="20.292100000000001"/>
    <n v="92.994100000000003"/>
    <s v="196377"/>
    <x v="1"/>
    <m/>
  </r>
  <r>
    <x v="1"/>
    <x v="2"/>
    <x v="1"/>
    <x v="23"/>
    <x v="306"/>
    <n v="91"/>
    <n v="456"/>
    <m/>
    <m/>
    <m/>
    <m/>
    <s v="No"/>
    <n v="0"/>
    <n v="0"/>
    <n v="0"/>
    <m/>
    <m/>
    <m/>
    <n v="0"/>
    <m/>
    <m/>
    <m/>
    <m/>
    <m/>
    <m/>
    <m/>
    <n v="6"/>
    <m/>
    <m/>
    <m/>
    <n v="0"/>
    <x v="1"/>
    <x v="1"/>
    <m/>
    <m/>
    <m/>
    <n v="0"/>
    <m/>
    <n v="0"/>
    <m/>
    <n v="0"/>
    <m/>
    <m/>
    <x v="0"/>
    <m/>
    <m/>
    <m/>
    <m/>
    <s v="no test"/>
    <s v="no test"/>
    <x v="1"/>
    <n v="0"/>
    <n v="0"/>
    <n v="0"/>
    <n v="0"/>
    <n v="0"/>
    <n v="0"/>
    <n v="0"/>
    <n v="0"/>
    <n v="0"/>
    <n v="1"/>
    <n v="456"/>
    <n v="1"/>
    <n v="1"/>
    <n v="6"/>
    <n v="7.8947368421052627E-2"/>
    <n v="36"/>
    <n v="0.92105263157894735"/>
    <n v="70"/>
    <n v="76"/>
    <n v="0"/>
    <s v="N/A"/>
    <n v="0"/>
    <n v="0"/>
    <n v="0"/>
    <n v="0"/>
    <n v="0"/>
    <n v="0"/>
    <n v="1"/>
    <n v="0"/>
    <n v="0"/>
    <n v="0"/>
    <n v="0"/>
    <n v="0"/>
    <n v="0"/>
    <n v="0"/>
    <n v="0"/>
    <n v="0"/>
    <x v="3"/>
    <x v="2"/>
    <x v="7"/>
    <x v="3"/>
    <n v="20.509660720999999"/>
    <n v="92.997230529999996"/>
    <s v="196337"/>
    <x v="1"/>
    <m/>
  </r>
  <r>
    <x v="1"/>
    <x v="2"/>
    <x v="1"/>
    <x v="23"/>
    <x v="307"/>
    <n v="97"/>
    <n v="487"/>
    <m/>
    <m/>
    <m/>
    <m/>
    <s v="No"/>
    <n v="0"/>
    <n v="0"/>
    <n v="0"/>
    <m/>
    <m/>
    <m/>
    <n v="0"/>
    <m/>
    <m/>
    <m/>
    <m/>
    <m/>
    <m/>
    <m/>
    <n v="5"/>
    <m/>
    <m/>
    <m/>
    <n v="0"/>
    <x v="1"/>
    <x v="1"/>
    <m/>
    <m/>
    <m/>
    <n v="0"/>
    <m/>
    <n v="0"/>
    <m/>
    <n v="0"/>
    <m/>
    <m/>
    <x v="0"/>
    <m/>
    <m/>
    <m/>
    <m/>
    <s v="no test"/>
    <s v="no test"/>
    <x v="1"/>
    <n v="0"/>
    <n v="0"/>
    <n v="0"/>
    <n v="0"/>
    <n v="0"/>
    <n v="0"/>
    <n v="0"/>
    <n v="0"/>
    <n v="0"/>
    <n v="1"/>
    <n v="487"/>
    <n v="1"/>
    <n v="1"/>
    <n v="5"/>
    <n v="6.1601642710472276E-2"/>
    <n v="30"/>
    <n v="0.93634496919917864"/>
    <n v="76"/>
    <n v="81"/>
    <n v="0"/>
    <s v="N/A"/>
    <n v="0"/>
    <n v="0"/>
    <n v="0"/>
    <n v="0"/>
    <n v="0"/>
    <n v="0"/>
    <n v="1"/>
    <n v="0"/>
    <n v="0"/>
    <n v="0"/>
    <n v="0"/>
    <n v="0"/>
    <n v="0"/>
    <n v="0"/>
    <n v="0"/>
    <n v="0"/>
    <x v="3"/>
    <x v="2"/>
    <x v="7"/>
    <x v="3"/>
    <n v="20.361530303999999"/>
    <n v="92.992073059000006"/>
    <s v="196359"/>
    <x v="1"/>
    <m/>
  </r>
  <r>
    <x v="1"/>
    <x v="2"/>
    <x v="1"/>
    <x v="23"/>
    <x v="308"/>
    <n v="26"/>
    <n v="130"/>
    <m/>
    <m/>
    <m/>
    <m/>
    <s v="No"/>
    <n v="0"/>
    <n v="0"/>
    <n v="0"/>
    <m/>
    <m/>
    <m/>
    <n v="0"/>
    <m/>
    <m/>
    <m/>
    <m/>
    <m/>
    <m/>
    <m/>
    <n v="5"/>
    <m/>
    <m/>
    <m/>
    <n v="0"/>
    <x v="1"/>
    <x v="1"/>
    <m/>
    <m/>
    <m/>
    <n v="0"/>
    <m/>
    <n v="0"/>
    <m/>
    <n v="0"/>
    <m/>
    <m/>
    <x v="0"/>
    <m/>
    <m/>
    <m/>
    <m/>
    <s v="no test"/>
    <s v="no test"/>
    <x v="1"/>
    <n v="0"/>
    <n v="0"/>
    <n v="0"/>
    <n v="0"/>
    <n v="0"/>
    <n v="0"/>
    <n v="0"/>
    <n v="0"/>
    <n v="0"/>
    <n v="1"/>
    <n v="130"/>
    <n v="1"/>
    <n v="1"/>
    <n v="5"/>
    <n v="0.23076923076923078"/>
    <n v="30"/>
    <n v="0.7846153846153846"/>
    <n v="17"/>
    <n v="22"/>
    <n v="0"/>
    <s v="N/A"/>
    <n v="0"/>
    <n v="0"/>
    <n v="0"/>
    <n v="0"/>
    <n v="0"/>
    <n v="0"/>
    <n v="1"/>
    <n v="0"/>
    <n v="0"/>
    <n v="0"/>
    <n v="0"/>
    <n v="0"/>
    <n v="0"/>
    <n v="0"/>
    <n v="0"/>
    <n v="0"/>
    <x v="3"/>
    <x v="2"/>
    <x v="7"/>
    <x v="3"/>
    <n v="20.506580353"/>
    <n v="93.043449401999993"/>
    <s v="196351"/>
    <x v="1"/>
    <m/>
  </r>
  <r>
    <x v="1"/>
    <x v="2"/>
    <x v="1"/>
    <x v="23"/>
    <x v="309"/>
    <n v="97"/>
    <n v="484"/>
    <m/>
    <m/>
    <m/>
    <m/>
    <s v="No"/>
    <n v="0"/>
    <n v="0"/>
    <n v="0"/>
    <m/>
    <m/>
    <m/>
    <n v="0"/>
    <m/>
    <m/>
    <m/>
    <m/>
    <m/>
    <m/>
    <m/>
    <n v="10"/>
    <m/>
    <m/>
    <m/>
    <n v="0"/>
    <x v="1"/>
    <x v="1"/>
    <m/>
    <m/>
    <m/>
    <n v="0"/>
    <m/>
    <n v="0"/>
    <m/>
    <n v="0"/>
    <m/>
    <m/>
    <x v="0"/>
    <m/>
    <m/>
    <m/>
    <m/>
    <s v="no test"/>
    <s v="no test"/>
    <x v="1"/>
    <n v="0"/>
    <n v="0"/>
    <n v="0"/>
    <n v="0"/>
    <n v="0"/>
    <n v="0"/>
    <n v="0"/>
    <n v="0"/>
    <n v="0"/>
    <n v="1"/>
    <n v="484"/>
    <n v="1"/>
    <n v="1"/>
    <n v="10"/>
    <n v="0.12396694214876033"/>
    <n v="60"/>
    <n v="0.8801652892561983"/>
    <n v="71"/>
    <n v="81"/>
    <n v="0"/>
    <s v="N/A"/>
    <n v="0"/>
    <n v="0"/>
    <n v="0"/>
    <n v="0"/>
    <n v="0"/>
    <n v="0"/>
    <n v="1"/>
    <n v="0"/>
    <n v="0"/>
    <n v="0"/>
    <n v="0"/>
    <n v="0"/>
    <n v="0"/>
    <n v="0"/>
    <n v="0"/>
    <n v="0"/>
    <x v="3"/>
    <x v="2"/>
    <x v="7"/>
    <x v="3"/>
    <n v="20.564739227"/>
    <n v="93.064781189000001"/>
    <s v="196331"/>
    <x v="1"/>
    <m/>
  </r>
  <r>
    <x v="1"/>
    <x v="2"/>
    <x v="1"/>
    <x v="23"/>
    <x v="310"/>
    <n v="291"/>
    <n v="1455"/>
    <m/>
    <m/>
    <m/>
    <m/>
    <s v="No"/>
    <n v="0"/>
    <n v="0"/>
    <n v="0"/>
    <n v="0"/>
    <m/>
    <m/>
    <n v="0"/>
    <m/>
    <m/>
    <m/>
    <m/>
    <m/>
    <m/>
    <m/>
    <n v="44"/>
    <m/>
    <m/>
    <m/>
    <n v="44"/>
    <x v="1"/>
    <x v="1"/>
    <m/>
    <m/>
    <m/>
    <n v="0"/>
    <m/>
    <n v="0"/>
    <m/>
    <n v="0"/>
    <m/>
    <m/>
    <x v="0"/>
    <m/>
    <m/>
    <m/>
    <m/>
    <s v="no test"/>
    <s v="no test"/>
    <x v="1"/>
    <n v="0"/>
    <n v="0"/>
    <n v="0"/>
    <n v="0"/>
    <n v="0"/>
    <n v="0"/>
    <n v="0"/>
    <n v="0"/>
    <n v="0"/>
    <n v="1"/>
    <n v="1455"/>
    <n v="3"/>
    <n v="3"/>
    <n v="44"/>
    <n v="0.18144329896907216"/>
    <n v="264"/>
    <n v="0.8206185567010309"/>
    <n v="199"/>
    <n v="243"/>
    <n v="0"/>
    <s v="N/A"/>
    <n v="0"/>
    <n v="0"/>
    <n v="0"/>
    <n v="0"/>
    <n v="0"/>
    <n v="0"/>
    <n v="1"/>
    <n v="0"/>
    <n v="0"/>
    <n v="0"/>
    <n v="0"/>
    <n v="0"/>
    <n v="0"/>
    <n v="0"/>
    <n v="0"/>
    <n v="0"/>
    <x v="3"/>
    <x v="2"/>
    <x v="7"/>
    <x v="3"/>
    <n v="20.424389999999999"/>
    <n v="93.012960000000007"/>
    <s v="196356"/>
    <x v="1"/>
    <m/>
  </r>
  <r>
    <x v="1"/>
    <x v="2"/>
    <x v="1"/>
    <x v="24"/>
    <x v="311"/>
    <n v="367"/>
    <n v="1768"/>
    <m/>
    <m/>
    <m/>
    <n v="0"/>
    <s v="Yes"/>
    <m/>
    <m/>
    <n v="0"/>
    <n v="0"/>
    <n v="0"/>
    <n v="3"/>
    <n v="0"/>
    <m/>
    <m/>
    <m/>
    <m/>
    <m/>
    <m/>
    <m/>
    <n v="0"/>
    <n v="0"/>
    <m/>
    <m/>
    <n v="0"/>
    <x v="4"/>
    <x v="4"/>
    <m/>
    <m/>
    <m/>
    <n v="0"/>
    <s v="Household"/>
    <n v="0"/>
    <n v="0"/>
    <n v="7"/>
    <m/>
    <m/>
    <x v="0"/>
    <m/>
    <m/>
    <m/>
    <m/>
    <s v="no test"/>
    <s v="no test"/>
    <x v="1"/>
    <n v="0"/>
    <n v="0"/>
    <n v="0"/>
    <n v="0"/>
    <n v="0.42420814479638008"/>
    <n v="750"/>
    <n v="0.42420814479638008"/>
    <n v="750"/>
    <n v="1.5"/>
    <n v="0.57579185520361986"/>
    <n v="1017.9999999999999"/>
    <n v="2.5"/>
    <n v="4"/>
    <n v="0"/>
    <n v="0"/>
    <n v="0"/>
    <n v="1"/>
    <n v="295"/>
    <n v="295"/>
    <n v="0"/>
    <s v="N/A"/>
    <n v="1768"/>
    <n v="0"/>
    <n v="1"/>
    <n v="0"/>
    <n v="0"/>
    <n v="0"/>
    <n v="1"/>
    <n v="1"/>
    <n v="0"/>
    <n v="0"/>
    <n v="0"/>
    <n v="0"/>
    <n v="0"/>
    <n v="0"/>
    <n v="0"/>
    <n v="0"/>
    <x v="3"/>
    <x v="2"/>
    <x v="7"/>
    <x v="5"/>
    <n v="20.555610656738299"/>
    <n v="92.643516540527301"/>
    <n v="197593"/>
    <x v="1"/>
    <s v="old MHDO village"/>
  </r>
  <r>
    <x v="1"/>
    <x v="2"/>
    <x v="1"/>
    <x v="24"/>
    <x v="312"/>
    <n v="425"/>
    <n v="2552"/>
    <m/>
    <s v="OFDA"/>
    <d v="2018-04-30T00:00:00"/>
    <m/>
    <s v="Yes"/>
    <n v="0.5"/>
    <n v="0"/>
    <n v="48"/>
    <n v="0"/>
    <n v="0"/>
    <n v="0"/>
    <n v="48"/>
    <m/>
    <m/>
    <m/>
    <m/>
    <m/>
    <m/>
    <s v="no water test"/>
    <n v="328"/>
    <n v="0"/>
    <m/>
    <m/>
    <n v="0"/>
    <x v="1"/>
    <x v="1"/>
    <m/>
    <m/>
    <m/>
    <n v="0"/>
    <m/>
    <n v="580"/>
    <n v="0"/>
    <n v="0"/>
    <m/>
    <m/>
    <x v="0"/>
    <m/>
    <m/>
    <m/>
    <m/>
    <s v="no test"/>
    <s v="no test"/>
    <x v="1"/>
    <n v="1"/>
    <n v="1"/>
    <n v="1"/>
    <n v="2552"/>
    <n v="0"/>
    <n v="0"/>
    <n v="1"/>
    <n v="2552"/>
    <n v="5.1040000000000001"/>
    <n v="0"/>
    <n v="0"/>
    <n v="0"/>
    <n v="5"/>
    <n v="328"/>
    <n v="0.7711598746081505"/>
    <n v="1968"/>
    <n v="0.2280564263322884"/>
    <n v="97"/>
    <n v="425"/>
    <n v="0"/>
    <s v="N/A"/>
    <n v="0"/>
    <n v="0"/>
    <n v="0"/>
    <n v="0"/>
    <n v="0"/>
    <n v="0"/>
    <n v="1"/>
    <n v="0"/>
    <n v="0"/>
    <n v="0"/>
    <n v="0"/>
    <n v="0"/>
    <n v="0"/>
    <n v="0"/>
    <n v="0"/>
    <n v="0"/>
    <x v="3"/>
    <x v="2"/>
    <x v="10"/>
    <x v="5"/>
    <n v="20.399269"/>
    <n v="92.781294000000003"/>
    <s v="MMR012CMP032"/>
    <x v="1"/>
    <m/>
  </r>
  <r>
    <x v="1"/>
    <x v="11"/>
    <x v="1"/>
    <x v="24"/>
    <x v="313"/>
    <n v="54"/>
    <n v="276"/>
    <m/>
    <s v="UNICEF"/>
    <d v="2018-02-14T00:00:00"/>
    <m/>
    <m/>
    <m/>
    <m/>
    <n v="0"/>
    <n v="1"/>
    <n v="0"/>
    <n v="2"/>
    <n v="0"/>
    <m/>
    <m/>
    <m/>
    <m/>
    <m/>
    <m/>
    <m/>
    <n v="3"/>
    <n v="0"/>
    <m/>
    <m/>
    <n v="3"/>
    <x v="4"/>
    <x v="4"/>
    <m/>
    <m/>
    <s v="HH latrines in village"/>
    <n v="0"/>
    <s v="Household"/>
    <n v="0"/>
    <n v="0"/>
    <n v="9"/>
    <m/>
    <m/>
    <x v="0"/>
    <m/>
    <m/>
    <m/>
    <m/>
    <s v="no test"/>
    <s v="no test"/>
    <x v="1"/>
    <n v="1"/>
    <n v="0.90579710144927539"/>
    <n v="0.90579710144927539"/>
    <n v="250"/>
    <n v="1"/>
    <n v="276"/>
    <n v="1"/>
    <n v="276"/>
    <n v="0.55200000000000005"/>
    <n v="0"/>
    <n v="0"/>
    <n v="0.44799999999999995"/>
    <n v="1"/>
    <n v="3"/>
    <n v="6.5217391304347824E-2"/>
    <n v="18"/>
    <n v="0.93478260869565222"/>
    <n v="43"/>
    <n v="46"/>
    <n v="0"/>
    <s v="N/A"/>
    <n v="276"/>
    <n v="0"/>
    <n v="1"/>
    <n v="0"/>
    <n v="0"/>
    <n v="0"/>
    <n v="1"/>
    <n v="1"/>
    <n v="0"/>
    <n v="0"/>
    <n v="0"/>
    <n v="0"/>
    <n v="0"/>
    <n v="0"/>
    <n v="0"/>
    <n v="0"/>
    <x v="3"/>
    <x v="2"/>
    <x v="7"/>
    <x v="3"/>
    <n v="0"/>
    <n v="0"/>
    <n v="220977"/>
    <x v="0"/>
    <m/>
  </r>
  <r>
    <x v="1"/>
    <x v="11"/>
    <x v="1"/>
    <x v="24"/>
    <x v="259"/>
    <n v="83"/>
    <n v="483"/>
    <m/>
    <s v="UNICEF"/>
    <d v="2018-02-14T00:00:00"/>
    <m/>
    <m/>
    <m/>
    <m/>
    <n v="0"/>
    <n v="0"/>
    <n v="0"/>
    <n v="2"/>
    <n v="0"/>
    <m/>
    <m/>
    <m/>
    <m/>
    <m/>
    <m/>
    <m/>
    <n v="22"/>
    <n v="0"/>
    <m/>
    <m/>
    <n v="22"/>
    <x v="4"/>
    <x v="4"/>
    <m/>
    <m/>
    <s v="HH latrines in village"/>
    <n v="0"/>
    <s v="Household"/>
    <n v="0"/>
    <n v="0"/>
    <n v="9"/>
    <m/>
    <m/>
    <x v="0"/>
    <m/>
    <m/>
    <m/>
    <m/>
    <s v="no test"/>
    <s v="no test"/>
    <x v="1"/>
    <n v="0"/>
    <n v="0"/>
    <n v="0"/>
    <n v="0"/>
    <n v="1"/>
    <n v="483"/>
    <n v="1"/>
    <n v="483"/>
    <n v="0.96599999999999997"/>
    <n v="0"/>
    <n v="0"/>
    <n v="3.400000000000003E-2"/>
    <n v="1"/>
    <n v="22"/>
    <n v="0.27329192546583853"/>
    <n v="132"/>
    <n v="0.73291925465838514"/>
    <n v="59"/>
    <n v="81"/>
    <n v="0"/>
    <s v="N/A"/>
    <n v="483"/>
    <n v="0"/>
    <n v="1"/>
    <n v="0"/>
    <n v="0"/>
    <n v="0"/>
    <n v="1"/>
    <n v="1"/>
    <n v="0"/>
    <n v="0"/>
    <n v="0"/>
    <n v="0"/>
    <n v="0"/>
    <n v="0"/>
    <n v="0"/>
    <n v="0"/>
    <x v="3"/>
    <x v="2"/>
    <x v="7"/>
    <x v="3"/>
    <n v="20.473930358886701"/>
    <n v="92.668853759765597"/>
    <n v="197631"/>
    <x v="0"/>
    <m/>
  </r>
  <r>
    <x v="1"/>
    <x v="2"/>
    <x v="1"/>
    <x v="24"/>
    <x v="314"/>
    <n v="280"/>
    <n v="2030"/>
    <m/>
    <m/>
    <m/>
    <n v="0"/>
    <s v="Yes"/>
    <m/>
    <m/>
    <n v="0"/>
    <n v="0"/>
    <n v="0"/>
    <n v="3"/>
    <n v="0"/>
    <m/>
    <m/>
    <m/>
    <m/>
    <m/>
    <m/>
    <m/>
    <n v="0"/>
    <n v="0"/>
    <m/>
    <m/>
    <n v="0"/>
    <x v="4"/>
    <x v="4"/>
    <m/>
    <m/>
    <m/>
    <n v="0"/>
    <s v="Household"/>
    <n v="0"/>
    <n v="0"/>
    <n v="7"/>
    <m/>
    <m/>
    <x v="0"/>
    <m/>
    <m/>
    <m/>
    <m/>
    <s v="no test"/>
    <s v="no test"/>
    <x v="1"/>
    <n v="0"/>
    <n v="0"/>
    <n v="0"/>
    <n v="0"/>
    <n v="0.36945812807881773"/>
    <n v="750"/>
    <n v="0.36945812807881773"/>
    <n v="750"/>
    <n v="1.5"/>
    <n v="0.63054187192118227"/>
    <n v="1280"/>
    <n v="2.5"/>
    <n v="4"/>
    <n v="0"/>
    <n v="0"/>
    <n v="0"/>
    <n v="0.9990147783251232"/>
    <n v="338"/>
    <n v="338"/>
    <n v="0"/>
    <s v="N/A"/>
    <n v="2030"/>
    <n v="0"/>
    <n v="1"/>
    <n v="0"/>
    <n v="0"/>
    <n v="0"/>
    <n v="1"/>
    <n v="1"/>
    <n v="0"/>
    <n v="0"/>
    <n v="0"/>
    <n v="0"/>
    <n v="0"/>
    <n v="0"/>
    <n v="0"/>
    <n v="0"/>
    <x v="3"/>
    <x v="2"/>
    <x v="7"/>
    <x v="5"/>
    <n v="20.581470489501999"/>
    <n v="92.643272399902301"/>
    <s v="197591"/>
    <x v="1"/>
    <s v="old MHDO village"/>
  </r>
  <r>
    <x v="1"/>
    <x v="2"/>
    <x v="1"/>
    <x v="24"/>
    <x v="315"/>
    <n v="245"/>
    <n v="1292"/>
    <m/>
    <m/>
    <m/>
    <n v="0"/>
    <s v="Yes"/>
    <m/>
    <m/>
    <n v="0"/>
    <n v="0"/>
    <n v="0"/>
    <n v="2"/>
    <n v="0"/>
    <m/>
    <m/>
    <m/>
    <m/>
    <m/>
    <m/>
    <m/>
    <n v="0"/>
    <n v="0"/>
    <m/>
    <m/>
    <n v="0"/>
    <x v="4"/>
    <x v="4"/>
    <m/>
    <m/>
    <m/>
    <n v="0"/>
    <s v="Household"/>
    <n v="0"/>
    <n v="0"/>
    <n v="7"/>
    <m/>
    <m/>
    <x v="0"/>
    <m/>
    <m/>
    <m/>
    <m/>
    <s v="no test"/>
    <s v="no test"/>
    <x v="1"/>
    <n v="0"/>
    <n v="0"/>
    <n v="0"/>
    <n v="0"/>
    <n v="0.38699690402476783"/>
    <n v="500.00000000000006"/>
    <n v="0.38699690402476783"/>
    <n v="500.00000000000006"/>
    <n v="1.0000000000000002"/>
    <n v="0.61300309597523217"/>
    <n v="792"/>
    <n v="1.9999999999999998"/>
    <n v="3"/>
    <n v="0"/>
    <n v="0"/>
    <n v="0"/>
    <n v="0.99845201238390091"/>
    <n v="215"/>
    <n v="215"/>
    <n v="0"/>
    <s v="N/A"/>
    <n v="1292"/>
    <n v="0"/>
    <n v="1"/>
    <n v="0"/>
    <n v="0"/>
    <n v="0"/>
    <n v="1"/>
    <n v="1"/>
    <n v="0"/>
    <n v="0"/>
    <n v="0"/>
    <n v="0"/>
    <n v="0"/>
    <n v="0"/>
    <n v="0"/>
    <n v="0"/>
    <x v="3"/>
    <x v="2"/>
    <x v="7"/>
    <x v="3"/>
    <n v="20.569759368896499"/>
    <n v="92.641799926757798"/>
    <s v="197590"/>
    <x v="1"/>
    <s v="old MHDO village"/>
  </r>
  <r>
    <x v="1"/>
    <x v="11"/>
    <x v="1"/>
    <x v="24"/>
    <x v="316"/>
    <n v="72"/>
    <n v="271"/>
    <m/>
    <s v="UNICEF"/>
    <d v="2018-02-14T00:00:00"/>
    <m/>
    <m/>
    <m/>
    <m/>
    <n v="0"/>
    <n v="3"/>
    <n v="0"/>
    <n v="0"/>
    <n v="0"/>
    <m/>
    <m/>
    <m/>
    <m/>
    <m/>
    <m/>
    <m/>
    <n v="9"/>
    <n v="0"/>
    <m/>
    <m/>
    <n v="9"/>
    <x v="4"/>
    <x v="4"/>
    <m/>
    <m/>
    <s v="HH latrines in village"/>
    <n v="0"/>
    <s v="Household"/>
    <n v="0"/>
    <n v="0"/>
    <n v="9"/>
    <m/>
    <m/>
    <x v="0"/>
    <m/>
    <m/>
    <m/>
    <m/>
    <s v="no test"/>
    <s v="no test"/>
    <x v="1"/>
    <n v="1"/>
    <n v="1"/>
    <n v="1"/>
    <n v="271"/>
    <n v="0"/>
    <n v="0"/>
    <n v="1"/>
    <n v="271"/>
    <n v="0.54200000000000004"/>
    <n v="0"/>
    <n v="0"/>
    <n v="0.45799999999999996"/>
    <n v="1"/>
    <n v="9"/>
    <n v="0.19926199261992619"/>
    <n v="54"/>
    <n v="0.79704797047970488"/>
    <n v="36"/>
    <n v="45"/>
    <n v="0"/>
    <s v="N/A"/>
    <n v="271"/>
    <n v="0"/>
    <n v="1"/>
    <n v="0"/>
    <n v="0"/>
    <n v="0"/>
    <n v="1"/>
    <n v="1"/>
    <n v="0"/>
    <n v="0"/>
    <n v="0"/>
    <n v="0"/>
    <n v="0"/>
    <n v="0"/>
    <n v="0"/>
    <n v="0"/>
    <x v="3"/>
    <x v="2"/>
    <x v="7"/>
    <x v="3"/>
    <n v="20.495670318603501"/>
    <n v="92.651496887207003"/>
    <n v="197616"/>
    <x v="0"/>
    <m/>
  </r>
  <r>
    <x v="1"/>
    <x v="11"/>
    <x v="1"/>
    <x v="24"/>
    <x v="317"/>
    <n v="86"/>
    <n v="401"/>
    <m/>
    <s v="UNICEF"/>
    <d v="2018-02-14T00:00:00"/>
    <m/>
    <m/>
    <m/>
    <m/>
    <n v="0"/>
    <n v="0"/>
    <n v="0"/>
    <n v="2"/>
    <n v="0"/>
    <m/>
    <m/>
    <m/>
    <m/>
    <m/>
    <m/>
    <m/>
    <n v="17"/>
    <n v="0"/>
    <m/>
    <m/>
    <n v="17"/>
    <x v="4"/>
    <x v="4"/>
    <m/>
    <m/>
    <s v="HH latrines in village"/>
    <n v="0"/>
    <s v="Household"/>
    <n v="0"/>
    <n v="0"/>
    <n v="9"/>
    <m/>
    <m/>
    <x v="0"/>
    <m/>
    <m/>
    <m/>
    <m/>
    <s v="no test"/>
    <s v="no test"/>
    <x v="1"/>
    <n v="0"/>
    <n v="0"/>
    <n v="0"/>
    <n v="0"/>
    <n v="1"/>
    <n v="401"/>
    <n v="1"/>
    <n v="401"/>
    <n v="0.80200000000000005"/>
    <n v="0"/>
    <n v="0"/>
    <n v="0.19799999999999995"/>
    <n v="1"/>
    <n v="17"/>
    <n v="0.25436408977556108"/>
    <n v="101.99999999999999"/>
    <n v="0.74812967581047385"/>
    <n v="50"/>
    <n v="67"/>
    <n v="0"/>
    <s v="N/A"/>
    <n v="401"/>
    <n v="0"/>
    <n v="1"/>
    <n v="0"/>
    <n v="0"/>
    <n v="0"/>
    <n v="1"/>
    <n v="1"/>
    <n v="0"/>
    <n v="0"/>
    <n v="0"/>
    <n v="0"/>
    <n v="0"/>
    <n v="0"/>
    <n v="0"/>
    <n v="0"/>
    <x v="3"/>
    <x v="2"/>
    <x v="7"/>
    <x v="3"/>
    <n v="20.651939392089801"/>
    <n v="92.684577941894503"/>
    <n v="197695"/>
    <x v="0"/>
    <m/>
  </r>
  <r>
    <x v="1"/>
    <x v="11"/>
    <x v="1"/>
    <x v="24"/>
    <x v="318"/>
    <n v="97"/>
    <n v="339"/>
    <m/>
    <s v="UNICEF"/>
    <d v="2018-02-14T00:00:00"/>
    <m/>
    <m/>
    <m/>
    <m/>
    <n v="0"/>
    <n v="0"/>
    <n v="0"/>
    <n v="3"/>
    <n v="0"/>
    <m/>
    <m/>
    <m/>
    <m/>
    <m/>
    <m/>
    <m/>
    <n v="28"/>
    <n v="0"/>
    <m/>
    <m/>
    <n v="28"/>
    <x v="4"/>
    <x v="4"/>
    <m/>
    <m/>
    <s v="HH latrines in village"/>
    <n v="0"/>
    <s v="Household"/>
    <n v="0"/>
    <n v="0"/>
    <n v="9"/>
    <m/>
    <m/>
    <x v="0"/>
    <m/>
    <m/>
    <m/>
    <m/>
    <s v="no test"/>
    <s v="no test"/>
    <x v="1"/>
    <n v="0"/>
    <n v="0"/>
    <n v="0"/>
    <n v="0"/>
    <n v="1"/>
    <n v="339"/>
    <n v="1"/>
    <n v="339"/>
    <n v="0.67800000000000005"/>
    <n v="0"/>
    <n v="0"/>
    <n v="0.32199999999999995"/>
    <n v="1"/>
    <n v="28"/>
    <n v="0.49557522123893805"/>
    <n v="168"/>
    <n v="0.51327433628318586"/>
    <n v="29"/>
    <n v="57"/>
    <n v="0"/>
    <s v="N/A"/>
    <n v="339"/>
    <n v="0"/>
    <n v="1"/>
    <n v="0"/>
    <n v="0"/>
    <n v="0"/>
    <n v="1"/>
    <n v="1"/>
    <n v="0"/>
    <n v="0"/>
    <n v="0"/>
    <n v="0"/>
    <n v="0"/>
    <n v="0"/>
    <n v="0"/>
    <n v="0"/>
    <x v="3"/>
    <x v="2"/>
    <x v="7"/>
    <x v="3"/>
    <n v="20.463909149169901"/>
    <n v="92.675468444824205"/>
    <n v="197629"/>
    <x v="0"/>
    <m/>
  </r>
  <r>
    <x v="1"/>
    <x v="11"/>
    <x v="1"/>
    <x v="24"/>
    <x v="319"/>
    <n v="70"/>
    <n v="350"/>
    <m/>
    <s v="UNICEF"/>
    <d v="2018-02-14T00:00:00"/>
    <m/>
    <m/>
    <m/>
    <m/>
    <n v="0"/>
    <n v="0"/>
    <n v="0"/>
    <n v="1"/>
    <n v="0"/>
    <m/>
    <m/>
    <m/>
    <m/>
    <m/>
    <m/>
    <m/>
    <n v="16"/>
    <n v="0"/>
    <m/>
    <m/>
    <n v="16"/>
    <x v="4"/>
    <x v="4"/>
    <m/>
    <m/>
    <s v="HH latrines in village"/>
    <n v="0"/>
    <s v="Household"/>
    <n v="0"/>
    <n v="0"/>
    <n v="9"/>
    <m/>
    <m/>
    <x v="0"/>
    <m/>
    <m/>
    <m/>
    <m/>
    <s v="no test"/>
    <s v="no test"/>
    <x v="1"/>
    <n v="0"/>
    <n v="0"/>
    <n v="0"/>
    <n v="0"/>
    <n v="0.7142857142857143"/>
    <n v="250"/>
    <n v="0.7142857142857143"/>
    <n v="250"/>
    <n v="0.5"/>
    <n v="0.2857142857142857"/>
    <n v="100"/>
    <n v="0.5"/>
    <n v="1"/>
    <n v="16"/>
    <n v="0.2742857142857143"/>
    <n v="96"/>
    <n v="0.72"/>
    <n v="42"/>
    <n v="58"/>
    <n v="0"/>
    <s v="N/A"/>
    <n v="350"/>
    <n v="0"/>
    <n v="1"/>
    <n v="0"/>
    <n v="0"/>
    <n v="0"/>
    <n v="1"/>
    <n v="1"/>
    <n v="0"/>
    <n v="0"/>
    <n v="0"/>
    <n v="0"/>
    <n v="0"/>
    <n v="0"/>
    <n v="0"/>
    <n v="0"/>
    <x v="3"/>
    <x v="2"/>
    <x v="7"/>
    <x v="3"/>
    <n v="20.502599716186499"/>
    <n v="92.647476196289105"/>
    <n v="197615"/>
    <x v="0"/>
    <m/>
  </r>
  <r>
    <x v="1"/>
    <x v="11"/>
    <x v="1"/>
    <x v="24"/>
    <x v="320"/>
    <n v="89"/>
    <n v="555"/>
    <m/>
    <s v="UNICEF"/>
    <d v="2018-02-14T00:00:00"/>
    <m/>
    <m/>
    <m/>
    <m/>
    <n v="0"/>
    <n v="1"/>
    <n v="0"/>
    <n v="3"/>
    <n v="0"/>
    <m/>
    <m/>
    <m/>
    <m/>
    <m/>
    <m/>
    <m/>
    <n v="42"/>
    <n v="0"/>
    <m/>
    <m/>
    <n v="42"/>
    <x v="4"/>
    <x v="4"/>
    <m/>
    <m/>
    <s v="HH latrines in village"/>
    <n v="0"/>
    <s v="Household"/>
    <n v="0"/>
    <n v="0"/>
    <n v="9"/>
    <m/>
    <m/>
    <x v="0"/>
    <m/>
    <m/>
    <m/>
    <m/>
    <s v="no test"/>
    <s v="no test"/>
    <x v="1"/>
    <n v="1"/>
    <n v="0.45045045045045046"/>
    <n v="0.45045045045045046"/>
    <n v="250"/>
    <n v="1"/>
    <n v="555"/>
    <n v="1"/>
    <n v="555"/>
    <n v="1.1100000000000001"/>
    <n v="0"/>
    <n v="0"/>
    <n v="0"/>
    <n v="1"/>
    <n v="42"/>
    <n v="0.45405405405405408"/>
    <n v="252"/>
    <n v="0.55135135135135138"/>
    <n v="51"/>
    <n v="93"/>
    <n v="0"/>
    <s v="N/A"/>
    <n v="555"/>
    <n v="0"/>
    <n v="1"/>
    <n v="0"/>
    <n v="0"/>
    <n v="0"/>
    <n v="1"/>
    <n v="1"/>
    <n v="0"/>
    <n v="0"/>
    <n v="0"/>
    <n v="0"/>
    <n v="0"/>
    <n v="0"/>
    <n v="0"/>
    <n v="0"/>
    <x v="3"/>
    <x v="2"/>
    <x v="7"/>
    <x v="3"/>
    <n v="20.480100631713899"/>
    <n v="92.704818725585895"/>
    <n v="197618"/>
    <x v="0"/>
    <m/>
  </r>
  <r>
    <x v="1"/>
    <x v="11"/>
    <x v="1"/>
    <x v="24"/>
    <x v="321"/>
    <n v="90"/>
    <n v="475"/>
    <m/>
    <s v="UNICEF"/>
    <d v="2018-02-14T00:00:00"/>
    <m/>
    <m/>
    <m/>
    <m/>
    <n v="0"/>
    <n v="0"/>
    <n v="0"/>
    <n v="3"/>
    <n v="0"/>
    <m/>
    <m/>
    <m/>
    <m/>
    <m/>
    <m/>
    <m/>
    <n v="14"/>
    <n v="0"/>
    <m/>
    <m/>
    <n v="14"/>
    <x v="4"/>
    <x v="4"/>
    <m/>
    <m/>
    <s v="HH latrines in village"/>
    <n v="0"/>
    <s v="Household"/>
    <n v="0"/>
    <n v="0"/>
    <n v="9"/>
    <m/>
    <m/>
    <x v="0"/>
    <m/>
    <m/>
    <m/>
    <m/>
    <s v="no test"/>
    <s v="no test"/>
    <x v="1"/>
    <n v="0"/>
    <n v="0"/>
    <n v="0"/>
    <n v="0"/>
    <n v="1"/>
    <n v="475"/>
    <n v="1"/>
    <n v="475"/>
    <n v="0.95"/>
    <n v="0"/>
    <n v="0"/>
    <n v="5.0000000000000044E-2"/>
    <n v="1"/>
    <n v="14"/>
    <n v="0.17684210526315788"/>
    <n v="84"/>
    <n v="0.82105263157894737"/>
    <n v="65"/>
    <n v="79"/>
    <n v="0"/>
    <s v="N/A"/>
    <n v="475"/>
    <n v="0"/>
    <n v="1"/>
    <n v="0"/>
    <n v="0"/>
    <n v="0"/>
    <n v="1"/>
    <n v="1"/>
    <n v="0"/>
    <n v="0"/>
    <n v="0"/>
    <n v="0"/>
    <n v="0"/>
    <n v="0"/>
    <n v="0"/>
    <n v="0"/>
    <x v="3"/>
    <x v="2"/>
    <x v="7"/>
    <x v="3"/>
    <n v="20.470119476318398"/>
    <n v="92.672653198242202"/>
    <n v="197630"/>
    <x v="0"/>
    <m/>
  </r>
  <r>
    <x v="1"/>
    <x v="11"/>
    <x v="1"/>
    <x v="24"/>
    <x v="322"/>
    <n v="136"/>
    <n v="710"/>
    <m/>
    <s v="UNICEF"/>
    <d v="2018-08-31T00:00:00"/>
    <m/>
    <m/>
    <m/>
    <m/>
    <n v="0"/>
    <n v="0"/>
    <n v="0"/>
    <n v="0"/>
    <n v="0"/>
    <m/>
    <m/>
    <m/>
    <m/>
    <m/>
    <m/>
    <m/>
    <n v="2"/>
    <m/>
    <m/>
    <m/>
    <n v="2"/>
    <x v="4"/>
    <x v="4"/>
    <m/>
    <m/>
    <s v="HH latrines in village"/>
    <n v="0"/>
    <s v="Household"/>
    <n v="0"/>
    <n v="0"/>
    <n v="9"/>
    <m/>
    <m/>
    <x v="0"/>
    <m/>
    <m/>
    <m/>
    <m/>
    <s v="no test"/>
    <s v="no test"/>
    <x v="1"/>
    <n v="0"/>
    <n v="0"/>
    <n v="0"/>
    <n v="0"/>
    <n v="0"/>
    <n v="0"/>
    <n v="0"/>
    <n v="0"/>
    <n v="0"/>
    <n v="1"/>
    <n v="710"/>
    <n v="1"/>
    <n v="1"/>
    <n v="2"/>
    <n v="1.6901408450704224E-2"/>
    <n v="11.999999999999998"/>
    <n v="0.9802816901408451"/>
    <n v="116"/>
    <n v="118"/>
    <n v="0"/>
    <s v="N/A"/>
    <n v="710"/>
    <n v="0"/>
    <n v="1"/>
    <n v="0"/>
    <n v="0"/>
    <n v="0"/>
    <n v="1"/>
    <n v="1"/>
    <n v="0"/>
    <n v="0"/>
    <n v="0"/>
    <n v="0"/>
    <n v="0"/>
    <n v="0"/>
    <n v="0"/>
    <n v="0"/>
    <x v="3"/>
    <x v="2"/>
    <x v="7"/>
    <x v="3"/>
    <n v="20.5047302246094"/>
    <n v="92.683113098144503"/>
    <n v="197611"/>
    <x v="0"/>
    <m/>
  </r>
  <r>
    <x v="1"/>
    <x v="11"/>
    <x v="1"/>
    <x v="24"/>
    <x v="323"/>
    <n v="65"/>
    <n v="304"/>
    <m/>
    <s v="UNICEF"/>
    <d v="2018-08-31T00:00:00"/>
    <m/>
    <m/>
    <m/>
    <m/>
    <n v="0"/>
    <n v="0"/>
    <n v="0"/>
    <n v="0"/>
    <n v="0"/>
    <m/>
    <m/>
    <m/>
    <m/>
    <m/>
    <m/>
    <m/>
    <n v="3"/>
    <m/>
    <m/>
    <m/>
    <n v="3"/>
    <x v="4"/>
    <x v="4"/>
    <m/>
    <m/>
    <s v="HH latrines in village"/>
    <n v="0"/>
    <s v="Household"/>
    <n v="0"/>
    <n v="0"/>
    <n v="9"/>
    <m/>
    <m/>
    <x v="0"/>
    <m/>
    <m/>
    <m/>
    <m/>
    <s v="no test"/>
    <s v="no test"/>
    <x v="1"/>
    <n v="0"/>
    <n v="0"/>
    <n v="0"/>
    <n v="0"/>
    <n v="0"/>
    <n v="0"/>
    <n v="0"/>
    <n v="0"/>
    <n v="0"/>
    <n v="1"/>
    <n v="304"/>
    <n v="1"/>
    <n v="1"/>
    <n v="3"/>
    <n v="5.921052631578947E-2"/>
    <n v="18"/>
    <n v="0.94736842105263164"/>
    <n v="48"/>
    <n v="51"/>
    <n v="0"/>
    <s v="N/A"/>
    <n v="304"/>
    <n v="0"/>
    <n v="1"/>
    <n v="0"/>
    <n v="0"/>
    <n v="0"/>
    <n v="1"/>
    <n v="1"/>
    <n v="0"/>
    <n v="0"/>
    <n v="0"/>
    <n v="0"/>
    <n v="0"/>
    <n v="0"/>
    <n v="0"/>
    <n v="0"/>
    <x v="3"/>
    <x v="2"/>
    <x v="7"/>
    <x v="3"/>
    <n v="20.497299194335898"/>
    <n v="92.683097839355497"/>
    <n v="197613"/>
    <x v="0"/>
    <m/>
  </r>
  <r>
    <x v="1"/>
    <x v="11"/>
    <x v="1"/>
    <x v="24"/>
    <x v="324"/>
    <n v="96"/>
    <n v="543"/>
    <m/>
    <s v="UNICEF"/>
    <d v="2018-02-14T00:00:00"/>
    <m/>
    <m/>
    <m/>
    <m/>
    <n v="0"/>
    <n v="0"/>
    <n v="0"/>
    <n v="5"/>
    <n v="0"/>
    <m/>
    <m/>
    <m/>
    <m/>
    <m/>
    <m/>
    <m/>
    <n v="13"/>
    <n v="0"/>
    <m/>
    <m/>
    <n v="13"/>
    <x v="4"/>
    <x v="4"/>
    <m/>
    <m/>
    <s v="HH latrines in village"/>
    <n v="0"/>
    <s v="Household"/>
    <n v="0"/>
    <n v="0"/>
    <n v="9"/>
    <m/>
    <m/>
    <x v="0"/>
    <m/>
    <m/>
    <m/>
    <m/>
    <s v="no test"/>
    <s v="no test"/>
    <x v="1"/>
    <n v="0"/>
    <n v="0"/>
    <n v="0"/>
    <n v="0"/>
    <n v="1"/>
    <n v="543"/>
    <n v="1"/>
    <n v="543"/>
    <n v="1.0860000000000001"/>
    <n v="0"/>
    <n v="0"/>
    <n v="0"/>
    <n v="1"/>
    <n v="13"/>
    <n v="0.143646408839779"/>
    <n v="78"/>
    <n v="0.86187845303867405"/>
    <n v="78"/>
    <n v="91"/>
    <n v="0"/>
    <s v="N/A"/>
    <n v="543"/>
    <n v="0"/>
    <n v="1"/>
    <n v="0"/>
    <n v="0"/>
    <n v="0"/>
    <n v="1"/>
    <n v="1"/>
    <n v="0"/>
    <n v="0"/>
    <n v="0"/>
    <n v="0"/>
    <n v="0"/>
    <n v="0"/>
    <n v="0"/>
    <n v="0"/>
    <x v="3"/>
    <x v="2"/>
    <x v="7"/>
    <x v="3"/>
    <n v="20.453830718994102"/>
    <n v="92.683090209960895"/>
    <n v="197621"/>
    <x v="0"/>
    <m/>
  </r>
  <r>
    <x v="1"/>
    <x v="2"/>
    <x v="1"/>
    <x v="24"/>
    <x v="325"/>
    <n v="292"/>
    <n v="1751"/>
    <m/>
    <s v="OFDA"/>
    <d v="2018-04-30T00:00:00"/>
    <n v="0"/>
    <s v="Yes"/>
    <n v="0.5"/>
    <n v="0"/>
    <n v="11"/>
    <n v="0"/>
    <n v="0"/>
    <n v="0"/>
    <n v="11"/>
    <m/>
    <m/>
    <m/>
    <m/>
    <m/>
    <m/>
    <s v="no water test"/>
    <n v="192"/>
    <n v="70"/>
    <m/>
    <m/>
    <n v="0"/>
    <x v="1"/>
    <x v="1"/>
    <m/>
    <m/>
    <m/>
    <n v="0"/>
    <m/>
    <n v="341"/>
    <n v="0"/>
    <n v="0"/>
    <m/>
    <m/>
    <x v="0"/>
    <m/>
    <m/>
    <m/>
    <m/>
    <s v="no test"/>
    <s v="no test"/>
    <x v="1"/>
    <n v="1"/>
    <n v="1"/>
    <n v="1"/>
    <n v="1751"/>
    <n v="0"/>
    <n v="0"/>
    <n v="1"/>
    <n v="1751"/>
    <n v="3.5019999999999998"/>
    <n v="0"/>
    <n v="0"/>
    <n v="0.49800000000000022"/>
    <n v="4"/>
    <n v="262"/>
    <n v="0.6579097658480868"/>
    <n v="1152"/>
    <n v="0.10279840091376358"/>
    <n v="30"/>
    <n v="292"/>
    <n v="0.26717557251908397"/>
    <s v="N/A"/>
    <n v="0"/>
    <n v="0"/>
    <n v="0"/>
    <n v="0"/>
    <n v="0"/>
    <n v="0"/>
    <n v="1"/>
    <n v="0"/>
    <n v="0"/>
    <n v="0"/>
    <n v="0"/>
    <n v="0"/>
    <n v="0"/>
    <n v="0"/>
    <n v="0"/>
    <n v="0"/>
    <x v="3"/>
    <x v="2"/>
    <x v="10"/>
    <x v="5"/>
    <n v="20.335864000000001"/>
    <n v="92.785706000000005"/>
    <s v="MMR012CMP031"/>
    <x v="1"/>
    <m/>
  </r>
  <r>
    <x v="1"/>
    <x v="2"/>
    <x v="1"/>
    <x v="24"/>
    <x v="326"/>
    <n v="46"/>
    <n v="227"/>
    <m/>
    <s v="OFDA"/>
    <d v="2018-04-30T00:00:00"/>
    <n v="0"/>
    <s v="No"/>
    <n v="0"/>
    <n v="0"/>
    <n v="3"/>
    <n v="0"/>
    <n v="0"/>
    <n v="0"/>
    <n v="3"/>
    <m/>
    <m/>
    <m/>
    <m/>
    <m/>
    <m/>
    <s v="no water test"/>
    <n v="51"/>
    <n v="23"/>
    <m/>
    <m/>
    <n v="0"/>
    <x v="1"/>
    <x v="1"/>
    <m/>
    <m/>
    <m/>
    <n v="0"/>
    <m/>
    <n v="46"/>
    <n v="0"/>
    <n v="0"/>
    <m/>
    <m/>
    <x v="0"/>
    <m/>
    <m/>
    <m/>
    <m/>
    <s v="no test"/>
    <s v="no test"/>
    <x v="1"/>
    <n v="1"/>
    <n v="1"/>
    <n v="1"/>
    <n v="227"/>
    <n v="0"/>
    <n v="0"/>
    <n v="1"/>
    <n v="227"/>
    <n v="0.45400000000000001"/>
    <n v="0"/>
    <n v="0"/>
    <n v="0.54600000000000004"/>
    <n v="1"/>
    <n v="74"/>
    <n v="1"/>
    <n v="227"/>
    <n v="0"/>
    <n v="0"/>
    <n v="38"/>
    <n v="0.3108108108108108"/>
    <s v="N/A"/>
    <n v="0"/>
    <n v="0"/>
    <n v="0"/>
    <n v="0"/>
    <n v="0"/>
    <n v="0"/>
    <n v="1"/>
    <n v="0"/>
    <n v="0"/>
    <n v="0"/>
    <n v="0"/>
    <n v="0"/>
    <n v="0"/>
    <n v="0"/>
    <n v="0"/>
    <n v="0"/>
    <x v="3"/>
    <x v="2"/>
    <x v="7"/>
    <x v="3"/>
    <n v="20.339799880981399"/>
    <n v="92.782653808593807"/>
    <s v="197779"/>
    <x v="1"/>
    <m/>
  </r>
  <r>
    <x v="1"/>
    <x v="11"/>
    <x v="1"/>
    <x v="24"/>
    <x v="327"/>
    <n v="147"/>
    <n v="817"/>
    <m/>
    <s v="UNICEF"/>
    <d v="2018-08-31T00:00:00"/>
    <m/>
    <m/>
    <m/>
    <m/>
    <n v="0"/>
    <n v="0"/>
    <n v="0"/>
    <n v="0"/>
    <n v="0"/>
    <m/>
    <m/>
    <m/>
    <m/>
    <m/>
    <m/>
    <m/>
    <n v="2"/>
    <m/>
    <m/>
    <m/>
    <n v="2"/>
    <x v="4"/>
    <x v="4"/>
    <m/>
    <m/>
    <s v="HH latrines in village"/>
    <n v="0"/>
    <s v="Household"/>
    <n v="0"/>
    <n v="0"/>
    <n v="9"/>
    <m/>
    <m/>
    <x v="0"/>
    <m/>
    <m/>
    <m/>
    <m/>
    <s v="no test"/>
    <s v="no test"/>
    <x v="1"/>
    <n v="0"/>
    <n v="0"/>
    <n v="0"/>
    <n v="0"/>
    <n v="0"/>
    <n v="0"/>
    <n v="0"/>
    <n v="0"/>
    <n v="0"/>
    <n v="1"/>
    <n v="817"/>
    <n v="2"/>
    <n v="2"/>
    <n v="2"/>
    <n v="1.4687882496940025E-2"/>
    <n v="12"/>
    <n v="0.98408812729498174"/>
    <n v="134"/>
    <n v="136"/>
    <n v="0"/>
    <s v="N/A"/>
    <n v="817"/>
    <n v="0"/>
    <n v="1"/>
    <n v="0"/>
    <n v="0"/>
    <n v="0"/>
    <n v="1"/>
    <n v="1"/>
    <n v="0"/>
    <n v="0"/>
    <n v="0"/>
    <n v="0"/>
    <n v="0"/>
    <n v="0"/>
    <s v="Yes"/>
    <n v="0"/>
    <x v="3"/>
    <x v="2"/>
    <x v="10"/>
    <x v="3"/>
    <n v="20.824777999999998"/>
    <n v="92.362196999999995"/>
    <s v="MMR012CMP082"/>
    <x v="0"/>
    <m/>
  </r>
  <r>
    <x v="1"/>
    <x v="11"/>
    <x v="1"/>
    <x v="24"/>
    <x v="328"/>
    <n v="149"/>
    <n v="895"/>
    <m/>
    <s v="UNICEF"/>
    <d v="2018-02-14T00:00:00"/>
    <m/>
    <m/>
    <m/>
    <m/>
    <n v="0"/>
    <n v="0"/>
    <n v="0"/>
    <n v="4"/>
    <n v="0"/>
    <m/>
    <m/>
    <m/>
    <m/>
    <m/>
    <m/>
    <m/>
    <n v="31"/>
    <n v="0"/>
    <m/>
    <m/>
    <n v="31"/>
    <x v="4"/>
    <x v="4"/>
    <m/>
    <m/>
    <s v="HH latrines in village"/>
    <n v="0"/>
    <s v="Household"/>
    <n v="0"/>
    <n v="0"/>
    <n v="9"/>
    <m/>
    <m/>
    <x v="0"/>
    <m/>
    <m/>
    <m/>
    <m/>
    <s v="no test"/>
    <s v="no test"/>
    <x v="1"/>
    <n v="0"/>
    <n v="0"/>
    <n v="0"/>
    <n v="0"/>
    <n v="1"/>
    <n v="895"/>
    <n v="1"/>
    <n v="895"/>
    <n v="1.79"/>
    <n v="0"/>
    <n v="0"/>
    <n v="0.20999999999999996"/>
    <n v="2"/>
    <n v="31"/>
    <n v="0.20782122905027933"/>
    <n v="186"/>
    <n v="0.79106145251396653"/>
    <n v="118"/>
    <n v="149"/>
    <n v="0"/>
    <s v="N/A"/>
    <n v="895"/>
    <n v="0"/>
    <n v="1"/>
    <n v="0"/>
    <n v="0"/>
    <n v="0"/>
    <n v="1"/>
    <n v="1"/>
    <n v="0"/>
    <n v="0"/>
    <n v="0"/>
    <n v="0"/>
    <n v="0"/>
    <n v="0"/>
    <n v="0"/>
    <n v="0"/>
    <x v="3"/>
    <x v="2"/>
    <x v="7"/>
    <x v="3"/>
    <n v="20.486930847168001"/>
    <n v="92.662757873535199"/>
    <n v="197614"/>
    <x v="0"/>
    <m/>
  </r>
  <r>
    <x v="1"/>
    <x v="11"/>
    <x v="1"/>
    <x v="24"/>
    <x v="329"/>
    <n v="124"/>
    <n v="704"/>
    <m/>
    <s v="UNICEF"/>
    <d v="2018-02-14T00:00:00"/>
    <m/>
    <m/>
    <m/>
    <m/>
    <n v="0"/>
    <n v="1"/>
    <n v="0"/>
    <n v="8"/>
    <n v="0"/>
    <m/>
    <m/>
    <m/>
    <m/>
    <m/>
    <m/>
    <m/>
    <n v="57"/>
    <n v="0"/>
    <m/>
    <m/>
    <n v="57"/>
    <x v="4"/>
    <x v="4"/>
    <m/>
    <m/>
    <s v="HH latrines in village"/>
    <n v="0"/>
    <s v="Household"/>
    <n v="0"/>
    <n v="0"/>
    <n v="9"/>
    <m/>
    <m/>
    <x v="0"/>
    <m/>
    <m/>
    <m/>
    <m/>
    <s v="no test"/>
    <s v="no test"/>
    <x v="1"/>
    <n v="1"/>
    <n v="0.35511363636363635"/>
    <n v="0.35511363636363635"/>
    <n v="250"/>
    <n v="1"/>
    <n v="704"/>
    <n v="1"/>
    <n v="704"/>
    <n v="1.4079999999999999"/>
    <n v="0"/>
    <n v="0"/>
    <n v="0"/>
    <n v="1"/>
    <n v="57"/>
    <n v="0.48579545454545453"/>
    <n v="342"/>
    <n v="0.51136363636363635"/>
    <n v="60"/>
    <n v="117"/>
    <n v="0"/>
    <s v="N/A"/>
    <n v="704"/>
    <n v="0"/>
    <n v="1"/>
    <n v="0"/>
    <n v="0"/>
    <n v="0"/>
    <n v="1"/>
    <n v="1"/>
    <n v="0"/>
    <n v="0"/>
    <n v="0"/>
    <n v="0"/>
    <n v="0"/>
    <n v="0"/>
    <n v="0"/>
    <n v="0"/>
    <x v="3"/>
    <x v="2"/>
    <x v="7"/>
    <x v="3"/>
    <n v="20.478969573974599"/>
    <n v="92.683746337890597"/>
    <n v="197617"/>
    <x v="0"/>
    <m/>
  </r>
  <r>
    <x v="1"/>
    <x v="11"/>
    <x v="1"/>
    <x v="24"/>
    <x v="330"/>
    <n v="20"/>
    <n v="62"/>
    <m/>
    <s v="UNICEF"/>
    <d v="2018-02-14T00:00:00"/>
    <m/>
    <m/>
    <m/>
    <m/>
    <n v="0"/>
    <n v="0"/>
    <n v="0"/>
    <n v="2"/>
    <n v="0"/>
    <m/>
    <m/>
    <m/>
    <m/>
    <m/>
    <m/>
    <m/>
    <n v="10"/>
    <n v="0"/>
    <m/>
    <m/>
    <n v="10"/>
    <x v="4"/>
    <x v="4"/>
    <m/>
    <m/>
    <s v="HH latrines in village"/>
    <n v="0"/>
    <s v="Household"/>
    <n v="0"/>
    <n v="0"/>
    <n v="9"/>
    <m/>
    <m/>
    <x v="0"/>
    <m/>
    <m/>
    <m/>
    <m/>
    <s v="no test"/>
    <s v="no test"/>
    <x v="1"/>
    <n v="0"/>
    <n v="0"/>
    <n v="0"/>
    <n v="0"/>
    <n v="1"/>
    <n v="62"/>
    <n v="1"/>
    <n v="62"/>
    <n v="0.124"/>
    <n v="0"/>
    <n v="0"/>
    <n v="0.876"/>
    <n v="1"/>
    <n v="10"/>
    <n v="0.967741935483871"/>
    <n v="60"/>
    <n v="0"/>
    <n v="0"/>
    <n v="10"/>
    <n v="0"/>
    <s v="N/A"/>
    <n v="62"/>
    <n v="0"/>
    <n v="1"/>
    <n v="0"/>
    <n v="0"/>
    <n v="0"/>
    <n v="1"/>
    <n v="1"/>
    <n v="0"/>
    <n v="0"/>
    <n v="0"/>
    <n v="0"/>
    <n v="0"/>
    <n v="0"/>
    <n v="0"/>
    <n v="0"/>
    <x v="3"/>
    <x v="2"/>
    <x v="7"/>
    <x v="3"/>
    <n v="20.46994972229"/>
    <n v="92.676437377929702"/>
    <n v="197632"/>
    <x v="0"/>
    <m/>
  </r>
  <r>
    <x v="1"/>
    <x v="7"/>
    <x v="1"/>
    <x v="18"/>
    <x v="331"/>
    <n v="292"/>
    <n v="1414"/>
    <m/>
    <s v="MHF"/>
    <d v="2018-09-13T00:00:00"/>
    <n v="0"/>
    <s v="No"/>
    <n v="0"/>
    <n v="0"/>
    <n v="7"/>
    <n v="48"/>
    <n v="0"/>
    <n v="0"/>
    <n v="0"/>
    <m/>
    <n v="0"/>
    <n v="0"/>
    <n v="0"/>
    <n v="0"/>
    <n v="0"/>
    <m/>
    <n v="88"/>
    <n v="0"/>
    <n v="0"/>
    <m/>
    <n v="0"/>
    <x v="1"/>
    <x v="1"/>
    <n v="0"/>
    <n v="0"/>
    <m/>
    <n v="0"/>
    <s v="Household"/>
    <n v="0"/>
    <n v="0"/>
    <n v="1"/>
    <n v="0"/>
    <n v="0"/>
    <x v="0"/>
    <m/>
    <m/>
    <m/>
    <m/>
    <s v="no test"/>
    <s v="no test"/>
    <x v="1"/>
    <n v="1"/>
    <n v="1"/>
    <n v="1"/>
    <n v="1414"/>
    <n v="0"/>
    <n v="0"/>
    <n v="1"/>
    <n v="1414"/>
    <n v="2.8279999999999998"/>
    <n v="0"/>
    <n v="0"/>
    <n v="0.17200000000000015"/>
    <n v="3"/>
    <n v="88"/>
    <n v="0.37340876944837342"/>
    <n v="528"/>
    <n v="0.62800565770862804"/>
    <n v="148"/>
    <n v="236"/>
    <n v="0"/>
    <s v="N/A"/>
    <n v="500"/>
    <n v="0"/>
    <n v="0"/>
    <n v="0"/>
    <n v="0"/>
    <n v="0"/>
    <n v="1"/>
    <n v="0.3536067892503536"/>
    <n v="0"/>
    <n v="0"/>
    <n v="0"/>
    <n v="0"/>
    <n v="0"/>
    <n v="0"/>
    <n v="0"/>
    <n v="0"/>
    <x v="3"/>
    <x v="2"/>
    <x v="7"/>
    <x v="5"/>
    <n v="20.235199999999999"/>
    <n v="92.805000000000007"/>
    <s v="196143"/>
    <x v="0"/>
    <m/>
  </r>
  <r>
    <x v="1"/>
    <x v="7"/>
    <x v="1"/>
    <x v="18"/>
    <x v="332"/>
    <n v="380"/>
    <n v="1813"/>
    <m/>
    <s v="MHF"/>
    <d v="2018-09-13T00:00:00"/>
    <n v="0"/>
    <s v="No"/>
    <n v="0"/>
    <n v="0"/>
    <n v="8"/>
    <n v="30"/>
    <n v="0"/>
    <n v="0"/>
    <n v="0"/>
    <m/>
    <n v="0"/>
    <n v="0"/>
    <n v="0"/>
    <n v="0"/>
    <n v="0"/>
    <m/>
    <n v="114"/>
    <n v="0"/>
    <n v="0"/>
    <m/>
    <n v="0"/>
    <x v="1"/>
    <x v="1"/>
    <n v="0"/>
    <n v="0"/>
    <m/>
    <n v="0"/>
    <s v="Household"/>
    <n v="0"/>
    <n v="0"/>
    <n v="1"/>
    <n v="0"/>
    <n v="0"/>
    <x v="0"/>
    <m/>
    <m/>
    <m/>
    <m/>
    <s v="no test"/>
    <s v="no test"/>
    <x v="1"/>
    <n v="1"/>
    <n v="1"/>
    <n v="1"/>
    <n v="1813"/>
    <n v="0"/>
    <n v="0"/>
    <n v="1"/>
    <n v="1813"/>
    <n v="3.6259999999999999"/>
    <n v="0"/>
    <n v="0"/>
    <n v="0.37400000000000011"/>
    <n v="4"/>
    <n v="114"/>
    <n v="0.37727523441809158"/>
    <n v="684"/>
    <n v="0.62217319360176504"/>
    <n v="188"/>
    <n v="302"/>
    <n v="0"/>
    <s v="N/A"/>
    <n v="500"/>
    <n v="0"/>
    <n v="0"/>
    <n v="0"/>
    <n v="0"/>
    <n v="0"/>
    <n v="1"/>
    <n v="0.27578599007170435"/>
    <n v="0"/>
    <n v="0"/>
    <n v="0"/>
    <n v="0"/>
    <n v="0"/>
    <n v="0"/>
    <n v="0"/>
    <n v="0"/>
    <x v="3"/>
    <x v="2"/>
    <x v="7"/>
    <x v="3"/>
    <n v="20.235199999999999"/>
    <n v="92.790199999999999"/>
    <s v="196138"/>
    <x v="0"/>
    <m/>
  </r>
  <r>
    <x v="1"/>
    <x v="7"/>
    <x v="1"/>
    <x v="18"/>
    <x v="333"/>
    <n v="615"/>
    <n v="2985"/>
    <m/>
    <s v="MHF"/>
    <d v="2018-09-13T00:00:00"/>
    <n v="0"/>
    <s v="No"/>
    <n v="0"/>
    <n v="0"/>
    <n v="9"/>
    <n v="62"/>
    <n v="0"/>
    <n v="0"/>
    <n v="0"/>
    <m/>
    <n v="0"/>
    <n v="0"/>
    <n v="0"/>
    <n v="0"/>
    <n v="0"/>
    <m/>
    <n v="2"/>
    <n v="0"/>
    <n v="0"/>
    <m/>
    <n v="0"/>
    <x v="1"/>
    <x v="1"/>
    <n v="0"/>
    <n v="0"/>
    <m/>
    <n v="0"/>
    <s v="Household"/>
    <n v="0"/>
    <n v="0"/>
    <n v="1"/>
    <n v="0"/>
    <n v="0"/>
    <x v="0"/>
    <m/>
    <m/>
    <m/>
    <m/>
    <s v="no test"/>
    <s v="no test"/>
    <x v="1"/>
    <n v="1"/>
    <n v="1"/>
    <n v="1"/>
    <n v="2985"/>
    <n v="0"/>
    <n v="0"/>
    <n v="1"/>
    <n v="2985"/>
    <n v="5.97"/>
    <n v="0"/>
    <n v="0"/>
    <n v="3.0000000000000249E-2"/>
    <n v="6"/>
    <n v="2"/>
    <n v="4.0201005025125632E-3"/>
    <n v="12.000000000000002"/>
    <n v="0.99698492462311561"/>
    <n v="496"/>
    <n v="498"/>
    <n v="0"/>
    <s v="N/A"/>
    <n v="500"/>
    <n v="0"/>
    <n v="0"/>
    <n v="0"/>
    <n v="0"/>
    <n v="0"/>
    <n v="1"/>
    <n v="0.16750418760469013"/>
    <n v="0"/>
    <n v="0"/>
    <n v="0"/>
    <n v="0"/>
    <n v="0"/>
    <n v="0"/>
    <n v="0"/>
    <n v="0"/>
    <x v="3"/>
    <x v="2"/>
    <x v="7"/>
    <x v="5"/>
    <n v="20.127127999999999"/>
    <n v="92.875450000000001"/>
    <s v="196208"/>
    <x v="0"/>
    <m/>
  </r>
  <r>
    <x v="1"/>
    <x v="0"/>
    <x v="1"/>
    <x v="18"/>
    <x v="230"/>
    <n v="397"/>
    <n v="2111"/>
    <m/>
    <s v="DFID/HARP"/>
    <d v="2020-09-30T00:00:00"/>
    <n v="0"/>
    <s v="No"/>
    <n v="0"/>
    <n v="0"/>
    <n v="0"/>
    <n v="33"/>
    <n v="0"/>
    <n v="0"/>
    <n v="29"/>
    <m/>
    <n v="27"/>
    <n v="21"/>
    <n v="78"/>
    <n v="38"/>
    <n v="0"/>
    <s v="for this quarter"/>
    <n v="104"/>
    <n v="14"/>
    <n v="39"/>
    <m/>
    <n v="112"/>
    <x v="0"/>
    <x v="0"/>
    <n v="0"/>
    <n v="0"/>
    <m/>
    <n v="1"/>
    <s v="Household"/>
    <n v="0"/>
    <n v="0"/>
    <n v="2"/>
    <n v="397"/>
    <n v="397"/>
    <x v="1"/>
    <m/>
    <m/>
    <m/>
    <m/>
    <n v="0.77777777777777779"/>
    <n v="0.48717948717948717"/>
    <x v="0"/>
    <n v="1"/>
    <n v="1"/>
    <n v="1"/>
    <n v="2111"/>
    <n v="0"/>
    <n v="0"/>
    <n v="1"/>
    <n v="2111"/>
    <n v="4.2220000000000004"/>
    <n v="0"/>
    <n v="0"/>
    <n v="0"/>
    <n v="4"/>
    <n v="118"/>
    <n v="0.98531501657982001"/>
    <n v="2080"/>
    <n v="0"/>
    <n v="0"/>
    <n v="106"/>
    <n v="0.11864406779661017"/>
    <n v="780"/>
    <n v="1000"/>
    <n v="1"/>
    <n v="0"/>
    <n v="1"/>
    <n v="2111"/>
    <n v="1"/>
    <n v="0"/>
    <n v="0.47370914258645191"/>
    <n v="1"/>
    <n v="1"/>
    <n v="1985"/>
    <n v="1985"/>
    <n v="1985"/>
    <n v="397"/>
    <s v="Yes"/>
    <n v="0"/>
    <x v="1"/>
    <x v="0"/>
    <x v="9"/>
    <x v="5"/>
    <n v="20.128488999999998"/>
    <n v="92.875814000000005"/>
    <s v="MMR012CMP039"/>
    <x v="0"/>
    <m/>
  </r>
  <r>
    <x v="1"/>
    <x v="2"/>
    <x v="1"/>
    <x v="18"/>
    <x v="335"/>
    <n v="22"/>
    <n v="114"/>
    <m/>
    <m/>
    <m/>
    <m/>
    <s v="No"/>
    <n v="0"/>
    <n v="0"/>
    <n v="0"/>
    <n v="0"/>
    <n v="0"/>
    <n v="0"/>
    <n v="0"/>
    <m/>
    <m/>
    <m/>
    <m/>
    <m/>
    <m/>
    <m/>
    <n v="0"/>
    <n v="0"/>
    <m/>
    <m/>
    <n v="0"/>
    <x v="4"/>
    <x v="4"/>
    <m/>
    <m/>
    <m/>
    <n v="0"/>
    <s v="Household"/>
    <n v="0"/>
    <n v="0"/>
    <n v="2"/>
    <m/>
    <m/>
    <x v="0"/>
    <m/>
    <m/>
    <m/>
    <m/>
    <s v="no test"/>
    <s v="no test"/>
    <x v="1"/>
    <n v="0"/>
    <n v="0"/>
    <n v="0"/>
    <n v="0"/>
    <n v="0"/>
    <n v="0"/>
    <n v="0"/>
    <n v="0"/>
    <n v="0"/>
    <n v="1"/>
    <n v="114"/>
    <n v="1"/>
    <n v="1"/>
    <n v="0"/>
    <n v="0"/>
    <n v="0"/>
    <n v="1"/>
    <n v="6"/>
    <n v="6"/>
    <n v="0"/>
    <n v="0"/>
    <n v="114"/>
    <n v="0"/>
    <n v="1"/>
    <n v="0"/>
    <n v="0"/>
    <n v="0"/>
    <n v="1"/>
    <n v="1"/>
    <n v="0"/>
    <n v="0"/>
    <n v="0"/>
    <n v="0"/>
    <n v="0"/>
    <n v="0"/>
    <s v="Yes"/>
    <n v="0"/>
    <x v="1"/>
    <x v="0"/>
    <x v="1"/>
    <x v="5"/>
    <n v="20.182987000000001"/>
    <n v="92.804803000000007"/>
    <s v="MMR012CMP103"/>
    <x v="1"/>
    <m/>
  </r>
  <r>
    <x v="1"/>
    <x v="0"/>
    <x v="1"/>
    <x v="18"/>
    <x v="287"/>
    <n v="1016"/>
    <n v="4892"/>
    <m/>
    <s v="DFID/HARP"/>
    <d v="2020-09-30T00:00:00"/>
    <n v="0"/>
    <s v="No"/>
    <n v="0"/>
    <n v="0"/>
    <n v="0"/>
    <n v="46"/>
    <n v="0"/>
    <n v="0"/>
    <n v="53"/>
    <m/>
    <n v="0"/>
    <n v="0"/>
    <n v="0"/>
    <n v="0"/>
    <n v="0"/>
    <s v="for this quarter"/>
    <n v="257"/>
    <n v="68"/>
    <n v="363"/>
    <m/>
    <n v="250"/>
    <x v="0"/>
    <x v="0"/>
    <n v="0"/>
    <n v="0"/>
    <m/>
    <n v="1"/>
    <s v="Household"/>
    <n v="0"/>
    <n v="0"/>
    <n v="9"/>
    <n v="2325"/>
    <n v="2325"/>
    <x v="1"/>
    <m/>
    <m/>
    <m/>
    <m/>
    <s v="no test"/>
    <s v="no test"/>
    <x v="1"/>
    <n v="1"/>
    <n v="1"/>
    <n v="1"/>
    <n v="4892"/>
    <n v="0"/>
    <n v="0"/>
    <n v="1"/>
    <n v="4892"/>
    <n v="9.7840000000000007"/>
    <n v="0"/>
    <n v="0"/>
    <n v="0.2159999999999993"/>
    <n v="10"/>
    <n v="325"/>
    <n v="1"/>
    <n v="4892"/>
    <n v="0"/>
    <n v="0"/>
    <n v="245"/>
    <n v="0.20923076923076922"/>
    <n v="4892"/>
    <n v="4500"/>
    <n v="1"/>
    <n v="1"/>
    <n v="1"/>
    <n v="4892"/>
    <n v="1"/>
    <n v="0"/>
    <n v="0.91986917416189695"/>
    <n v="1"/>
    <n v="1"/>
    <n v="11625"/>
    <n v="11625"/>
    <n v="11625"/>
    <n v="1016"/>
    <s v="Yes"/>
    <n v="0"/>
    <x v="1"/>
    <x v="0"/>
    <x v="9"/>
    <x v="5"/>
    <n v="20.179417000000001"/>
    <n v="92.813028000000003"/>
    <s v="MMR012CMP113"/>
    <x v="0"/>
    <m/>
  </r>
  <r>
    <x v="1"/>
    <x v="0"/>
    <x v="1"/>
    <x v="18"/>
    <x v="289"/>
    <n v="1311"/>
    <n v="6936"/>
    <m/>
    <s v="DFID/HARP"/>
    <d v="2020-09-30T00:00:00"/>
    <n v="0"/>
    <s v="No"/>
    <n v="0"/>
    <n v="0"/>
    <n v="0"/>
    <n v="58"/>
    <n v="0"/>
    <n v="0"/>
    <n v="88"/>
    <m/>
    <n v="0"/>
    <n v="0"/>
    <n v="0"/>
    <n v="0"/>
    <n v="0"/>
    <s v="for this quarter"/>
    <n v="324"/>
    <n v="100"/>
    <m/>
    <m/>
    <n v="303"/>
    <x v="0"/>
    <x v="0"/>
    <n v="0"/>
    <n v="0"/>
    <m/>
    <n v="1"/>
    <s v="Household"/>
    <n v="0"/>
    <n v="0"/>
    <n v="0"/>
    <m/>
    <m/>
    <x v="0"/>
    <m/>
    <m/>
    <m/>
    <m/>
    <s v="no test"/>
    <s v="no test"/>
    <x v="1"/>
    <n v="1"/>
    <n v="1"/>
    <n v="1"/>
    <n v="6936"/>
    <n v="0"/>
    <n v="0"/>
    <n v="1"/>
    <n v="6936"/>
    <n v="13.872"/>
    <n v="0"/>
    <n v="0"/>
    <n v="0.12800000000000011"/>
    <n v="14"/>
    <n v="424"/>
    <n v="0.93425605536332179"/>
    <n v="6480"/>
    <n v="0"/>
    <n v="0"/>
    <n v="347"/>
    <n v="0.23584905660377359"/>
    <n v="0"/>
    <n v="0"/>
    <n v="0"/>
    <n v="0"/>
    <n v="0"/>
    <n v="0"/>
    <n v="0"/>
    <n v="1"/>
    <n v="0"/>
    <n v="0"/>
    <n v="0"/>
    <n v="0"/>
    <n v="0"/>
    <n v="0"/>
    <n v="1311"/>
    <s v="Yes"/>
    <n v="0"/>
    <x v="1"/>
    <x v="0"/>
    <x v="9"/>
    <x v="5"/>
    <n v="20.181405999999999"/>
    <n v="92.807552000000001"/>
    <s v="MMR012CMP114"/>
    <x v="0"/>
    <m/>
  </r>
  <r>
    <x v="1"/>
    <x v="2"/>
    <x v="1"/>
    <x v="18"/>
    <x v="338"/>
    <n v="14"/>
    <n v="93"/>
    <m/>
    <m/>
    <m/>
    <m/>
    <s v="No"/>
    <n v="0"/>
    <n v="0"/>
    <n v="0"/>
    <n v="0"/>
    <n v="0"/>
    <n v="0"/>
    <n v="0"/>
    <m/>
    <m/>
    <m/>
    <m/>
    <m/>
    <m/>
    <m/>
    <n v="0"/>
    <n v="0"/>
    <m/>
    <m/>
    <n v="0"/>
    <x v="4"/>
    <x v="4"/>
    <m/>
    <m/>
    <m/>
    <n v="0"/>
    <s v="Household"/>
    <n v="0"/>
    <n v="0"/>
    <n v="0"/>
    <m/>
    <m/>
    <x v="0"/>
    <m/>
    <m/>
    <m/>
    <m/>
    <s v="no test"/>
    <s v="no test"/>
    <x v="1"/>
    <n v="0"/>
    <n v="0"/>
    <n v="0"/>
    <n v="0"/>
    <n v="0"/>
    <n v="0"/>
    <n v="0"/>
    <n v="0"/>
    <n v="0"/>
    <n v="1"/>
    <n v="93"/>
    <n v="1"/>
    <n v="1"/>
    <n v="0"/>
    <n v="0"/>
    <n v="0"/>
    <n v="1"/>
    <n v="16"/>
    <n v="16"/>
    <n v="0"/>
    <s v="N/A"/>
    <n v="0"/>
    <n v="0"/>
    <n v="0"/>
    <n v="0"/>
    <n v="0"/>
    <n v="0"/>
    <n v="1"/>
    <n v="0"/>
    <n v="0"/>
    <n v="0"/>
    <n v="0"/>
    <n v="0"/>
    <n v="0"/>
    <n v="0"/>
    <n v="0"/>
    <n v="0"/>
    <x v="3"/>
    <x v="2"/>
    <x v="7"/>
    <x v="5"/>
    <n v="0"/>
    <n v="0"/>
    <n v="0"/>
    <x v="1"/>
    <m/>
  </r>
  <r>
    <x v="1"/>
    <x v="0"/>
    <x v="1"/>
    <x v="18"/>
    <x v="290"/>
    <n v="2005"/>
    <n v="11625"/>
    <m/>
    <s v="DFID/HARP"/>
    <d v="2020-09-30T00:00:00"/>
    <n v="0"/>
    <s v="No"/>
    <n v="0"/>
    <n v="0"/>
    <n v="0"/>
    <n v="70"/>
    <n v="0"/>
    <n v="0"/>
    <n v="93"/>
    <m/>
    <n v="77"/>
    <n v="70"/>
    <n v="145"/>
    <n v="67"/>
    <n v="0"/>
    <s v="for this quarter"/>
    <n v="352"/>
    <n v="101"/>
    <n v="267"/>
    <m/>
    <n v="371"/>
    <x v="0"/>
    <x v="0"/>
    <n v="0"/>
    <n v="0"/>
    <m/>
    <n v="1"/>
    <s v="Household"/>
    <n v="0"/>
    <n v="0"/>
    <n v="8"/>
    <n v="2004"/>
    <n v="2004"/>
    <x v="1"/>
    <m/>
    <m/>
    <m/>
    <m/>
    <n v="0.90909090909090906"/>
    <n v="0.46206896551724136"/>
    <x v="0"/>
    <n v="1"/>
    <n v="1"/>
    <n v="1"/>
    <n v="11625"/>
    <n v="0"/>
    <n v="0"/>
    <n v="1"/>
    <n v="11625"/>
    <n v="23.25"/>
    <n v="0"/>
    <n v="0"/>
    <n v="0"/>
    <n v="23"/>
    <n v="453"/>
    <n v="0.60559139784946237"/>
    <n v="7040"/>
    <n v="0.22021505376344086"/>
    <n v="128"/>
    <n v="581"/>
    <n v="0.22295805739514349"/>
    <n v="5340"/>
    <n v="4000"/>
    <n v="0"/>
    <n v="0"/>
    <n v="0"/>
    <n v="0"/>
    <n v="0"/>
    <n v="1"/>
    <n v="0.34408602150537637"/>
    <n v="0.99950124688279307"/>
    <n v="0.99950124688279307"/>
    <n v="10020"/>
    <n v="10020"/>
    <n v="10020"/>
    <n v="2005"/>
    <s v="Yes"/>
    <n v="0"/>
    <x v="1"/>
    <x v="0"/>
    <x v="9"/>
    <x v="5"/>
    <n v="20.16846"/>
    <n v="92.827427"/>
    <s v="MMR012CMP041"/>
    <x v="0"/>
    <m/>
  </r>
  <r>
    <x v="1"/>
    <x v="0"/>
    <x v="1"/>
    <x v="18"/>
    <x v="291"/>
    <n v="601"/>
    <n v="3360"/>
    <m/>
    <s v="DFID/HARP"/>
    <d v="2020-09-30T00:00:00"/>
    <n v="0"/>
    <s v="No"/>
    <n v="0"/>
    <n v="0"/>
    <n v="0"/>
    <n v="19"/>
    <n v="0"/>
    <n v="0"/>
    <n v="21"/>
    <m/>
    <n v="24"/>
    <n v="19"/>
    <n v="72"/>
    <n v="24"/>
    <n v="0"/>
    <s v="for this quarter"/>
    <n v="0"/>
    <n v="0"/>
    <m/>
    <m/>
    <n v="0"/>
    <x v="4"/>
    <x v="4"/>
    <n v="0"/>
    <n v="0"/>
    <m/>
    <n v="1"/>
    <s v="Household"/>
    <n v="0"/>
    <n v="0"/>
    <n v="1"/>
    <n v="594"/>
    <n v="594"/>
    <x v="1"/>
    <m/>
    <m/>
    <m/>
    <m/>
    <n v="0.79166666666666663"/>
    <n v="0.33333333333333331"/>
    <x v="0"/>
    <n v="1"/>
    <n v="1"/>
    <n v="1"/>
    <n v="3360"/>
    <n v="0"/>
    <n v="0"/>
    <n v="1"/>
    <n v="3360"/>
    <n v="6.72"/>
    <n v="0"/>
    <n v="0"/>
    <n v="0.28000000000000025"/>
    <n v="7"/>
    <n v="0"/>
    <n v="0"/>
    <n v="0"/>
    <n v="1"/>
    <n v="168"/>
    <n v="168"/>
    <n v="0"/>
    <n v="0"/>
    <n v="500"/>
    <n v="0"/>
    <n v="0"/>
    <n v="0"/>
    <n v="0"/>
    <n v="0"/>
    <n v="1"/>
    <n v="0.14880952380952381"/>
    <n v="0.98835274542429286"/>
    <n v="0.98835274542429286"/>
    <n v="2970"/>
    <n v="2970"/>
    <n v="2970"/>
    <n v="601"/>
    <s v="Yes"/>
    <n v="0"/>
    <x v="1"/>
    <x v="0"/>
    <x v="1"/>
    <x v="5"/>
    <n v="20.167421999999998"/>
    <n v="92.830074999999994"/>
    <s v="MMR012CMP097"/>
    <x v="0"/>
    <m/>
  </r>
  <r>
    <x v="1"/>
    <x v="2"/>
    <x v="1"/>
    <x v="18"/>
    <x v="341"/>
    <n v="357"/>
    <n v="2743"/>
    <m/>
    <m/>
    <m/>
    <m/>
    <s v="No"/>
    <n v="0"/>
    <n v="0"/>
    <n v="0"/>
    <n v="20"/>
    <n v="0"/>
    <n v="0"/>
    <n v="0"/>
    <m/>
    <m/>
    <m/>
    <m/>
    <m/>
    <m/>
    <m/>
    <n v="39"/>
    <n v="0"/>
    <m/>
    <m/>
    <n v="0"/>
    <x v="1"/>
    <x v="1"/>
    <m/>
    <m/>
    <m/>
    <n v="0"/>
    <s v="Household"/>
    <n v="0"/>
    <n v="0"/>
    <n v="2"/>
    <m/>
    <m/>
    <x v="0"/>
    <m/>
    <m/>
    <m/>
    <m/>
    <s v="no test"/>
    <s v="no test"/>
    <x v="1"/>
    <n v="1"/>
    <n v="1"/>
    <n v="1"/>
    <n v="2743"/>
    <n v="0"/>
    <n v="0"/>
    <n v="1"/>
    <n v="2743"/>
    <n v="5.4859999999999998"/>
    <n v="0"/>
    <n v="0"/>
    <n v="0"/>
    <n v="5"/>
    <n v="39"/>
    <n v="8.5308056872037921E-2"/>
    <n v="234.00000000000003"/>
    <n v="0.91432737878235504"/>
    <n v="418"/>
    <n v="457"/>
    <n v="0"/>
    <s v="N/A"/>
    <n v="1000"/>
    <n v="0"/>
    <n v="0"/>
    <n v="0"/>
    <n v="0"/>
    <n v="0"/>
    <n v="1"/>
    <n v="0.36456434560699963"/>
    <n v="0"/>
    <n v="0"/>
    <n v="0"/>
    <n v="0"/>
    <n v="0"/>
    <n v="0"/>
    <n v="0"/>
    <n v="0"/>
    <x v="3"/>
    <x v="2"/>
    <x v="7"/>
    <x v="5"/>
    <n v="0"/>
    <n v="0"/>
    <n v="0"/>
    <x v="1"/>
    <m/>
  </r>
  <r>
    <x v="1"/>
    <x v="7"/>
    <x v="1"/>
    <x v="18"/>
    <x v="342"/>
    <n v="22"/>
    <n v="113"/>
    <m/>
    <s v="MHF"/>
    <d v="2018-09-13T00:00:00"/>
    <n v="0"/>
    <s v="No"/>
    <n v="0"/>
    <n v="0"/>
    <n v="2"/>
    <n v="1"/>
    <n v="0"/>
    <n v="0"/>
    <n v="0"/>
    <m/>
    <n v="0"/>
    <n v="0"/>
    <n v="0"/>
    <n v="0"/>
    <n v="0"/>
    <m/>
    <n v="24"/>
    <n v="0"/>
    <n v="0"/>
    <m/>
    <n v="0"/>
    <x v="1"/>
    <x v="1"/>
    <n v="0"/>
    <n v="0"/>
    <m/>
    <n v="0"/>
    <s v="Household"/>
    <n v="0"/>
    <n v="0"/>
    <n v="1"/>
    <n v="0"/>
    <n v="0"/>
    <x v="0"/>
    <m/>
    <m/>
    <m/>
    <m/>
    <s v="no test"/>
    <s v="no test"/>
    <x v="1"/>
    <n v="1"/>
    <n v="1"/>
    <n v="1"/>
    <n v="113"/>
    <n v="0"/>
    <n v="0"/>
    <n v="1"/>
    <n v="113"/>
    <n v="0.22600000000000001"/>
    <n v="0"/>
    <n v="0"/>
    <n v="0.77400000000000002"/>
    <n v="1"/>
    <n v="24"/>
    <n v="1"/>
    <n v="113"/>
    <n v="0"/>
    <n v="0"/>
    <n v="19"/>
    <n v="0"/>
    <s v="N/A"/>
    <n v="113"/>
    <n v="0"/>
    <n v="1"/>
    <n v="0"/>
    <n v="0"/>
    <n v="0"/>
    <n v="1"/>
    <n v="1"/>
    <n v="0"/>
    <n v="0"/>
    <n v="0"/>
    <n v="0"/>
    <n v="0"/>
    <n v="0"/>
    <n v="0"/>
    <n v="0"/>
    <x v="3"/>
    <x v="2"/>
    <x v="7"/>
    <x v="3"/>
    <n v="20.218299999999999"/>
    <n v="92.805999999999997"/>
    <s v="196140"/>
    <x v="0"/>
    <m/>
  </r>
  <r>
    <x v="1"/>
    <x v="0"/>
    <x v="1"/>
    <x v="18"/>
    <x v="292"/>
    <n v="400"/>
    <n v="2186"/>
    <m/>
    <s v="DFID/HARP"/>
    <d v="2020-09-30T00:00:00"/>
    <n v="0"/>
    <s v="No"/>
    <n v="0"/>
    <n v="0"/>
    <n v="0"/>
    <n v="28"/>
    <n v="0"/>
    <n v="0"/>
    <n v="27"/>
    <m/>
    <n v="8"/>
    <n v="5"/>
    <n v="43"/>
    <n v="13"/>
    <n v="0"/>
    <s v="for this quarter"/>
    <n v="96"/>
    <n v="8"/>
    <n v="47"/>
    <m/>
    <n v="102"/>
    <x v="0"/>
    <x v="2"/>
    <n v="0"/>
    <n v="0"/>
    <m/>
    <n v="1"/>
    <s v="Household"/>
    <n v="0"/>
    <n v="0"/>
    <n v="2"/>
    <n v="400"/>
    <n v="400"/>
    <x v="1"/>
    <m/>
    <m/>
    <m/>
    <m/>
    <n v="0.625"/>
    <n v="0.30232558139534882"/>
    <x v="0"/>
    <n v="1"/>
    <n v="1"/>
    <n v="1"/>
    <n v="2186"/>
    <n v="0"/>
    <n v="0"/>
    <n v="1"/>
    <n v="2186"/>
    <n v="4.3719999999999999"/>
    <n v="0"/>
    <n v="0"/>
    <n v="0"/>
    <n v="4"/>
    <n v="104"/>
    <n v="0.87831655992680691"/>
    <n v="1920"/>
    <n v="4.5745654162854532E-2"/>
    <n v="5"/>
    <n v="109"/>
    <n v="7.6923076923076927E-2"/>
    <n v="940"/>
    <n v="1000"/>
    <n v="1"/>
    <n v="0"/>
    <n v="1"/>
    <n v="2186"/>
    <n v="1"/>
    <n v="0"/>
    <n v="0.45745654162854527"/>
    <n v="1"/>
    <n v="1"/>
    <n v="2000"/>
    <n v="2000"/>
    <n v="2000"/>
    <n v="400"/>
    <n v="0"/>
    <n v="0"/>
    <x v="1"/>
    <x v="0"/>
    <x v="3"/>
    <x v="5"/>
    <n v="20.180194"/>
    <n v="92.816638999999995"/>
    <s v="MMR012CMP102"/>
    <x v="0"/>
    <m/>
  </r>
  <r>
    <x v="1"/>
    <x v="12"/>
    <x v="1"/>
    <x v="18"/>
    <x v="294"/>
    <n v="400"/>
    <n v="2248"/>
    <n v="276"/>
    <s v="UNICEF,LDS"/>
    <s v="6/15/2018,9/30/18"/>
    <n v="0"/>
    <s v="Yes"/>
    <n v="0"/>
    <n v="0"/>
    <n v="0"/>
    <n v="30"/>
    <n v="0"/>
    <n v="0"/>
    <m/>
    <n v="1"/>
    <n v="16"/>
    <n v="11"/>
    <n v="24"/>
    <n v="24"/>
    <n v="0"/>
    <m/>
    <n v="142"/>
    <n v="0"/>
    <n v="0"/>
    <m/>
    <n v="142"/>
    <x v="0"/>
    <x v="0"/>
    <n v="0"/>
    <n v="0"/>
    <m/>
    <n v="0"/>
    <s v="Both"/>
    <n v="399"/>
    <n v="0"/>
    <n v="11"/>
    <n v="400"/>
    <n v="400"/>
    <x v="0"/>
    <m/>
    <n v="1"/>
    <n v="9"/>
    <m/>
    <n v="0.6875"/>
    <n v="1"/>
    <x v="0"/>
    <n v="1"/>
    <n v="1"/>
    <n v="1"/>
    <n v="2248"/>
    <n v="0"/>
    <n v="0"/>
    <n v="1"/>
    <n v="2248"/>
    <n v="4.4960000000000004"/>
    <n v="0"/>
    <n v="0"/>
    <n v="0"/>
    <n v="4"/>
    <n v="142"/>
    <n v="1"/>
    <n v="2248"/>
    <n v="0"/>
    <n v="0"/>
    <n v="112"/>
    <n v="0"/>
    <n v="0"/>
    <n v="2248"/>
    <n v="1"/>
    <n v="1"/>
    <n v="1"/>
    <n v="2248"/>
    <n v="1"/>
    <n v="0"/>
    <n v="1"/>
    <n v="1"/>
    <n v="1"/>
    <n v="2000"/>
    <n v="2000"/>
    <n v="2000"/>
    <n v="0"/>
    <s v="Yes"/>
    <n v="0"/>
    <x v="1"/>
    <x v="0"/>
    <x v="9"/>
    <x v="5"/>
    <n v="20.181778000000001"/>
    <n v="92.823166999999998"/>
    <s v="MMR012CMP042"/>
    <x v="0"/>
    <m/>
  </r>
  <r>
    <x v="1"/>
    <x v="7"/>
    <x v="1"/>
    <x v="18"/>
    <x v="345"/>
    <n v="126"/>
    <n v="600"/>
    <m/>
    <s v="MHF"/>
    <d v="2018-09-13T00:00:00"/>
    <n v="0"/>
    <s v="No"/>
    <n v="0"/>
    <n v="0"/>
    <n v="4"/>
    <n v="23"/>
    <n v="0"/>
    <n v="2"/>
    <n v="0"/>
    <m/>
    <n v="0"/>
    <n v="0"/>
    <n v="0"/>
    <n v="0"/>
    <n v="0"/>
    <m/>
    <n v="0"/>
    <n v="0"/>
    <n v="0"/>
    <m/>
    <n v="0"/>
    <x v="1"/>
    <x v="1"/>
    <n v="0"/>
    <n v="0"/>
    <m/>
    <n v="0"/>
    <s v="Household"/>
    <n v="0"/>
    <n v="0"/>
    <n v="1"/>
    <n v="0"/>
    <n v="0"/>
    <x v="0"/>
    <m/>
    <m/>
    <m/>
    <m/>
    <s v="no test"/>
    <s v="no test"/>
    <x v="1"/>
    <n v="1"/>
    <n v="1"/>
    <n v="1"/>
    <n v="600"/>
    <n v="0.83333333333333337"/>
    <n v="500"/>
    <n v="1"/>
    <n v="600"/>
    <n v="1.2"/>
    <n v="0"/>
    <n v="0"/>
    <n v="0"/>
    <n v="1"/>
    <n v="0"/>
    <n v="0"/>
    <n v="0"/>
    <n v="1"/>
    <n v="100"/>
    <n v="100"/>
    <n v="0"/>
    <s v="N/A"/>
    <n v="500"/>
    <n v="0"/>
    <n v="1"/>
    <n v="0"/>
    <n v="0"/>
    <n v="0"/>
    <n v="1"/>
    <n v="0.83333333333333337"/>
    <n v="0"/>
    <n v="0"/>
    <n v="0"/>
    <n v="0"/>
    <n v="0"/>
    <n v="0"/>
    <n v="0"/>
    <n v="0"/>
    <x v="3"/>
    <x v="2"/>
    <x v="7"/>
    <x v="3"/>
    <n v="20.231519699096701"/>
    <n v="92.876129150390597"/>
    <n v="196180"/>
    <x v="0"/>
    <m/>
  </r>
  <r>
    <x v="1"/>
    <x v="2"/>
    <x v="1"/>
    <x v="18"/>
    <x v="346"/>
    <n v="197"/>
    <n v="488"/>
    <m/>
    <m/>
    <m/>
    <m/>
    <s v="No"/>
    <n v="0"/>
    <n v="0"/>
    <n v="9"/>
    <n v="4"/>
    <n v="0"/>
    <n v="0"/>
    <n v="0"/>
    <m/>
    <m/>
    <m/>
    <m/>
    <m/>
    <m/>
    <s v="No WASH actor"/>
    <n v="146"/>
    <n v="0"/>
    <m/>
    <m/>
    <n v="0"/>
    <x v="3"/>
    <x v="2"/>
    <m/>
    <m/>
    <m/>
    <n v="0"/>
    <m/>
    <n v="0"/>
    <n v="0"/>
    <n v="0"/>
    <m/>
    <m/>
    <x v="0"/>
    <m/>
    <m/>
    <m/>
    <m/>
    <s v="no test"/>
    <s v="no test"/>
    <x v="1"/>
    <n v="1"/>
    <n v="1"/>
    <n v="1"/>
    <n v="488"/>
    <n v="0"/>
    <n v="0"/>
    <n v="1"/>
    <n v="488"/>
    <n v="0.97599999999999998"/>
    <n v="0"/>
    <n v="0"/>
    <n v="2.4000000000000021E-2"/>
    <n v="1"/>
    <n v="146"/>
    <n v="1"/>
    <n v="488"/>
    <n v="0"/>
    <n v="0"/>
    <n v="81"/>
    <n v="0"/>
    <s v="N/A"/>
    <n v="0"/>
    <n v="0"/>
    <n v="0"/>
    <n v="0"/>
    <n v="0"/>
    <n v="0"/>
    <n v="1"/>
    <n v="0"/>
    <n v="0"/>
    <n v="0"/>
    <n v="0"/>
    <n v="0"/>
    <n v="0"/>
    <n v="0"/>
    <n v="0"/>
    <n v="0"/>
    <x v="3"/>
    <x v="2"/>
    <x v="7"/>
    <x v="3"/>
    <n v="20.245159149169901"/>
    <n v="92.807418823242202"/>
    <s v="196137"/>
    <x v="1"/>
    <m/>
  </r>
  <r>
    <x v="1"/>
    <x v="17"/>
    <x v="1"/>
    <x v="18"/>
    <x v="337"/>
    <n v="656"/>
    <n v="3486"/>
    <m/>
    <s v="DFID/HARP"/>
    <d v="2020-09-30T00:00:00"/>
    <n v="0"/>
    <s v="No"/>
    <n v="0"/>
    <n v="0"/>
    <n v="0"/>
    <n v="35"/>
    <m/>
    <n v="0"/>
    <n v="46"/>
    <m/>
    <n v="26"/>
    <n v="17"/>
    <n v="22"/>
    <n v="4"/>
    <n v="8"/>
    <s v="for this quarter"/>
    <n v="172"/>
    <n v="60"/>
    <n v="84"/>
    <m/>
    <n v="235"/>
    <x v="0"/>
    <x v="2"/>
    <n v="0"/>
    <n v="2"/>
    <m/>
    <n v="1"/>
    <s v="Household"/>
    <n v="656"/>
    <n v="0"/>
    <n v="5"/>
    <n v="656"/>
    <n v="656"/>
    <x v="1"/>
    <m/>
    <m/>
    <m/>
    <m/>
    <n v="0.65384615384615385"/>
    <n v="0.18181818181818182"/>
    <x v="0"/>
    <n v="1"/>
    <n v="1"/>
    <n v="1"/>
    <n v="3486"/>
    <n v="0"/>
    <n v="0"/>
    <n v="1"/>
    <n v="3486"/>
    <n v="6.9720000000000004"/>
    <n v="0"/>
    <n v="0"/>
    <n v="2.7999999999999581E-2"/>
    <n v="7"/>
    <n v="232"/>
    <n v="0.98680436029833618"/>
    <n v="3440"/>
    <n v="0"/>
    <n v="0"/>
    <n v="174"/>
    <n v="0.25862068965517243"/>
    <n v="1680"/>
    <n v="2500"/>
    <n v="1"/>
    <n v="0"/>
    <n v="1"/>
    <n v="3486"/>
    <n v="1"/>
    <n v="0"/>
    <n v="0.71715433161216291"/>
    <n v="1"/>
    <n v="1"/>
    <n v="3280"/>
    <n v="3280"/>
    <n v="3280"/>
    <n v="656"/>
    <s v="Yes"/>
    <n v="0"/>
    <x v="1"/>
    <x v="0"/>
    <x v="9"/>
    <x v="5"/>
    <n v="20.185917"/>
    <n v="92.831000000000003"/>
    <s v="MMR012CMP092"/>
    <x v="0"/>
    <m/>
  </r>
  <r>
    <x v="1"/>
    <x v="19"/>
    <x v="1"/>
    <x v="18"/>
    <x v="348"/>
    <n v="250"/>
    <n v="1183"/>
    <n v="290"/>
    <s v="MHF,LDS"/>
    <s v="9/13/2018,9/30/18"/>
    <n v="0"/>
    <s v="No"/>
    <n v="0"/>
    <n v="0"/>
    <n v="11"/>
    <n v="21"/>
    <n v="0"/>
    <n v="0"/>
    <n v="0"/>
    <m/>
    <n v="0"/>
    <n v="0"/>
    <n v="0"/>
    <n v="0"/>
    <n v="0"/>
    <m/>
    <n v="14"/>
    <n v="0"/>
    <n v="0"/>
    <m/>
    <n v="0"/>
    <x v="1"/>
    <x v="1"/>
    <n v="0"/>
    <n v="0"/>
    <m/>
    <n v="0"/>
    <s v="Household"/>
    <n v="0"/>
    <n v="0"/>
    <n v="1"/>
    <n v="0"/>
    <n v="0"/>
    <x v="0"/>
    <m/>
    <m/>
    <m/>
    <m/>
    <s v="no test"/>
    <s v="no test"/>
    <x v="1"/>
    <n v="1"/>
    <n v="1"/>
    <n v="1"/>
    <n v="1183"/>
    <n v="0"/>
    <n v="0"/>
    <n v="1"/>
    <n v="1183"/>
    <n v="2.3660000000000001"/>
    <n v="0"/>
    <n v="0"/>
    <n v="0"/>
    <n v="2"/>
    <n v="14"/>
    <n v="7.1005917159763315E-2"/>
    <n v="84"/>
    <n v="0.92814877430262055"/>
    <n v="183"/>
    <n v="197"/>
    <n v="0"/>
    <s v="N/A"/>
    <n v="500"/>
    <n v="0"/>
    <n v="0"/>
    <n v="0"/>
    <n v="0"/>
    <n v="0"/>
    <n v="1"/>
    <n v="0.42265426880811496"/>
    <n v="0"/>
    <n v="0"/>
    <n v="0"/>
    <n v="0"/>
    <n v="0"/>
    <n v="0"/>
    <n v="0"/>
    <n v="0"/>
    <x v="3"/>
    <x v="2"/>
    <x v="7"/>
    <x v="5"/>
    <n v="20.2302"/>
    <n v="92.817999999999998"/>
    <s v="196139"/>
    <x v="0"/>
    <m/>
  </r>
  <r>
    <x v="1"/>
    <x v="13"/>
    <x v="1"/>
    <x v="18"/>
    <x v="349"/>
    <n v="366"/>
    <n v="2182"/>
    <n v="261"/>
    <s v="WFA/Zahra"/>
    <d v="2018-12-30T00:00:00"/>
    <n v="0"/>
    <s v="No"/>
    <n v="0"/>
    <n v="0"/>
    <n v="0"/>
    <m/>
    <m/>
    <m/>
    <m/>
    <m/>
    <m/>
    <m/>
    <m/>
    <m/>
    <m/>
    <m/>
    <n v="0"/>
    <m/>
    <m/>
    <m/>
    <m/>
    <x v="1"/>
    <x v="1"/>
    <m/>
    <m/>
    <m/>
    <m/>
    <s v="Household"/>
    <m/>
    <m/>
    <m/>
    <m/>
    <m/>
    <x v="0"/>
    <m/>
    <m/>
    <m/>
    <m/>
    <s v="no test"/>
    <s v="no test"/>
    <x v="1"/>
    <n v="0"/>
    <n v="0"/>
    <n v="0"/>
    <n v="0"/>
    <n v="0"/>
    <n v="0"/>
    <n v="0"/>
    <n v="0"/>
    <n v="0"/>
    <n v="1"/>
    <n v="2182"/>
    <n v="4"/>
    <n v="4"/>
    <n v="0"/>
    <n v="0"/>
    <n v="0"/>
    <n v="1"/>
    <n v="364"/>
    <n v="364"/>
    <n v="0"/>
    <s v="N/A"/>
    <n v="0"/>
    <n v="0"/>
    <n v="0"/>
    <n v="0"/>
    <n v="0"/>
    <n v="0"/>
    <n v="1"/>
    <n v="0"/>
    <n v="0"/>
    <n v="0"/>
    <n v="0"/>
    <n v="0"/>
    <n v="0"/>
    <n v="0"/>
    <n v="0"/>
    <n v="0"/>
    <x v="3"/>
    <x v="2"/>
    <x v="7"/>
    <x v="8"/>
    <n v="0"/>
    <n v="0"/>
    <n v="0"/>
    <x v="0"/>
    <m/>
  </r>
  <r>
    <x v="1"/>
    <x v="7"/>
    <x v="1"/>
    <x v="18"/>
    <x v="350"/>
    <n v="164"/>
    <n v="908"/>
    <m/>
    <s v="MHF"/>
    <d v="2018-09-13T00:00:00"/>
    <n v="0"/>
    <s v="No"/>
    <n v="0"/>
    <n v="0"/>
    <n v="20"/>
    <n v="35"/>
    <n v="0"/>
    <n v="0"/>
    <n v="0"/>
    <m/>
    <n v="0"/>
    <n v="0"/>
    <n v="0"/>
    <n v="0"/>
    <n v="0"/>
    <m/>
    <n v="103"/>
    <n v="0"/>
    <n v="0"/>
    <m/>
    <n v="0"/>
    <x v="1"/>
    <x v="1"/>
    <n v="0"/>
    <n v="0"/>
    <m/>
    <n v="0"/>
    <s v="Household"/>
    <n v="0"/>
    <n v="0"/>
    <n v="1"/>
    <n v="0"/>
    <n v="0"/>
    <x v="0"/>
    <m/>
    <m/>
    <m/>
    <m/>
    <s v="no test"/>
    <s v="no test"/>
    <x v="1"/>
    <n v="1"/>
    <n v="1"/>
    <n v="1"/>
    <n v="908"/>
    <n v="0"/>
    <n v="0"/>
    <n v="1"/>
    <n v="908"/>
    <n v="1.8160000000000001"/>
    <n v="0"/>
    <n v="0"/>
    <n v="0.18399999999999994"/>
    <n v="2"/>
    <n v="103"/>
    <n v="0.68061674008810569"/>
    <n v="618"/>
    <n v="0.31718061674008807"/>
    <n v="48"/>
    <n v="151"/>
    <n v="0"/>
    <s v="N/A"/>
    <n v="500"/>
    <n v="0"/>
    <n v="1"/>
    <n v="0"/>
    <n v="0"/>
    <n v="0"/>
    <n v="1"/>
    <n v="0.5506607929515418"/>
    <n v="0"/>
    <n v="0"/>
    <n v="0"/>
    <n v="0"/>
    <n v="0"/>
    <n v="0"/>
    <n v="0"/>
    <n v="0"/>
    <x v="3"/>
    <x v="2"/>
    <x v="7"/>
    <x v="5"/>
    <n v="20.212700000000002"/>
    <n v="92.820800000000006"/>
    <s v="196144"/>
    <x v="0"/>
    <m/>
  </r>
  <r>
    <x v="1"/>
    <x v="7"/>
    <x v="1"/>
    <x v="18"/>
    <x v="351"/>
    <n v="325"/>
    <n v="1857"/>
    <m/>
    <s v="MHF"/>
    <d v="2018-09-13T00:00:00"/>
    <n v="0"/>
    <s v="No"/>
    <n v="0"/>
    <n v="0"/>
    <n v="20"/>
    <n v="30"/>
    <n v="0"/>
    <n v="0"/>
    <n v="0"/>
    <m/>
    <n v="0"/>
    <n v="0"/>
    <n v="0"/>
    <n v="0"/>
    <n v="0"/>
    <m/>
    <n v="126"/>
    <n v="0"/>
    <n v="0"/>
    <m/>
    <n v="0"/>
    <x v="1"/>
    <x v="1"/>
    <n v="0"/>
    <n v="0"/>
    <m/>
    <n v="0"/>
    <s v="Household"/>
    <n v="0"/>
    <n v="0"/>
    <n v="1"/>
    <n v="0"/>
    <n v="0"/>
    <x v="0"/>
    <m/>
    <m/>
    <m/>
    <m/>
    <s v="no test"/>
    <s v="no test"/>
    <x v="1"/>
    <n v="1"/>
    <n v="1"/>
    <n v="1"/>
    <n v="1857"/>
    <n v="0"/>
    <n v="0"/>
    <n v="1"/>
    <n v="1857"/>
    <n v="3.714"/>
    <n v="0"/>
    <n v="0"/>
    <n v="0.28600000000000003"/>
    <n v="4"/>
    <n v="126"/>
    <n v="0.40710823909531502"/>
    <n v="756"/>
    <n v="0.59450726978998381"/>
    <n v="184"/>
    <n v="310"/>
    <n v="0"/>
    <s v="N/A"/>
    <n v="500"/>
    <n v="0"/>
    <n v="0"/>
    <n v="0"/>
    <n v="0"/>
    <n v="0"/>
    <n v="1"/>
    <n v="0.26925148088314488"/>
    <n v="0"/>
    <n v="0"/>
    <n v="0"/>
    <n v="0"/>
    <n v="0"/>
    <n v="0"/>
    <n v="0"/>
    <n v="0"/>
    <x v="3"/>
    <x v="2"/>
    <x v="7"/>
    <x v="5"/>
    <n v="20.219509124755898"/>
    <n v="92.811332702636705"/>
    <n v="196145"/>
    <x v="0"/>
    <m/>
  </r>
  <r>
    <x v="1"/>
    <x v="12"/>
    <x v="1"/>
    <x v="18"/>
    <x v="344"/>
    <n v="673"/>
    <n v="3095"/>
    <m/>
    <s v="UNICEF"/>
    <d v="2018-06-15T00:00:00"/>
    <n v="0"/>
    <s v="Yes"/>
    <n v="0"/>
    <n v="0"/>
    <n v="0"/>
    <n v="40"/>
    <n v="0"/>
    <n v="0"/>
    <m/>
    <n v="1"/>
    <n v="15"/>
    <n v="8"/>
    <n v="23"/>
    <n v="16"/>
    <m/>
    <m/>
    <n v="203"/>
    <n v="0"/>
    <n v="15"/>
    <m/>
    <n v="203"/>
    <x v="0"/>
    <x v="0"/>
    <m/>
    <m/>
    <m/>
    <n v="0"/>
    <s v="Both"/>
    <n v="592"/>
    <n v="0"/>
    <n v="12"/>
    <n v="673"/>
    <n v="673"/>
    <x v="0"/>
    <m/>
    <n v="1"/>
    <n v="11"/>
    <m/>
    <n v="0.53333333333333333"/>
    <n v="0.69565217391304346"/>
    <x v="0"/>
    <n v="1"/>
    <n v="1"/>
    <n v="1"/>
    <n v="3095"/>
    <n v="0"/>
    <n v="0"/>
    <n v="1"/>
    <n v="3095"/>
    <n v="6.19"/>
    <n v="0"/>
    <n v="0"/>
    <n v="0"/>
    <n v="6"/>
    <n v="203"/>
    <n v="1"/>
    <n v="3095"/>
    <n v="0"/>
    <n v="0"/>
    <n v="155"/>
    <n v="0"/>
    <n v="300"/>
    <n v="3095"/>
    <n v="1"/>
    <n v="1"/>
    <n v="1"/>
    <n v="3095"/>
    <n v="1"/>
    <n v="0"/>
    <n v="1"/>
    <n v="1"/>
    <n v="1"/>
    <n v="3365"/>
    <n v="3365"/>
    <n v="3365"/>
    <n v="0"/>
    <s v="Yes"/>
    <n v="0"/>
    <x v="1"/>
    <x v="0"/>
    <x v="9"/>
    <x v="5"/>
    <n v="20.206778"/>
    <n v="92.774193999999994"/>
    <s v="MMR012CMP098"/>
    <x v="0"/>
    <m/>
  </r>
  <r>
    <x v="1"/>
    <x v="17"/>
    <x v="1"/>
    <x v="18"/>
    <x v="353"/>
    <n v="200"/>
    <n v="1065"/>
    <s v="NA"/>
    <s v="DFID/HARP"/>
    <d v="2020-09-30T00:00:00"/>
    <n v="0"/>
    <s v="No"/>
    <n v="0"/>
    <n v="0"/>
    <n v="0"/>
    <n v="0"/>
    <n v="0"/>
    <n v="2"/>
    <n v="0"/>
    <m/>
    <n v="7"/>
    <n v="4"/>
    <n v="28"/>
    <n v="9"/>
    <m/>
    <s v="for this quarter"/>
    <n v="0"/>
    <n v="0"/>
    <n v="0"/>
    <m/>
    <m/>
    <x v="0"/>
    <x v="2"/>
    <n v="0"/>
    <n v="0"/>
    <m/>
    <n v="1"/>
    <s v="Household"/>
    <n v="0"/>
    <n v="0"/>
    <n v="0"/>
    <m/>
    <m/>
    <x v="0"/>
    <m/>
    <m/>
    <m/>
    <m/>
    <n v="0.5714285714285714"/>
    <n v="0.32142857142857145"/>
    <x v="0"/>
    <n v="0"/>
    <n v="0"/>
    <n v="0"/>
    <n v="0"/>
    <n v="0.46948356807511737"/>
    <n v="500"/>
    <n v="0.46948356807511737"/>
    <n v="500"/>
    <n v="1"/>
    <n v="0.53051643192488263"/>
    <n v="565"/>
    <n v="1"/>
    <n v="2"/>
    <n v="0"/>
    <n v="0"/>
    <n v="0"/>
    <n v="1"/>
    <n v="178"/>
    <n v="178"/>
    <n v="0"/>
    <s v="N/A"/>
    <n v="0"/>
    <n v="0"/>
    <n v="0"/>
    <n v="0"/>
    <n v="0"/>
    <n v="0"/>
    <n v="1"/>
    <n v="0"/>
    <n v="0"/>
    <n v="0"/>
    <n v="0"/>
    <n v="0"/>
    <n v="0"/>
    <n v="200"/>
    <n v="0"/>
    <n v="0"/>
    <x v="3"/>
    <x v="2"/>
    <x v="7"/>
    <x v="5"/>
    <n v="20.1975498199463"/>
    <n v="92.785682678222699"/>
    <s v="196156"/>
    <x v="0"/>
    <m/>
  </r>
  <r>
    <x v="1"/>
    <x v="17"/>
    <x v="1"/>
    <x v="18"/>
    <x v="347"/>
    <n v="2428"/>
    <n v="13302"/>
    <m/>
    <s v="DFID/HARP"/>
    <d v="2020-09-30T00:00:00"/>
    <n v="0"/>
    <s v="No"/>
    <n v="0"/>
    <n v="0"/>
    <n v="0"/>
    <n v="128"/>
    <m/>
    <n v="0"/>
    <n v="234"/>
    <m/>
    <n v="112"/>
    <n v="80"/>
    <n v="96"/>
    <n v="42"/>
    <n v="9"/>
    <s v="for this quarter"/>
    <n v="493"/>
    <n v="289"/>
    <n v="326"/>
    <m/>
    <n v="788"/>
    <x v="0"/>
    <x v="2"/>
    <n v="0"/>
    <n v="18"/>
    <m/>
    <n v="1"/>
    <s v="Household"/>
    <n v="2428"/>
    <n v="0"/>
    <n v="24"/>
    <n v="2428"/>
    <n v="2428"/>
    <x v="1"/>
    <m/>
    <m/>
    <m/>
    <m/>
    <n v="0.7142857142857143"/>
    <n v="0.4375"/>
    <x v="0"/>
    <n v="1"/>
    <n v="1"/>
    <n v="1"/>
    <n v="13302"/>
    <n v="0"/>
    <n v="0"/>
    <n v="1"/>
    <n v="13302"/>
    <n v="26.603999999999999"/>
    <n v="0"/>
    <n v="0"/>
    <n v="0.3960000000000008"/>
    <n v="27"/>
    <n v="782"/>
    <n v="0.74124191850849497"/>
    <n v="9860"/>
    <n v="0"/>
    <n v="0"/>
    <n v="665"/>
    <n v="0.36956521739130432"/>
    <n v="6520"/>
    <n v="12000"/>
    <n v="1"/>
    <n v="1"/>
    <n v="1"/>
    <n v="13302"/>
    <n v="1"/>
    <n v="0"/>
    <n v="0.90211998195760035"/>
    <n v="1"/>
    <n v="1"/>
    <n v="12140"/>
    <n v="12140"/>
    <n v="12140"/>
    <n v="2428"/>
    <s v="Yes"/>
    <n v="0"/>
    <x v="1"/>
    <x v="0"/>
    <x v="9"/>
    <x v="5"/>
    <n v="20.18994"/>
    <n v="92.798880999999994"/>
    <s v="MMR012CMP115"/>
    <x v="0"/>
    <m/>
  </r>
  <r>
    <x v="1"/>
    <x v="18"/>
    <x v="1"/>
    <x v="18"/>
    <x v="352"/>
    <n v="2256"/>
    <n v="12121"/>
    <m/>
    <s v="ECHO"/>
    <d v="2018-12-31T00:00:00"/>
    <n v="0"/>
    <s v="No"/>
    <n v="0"/>
    <n v="0"/>
    <n v="0"/>
    <n v="82"/>
    <n v="0"/>
    <n v="0"/>
    <n v="73"/>
    <m/>
    <n v="118"/>
    <n v="85"/>
    <n v="0"/>
    <n v="0"/>
    <n v="0"/>
    <m/>
    <n v="593"/>
    <n v="0"/>
    <n v="450"/>
    <s v="Weekly"/>
    <n v="0"/>
    <x v="0"/>
    <x v="0"/>
    <n v="32"/>
    <n v="0"/>
    <m/>
    <n v="0"/>
    <s v="Household"/>
    <n v="0"/>
    <n v="0"/>
    <n v="29"/>
    <n v="2256"/>
    <n v="2256"/>
    <x v="1"/>
    <m/>
    <n v="32"/>
    <n v="150"/>
    <m/>
    <n v="0.72033898305084743"/>
    <s v="no test"/>
    <x v="0"/>
    <n v="1"/>
    <n v="1"/>
    <n v="1"/>
    <n v="12121"/>
    <n v="0"/>
    <n v="0"/>
    <n v="1"/>
    <n v="12121"/>
    <n v="24.242000000000001"/>
    <n v="0"/>
    <n v="0"/>
    <n v="0"/>
    <n v="24"/>
    <n v="593"/>
    <n v="0.97846712317465556"/>
    <n v="11860"/>
    <n v="2.145037538156918E-2"/>
    <n v="13"/>
    <n v="606"/>
    <n v="0"/>
    <n v="9000"/>
    <n v="12121"/>
    <n v="1"/>
    <n v="1"/>
    <n v="1"/>
    <n v="12121"/>
    <n v="1"/>
    <n v="0"/>
    <n v="1"/>
    <n v="1"/>
    <n v="1"/>
    <n v="11280"/>
    <n v="11280"/>
    <n v="11280"/>
    <n v="0"/>
    <s v="Yes"/>
    <n v="0"/>
    <x v="1"/>
    <x v="0"/>
    <x v="9"/>
    <x v="5"/>
    <n v="20.185092000000001"/>
    <n v="92.802295999999998"/>
    <s v="MMR012CMP116"/>
    <x v="0"/>
    <m/>
  </r>
  <r>
    <x v="1"/>
    <x v="2"/>
    <x v="1"/>
    <x v="18"/>
    <x v="356"/>
    <n v="87"/>
    <n v="447"/>
    <m/>
    <m/>
    <m/>
    <m/>
    <s v="No"/>
    <n v="0"/>
    <n v="0"/>
    <n v="2"/>
    <n v="4"/>
    <n v="0"/>
    <n v="0"/>
    <n v="0"/>
    <m/>
    <m/>
    <m/>
    <m/>
    <m/>
    <m/>
    <s v="No WASH actor"/>
    <n v="72"/>
    <n v="0"/>
    <m/>
    <m/>
    <n v="0"/>
    <x v="3"/>
    <x v="2"/>
    <m/>
    <m/>
    <m/>
    <n v="0"/>
    <m/>
    <n v="0"/>
    <n v="0"/>
    <n v="0"/>
    <m/>
    <m/>
    <x v="0"/>
    <m/>
    <m/>
    <m/>
    <m/>
    <s v="no test"/>
    <s v="no test"/>
    <x v="1"/>
    <n v="1"/>
    <n v="1"/>
    <n v="1"/>
    <n v="447"/>
    <n v="0"/>
    <n v="0"/>
    <n v="1"/>
    <n v="447"/>
    <n v="0.89400000000000002"/>
    <n v="0"/>
    <n v="0"/>
    <n v="0.10599999999999998"/>
    <n v="1"/>
    <n v="72"/>
    <n v="0.96644295302013428"/>
    <n v="432"/>
    <n v="4.0268456375838924E-2"/>
    <n v="3"/>
    <n v="75"/>
    <n v="0"/>
    <s v="N/A"/>
    <n v="0"/>
    <n v="0"/>
    <n v="0"/>
    <n v="0"/>
    <n v="0"/>
    <n v="0"/>
    <n v="1"/>
    <n v="0"/>
    <n v="0"/>
    <n v="0"/>
    <n v="0"/>
    <n v="0"/>
    <n v="0"/>
    <n v="0"/>
    <n v="0"/>
    <n v="0"/>
    <x v="3"/>
    <x v="2"/>
    <x v="7"/>
    <x v="5"/>
    <n v="0"/>
    <n v="0"/>
    <n v="0"/>
    <x v="1"/>
    <m/>
  </r>
  <r>
    <x v="1"/>
    <x v="18"/>
    <x v="1"/>
    <x v="18"/>
    <x v="354"/>
    <n v="400"/>
    <n v="2187"/>
    <m/>
    <s v="ECHO"/>
    <d v="2018-12-31T00:00:00"/>
    <n v="0"/>
    <s v="No"/>
    <n v="0"/>
    <n v="0"/>
    <n v="0"/>
    <n v="28"/>
    <n v="0"/>
    <n v="0"/>
    <n v="0"/>
    <m/>
    <n v="30"/>
    <n v="10"/>
    <n v="0"/>
    <n v="0"/>
    <n v="0"/>
    <m/>
    <n v="98"/>
    <n v="2"/>
    <n v="80"/>
    <s v="Monthly"/>
    <n v="0"/>
    <x v="0"/>
    <x v="0"/>
    <m/>
    <m/>
    <m/>
    <n v="0"/>
    <s v="Household"/>
    <n v="0"/>
    <n v="0"/>
    <n v="9"/>
    <n v="400"/>
    <n v="400"/>
    <x v="1"/>
    <m/>
    <n v="11"/>
    <n v="39"/>
    <m/>
    <n v="0.33333333333333331"/>
    <s v="no test"/>
    <x v="0"/>
    <n v="1"/>
    <n v="1"/>
    <n v="1"/>
    <n v="2187"/>
    <n v="0"/>
    <n v="0"/>
    <n v="1"/>
    <n v="2187"/>
    <n v="4.3739999999999997"/>
    <n v="0"/>
    <n v="0"/>
    <n v="0"/>
    <n v="4"/>
    <n v="100"/>
    <n v="0.89620484682213075"/>
    <n v="1960"/>
    <n v="8.2304526748971193E-2"/>
    <n v="9"/>
    <n v="109"/>
    <n v="0.02"/>
    <n v="1600"/>
    <n v="2187"/>
    <n v="1"/>
    <n v="1"/>
    <n v="1"/>
    <n v="2187"/>
    <n v="1"/>
    <n v="0"/>
    <n v="1"/>
    <n v="1"/>
    <n v="1"/>
    <n v="2000"/>
    <n v="2000"/>
    <n v="2000"/>
    <n v="0"/>
    <n v="0"/>
    <n v="0"/>
    <x v="1"/>
    <x v="0"/>
    <x v="3"/>
    <x v="5"/>
    <n v="20.207284999999999"/>
    <n v="92.788177000000005"/>
    <s v="MMR012CMP044"/>
    <x v="0"/>
    <m/>
  </r>
  <r>
    <x v="1"/>
    <x v="7"/>
    <x v="1"/>
    <x v="18"/>
    <x v="358"/>
    <n v="297"/>
    <n v="1724"/>
    <m/>
    <s v="MHF"/>
    <d v="2018-09-13T00:00:00"/>
    <n v="0"/>
    <s v="No"/>
    <n v="0"/>
    <n v="0"/>
    <n v="5"/>
    <n v="30"/>
    <n v="0"/>
    <n v="0"/>
    <n v="0"/>
    <m/>
    <n v="0"/>
    <n v="0"/>
    <n v="0"/>
    <n v="0"/>
    <n v="0"/>
    <m/>
    <n v="0"/>
    <n v="0"/>
    <n v="0"/>
    <m/>
    <n v="0"/>
    <x v="1"/>
    <x v="1"/>
    <n v="0"/>
    <n v="0"/>
    <m/>
    <n v="0"/>
    <s v="Household"/>
    <n v="0"/>
    <n v="0"/>
    <n v="1"/>
    <n v="0"/>
    <n v="0"/>
    <x v="0"/>
    <m/>
    <m/>
    <m/>
    <m/>
    <s v="no test"/>
    <s v="no test"/>
    <x v="1"/>
    <n v="1"/>
    <n v="1"/>
    <n v="1"/>
    <n v="1724"/>
    <n v="0"/>
    <n v="0"/>
    <n v="1"/>
    <n v="1724"/>
    <n v="3.448"/>
    <n v="0"/>
    <n v="0"/>
    <n v="0"/>
    <n v="3"/>
    <n v="0"/>
    <n v="0"/>
    <n v="0"/>
    <n v="0.99883990719257543"/>
    <n v="287"/>
    <n v="287"/>
    <n v="0"/>
    <s v="N/A"/>
    <n v="500"/>
    <n v="0"/>
    <n v="0"/>
    <n v="0"/>
    <n v="0"/>
    <n v="0"/>
    <n v="1"/>
    <n v="0.29002320185614849"/>
    <n v="0"/>
    <n v="0"/>
    <n v="0"/>
    <n v="0"/>
    <n v="0"/>
    <n v="0"/>
    <n v="0"/>
    <n v="0"/>
    <x v="3"/>
    <x v="2"/>
    <x v="7"/>
    <x v="5"/>
    <n v="20.2399291992188"/>
    <n v="92.827529907226605"/>
    <n v="196162"/>
    <x v="0"/>
    <m/>
  </r>
  <r>
    <x v="1"/>
    <x v="12"/>
    <x v="1"/>
    <x v="18"/>
    <x v="359"/>
    <n v="249"/>
    <n v="1362"/>
    <m/>
    <s v="UNICEF"/>
    <d v="2018-06-15T00:00:00"/>
    <n v="0"/>
    <s v="Yes"/>
    <n v="0"/>
    <n v="0"/>
    <n v="0"/>
    <n v="15"/>
    <n v="0"/>
    <n v="1"/>
    <n v="17"/>
    <n v="1"/>
    <n v="16"/>
    <n v="10"/>
    <n v="20"/>
    <n v="19"/>
    <m/>
    <m/>
    <n v="249"/>
    <n v="0"/>
    <n v="0"/>
    <m/>
    <n v="249"/>
    <x v="4"/>
    <x v="0"/>
    <m/>
    <m/>
    <m/>
    <n v="0"/>
    <s v="Household"/>
    <n v="0"/>
    <n v="0"/>
    <n v="4"/>
    <n v="249"/>
    <n v="249"/>
    <x v="0"/>
    <m/>
    <m/>
    <n v="4"/>
    <m/>
    <n v="0.625"/>
    <n v="0.95"/>
    <x v="0"/>
    <n v="1"/>
    <n v="1"/>
    <n v="1"/>
    <n v="1362"/>
    <n v="0.18355359765051396"/>
    <n v="250.00000000000003"/>
    <n v="1"/>
    <n v="1362"/>
    <n v="2.7240000000000002"/>
    <n v="0"/>
    <n v="0"/>
    <n v="0.2759999999999998"/>
    <n v="3"/>
    <n v="249"/>
    <n v="1"/>
    <n v="1362"/>
    <n v="0"/>
    <n v="0"/>
    <n v="227"/>
    <n v="0"/>
    <s v="N/A"/>
    <n v="1362"/>
    <n v="1"/>
    <n v="1"/>
    <n v="1"/>
    <n v="1362"/>
    <n v="1"/>
    <n v="0"/>
    <n v="1"/>
    <n v="1"/>
    <n v="1"/>
    <n v="1245"/>
    <n v="1245"/>
    <n v="1245"/>
    <n v="0"/>
    <n v="0"/>
    <n v="0"/>
    <x v="3"/>
    <x v="2"/>
    <x v="8"/>
    <x v="3"/>
    <n v="20.151471999999998"/>
    <n v="92.887277999999995"/>
    <s v="MMR012CMP111"/>
    <x v="0"/>
    <m/>
  </r>
  <r>
    <x v="1"/>
    <x v="17"/>
    <x v="1"/>
    <x v="18"/>
    <x v="360"/>
    <n v="420"/>
    <n v="1984"/>
    <s v="NA"/>
    <s v="DFID/HARP"/>
    <d v="2020-09-30T00:00:00"/>
    <n v="0"/>
    <s v="No"/>
    <n v="0"/>
    <n v="0"/>
    <n v="0"/>
    <n v="0"/>
    <n v="0"/>
    <n v="1"/>
    <n v="0"/>
    <m/>
    <m/>
    <m/>
    <m/>
    <m/>
    <n v="0"/>
    <s v="for this quarter"/>
    <n v="420"/>
    <n v="0"/>
    <n v="0"/>
    <m/>
    <m/>
    <x v="0"/>
    <x v="2"/>
    <n v="0"/>
    <n v="0"/>
    <m/>
    <n v="1"/>
    <s v="Household"/>
    <n v="420"/>
    <n v="0"/>
    <n v="1"/>
    <m/>
    <m/>
    <x v="0"/>
    <m/>
    <m/>
    <m/>
    <m/>
    <s v="no test"/>
    <s v="no test"/>
    <x v="1"/>
    <n v="0"/>
    <n v="0"/>
    <n v="0"/>
    <n v="0"/>
    <n v="0.12600806451612903"/>
    <n v="250"/>
    <n v="0.12600806451612903"/>
    <n v="250"/>
    <n v="0.5"/>
    <n v="0.873991935483871"/>
    <n v="1734"/>
    <n v="3.5"/>
    <n v="4"/>
    <n v="420"/>
    <n v="1"/>
    <n v="1984"/>
    <n v="0"/>
    <n v="0"/>
    <n v="331"/>
    <n v="0"/>
    <s v="N/A"/>
    <n v="500"/>
    <n v="0"/>
    <n v="0"/>
    <n v="0"/>
    <n v="0"/>
    <n v="0"/>
    <n v="1"/>
    <n v="0.25201612903225806"/>
    <n v="0"/>
    <n v="0"/>
    <n v="0"/>
    <n v="0"/>
    <n v="0"/>
    <n v="420"/>
    <n v="0"/>
    <n v="0"/>
    <x v="3"/>
    <x v="2"/>
    <x v="8"/>
    <x v="3"/>
    <n v="20.151471999999998"/>
    <n v="92.887277999999995"/>
    <s v="MMR012CMP112"/>
    <x v="0"/>
    <m/>
  </r>
  <r>
    <x v="1"/>
    <x v="17"/>
    <x v="1"/>
    <x v="18"/>
    <x v="355"/>
    <n v="2280"/>
    <n v="11564"/>
    <m/>
    <s v="DFID/HARP"/>
    <d v="2020-09-30T00:00:00"/>
    <n v="0"/>
    <s v="No"/>
    <n v="0"/>
    <n v="0"/>
    <n v="0"/>
    <n v="160"/>
    <n v="0"/>
    <n v="0"/>
    <n v="196"/>
    <m/>
    <n v="170"/>
    <n v="125"/>
    <n v="99"/>
    <n v="42"/>
    <n v="13"/>
    <s v="for this quarter"/>
    <n v="482"/>
    <n v="33"/>
    <n v="172"/>
    <m/>
    <n v="516"/>
    <x v="0"/>
    <x v="2"/>
    <n v="0"/>
    <n v="26"/>
    <m/>
    <n v="1"/>
    <s v="Household"/>
    <n v="2280"/>
    <n v="0"/>
    <n v="26"/>
    <n v="2280"/>
    <n v="2280"/>
    <x v="1"/>
    <m/>
    <m/>
    <m/>
    <m/>
    <n v="0.73529411764705888"/>
    <n v="0.42424242424242425"/>
    <x v="0"/>
    <n v="1"/>
    <n v="1"/>
    <n v="1"/>
    <n v="11564"/>
    <n v="0"/>
    <n v="0"/>
    <n v="1"/>
    <n v="11564"/>
    <n v="23.128"/>
    <n v="0"/>
    <n v="0"/>
    <n v="0"/>
    <n v="23"/>
    <n v="515"/>
    <n v="0.83362158422691113"/>
    <n v="9640"/>
    <n v="0.10895883777239708"/>
    <n v="63"/>
    <n v="578"/>
    <n v="6.4077669902912623E-2"/>
    <n v="3440"/>
    <n v="11564"/>
    <n v="1"/>
    <n v="1"/>
    <n v="1"/>
    <n v="11564"/>
    <n v="1"/>
    <n v="0"/>
    <n v="1"/>
    <n v="1"/>
    <n v="1"/>
    <n v="11400"/>
    <n v="11400"/>
    <n v="11400"/>
    <n v="2280"/>
    <s v="Yes"/>
    <n v="0"/>
    <x v="1"/>
    <x v="0"/>
    <x v="9"/>
    <x v="5"/>
    <n v="20.202525000000001"/>
    <n v="92.792479999999998"/>
    <s v="MMR012CMP045"/>
    <x v="0"/>
    <m/>
  </r>
  <r>
    <x v="1"/>
    <x v="17"/>
    <x v="1"/>
    <x v="18"/>
    <x v="362"/>
    <n v="235"/>
    <n v="1390"/>
    <s v="NA"/>
    <s v="DFID/HARP"/>
    <d v="2020-09-30T00:00:00"/>
    <n v="0"/>
    <s v="No"/>
    <n v="0"/>
    <n v="0"/>
    <n v="0"/>
    <n v="10"/>
    <n v="0"/>
    <n v="0"/>
    <n v="0"/>
    <m/>
    <n v="10"/>
    <n v="9"/>
    <n v="28"/>
    <n v="8"/>
    <n v="0"/>
    <s v="for this quarter"/>
    <n v="0"/>
    <n v="0"/>
    <n v="0"/>
    <m/>
    <m/>
    <x v="0"/>
    <x v="2"/>
    <n v="0"/>
    <n v="0"/>
    <m/>
    <n v="1"/>
    <s v="Household"/>
    <n v="235"/>
    <n v="0"/>
    <n v="1"/>
    <m/>
    <m/>
    <x v="0"/>
    <m/>
    <m/>
    <m/>
    <m/>
    <n v="0.9"/>
    <n v="0.2857142857142857"/>
    <x v="0"/>
    <n v="1"/>
    <n v="1"/>
    <n v="1"/>
    <n v="1390"/>
    <n v="0"/>
    <n v="0"/>
    <n v="1"/>
    <n v="1390"/>
    <n v="2.78"/>
    <n v="0"/>
    <n v="0"/>
    <n v="0.2200000000000002"/>
    <n v="3"/>
    <n v="0"/>
    <n v="0"/>
    <n v="0"/>
    <n v="1"/>
    <n v="232"/>
    <n v="232"/>
    <n v="0"/>
    <s v="N/A"/>
    <n v="500"/>
    <n v="0"/>
    <n v="0"/>
    <n v="0"/>
    <n v="0"/>
    <n v="0"/>
    <n v="1"/>
    <n v="0.35971223021582732"/>
    <n v="0"/>
    <n v="0"/>
    <n v="0"/>
    <n v="0"/>
    <n v="0"/>
    <n v="235"/>
    <n v="0"/>
    <n v="0"/>
    <x v="3"/>
    <x v="2"/>
    <x v="7"/>
    <x v="5"/>
    <n v="20.201499999999999"/>
    <n v="92.796599999999998"/>
    <n v="196154"/>
    <x v="0"/>
    <m/>
  </r>
  <r>
    <x v="1"/>
    <x v="17"/>
    <x v="1"/>
    <x v="18"/>
    <x v="363"/>
    <n v="92"/>
    <n v="469"/>
    <s v="NA"/>
    <s v="DFID/HARP"/>
    <d v="2020-09-30T00:00:00"/>
    <n v="0"/>
    <s v="No"/>
    <n v="0"/>
    <n v="0"/>
    <n v="12"/>
    <n v="7"/>
    <n v="0"/>
    <n v="0"/>
    <n v="0"/>
    <m/>
    <n v="8"/>
    <n v="6"/>
    <n v="19"/>
    <n v="7"/>
    <n v="0"/>
    <s v="for this quarter"/>
    <n v="0"/>
    <n v="0"/>
    <n v="0"/>
    <m/>
    <m/>
    <x v="0"/>
    <x v="2"/>
    <n v="0"/>
    <n v="0"/>
    <m/>
    <n v="1"/>
    <s v="Household"/>
    <n v="92"/>
    <n v="0"/>
    <n v="1"/>
    <m/>
    <m/>
    <x v="0"/>
    <m/>
    <m/>
    <m/>
    <m/>
    <n v="0.75"/>
    <n v="0.36842105263157893"/>
    <x v="0"/>
    <n v="1"/>
    <n v="1"/>
    <n v="1"/>
    <n v="469"/>
    <n v="0"/>
    <n v="0"/>
    <n v="1"/>
    <n v="469"/>
    <n v="0.93799999999999994"/>
    <n v="0"/>
    <n v="0"/>
    <n v="6.2000000000000055E-2"/>
    <n v="1"/>
    <n v="0"/>
    <n v="0"/>
    <n v="0"/>
    <n v="0.99786780383795304"/>
    <n v="78"/>
    <n v="78"/>
    <n v="0"/>
    <s v="N/A"/>
    <n v="469"/>
    <n v="0"/>
    <n v="1"/>
    <n v="0"/>
    <n v="0"/>
    <n v="0"/>
    <n v="1"/>
    <n v="1"/>
    <n v="0"/>
    <n v="0"/>
    <n v="0"/>
    <n v="0"/>
    <n v="0"/>
    <n v="92"/>
    <n v="0"/>
    <n v="0"/>
    <x v="3"/>
    <x v="2"/>
    <x v="7"/>
    <x v="5"/>
    <n v="20.191719055175799"/>
    <n v="92.808166503906307"/>
    <s v="196155"/>
    <x v="0"/>
    <m/>
  </r>
  <r>
    <x v="1"/>
    <x v="17"/>
    <x v="1"/>
    <x v="18"/>
    <x v="364"/>
    <n v="72"/>
    <n v="447"/>
    <s v="NA"/>
    <s v="DFID/HARP"/>
    <d v="2020-09-30T00:00:00"/>
    <n v="0"/>
    <s v="No"/>
    <n v="0"/>
    <n v="0"/>
    <n v="0"/>
    <n v="0"/>
    <n v="0"/>
    <n v="1"/>
    <n v="0"/>
    <m/>
    <m/>
    <m/>
    <m/>
    <m/>
    <n v="0"/>
    <s v="for this quarter"/>
    <n v="72"/>
    <n v="0"/>
    <n v="0"/>
    <m/>
    <m/>
    <x v="0"/>
    <x v="2"/>
    <n v="0"/>
    <n v="0"/>
    <m/>
    <n v="1"/>
    <s v="Household"/>
    <n v="72"/>
    <n v="0"/>
    <n v="1"/>
    <m/>
    <m/>
    <x v="0"/>
    <m/>
    <m/>
    <m/>
    <m/>
    <s v="no test"/>
    <s v="no test"/>
    <x v="1"/>
    <n v="0"/>
    <n v="0"/>
    <n v="0"/>
    <n v="0"/>
    <n v="0.5592841163310962"/>
    <n v="250"/>
    <n v="0.5592841163310962"/>
    <n v="250"/>
    <n v="0.5"/>
    <n v="0.4407158836689038"/>
    <n v="197"/>
    <n v="0.5"/>
    <n v="1"/>
    <n v="72"/>
    <n v="0.96644295302013428"/>
    <n v="432"/>
    <n v="4.0268456375838924E-2"/>
    <n v="3"/>
    <n v="75"/>
    <n v="0"/>
    <s v="N/A"/>
    <n v="447"/>
    <n v="0"/>
    <n v="1"/>
    <n v="0"/>
    <n v="0"/>
    <n v="0"/>
    <n v="1"/>
    <n v="1"/>
    <n v="0"/>
    <n v="0"/>
    <n v="0"/>
    <n v="0"/>
    <n v="0"/>
    <n v="72"/>
    <n v="0"/>
    <n v="0"/>
    <x v="3"/>
    <x v="2"/>
    <x v="8"/>
    <x v="12"/>
    <n v="20.148584"/>
    <n v="92.880319999999998"/>
    <s v="MMR012CMP056"/>
    <x v="0"/>
    <m/>
  </r>
  <r>
    <x v="1"/>
    <x v="17"/>
    <x v="1"/>
    <x v="18"/>
    <x v="365"/>
    <n v="152"/>
    <n v="614"/>
    <s v="NA"/>
    <s v="DFID/HARP"/>
    <d v="2020-09-30T00:00:00"/>
    <n v="0"/>
    <s v="No"/>
    <n v="0"/>
    <n v="0"/>
    <n v="0"/>
    <n v="12"/>
    <n v="0"/>
    <n v="0"/>
    <n v="0"/>
    <m/>
    <n v="4"/>
    <n v="4"/>
    <n v="2"/>
    <n v="2"/>
    <n v="0"/>
    <s v="for this quarter"/>
    <n v="152"/>
    <n v="0"/>
    <n v="0"/>
    <m/>
    <m/>
    <x v="0"/>
    <x v="2"/>
    <n v="0"/>
    <n v="0"/>
    <m/>
    <n v="1"/>
    <s v="Household"/>
    <n v="152"/>
    <n v="0"/>
    <n v="1"/>
    <m/>
    <m/>
    <x v="0"/>
    <m/>
    <m/>
    <m/>
    <m/>
    <n v="1"/>
    <n v="1"/>
    <x v="0"/>
    <n v="1"/>
    <n v="1"/>
    <n v="1"/>
    <n v="614"/>
    <n v="0"/>
    <n v="0"/>
    <n v="1"/>
    <n v="614"/>
    <n v="1.228"/>
    <n v="0"/>
    <n v="0"/>
    <n v="0"/>
    <n v="1"/>
    <n v="152"/>
    <n v="1"/>
    <n v="614"/>
    <n v="0"/>
    <n v="0"/>
    <n v="102"/>
    <n v="0"/>
    <s v="N/A"/>
    <n v="500"/>
    <n v="0"/>
    <n v="1"/>
    <n v="0"/>
    <n v="0"/>
    <n v="0"/>
    <n v="1"/>
    <n v="0.81433224755700329"/>
    <n v="0"/>
    <n v="0"/>
    <n v="0"/>
    <n v="0"/>
    <n v="0"/>
    <n v="152"/>
    <n v="0"/>
    <n v="0"/>
    <x v="3"/>
    <x v="2"/>
    <x v="8"/>
    <x v="3"/>
    <n v="20.155805999999998"/>
    <n v="92.879138999999995"/>
    <s v="MMR012CMP093"/>
    <x v="0"/>
    <m/>
  </r>
  <r>
    <x v="1"/>
    <x v="7"/>
    <x v="1"/>
    <x v="18"/>
    <x v="366"/>
    <n v="186"/>
    <n v="289"/>
    <m/>
    <s v="MHF"/>
    <d v="2018-09-13T00:00:00"/>
    <n v="0"/>
    <s v="No"/>
    <n v="0"/>
    <n v="0"/>
    <n v="6"/>
    <n v="35"/>
    <n v="0"/>
    <n v="0"/>
    <n v="0"/>
    <m/>
    <n v="0"/>
    <n v="0"/>
    <n v="0"/>
    <n v="0"/>
    <n v="0"/>
    <m/>
    <n v="0"/>
    <n v="0"/>
    <n v="0"/>
    <m/>
    <n v="0"/>
    <x v="1"/>
    <x v="1"/>
    <n v="0"/>
    <n v="0"/>
    <m/>
    <n v="0"/>
    <s v="Household"/>
    <n v="0"/>
    <n v="0"/>
    <n v="1"/>
    <n v="0"/>
    <n v="0"/>
    <x v="0"/>
    <m/>
    <m/>
    <m/>
    <m/>
    <s v="no test"/>
    <s v="no test"/>
    <x v="1"/>
    <n v="1"/>
    <n v="1"/>
    <n v="1"/>
    <n v="289"/>
    <n v="0"/>
    <n v="0"/>
    <n v="1"/>
    <n v="289"/>
    <n v="0.57799999999999996"/>
    <n v="0"/>
    <n v="0"/>
    <n v="0.42200000000000004"/>
    <n v="1"/>
    <n v="0"/>
    <n v="0"/>
    <n v="0"/>
    <n v="0.99653979238754331"/>
    <n v="48"/>
    <n v="48"/>
    <n v="0"/>
    <s v="N/A"/>
    <n v="289"/>
    <n v="0"/>
    <n v="1"/>
    <n v="0"/>
    <n v="0"/>
    <n v="0"/>
    <n v="1"/>
    <n v="1"/>
    <n v="0"/>
    <n v="0"/>
    <n v="0"/>
    <n v="0"/>
    <n v="0"/>
    <n v="0"/>
    <n v="0"/>
    <n v="0"/>
    <x v="3"/>
    <x v="2"/>
    <x v="7"/>
    <x v="3"/>
    <n v="20.2369709014893"/>
    <n v="92.877876281738295"/>
    <n v="196179"/>
    <x v="0"/>
    <m/>
  </r>
  <r>
    <x v="1"/>
    <x v="0"/>
    <x v="1"/>
    <x v="18"/>
    <x v="367"/>
    <n v="1897"/>
    <n v="9775"/>
    <m/>
    <s v="DFID/HARP"/>
    <d v="2020-09-30T00:00:00"/>
    <n v="0"/>
    <s v="No"/>
    <n v="0"/>
    <n v="0"/>
    <n v="0"/>
    <n v="48"/>
    <n v="0"/>
    <n v="0"/>
    <n v="48"/>
    <m/>
    <n v="45"/>
    <n v="37"/>
    <n v="89"/>
    <n v="48"/>
    <n v="0"/>
    <s v="for this quarter"/>
    <n v="209"/>
    <n v="38"/>
    <n v="162"/>
    <m/>
    <n v="240"/>
    <x v="0"/>
    <x v="0"/>
    <n v="0"/>
    <n v="0"/>
    <m/>
    <n v="1"/>
    <s v="Household"/>
    <n v="0"/>
    <n v="0"/>
    <n v="8"/>
    <n v="1887"/>
    <n v="1887"/>
    <x v="1"/>
    <m/>
    <m/>
    <m/>
    <m/>
    <n v="0.82222222222222219"/>
    <n v="0.5393258426966292"/>
    <x v="0"/>
    <n v="1"/>
    <n v="1"/>
    <n v="1"/>
    <n v="9775"/>
    <n v="0"/>
    <n v="0"/>
    <n v="1"/>
    <n v="9775"/>
    <n v="19.55"/>
    <n v="0"/>
    <n v="0"/>
    <n v="0.44999999999999929"/>
    <n v="20"/>
    <n v="247"/>
    <n v="0.42762148337595907"/>
    <n v="4180"/>
    <n v="0.49514066496163683"/>
    <n v="242"/>
    <n v="489"/>
    <n v="0.15384615384615385"/>
    <n v="3240"/>
    <n v="4000"/>
    <n v="0"/>
    <n v="0"/>
    <n v="0"/>
    <n v="0"/>
    <n v="0"/>
    <n v="1"/>
    <n v="0.40920716112531969"/>
    <n v="0.99472851871375856"/>
    <n v="0.99472851871375856"/>
    <n v="9435"/>
    <n v="9435"/>
    <n v="9435"/>
    <n v="1897"/>
    <s v="Yes"/>
    <n v="0"/>
    <x v="1"/>
    <x v="0"/>
    <x v="12"/>
    <x v="5"/>
    <n v="20.1585"/>
    <n v="92.839416999999997"/>
    <s v="MMR012CMP046"/>
    <x v="0"/>
    <m/>
  </r>
  <r>
    <x v="1"/>
    <x v="0"/>
    <x v="1"/>
    <x v="18"/>
    <x v="368"/>
    <n v="155"/>
    <n v="745"/>
    <m/>
    <s v="DFID/HARP"/>
    <d v="2020-09-30T00:00:00"/>
    <n v="0"/>
    <s v="No"/>
    <n v="0"/>
    <n v="0"/>
    <n v="0"/>
    <n v="10"/>
    <n v="0"/>
    <n v="0"/>
    <n v="10"/>
    <m/>
    <n v="9"/>
    <n v="6"/>
    <n v="23"/>
    <n v="8"/>
    <n v="0"/>
    <s v="for this quarter"/>
    <n v="0"/>
    <n v="0"/>
    <m/>
    <m/>
    <n v="0"/>
    <x v="4"/>
    <x v="4"/>
    <n v="0"/>
    <n v="0"/>
    <m/>
    <n v="1"/>
    <s v="Household"/>
    <n v="0"/>
    <n v="0"/>
    <n v="1"/>
    <n v="0"/>
    <n v="0"/>
    <x v="1"/>
    <m/>
    <m/>
    <m/>
    <m/>
    <n v="0.66666666666666663"/>
    <n v="0.34782608695652173"/>
    <x v="0"/>
    <n v="1"/>
    <n v="1"/>
    <n v="1"/>
    <n v="745"/>
    <n v="0"/>
    <n v="0"/>
    <n v="1"/>
    <n v="745"/>
    <n v="1.49"/>
    <n v="0"/>
    <n v="0"/>
    <n v="0"/>
    <n v="1"/>
    <n v="0"/>
    <n v="0"/>
    <n v="0"/>
    <n v="0.99865771812080528"/>
    <n v="124"/>
    <n v="124"/>
    <n v="0"/>
    <s v="N/A"/>
    <n v="500"/>
    <n v="0"/>
    <n v="1"/>
    <n v="0"/>
    <n v="0"/>
    <n v="0"/>
    <n v="1"/>
    <n v="0.67114093959731547"/>
    <n v="0"/>
    <n v="0"/>
    <n v="0"/>
    <n v="0"/>
    <n v="0"/>
    <n v="155"/>
    <n v="0"/>
    <n v="0"/>
    <x v="3"/>
    <x v="2"/>
    <x v="7"/>
    <x v="3"/>
    <n v="20.162599563598601"/>
    <n v="92.834457397460895"/>
    <s v="196210"/>
    <x v="0"/>
    <m/>
  </r>
  <r>
    <x v="1"/>
    <x v="13"/>
    <x v="1"/>
    <x v="18"/>
    <x v="369"/>
    <n v="155"/>
    <n v="581"/>
    <n v="139"/>
    <s v="WFA"/>
    <d v="2018-12-30T00:00:00"/>
    <n v="0"/>
    <s v="No"/>
    <n v="0"/>
    <n v="0"/>
    <n v="0"/>
    <m/>
    <m/>
    <m/>
    <m/>
    <m/>
    <m/>
    <m/>
    <m/>
    <m/>
    <n v="7"/>
    <m/>
    <n v="8"/>
    <n v="9"/>
    <m/>
    <m/>
    <n v="12"/>
    <x v="2"/>
    <x v="3"/>
    <m/>
    <m/>
    <m/>
    <n v="15"/>
    <s v="Household"/>
    <m/>
    <m/>
    <m/>
    <m/>
    <m/>
    <x v="0"/>
    <m/>
    <m/>
    <m/>
    <m/>
    <s v="no test"/>
    <s v="no test"/>
    <x v="1"/>
    <n v="0"/>
    <n v="0"/>
    <n v="0"/>
    <n v="0"/>
    <n v="0"/>
    <n v="0"/>
    <n v="0"/>
    <n v="0"/>
    <n v="0"/>
    <n v="1"/>
    <n v="581"/>
    <n v="1"/>
    <n v="1"/>
    <n v="17"/>
    <n v="8.2616179001721177E-2"/>
    <n v="48.000000000000007"/>
    <n v="0.82616179001721179"/>
    <n v="80"/>
    <n v="97"/>
    <n v="0.52941176470588236"/>
    <s v="N/A"/>
    <n v="0"/>
    <n v="0"/>
    <n v="0"/>
    <n v="0"/>
    <n v="0"/>
    <n v="0"/>
    <n v="1"/>
    <n v="0"/>
    <n v="0"/>
    <n v="0"/>
    <n v="0"/>
    <n v="0"/>
    <n v="0"/>
    <n v="2325"/>
    <n v="0"/>
    <n v="0"/>
    <x v="2"/>
    <x v="2"/>
    <x v="6"/>
    <x v="5"/>
    <n v="0"/>
    <n v="0"/>
    <n v="0"/>
    <x v="0"/>
    <m/>
  </r>
  <r>
    <x v="1"/>
    <x v="2"/>
    <x v="1"/>
    <x v="18"/>
    <x v="370"/>
    <n v="251"/>
    <n v="1820"/>
    <m/>
    <m/>
    <m/>
    <m/>
    <s v="No"/>
    <n v="0"/>
    <n v="0"/>
    <n v="0"/>
    <n v="33"/>
    <n v="0"/>
    <n v="0"/>
    <n v="0"/>
    <m/>
    <m/>
    <m/>
    <m/>
    <m/>
    <m/>
    <m/>
    <n v="0"/>
    <n v="0"/>
    <m/>
    <m/>
    <n v="0"/>
    <x v="1"/>
    <x v="1"/>
    <m/>
    <m/>
    <m/>
    <n v="0"/>
    <s v="Household"/>
    <n v="0"/>
    <n v="0"/>
    <n v="1"/>
    <m/>
    <m/>
    <x v="0"/>
    <m/>
    <m/>
    <m/>
    <m/>
    <s v="no test"/>
    <s v="no test"/>
    <x v="1"/>
    <n v="1"/>
    <n v="1"/>
    <n v="1"/>
    <n v="1820"/>
    <n v="0"/>
    <n v="0"/>
    <n v="1"/>
    <n v="1820"/>
    <n v="3.64"/>
    <n v="0"/>
    <n v="0"/>
    <n v="0.35999999999999988"/>
    <n v="4"/>
    <n v="0"/>
    <n v="0"/>
    <n v="0"/>
    <n v="0.99890109890109902"/>
    <n v="303"/>
    <n v="303"/>
    <n v="0"/>
    <s v="N/A"/>
    <n v="500"/>
    <n v="0"/>
    <n v="0"/>
    <n v="0"/>
    <n v="0"/>
    <n v="0"/>
    <n v="1"/>
    <n v="0.27472527472527475"/>
    <n v="0"/>
    <n v="0"/>
    <n v="0"/>
    <n v="0"/>
    <n v="0"/>
    <n v="0"/>
    <n v="0"/>
    <n v="0"/>
    <x v="3"/>
    <x v="2"/>
    <x v="7"/>
    <x v="5"/>
    <n v="20.1573600769043"/>
    <n v="92.838653564453097"/>
    <n v="196211"/>
    <x v="1"/>
    <m/>
  </r>
  <r>
    <x v="1"/>
    <x v="0"/>
    <x v="1"/>
    <x v="18"/>
    <x v="371"/>
    <n v="423"/>
    <n v="2427"/>
    <m/>
    <s v="DFID/HARP"/>
    <d v="2020-09-30T00:00:00"/>
    <n v="0"/>
    <s v="No"/>
    <n v="0"/>
    <n v="0"/>
    <n v="0"/>
    <n v="16"/>
    <n v="0"/>
    <n v="0"/>
    <n v="18"/>
    <m/>
    <n v="13"/>
    <n v="11"/>
    <n v="33"/>
    <n v="12"/>
    <n v="0"/>
    <s v="for this quarter"/>
    <n v="0"/>
    <n v="0"/>
    <m/>
    <m/>
    <n v="0"/>
    <x v="4"/>
    <x v="4"/>
    <n v="0"/>
    <n v="0"/>
    <m/>
    <n v="1"/>
    <s v="Household"/>
    <n v="0"/>
    <n v="0"/>
    <n v="2"/>
    <n v="413"/>
    <n v="413"/>
    <x v="1"/>
    <m/>
    <m/>
    <m/>
    <m/>
    <n v="0.84615384615384615"/>
    <n v="0.36363636363636365"/>
    <x v="0"/>
    <n v="1"/>
    <n v="1"/>
    <n v="1"/>
    <n v="2427"/>
    <n v="0"/>
    <n v="0"/>
    <n v="1"/>
    <n v="2427"/>
    <n v="4.8540000000000001"/>
    <n v="0"/>
    <n v="0"/>
    <n v="0.14599999999999991"/>
    <n v="5"/>
    <n v="0"/>
    <n v="0"/>
    <n v="0"/>
    <n v="1"/>
    <n v="405"/>
    <n v="405"/>
    <n v="0"/>
    <s v="N/A"/>
    <n v="1000"/>
    <n v="0"/>
    <n v="0"/>
    <n v="0"/>
    <n v="0"/>
    <n v="0"/>
    <n v="1"/>
    <n v="0.41203131437989288"/>
    <n v="0.97635933806146569"/>
    <n v="0.97635933806146569"/>
    <n v="2065"/>
    <n v="2065"/>
    <n v="2065"/>
    <n v="423"/>
    <n v="0"/>
    <n v="0"/>
    <x v="3"/>
    <x v="2"/>
    <x v="7"/>
    <x v="5"/>
    <n v="20.148910522460898"/>
    <n v="92.846160888671903"/>
    <s v="196209"/>
    <x v="0"/>
    <m/>
  </r>
  <r>
    <x v="1"/>
    <x v="7"/>
    <x v="1"/>
    <x v="18"/>
    <x v="372"/>
    <n v="153"/>
    <n v="680"/>
    <m/>
    <s v="MHF"/>
    <d v="2018-09-13T00:00:00"/>
    <n v="0"/>
    <s v="No"/>
    <n v="0"/>
    <n v="0"/>
    <n v="5"/>
    <n v="50"/>
    <n v="0"/>
    <n v="0"/>
    <n v="0"/>
    <m/>
    <n v="0"/>
    <n v="0"/>
    <n v="0"/>
    <n v="0"/>
    <n v="0"/>
    <m/>
    <n v="0"/>
    <n v="0"/>
    <n v="0"/>
    <m/>
    <n v="0"/>
    <x v="1"/>
    <x v="1"/>
    <n v="0"/>
    <n v="0"/>
    <m/>
    <n v="0"/>
    <s v="Household"/>
    <n v="0"/>
    <n v="0"/>
    <n v="1"/>
    <n v="0"/>
    <n v="0"/>
    <x v="0"/>
    <m/>
    <m/>
    <m/>
    <m/>
    <s v="no test"/>
    <s v="no test"/>
    <x v="1"/>
    <n v="1"/>
    <n v="1"/>
    <n v="1"/>
    <n v="680"/>
    <n v="0"/>
    <n v="0"/>
    <n v="1"/>
    <n v="680"/>
    <n v="1.36"/>
    <n v="0"/>
    <n v="0"/>
    <n v="0"/>
    <n v="1"/>
    <n v="0"/>
    <n v="0"/>
    <n v="0"/>
    <n v="0.99705882352941178"/>
    <n v="113"/>
    <n v="113"/>
    <n v="0"/>
    <s v="N/A"/>
    <n v="500"/>
    <n v="0"/>
    <n v="1"/>
    <n v="0"/>
    <n v="0"/>
    <n v="0"/>
    <n v="1"/>
    <n v="0.73529411764705888"/>
    <n v="0"/>
    <n v="0"/>
    <n v="0"/>
    <n v="0"/>
    <n v="0"/>
    <n v="0"/>
    <n v="0"/>
    <n v="0"/>
    <x v="3"/>
    <x v="2"/>
    <x v="7"/>
    <x v="3"/>
    <n v="20.229290008544901"/>
    <n v="92.864669799804702"/>
    <n v="196167"/>
    <x v="0"/>
    <m/>
  </r>
  <r>
    <x v="1"/>
    <x v="20"/>
    <x v="1"/>
    <x v="18"/>
    <x v="373"/>
    <n v="1013"/>
    <n v="5950"/>
    <n v="203"/>
    <s v="DFID/HARP,LDS"/>
    <s v="9/30/2020,9/30/18"/>
    <n v="0"/>
    <s v="No"/>
    <n v="0"/>
    <n v="0"/>
    <n v="0"/>
    <n v="71"/>
    <m/>
    <n v="0"/>
    <n v="93"/>
    <m/>
    <n v="61"/>
    <n v="21"/>
    <n v="40"/>
    <n v="11"/>
    <n v="4"/>
    <s v="for this quarter"/>
    <n v="196"/>
    <n v="158"/>
    <n v="182"/>
    <m/>
    <n v="372"/>
    <x v="0"/>
    <x v="2"/>
    <n v="0"/>
    <n v="17"/>
    <m/>
    <n v="1"/>
    <s v="Household"/>
    <n v="1013"/>
    <n v="0"/>
    <n v="10"/>
    <n v="1013"/>
    <n v="1013"/>
    <x v="1"/>
    <m/>
    <m/>
    <m/>
    <m/>
    <n v="0.34426229508196721"/>
    <n v="0.27500000000000002"/>
    <x v="0"/>
    <n v="1"/>
    <n v="1"/>
    <n v="1"/>
    <n v="5950"/>
    <n v="0"/>
    <n v="0"/>
    <n v="1"/>
    <n v="5950"/>
    <n v="11.9"/>
    <n v="0"/>
    <n v="0"/>
    <n v="9.9999999999999645E-2"/>
    <n v="12"/>
    <n v="354"/>
    <n v="0.6588235294117647"/>
    <n v="3920"/>
    <n v="0"/>
    <n v="0"/>
    <n v="298"/>
    <n v="0.4463276836158192"/>
    <n v="3640"/>
    <n v="5000"/>
    <n v="1"/>
    <n v="1"/>
    <n v="1"/>
    <n v="5950"/>
    <n v="1"/>
    <n v="0"/>
    <n v="0.84033613445378152"/>
    <n v="1"/>
    <n v="1"/>
    <n v="5065"/>
    <n v="5065"/>
    <n v="5065"/>
    <n v="1013"/>
    <s v="Yes"/>
    <n v="0"/>
    <x v="1"/>
    <x v="0"/>
    <x v="9"/>
    <x v="5"/>
    <n v="20.179939999999998"/>
    <n v="92.831879000000001"/>
    <s v="MMR012CMP048"/>
    <x v="0"/>
    <m/>
  </r>
  <r>
    <x v="1"/>
    <x v="17"/>
    <x v="1"/>
    <x v="18"/>
    <x v="374"/>
    <n v="299"/>
    <n v="1670"/>
    <m/>
    <s v="DFID/HARP"/>
    <d v="2020-09-30T00:00:00"/>
    <n v="0"/>
    <s v="No"/>
    <n v="0"/>
    <n v="0"/>
    <n v="0"/>
    <n v="0"/>
    <m/>
    <n v="0"/>
    <n v="79"/>
    <m/>
    <n v="0"/>
    <n v="0"/>
    <n v="37"/>
    <n v="15"/>
    <n v="7"/>
    <s v="for this quarter"/>
    <n v="192"/>
    <n v="0"/>
    <n v="0"/>
    <m/>
    <n v="192"/>
    <x v="0"/>
    <x v="2"/>
    <n v="0"/>
    <n v="11"/>
    <m/>
    <n v="1"/>
    <s v="Household"/>
    <n v="299"/>
    <n v="0"/>
    <n v="15"/>
    <n v="299"/>
    <n v="299"/>
    <x v="1"/>
    <m/>
    <m/>
    <m/>
    <m/>
    <s v="no test"/>
    <n v="0.40540540540540543"/>
    <x v="0"/>
    <n v="0"/>
    <n v="0"/>
    <n v="0"/>
    <n v="0"/>
    <n v="0"/>
    <n v="0"/>
    <n v="0"/>
    <n v="0"/>
    <n v="0"/>
    <n v="1"/>
    <n v="1670"/>
    <n v="3"/>
    <n v="3"/>
    <n v="192"/>
    <n v="1"/>
    <n v="1670"/>
    <n v="0"/>
    <n v="0"/>
    <n v="84"/>
    <n v="0"/>
    <n v="0"/>
    <n v="1670"/>
    <n v="1"/>
    <n v="1"/>
    <n v="1"/>
    <n v="1670"/>
    <n v="1"/>
    <n v="0"/>
    <n v="1"/>
    <n v="1"/>
    <n v="1"/>
    <n v="1495"/>
    <n v="1495"/>
    <n v="1495"/>
    <n v="299"/>
    <s v="Yes"/>
    <n v="0"/>
    <x v="1"/>
    <x v="0"/>
    <x v="1"/>
    <x v="5"/>
    <n v="20.181742"/>
    <n v="92.842230000000001"/>
    <s v="MMR012CMP091"/>
    <x v="0"/>
    <m/>
  </r>
  <r>
    <x v="1"/>
    <x v="17"/>
    <x v="1"/>
    <x v="18"/>
    <x v="375"/>
    <n v="17"/>
    <n v="74"/>
    <m/>
    <m/>
    <m/>
    <m/>
    <m/>
    <m/>
    <m/>
    <n v="0"/>
    <n v="2"/>
    <m/>
    <m/>
    <m/>
    <m/>
    <n v="49"/>
    <n v="39"/>
    <n v="88"/>
    <n v="25"/>
    <m/>
    <m/>
    <m/>
    <m/>
    <m/>
    <m/>
    <m/>
    <x v="1"/>
    <x v="1"/>
    <m/>
    <m/>
    <m/>
    <m/>
    <m/>
    <m/>
    <m/>
    <m/>
    <m/>
    <m/>
    <x v="0"/>
    <m/>
    <m/>
    <m/>
    <m/>
    <n v="0.79591836734693877"/>
    <n v="0.28409090909090912"/>
    <x v="0"/>
    <n v="1"/>
    <n v="1"/>
    <n v="1"/>
    <n v="74"/>
    <n v="0"/>
    <n v="0"/>
    <n v="1"/>
    <n v="74"/>
    <n v="0.14799999999999999"/>
    <n v="0"/>
    <n v="0"/>
    <n v="0.85199999999999998"/>
    <n v="1"/>
    <n v="0"/>
    <n v="0"/>
    <n v="0"/>
    <n v="0.97297297297297292"/>
    <n v="12"/>
    <n v="12"/>
    <n v="0"/>
    <s v="N/A"/>
    <n v="0"/>
    <n v="0"/>
    <n v="0"/>
    <n v="0"/>
    <n v="0"/>
    <n v="0"/>
    <n v="1"/>
    <n v="0"/>
    <n v="0"/>
    <n v="0"/>
    <n v="0"/>
    <n v="0"/>
    <n v="0"/>
    <n v="0"/>
    <n v="0"/>
    <n v="0"/>
    <x v="2"/>
    <x v="2"/>
    <x v="6"/>
    <x v="5"/>
    <n v="20.1934604644775"/>
    <n v="92.867782592773395"/>
    <n v="196147"/>
    <x v="0"/>
    <m/>
  </r>
  <r>
    <x v="1"/>
    <x v="13"/>
    <x v="1"/>
    <x v="18"/>
    <x v="376"/>
    <n v="250"/>
    <n v="1183"/>
    <n v="180"/>
    <s v="LDS"/>
    <d v="2018-09-30T00:00:00"/>
    <n v="0"/>
    <s v="No"/>
    <n v="0"/>
    <n v="0"/>
    <n v="0"/>
    <m/>
    <m/>
    <m/>
    <m/>
    <m/>
    <m/>
    <m/>
    <m/>
    <m/>
    <m/>
    <m/>
    <n v="0"/>
    <n v="0"/>
    <n v="0"/>
    <m/>
    <n v="0"/>
    <x v="1"/>
    <x v="1"/>
    <n v="0"/>
    <n v="0"/>
    <m/>
    <n v="0"/>
    <s v="Household"/>
    <n v="0"/>
    <n v="0"/>
    <n v="1"/>
    <n v="0"/>
    <n v="0"/>
    <x v="0"/>
    <m/>
    <m/>
    <m/>
    <m/>
    <s v="no test"/>
    <s v="no test"/>
    <x v="1"/>
    <n v="0"/>
    <n v="0"/>
    <n v="0"/>
    <n v="0"/>
    <n v="0"/>
    <n v="0"/>
    <n v="0"/>
    <n v="0"/>
    <n v="0"/>
    <n v="1"/>
    <n v="1183"/>
    <n v="2"/>
    <n v="2"/>
    <n v="0"/>
    <n v="0"/>
    <n v="0"/>
    <n v="0.99915469146238378"/>
    <n v="197"/>
    <n v="197"/>
    <n v="0"/>
    <s v="N/A"/>
    <n v="500"/>
    <n v="0"/>
    <n v="0"/>
    <n v="0"/>
    <n v="0"/>
    <n v="0"/>
    <n v="1"/>
    <n v="0.42265426880811496"/>
    <n v="0"/>
    <n v="0"/>
    <n v="0"/>
    <n v="0"/>
    <n v="0"/>
    <n v="0"/>
    <n v="0"/>
    <n v="0"/>
    <x v="3"/>
    <x v="2"/>
    <x v="7"/>
    <x v="8"/>
    <n v="20.227340698242202"/>
    <n v="92.893341064453097"/>
    <n v="196181"/>
    <x v="0"/>
    <m/>
  </r>
  <r>
    <x v="1"/>
    <x v="7"/>
    <x v="1"/>
    <x v="18"/>
    <x v="377"/>
    <n v="294"/>
    <n v="1214"/>
    <m/>
    <s v="MHF"/>
    <d v="2018-09-13T00:00:00"/>
    <n v="0"/>
    <s v="No"/>
    <n v="0"/>
    <n v="0"/>
    <n v="6"/>
    <n v="1"/>
    <n v="0"/>
    <n v="1"/>
    <n v="0"/>
    <m/>
    <n v="0"/>
    <n v="0"/>
    <n v="0"/>
    <n v="0"/>
    <n v="0"/>
    <m/>
    <n v="0"/>
    <n v="0"/>
    <n v="0"/>
    <m/>
    <n v="0"/>
    <x v="1"/>
    <x v="1"/>
    <n v="0"/>
    <n v="0"/>
    <m/>
    <n v="0"/>
    <s v="Household"/>
    <n v="0"/>
    <n v="0"/>
    <n v="1"/>
    <n v="0"/>
    <n v="0"/>
    <x v="0"/>
    <m/>
    <m/>
    <m/>
    <m/>
    <s v="no test"/>
    <s v="no test"/>
    <x v="1"/>
    <n v="1"/>
    <n v="1"/>
    <n v="1"/>
    <n v="1214"/>
    <n v="0.20593080724876442"/>
    <n v="250"/>
    <n v="1"/>
    <n v="1214"/>
    <n v="2.4279999999999999"/>
    <n v="0"/>
    <n v="0"/>
    <n v="0"/>
    <n v="2"/>
    <n v="0"/>
    <n v="0"/>
    <n v="0"/>
    <n v="0.9983525535420098"/>
    <n v="202"/>
    <n v="202"/>
    <n v="0"/>
    <s v="N/A"/>
    <n v="500"/>
    <n v="0"/>
    <n v="0"/>
    <n v="0"/>
    <n v="0"/>
    <n v="0"/>
    <n v="1"/>
    <n v="0.41186161449752884"/>
    <n v="0"/>
    <n v="0"/>
    <n v="0"/>
    <n v="0"/>
    <n v="0"/>
    <n v="0"/>
    <n v="0"/>
    <n v="0"/>
    <x v="3"/>
    <x v="2"/>
    <x v="7"/>
    <x v="3"/>
    <n v="20.257850646972699"/>
    <n v="92.811126708984403"/>
    <n v="196161"/>
    <x v="0"/>
    <m/>
  </r>
  <r>
    <x v="1"/>
    <x v="7"/>
    <x v="1"/>
    <x v="18"/>
    <x v="378"/>
    <n v="110"/>
    <n v="500"/>
    <m/>
    <s v="MHF"/>
    <d v="2018-09-13T00:00:00"/>
    <n v="0"/>
    <s v="No"/>
    <n v="0"/>
    <n v="0"/>
    <n v="4"/>
    <n v="40"/>
    <n v="0"/>
    <n v="0"/>
    <n v="0"/>
    <m/>
    <n v="0"/>
    <n v="0"/>
    <n v="0"/>
    <n v="0"/>
    <n v="0"/>
    <m/>
    <n v="0"/>
    <n v="0"/>
    <n v="0"/>
    <m/>
    <n v="0"/>
    <x v="1"/>
    <x v="1"/>
    <n v="0"/>
    <n v="0"/>
    <m/>
    <n v="0"/>
    <s v="Household"/>
    <n v="0"/>
    <n v="0"/>
    <n v="1"/>
    <n v="0"/>
    <n v="0"/>
    <x v="0"/>
    <m/>
    <m/>
    <m/>
    <m/>
    <s v="no test"/>
    <s v="no test"/>
    <x v="1"/>
    <n v="1"/>
    <n v="1"/>
    <n v="1"/>
    <n v="500"/>
    <n v="0"/>
    <n v="0"/>
    <n v="1"/>
    <n v="500"/>
    <n v="1"/>
    <n v="0"/>
    <n v="0"/>
    <n v="0"/>
    <n v="1"/>
    <n v="0"/>
    <n v="0"/>
    <n v="0"/>
    <n v="0.99600000000000011"/>
    <n v="83"/>
    <n v="83"/>
    <n v="0"/>
    <s v="N/A"/>
    <n v="500"/>
    <n v="0"/>
    <n v="1"/>
    <n v="0"/>
    <n v="0"/>
    <n v="0"/>
    <n v="1"/>
    <n v="1"/>
    <n v="0"/>
    <n v="0"/>
    <n v="0"/>
    <n v="0"/>
    <n v="0"/>
    <n v="0"/>
    <n v="0"/>
    <n v="0"/>
    <x v="3"/>
    <x v="2"/>
    <x v="7"/>
    <x v="3"/>
    <n v="20.2235107421875"/>
    <n v="92.869842529296903"/>
    <n v="196168"/>
    <x v="0"/>
    <m/>
  </r>
  <r>
    <x v="1"/>
    <x v="7"/>
    <x v="1"/>
    <x v="18"/>
    <x v="379"/>
    <n v="80"/>
    <n v="359"/>
    <m/>
    <s v="MHF"/>
    <d v="2018-09-13T00:00:00"/>
    <n v="0"/>
    <s v="No"/>
    <n v="0"/>
    <n v="0"/>
    <n v="7"/>
    <n v="13"/>
    <n v="0"/>
    <n v="0"/>
    <n v="0"/>
    <m/>
    <n v="0"/>
    <n v="0"/>
    <n v="0"/>
    <n v="0"/>
    <n v="0"/>
    <m/>
    <n v="92"/>
    <n v="0"/>
    <n v="0"/>
    <m/>
    <n v="0"/>
    <x v="1"/>
    <x v="1"/>
    <n v="0"/>
    <n v="0"/>
    <m/>
    <n v="0"/>
    <s v="Household"/>
    <n v="0"/>
    <n v="0"/>
    <n v="1"/>
    <n v="0"/>
    <n v="0"/>
    <x v="0"/>
    <m/>
    <m/>
    <m/>
    <m/>
    <s v="no test"/>
    <s v="no test"/>
    <x v="1"/>
    <n v="1"/>
    <n v="1"/>
    <n v="1"/>
    <n v="359"/>
    <n v="0"/>
    <n v="0"/>
    <n v="1"/>
    <n v="359"/>
    <n v="0.71799999999999997"/>
    <n v="0"/>
    <n v="0"/>
    <n v="0.28200000000000003"/>
    <n v="1"/>
    <n v="92"/>
    <n v="1"/>
    <n v="359"/>
    <n v="0"/>
    <n v="0"/>
    <n v="60"/>
    <n v="0"/>
    <s v="N/A"/>
    <n v="359"/>
    <n v="0"/>
    <n v="1"/>
    <n v="0"/>
    <n v="0"/>
    <n v="0"/>
    <n v="1"/>
    <n v="1"/>
    <n v="0"/>
    <n v="0"/>
    <n v="0"/>
    <n v="0"/>
    <n v="0"/>
    <n v="0"/>
    <n v="0"/>
    <n v="0"/>
    <x v="3"/>
    <x v="2"/>
    <x v="7"/>
    <x v="3"/>
    <n v="20.202400000000001"/>
    <n v="92.812799999999996"/>
    <s v="196159"/>
    <x v="0"/>
    <m/>
  </r>
  <r>
    <x v="1"/>
    <x v="21"/>
    <x v="2"/>
    <x v="25"/>
    <x v="380"/>
    <n v="34"/>
    <n v="182"/>
    <n v="57"/>
    <s v="SCI,ADRA/CANADA,WHH(BMZ, AA)"/>
    <s v="30/11/2019,31/1/18,30/6/18"/>
    <n v="0"/>
    <s v="Yes"/>
    <n v="0.71"/>
    <n v="1"/>
    <n v="2"/>
    <m/>
    <n v="9000"/>
    <m/>
    <n v="2"/>
    <m/>
    <n v="0"/>
    <n v="0"/>
    <n v="0"/>
    <n v="0"/>
    <n v="0"/>
    <m/>
    <n v="8"/>
    <n v="3"/>
    <n v="0"/>
    <m/>
    <n v="8"/>
    <x v="0"/>
    <x v="4"/>
    <n v="0"/>
    <n v="0"/>
    <m/>
    <n v="1"/>
    <s v="Communal"/>
    <m/>
    <n v="4"/>
    <n v="2"/>
    <n v="0"/>
    <n v="0"/>
    <x v="0"/>
    <m/>
    <m/>
    <m/>
    <m/>
    <s v="no test"/>
    <s v="no test"/>
    <x v="1"/>
    <n v="1"/>
    <n v="1"/>
    <n v="1"/>
    <n v="182"/>
    <n v="0"/>
    <n v="0"/>
    <n v="1"/>
    <n v="182"/>
    <n v="0.36399999999999999"/>
    <n v="0"/>
    <n v="0"/>
    <n v="0.63600000000000001"/>
    <n v="1"/>
    <n v="11"/>
    <n v="0.87912087912087911"/>
    <n v="160"/>
    <n v="0"/>
    <n v="0"/>
    <n v="9"/>
    <n v="0.27272727272727271"/>
    <n v="0"/>
    <n v="182"/>
    <n v="0"/>
    <n v="1"/>
    <n v="0"/>
    <n v="0"/>
    <n v="0"/>
    <n v="1"/>
    <n v="1"/>
    <n v="0"/>
    <n v="0"/>
    <n v="0"/>
    <n v="0"/>
    <n v="0"/>
    <n v="34"/>
    <s v="Yes"/>
    <s v="KBC"/>
    <x v="1"/>
    <x v="0"/>
    <x v="0"/>
    <x v="0"/>
    <n v="23.354268999999999"/>
    <n v="98.218626999999998"/>
    <s v="MMR015CMP218"/>
    <x v="0"/>
    <m/>
  </r>
  <r>
    <x v="1"/>
    <x v="21"/>
    <x v="2"/>
    <x v="25"/>
    <x v="381"/>
    <n v="26"/>
    <n v="108"/>
    <n v="43"/>
    <s v="SCI/FFO,WHH(BMZ, AA)"/>
    <s v="30/11/2019,6/30/2018"/>
    <m/>
    <s v="No"/>
    <n v="0"/>
    <n v="0"/>
    <n v="1"/>
    <n v="0"/>
    <m/>
    <m/>
    <n v="0"/>
    <m/>
    <n v="0"/>
    <n v="0"/>
    <n v="0"/>
    <n v="0"/>
    <n v="0"/>
    <m/>
    <n v="37"/>
    <n v="0"/>
    <n v="0"/>
    <m/>
    <n v="0"/>
    <x v="1"/>
    <x v="1"/>
    <m/>
    <m/>
    <m/>
    <m/>
    <m/>
    <n v="0"/>
    <m/>
    <n v="1"/>
    <n v="0"/>
    <n v="0"/>
    <x v="0"/>
    <m/>
    <m/>
    <m/>
    <m/>
    <s v="no test"/>
    <s v="no test"/>
    <x v="1"/>
    <n v="1"/>
    <n v="1"/>
    <n v="1"/>
    <n v="108"/>
    <n v="0"/>
    <n v="0"/>
    <n v="1"/>
    <n v="108"/>
    <n v="0.216"/>
    <n v="0"/>
    <n v="0"/>
    <n v="0.78400000000000003"/>
    <n v="1"/>
    <n v="37"/>
    <n v="1"/>
    <n v="108"/>
    <n v="0"/>
    <n v="0"/>
    <n v="5"/>
    <n v="0"/>
    <n v="0"/>
    <n v="108"/>
    <n v="0"/>
    <n v="1"/>
    <n v="0"/>
    <n v="0"/>
    <n v="0"/>
    <n v="1"/>
    <n v="1"/>
    <n v="0"/>
    <n v="0"/>
    <n v="0"/>
    <n v="0"/>
    <n v="0"/>
    <n v="0"/>
    <n v="0"/>
    <n v="0"/>
    <x v="1"/>
    <x v="0"/>
    <x v="3"/>
    <x v="0"/>
    <n v="23.353999999999999"/>
    <n v="98.221000000000004"/>
    <s v="MMR015CMP226"/>
    <x v="0"/>
    <m/>
  </r>
  <r>
    <x v="1"/>
    <x v="2"/>
    <x v="2"/>
    <x v="26"/>
    <x v="382"/>
    <n v="37"/>
    <n v="120"/>
    <m/>
    <m/>
    <m/>
    <m/>
    <s v="No"/>
    <n v="0"/>
    <n v="0"/>
    <m/>
    <m/>
    <m/>
    <m/>
    <m/>
    <m/>
    <m/>
    <m/>
    <m/>
    <m/>
    <m/>
    <m/>
    <n v="0"/>
    <m/>
    <m/>
    <m/>
    <m/>
    <x v="1"/>
    <x v="1"/>
    <m/>
    <m/>
    <m/>
    <m/>
    <m/>
    <m/>
    <m/>
    <m/>
    <m/>
    <m/>
    <x v="0"/>
    <m/>
    <m/>
    <m/>
    <m/>
    <s v="no test"/>
    <s v="no test"/>
    <x v="1"/>
    <n v="0"/>
    <n v="0"/>
    <n v="0"/>
    <n v="0"/>
    <n v="0"/>
    <n v="0"/>
    <n v="0"/>
    <n v="0"/>
    <n v="0"/>
    <n v="1"/>
    <n v="120"/>
    <n v="1"/>
    <n v="1"/>
    <n v="0"/>
    <n v="0"/>
    <n v="0"/>
    <n v="1"/>
    <n v="6"/>
    <n v="6"/>
    <n v="0"/>
    <n v="0"/>
    <n v="0"/>
    <n v="0"/>
    <n v="0"/>
    <n v="0"/>
    <n v="0"/>
    <n v="0"/>
    <n v="1"/>
    <n v="0"/>
    <n v="0"/>
    <n v="0"/>
    <n v="0"/>
    <n v="0"/>
    <n v="0"/>
    <n v="0"/>
    <n v="0"/>
    <s v="uncovered"/>
    <x v="1"/>
    <x v="0"/>
    <x v="2"/>
    <x v="0"/>
    <n v="22.677008000000001"/>
    <n v="97.314762999999999"/>
    <s v="MMR015CMP244"/>
    <x v="1"/>
    <s v="metta lashio reported no camp in ground"/>
  </r>
  <r>
    <x v="1"/>
    <x v="26"/>
    <x v="2"/>
    <x v="27"/>
    <x v="383"/>
    <n v="86"/>
    <n v="300"/>
    <n v="50"/>
    <s v="Plan/GFFO,ADRA/CANADA  ,WHH(BMZ,AA)"/>
    <s v="31/Nov/2019,30/6/18"/>
    <n v="0"/>
    <s v="Yes"/>
    <n v="0.11"/>
    <n v="0.5"/>
    <n v="0"/>
    <n v="0"/>
    <n v="8640"/>
    <n v="0"/>
    <n v="8"/>
    <m/>
    <n v="0"/>
    <n v="0"/>
    <n v="0"/>
    <n v="0"/>
    <n v="0"/>
    <m/>
    <n v="86"/>
    <n v="0"/>
    <n v="0"/>
    <m/>
    <n v="89"/>
    <x v="1"/>
    <x v="1"/>
    <n v="0"/>
    <n v="0"/>
    <m/>
    <n v="0"/>
    <s v="Household"/>
    <n v="0"/>
    <n v="0"/>
    <n v="0"/>
    <n v="0"/>
    <n v="0"/>
    <x v="0"/>
    <m/>
    <m/>
    <m/>
    <m/>
    <s v="no test"/>
    <s v="no test"/>
    <x v="1"/>
    <n v="1"/>
    <n v="1"/>
    <n v="1"/>
    <n v="300"/>
    <n v="0"/>
    <n v="0"/>
    <n v="1"/>
    <n v="300"/>
    <n v="0.6"/>
    <n v="0"/>
    <n v="0"/>
    <n v="0.4"/>
    <n v="1"/>
    <n v="86"/>
    <n v="1"/>
    <n v="300"/>
    <n v="0"/>
    <n v="0"/>
    <n v="50"/>
    <n v="0"/>
    <n v="0"/>
    <n v="0"/>
    <n v="0"/>
    <n v="0"/>
    <n v="0"/>
    <n v="0"/>
    <n v="0"/>
    <n v="1"/>
    <n v="0"/>
    <n v="0"/>
    <n v="0"/>
    <n v="0"/>
    <n v="0"/>
    <n v="0"/>
    <n v="0"/>
    <s v="Yes"/>
    <s v="KBC"/>
    <x v="1"/>
    <x v="1"/>
    <x v="3"/>
    <x v="0"/>
    <n v="23.4008"/>
    <n v="97.848529999999997"/>
    <s v="MMR015CMP015"/>
    <x v="0"/>
    <m/>
  </r>
  <r>
    <x v="1"/>
    <x v="21"/>
    <x v="2"/>
    <x v="27"/>
    <x v="384"/>
    <n v="57"/>
    <n v="274"/>
    <n v="126"/>
    <s v="ADRA/CANADA,WHH(BMZ, AA)"/>
    <s v="31/1/18,30/6/18"/>
    <n v="0"/>
    <s v="Yes"/>
    <n v="0.8"/>
    <n v="0.6"/>
    <m/>
    <n v="2"/>
    <n v="8100"/>
    <m/>
    <n v="3"/>
    <m/>
    <n v="0"/>
    <n v="0"/>
    <n v="0"/>
    <n v="0"/>
    <n v="0"/>
    <s v="Water Tank ယိုစိမ့္ေပါက္ေန သည္။"/>
    <n v="10"/>
    <n v="0"/>
    <n v="0"/>
    <m/>
    <n v="10"/>
    <x v="0"/>
    <x v="0"/>
    <n v="0"/>
    <n v="0"/>
    <m/>
    <n v="0.8"/>
    <s v="Communal"/>
    <m/>
    <n v="2"/>
    <n v="1"/>
    <n v="0"/>
    <n v="0"/>
    <x v="0"/>
    <m/>
    <m/>
    <m/>
    <m/>
    <s v="no test"/>
    <s v="no test"/>
    <x v="1"/>
    <n v="1"/>
    <n v="1"/>
    <n v="1"/>
    <n v="274"/>
    <n v="0"/>
    <n v="0"/>
    <n v="1"/>
    <n v="274"/>
    <n v="0.54800000000000004"/>
    <n v="0"/>
    <n v="0"/>
    <n v="0.45199999999999996"/>
    <n v="1"/>
    <n v="10"/>
    <n v="0.72992700729927007"/>
    <n v="200"/>
    <n v="0.29197080291970806"/>
    <n v="4"/>
    <n v="14"/>
    <n v="0"/>
    <n v="0"/>
    <n v="274"/>
    <n v="0"/>
    <n v="1"/>
    <n v="0"/>
    <n v="0"/>
    <n v="0"/>
    <n v="1"/>
    <n v="1"/>
    <n v="0"/>
    <n v="0"/>
    <n v="0"/>
    <n v="0"/>
    <n v="0"/>
    <n v="45.6"/>
    <s v="Yes"/>
    <s v="KBC"/>
    <x v="1"/>
    <x v="0"/>
    <x v="0"/>
    <x v="0"/>
    <n v="23.450914000000001"/>
    <n v="97.926813999999993"/>
    <s v="MMR015CMP016"/>
    <x v="0"/>
    <m/>
  </r>
  <r>
    <x v="1"/>
    <x v="24"/>
    <x v="2"/>
    <x v="27"/>
    <x v="385"/>
    <n v="35"/>
    <n v="142"/>
    <n v="57"/>
    <s v="Plan/GFFO,ADRA/CANADA  ,WHH(BMZ,AA)"/>
    <s v="31/Nov/2019"/>
    <n v="0"/>
    <s v="Yes"/>
    <n v="0.66"/>
    <n v="1"/>
    <n v="0"/>
    <n v="1"/>
    <n v="4725"/>
    <n v="0"/>
    <n v="7"/>
    <m/>
    <n v="0"/>
    <n v="0"/>
    <n v="0"/>
    <n v="0"/>
    <n v="0"/>
    <m/>
    <n v="12"/>
    <n v="6"/>
    <n v="0"/>
    <m/>
    <n v="12"/>
    <x v="0"/>
    <x v="0"/>
    <n v="0"/>
    <n v="0"/>
    <m/>
    <n v="0"/>
    <s v="Communal"/>
    <n v="0"/>
    <n v="2"/>
    <n v="1"/>
    <m/>
    <n v="0"/>
    <x v="0"/>
    <m/>
    <m/>
    <m/>
    <m/>
    <s v="no test"/>
    <s v="no test"/>
    <x v="1"/>
    <n v="1"/>
    <n v="1"/>
    <n v="1"/>
    <n v="142"/>
    <n v="0"/>
    <n v="0"/>
    <n v="1"/>
    <n v="142"/>
    <n v="0.28399999999999997"/>
    <n v="0"/>
    <n v="0"/>
    <n v="0.71599999999999997"/>
    <n v="1"/>
    <n v="18"/>
    <n v="1"/>
    <n v="142"/>
    <n v="0"/>
    <n v="0"/>
    <n v="7"/>
    <n v="0.33333333333333331"/>
    <n v="0"/>
    <n v="142"/>
    <n v="0"/>
    <n v="1"/>
    <n v="0"/>
    <n v="0"/>
    <n v="0"/>
    <n v="1"/>
    <n v="1"/>
    <n v="0"/>
    <n v="0"/>
    <n v="0"/>
    <n v="0"/>
    <n v="0"/>
    <n v="0"/>
    <s v="Yes"/>
    <s v="KBC"/>
    <x v="1"/>
    <x v="0"/>
    <x v="0"/>
    <x v="0"/>
    <n v="23.460349999999998"/>
    <n v="97.947360000000003"/>
    <s v="MMR015CMP245"/>
    <x v="0"/>
    <m/>
  </r>
  <r>
    <x v="1"/>
    <x v="23"/>
    <x v="2"/>
    <x v="27"/>
    <x v="386"/>
    <n v="28"/>
    <n v="134"/>
    <n v="73"/>
    <s v="HARP,WHH(BMZ, AA)"/>
    <s v="30/12/2018,30/6/18"/>
    <n v="0"/>
    <s v="Yes"/>
    <n v="0.65"/>
    <n v="1"/>
    <n v="1"/>
    <m/>
    <n v="6000"/>
    <m/>
    <n v="1"/>
    <m/>
    <n v="1"/>
    <m/>
    <n v="12"/>
    <n v="6"/>
    <n v="0"/>
    <m/>
    <n v="8"/>
    <n v="0"/>
    <n v="8"/>
    <s v="two times"/>
    <n v="8"/>
    <x v="0"/>
    <x v="0"/>
    <n v="2"/>
    <n v="0"/>
    <m/>
    <n v="1"/>
    <s v="Communal"/>
    <n v="2"/>
    <n v="1"/>
    <n v="2"/>
    <n v="28"/>
    <n v="0"/>
    <x v="2"/>
    <m/>
    <m/>
    <m/>
    <m/>
    <n v="0"/>
    <n v="0.5"/>
    <x v="0"/>
    <n v="1"/>
    <n v="1"/>
    <n v="1"/>
    <n v="134"/>
    <n v="0"/>
    <n v="0"/>
    <n v="1"/>
    <n v="134"/>
    <n v="0.26800000000000002"/>
    <n v="0"/>
    <n v="0"/>
    <n v="0.73199999999999998"/>
    <n v="1"/>
    <n v="8"/>
    <n v="1"/>
    <n v="134"/>
    <n v="0"/>
    <n v="0"/>
    <n v="7"/>
    <n v="0"/>
    <n v="134"/>
    <n v="134"/>
    <n v="0"/>
    <n v="1"/>
    <n v="1"/>
    <n v="134"/>
    <n v="1"/>
    <n v="0"/>
    <n v="1"/>
    <n v="1"/>
    <n v="0"/>
    <n v="140"/>
    <n v="0"/>
    <n v="140"/>
    <n v="28"/>
    <s v="Yes"/>
    <s v="KMSS-LSO"/>
    <x v="1"/>
    <x v="0"/>
    <x v="0"/>
    <x v="0"/>
    <n v="23.460349999999998"/>
    <n v="97.947360000000003"/>
    <s v="MMR015CMP017"/>
    <x v="0"/>
    <m/>
  </r>
  <r>
    <x v="1"/>
    <x v="25"/>
    <x v="2"/>
    <x v="27"/>
    <x v="417"/>
    <n v="36"/>
    <n v="145"/>
    <m/>
    <s v="ADRA/CANADA"/>
    <d v="2018-01-31T00:00:00"/>
    <n v="0"/>
    <s v="Yes"/>
    <n v="1"/>
    <n v="1"/>
    <n v="0"/>
    <n v="1"/>
    <m/>
    <m/>
    <n v="0"/>
    <m/>
    <n v="0"/>
    <n v="0"/>
    <n v="0"/>
    <n v="0"/>
    <n v="0"/>
    <m/>
    <n v="12"/>
    <n v="0"/>
    <n v="0"/>
    <m/>
    <n v="0"/>
    <x v="0"/>
    <x v="0"/>
    <m/>
    <m/>
    <m/>
    <n v="1"/>
    <m/>
    <n v="0"/>
    <n v="2"/>
    <n v="1"/>
    <n v="0"/>
    <n v="0"/>
    <x v="0"/>
    <m/>
    <m/>
    <m/>
    <m/>
    <s v="no test"/>
    <s v="no test"/>
    <x v="1"/>
    <n v="1"/>
    <n v="1"/>
    <n v="1"/>
    <n v="145"/>
    <n v="0"/>
    <n v="0"/>
    <n v="1"/>
    <n v="145"/>
    <n v="0.28999999999999998"/>
    <n v="0"/>
    <n v="0"/>
    <n v="0.71"/>
    <n v="1"/>
    <n v="12"/>
    <n v="1"/>
    <n v="145"/>
    <n v="0"/>
    <n v="0"/>
    <n v="7"/>
    <n v="0"/>
    <n v="0"/>
    <n v="145"/>
    <n v="0"/>
    <n v="1"/>
    <n v="0"/>
    <n v="0"/>
    <n v="0"/>
    <n v="1"/>
    <n v="1"/>
    <n v="0"/>
    <n v="0"/>
    <n v="0"/>
    <n v="0"/>
    <n v="0"/>
    <n v="36"/>
    <n v="0"/>
    <n v="0"/>
    <x v="0"/>
    <x v="0"/>
    <x v="0"/>
    <x v="0"/>
    <n v="0"/>
    <n v="0"/>
    <n v="0"/>
    <x v="0"/>
    <m/>
  </r>
  <r>
    <x v="1"/>
    <x v="28"/>
    <x v="2"/>
    <x v="27"/>
    <x v="387"/>
    <n v="139"/>
    <n v="704"/>
    <m/>
    <s v="SCI/FFO,WHH(BMZ, AA)"/>
    <s v="30/11/2019,6/30/2018"/>
    <n v="0"/>
    <s v="No"/>
    <n v="0"/>
    <n v="0"/>
    <n v="1"/>
    <m/>
    <n v="28800"/>
    <n v="1"/>
    <n v="0"/>
    <m/>
    <n v="0"/>
    <n v="0"/>
    <n v="0"/>
    <n v="0"/>
    <n v="0"/>
    <m/>
    <n v="20"/>
    <m/>
    <m/>
    <m/>
    <n v="20"/>
    <x v="0"/>
    <x v="0"/>
    <m/>
    <m/>
    <m/>
    <n v="0"/>
    <s v="Household"/>
    <n v="1"/>
    <n v="3"/>
    <n v="1"/>
    <n v="0"/>
    <n v="0"/>
    <x v="0"/>
    <m/>
    <m/>
    <m/>
    <m/>
    <s v="no test"/>
    <s v="no test"/>
    <x v="1"/>
    <n v="1"/>
    <n v="1"/>
    <n v="1"/>
    <n v="704"/>
    <n v="0.35511363636363635"/>
    <n v="250"/>
    <n v="1"/>
    <n v="704"/>
    <n v="1.4079999999999999"/>
    <n v="0"/>
    <n v="0"/>
    <n v="0"/>
    <n v="1"/>
    <n v="20"/>
    <n v="0.56818181818181823"/>
    <n v="400.00000000000006"/>
    <n v="0.42613636363636359"/>
    <n v="15"/>
    <n v="35"/>
    <n v="0"/>
    <n v="0"/>
    <n v="500"/>
    <n v="0"/>
    <n v="0"/>
    <n v="0"/>
    <n v="0"/>
    <n v="0"/>
    <n v="1"/>
    <n v="0.71022727272727271"/>
    <n v="0"/>
    <n v="0"/>
    <n v="0"/>
    <n v="0"/>
    <n v="0"/>
    <n v="0"/>
    <s v="Yes"/>
    <s v="KBC"/>
    <x v="1"/>
    <x v="0"/>
    <x v="0"/>
    <x v="0"/>
    <n v="23.591999999999999"/>
    <n v="97.796999999999997"/>
    <s v="MMR015CMP220"/>
    <x v="0"/>
    <m/>
  </r>
  <r>
    <x v="1"/>
    <x v="7"/>
    <x v="2"/>
    <x v="27"/>
    <x v="398"/>
    <n v="20"/>
    <n v="82"/>
    <n v="20"/>
    <s v="MHF"/>
    <d v="2018-11-17T00:00:00"/>
    <m/>
    <s v="Yes"/>
    <n v="0.56999999999999995"/>
    <n v="0.43"/>
    <n v="0"/>
    <n v="0"/>
    <n v="38880"/>
    <n v="0"/>
    <n v="0"/>
    <m/>
    <n v="0"/>
    <n v="0"/>
    <n v="0"/>
    <n v="0"/>
    <n v="0"/>
    <m/>
    <n v="6"/>
    <m/>
    <m/>
    <m/>
    <n v="6"/>
    <x v="4"/>
    <x v="4"/>
    <m/>
    <m/>
    <m/>
    <n v="0"/>
    <s v="Communal"/>
    <m/>
    <n v="1"/>
    <n v="1"/>
    <n v="20"/>
    <n v="0"/>
    <x v="0"/>
    <m/>
    <m/>
    <m/>
    <m/>
    <s v="no test"/>
    <s v="no test"/>
    <x v="1"/>
    <n v="1"/>
    <n v="1"/>
    <n v="1"/>
    <n v="82"/>
    <n v="0"/>
    <n v="0"/>
    <n v="1"/>
    <n v="82"/>
    <n v="0.16400000000000001"/>
    <n v="0"/>
    <n v="0"/>
    <n v="0.83599999999999997"/>
    <n v="1"/>
    <n v="6"/>
    <n v="1"/>
    <n v="82"/>
    <n v="0"/>
    <n v="0"/>
    <n v="4"/>
    <n v="0"/>
    <n v="0"/>
    <n v="82"/>
    <n v="0"/>
    <n v="1"/>
    <n v="1"/>
    <n v="82"/>
    <n v="1"/>
    <n v="0"/>
    <n v="1"/>
    <n v="1"/>
    <n v="0"/>
    <n v="100"/>
    <n v="0"/>
    <n v="100"/>
    <n v="0"/>
    <n v="0"/>
    <s v="uncovered"/>
    <x v="1"/>
    <x v="0"/>
    <x v="2"/>
    <x v="0"/>
    <n v="0"/>
    <n v="0"/>
    <s v="MMR015CMP246"/>
    <x v="0"/>
    <m/>
  </r>
  <r>
    <x v="1"/>
    <x v="21"/>
    <x v="2"/>
    <x v="27"/>
    <x v="389"/>
    <n v="68"/>
    <n v="310"/>
    <n v="64"/>
    <s v="SCI/FFO,WHH(BMZ, AA)"/>
    <s v="30/11/2019,6/30/2018"/>
    <n v="0"/>
    <s v="No"/>
    <n v="0"/>
    <n v="0"/>
    <n v="0"/>
    <n v="0"/>
    <m/>
    <m/>
    <n v="16"/>
    <m/>
    <n v="0"/>
    <n v="0"/>
    <n v="0"/>
    <n v="0"/>
    <n v="0"/>
    <m/>
    <n v="75"/>
    <n v="0"/>
    <n v="0"/>
    <m/>
    <n v="75"/>
    <x v="0"/>
    <x v="0"/>
    <n v="0"/>
    <n v="0"/>
    <m/>
    <n v="0.3"/>
    <s v="Household"/>
    <n v="0"/>
    <n v="6"/>
    <n v="3"/>
    <n v="0"/>
    <n v="0"/>
    <x v="0"/>
    <m/>
    <m/>
    <m/>
    <m/>
    <s v="no test"/>
    <s v="no test"/>
    <x v="1"/>
    <n v="0"/>
    <n v="0"/>
    <n v="0"/>
    <n v="0"/>
    <n v="0"/>
    <n v="0"/>
    <n v="0"/>
    <n v="0"/>
    <n v="0"/>
    <n v="1"/>
    <n v="310"/>
    <n v="1"/>
    <n v="1"/>
    <n v="75"/>
    <n v="1"/>
    <n v="310"/>
    <n v="0"/>
    <n v="0"/>
    <n v="52"/>
    <n v="0"/>
    <n v="0"/>
    <n v="310"/>
    <n v="0"/>
    <n v="1"/>
    <n v="0"/>
    <n v="0"/>
    <n v="0"/>
    <n v="1"/>
    <n v="1"/>
    <n v="0"/>
    <n v="0"/>
    <n v="0"/>
    <n v="0"/>
    <n v="0"/>
    <n v="20.399999999999999"/>
    <s v="Yes"/>
    <s v="KBC"/>
    <x v="1"/>
    <x v="1"/>
    <x v="0"/>
    <x v="0"/>
    <n v="23.588920000000002"/>
    <n v="97.793019999999999"/>
    <s v="MMR015CMP018"/>
    <x v="0"/>
    <m/>
  </r>
  <r>
    <x v="1"/>
    <x v="24"/>
    <x v="2"/>
    <x v="27"/>
    <x v="408"/>
    <n v="30"/>
    <n v="180"/>
    <n v="61"/>
    <s v="Plan/GFFO,ADRA/CANADA  ,WHH(BMZ,AA)"/>
    <s v="31/Nov/2019,30/6/18"/>
    <n v="0"/>
    <s v="Yes"/>
    <n v="0.44"/>
    <n v="1"/>
    <n v="0"/>
    <n v="0"/>
    <n v="4608"/>
    <n v="0"/>
    <n v="0"/>
    <m/>
    <n v="0"/>
    <n v="0"/>
    <n v="0"/>
    <n v="0"/>
    <n v="0"/>
    <m/>
    <n v="20"/>
    <n v="0"/>
    <n v="0"/>
    <m/>
    <n v="20"/>
    <x v="3"/>
    <x v="2"/>
    <n v="0"/>
    <n v="0"/>
    <m/>
    <n v="0"/>
    <s v="Household"/>
    <n v="0"/>
    <n v="0"/>
    <n v="0"/>
    <n v="0"/>
    <n v="0"/>
    <x v="0"/>
    <m/>
    <m/>
    <m/>
    <m/>
    <s v="no test"/>
    <s v="no test"/>
    <x v="1"/>
    <n v="1"/>
    <n v="1"/>
    <n v="1"/>
    <n v="180"/>
    <n v="0"/>
    <n v="0"/>
    <n v="1"/>
    <n v="180"/>
    <n v="0.36"/>
    <n v="0"/>
    <n v="0"/>
    <n v="0.64"/>
    <n v="1"/>
    <n v="20"/>
    <n v="1"/>
    <n v="180"/>
    <n v="0"/>
    <n v="0"/>
    <n v="9"/>
    <n v="0"/>
    <n v="0"/>
    <n v="0"/>
    <n v="0"/>
    <n v="0"/>
    <n v="0"/>
    <n v="0"/>
    <n v="0"/>
    <n v="1"/>
    <n v="0"/>
    <n v="0"/>
    <n v="0"/>
    <n v="0"/>
    <n v="0"/>
    <n v="0"/>
    <n v="0"/>
    <n v="0"/>
    <s v="uncovered"/>
    <x v="1"/>
    <x v="0"/>
    <x v="2"/>
    <x v="0"/>
    <n v="23.850999999999999"/>
    <n v="98.337999999999994"/>
    <s v="MMR015CMP227"/>
    <x v="0"/>
    <m/>
  </r>
  <r>
    <x v="1"/>
    <x v="21"/>
    <x v="2"/>
    <x v="27"/>
    <x v="391"/>
    <n v="44"/>
    <n v="265"/>
    <n v="85"/>
    <s v="SCI/FFO,ADRA/CANADA,WHH(BMZ, AA)"/>
    <s v="30/11/2019,31/12/18,30/6/18"/>
    <n v="0"/>
    <s v="No"/>
    <n v="0"/>
    <n v="0"/>
    <n v="0"/>
    <m/>
    <n v="86400"/>
    <m/>
    <n v="12"/>
    <m/>
    <n v="0"/>
    <n v="0"/>
    <n v="0"/>
    <n v="0"/>
    <n v="0"/>
    <m/>
    <n v="49"/>
    <n v="0"/>
    <n v="0"/>
    <m/>
    <n v="49"/>
    <x v="3"/>
    <x v="2"/>
    <m/>
    <m/>
    <m/>
    <n v="0.3"/>
    <s v="Household"/>
    <n v="3"/>
    <n v="2"/>
    <n v="3"/>
    <n v="0"/>
    <n v="0"/>
    <x v="0"/>
    <m/>
    <m/>
    <m/>
    <m/>
    <s v="no test"/>
    <s v="no test"/>
    <x v="1"/>
    <n v="1"/>
    <n v="1"/>
    <n v="1"/>
    <n v="265"/>
    <n v="0"/>
    <n v="0"/>
    <n v="1"/>
    <n v="265"/>
    <n v="0.53"/>
    <n v="0"/>
    <n v="0"/>
    <n v="0.47"/>
    <n v="1"/>
    <n v="49"/>
    <n v="1"/>
    <n v="265"/>
    <n v="0"/>
    <n v="0"/>
    <n v="44"/>
    <n v="0"/>
    <n v="0"/>
    <n v="265"/>
    <n v="0"/>
    <n v="1"/>
    <n v="0"/>
    <n v="0"/>
    <n v="0"/>
    <n v="1"/>
    <n v="1"/>
    <n v="0"/>
    <n v="0"/>
    <n v="0"/>
    <n v="0"/>
    <n v="0"/>
    <n v="13.2"/>
    <s v="Yes"/>
    <s v="KBC"/>
    <x v="1"/>
    <x v="1"/>
    <x v="0"/>
    <x v="0"/>
    <n v="23.400155999999999"/>
    <n v="98.220614999999995"/>
    <s v="MMR015CMP006"/>
    <x v="0"/>
    <m/>
  </r>
  <r>
    <x v="1"/>
    <x v="23"/>
    <x v="2"/>
    <x v="27"/>
    <x v="392"/>
    <n v="22"/>
    <n v="111"/>
    <n v="49"/>
    <s v="HARP,WHH(BMZ, AA)"/>
    <s v="31/12/2018,30/6/18"/>
    <n v="0"/>
    <s v="Yes"/>
    <n v="0.5"/>
    <n v="1"/>
    <n v="0"/>
    <n v="0"/>
    <n v="5400"/>
    <n v="1"/>
    <n v="1"/>
    <m/>
    <n v="2"/>
    <n v="0"/>
    <n v="18"/>
    <n v="4"/>
    <n v="0"/>
    <m/>
    <n v="8"/>
    <n v="0"/>
    <n v="0"/>
    <s v="two times"/>
    <n v="10"/>
    <x v="0"/>
    <x v="0"/>
    <n v="0"/>
    <n v="0"/>
    <m/>
    <n v="1"/>
    <s v="Communal"/>
    <n v="0"/>
    <n v="2"/>
    <n v="2"/>
    <n v="22"/>
    <n v="0"/>
    <x v="2"/>
    <m/>
    <m/>
    <m/>
    <m/>
    <n v="0"/>
    <n v="0.22222222222222221"/>
    <x v="0"/>
    <n v="1"/>
    <n v="1"/>
    <n v="1"/>
    <n v="111"/>
    <n v="1"/>
    <n v="111"/>
    <n v="1"/>
    <n v="111"/>
    <n v="0.222"/>
    <n v="0"/>
    <n v="0"/>
    <n v="0.77800000000000002"/>
    <n v="1"/>
    <n v="8"/>
    <n v="1"/>
    <n v="111"/>
    <n v="0"/>
    <n v="0"/>
    <n v="6"/>
    <n v="0"/>
    <n v="0"/>
    <n v="111"/>
    <n v="0"/>
    <n v="1"/>
    <n v="1"/>
    <n v="111"/>
    <n v="1"/>
    <n v="0"/>
    <n v="1"/>
    <n v="1"/>
    <n v="0"/>
    <n v="110"/>
    <n v="0"/>
    <n v="110"/>
    <n v="22"/>
    <s v="Yes"/>
    <s v="KMSS-LSO"/>
    <x v="1"/>
    <x v="0"/>
    <x v="0"/>
    <x v="0"/>
    <n v="23.463000000000001"/>
    <n v="98.248999999999995"/>
    <s v="MMR015CMP217"/>
    <x v="0"/>
    <m/>
  </r>
  <r>
    <x v="1"/>
    <x v="1"/>
    <x v="2"/>
    <x v="27"/>
    <x v="393"/>
    <n v="63"/>
    <n v="279"/>
    <n v="134"/>
    <s v="Plan/GFFO,ADRA/CANADA  ,WHH(BMZ,AA)"/>
    <s v="12/31/2019,30/6/18"/>
    <n v="0"/>
    <s v="Yes"/>
    <n v="0.7"/>
    <n v="1"/>
    <m/>
    <n v="1"/>
    <n v="15000"/>
    <m/>
    <n v="8"/>
    <m/>
    <n v="0"/>
    <n v="0"/>
    <n v="0"/>
    <n v="0"/>
    <n v="0"/>
    <m/>
    <n v="14"/>
    <n v="0"/>
    <n v="0"/>
    <m/>
    <n v="14"/>
    <x v="0"/>
    <x v="0"/>
    <n v="0"/>
    <n v="0"/>
    <m/>
    <n v="1"/>
    <s v="Communal"/>
    <m/>
    <n v="2"/>
    <n v="1"/>
    <m/>
    <n v="0"/>
    <x v="0"/>
    <m/>
    <m/>
    <m/>
    <m/>
    <s v="no test"/>
    <s v="no test"/>
    <x v="1"/>
    <n v="1"/>
    <n v="1"/>
    <n v="1"/>
    <n v="279"/>
    <n v="0"/>
    <n v="0"/>
    <n v="1"/>
    <n v="279"/>
    <n v="0.55800000000000005"/>
    <n v="0"/>
    <n v="0"/>
    <n v="0.44199999999999995"/>
    <n v="1"/>
    <n v="14"/>
    <n v="1"/>
    <n v="279"/>
    <n v="0"/>
    <n v="0"/>
    <n v="14"/>
    <n v="0"/>
    <n v="0"/>
    <n v="279"/>
    <n v="0"/>
    <n v="1"/>
    <n v="0"/>
    <n v="0"/>
    <n v="0"/>
    <n v="1"/>
    <n v="1"/>
    <n v="0"/>
    <n v="0"/>
    <n v="0"/>
    <n v="0"/>
    <n v="0"/>
    <n v="63"/>
    <s v="Yes"/>
    <s v="KBC"/>
    <x v="1"/>
    <x v="0"/>
    <x v="0"/>
    <x v="0"/>
    <n v="23.694130000000001"/>
    <n v="97.818979999999996"/>
    <s v="MMR015CMP007"/>
    <x v="0"/>
    <m/>
  </r>
  <r>
    <x v="1"/>
    <x v="1"/>
    <x v="2"/>
    <x v="27"/>
    <x v="394"/>
    <n v="39"/>
    <n v="146"/>
    <m/>
    <s v="Plan/GFFO,ADRA/CANADA  ,WHH(BMZ, AA)"/>
    <s v="12/31/2019,30/6/18"/>
    <n v="0"/>
    <s v="Yes"/>
    <n v="0.5"/>
    <n v="1"/>
    <m/>
    <m/>
    <n v="2700"/>
    <m/>
    <n v="3"/>
    <m/>
    <n v="0"/>
    <n v="0"/>
    <n v="0"/>
    <n v="0"/>
    <n v="0"/>
    <s v="Insufficient Drinking Water"/>
    <n v="5"/>
    <n v="0"/>
    <n v="0"/>
    <m/>
    <n v="5"/>
    <x v="1"/>
    <x v="1"/>
    <n v="0"/>
    <n v="0"/>
    <m/>
    <n v="0"/>
    <s v="Household"/>
    <m/>
    <n v="0"/>
    <n v="1"/>
    <m/>
    <n v="0"/>
    <x v="0"/>
    <m/>
    <m/>
    <m/>
    <m/>
    <s v="no test"/>
    <s v="no test"/>
    <x v="1"/>
    <n v="1"/>
    <n v="1"/>
    <n v="1"/>
    <n v="146"/>
    <n v="0"/>
    <n v="0"/>
    <n v="1"/>
    <n v="146"/>
    <n v="0.29199999999999998"/>
    <n v="0"/>
    <n v="0"/>
    <n v="0.70799999999999996"/>
    <n v="1"/>
    <n v="5"/>
    <n v="0.68493150684931503"/>
    <n v="100"/>
    <n v="0.27397260273972601"/>
    <n v="2"/>
    <n v="7"/>
    <n v="0"/>
    <n v="0"/>
    <n v="146"/>
    <n v="0"/>
    <n v="1"/>
    <n v="0"/>
    <n v="0"/>
    <n v="0"/>
    <n v="1"/>
    <n v="1"/>
    <n v="0"/>
    <n v="0"/>
    <n v="0"/>
    <n v="0"/>
    <n v="0"/>
    <n v="0"/>
    <n v="0"/>
    <s v="KMSS-LSO"/>
    <x v="1"/>
    <x v="0"/>
    <x v="0"/>
    <x v="0"/>
    <n v="23.682887999999998"/>
    <n v="97.810101000000003"/>
    <s v="MMR015CMP225"/>
    <x v="0"/>
    <m/>
  </r>
  <r>
    <x v="1"/>
    <x v="1"/>
    <x v="2"/>
    <x v="27"/>
    <x v="395"/>
    <n v="106"/>
    <n v="635"/>
    <n v="75"/>
    <s v="WHH(BMZ, AA)"/>
    <s v="30/4/18, 30/6/18"/>
    <n v="0"/>
    <s v="Yes"/>
    <n v="0.5"/>
    <n v="1"/>
    <m/>
    <n v="1"/>
    <n v="9600"/>
    <m/>
    <n v="5"/>
    <m/>
    <n v="0"/>
    <n v="0"/>
    <n v="0"/>
    <n v="0"/>
    <n v="0"/>
    <m/>
    <n v="106"/>
    <n v="0"/>
    <n v="0"/>
    <m/>
    <n v="106"/>
    <x v="0"/>
    <x v="4"/>
    <n v="0"/>
    <n v="0"/>
    <m/>
    <n v="0.4"/>
    <s v="Communal"/>
    <m/>
    <m/>
    <n v="1"/>
    <n v="0"/>
    <n v="0"/>
    <x v="0"/>
    <m/>
    <m/>
    <m/>
    <m/>
    <s v="no test"/>
    <s v="no test"/>
    <x v="1"/>
    <n v="1"/>
    <n v="1"/>
    <n v="1"/>
    <n v="635"/>
    <n v="0"/>
    <n v="0"/>
    <n v="1"/>
    <n v="635"/>
    <n v="1.27"/>
    <n v="0"/>
    <n v="0"/>
    <n v="0"/>
    <n v="1"/>
    <n v="106"/>
    <n v="1"/>
    <n v="635"/>
    <n v="0"/>
    <n v="0"/>
    <n v="106"/>
    <n v="0"/>
    <n v="0"/>
    <n v="500"/>
    <n v="0"/>
    <n v="0"/>
    <n v="0"/>
    <n v="0"/>
    <n v="0"/>
    <n v="1"/>
    <n v="0.78740157480314965"/>
    <n v="0"/>
    <n v="0"/>
    <n v="0"/>
    <n v="0"/>
    <n v="0"/>
    <n v="42.400000000000006"/>
    <n v="0"/>
    <s v="uncovered"/>
    <x v="1"/>
    <x v="1"/>
    <x v="2"/>
    <x v="0"/>
    <n v="23.447111"/>
    <n v="97.868876999999998"/>
    <s v="MMR015CMP219"/>
    <x v="0"/>
    <m/>
  </r>
  <r>
    <x v="1"/>
    <x v="1"/>
    <x v="2"/>
    <x v="27"/>
    <x v="396"/>
    <n v="39"/>
    <n v="202"/>
    <n v="46"/>
    <s v="BMZ"/>
    <m/>
    <m/>
    <s v="Yes"/>
    <n v="0"/>
    <n v="0"/>
    <m/>
    <m/>
    <n v="8000"/>
    <m/>
    <n v="4"/>
    <m/>
    <m/>
    <m/>
    <m/>
    <m/>
    <m/>
    <m/>
    <n v="0"/>
    <m/>
    <m/>
    <m/>
    <m/>
    <x v="4"/>
    <x v="4"/>
    <m/>
    <m/>
    <m/>
    <m/>
    <m/>
    <m/>
    <m/>
    <m/>
    <m/>
    <m/>
    <x v="0"/>
    <m/>
    <m/>
    <m/>
    <m/>
    <s v="no test"/>
    <s v="no test"/>
    <x v="1"/>
    <n v="1"/>
    <n v="1"/>
    <n v="1"/>
    <n v="202"/>
    <n v="0"/>
    <n v="0"/>
    <n v="1"/>
    <n v="202"/>
    <n v="0.40400000000000003"/>
    <n v="0"/>
    <n v="0"/>
    <n v="0.59599999999999997"/>
    <n v="1"/>
    <n v="0"/>
    <n v="0"/>
    <n v="0"/>
    <n v="0.99009900990099009"/>
    <n v="10"/>
    <n v="10"/>
    <n v="0"/>
    <n v="0"/>
    <n v="0"/>
    <n v="0"/>
    <n v="0"/>
    <n v="0"/>
    <n v="0"/>
    <n v="0"/>
    <n v="1"/>
    <n v="0"/>
    <n v="0"/>
    <n v="0"/>
    <n v="0"/>
    <n v="0"/>
    <n v="0"/>
    <n v="0"/>
    <n v="0"/>
    <s v="uncovered"/>
    <x v="1"/>
    <x v="0"/>
    <x v="2"/>
    <x v="0"/>
    <n v="0"/>
    <n v="0"/>
    <s v="MMR015CMP249"/>
    <x v="0"/>
    <m/>
  </r>
  <r>
    <x v="1"/>
    <x v="28"/>
    <x v="2"/>
    <x v="27"/>
    <x v="397"/>
    <n v="189"/>
    <n v="978"/>
    <n v="223"/>
    <s v="SCI/FFO,WHH(BMZ, AA)"/>
    <s v="30/11/2019,6/30/2018"/>
    <n v="0"/>
    <s v="No"/>
    <n v="0"/>
    <n v="0"/>
    <m/>
    <m/>
    <n v="43200"/>
    <m/>
    <n v="16"/>
    <m/>
    <n v="0"/>
    <n v="0"/>
    <n v="0"/>
    <n v="0"/>
    <n v="0"/>
    <m/>
    <n v="127"/>
    <n v="85"/>
    <n v="0"/>
    <m/>
    <n v="212"/>
    <x v="3"/>
    <x v="4"/>
    <n v="0"/>
    <n v="0"/>
    <m/>
    <n v="0.6"/>
    <s v="Both"/>
    <n v="4"/>
    <m/>
    <n v="1"/>
    <n v="182"/>
    <n v="0"/>
    <x v="0"/>
    <m/>
    <m/>
    <m/>
    <m/>
    <s v="no test"/>
    <s v="no test"/>
    <x v="1"/>
    <n v="1"/>
    <n v="1"/>
    <n v="1"/>
    <n v="978"/>
    <n v="0"/>
    <n v="0"/>
    <n v="1"/>
    <n v="978"/>
    <n v="1.956"/>
    <n v="0"/>
    <n v="0"/>
    <n v="4.4000000000000039E-2"/>
    <n v="2"/>
    <n v="212"/>
    <n v="0.77914110429447858"/>
    <n v="762"/>
    <n v="0"/>
    <n v="0"/>
    <n v="163"/>
    <n v="0.40094339622641512"/>
    <n v="0"/>
    <n v="500"/>
    <n v="0"/>
    <n v="0"/>
    <n v="0"/>
    <n v="0"/>
    <n v="0"/>
    <n v="1"/>
    <n v="0.5112474437627812"/>
    <n v="0.96296296296296291"/>
    <n v="0"/>
    <n v="910"/>
    <n v="0"/>
    <n v="910"/>
    <n v="113.39999999999999"/>
    <s v="Yes"/>
    <s v="KBC"/>
    <x v="1"/>
    <x v="1"/>
    <x v="0"/>
    <x v="0"/>
    <n v="23.38503"/>
    <n v="97.837040000000002"/>
    <s v="MMR015CMP020"/>
    <x v="0"/>
    <m/>
  </r>
  <r>
    <x v="1"/>
    <x v="2"/>
    <x v="2"/>
    <x v="29"/>
    <x v="405"/>
    <n v="36"/>
    <n v="188"/>
    <m/>
    <m/>
    <m/>
    <m/>
    <s v="No"/>
    <n v="0"/>
    <n v="0"/>
    <m/>
    <m/>
    <m/>
    <m/>
    <m/>
    <m/>
    <m/>
    <m/>
    <m/>
    <m/>
    <m/>
    <m/>
    <n v="0"/>
    <m/>
    <m/>
    <m/>
    <m/>
    <x v="1"/>
    <x v="1"/>
    <m/>
    <m/>
    <m/>
    <m/>
    <m/>
    <m/>
    <m/>
    <m/>
    <m/>
    <m/>
    <x v="0"/>
    <m/>
    <m/>
    <m/>
    <m/>
    <s v="no test"/>
    <s v="no test"/>
    <x v="1"/>
    <n v="0"/>
    <n v="0"/>
    <n v="0"/>
    <n v="0"/>
    <n v="0"/>
    <n v="0"/>
    <n v="0"/>
    <n v="0"/>
    <n v="0"/>
    <n v="1"/>
    <n v="188"/>
    <n v="1"/>
    <n v="1"/>
    <n v="0"/>
    <n v="0"/>
    <n v="0"/>
    <n v="0.95744680851063824"/>
    <n v="9"/>
    <n v="9"/>
    <n v="0"/>
    <n v="0"/>
    <n v="0"/>
    <n v="0"/>
    <n v="0"/>
    <n v="0"/>
    <n v="0"/>
    <n v="0"/>
    <n v="1"/>
    <n v="0"/>
    <n v="0"/>
    <n v="0"/>
    <n v="0"/>
    <n v="0"/>
    <n v="0"/>
    <n v="0"/>
    <n v="0"/>
    <s v="uncovered"/>
    <x v="1"/>
    <x v="0"/>
    <x v="2"/>
    <x v="0"/>
    <n v="0"/>
    <n v="0"/>
    <s v="MMR015CMP222"/>
    <x v="1"/>
    <m/>
  </r>
  <r>
    <x v="1"/>
    <x v="21"/>
    <x v="2"/>
    <x v="29"/>
    <x v="399"/>
    <n v="33"/>
    <n v="176"/>
    <m/>
    <s v="SCI/FFO,ADRA/CANADA,WHH(BMZ, AA)"/>
    <s v="30/11/2019,31/1/2018,30/6/2018"/>
    <n v="0"/>
    <s v="No"/>
    <n v="0"/>
    <n v="0"/>
    <m/>
    <n v="1"/>
    <n v="15448"/>
    <m/>
    <n v="6"/>
    <m/>
    <n v="0"/>
    <n v="0"/>
    <n v="0"/>
    <n v="0"/>
    <n v="0"/>
    <m/>
    <n v="18"/>
    <n v="0"/>
    <n v="0"/>
    <m/>
    <n v="18"/>
    <x v="0"/>
    <x v="0"/>
    <n v="0"/>
    <n v="0"/>
    <m/>
    <n v="0.6"/>
    <s v="Communal"/>
    <m/>
    <n v="5"/>
    <n v="2"/>
    <n v="0"/>
    <n v="0"/>
    <x v="0"/>
    <m/>
    <m/>
    <m/>
    <m/>
    <s v="no test"/>
    <s v="no test"/>
    <x v="1"/>
    <n v="1"/>
    <n v="1"/>
    <n v="1"/>
    <n v="176"/>
    <n v="0"/>
    <n v="0"/>
    <n v="1"/>
    <n v="176"/>
    <n v="0.35199999999999998"/>
    <n v="0"/>
    <n v="0"/>
    <n v="0.64800000000000002"/>
    <n v="1"/>
    <n v="18"/>
    <n v="1"/>
    <n v="176"/>
    <n v="0"/>
    <n v="0"/>
    <n v="9"/>
    <n v="0"/>
    <n v="0"/>
    <n v="176"/>
    <n v="0"/>
    <n v="1"/>
    <n v="0"/>
    <n v="0"/>
    <n v="0"/>
    <n v="1"/>
    <n v="1"/>
    <n v="0"/>
    <n v="0"/>
    <n v="0"/>
    <n v="0"/>
    <n v="0"/>
    <n v="19.8"/>
    <s v="Yes"/>
    <s v="KBC"/>
    <x v="1"/>
    <x v="0"/>
    <x v="0"/>
    <x v="0"/>
    <n v="23.250678000000001"/>
    <n v="97.124403000000001"/>
    <s v="MMR015CMP009"/>
    <x v="0"/>
    <m/>
  </r>
  <r>
    <x v="1"/>
    <x v="5"/>
    <x v="2"/>
    <x v="29"/>
    <x v="400"/>
    <n v="29"/>
    <n v="171"/>
    <n v="60"/>
    <s v="HARP"/>
    <d v="2018-12-31T00:00:00"/>
    <n v="0"/>
    <s v="Yes"/>
    <n v="0.75"/>
    <n v="1"/>
    <n v="0"/>
    <n v="1"/>
    <n v="7200"/>
    <n v="1"/>
    <n v="2"/>
    <m/>
    <n v="2"/>
    <n v="0"/>
    <n v="18"/>
    <n v="3"/>
    <n v="0"/>
    <m/>
    <n v="8"/>
    <n v="0"/>
    <n v="0"/>
    <s v="two times"/>
    <n v="10"/>
    <x v="0"/>
    <x v="2"/>
    <n v="4"/>
    <n v="0"/>
    <m/>
    <n v="1"/>
    <s v="Communal"/>
    <n v="0"/>
    <n v="2"/>
    <n v="2"/>
    <n v="29"/>
    <n v="0"/>
    <x v="2"/>
    <m/>
    <m/>
    <m/>
    <m/>
    <n v="0"/>
    <n v="0.16666666666666666"/>
    <x v="0"/>
    <n v="1"/>
    <n v="1"/>
    <n v="1"/>
    <n v="171"/>
    <n v="1"/>
    <n v="171"/>
    <n v="1"/>
    <n v="171"/>
    <n v="0.34200000000000003"/>
    <n v="0"/>
    <n v="0"/>
    <n v="0.65799999999999992"/>
    <n v="1"/>
    <n v="8"/>
    <n v="0.93567251461988299"/>
    <n v="160"/>
    <n v="0.11695906432748537"/>
    <n v="1"/>
    <n v="9"/>
    <n v="0"/>
    <n v="0"/>
    <n v="171"/>
    <n v="0"/>
    <n v="1"/>
    <n v="1"/>
    <n v="171"/>
    <n v="1"/>
    <n v="0"/>
    <n v="1"/>
    <n v="1"/>
    <n v="0"/>
    <n v="145"/>
    <n v="0"/>
    <n v="145"/>
    <n v="29"/>
    <s v="Yes"/>
    <s v="KMSS-LSO"/>
    <x v="1"/>
    <x v="0"/>
    <x v="0"/>
    <x v="0"/>
    <n v="23.24661"/>
    <n v="97.116680000000002"/>
    <s v="MMR015CMP209"/>
    <x v="0"/>
    <m/>
  </r>
  <r>
    <x v="1"/>
    <x v="25"/>
    <x v="2"/>
    <x v="30"/>
    <x v="401"/>
    <n v="154"/>
    <n v="778"/>
    <m/>
    <s v="SCI/FFO"/>
    <d v="2019-11-30T00:00:00"/>
    <m/>
    <s v="No"/>
    <n v="0"/>
    <n v="0"/>
    <m/>
    <m/>
    <m/>
    <m/>
    <m/>
    <m/>
    <m/>
    <m/>
    <m/>
    <m/>
    <m/>
    <m/>
    <n v="0"/>
    <m/>
    <m/>
    <m/>
    <m/>
    <x v="1"/>
    <x v="1"/>
    <m/>
    <m/>
    <m/>
    <m/>
    <m/>
    <m/>
    <m/>
    <m/>
    <m/>
    <m/>
    <x v="0"/>
    <m/>
    <m/>
    <m/>
    <m/>
    <s v="no test"/>
    <s v="no test"/>
    <x v="1"/>
    <n v="0"/>
    <n v="0"/>
    <n v="0"/>
    <n v="0"/>
    <n v="0"/>
    <n v="0"/>
    <n v="0"/>
    <n v="0"/>
    <n v="0"/>
    <n v="1"/>
    <n v="778"/>
    <n v="2"/>
    <n v="2"/>
    <n v="0"/>
    <n v="0"/>
    <n v="0"/>
    <n v="1"/>
    <n v="39"/>
    <n v="39"/>
    <n v="0"/>
    <n v="0"/>
    <n v="0"/>
    <n v="0"/>
    <n v="0"/>
    <n v="0"/>
    <n v="0"/>
    <n v="0"/>
    <n v="1"/>
    <n v="0"/>
    <n v="0"/>
    <n v="0"/>
    <n v="0"/>
    <n v="0"/>
    <n v="0"/>
    <n v="0"/>
    <s v="Yes"/>
    <s v="KBC"/>
    <x v="1"/>
    <x v="0"/>
    <x v="0"/>
    <x v="0"/>
    <n v="24.08738"/>
    <n v="98.115809999999996"/>
    <s v="MMR015CMP247"/>
    <x v="0"/>
    <m/>
  </r>
  <r>
    <x v="1"/>
    <x v="1"/>
    <x v="2"/>
    <x v="30"/>
    <x v="402"/>
    <n v="154"/>
    <n v="779"/>
    <n v="124"/>
    <s v="SCI"/>
    <d v="2019-11-30T00:00:00"/>
    <n v="0"/>
    <s v="Yes"/>
    <n v="0.5"/>
    <n v="0.8"/>
    <n v="0"/>
    <n v="1"/>
    <m/>
    <m/>
    <n v="0"/>
    <m/>
    <n v="0"/>
    <n v="0"/>
    <n v="0"/>
    <n v="0"/>
    <n v="0"/>
    <m/>
    <n v="60"/>
    <n v="0"/>
    <n v="0"/>
    <m/>
    <n v="0"/>
    <x v="0"/>
    <x v="0"/>
    <m/>
    <m/>
    <m/>
    <n v="1"/>
    <s v="Communal"/>
    <n v="0"/>
    <n v="11"/>
    <n v="3"/>
    <n v="0"/>
    <n v="0"/>
    <x v="0"/>
    <m/>
    <m/>
    <m/>
    <m/>
    <s v="no test"/>
    <s v="no test"/>
    <x v="1"/>
    <n v="1"/>
    <n v="0.3209242618741977"/>
    <n v="1"/>
    <n v="779"/>
    <n v="0"/>
    <n v="0"/>
    <n v="1"/>
    <n v="779"/>
    <n v="1.5580000000000001"/>
    <n v="0"/>
    <n v="0"/>
    <n v="0.44199999999999995"/>
    <n v="2"/>
    <n v="60"/>
    <n v="1"/>
    <n v="779"/>
    <n v="0"/>
    <n v="0"/>
    <n v="39"/>
    <n v="0"/>
    <n v="0"/>
    <n v="779"/>
    <n v="0"/>
    <n v="1"/>
    <n v="0"/>
    <n v="0"/>
    <n v="0"/>
    <n v="1"/>
    <n v="1"/>
    <n v="0"/>
    <n v="0"/>
    <n v="0"/>
    <n v="0"/>
    <n v="0"/>
    <n v="154"/>
    <n v="0"/>
    <n v="0"/>
    <x v="1"/>
    <x v="0"/>
    <x v="3"/>
    <x v="0"/>
    <n v="24.08738"/>
    <n v="98.115809999999996"/>
    <s v="MMR015CMP022"/>
    <x v="0"/>
    <m/>
  </r>
  <r>
    <x v="1"/>
    <x v="21"/>
    <x v="2"/>
    <x v="30"/>
    <x v="403"/>
    <n v="51"/>
    <n v="207"/>
    <m/>
    <s v="ADRA/CANADA,WHH(BMZ, AA)"/>
    <s v="31/1/18,30/6/18"/>
    <n v="0"/>
    <s v="Yes"/>
    <n v="0.5"/>
    <n v="1"/>
    <n v="0"/>
    <n v="1"/>
    <n v="7200"/>
    <m/>
    <n v="8"/>
    <m/>
    <n v="0"/>
    <n v="0"/>
    <n v="0"/>
    <n v="0"/>
    <n v="0"/>
    <m/>
    <n v="12"/>
    <n v="0"/>
    <n v="0"/>
    <m/>
    <n v="9"/>
    <x v="0"/>
    <x v="0"/>
    <m/>
    <m/>
    <m/>
    <n v="0.7"/>
    <s v="Communal"/>
    <n v="0"/>
    <n v="3"/>
    <n v="1"/>
    <n v="0"/>
    <n v="0"/>
    <x v="0"/>
    <m/>
    <m/>
    <m/>
    <m/>
    <s v="no test"/>
    <s v="no test"/>
    <x v="1"/>
    <n v="1"/>
    <n v="1"/>
    <n v="1"/>
    <n v="207"/>
    <n v="0"/>
    <n v="0"/>
    <n v="1"/>
    <n v="207"/>
    <n v="0.41399999999999998"/>
    <n v="0"/>
    <n v="0"/>
    <n v="0.58600000000000008"/>
    <n v="1"/>
    <n v="12"/>
    <n v="1"/>
    <n v="207"/>
    <n v="0"/>
    <n v="0"/>
    <n v="10"/>
    <n v="0"/>
    <n v="0"/>
    <n v="207"/>
    <n v="0"/>
    <n v="1"/>
    <n v="0"/>
    <n v="0"/>
    <n v="0"/>
    <n v="1"/>
    <n v="1"/>
    <n v="0"/>
    <n v="0"/>
    <n v="0"/>
    <n v="0"/>
    <n v="0"/>
    <n v="35.699999999999996"/>
    <s v="Yes"/>
    <s v="KBC"/>
    <x v="1"/>
    <x v="0"/>
    <x v="0"/>
    <x v="0"/>
    <n v="24.006319999999999"/>
    <n v="97.909400000000005"/>
    <s v="MMR015CMP213"/>
    <x v="0"/>
    <m/>
  </r>
  <r>
    <x v="1"/>
    <x v="5"/>
    <x v="2"/>
    <x v="30"/>
    <x v="404"/>
    <n v="17"/>
    <n v="84"/>
    <n v="30"/>
    <s v="HARP"/>
    <d v="2018-12-31T00:00:00"/>
    <n v="0"/>
    <s v="Yes"/>
    <n v="0.75"/>
    <n v="1"/>
    <n v="1"/>
    <n v="1"/>
    <n v="7200"/>
    <m/>
    <n v="2"/>
    <m/>
    <n v="2"/>
    <n v="1"/>
    <n v="10"/>
    <n v="1"/>
    <n v="0"/>
    <m/>
    <n v="8"/>
    <n v="0"/>
    <n v="0"/>
    <m/>
    <n v="4"/>
    <x v="0"/>
    <x v="2"/>
    <n v="0"/>
    <n v="1"/>
    <m/>
    <n v="1"/>
    <s v="Communal"/>
    <n v="1"/>
    <n v="0"/>
    <n v="2"/>
    <n v="17"/>
    <n v="0"/>
    <x v="2"/>
    <m/>
    <m/>
    <m/>
    <m/>
    <n v="0.5"/>
    <n v="0.1"/>
    <x v="0"/>
    <n v="1"/>
    <n v="1"/>
    <n v="1"/>
    <n v="84"/>
    <n v="0"/>
    <n v="0"/>
    <n v="1"/>
    <n v="84"/>
    <n v="0.16800000000000001"/>
    <n v="0"/>
    <n v="0"/>
    <n v="0.83199999999999996"/>
    <n v="1"/>
    <n v="8"/>
    <n v="1"/>
    <n v="84"/>
    <n v="0"/>
    <n v="0"/>
    <n v="4"/>
    <n v="0"/>
    <n v="0"/>
    <n v="84"/>
    <n v="0"/>
    <n v="1"/>
    <n v="1"/>
    <n v="84"/>
    <n v="1"/>
    <n v="0"/>
    <n v="1"/>
    <n v="1"/>
    <n v="0"/>
    <n v="85"/>
    <n v="0"/>
    <n v="85"/>
    <n v="17"/>
    <s v="Yes"/>
    <s v="KMSS-LSO"/>
    <x v="1"/>
    <x v="0"/>
    <x v="0"/>
    <x v="0"/>
    <n v="24.006789000000001"/>
    <n v="97.911647000000002"/>
    <s v="MMR015CMP216"/>
    <x v="0"/>
    <m/>
  </r>
  <r>
    <x v="1"/>
    <x v="1"/>
    <x v="2"/>
    <x v="30"/>
    <x v="418"/>
    <n v="7"/>
    <n v="44"/>
    <m/>
    <m/>
    <m/>
    <m/>
    <s v="NA"/>
    <s v="NA"/>
    <s v="NA"/>
    <n v="0"/>
    <n v="0"/>
    <m/>
    <m/>
    <n v="2"/>
    <m/>
    <m/>
    <m/>
    <m/>
    <m/>
    <m/>
    <m/>
    <n v="9"/>
    <m/>
    <m/>
    <m/>
    <n v="9"/>
    <x v="0"/>
    <x v="0"/>
    <m/>
    <m/>
    <m/>
    <n v="0"/>
    <m/>
    <n v="0"/>
    <m/>
    <m/>
    <m/>
    <m/>
    <x v="0"/>
    <m/>
    <m/>
    <m/>
    <m/>
    <s v="no test"/>
    <s v="no test"/>
    <x v="1"/>
    <n v="0"/>
    <n v="0"/>
    <n v="0"/>
    <n v="0"/>
    <n v="0"/>
    <n v="0"/>
    <n v="0"/>
    <n v="0"/>
    <n v="0"/>
    <n v="1"/>
    <n v="44"/>
    <n v="1"/>
    <n v="1"/>
    <n v="9"/>
    <n v="1"/>
    <n v="44"/>
    <n v="0"/>
    <n v="0"/>
    <n v="2"/>
    <n v="0"/>
    <n v="0"/>
    <n v="0"/>
    <n v="0"/>
    <n v="0"/>
    <n v="0"/>
    <n v="0"/>
    <n v="0"/>
    <n v="1"/>
    <n v="0"/>
    <n v="0"/>
    <n v="0"/>
    <n v="0"/>
    <n v="0"/>
    <n v="0"/>
    <n v="0"/>
    <n v="0"/>
    <n v="0"/>
    <x v="1"/>
    <x v="0"/>
    <x v="3"/>
    <x v="1"/>
    <n v="23.933098999999999"/>
    <n v="98.139397000000002"/>
    <s v="MMR015CMP139"/>
    <x v="0"/>
    <m/>
  </r>
  <r>
    <x v="1"/>
    <x v="24"/>
    <x v="2"/>
    <x v="31"/>
    <x v="407"/>
    <n v="62"/>
    <n v="304"/>
    <n v="61"/>
    <s v="Plan/GFFO,ADRA/CANADA  ,WHH(BMZ,AA)"/>
    <s v="31/Nov/2019,30/6/18"/>
    <n v="0"/>
    <s v="Yes"/>
    <n v="0.67"/>
    <n v="1"/>
    <n v="0"/>
    <n v="0"/>
    <n v="7680"/>
    <n v="0"/>
    <n v="0"/>
    <n v="0"/>
    <n v="0"/>
    <n v="0"/>
    <n v="0"/>
    <n v="0"/>
    <n v="0"/>
    <m/>
    <n v="10"/>
    <n v="0"/>
    <n v="0"/>
    <m/>
    <n v="10"/>
    <x v="0"/>
    <x v="4"/>
    <n v="0"/>
    <n v="0"/>
    <m/>
    <n v="0"/>
    <s v="Household"/>
    <n v="0"/>
    <n v="2"/>
    <n v="1"/>
    <n v="0"/>
    <n v="0"/>
    <x v="0"/>
    <m/>
    <m/>
    <m/>
    <m/>
    <s v="no test"/>
    <s v="no test"/>
    <x v="1"/>
    <n v="1"/>
    <n v="1"/>
    <n v="1"/>
    <n v="304"/>
    <n v="0"/>
    <n v="0"/>
    <n v="1"/>
    <n v="304"/>
    <n v="0.60799999999999998"/>
    <n v="0"/>
    <n v="0"/>
    <n v="0.39200000000000002"/>
    <n v="1"/>
    <n v="10"/>
    <n v="0.65789473684210531"/>
    <n v="200"/>
    <n v="0.32894736842105265"/>
    <n v="5"/>
    <n v="15"/>
    <n v="0"/>
    <n v="0"/>
    <n v="304"/>
    <n v="0"/>
    <n v="1"/>
    <n v="0"/>
    <n v="0"/>
    <n v="0"/>
    <n v="1"/>
    <n v="1"/>
    <n v="0"/>
    <n v="0"/>
    <n v="0"/>
    <n v="0"/>
    <n v="0"/>
    <n v="0"/>
    <n v="0"/>
    <s v="uncovered"/>
    <x v="1"/>
    <x v="0"/>
    <x v="2"/>
    <x v="0"/>
    <n v="23.611999999999998"/>
    <n v="97.506"/>
    <s v="MMR015CMP224"/>
    <x v="0"/>
    <m/>
  </r>
  <r>
    <x v="1"/>
    <x v="5"/>
    <x v="2"/>
    <x v="31"/>
    <x v="406"/>
    <n v="74"/>
    <n v="391"/>
    <m/>
    <s v="HARP"/>
    <d v="2018-12-31T00:00:00"/>
    <n v="0"/>
    <s v="Yes"/>
    <n v="0.5"/>
    <n v="0.65"/>
    <n v="0"/>
    <n v="1"/>
    <n v="14400"/>
    <m/>
    <n v="2"/>
    <m/>
    <n v="3"/>
    <n v="2"/>
    <n v="33"/>
    <n v="12"/>
    <n v="0"/>
    <m/>
    <n v="17"/>
    <n v="4"/>
    <n v="0"/>
    <m/>
    <n v="15"/>
    <x v="0"/>
    <x v="0"/>
    <m/>
    <m/>
    <m/>
    <n v="1"/>
    <s v="Communal"/>
    <n v="0"/>
    <n v="2"/>
    <n v="2"/>
    <n v="74"/>
    <n v="0"/>
    <x v="2"/>
    <m/>
    <m/>
    <m/>
    <m/>
    <n v="0.66666666666666663"/>
    <n v="0.36363636363636365"/>
    <x v="0"/>
    <n v="1"/>
    <n v="1"/>
    <n v="1"/>
    <n v="391"/>
    <n v="0"/>
    <n v="0"/>
    <n v="1"/>
    <n v="391"/>
    <n v="0.78200000000000003"/>
    <n v="0"/>
    <n v="0"/>
    <n v="0.21799999999999997"/>
    <n v="1"/>
    <n v="21"/>
    <n v="0.86956521739130432"/>
    <n v="340"/>
    <n v="0"/>
    <n v="0"/>
    <n v="20"/>
    <n v="0.19047619047619047"/>
    <n v="0"/>
    <n v="391"/>
    <n v="0"/>
    <n v="1"/>
    <n v="1"/>
    <n v="391"/>
    <n v="1"/>
    <n v="0"/>
    <n v="1"/>
    <n v="1"/>
    <n v="0"/>
    <n v="370"/>
    <n v="0"/>
    <n v="370"/>
    <n v="74"/>
    <s v="Yes"/>
    <s v="KBC"/>
    <x v="1"/>
    <x v="0"/>
    <x v="0"/>
    <x v="0"/>
    <n v="23.821380000000001"/>
    <n v="97.681970000000007"/>
    <s v="MMR015CMP004"/>
    <x v="0"/>
    <m/>
  </r>
  <r>
    <x v="1"/>
    <x v="7"/>
    <x v="2"/>
    <x v="31"/>
    <x v="410"/>
    <n v="69"/>
    <n v="359"/>
    <n v="140"/>
    <s v="MHF"/>
    <d v="2018-11-17T00:00:00"/>
    <m/>
    <s v="Yes"/>
    <n v="0.4"/>
    <n v="0.2"/>
    <n v="1"/>
    <n v="1"/>
    <n v="30800"/>
    <n v="3"/>
    <n v="2"/>
    <m/>
    <n v="0"/>
    <n v="0"/>
    <n v="10"/>
    <n v="8"/>
    <n v="0"/>
    <m/>
    <n v="10"/>
    <n v="7"/>
    <n v="7"/>
    <s v="Monthly"/>
    <n v="10"/>
    <x v="0"/>
    <x v="0"/>
    <m/>
    <m/>
    <m/>
    <n v="0"/>
    <s v="Communal"/>
    <n v="0"/>
    <n v="2"/>
    <n v="1"/>
    <n v="69"/>
    <n v="0"/>
    <x v="0"/>
    <m/>
    <m/>
    <m/>
    <m/>
    <s v="no test"/>
    <n v="0.8"/>
    <x v="0"/>
    <n v="1"/>
    <n v="1"/>
    <n v="1"/>
    <n v="359"/>
    <n v="1"/>
    <n v="359"/>
    <n v="1"/>
    <n v="359"/>
    <n v="0.71799999999999997"/>
    <n v="0"/>
    <n v="0"/>
    <n v="0.28200000000000003"/>
    <n v="1"/>
    <n v="17"/>
    <n v="0.55710306406685239"/>
    <n v="200"/>
    <n v="5.5710306406685242E-2"/>
    <n v="1"/>
    <n v="18"/>
    <n v="0.41176470588235292"/>
    <n v="140"/>
    <n v="359"/>
    <n v="0"/>
    <n v="1"/>
    <n v="1"/>
    <n v="359"/>
    <n v="1"/>
    <n v="0"/>
    <n v="1"/>
    <n v="1"/>
    <n v="0"/>
    <n v="345"/>
    <n v="0"/>
    <n v="345"/>
    <n v="0"/>
    <s v="Yes"/>
    <s v="KBC"/>
    <x v="1"/>
    <x v="0"/>
    <x v="0"/>
    <x v="0"/>
    <n v="23.828520000000001"/>
    <n v="97.669557999999995"/>
    <s v="MMR015CMP001"/>
    <x v="0"/>
    <m/>
  </r>
  <r>
    <x v="1"/>
    <x v="24"/>
    <x v="2"/>
    <x v="31"/>
    <x v="411"/>
    <n v="36"/>
    <n v="179"/>
    <n v="77"/>
    <s v="MHF,WHH(BMZ, AA),ECHO"/>
    <s v="17/11/2018,30/6/18"/>
    <m/>
    <s v="Yes"/>
    <n v="0.56999999999999995"/>
    <n v="0.14000000000000001"/>
    <m/>
    <n v="1"/>
    <n v="46354"/>
    <m/>
    <n v="1"/>
    <m/>
    <m/>
    <m/>
    <m/>
    <m/>
    <m/>
    <m/>
    <n v="7"/>
    <n v="0"/>
    <n v="0"/>
    <m/>
    <n v="17"/>
    <x v="4"/>
    <x v="0"/>
    <n v="0"/>
    <n v="0"/>
    <m/>
    <n v="0"/>
    <s v="Communal"/>
    <n v="0"/>
    <n v="1"/>
    <n v="1"/>
    <n v="36"/>
    <n v="0"/>
    <x v="0"/>
    <m/>
    <m/>
    <m/>
    <m/>
    <s v="no test"/>
    <s v="no test"/>
    <x v="1"/>
    <n v="1"/>
    <n v="1"/>
    <n v="1"/>
    <n v="179"/>
    <n v="0"/>
    <n v="0"/>
    <n v="1"/>
    <n v="179"/>
    <n v="0.35799999999999998"/>
    <n v="0"/>
    <n v="0"/>
    <n v="0.64200000000000002"/>
    <n v="1"/>
    <n v="7"/>
    <n v="0.78212290502793291"/>
    <n v="140"/>
    <n v="0.223463687150838"/>
    <n v="2"/>
    <n v="9"/>
    <n v="0"/>
    <n v="0"/>
    <n v="179"/>
    <n v="0"/>
    <n v="1"/>
    <n v="1"/>
    <n v="179"/>
    <n v="1"/>
    <n v="0"/>
    <n v="1"/>
    <n v="1"/>
    <n v="0"/>
    <n v="180"/>
    <n v="0"/>
    <n v="180"/>
    <n v="0"/>
    <s v="Yes"/>
    <s v="KBC"/>
    <x v="1"/>
    <x v="0"/>
    <x v="0"/>
    <x v="0"/>
    <n v="23.841646999999998"/>
    <n v="97.700940000000003"/>
    <s v="MMR015CMP214"/>
    <x v="0"/>
    <m/>
  </r>
  <r>
    <x v="1"/>
    <x v="5"/>
    <x v="2"/>
    <x v="31"/>
    <x v="409"/>
    <n v="42"/>
    <n v="217"/>
    <n v="115"/>
    <s v="HARP"/>
    <d v="2018-12-31T00:00:00"/>
    <n v="0"/>
    <s v="Yes"/>
    <n v="0.75"/>
    <n v="0.5"/>
    <n v="1"/>
    <n v="1"/>
    <n v="10800"/>
    <m/>
    <n v="2"/>
    <m/>
    <n v="2"/>
    <n v="2"/>
    <n v="19"/>
    <n v="7"/>
    <n v="0"/>
    <m/>
    <n v="16"/>
    <n v="3"/>
    <n v="1"/>
    <m/>
    <n v="17"/>
    <x v="0"/>
    <x v="0"/>
    <m/>
    <m/>
    <m/>
    <n v="1"/>
    <s v="Communal"/>
    <n v="0"/>
    <n v="2"/>
    <n v="2"/>
    <n v="42"/>
    <n v="0"/>
    <x v="2"/>
    <m/>
    <m/>
    <m/>
    <m/>
    <n v="1"/>
    <n v="0.36842105263157893"/>
    <x v="0"/>
    <n v="1"/>
    <n v="1"/>
    <n v="1"/>
    <n v="217"/>
    <n v="0"/>
    <n v="0"/>
    <n v="1"/>
    <n v="217"/>
    <n v="0.434"/>
    <n v="0"/>
    <n v="0"/>
    <n v="0.56600000000000006"/>
    <n v="1"/>
    <n v="19"/>
    <n v="1"/>
    <n v="217"/>
    <n v="0"/>
    <n v="0"/>
    <n v="11"/>
    <n v="0.15789473684210525"/>
    <n v="20"/>
    <n v="217"/>
    <n v="0"/>
    <n v="1"/>
    <n v="1"/>
    <n v="217"/>
    <n v="1"/>
    <n v="0"/>
    <n v="1"/>
    <n v="1"/>
    <n v="0"/>
    <n v="210"/>
    <n v="0"/>
    <n v="210"/>
    <n v="42"/>
    <s v="Yes"/>
    <s v="KMSS-LSO"/>
    <x v="1"/>
    <x v="0"/>
    <x v="0"/>
    <x v="0"/>
    <n v="23.828150000000001"/>
    <n v="97.670360000000002"/>
    <s v="MMR015CMP003"/>
    <x v="0"/>
    <s v="data is provided from both SCI/KMSS"/>
  </r>
  <r>
    <x v="1"/>
    <x v="24"/>
    <x v="2"/>
    <x v="31"/>
    <x v="414"/>
    <n v="121"/>
    <n v="504"/>
    <n v="132"/>
    <s v="MHF,WHH(BMZ, AA),ECHO"/>
    <s v="17/11/2018,30/6/18, 30/6/18"/>
    <m/>
    <s v="Yes"/>
    <n v="0.5"/>
    <n v="1"/>
    <n v="0"/>
    <n v="1"/>
    <n v="14400"/>
    <n v="3"/>
    <n v="2"/>
    <m/>
    <n v="0"/>
    <n v="0"/>
    <n v="0"/>
    <n v="0"/>
    <n v="0"/>
    <m/>
    <n v="16"/>
    <n v="0"/>
    <n v="0"/>
    <m/>
    <n v="16"/>
    <x v="0"/>
    <x v="0"/>
    <n v="0"/>
    <n v="0"/>
    <s v="no proper place for solid waste"/>
    <n v="0"/>
    <s v="Communal"/>
    <m/>
    <n v="6"/>
    <n v="2"/>
    <n v="121"/>
    <n v="0"/>
    <x v="0"/>
    <m/>
    <m/>
    <m/>
    <m/>
    <s v="no test"/>
    <s v="no test"/>
    <x v="1"/>
    <n v="1"/>
    <n v="1"/>
    <n v="1"/>
    <n v="504"/>
    <n v="1"/>
    <n v="504"/>
    <n v="1"/>
    <n v="504"/>
    <n v="1.008"/>
    <n v="0"/>
    <n v="0"/>
    <n v="0"/>
    <n v="1"/>
    <n v="16"/>
    <n v="0.63492063492063489"/>
    <n v="320"/>
    <n v="0.35714285714285715"/>
    <n v="9"/>
    <n v="25"/>
    <n v="0"/>
    <n v="0"/>
    <n v="504"/>
    <n v="0"/>
    <n v="1"/>
    <n v="1"/>
    <n v="504"/>
    <n v="1"/>
    <n v="0"/>
    <n v="1"/>
    <n v="1"/>
    <n v="0"/>
    <n v="605"/>
    <n v="0"/>
    <n v="605"/>
    <n v="0"/>
    <s v="Yes"/>
    <s v="KBC"/>
    <x v="1"/>
    <x v="0"/>
    <x v="0"/>
    <x v="0"/>
    <n v="23.838190000000001"/>
    <n v="97.709879999999998"/>
    <s v="MMR015CMP215"/>
    <x v="0"/>
    <m/>
  </r>
  <r>
    <x v="1"/>
    <x v="24"/>
    <x v="2"/>
    <x v="28"/>
    <x v="388"/>
    <n v="60"/>
    <n v="288"/>
    <n v="72"/>
    <s v="MHF,WHH(BMZ, AA)"/>
    <s v="17/11/2018,30/6/18"/>
    <m/>
    <s v="Yes"/>
    <n v="0.28999999999999998"/>
    <n v="0.28999999999999998"/>
    <n v="1"/>
    <n v="0"/>
    <n v="7500"/>
    <n v="0"/>
    <n v="1"/>
    <m/>
    <n v="1"/>
    <n v="1"/>
    <n v="10"/>
    <n v="7"/>
    <n v="0"/>
    <m/>
    <n v="16"/>
    <n v="0"/>
    <n v="0"/>
    <m/>
    <n v="16"/>
    <x v="0"/>
    <x v="0"/>
    <n v="0"/>
    <n v="0"/>
    <m/>
    <n v="0"/>
    <s v="Communal"/>
    <n v="0"/>
    <n v="4"/>
    <n v="1"/>
    <n v="60"/>
    <n v="0"/>
    <x v="0"/>
    <m/>
    <m/>
    <m/>
    <m/>
    <n v="1"/>
    <n v="0.7"/>
    <x v="0"/>
    <n v="1"/>
    <n v="1"/>
    <n v="1"/>
    <n v="288"/>
    <n v="0"/>
    <n v="0"/>
    <n v="1"/>
    <n v="288"/>
    <n v="0.57599999999999996"/>
    <n v="0"/>
    <n v="0"/>
    <n v="0.42400000000000004"/>
    <n v="1"/>
    <n v="16"/>
    <n v="1"/>
    <n v="288"/>
    <n v="0"/>
    <n v="0"/>
    <n v="14"/>
    <n v="0"/>
    <n v="0"/>
    <n v="288"/>
    <n v="0"/>
    <n v="1"/>
    <n v="1"/>
    <n v="288"/>
    <n v="1"/>
    <n v="0"/>
    <n v="1"/>
    <n v="1"/>
    <n v="0"/>
    <n v="300"/>
    <n v="0"/>
    <n v="300"/>
    <n v="0"/>
    <s v="Yes"/>
    <s v="KMSS-LSO"/>
    <x v="1"/>
    <x v="0"/>
    <x v="0"/>
    <x v="0"/>
    <n v="23.099304"/>
    <n v="97.400671000000003"/>
    <s v="MMR015CMP248"/>
    <x v="0"/>
    <m/>
  </r>
  <r>
    <x v="1"/>
    <x v="7"/>
    <x v="2"/>
    <x v="28"/>
    <x v="390"/>
    <n v="58"/>
    <n v="257"/>
    <m/>
    <s v="MHF"/>
    <d v="2018-11-17T00:00:00"/>
    <m/>
    <s v="Yes"/>
    <n v="0.28999999999999998"/>
    <n v="0.28999999999999998"/>
    <m/>
    <n v="1"/>
    <n v="5760"/>
    <m/>
    <n v="1"/>
    <m/>
    <n v="0"/>
    <n v="0"/>
    <n v="0"/>
    <n v="0"/>
    <n v="0"/>
    <m/>
    <n v="10"/>
    <n v="0"/>
    <n v="0"/>
    <m/>
    <n v="10"/>
    <x v="0"/>
    <x v="4"/>
    <n v="0"/>
    <n v="0"/>
    <m/>
    <n v="0"/>
    <m/>
    <m/>
    <n v="1"/>
    <n v="1"/>
    <n v="58"/>
    <m/>
    <x v="0"/>
    <m/>
    <m/>
    <m/>
    <m/>
    <s v="no test"/>
    <s v="no test"/>
    <x v="1"/>
    <n v="1"/>
    <n v="1"/>
    <n v="1"/>
    <n v="257"/>
    <n v="0"/>
    <n v="0"/>
    <n v="1"/>
    <n v="257"/>
    <n v="0.51400000000000001"/>
    <n v="0"/>
    <n v="0"/>
    <n v="0.48599999999999999"/>
    <n v="1"/>
    <n v="10"/>
    <n v="0.77821011673151752"/>
    <n v="200"/>
    <n v="0.23346303501945526"/>
    <n v="3"/>
    <n v="13"/>
    <n v="0"/>
    <n v="0"/>
    <n v="257"/>
    <n v="0"/>
    <n v="1"/>
    <n v="1"/>
    <n v="257"/>
    <n v="1"/>
    <n v="0"/>
    <n v="1"/>
    <n v="1"/>
    <n v="0"/>
    <n v="290"/>
    <n v="0"/>
    <n v="290"/>
    <n v="0"/>
    <n v="0"/>
    <n v="0"/>
    <x v="0"/>
    <x v="0"/>
    <x v="0"/>
    <x v="0"/>
    <n v="0"/>
    <n v="0"/>
    <n v="0"/>
    <x v="0"/>
    <m/>
  </r>
  <r>
    <x v="1"/>
    <x v="1"/>
    <x v="2"/>
    <x v="28"/>
    <x v="413"/>
    <n v="28"/>
    <n v="128"/>
    <m/>
    <s v="WHH(BMZ, AA)"/>
    <d v="2018-06-30T00:00:00"/>
    <n v="0"/>
    <s v="No"/>
    <n v="0"/>
    <n v="0"/>
    <m/>
    <n v="1"/>
    <n v="1800"/>
    <m/>
    <n v="2"/>
    <m/>
    <n v="0"/>
    <n v="0"/>
    <n v="0"/>
    <n v="0"/>
    <n v="0"/>
    <m/>
    <n v="7"/>
    <n v="0"/>
    <n v="0"/>
    <m/>
    <n v="5"/>
    <x v="0"/>
    <x v="0"/>
    <n v="0"/>
    <n v="0"/>
    <m/>
    <n v="0.7"/>
    <s v="Communal"/>
    <m/>
    <n v="2"/>
    <n v="2"/>
    <n v="0"/>
    <n v="0"/>
    <x v="0"/>
    <m/>
    <m/>
    <m/>
    <m/>
    <s v="no test"/>
    <s v="no test"/>
    <x v="1"/>
    <n v="1"/>
    <n v="1"/>
    <n v="1"/>
    <n v="128"/>
    <n v="0"/>
    <n v="0"/>
    <n v="1"/>
    <n v="128"/>
    <n v="0.25600000000000001"/>
    <n v="0"/>
    <n v="0"/>
    <n v="0.74399999999999999"/>
    <n v="1"/>
    <n v="7"/>
    <n v="1"/>
    <n v="128"/>
    <n v="0"/>
    <n v="0"/>
    <n v="6"/>
    <n v="0"/>
    <n v="0"/>
    <n v="128"/>
    <n v="0"/>
    <n v="1"/>
    <n v="0"/>
    <n v="0"/>
    <n v="0"/>
    <n v="1"/>
    <n v="1"/>
    <n v="0"/>
    <n v="0"/>
    <n v="0"/>
    <n v="0"/>
    <n v="0"/>
    <n v="19.599999999999998"/>
    <s v="Yes"/>
    <s v="KMSS-LSO"/>
    <x v="1"/>
    <x v="0"/>
    <x v="0"/>
    <x v="0"/>
    <n v="0"/>
    <n v="0"/>
    <s v="MMR015CMP232"/>
    <x v="0"/>
    <m/>
  </r>
  <r>
    <x v="1"/>
    <x v="27"/>
    <x v="2"/>
    <x v="28"/>
    <x v="412"/>
    <n v="57"/>
    <n v="263"/>
    <n v="67"/>
    <s v="MHF,ADRA/CANADA,WHH(BMZ, AA)"/>
    <s v="17/11/2018,31/1/2018,30/6/18"/>
    <m/>
    <s v="Yes"/>
    <n v="0.8"/>
    <n v="0.5"/>
    <m/>
    <n v="1"/>
    <n v="7500"/>
    <m/>
    <n v="7"/>
    <m/>
    <n v="0"/>
    <n v="0"/>
    <n v="0"/>
    <n v="0"/>
    <n v="0"/>
    <m/>
    <n v="16"/>
    <n v="0"/>
    <n v="0"/>
    <m/>
    <n v="16"/>
    <x v="0"/>
    <x v="0"/>
    <n v="0"/>
    <n v="0"/>
    <m/>
    <n v="0.8"/>
    <s v="Communal"/>
    <m/>
    <n v="4"/>
    <n v="2"/>
    <n v="48"/>
    <n v="0"/>
    <x v="0"/>
    <m/>
    <m/>
    <m/>
    <m/>
    <s v="no test"/>
    <s v="no test"/>
    <x v="1"/>
    <n v="1"/>
    <n v="1"/>
    <n v="1"/>
    <n v="263"/>
    <n v="0"/>
    <n v="0"/>
    <n v="1"/>
    <n v="263"/>
    <n v="0.52600000000000002"/>
    <n v="0"/>
    <n v="0"/>
    <n v="0.47399999999999998"/>
    <n v="1"/>
    <n v="16"/>
    <n v="1"/>
    <n v="263"/>
    <n v="0"/>
    <n v="0"/>
    <n v="13"/>
    <n v="0"/>
    <n v="0"/>
    <n v="263"/>
    <n v="0"/>
    <n v="1"/>
    <n v="0"/>
    <n v="0"/>
    <n v="0"/>
    <n v="1"/>
    <n v="1"/>
    <n v="0.84210526315789469"/>
    <n v="0"/>
    <n v="240"/>
    <n v="0"/>
    <n v="240"/>
    <n v="45.6"/>
    <s v="Yes"/>
    <s v="KBC"/>
    <x v="1"/>
    <x v="0"/>
    <x v="0"/>
    <x v="0"/>
    <n v="23.094290000000001"/>
    <n v="97.404089999999997"/>
    <s v="MMR015CMP014"/>
    <x v="0"/>
    <m/>
  </r>
  <r>
    <x v="1"/>
    <x v="1"/>
    <x v="2"/>
    <x v="28"/>
    <x v="415"/>
    <n v="19"/>
    <n v="82"/>
    <n v="18"/>
    <s v="WHH(BMZ, AA)"/>
    <s v="30/4/18, 30/6/18"/>
    <m/>
    <s v="NA"/>
    <s v="NA"/>
    <s v="NA"/>
    <n v="0"/>
    <n v="0"/>
    <n v="17280"/>
    <n v="1"/>
    <m/>
    <m/>
    <n v="0"/>
    <n v="0"/>
    <n v="0"/>
    <n v="0"/>
    <n v="0"/>
    <s v="Solar Pump System (9600 Litre per day)"/>
    <n v="17"/>
    <n v="0"/>
    <n v="0"/>
    <m/>
    <n v="17"/>
    <x v="4"/>
    <x v="4"/>
    <n v="0"/>
    <n v="0"/>
    <m/>
    <n v="0"/>
    <s v="Household"/>
    <m/>
    <m/>
    <n v="1"/>
    <n v="0"/>
    <n v="0"/>
    <x v="0"/>
    <m/>
    <m/>
    <m/>
    <m/>
    <s v="no test"/>
    <s v="no test"/>
    <x v="1"/>
    <n v="1"/>
    <n v="1"/>
    <n v="1"/>
    <n v="82"/>
    <n v="1"/>
    <n v="82"/>
    <n v="1"/>
    <n v="82"/>
    <n v="0.16400000000000001"/>
    <n v="0"/>
    <n v="0"/>
    <n v="0.83599999999999997"/>
    <n v="1"/>
    <n v="17"/>
    <n v="1"/>
    <n v="82"/>
    <n v="0"/>
    <n v="0"/>
    <n v="4"/>
    <n v="0"/>
    <n v="0"/>
    <n v="82"/>
    <n v="0"/>
    <n v="1"/>
    <n v="0"/>
    <n v="0"/>
    <n v="0"/>
    <n v="1"/>
    <n v="1"/>
    <n v="0"/>
    <n v="0"/>
    <n v="0"/>
    <n v="0"/>
    <n v="0"/>
    <n v="0"/>
    <n v="0"/>
    <s v="uncovered"/>
    <x v="1"/>
    <x v="0"/>
    <x v="2"/>
    <x v="0"/>
    <n v="22.765999999999998"/>
    <n v="97.358999999999995"/>
    <s v="MMR015CMP221"/>
    <x v="0"/>
    <m/>
  </r>
  <r>
    <x v="2"/>
    <x v="0"/>
    <x v="0"/>
    <x v="0"/>
    <x v="0"/>
    <n v="80"/>
    <n v="383"/>
    <m/>
    <s v="OFDA"/>
    <d v="2018-04-30T00:00:00"/>
    <n v="0"/>
    <s v="Yes"/>
    <n v="0.6"/>
    <n v="0"/>
    <n v="0"/>
    <n v="10"/>
    <n v="493920"/>
    <n v="0"/>
    <n v="0"/>
    <m/>
    <m/>
    <m/>
    <n v="3"/>
    <n v="3"/>
    <m/>
    <m/>
    <n v="13"/>
    <n v="0"/>
    <n v="15"/>
    <m/>
    <n v="0"/>
    <x v="0"/>
    <x v="0"/>
    <n v="0"/>
    <n v="0"/>
    <m/>
    <n v="1"/>
    <s v="Both"/>
    <n v="0"/>
    <n v="2"/>
    <n v="60"/>
    <n v="0"/>
    <m/>
    <x v="0"/>
    <m/>
    <m/>
    <m/>
    <m/>
    <s v="no test"/>
    <n v="1"/>
    <x v="0"/>
    <n v="1"/>
    <n v="1"/>
    <n v="1"/>
    <n v="383"/>
    <n v="0"/>
    <n v="0"/>
    <n v="1"/>
    <n v="383"/>
    <n v="0.76600000000000001"/>
    <n v="0"/>
    <n v="0"/>
    <n v="0.23399999999999999"/>
    <n v="1"/>
    <n v="13"/>
    <n v="0.6788511749347258"/>
    <n v="260"/>
    <n v="0.3133159268929504"/>
    <n v="6"/>
    <n v="19"/>
    <n v="0"/>
    <n v="300"/>
    <n v="383"/>
    <n v="0"/>
    <n v="1"/>
    <n v="0"/>
    <n v="0"/>
    <n v="0"/>
    <n v="1"/>
    <n v="1"/>
    <n v="0"/>
    <n v="0"/>
    <n v="0"/>
    <n v="0"/>
    <n v="0"/>
    <n v="80"/>
    <n v="0"/>
    <n v="0"/>
    <x v="0"/>
    <x v="0"/>
    <x v="0"/>
    <x v="0"/>
    <n v="0"/>
    <n v="0"/>
    <n v="0"/>
    <x v="0"/>
    <m/>
  </r>
  <r>
    <x v="2"/>
    <x v="0"/>
    <x v="0"/>
    <x v="0"/>
    <x v="1"/>
    <n v="177"/>
    <n v="895"/>
    <m/>
    <s v="OFDA"/>
    <d v="2018-04-30T00:00:00"/>
    <n v="0"/>
    <s v="Yes"/>
    <n v="0.6"/>
    <n v="0"/>
    <n v="0"/>
    <n v="1"/>
    <n v="1270080"/>
    <n v="0"/>
    <n v="0"/>
    <m/>
    <m/>
    <m/>
    <n v="3"/>
    <n v="3"/>
    <m/>
    <m/>
    <n v="36"/>
    <n v="0"/>
    <n v="25"/>
    <m/>
    <n v="0"/>
    <x v="0"/>
    <x v="0"/>
    <n v="0"/>
    <n v="0"/>
    <m/>
    <n v="1"/>
    <s v="Both"/>
    <n v="0"/>
    <n v="3"/>
    <n v="132"/>
    <n v="0"/>
    <m/>
    <x v="0"/>
    <m/>
    <m/>
    <m/>
    <m/>
    <s v="no test"/>
    <n v="1"/>
    <x v="0"/>
    <n v="1"/>
    <n v="1"/>
    <n v="1"/>
    <n v="895"/>
    <n v="0"/>
    <n v="0"/>
    <n v="1"/>
    <n v="895"/>
    <n v="1.79"/>
    <n v="0"/>
    <n v="0"/>
    <n v="0.20999999999999996"/>
    <n v="2"/>
    <n v="36"/>
    <n v="0.8044692737430168"/>
    <n v="720"/>
    <n v="0.2011173184357542"/>
    <n v="9"/>
    <n v="45"/>
    <n v="0"/>
    <n v="500"/>
    <n v="895"/>
    <n v="0"/>
    <n v="1"/>
    <n v="0"/>
    <n v="0"/>
    <n v="0"/>
    <n v="1"/>
    <n v="1"/>
    <n v="0"/>
    <n v="0"/>
    <n v="0"/>
    <n v="0"/>
    <n v="0"/>
    <n v="177"/>
    <s v="Yes"/>
    <s v="KMSS-BMO"/>
    <x v="1"/>
    <x v="0"/>
    <x v="0"/>
    <x v="0"/>
    <n v="24.260719999999999"/>
    <n v="97.238829999999993"/>
    <s v="MMR001CMP050"/>
    <x v="0"/>
    <m/>
  </r>
  <r>
    <x v="2"/>
    <x v="1"/>
    <x v="0"/>
    <x v="0"/>
    <x v="2"/>
    <n v="11"/>
    <n v="52"/>
    <m/>
    <s v="USAID"/>
    <d v="2018-09-01T00:00:00"/>
    <n v="0"/>
    <s v="No"/>
    <n v="0"/>
    <n v="0"/>
    <n v="1"/>
    <n v="1"/>
    <n v="0"/>
    <n v="0"/>
    <n v="0"/>
    <m/>
    <m/>
    <m/>
    <m/>
    <m/>
    <m/>
    <m/>
    <n v="2"/>
    <n v="0"/>
    <m/>
    <m/>
    <n v="0"/>
    <x v="0"/>
    <x v="0"/>
    <m/>
    <m/>
    <m/>
    <n v="0"/>
    <s v="Both"/>
    <n v="0"/>
    <n v="1"/>
    <n v="0"/>
    <n v="11"/>
    <n v="11"/>
    <x v="0"/>
    <m/>
    <m/>
    <m/>
    <m/>
    <s v="no test"/>
    <s v="no test"/>
    <x v="1"/>
    <n v="1"/>
    <n v="1"/>
    <n v="1"/>
    <n v="52"/>
    <n v="0"/>
    <n v="0"/>
    <n v="1"/>
    <n v="52"/>
    <n v="0.104"/>
    <n v="0"/>
    <n v="0"/>
    <n v="0.89600000000000002"/>
    <n v="1"/>
    <n v="2"/>
    <n v="0.76923076923076927"/>
    <n v="40"/>
    <n v="0.38461538461538458"/>
    <n v="1"/>
    <n v="3"/>
    <n v="0"/>
    <n v="0"/>
    <n v="0"/>
    <n v="1"/>
    <n v="0"/>
    <n v="1"/>
    <n v="52"/>
    <n v="1"/>
    <n v="0"/>
    <n v="0"/>
    <n v="1"/>
    <n v="1"/>
    <n v="55"/>
    <n v="55"/>
    <n v="55"/>
    <n v="0"/>
    <s v="Yes"/>
    <s v="KBC"/>
    <x v="1"/>
    <x v="0"/>
    <x v="0"/>
    <x v="0"/>
    <n v="24.260466999999998"/>
    <n v="97.252650000000003"/>
    <s v="MMR001CMP194"/>
    <x v="0"/>
    <m/>
  </r>
  <r>
    <x v="2"/>
    <x v="2"/>
    <x v="0"/>
    <x v="0"/>
    <x v="3"/>
    <n v="76"/>
    <n v="256"/>
    <m/>
    <m/>
    <m/>
    <m/>
    <s v="No"/>
    <n v="0"/>
    <n v="0"/>
    <m/>
    <m/>
    <m/>
    <m/>
    <m/>
    <m/>
    <m/>
    <m/>
    <m/>
    <m/>
    <m/>
    <m/>
    <n v="0"/>
    <m/>
    <m/>
    <m/>
    <m/>
    <x v="1"/>
    <x v="1"/>
    <m/>
    <m/>
    <m/>
    <m/>
    <m/>
    <m/>
    <m/>
    <m/>
    <m/>
    <m/>
    <x v="0"/>
    <m/>
    <m/>
    <m/>
    <m/>
    <s v="no test"/>
    <s v="no test"/>
    <x v="1"/>
    <n v="0"/>
    <n v="0"/>
    <n v="0"/>
    <n v="0"/>
    <n v="0"/>
    <n v="0"/>
    <n v="0"/>
    <n v="0"/>
    <n v="0"/>
    <n v="1"/>
    <n v="256"/>
    <n v="1"/>
    <n v="1"/>
    <n v="0"/>
    <n v="0"/>
    <n v="0"/>
    <n v="1"/>
    <n v="13"/>
    <n v="13"/>
    <n v="0"/>
    <n v="0"/>
    <n v="0"/>
    <n v="0"/>
    <n v="0"/>
    <n v="0"/>
    <n v="0"/>
    <n v="0"/>
    <n v="1"/>
    <n v="0"/>
    <n v="0"/>
    <n v="0"/>
    <n v="0"/>
    <n v="0"/>
    <n v="0"/>
    <n v="0"/>
    <n v="0"/>
    <s v="uncovered"/>
    <x v="1"/>
    <x v="0"/>
    <x v="1"/>
    <x v="0"/>
    <n v="24.263786"/>
    <n v="97.228835000000004"/>
    <s v="MMR001CMP163"/>
    <x v="1"/>
    <m/>
  </r>
  <r>
    <x v="2"/>
    <x v="1"/>
    <x v="0"/>
    <x v="0"/>
    <x v="4"/>
    <n v="39"/>
    <n v="232"/>
    <m/>
    <s v="USAID, Christian AID, HIDA, WHH ( AA )"/>
    <s v="9/1/2018,1-dec-2018"/>
    <n v="0"/>
    <s v="Yes"/>
    <n v="0.4"/>
    <n v="0.2"/>
    <n v="0"/>
    <n v="2"/>
    <n v="0"/>
    <n v="0"/>
    <n v="0"/>
    <m/>
    <m/>
    <m/>
    <m/>
    <m/>
    <m/>
    <m/>
    <n v="7"/>
    <n v="0"/>
    <m/>
    <m/>
    <n v="0"/>
    <x v="0"/>
    <x v="2"/>
    <m/>
    <m/>
    <m/>
    <n v="1"/>
    <s v="Both"/>
    <n v="0"/>
    <n v="2"/>
    <n v="2"/>
    <n v="39"/>
    <n v="39"/>
    <x v="0"/>
    <m/>
    <m/>
    <m/>
    <m/>
    <s v="no test"/>
    <s v="no test"/>
    <x v="1"/>
    <n v="1"/>
    <n v="1"/>
    <n v="1"/>
    <n v="232"/>
    <n v="0"/>
    <n v="0"/>
    <n v="1"/>
    <n v="232"/>
    <n v="0.46400000000000002"/>
    <n v="0"/>
    <n v="0"/>
    <n v="0.53600000000000003"/>
    <n v="1"/>
    <n v="7"/>
    <n v="0.60344827586206895"/>
    <n v="140"/>
    <n v="0.43103448275862072"/>
    <n v="5"/>
    <n v="12"/>
    <n v="0"/>
    <n v="0"/>
    <n v="232"/>
    <n v="1"/>
    <n v="1"/>
    <n v="1"/>
    <n v="232"/>
    <n v="1"/>
    <n v="0"/>
    <n v="1"/>
    <n v="1"/>
    <n v="1"/>
    <n v="195"/>
    <n v="195"/>
    <n v="195"/>
    <n v="39"/>
    <s v="Yes"/>
    <s v="KBC"/>
    <x v="1"/>
    <x v="0"/>
    <x v="0"/>
    <x v="0"/>
    <n v="24.24766"/>
    <n v="97.236919999999998"/>
    <s v="MMR001CMP052"/>
    <x v="0"/>
    <m/>
  </r>
  <r>
    <x v="2"/>
    <x v="1"/>
    <x v="0"/>
    <x v="0"/>
    <x v="5"/>
    <n v="131"/>
    <n v="757"/>
    <m/>
    <s v="USAID, Christian AID, HIDA"/>
    <s v="9/1/2018,1-dec-2018"/>
    <n v="0"/>
    <s v="Yes"/>
    <n v="0.9"/>
    <n v="0.9"/>
    <n v="3"/>
    <n v="1"/>
    <n v="0"/>
    <n v="0"/>
    <n v="0"/>
    <m/>
    <m/>
    <m/>
    <m/>
    <m/>
    <m/>
    <m/>
    <n v="23"/>
    <n v="0"/>
    <n v="4"/>
    <m/>
    <n v="0"/>
    <x v="0"/>
    <x v="2"/>
    <m/>
    <m/>
    <m/>
    <n v="1"/>
    <s v="Both"/>
    <n v="0"/>
    <n v="5"/>
    <n v="2"/>
    <n v="131"/>
    <n v="131"/>
    <x v="0"/>
    <m/>
    <m/>
    <m/>
    <m/>
    <s v="no test"/>
    <s v="no test"/>
    <x v="1"/>
    <n v="1"/>
    <n v="1"/>
    <n v="1"/>
    <n v="757"/>
    <n v="0"/>
    <n v="0"/>
    <n v="1"/>
    <n v="757"/>
    <n v="1.514"/>
    <n v="0"/>
    <n v="0"/>
    <n v="0.48599999999999999"/>
    <n v="2"/>
    <n v="23"/>
    <n v="0.607661822985469"/>
    <n v="460.00000000000006"/>
    <n v="0.39630118890356669"/>
    <n v="15"/>
    <n v="38"/>
    <n v="0"/>
    <n v="80"/>
    <n v="757"/>
    <n v="1"/>
    <n v="1"/>
    <n v="1"/>
    <n v="757"/>
    <n v="1"/>
    <n v="0"/>
    <n v="1"/>
    <n v="1"/>
    <n v="1"/>
    <n v="655"/>
    <n v="655"/>
    <n v="655"/>
    <n v="131"/>
    <s v="Yes"/>
    <s v="Shalom"/>
    <x v="1"/>
    <x v="0"/>
    <x v="0"/>
    <x v="0"/>
    <n v="24.2631743589744"/>
    <n v="97.240183461538507"/>
    <s v="MMR001CMP049"/>
    <x v="0"/>
    <m/>
  </r>
  <r>
    <x v="2"/>
    <x v="1"/>
    <x v="0"/>
    <x v="0"/>
    <x v="7"/>
    <n v="11"/>
    <n v="51"/>
    <m/>
    <s v="USAID"/>
    <d v="2018-09-01T00:00:00"/>
    <n v="0"/>
    <s v="No"/>
    <n v="0"/>
    <n v="0"/>
    <n v="0"/>
    <n v="1"/>
    <n v="0"/>
    <n v="0"/>
    <n v="0"/>
    <m/>
    <m/>
    <m/>
    <m/>
    <m/>
    <m/>
    <m/>
    <n v="4"/>
    <n v="0"/>
    <m/>
    <m/>
    <n v="0"/>
    <x v="0"/>
    <x v="0"/>
    <m/>
    <m/>
    <m/>
    <n v="1"/>
    <s v="Both"/>
    <n v="0"/>
    <n v="2"/>
    <n v="1"/>
    <n v="11"/>
    <n v="11"/>
    <x v="0"/>
    <m/>
    <m/>
    <m/>
    <m/>
    <s v="no test"/>
    <s v="no test"/>
    <x v="1"/>
    <n v="1"/>
    <n v="1"/>
    <n v="1"/>
    <n v="51"/>
    <n v="0"/>
    <n v="0"/>
    <n v="1"/>
    <n v="51"/>
    <n v="0.10199999999999999"/>
    <n v="0"/>
    <n v="0"/>
    <n v="0.89800000000000002"/>
    <n v="1"/>
    <n v="4"/>
    <n v="1"/>
    <n v="51"/>
    <n v="0"/>
    <n v="0"/>
    <n v="3"/>
    <n v="0"/>
    <n v="0"/>
    <n v="51"/>
    <n v="1"/>
    <n v="1"/>
    <n v="1"/>
    <n v="51"/>
    <n v="1"/>
    <n v="0"/>
    <n v="1"/>
    <n v="1"/>
    <n v="1"/>
    <n v="55"/>
    <n v="55"/>
    <n v="55"/>
    <n v="11"/>
    <s v="Yes"/>
    <s v="Shalom"/>
    <x v="1"/>
    <x v="0"/>
    <x v="0"/>
    <x v="0"/>
    <n v="24.253067000000001"/>
    <n v="97.234200000000001"/>
    <s v="MMR001CMP051"/>
    <x v="0"/>
    <m/>
  </r>
  <r>
    <x v="2"/>
    <x v="1"/>
    <x v="0"/>
    <x v="0"/>
    <x v="8"/>
    <n v="21"/>
    <n v="111"/>
    <m/>
    <s v="USAID"/>
    <d v="2018-09-01T00:00:00"/>
    <n v="0"/>
    <s v="Yes"/>
    <n v="0.9"/>
    <n v="0.9"/>
    <n v="0"/>
    <n v="0"/>
    <n v="0"/>
    <n v="0"/>
    <n v="0"/>
    <m/>
    <m/>
    <m/>
    <m/>
    <m/>
    <m/>
    <m/>
    <n v="4"/>
    <n v="0"/>
    <n v="2"/>
    <m/>
    <n v="0"/>
    <x v="0"/>
    <x v="0"/>
    <m/>
    <m/>
    <m/>
    <n v="1"/>
    <s v="Both"/>
    <n v="0"/>
    <n v="2"/>
    <n v="2"/>
    <n v="21"/>
    <n v="21"/>
    <x v="0"/>
    <m/>
    <m/>
    <m/>
    <m/>
    <s v="no test"/>
    <s v="no test"/>
    <x v="1"/>
    <n v="0"/>
    <n v="0"/>
    <n v="0"/>
    <n v="0"/>
    <n v="0"/>
    <n v="0"/>
    <n v="0"/>
    <n v="0"/>
    <n v="0"/>
    <n v="1"/>
    <n v="111"/>
    <n v="1"/>
    <n v="1"/>
    <n v="4"/>
    <n v="0.72072072072072069"/>
    <n v="80"/>
    <n v="0.3603603603603604"/>
    <n v="2"/>
    <n v="6"/>
    <n v="0"/>
    <n v="40"/>
    <n v="111"/>
    <n v="1"/>
    <n v="1"/>
    <n v="1"/>
    <n v="111"/>
    <n v="1"/>
    <n v="0"/>
    <n v="1"/>
    <n v="1"/>
    <n v="1"/>
    <n v="105"/>
    <n v="105"/>
    <n v="105"/>
    <n v="21"/>
    <s v="Yes"/>
    <s v="KMSS-BMO"/>
    <x v="1"/>
    <x v="0"/>
    <x v="0"/>
    <x v="0"/>
    <n v="24.32638"/>
    <n v="97.315860000000001"/>
    <s v="MMR001CMP054"/>
    <x v="0"/>
    <m/>
  </r>
  <r>
    <x v="2"/>
    <x v="0"/>
    <x v="0"/>
    <x v="0"/>
    <x v="9"/>
    <n v="147"/>
    <n v="777"/>
    <m/>
    <s v="OFDA"/>
    <d v="2018-04-30T00:00:00"/>
    <n v="0"/>
    <s v="Yes"/>
    <n v="0.6"/>
    <n v="0"/>
    <n v="0"/>
    <n v="4"/>
    <n v="1890000"/>
    <n v="0"/>
    <n v="0"/>
    <m/>
    <m/>
    <m/>
    <n v="9"/>
    <n v="9"/>
    <m/>
    <m/>
    <n v="45"/>
    <n v="0"/>
    <n v="26"/>
    <m/>
    <n v="0"/>
    <x v="0"/>
    <x v="0"/>
    <n v="0"/>
    <n v="0"/>
    <m/>
    <n v="1"/>
    <s v="Both"/>
    <n v="0"/>
    <n v="8"/>
    <n v="110"/>
    <n v="0"/>
    <m/>
    <x v="0"/>
    <m/>
    <m/>
    <m/>
    <m/>
    <s v="no test"/>
    <n v="1"/>
    <x v="0"/>
    <n v="1"/>
    <n v="1"/>
    <n v="1"/>
    <n v="777"/>
    <n v="0"/>
    <n v="0"/>
    <n v="1"/>
    <n v="777"/>
    <n v="1.554"/>
    <n v="0"/>
    <n v="0"/>
    <n v="0.44599999999999995"/>
    <n v="2"/>
    <n v="45"/>
    <n v="1"/>
    <n v="777"/>
    <n v="0"/>
    <n v="0"/>
    <n v="39"/>
    <n v="0"/>
    <n v="520"/>
    <n v="777"/>
    <n v="0"/>
    <n v="1"/>
    <n v="0"/>
    <n v="0"/>
    <n v="0"/>
    <n v="1"/>
    <n v="1"/>
    <n v="0"/>
    <n v="0"/>
    <n v="0"/>
    <n v="0"/>
    <n v="0"/>
    <n v="147"/>
    <s v="Yes"/>
    <s v="KBC"/>
    <x v="1"/>
    <x v="0"/>
    <x v="0"/>
    <x v="0"/>
    <n v="24.222349999999999"/>
    <n v="97.252650000000003"/>
    <s v="MMR001CMP193"/>
    <x v="0"/>
    <m/>
  </r>
  <r>
    <x v="2"/>
    <x v="0"/>
    <x v="0"/>
    <x v="0"/>
    <x v="10"/>
    <n v="637"/>
    <n v="3974"/>
    <m/>
    <s v="OFDA"/>
    <d v="2018-04-30T00:00:00"/>
    <n v="0"/>
    <s v="Yes"/>
    <n v="0.63"/>
    <n v="0"/>
    <n v="0"/>
    <n v="22"/>
    <n v="1452600"/>
    <n v="0"/>
    <n v="0"/>
    <m/>
    <m/>
    <m/>
    <n v="9"/>
    <n v="5"/>
    <m/>
    <m/>
    <n v="160"/>
    <n v="0"/>
    <n v="75"/>
    <m/>
    <n v="0"/>
    <x v="0"/>
    <x v="0"/>
    <n v="0"/>
    <n v="0"/>
    <m/>
    <n v="1"/>
    <s v="Both"/>
    <n v="0"/>
    <n v="12"/>
    <n v="477"/>
    <n v="0"/>
    <m/>
    <x v="0"/>
    <m/>
    <m/>
    <m/>
    <m/>
    <s v="no test"/>
    <n v="0.55555555555555558"/>
    <x v="0"/>
    <n v="1"/>
    <n v="1"/>
    <n v="1"/>
    <n v="3974"/>
    <n v="0"/>
    <n v="0"/>
    <n v="1"/>
    <n v="3974"/>
    <n v="7.9480000000000004"/>
    <n v="0"/>
    <n v="0"/>
    <n v="5.1999999999999602E-2"/>
    <n v="8"/>
    <n v="160"/>
    <n v="0.80523402113739306"/>
    <n v="3200"/>
    <n v="0.19627579265223957"/>
    <n v="39"/>
    <n v="199"/>
    <n v="0"/>
    <n v="1500"/>
    <n v="3974"/>
    <n v="0"/>
    <n v="1"/>
    <n v="0"/>
    <n v="0"/>
    <n v="0"/>
    <n v="1"/>
    <n v="1"/>
    <n v="0"/>
    <n v="0"/>
    <n v="0"/>
    <n v="0"/>
    <n v="0"/>
    <n v="637"/>
    <s v="Yes"/>
    <s v="KBC"/>
    <x v="1"/>
    <x v="0"/>
    <x v="0"/>
    <x v="0"/>
    <n v="24.268292826086999"/>
    <n v="97.229116811594196"/>
    <s v="MMR001CMP047"/>
    <x v="0"/>
    <m/>
  </r>
  <r>
    <x v="2"/>
    <x v="0"/>
    <x v="0"/>
    <x v="0"/>
    <x v="11"/>
    <n v="281"/>
    <n v="1409"/>
    <m/>
    <s v="OFDA"/>
    <d v="2018-04-30T00:00:00"/>
    <n v="0"/>
    <s v="No"/>
    <n v="0"/>
    <n v="0"/>
    <n v="0"/>
    <n v="0"/>
    <n v="0"/>
    <n v="0"/>
    <n v="0"/>
    <m/>
    <n v="0"/>
    <n v="0"/>
    <n v="0"/>
    <n v="0"/>
    <n v="39"/>
    <m/>
    <n v="0"/>
    <n v="0"/>
    <n v="0"/>
    <m/>
    <n v="0"/>
    <x v="0"/>
    <x v="0"/>
    <n v="0"/>
    <n v="0"/>
    <m/>
    <n v="1"/>
    <s v="Both"/>
    <n v="0"/>
    <m/>
    <m/>
    <n v="0"/>
    <n v="0"/>
    <x v="1"/>
    <m/>
    <m/>
    <m/>
    <m/>
    <s v="no test"/>
    <s v="no test"/>
    <x v="1"/>
    <n v="0"/>
    <n v="0"/>
    <n v="0"/>
    <n v="0"/>
    <n v="0"/>
    <n v="0"/>
    <n v="0"/>
    <n v="0"/>
    <n v="0"/>
    <n v="1"/>
    <n v="1409"/>
    <n v="3"/>
    <n v="3"/>
    <n v="0"/>
    <n v="0"/>
    <n v="0"/>
    <n v="0.99361249112845984"/>
    <n v="70"/>
    <n v="70"/>
    <n v="0"/>
    <n v="0"/>
    <n v="0"/>
    <n v="0"/>
    <n v="0"/>
    <n v="0"/>
    <n v="0"/>
    <n v="0"/>
    <n v="1"/>
    <n v="0"/>
    <n v="0"/>
    <n v="0"/>
    <n v="0"/>
    <n v="0"/>
    <n v="0"/>
    <n v="281"/>
    <s v="No"/>
    <n v="0"/>
    <x v="0"/>
    <x v="0"/>
    <x v="0"/>
    <x v="0"/>
    <n v="0"/>
    <n v="0"/>
    <n v="0"/>
    <x v="0"/>
    <m/>
  </r>
  <r>
    <x v="2"/>
    <x v="2"/>
    <x v="0"/>
    <x v="0"/>
    <x v="419"/>
    <n v="21"/>
    <n v="95"/>
    <m/>
    <m/>
    <m/>
    <m/>
    <s v="No"/>
    <n v="0"/>
    <n v="0"/>
    <m/>
    <m/>
    <m/>
    <m/>
    <m/>
    <m/>
    <m/>
    <m/>
    <m/>
    <m/>
    <m/>
    <m/>
    <n v="0"/>
    <m/>
    <m/>
    <m/>
    <m/>
    <x v="1"/>
    <x v="1"/>
    <m/>
    <m/>
    <m/>
    <m/>
    <m/>
    <m/>
    <m/>
    <m/>
    <m/>
    <m/>
    <x v="0"/>
    <m/>
    <m/>
    <m/>
    <m/>
    <s v="no test"/>
    <s v="no test"/>
    <x v="1"/>
    <n v="0"/>
    <n v="0"/>
    <n v="0"/>
    <n v="0"/>
    <n v="0"/>
    <n v="0"/>
    <n v="0"/>
    <n v="0"/>
    <n v="0"/>
    <n v="1"/>
    <n v="95"/>
    <n v="1"/>
    <n v="1"/>
    <n v="0"/>
    <n v="0"/>
    <n v="0"/>
    <n v="1"/>
    <n v="5"/>
    <n v="5"/>
    <n v="0"/>
    <n v="0"/>
    <n v="0"/>
    <n v="0"/>
    <n v="0"/>
    <n v="0"/>
    <n v="0"/>
    <n v="0"/>
    <n v="1"/>
    <n v="0"/>
    <n v="0"/>
    <n v="0"/>
    <n v="0"/>
    <n v="0"/>
    <n v="0"/>
    <n v="0"/>
    <s v="Yes"/>
    <s v="Shalom"/>
    <x v="1"/>
    <x v="0"/>
    <x v="3"/>
    <x v="0"/>
    <n v="24.29138"/>
    <n v="97.227789999999999"/>
    <s v="MMR001CMP055"/>
    <x v="1"/>
    <m/>
  </r>
  <r>
    <x v="2"/>
    <x v="1"/>
    <x v="0"/>
    <x v="0"/>
    <x v="12"/>
    <n v="13"/>
    <n v="75"/>
    <m/>
    <s v="USAID"/>
    <d v="2018-09-01T00:00:00"/>
    <n v="0"/>
    <s v="No"/>
    <n v="0"/>
    <n v="0"/>
    <n v="0"/>
    <n v="1"/>
    <n v="0"/>
    <n v="0"/>
    <n v="0"/>
    <m/>
    <m/>
    <m/>
    <m/>
    <m/>
    <m/>
    <m/>
    <n v="10"/>
    <n v="0"/>
    <m/>
    <m/>
    <n v="0"/>
    <x v="0"/>
    <x v="0"/>
    <m/>
    <m/>
    <m/>
    <n v="1"/>
    <s v="Both"/>
    <n v="0"/>
    <n v="2"/>
    <n v="1"/>
    <n v="13"/>
    <n v="13"/>
    <x v="0"/>
    <m/>
    <m/>
    <m/>
    <m/>
    <s v="no test"/>
    <s v="no test"/>
    <x v="1"/>
    <n v="1"/>
    <n v="1"/>
    <n v="1"/>
    <n v="75"/>
    <n v="0"/>
    <n v="0"/>
    <n v="1"/>
    <n v="75"/>
    <n v="0.15"/>
    <n v="0"/>
    <n v="0"/>
    <n v="0.85"/>
    <n v="1"/>
    <n v="10"/>
    <n v="1"/>
    <n v="75"/>
    <n v="0"/>
    <n v="0"/>
    <n v="4"/>
    <n v="0"/>
    <n v="0"/>
    <n v="75"/>
    <n v="1"/>
    <n v="1"/>
    <n v="1"/>
    <n v="75"/>
    <n v="1"/>
    <n v="0"/>
    <n v="1"/>
    <n v="1"/>
    <n v="1"/>
    <n v="65"/>
    <n v="65"/>
    <n v="65"/>
    <n v="13"/>
    <s v="Yes"/>
    <s v="Shalom"/>
    <x v="1"/>
    <x v="0"/>
    <x v="0"/>
    <x v="0"/>
    <n v="24.24953"/>
    <n v="97.240639999999999"/>
    <s v="MMR001CMP053"/>
    <x v="0"/>
    <m/>
  </r>
  <r>
    <x v="2"/>
    <x v="4"/>
    <x v="0"/>
    <x v="1"/>
    <x v="13"/>
    <n v="108"/>
    <n v="519"/>
    <m/>
    <s v="UNICEF/OFDA"/>
    <d v="2017-07-31T00:00:00"/>
    <n v="0"/>
    <s v="Yes"/>
    <n v="0.6"/>
    <n v="1"/>
    <n v="0"/>
    <n v="0"/>
    <n v="0"/>
    <n v="0"/>
    <n v="1"/>
    <m/>
    <n v="0"/>
    <n v="0"/>
    <n v="0"/>
    <n v="0"/>
    <n v="0"/>
    <s v="We need to check with how many litre/day of gravity system when we will go field trip to Chihpwi"/>
    <n v="26"/>
    <n v="4"/>
    <n v="0"/>
    <m/>
    <n v="26"/>
    <x v="3"/>
    <x v="2"/>
    <n v="0"/>
    <n v="0"/>
    <m/>
    <n v="0.5"/>
    <s v="Communal"/>
    <n v="0"/>
    <n v="5"/>
    <n v="0"/>
    <n v="0"/>
    <n v="0"/>
    <x v="0"/>
    <m/>
    <m/>
    <m/>
    <m/>
    <s v="no test"/>
    <s v="no test"/>
    <x v="1"/>
    <n v="0"/>
    <n v="0"/>
    <n v="0"/>
    <n v="0"/>
    <n v="0"/>
    <n v="0"/>
    <n v="0"/>
    <n v="0"/>
    <n v="0"/>
    <n v="1"/>
    <n v="519"/>
    <n v="1"/>
    <n v="1"/>
    <n v="30"/>
    <n v="1"/>
    <n v="519"/>
    <n v="0"/>
    <n v="0"/>
    <n v="26"/>
    <n v="0.13333333333333333"/>
    <n v="0"/>
    <n v="0"/>
    <n v="0"/>
    <n v="0"/>
    <n v="0"/>
    <n v="0"/>
    <n v="0"/>
    <n v="1"/>
    <n v="0"/>
    <n v="0"/>
    <n v="0"/>
    <n v="0"/>
    <n v="0"/>
    <n v="0"/>
    <n v="54"/>
    <s v="Yes"/>
    <s v="Shalom"/>
    <x v="1"/>
    <x v="0"/>
    <x v="0"/>
    <x v="0"/>
    <n v="25.889410000000002"/>
    <n v="98.131550000000004"/>
    <s v="MMR001CMP042"/>
    <x v="0"/>
    <m/>
  </r>
  <r>
    <x v="2"/>
    <x v="3"/>
    <x v="0"/>
    <x v="1"/>
    <x v="14"/>
    <n v="160"/>
    <n v="823"/>
    <m/>
    <s v="Plan/GFFO,ADRA/CANADA  "/>
    <d v="2019-03-31T00:00:00"/>
    <n v="0"/>
    <s v="Yes"/>
    <n v="0.6"/>
    <n v="0.5"/>
    <n v="0"/>
    <n v="0"/>
    <n v="349920"/>
    <n v="0"/>
    <n v="0"/>
    <m/>
    <n v="0"/>
    <n v="0"/>
    <n v="0"/>
    <n v="0"/>
    <n v="0"/>
    <m/>
    <n v="27"/>
    <n v="0"/>
    <n v="0"/>
    <m/>
    <n v="0"/>
    <x v="0"/>
    <x v="0"/>
    <m/>
    <n v="5"/>
    <m/>
    <n v="0.6"/>
    <s v="Both"/>
    <n v="0"/>
    <n v="4"/>
    <n v="3"/>
    <n v="0"/>
    <n v="0"/>
    <x v="0"/>
    <m/>
    <m/>
    <m/>
    <m/>
    <s v="no test"/>
    <s v="no test"/>
    <x v="1"/>
    <n v="1"/>
    <n v="1"/>
    <n v="1"/>
    <n v="823"/>
    <n v="0"/>
    <n v="0"/>
    <n v="1"/>
    <n v="823"/>
    <n v="1.6459999999999999"/>
    <n v="0"/>
    <n v="0"/>
    <n v="0.35400000000000009"/>
    <n v="2"/>
    <n v="27"/>
    <n v="0.65613608748481167"/>
    <n v="540"/>
    <n v="0.3402187120291616"/>
    <n v="14"/>
    <n v="41"/>
    <n v="0"/>
    <n v="0"/>
    <n v="823"/>
    <n v="0"/>
    <n v="1"/>
    <n v="0"/>
    <n v="0"/>
    <n v="0"/>
    <n v="1"/>
    <n v="1"/>
    <n v="0"/>
    <n v="0"/>
    <n v="0"/>
    <n v="0"/>
    <n v="0"/>
    <n v="96"/>
    <s v="Yes"/>
    <s v="KBC"/>
    <x v="1"/>
    <x v="0"/>
    <x v="0"/>
    <x v="1"/>
    <n v="25.754110000000001"/>
    <n v="98.475719999999995"/>
    <s v="MMR001CMP043"/>
    <x v="0"/>
    <m/>
  </r>
  <r>
    <x v="2"/>
    <x v="4"/>
    <x v="0"/>
    <x v="1"/>
    <x v="15"/>
    <n v="143"/>
    <n v="640"/>
    <m/>
    <s v="OFDA"/>
    <d v="2017-07-31T00:00:00"/>
    <n v="0"/>
    <s v="Yes"/>
    <n v="0.43"/>
    <n v="0"/>
    <n v="0"/>
    <n v="0"/>
    <n v="0"/>
    <n v="0"/>
    <n v="2"/>
    <m/>
    <n v="0"/>
    <n v="0"/>
    <n v="0"/>
    <n v="0"/>
    <n v="0"/>
    <m/>
    <n v="39"/>
    <n v="2"/>
    <n v="0"/>
    <m/>
    <n v="39"/>
    <x v="3"/>
    <x v="2"/>
    <n v="0"/>
    <n v="0"/>
    <m/>
    <n v="0.3"/>
    <s v="Communal"/>
    <n v="0"/>
    <n v="9"/>
    <n v="0"/>
    <n v="0"/>
    <n v="0"/>
    <x v="0"/>
    <m/>
    <m/>
    <m/>
    <m/>
    <s v="no test"/>
    <s v="no test"/>
    <x v="1"/>
    <n v="0"/>
    <n v="0"/>
    <n v="0"/>
    <n v="0"/>
    <n v="0"/>
    <n v="0"/>
    <n v="0"/>
    <n v="0"/>
    <n v="0"/>
    <n v="1"/>
    <n v="640"/>
    <n v="1"/>
    <n v="1"/>
    <n v="41"/>
    <n v="1"/>
    <n v="640"/>
    <n v="0"/>
    <n v="0"/>
    <n v="32"/>
    <n v="4.878048780487805E-2"/>
    <n v="0"/>
    <n v="0"/>
    <n v="0"/>
    <n v="0"/>
    <n v="0"/>
    <n v="0"/>
    <n v="0"/>
    <n v="1"/>
    <n v="0"/>
    <n v="0"/>
    <n v="0"/>
    <n v="0"/>
    <n v="0"/>
    <n v="0"/>
    <n v="42.9"/>
    <s v="Yes"/>
    <s v="Shalom"/>
    <x v="1"/>
    <x v="0"/>
    <x v="0"/>
    <x v="0"/>
    <n v="25.887339999999998"/>
    <n v="98.129990000000006"/>
    <s v="MMR001CMP195"/>
    <x v="0"/>
    <m/>
  </r>
  <r>
    <x v="2"/>
    <x v="5"/>
    <x v="0"/>
    <x v="1"/>
    <x v="16"/>
    <n v="57"/>
    <n v="267"/>
    <m/>
    <s v="DFID/UNICEF"/>
    <d v="2018-12-31T00:00:00"/>
    <n v="0"/>
    <s v="Yes"/>
    <n v="0.6"/>
    <n v="0.3"/>
    <n v="0"/>
    <n v="0"/>
    <n v="4000"/>
    <n v="0"/>
    <n v="4"/>
    <m/>
    <n v="0"/>
    <n v="0"/>
    <n v="0"/>
    <n v="0"/>
    <n v="0"/>
    <s v="Need to be renovation of GFS"/>
    <n v="12"/>
    <n v="0"/>
    <n v="0"/>
    <m/>
    <n v="8"/>
    <x v="0"/>
    <x v="2"/>
    <n v="0"/>
    <n v="0"/>
    <m/>
    <n v="0"/>
    <s v="Communal"/>
    <n v="0"/>
    <n v="3"/>
    <n v="1"/>
    <n v="0"/>
    <n v="0"/>
    <x v="1"/>
    <m/>
    <m/>
    <m/>
    <m/>
    <s v="no test"/>
    <s v="no test"/>
    <x v="1"/>
    <n v="0.99875156054931347"/>
    <n v="0.99875156054931347"/>
    <n v="0.99875156054931347"/>
    <n v="266.66666666666669"/>
    <n v="0"/>
    <n v="0"/>
    <n v="0.99875156054931347"/>
    <n v="266.66666666666669"/>
    <n v="0.53333333333333333"/>
    <n v="1.2484394506865337E-3"/>
    <n v="0.3333333333333045"/>
    <n v="0.46666666666666667"/>
    <n v="1"/>
    <n v="12"/>
    <n v="0.898876404494382"/>
    <n v="240"/>
    <n v="7.4906367041198504E-2"/>
    <n v="1"/>
    <n v="13"/>
    <n v="0"/>
    <n v="0"/>
    <n v="267"/>
    <n v="0"/>
    <n v="1"/>
    <n v="0"/>
    <n v="0"/>
    <n v="0"/>
    <n v="1"/>
    <n v="1"/>
    <n v="0"/>
    <n v="0"/>
    <n v="0"/>
    <n v="0"/>
    <n v="0"/>
    <n v="0"/>
    <s v="Yes"/>
    <s v="KMSS-MYT"/>
    <x v="1"/>
    <x v="0"/>
    <x v="0"/>
    <x v="0"/>
    <n v="25.60867"/>
    <n v="98.377780000000001"/>
    <s v="MMR001CMP210"/>
    <x v="0"/>
    <m/>
  </r>
  <r>
    <x v="2"/>
    <x v="5"/>
    <x v="0"/>
    <x v="1"/>
    <x v="17"/>
    <n v="30"/>
    <n v="173"/>
    <m/>
    <s v="DFID / UNICEF "/>
    <d v="2018-12-31T00:00:00"/>
    <n v="0"/>
    <s v="Yes"/>
    <n v="0.4"/>
    <n v="0.3"/>
    <n v="0"/>
    <n v="0"/>
    <n v="2000"/>
    <n v="0"/>
    <n v="2"/>
    <m/>
    <n v="0"/>
    <n v="0"/>
    <n v="0"/>
    <n v="0"/>
    <n v="0"/>
    <m/>
    <n v="10"/>
    <n v="0"/>
    <n v="0"/>
    <m/>
    <n v="0"/>
    <x v="0"/>
    <x v="2"/>
    <n v="0"/>
    <n v="0"/>
    <m/>
    <n v="0"/>
    <s v="Communal"/>
    <n v="0"/>
    <n v="0"/>
    <n v="1"/>
    <n v="0"/>
    <n v="0"/>
    <x v="1"/>
    <m/>
    <m/>
    <m/>
    <m/>
    <s v="no test"/>
    <s v="no test"/>
    <x v="1"/>
    <n v="0.77071290944123316"/>
    <n v="0.77071290944123316"/>
    <n v="0.77071290944123316"/>
    <n v="133.33333333333334"/>
    <n v="0"/>
    <n v="0"/>
    <n v="0.77071290944123316"/>
    <n v="133.33333333333334"/>
    <n v="0.26666666666666666"/>
    <n v="0.22928709055876684"/>
    <n v="39.666666666666664"/>
    <n v="0.73333333333333339"/>
    <n v="1"/>
    <n v="10"/>
    <n v="1"/>
    <n v="173"/>
    <n v="0"/>
    <n v="0"/>
    <n v="9"/>
    <n v="0"/>
    <n v="0"/>
    <n v="173"/>
    <n v="0"/>
    <n v="1"/>
    <n v="0"/>
    <n v="0"/>
    <n v="0"/>
    <n v="1"/>
    <n v="1"/>
    <n v="0"/>
    <n v="0"/>
    <n v="0"/>
    <n v="0"/>
    <n v="0"/>
    <n v="0"/>
    <s v="Yes"/>
    <s v="KMSS-MYT"/>
    <x v="1"/>
    <x v="0"/>
    <x v="0"/>
    <x v="0"/>
    <n v="25.645959999999999"/>
    <n v="98.356260000000006"/>
    <s v="MMR001CMP225"/>
    <x v="0"/>
    <m/>
  </r>
  <r>
    <x v="2"/>
    <x v="5"/>
    <x v="0"/>
    <x v="2"/>
    <x v="18"/>
    <n v="70"/>
    <n v="350"/>
    <m/>
    <s v="DFID/UNICEF"/>
    <d v="2018-12-31T00:00:00"/>
    <n v="0"/>
    <s v="Yes"/>
    <n v="0.5"/>
    <n v="0.1"/>
    <n v="2"/>
    <n v="0"/>
    <n v="4000"/>
    <n v="0"/>
    <n v="3"/>
    <m/>
    <n v="1"/>
    <n v="0"/>
    <n v="12"/>
    <n v="1"/>
    <n v="0"/>
    <m/>
    <n v="8"/>
    <n v="0"/>
    <n v="0"/>
    <m/>
    <n v="8"/>
    <x v="0"/>
    <x v="2"/>
    <n v="0"/>
    <n v="0"/>
    <m/>
    <n v="0"/>
    <s v="Communal"/>
    <n v="0"/>
    <n v="3"/>
    <n v="2"/>
    <n v="0"/>
    <n v="0"/>
    <x v="1"/>
    <m/>
    <m/>
    <m/>
    <m/>
    <n v="0"/>
    <n v="8.3333333333333329E-2"/>
    <x v="0"/>
    <n v="1"/>
    <n v="1"/>
    <n v="1"/>
    <n v="350"/>
    <n v="0"/>
    <n v="0"/>
    <n v="1"/>
    <n v="350"/>
    <n v="0.7"/>
    <n v="0"/>
    <n v="0"/>
    <n v="0.30000000000000004"/>
    <n v="1"/>
    <n v="8"/>
    <n v="0.45714285714285713"/>
    <n v="160"/>
    <n v="0.5714285714285714"/>
    <n v="10"/>
    <n v="18"/>
    <n v="0"/>
    <n v="0"/>
    <n v="350"/>
    <n v="0"/>
    <n v="1"/>
    <n v="0"/>
    <n v="0"/>
    <n v="0"/>
    <n v="1"/>
    <n v="1"/>
    <n v="0"/>
    <n v="0"/>
    <n v="0"/>
    <n v="0"/>
    <n v="0"/>
    <n v="0"/>
    <s v="Yes"/>
    <s v="KMSS-MYT"/>
    <x v="1"/>
    <x v="0"/>
    <x v="0"/>
    <x v="0"/>
    <n v="25.656009999999998"/>
    <n v="96.361609999999999"/>
    <s v="MMR001CMP168"/>
    <x v="0"/>
    <m/>
  </r>
  <r>
    <x v="2"/>
    <x v="4"/>
    <x v="0"/>
    <x v="2"/>
    <x v="19"/>
    <n v="65"/>
    <n v="350"/>
    <m/>
    <s v="OFDA"/>
    <d v="2017-07-31T00:00:00"/>
    <n v="0"/>
    <s v="Yes"/>
    <n v="0.2"/>
    <n v="1"/>
    <n v="2"/>
    <n v="1"/>
    <n v="1500"/>
    <n v="0"/>
    <n v="3"/>
    <m/>
    <n v="0"/>
    <n v="0"/>
    <n v="0"/>
    <n v="0"/>
    <n v="0"/>
    <m/>
    <n v="20"/>
    <n v="20"/>
    <n v="0"/>
    <m/>
    <n v="20"/>
    <x v="0"/>
    <x v="2"/>
    <n v="0"/>
    <n v="0"/>
    <m/>
    <n v="0.5"/>
    <s v="Communal"/>
    <n v="0"/>
    <n v="4"/>
    <n v="0"/>
    <n v="0"/>
    <n v="0"/>
    <x v="0"/>
    <m/>
    <m/>
    <m/>
    <m/>
    <s v="no test"/>
    <s v="no test"/>
    <x v="1"/>
    <n v="1"/>
    <n v="1"/>
    <n v="1"/>
    <n v="350"/>
    <n v="0"/>
    <n v="0"/>
    <n v="1"/>
    <n v="350"/>
    <n v="0.7"/>
    <n v="0"/>
    <n v="0"/>
    <n v="0.30000000000000004"/>
    <n v="1"/>
    <n v="40"/>
    <n v="1"/>
    <n v="350"/>
    <n v="0"/>
    <n v="0"/>
    <n v="18"/>
    <n v="0.5"/>
    <n v="0"/>
    <n v="0"/>
    <n v="0"/>
    <n v="0"/>
    <n v="0"/>
    <n v="0"/>
    <n v="0"/>
    <n v="1"/>
    <n v="0"/>
    <n v="0"/>
    <n v="0"/>
    <n v="0"/>
    <n v="0"/>
    <n v="0"/>
    <n v="32.5"/>
    <s v="Yes"/>
    <s v="Shalom"/>
    <x v="1"/>
    <x v="0"/>
    <x v="0"/>
    <x v="0"/>
    <n v="25.635300000000001"/>
    <n v="96.345569999999995"/>
    <s v="MMR001CMP176"/>
    <x v="0"/>
    <m/>
  </r>
  <r>
    <x v="2"/>
    <x v="4"/>
    <x v="0"/>
    <x v="2"/>
    <x v="20"/>
    <n v="14"/>
    <n v="81"/>
    <m/>
    <s v="OFDA"/>
    <d v="2017-07-31T00:00:00"/>
    <n v="0"/>
    <s v="Yes"/>
    <n v="0.5"/>
    <n v="0"/>
    <n v="1"/>
    <n v="0"/>
    <n v="500"/>
    <n v="0"/>
    <n v="1"/>
    <m/>
    <n v="0"/>
    <n v="0"/>
    <n v="0"/>
    <n v="0"/>
    <n v="0"/>
    <m/>
    <n v="4"/>
    <n v="0"/>
    <n v="0"/>
    <m/>
    <n v="4"/>
    <x v="0"/>
    <x v="2"/>
    <n v="0"/>
    <n v="0"/>
    <m/>
    <n v="0.2"/>
    <s v="Communal"/>
    <n v="0"/>
    <n v="2"/>
    <n v="0"/>
    <n v="0"/>
    <n v="0"/>
    <x v="0"/>
    <m/>
    <m/>
    <m/>
    <m/>
    <s v="no test"/>
    <s v="no test"/>
    <x v="1"/>
    <n v="1"/>
    <n v="1"/>
    <n v="1"/>
    <n v="81"/>
    <n v="0"/>
    <n v="0"/>
    <n v="1"/>
    <n v="81"/>
    <n v="0.16200000000000001"/>
    <n v="0"/>
    <n v="0"/>
    <n v="0.83799999999999997"/>
    <n v="1"/>
    <n v="4"/>
    <n v="0.98765432098765427"/>
    <n v="80"/>
    <n v="0"/>
    <n v="0"/>
    <n v="4"/>
    <n v="0"/>
    <n v="0"/>
    <n v="0"/>
    <n v="0"/>
    <n v="0"/>
    <n v="0"/>
    <n v="0"/>
    <n v="0"/>
    <n v="1"/>
    <n v="0"/>
    <n v="0"/>
    <n v="0"/>
    <n v="0"/>
    <n v="0"/>
    <n v="0"/>
    <n v="2.8000000000000003"/>
    <s v="Yes"/>
    <s v="Shalom"/>
    <x v="1"/>
    <x v="0"/>
    <x v="0"/>
    <x v="0"/>
    <n v="25.616509000000001"/>
    <n v="96.317350000000005"/>
    <s v="MMR001CMP190"/>
    <x v="0"/>
    <m/>
  </r>
  <r>
    <x v="2"/>
    <x v="4"/>
    <x v="0"/>
    <x v="2"/>
    <x v="21"/>
    <n v="37"/>
    <n v="228"/>
    <m/>
    <s v="OFDA"/>
    <d v="2017-07-31T00:00:00"/>
    <n v="0"/>
    <s v="Yes"/>
    <n v="0.5"/>
    <n v="0"/>
    <n v="2"/>
    <n v="0"/>
    <n v="2000"/>
    <n v="0"/>
    <n v="2"/>
    <m/>
    <n v="0"/>
    <n v="0"/>
    <n v="0"/>
    <n v="0"/>
    <n v="0"/>
    <s v="Water distribution system(overhead tank) is not functioning"/>
    <n v="10"/>
    <n v="4"/>
    <n v="0"/>
    <m/>
    <n v="10"/>
    <x v="0"/>
    <x v="2"/>
    <n v="0"/>
    <n v="0"/>
    <m/>
    <n v="0.6"/>
    <s v="Communal"/>
    <n v="0"/>
    <n v="3"/>
    <n v="0"/>
    <n v="0"/>
    <n v="0"/>
    <x v="0"/>
    <m/>
    <m/>
    <m/>
    <m/>
    <s v="no test"/>
    <s v="no test"/>
    <x v="1"/>
    <n v="1"/>
    <n v="1"/>
    <n v="1"/>
    <n v="228"/>
    <n v="0"/>
    <n v="0"/>
    <n v="1"/>
    <n v="228"/>
    <n v="0.45600000000000002"/>
    <n v="0"/>
    <n v="0"/>
    <n v="0.54400000000000004"/>
    <n v="1"/>
    <n v="14"/>
    <n v="0.8771929824561403"/>
    <n v="200"/>
    <n v="0"/>
    <n v="0"/>
    <n v="11"/>
    <n v="0.2857142857142857"/>
    <n v="0"/>
    <n v="0"/>
    <n v="0"/>
    <n v="0"/>
    <n v="0"/>
    <n v="0"/>
    <n v="0"/>
    <n v="1"/>
    <n v="0"/>
    <n v="0"/>
    <n v="0"/>
    <n v="0"/>
    <n v="0"/>
    <n v="0"/>
    <n v="22.2"/>
    <s v="Yes"/>
    <s v="KBC"/>
    <x v="1"/>
    <x v="0"/>
    <x v="0"/>
    <x v="0"/>
    <n v="25.647649999999999"/>
    <n v="96.346469999999997"/>
    <s v="MMR001CMP169"/>
    <x v="0"/>
    <m/>
  </r>
  <r>
    <x v="2"/>
    <x v="4"/>
    <x v="0"/>
    <x v="2"/>
    <x v="22"/>
    <n v="5"/>
    <n v="26"/>
    <m/>
    <s v="OFDA"/>
    <d v="2017-07-31T00:00:00"/>
    <n v="0"/>
    <s v="Yes"/>
    <n v="0.25"/>
    <n v="1"/>
    <n v="0"/>
    <n v="0"/>
    <n v="0"/>
    <n v="0"/>
    <n v="1"/>
    <m/>
    <n v="0"/>
    <n v="0"/>
    <n v="0"/>
    <n v="0"/>
    <n v="0"/>
    <s v="This camp using water source from private pipe line distribution."/>
    <n v="2"/>
    <n v="0"/>
    <n v="0"/>
    <m/>
    <n v="2"/>
    <x v="0"/>
    <x v="2"/>
    <n v="0"/>
    <n v="0"/>
    <m/>
    <n v="0.5"/>
    <s v="Communal"/>
    <n v="0"/>
    <n v="1"/>
    <n v="0"/>
    <n v="0"/>
    <n v="0"/>
    <x v="0"/>
    <m/>
    <m/>
    <m/>
    <m/>
    <s v="no test"/>
    <s v="no test"/>
    <x v="1"/>
    <n v="0"/>
    <n v="0"/>
    <n v="0"/>
    <n v="0"/>
    <n v="0"/>
    <n v="0"/>
    <n v="0"/>
    <n v="0"/>
    <n v="0"/>
    <n v="1"/>
    <n v="26"/>
    <n v="1"/>
    <n v="1"/>
    <n v="2"/>
    <n v="1"/>
    <n v="26"/>
    <n v="0"/>
    <n v="0"/>
    <n v="1"/>
    <n v="0"/>
    <n v="0"/>
    <n v="0"/>
    <n v="0"/>
    <n v="0"/>
    <n v="0"/>
    <n v="0"/>
    <n v="0"/>
    <n v="1"/>
    <n v="0"/>
    <n v="0"/>
    <n v="0"/>
    <n v="0"/>
    <n v="0"/>
    <n v="0"/>
    <n v="2.5"/>
    <s v="Yes"/>
    <s v="uncovered"/>
    <x v="1"/>
    <x v="0"/>
    <x v="2"/>
    <x v="0"/>
    <n v="25.582065"/>
    <n v="96.283377000000002"/>
    <s v="MMR001CMP109"/>
    <x v="0"/>
    <m/>
  </r>
  <r>
    <x v="2"/>
    <x v="4"/>
    <x v="0"/>
    <x v="2"/>
    <x v="23"/>
    <n v="70"/>
    <n v="365"/>
    <m/>
    <s v="OFDA"/>
    <d v="2017-07-31T00:00:00"/>
    <n v="0"/>
    <s v="Yes"/>
    <n v="0.56999999999999995"/>
    <n v="0"/>
    <n v="1"/>
    <n v="1"/>
    <n v="0"/>
    <n v="0"/>
    <n v="2"/>
    <m/>
    <n v="0"/>
    <n v="0"/>
    <n v="0"/>
    <n v="0"/>
    <n v="0"/>
    <m/>
    <n v="22"/>
    <n v="18"/>
    <n v="4"/>
    <m/>
    <n v="22"/>
    <x v="0"/>
    <x v="0"/>
    <n v="0"/>
    <n v="0"/>
    <m/>
    <n v="0.2"/>
    <s v="Communal"/>
    <n v="0"/>
    <n v="3"/>
    <n v="0"/>
    <n v="0"/>
    <n v="0"/>
    <x v="0"/>
    <m/>
    <m/>
    <m/>
    <m/>
    <s v="no test"/>
    <s v="no test"/>
    <x v="1"/>
    <n v="1"/>
    <n v="1"/>
    <n v="1"/>
    <n v="365"/>
    <n v="0"/>
    <n v="0"/>
    <n v="1"/>
    <n v="365"/>
    <n v="0.73"/>
    <n v="0"/>
    <n v="0"/>
    <n v="0.27"/>
    <n v="1"/>
    <n v="40"/>
    <n v="1"/>
    <n v="365"/>
    <n v="0"/>
    <n v="0"/>
    <n v="18"/>
    <n v="0.45"/>
    <n v="80"/>
    <n v="0"/>
    <n v="0"/>
    <n v="0"/>
    <n v="0"/>
    <n v="0"/>
    <n v="0"/>
    <n v="1"/>
    <n v="0"/>
    <n v="0"/>
    <n v="0"/>
    <n v="0"/>
    <n v="0"/>
    <n v="0"/>
    <n v="14"/>
    <s v="Yes"/>
    <s v="Shalom"/>
    <x v="1"/>
    <x v="0"/>
    <x v="0"/>
    <x v="0"/>
    <n v="25.637309999999999"/>
    <n v="96.35257"/>
    <s v="MMR001CMP174"/>
    <x v="0"/>
    <m/>
  </r>
  <r>
    <x v="2"/>
    <x v="3"/>
    <x v="0"/>
    <x v="2"/>
    <x v="24"/>
    <n v="13"/>
    <n v="46"/>
    <m/>
    <s v="ADRA/CANADA"/>
    <d v="2018-01-31T00:00:00"/>
    <n v="0"/>
    <s v="Yes"/>
    <n v="0.6"/>
    <n v="0.5"/>
    <n v="0"/>
    <n v="3"/>
    <n v="2000"/>
    <n v="0"/>
    <n v="0"/>
    <m/>
    <n v="0"/>
    <n v="0"/>
    <n v="0"/>
    <n v="0"/>
    <n v="0"/>
    <m/>
    <n v="9"/>
    <n v="0"/>
    <n v="0"/>
    <m/>
    <n v="0"/>
    <x v="0"/>
    <x v="2"/>
    <m/>
    <m/>
    <m/>
    <n v="1"/>
    <s v="Communal"/>
    <n v="0"/>
    <n v="2"/>
    <n v="1"/>
    <n v="0"/>
    <n v="0"/>
    <x v="0"/>
    <m/>
    <m/>
    <m/>
    <m/>
    <s v="no test"/>
    <s v="no test"/>
    <x v="1"/>
    <n v="1"/>
    <n v="1"/>
    <n v="1"/>
    <n v="46"/>
    <n v="0"/>
    <n v="0"/>
    <n v="1"/>
    <n v="46"/>
    <n v="9.1999999999999998E-2"/>
    <n v="0"/>
    <n v="0"/>
    <n v="0.90800000000000003"/>
    <n v="1"/>
    <n v="9"/>
    <n v="1"/>
    <n v="46"/>
    <n v="0"/>
    <n v="0"/>
    <n v="2"/>
    <n v="0"/>
    <n v="0"/>
    <n v="46"/>
    <n v="0"/>
    <n v="1"/>
    <n v="0"/>
    <n v="0"/>
    <n v="0"/>
    <n v="1"/>
    <n v="1"/>
    <n v="0"/>
    <n v="0"/>
    <n v="0"/>
    <n v="0"/>
    <n v="0"/>
    <n v="13"/>
    <s v="Yes"/>
    <s v="KBC"/>
    <x v="1"/>
    <x v="0"/>
    <x v="0"/>
    <x v="0"/>
    <n v="25.51352"/>
    <n v="96.705960000000005"/>
    <s v="MMR001CMP148"/>
    <x v="0"/>
    <m/>
  </r>
  <r>
    <x v="2"/>
    <x v="4"/>
    <x v="0"/>
    <x v="2"/>
    <x v="25"/>
    <n v="4"/>
    <n v="27"/>
    <m/>
    <s v="OFDA"/>
    <d v="2017-07-31T00:00:00"/>
    <n v="0"/>
    <s v="Yes"/>
    <n v="1"/>
    <n v="0"/>
    <n v="1"/>
    <n v="0"/>
    <n v="1000"/>
    <n v="0"/>
    <n v="1"/>
    <m/>
    <n v="0"/>
    <n v="0"/>
    <n v="0"/>
    <n v="0"/>
    <n v="0"/>
    <m/>
    <n v="0"/>
    <n v="0"/>
    <n v="0"/>
    <m/>
    <n v="0"/>
    <x v="0"/>
    <x v="2"/>
    <n v="0"/>
    <n v="0"/>
    <m/>
    <n v="0.6"/>
    <s v="Communal"/>
    <n v="0"/>
    <n v="0"/>
    <n v="0"/>
    <n v="0"/>
    <n v="0"/>
    <x v="0"/>
    <m/>
    <m/>
    <m/>
    <m/>
    <s v="no test"/>
    <s v="no test"/>
    <x v="1"/>
    <n v="1"/>
    <n v="1"/>
    <n v="1"/>
    <n v="27"/>
    <n v="0"/>
    <n v="0"/>
    <n v="1"/>
    <n v="27"/>
    <n v="5.3999999999999999E-2"/>
    <n v="0"/>
    <n v="0"/>
    <n v="0.94599999999999995"/>
    <n v="1"/>
    <n v="0"/>
    <n v="0"/>
    <n v="0"/>
    <n v="0.7407407407407407"/>
    <n v="1"/>
    <n v="1"/>
    <n v="0"/>
    <n v="0"/>
    <n v="0"/>
    <n v="0"/>
    <n v="0"/>
    <n v="0"/>
    <n v="0"/>
    <n v="0"/>
    <n v="1"/>
    <n v="0"/>
    <n v="0"/>
    <n v="0"/>
    <n v="0"/>
    <n v="0"/>
    <n v="0"/>
    <n v="2.4"/>
    <s v="Yes"/>
    <s v="uncovered"/>
    <x v="1"/>
    <x v="0"/>
    <x v="2"/>
    <x v="0"/>
    <n v="25.615960999999999"/>
    <n v="96.316564"/>
    <s v="MMR001CMP191"/>
    <x v="0"/>
    <m/>
  </r>
  <r>
    <x v="2"/>
    <x v="4"/>
    <x v="0"/>
    <x v="2"/>
    <x v="26"/>
    <n v="103"/>
    <n v="504"/>
    <m/>
    <s v="OFDA"/>
    <d v="2017-07-31T00:00:00"/>
    <n v="0"/>
    <s v="Yes"/>
    <n v="0.56999999999999995"/>
    <n v="0"/>
    <n v="0"/>
    <n v="1"/>
    <n v="4000"/>
    <n v="0"/>
    <n v="1"/>
    <m/>
    <n v="0"/>
    <n v="0"/>
    <n v="0"/>
    <n v="0"/>
    <n v="0"/>
    <m/>
    <n v="30"/>
    <n v="2"/>
    <n v="0"/>
    <m/>
    <n v="30"/>
    <x v="0"/>
    <x v="0"/>
    <n v="0"/>
    <n v="0"/>
    <m/>
    <n v="0.5"/>
    <s v="Communal"/>
    <n v="0"/>
    <n v="4"/>
    <n v="0"/>
    <n v="0"/>
    <n v="0"/>
    <x v="0"/>
    <m/>
    <m/>
    <m/>
    <m/>
    <s v="no test"/>
    <s v="no test"/>
    <x v="1"/>
    <n v="1"/>
    <n v="1"/>
    <n v="1"/>
    <n v="504"/>
    <n v="0"/>
    <n v="0"/>
    <n v="1"/>
    <n v="504"/>
    <n v="1.008"/>
    <n v="0"/>
    <n v="0"/>
    <n v="0"/>
    <n v="1"/>
    <n v="32"/>
    <n v="1"/>
    <n v="504"/>
    <n v="0"/>
    <n v="0"/>
    <n v="25"/>
    <n v="6.25E-2"/>
    <n v="0"/>
    <n v="0"/>
    <n v="0"/>
    <n v="0"/>
    <n v="0"/>
    <n v="0"/>
    <n v="0"/>
    <n v="1"/>
    <n v="0"/>
    <n v="0"/>
    <n v="0"/>
    <n v="0"/>
    <n v="0"/>
    <n v="0"/>
    <n v="51.5"/>
    <s v="Yes"/>
    <s v="KBC"/>
    <x v="1"/>
    <x v="0"/>
    <x v="0"/>
    <x v="0"/>
    <n v="25.611160000000002"/>
    <n v="96.312790000000007"/>
    <s v="MMR001CMP229"/>
    <x v="0"/>
    <m/>
  </r>
  <r>
    <x v="2"/>
    <x v="4"/>
    <x v="0"/>
    <x v="2"/>
    <x v="29"/>
    <n v="123"/>
    <n v="656"/>
    <m/>
    <s v="OFDA"/>
    <d v="2017-07-31T00:00:00"/>
    <n v="0"/>
    <s v="Yes"/>
    <n v="0.4"/>
    <n v="0"/>
    <n v="1"/>
    <n v="1"/>
    <n v="1500"/>
    <m/>
    <n v="2"/>
    <m/>
    <n v="0"/>
    <n v="0"/>
    <n v="0"/>
    <n v="0"/>
    <n v="0"/>
    <m/>
    <n v="28"/>
    <n v="10"/>
    <n v="10"/>
    <m/>
    <n v="28"/>
    <x v="0"/>
    <x v="0"/>
    <n v="0"/>
    <n v="0"/>
    <m/>
    <n v="0.4"/>
    <s v="Communal"/>
    <n v="0"/>
    <n v="4"/>
    <n v="0"/>
    <n v="0"/>
    <n v="0"/>
    <x v="0"/>
    <m/>
    <m/>
    <m/>
    <m/>
    <s v="no test"/>
    <s v="no test"/>
    <x v="1"/>
    <n v="1"/>
    <n v="0.91463414634146345"/>
    <n v="1"/>
    <n v="656"/>
    <n v="0"/>
    <n v="0"/>
    <n v="1"/>
    <n v="656"/>
    <n v="1.3120000000000001"/>
    <n v="0"/>
    <n v="0"/>
    <n v="0"/>
    <n v="1"/>
    <n v="38"/>
    <n v="0.85365853658536583"/>
    <n v="560"/>
    <n v="0"/>
    <n v="0"/>
    <n v="33"/>
    <n v="0.26315789473684209"/>
    <n v="200"/>
    <n v="0"/>
    <n v="0"/>
    <n v="0"/>
    <n v="0"/>
    <n v="0"/>
    <n v="0"/>
    <n v="1"/>
    <n v="0"/>
    <n v="0"/>
    <n v="0"/>
    <n v="0"/>
    <n v="0"/>
    <n v="0"/>
    <n v="49.2"/>
    <s v="Yes"/>
    <s v="KBC"/>
    <x v="1"/>
    <x v="0"/>
    <x v="0"/>
    <x v="0"/>
    <n v="0"/>
    <n v="0"/>
    <s v="MMR001CMP250"/>
    <x v="0"/>
    <m/>
  </r>
  <r>
    <x v="2"/>
    <x v="4"/>
    <x v="0"/>
    <x v="2"/>
    <x v="30"/>
    <n v="19"/>
    <n v="102"/>
    <m/>
    <s v="OFDA"/>
    <d v="2017-07-31T00:00:00"/>
    <n v="0"/>
    <s v="Yes"/>
    <n v="0.67"/>
    <n v="0"/>
    <n v="1"/>
    <n v="0"/>
    <n v="0"/>
    <n v="0"/>
    <n v="1"/>
    <m/>
    <n v="0"/>
    <n v="0"/>
    <n v="0"/>
    <n v="0"/>
    <n v="0"/>
    <m/>
    <n v="8"/>
    <n v="0"/>
    <n v="0"/>
    <m/>
    <n v="8"/>
    <x v="0"/>
    <x v="0"/>
    <n v="0"/>
    <n v="0"/>
    <m/>
    <n v="0.5"/>
    <s v="Communal"/>
    <n v="0"/>
    <n v="4"/>
    <n v="0"/>
    <n v="0"/>
    <n v="0"/>
    <x v="0"/>
    <m/>
    <m/>
    <m/>
    <m/>
    <s v="no test"/>
    <s v="no test"/>
    <x v="1"/>
    <n v="1"/>
    <n v="1"/>
    <n v="1"/>
    <n v="102"/>
    <n v="0"/>
    <n v="0"/>
    <n v="1"/>
    <n v="102"/>
    <n v="0.20399999999999999"/>
    <n v="0"/>
    <n v="0"/>
    <n v="0.79600000000000004"/>
    <n v="1"/>
    <n v="8"/>
    <n v="1"/>
    <n v="102"/>
    <n v="0"/>
    <n v="0"/>
    <n v="5"/>
    <n v="0"/>
    <n v="0"/>
    <n v="0"/>
    <n v="0"/>
    <n v="0"/>
    <n v="0"/>
    <n v="0"/>
    <n v="0"/>
    <n v="1"/>
    <n v="0"/>
    <n v="0"/>
    <n v="0"/>
    <n v="0"/>
    <n v="0"/>
    <n v="0"/>
    <n v="9.5"/>
    <s v="Yes"/>
    <s v="Shalom"/>
    <x v="1"/>
    <x v="0"/>
    <x v="0"/>
    <x v="0"/>
    <n v="25.566510000000001"/>
    <n v="96.269199999999998"/>
    <s v="MMR001CMP181"/>
    <x v="0"/>
    <m/>
  </r>
  <r>
    <x v="2"/>
    <x v="4"/>
    <x v="0"/>
    <x v="2"/>
    <x v="31"/>
    <n v="12"/>
    <n v="62"/>
    <m/>
    <s v="OFDA"/>
    <d v="2017-07-31T00:00:00"/>
    <n v="0"/>
    <s v="Yes"/>
    <n v="0.56999999999999995"/>
    <n v="1"/>
    <n v="1"/>
    <n v="0"/>
    <n v="0"/>
    <n v="0"/>
    <n v="1"/>
    <m/>
    <n v="0"/>
    <n v="0"/>
    <n v="0"/>
    <n v="0"/>
    <n v="0"/>
    <m/>
    <n v="4"/>
    <n v="0"/>
    <n v="0"/>
    <m/>
    <n v="4"/>
    <x v="0"/>
    <x v="2"/>
    <n v="0"/>
    <n v="0"/>
    <m/>
    <n v="0.6"/>
    <s v="Communal"/>
    <n v="0"/>
    <n v="2"/>
    <n v="0"/>
    <n v="0"/>
    <n v="0"/>
    <x v="0"/>
    <m/>
    <m/>
    <m/>
    <m/>
    <s v="no test"/>
    <s v="no test"/>
    <x v="1"/>
    <n v="1"/>
    <n v="1"/>
    <n v="1"/>
    <n v="62"/>
    <n v="0"/>
    <n v="0"/>
    <n v="1"/>
    <n v="62"/>
    <n v="0.124"/>
    <n v="0"/>
    <n v="0"/>
    <n v="0.876"/>
    <n v="1"/>
    <n v="4"/>
    <n v="1"/>
    <n v="62"/>
    <n v="0"/>
    <n v="0"/>
    <n v="3"/>
    <n v="0"/>
    <n v="0"/>
    <n v="0"/>
    <n v="0"/>
    <n v="0"/>
    <n v="0"/>
    <n v="0"/>
    <n v="0"/>
    <n v="1"/>
    <n v="0"/>
    <n v="0"/>
    <n v="0"/>
    <n v="0"/>
    <n v="0"/>
    <n v="0"/>
    <n v="7.1999999999999993"/>
    <s v="Yes"/>
    <s v="Shalom"/>
    <x v="1"/>
    <x v="0"/>
    <x v="0"/>
    <x v="0"/>
    <n v="25.61842"/>
    <n v="96.316400000000002"/>
    <s v="MMR001CMP167"/>
    <x v="0"/>
    <m/>
  </r>
  <r>
    <x v="2"/>
    <x v="4"/>
    <x v="0"/>
    <x v="2"/>
    <x v="33"/>
    <n v="4"/>
    <n v="15"/>
    <m/>
    <s v="OFDA"/>
    <d v="2017-07-31T00:00:00"/>
    <n v="0"/>
    <s v="Yes"/>
    <n v="0.2"/>
    <n v="0"/>
    <n v="1"/>
    <n v="1"/>
    <n v="0"/>
    <n v="0"/>
    <n v="1"/>
    <m/>
    <n v="0"/>
    <n v="0"/>
    <n v="0"/>
    <n v="0"/>
    <n v="0"/>
    <m/>
    <n v="0"/>
    <n v="0"/>
    <n v="0"/>
    <m/>
    <n v="0"/>
    <x v="0"/>
    <x v="2"/>
    <n v="0"/>
    <n v="0"/>
    <m/>
    <n v="0.6"/>
    <s v="Communal"/>
    <n v="0"/>
    <n v="0"/>
    <n v="0"/>
    <n v="0"/>
    <n v="0"/>
    <x v="0"/>
    <m/>
    <m/>
    <m/>
    <m/>
    <s v="no test"/>
    <s v="no test"/>
    <x v="1"/>
    <n v="1"/>
    <n v="1"/>
    <n v="1"/>
    <n v="15"/>
    <n v="0"/>
    <n v="0"/>
    <n v="1"/>
    <n v="15"/>
    <n v="0.03"/>
    <n v="0"/>
    <n v="0"/>
    <n v="0.97"/>
    <n v="1"/>
    <n v="0"/>
    <n v="0"/>
    <n v="0"/>
    <n v="1"/>
    <n v="1"/>
    <n v="1"/>
    <n v="0"/>
    <n v="0"/>
    <n v="0"/>
    <n v="0"/>
    <n v="0"/>
    <n v="0"/>
    <n v="0"/>
    <n v="0"/>
    <n v="1"/>
    <n v="0"/>
    <n v="0"/>
    <n v="0"/>
    <n v="0"/>
    <n v="0"/>
    <n v="0"/>
    <n v="2.4"/>
    <s v="Yes"/>
    <s v="uncovered"/>
    <x v="1"/>
    <x v="0"/>
    <x v="2"/>
    <x v="0"/>
    <n v="25.6145"/>
    <n v="96.319829999999996"/>
    <s v="MMR001CMP091"/>
    <x v="0"/>
    <m/>
  </r>
  <r>
    <x v="2"/>
    <x v="3"/>
    <x v="0"/>
    <x v="2"/>
    <x v="34"/>
    <n v="10"/>
    <n v="18"/>
    <m/>
    <s v="ADRA/CANADA"/>
    <d v="2018-01-31T00:00:00"/>
    <n v="30"/>
    <s v="NA"/>
    <n v="0"/>
    <n v="0.5"/>
    <n v="0"/>
    <n v="0"/>
    <n v="0"/>
    <n v="0"/>
    <n v="0"/>
    <m/>
    <n v="0"/>
    <n v="0"/>
    <n v="0"/>
    <n v="0"/>
    <n v="0"/>
    <m/>
    <n v="0"/>
    <n v="0"/>
    <n v="0"/>
    <m/>
    <n v="0"/>
    <x v="4"/>
    <x v="2"/>
    <m/>
    <m/>
    <m/>
    <n v="0.2"/>
    <s v="Household"/>
    <n v="0"/>
    <n v="0"/>
    <n v="1"/>
    <n v="0"/>
    <n v="0"/>
    <x v="0"/>
    <m/>
    <m/>
    <m/>
    <m/>
    <s v="no test"/>
    <s v="no test"/>
    <x v="1"/>
    <n v="0"/>
    <n v="0"/>
    <n v="0"/>
    <n v="0"/>
    <n v="0"/>
    <n v="0"/>
    <n v="0"/>
    <n v="0"/>
    <n v="0"/>
    <n v="1"/>
    <n v="18"/>
    <n v="1"/>
    <n v="1"/>
    <n v="0"/>
    <n v="0"/>
    <n v="0"/>
    <n v="1"/>
    <n v="1"/>
    <n v="1"/>
    <n v="0"/>
    <n v="0"/>
    <n v="18"/>
    <n v="0"/>
    <n v="1"/>
    <n v="0"/>
    <n v="0"/>
    <n v="0"/>
    <n v="1"/>
    <n v="1"/>
    <n v="0"/>
    <n v="0"/>
    <n v="0"/>
    <n v="0"/>
    <n v="0"/>
    <n v="2"/>
    <s v="Yes"/>
    <s v="KMSS-MYT"/>
    <x v="1"/>
    <x v="0"/>
    <x v="0"/>
    <x v="0"/>
    <n v="25.920006000000001"/>
    <n v="96.662092000000001"/>
    <s v="MMR001CMP247"/>
    <x v="0"/>
    <m/>
  </r>
  <r>
    <x v="2"/>
    <x v="4"/>
    <x v="0"/>
    <x v="2"/>
    <x v="35"/>
    <n v="11"/>
    <n v="45"/>
    <m/>
    <s v="OFDA"/>
    <d v="2017-07-31T00:00:00"/>
    <n v="0"/>
    <s v="Yes"/>
    <n v="0.6"/>
    <n v="0"/>
    <n v="0"/>
    <n v="1"/>
    <n v="1000"/>
    <n v="0"/>
    <n v="1"/>
    <m/>
    <n v="0"/>
    <n v="0"/>
    <n v="0"/>
    <n v="0"/>
    <n v="0"/>
    <m/>
    <n v="5"/>
    <n v="0"/>
    <n v="0"/>
    <m/>
    <n v="5"/>
    <x v="0"/>
    <x v="2"/>
    <n v="0"/>
    <n v="0"/>
    <m/>
    <n v="0.6"/>
    <s v="Communal"/>
    <n v="0"/>
    <n v="2"/>
    <n v="0"/>
    <n v="0"/>
    <n v="0"/>
    <x v="0"/>
    <m/>
    <m/>
    <m/>
    <m/>
    <s v="no test"/>
    <s v="no test"/>
    <x v="1"/>
    <n v="1"/>
    <n v="1"/>
    <n v="1"/>
    <n v="45"/>
    <n v="0"/>
    <n v="0"/>
    <n v="1"/>
    <n v="45"/>
    <n v="0.09"/>
    <n v="0"/>
    <n v="0"/>
    <n v="0.91"/>
    <n v="1"/>
    <n v="5"/>
    <n v="1"/>
    <n v="45"/>
    <n v="0"/>
    <n v="0"/>
    <n v="2"/>
    <n v="0"/>
    <n v="0"/>
    <n v="0"/>
    <n v="0"/>
    <n v="0"/>
    <n v="0"/>
    <n v="0"/>
    <n v="0"/>
    <n v="1"/>
    <n v="0"/>
    <n v="0"/>
    <n v="0"/>
    <n v="0"/>
    <n v="0"/>
    <n v="0"/>
    <n v="6.6"/>
    <s v="Yes"/>
    <s v="uncovered"/>
    <x v="1"/>
    <x v="0"/>
    <x v="2"/>
    <x v="0"/>
    <n v="25.617998"/>
    <n v="96.339590000000001"/>
    <s v="MMR001CMP192"/>
    <x v="0"/>
    <m/>
  </r>
  <r>
    <x v="2"/>
    <x v="5"/>
    <x v="0"/>
    <x v="2"/>
    <x v="36"/>
    <n v="48"/>
    <n v="221"/>
    <m/>
    <s v="DFID/UNICEF"/>
    <d v="2018-12-31T00:00:00"/>
    <n v="0"/>
    <s v="Yes"/>
    <n v="0.6"/>
    <n v="0.1"/>
    <n v="1"/>
    <n v="1"/>
    <n v="4000"/>
    <n v="0"/>
    <n v="2"/>
    <m/>
    <n v="1"/>
    <n v="0"/>
    <n v="15"/>
    <n v="4"/>
    <n v="0"/>
    <m/>
    <n v="8"/>
    <n v="0"/>
    <n v="0"/>
    <m/>
    <n v="16"/>
    <x v="0"/>
    <x v="0"/>
    <n v="0"/>
    <n v="0"/>
    <m/>
    <n v="0"/>
    <s v="Communal"/>
    <n v="0"/>
    <n v="2"/>
    <n v="2"/>
    <n v="0"/>
    <n v="0"/>
    <x v="1"/>
    <m/>
    <m/>
    <m/>
    <m/>
    <n v="0"/>
    <n v="0.26666666666666666"/>
    <x v="0"/>
    <n v="1"/>
    <n v="1"/>
    <n v="1"/>
    <n v="221"/>
    <n v="0"/>
    <n v="0"/>
    <n v="1"/>
    <n v="221"/>
    <n v="0.442"/>
    <n v="0"/>
    <n v="0"/>
    <n v="0.55800000000000005"/>
    <n v="1"/>
    <n v="8"/>
    <n v="0.72398190045248867"/>
    <n v="160"/>
    <n v="0.27149321266968324"/>
    <n v="3"/>
    <n v="11"/>
    <n v="0"/>
    <n v="0"/>
    <n v="221"/>
    <n v="0"/>
    <n v="1"/>
    <n v="0"/>
    <n v="0"/>
    <n v="0"/>
    <n v="1"/>
    <n v="1"/>
    <n v="0"/>
    <n v="0"/>
    <n v="0"/>
    <n v="0"/>
    <n v="0"/>
    <n v="0"/>
    <s v="Yes"/>
    <s v="KMSS-MYT"/>
    <x v="1"/>
    <x v="0"/>
    <x v="0"/>
    <x v="0"/>
    <n v="25.613894999999999"/>
    <n v="96.341352999999998"/>
    <s v="MMR001CMP103"/>
    <x v="0"/>
    <m/>
  </r>
  <r>
    <x v="2"/>
    <x v="4"/>
    <x v="0"/>
    <x v="2"/>
    <x v="37"/>
    <n v="10"/>
    <n v="37"/>
    <m/>
    <s v="OFDA"/>
    <d v="2017-07-31T00:00:00"/>
    <n v="0"/>
    <s v="Yes"/>
    <n v="0.5"/>
    <n v="0"/>
    <n v="1"/>
    <n v="1"/>
    <n v="0"/>
    <n v="0"/>
    <n v="2"/>
    <m/>
    <n v="0"/>
    <n v="0"/>
    <n v="0"/>
    <n v="0"/>
    <n v="0"/>
    <m/>
    <n v="2"/>
    <n v="2"/>
    <n v="0"/>
    <m/>
    <n v="2"/>
    <x v="0"/>
    <x v="0"/>
    <n v="0"/>
    <n v="0"/>
    <m/>
    <n v="0.5"/>
    <s v="Communal"/>
    <n v="0"/>
    <n v="2"/>
    <n v="0"/>
    <n v="0"/>
    <n v="0"/>
    <x v="0"/>
    <m/>
    <m/>
    <m/>
    <m/>
    <s v="no test"/>
    <s v="no test"/>
    <x v="1"/>
    <n v="1"/>
    <n v="1"/>
    <n v="1"/>
    <n v="37"/>
    <n v="0"/>
    <n v="0"/>
    <n v="1"/>
    <n v="37"/>
    <n v="7.3999999999999996E-2"/>
    <n v="0"/>
    <n v="0"/>
    <n v="0.92600000000000005"/>
    <n v="1"/>
    <n v="4"/>
    <n v="1"/>
    <n v="37"/>
    <n v="0"/>
    <n v="0"/>
    <n v="2"/>
    <n v="0.5"/>
    <n v="0"/>
    <n v="0"/>
    <n v="0"/>
    <n v="0"/>
    <n v="0"/>
    <n v="0"/>
    <n v="0"/>
    <n v="1"/>
    <n v="0"/>
    <n v="0"/>
    <n v="0"/>
    <n v="0"/>
    <n v="0"/>
    <n v="0"/>
    <n v="5"/>
    <s v="Yes"/>
    <s v="uncovered"/>
    <x v="1"/>
    <x v="0"/>
    <x v="2"/>
    <x v="0"/>
    <n v="25.56551"/>
    <n v="96.279200000000003"/>
    <s v="MMR001CMP182"/>
    <x v="0"/>
    <m/>
  </r>
  <r>
    <x v="2"/>
    <x v="4"/>
    <x v="0"/>
    <x v="2"/>
    <x v="38"/>
    <n v="8"/>
    <n v="25"/>
    <m/>
    <s v="OFDA"/>
    <d v="2017-07-31T00:00:00"/>
    <n v="0"/>
    <s v="Yes"/>
    <n v="0"/>
    <n v="0"/>
    <n v="1"/>
    <n v="0"/>
    <n v="1000"/>
    <n v="0"/>
    <n v="1"/>
    <m/>
    <n v="0"/>
    <n v="0"/>
    <n v="0"/>
    <n v="0"/>
    <n v="0"/>
    <m/>
    <n v="0"/>
    <n v="0"/>
    <n v="0"/>
    <m/>
    <n v="0"/>
    <x v="0"/>
    <x v="2"/>
    <n v="0"/>
    <n v="0"/>
    <m/>
    <n v="0.6"/>
    <s v="Communal"/>
    <n v="0"/>
    <n v="0"/>
    <n v="0"/>
    <n v="0"/>
    <n v="0"/>
    <x v="0"/>
    <m/>
    <m/>
    <m/>
    <m/>
    <s v="no test"/>
    <s v="no test"/>
    <x v="1"/>
    <n v="1"/>
    <n v="1"/>
    <n v="1"/>
    <n v="25"/>
    <n v="0"/>
    <n v="0"/>
    <n v="1"/>
    <n v="25"/>
    <n v="0.05"/>
    <n v="0"/>
    <n v="0"/>
    <n v="0.95"/>
    <n v="1"/>
    <n v="0"/>
    <n v="0"/>
    <n v="0"/>
    <n v="0.8"/>
    <n v="1"/>
    <n v="1"/>
    <n v="0"/>
    <n v="0"/>
    <n v="0"/>
    <n v="0"/>
    <n v="0"/>
    <n v="0"/>
    <n v="0"/>
    <n v="0"/>
    <n v="1"/>
    <n v="0"/>
    <n v="0"/>
    <n v="0"/>
    <n v="0"/>
    <n v="0"/>
    <n v="0"/>
    <n v="4.8"/>
    <s v="Yes"/>
    <s v="KBC"/>
    <x v="1"/>
    <x v="0"/>
    <x v="3"/>
    <x v="0"/>
    <n v="25.668399999999998"/>
    <n v="96.353030000000004"/>
    <s v="MMR001CMP183"/>
    <x v="0"/>
    <m/>
  </r>
  <r>
    <x v="2"/>
    <x v="3"/>
    <x v="0"/>
    <x v="2"/>
    <x v="39"/>
    <n v="30"/>
    <n v="120"/>
    <m/>
    <s v="ADRA/CANADA"/>
    <d v="2018-01-31T00:00:00"/>
    <n v="0"/>
    <s v="Yes"/>
    <n v="0.4"/>
    <n v="0.5"/>
    <n v="1"/>
    <n v="1"/>
    <n v="0"/>
    <n v="0"/>
    <n v="0"/>
    <m/>
    <n v="0"/>
    <n v="0"/>
    <n v="0"/>
    <n v="0"/>
    <n v="0"/>
    <m/>
    <n v="8"/>
    <n v="0"/>
    <n v="0"/>
    <m/>
    <n v="0"/>
    <x v="4"/>
    <x v="2"/>
    <m/>
    <m/>
    <m/>
    <n v="0.2"/>
    <s v="Communal"/>
    <n v="0"/>
    <n v="2"/>
    <n v="1"/>
    <n v="0"/>
    <n v="0"/>
    <x v="0"/>
    <m/>
    <m/>
    <m/>
    <m/>
    <s v="no test"/>
    <s v="no test"/>
    <x v="1"/>
    <n v="1"/>
    <n v="1"/>
    <n v="1"/>
    <n v="120"/>
    <n v="0"/>
    <n v="0"/>
    <n v="1"/>
    <n v="120"/>
    <n v="0.24"/>
    <n v="0"/>
    <n v="0"/>
    <n v="0.76"/>
    <n v="1"/>
    <n v="8"/>
    <n v="1"/>
    <n v="120"/>
    <n v="0"/>
    <n v="0"/>
    <n v="6"/>
    <n v="0"/>
    <n v="0"/>
    <n v="120"/>
    <n v="0"/>
    <n v="1"/>
    <n v="0"/>
    <n v="0"/>
    <n v="0"/>
    <n v="1"/>
    <n v="1"/>
    <n v="0"/>
    <n v="0"/>
    <n v="0"/>
    <n v="0"/>
    <n v="0"/>
    <n v="6"/>
    <s v="Yes"/>
    <s v="KBC"/>
    <x v="1"/>
    <x v="0"/>
    <x v="0"/>
    <x v="0"/>
    <n v="25.920006000000001"/>
    <n v="96.662092000000001"/>
    <s v="MMR001CMP244"/>
    <x v="0"/>
    <m/>
  </r>
  <r>
    <x v="2"/>
    <x v="3"/>
    <x v="0"/>
    <x v="2"/>
    <x v="40"/>
    <n v="6"/>
    <n v="15"/>
    <m/>
    <s v="ADRA/CANADA"/>
    <d v="2018-01-31T00:00:00"/>
    <n v="0"/>
    <s v="Yes"/>
    <n v="0.4"/>
    <n v="0.5"/>
    <n v="0"/>
    <n v="1"/>
    <n v="0"/>
    <n v="0"/>
    <n v="0"/>
    <m/>
    <n v="0"/>
    <n v="0"/>
    <n v="0"/>
    <n v="0"/>
    <n v="0"/>
    <m/>
    <n v="2"/>
    <n v="0"/>
    <n v="0"/>
    <m/>
    <n v="0"/>
    <x v="4"/>
    <x v="0"/>
    <m/>
    <m/>
    <m/>
    <n v="0.2"/>
    <s v="Communal"/>
    <n v="0"/>
    <n v="1"/>
    <n v="1"/>
    <n v="0"/>
    <n v="0"/>
    <x v="0"/>
    <m/>
    <m/>
    <m/>
    <m/>
    <s v="no test"/>
    <s v="no test"/>
    <x v="1"/>
    <n v="1"/>
    <n v="1"/>
    <n v="1"/>
    <n v="15"/>
    <n v="0"/>
    <n v="0"/>
    <n v="1"/>
    <n v="15"/>
    <n v="0.03"/>
    <n v="0"/>
    <n v="0"/>
    <n v="0.97"/>
    <n v="1"/>
    <n v="2"/>
    <n v="1"/>
    <n v="15"/>
    <n v="0"/>
    <n v="0"/>
    <n v="1"/>
    <n v="0"/>
    <n v="0"/>
    <n v="15"/>
    <n v="0"/>
    <n v="1"/>
    <n v="0"/>
    <n v="0"/>
    <n v="0"/>
    <n v="1"/>
    <n v="1"/>
    <n v="0"/>
    <n v="0"/>
    <n v="0"/>
    <n v="0"/>
    <n v="0"/>
    <n v="1.2000000000000002"/>
    <s v="Yes"/>
    <s v="uncovered"/>
    <x v="1"/>
    <x v="0"/>
    <x v="2"/>
    <x v="0"/>
    <n v="25.920006000000001"/>
    <n v="96.662092000000001"/>
    <s v="MMR001CMP246"/>
    <x v="0"/>
    <m/>
  </r>
  <r>
    <x v="2"/>
    <x v="29"/>
    <x v="0"/>
    <x v="2"/>
    <x v="41"/>
    <n v="20"/>
    <n v="84"/>
    <m/>
    <s v="UNICEF, ADRA/CANADA"/>
    <s v="12/31/2018,1/31/2018"/>
    <n v="0"/>
    <s v="Yes"/>
    <n v="0.5"/>
    <n v="0.5"/>
    <n v="0"/>
    <n v="1"/>
    <n v="2000"/>
    <n v="0"/>
    <n v="0"/>
    <m/>
    <n v="0"/>
    <n v="0"/>
    <n v="0"/>
    <n v="0"/>
    <n v="0"/>
    <m/>
    <n v="4"/>
    <n v="0"/>
    <n v="0"/>
    <m/>
    <n v="0"/>
    <x v="0"/>
    <x v="0"/>
    <m/>
    <m/>
    <m/>
    <n v="0.2"/>
    <s v="Communal"/>
    <n v="0"/>
    <n v="1"/>
    <n v="1"/>
    <n v="0"/>
    <n v="0"/>
    <x v="0"/>
    <m/>
    <m/>
    <m/>
    <m/>
    <s v="no test"/>
    <s v="no test"/>
    <x v="1"/>
    <n v="1"/>
    <n v="1"/>
    <n v="1"/>
    <n v="84"/>
    <n v="0"/>
    <n v="0"/>
    <n v="1"/>
    <n v="84"/>
    <n v="0.16800000000000001"/>
    <n v="0"/>
    <n v="0"/>
    <n v="0.83199999999999996"/>
    <n v="1"/>
    <n v="4"/>
    <n v="0.95238095238095233"/>
    <n v="80"/>
    <n v="0"/>
    <n v="0"/>
    <n v="4"/>
    <n v="0"/>
    <n v="0"/>
    <n v="84"/>
    <n v="0"/>
    <n v="1"/>
    <n v="0"/>
    <n v="0"/>
    <n v="0"/>
    <n v="1"/>
    <n v="1"/>
    <n v="0"/>
    <n v="0"/>
    <n v="0"/>
    <n v="0"/>
    <n v="0"/>
    <n v="4"/>
    <n v="0"/>
    <n v="0"/>
    <x v="0"/>
    <x v="0"/>
    <x v="0"/>
    <x v="0"/>
    <n v="0"/>
    <n v="0"/>
    <n v="0"/>
    <x v="0"/>
    <m/>
  </r>
  <r>
    <x v="2"/>
    <x v="4"/>
    <x v="0"/>
    <x v="2"/>
    <x v="42"/>
    <n v="32"/>
    <n v="173"/>
    <m/>
    <s v="OFDA"/>
    <d v="2017-07-31T00:00:00"/>
    <n v="0"/>
    <s v="Yes"/>
    <n v="0.25"/>
    <n v="0"/>
    <n v="0"/>
    <n v="0"/>
    <n v="500"/>
    <n v="0"/>
    <n v="1"/>
    <m/>
    <n v="0"/>
    <n v="0"/>
    <n v="0"/>
    <n v="0"/>
    <n v="0"/>
    <m/>
    <n v="10"/>
    <n v="4"/>
    <n v="0"/>
    <m/>
    <n v="10"/>
    <x v="0"/>
    <x v="0"/>
    <n v="0"/>
    <n v="0"/>
    <m/>
    <n v="0.4"/>
    <s v="Communal"/>
    <n v="0"/>
    <n v="3"/>
    <n v="0"/>
    <n v="0"/>
    <n v="0"/>
    <x v="0"/>
    <m/>
    <m/>
    <m/>
    <m/>
    <s v="no test"/>
    <s v="no test"/>
    <x v="1"/>
    <n v="0.19267822736030829"/>
    <n v="0.19267822736030829"/>
    <n v="0.19267822736030829"/>
    <n v="33.333333333333336"/>
    <n v="0"/>
    <n v="0"/>
    <n v="0.19267822736030829"/>
    <n v="33.333333333333336"/>
    <n v="6.6666666666666666E-2"/>
    <n v="0.80732177263969174"/>
    <n v="139.66666666666666"/>
    <n v="0.93333333333333335"/>
    <n v="1"/>
    <n v="14"/>
    <n v="1"/>
    <n v="173"/>
    <n v="0"/>
    <n v="0"/>
    <n v="9"/>
    <n v="0.2857142857142857"/>
    <n v="0"/>
    <n v="0"/>
    <n v="0"/>
    <n v="0"/>
    <n v="0"/>
    <n v="0"/>
    <n v="0"/>
    <n v="1"/>
    <n v="0"/>
    <n v="0"/>
    <n v="0"/>
    <n v="0"/>
    <n v="0"/>
    <n v="0"/>
    <n v="12.8"/>
    <s v="Yes"/>
    <s v="KBC"/>
    <x v="1"/>
    <x v="0"/>
    <x v="0"/>
    <x v="0"/>
    <n v="25.577559999999998"/>
    <n v="96.286680000000004"/>
    <s v="MMR001CMP184"/>
    <x v="0"/>
    <m/>
  </r>
  <r>
    <x v="2"/>
    <x v="4"/>
    <x v="0"/>
    <x v="2"/>
    <x v="43"/>
    <n v="16"/>
    <n v="67"/>
    <m/>
    <s v="OFDA"/>
    <d v="2017-07-31T00:00:00"/>
    <n v="0"/>
    <s v="Yes"/>
    <n v="0.5"/>
    <n v="1"/>
    <n v="1"/>
    <n v="0"/>
    <n v="0"/>
    <n v="0"/>
    <n v="1"/>
    <m/>
    <n v="0"/>
    <n v="0"/>
    <n v="0"/>
    <n v="0"/>
    <n v="0"/>
    <m/>
    <n v="2"/>
    <n v="0"/>
    <n v="2"/>
    <m/>
    <n v="2"/>
    <x v="0"/>
    <x v="2"/>
    <n v="0"/>
    <n v="0"/>
    <m/>
    <n v="0.6"/>
    <s v="Communal"/>
    <n v="0"/>
    <n v="2"/>
    <n v="0"/>
    <n v="0"/>
    <n v="0"/>
    <x v="0"/>
    <m/>
    <m/>
    <m/>
    <m/>
    <s v="no test"/>
    <s v="no test"/>
    <x v="1"/>
    <n v="1"/>
    <n v="1"/>
    <n v="1"/>
    <n v="67"/>
    <n v="0"/>
    <n v="0"/>
    <n v="1"/>
    <n v="67"/>
    <n v="0.13400000000000001"/>
    <n v="0"/>
    <n v="0"/>
    <n v="0.86599999999999999"/>
    <n v="1"/>
    <n v="2"/>
    <n v="0.59701492537313428"/>
    <n v="40"/>
    <n v="0.29850746268656714"/>
    <n v="1"/>
    <n v="3"/>
    <n v="0"/>
    <n v="40"/>
    <n v="0"/>
    <n v="0"/>
    <n v="0"/>
    <n v="0"/>
    <n v="0"/>
    <n v="0"/>
    <n v="1"/>
    <n v="0"/>
    <n v="0"/>
    <n v="0"/>
    <n v="0"/>
    <n v="0"/>
    <n v="0"/>
    <n v="9.6"/>
    <s v="Yes"/>
    <s v="KBC"/>
    <x v="1"/>
    <x v="0"/>
    <x v="0"/>
    <x v="0"/>
    <n v="25.599250000000001"/>
    <n v="96.306910999999999"/>
    <s v="MMR001CMP105"/>
    <x v="0"/>
    <m/>
  </r>
  <r>
    <x v="2"/>
    <x v="6"/>
    <x v="0"/>
    <x v="3"/>
    <x v="44"/>
    <n v="415"/>
    <n v="1786"/>
    <m/>
    <s v="ECHO"/>
    <d v="2017-12-31T00:00:00"/>
    <n v="0"/>
    <s v="NA"/>
    <n v="0"/>
    <n v="0"/>
    <n v="1"/>
    <n v="0"/>
    <n v="0"/>
    <n v="0"/>
    <n v="0"/>
    <m/>
    <n v="0"/>
    <n v="0"/>
    <n v="0"/>
    <n v="0"/>
    <n v="0"/>
    <m/>
    <n v="177"/>
    <n v="40"/>
    <n v="0"/>
    <m/>
    <n v="0"/>
    <x v="4"/>
    <x v="4"/>
    <n v="0"/>
    <n v="0"/>
    <m/>
    <n v="0"/>
    <s v="Both"/>
    <n v="0"/>
    <n v="15"/>
    <n v="1"/>
    <n v="374"/>
    <n v="0"/>
    <x v="1"/>
    <m/>
    <m/>
    <m/>
    <m/>
    <s v="no test"/>
    <s v="no test"/>
    <x v="1"/>
    <n v="1"/>
    <n v="0.13997760358342665"/>
    <n v="1"/>
    <n v="1786"/>
    <n v="0"/>
    <n v="0"/>
    <n v="1"/>
    <n v="1786"/>
    <n v="3.5720000000000001"/>
    <n v="0"/>
    <n v="0"/>
    <n v="0.42799999999999994"/>
    <n v="4"/>
    <n v="217"/>
    <n v="1"/>
    <n v="1786"/>
    <n v="0"/>
    <n v="0"/>
    <n v="89"/>
    <n v="0.18433179723502305"/>
    <n v="0"/>
    <n v="500"/>
    <n v="0"/>
    <n v="0"/>
    <n v="0"/>
    <n v="0"/>
    <n v="0"/>
    <n v="1"/>
    <n v="0.27995520716685329"/>
    <n v="0.90120481927710838"/>
    <n v="0"/>
    <n v="1870"/>
    <n v="0"/>
    <n v="1870"/>
    <n v="0"/>
    <s v="Yes"/>
    <s v="KMSS-BMO"/>
    <x v="1"/>
    <x v="0"/>
    <x v="0"/>
    <x v="1"/>
    <n v="24.002433"/>
    <n v="97.609832999999995"/>
    <s v="MMR001CMP129"/>
    <x v="0"/>
    <m/>
  </r>
  <r>
    <x v="2"/>
    <x v="6"/>
    <x v="0"/>
    <x v="3"/>
    <x v="45"/>
    <n v="567"/>
    <n v="2478"/>
    <m/>
    <s v="ECHO"/>
    <d v="2017-12-31T00:00:00"/>
    <n v="0"/>
    <s v="NA"/>
    <n v="0"/>
    <n v="0"/>
    <n v="2"/>
    <n v="0"/>
    <n v="0"/>
    <n v="0"/>
    <n v="0"/>
    <m/>
    <n v="0"/>
    <n v="0"/>
    <n v="0"/>
    <n v="0"/>
    <n v="0"/>
    <m/>
    <n v="131"/>
    <n v="15"/>
    <n v="0"/>
    <m/>
    <n v="0"/>
    <x v="4"/>
    <x v="0"/>
    <n v="0"/>
    <n v="0"/>
    <m/>
    <n v="0"/>
    <s v="Both"/>
    <n v="0"/>
    <n v="3"/>
    <m/>
    <n v="510"/>
    <n v="0"/>
    <x v="1"/>
    <m/>
    <m/>
    <m/>
    <m/>
    <s v="no test"/>
    <s v="no test"/>
    <x v="1"/>
    <n v="1"/>
    <n v="0.20177562550443906"/>
    <n v="1"/>
    <n v="2478"/>
    <n v="0"/>
    <n v="0"/>
    <n v="1"/>
    <n v="2478"/>
    <n v="4.9560000000000004"/>
    <n v="0"/>
    <n v="0"/>
    <n v="4.3999999999999595E-2"/>
    <n v="5"/>
    <n v="146"/>
    <n v="1"/>
    <n v="2478"/>
    <n v="0"/>
    <n v="0"/>
    <n v="124"/>
    <n v="0.10273972602739725"/>
    <n v="0"/>
    <n v="0"/>
    <n v="0"/>
    <n v="0"/>
    <n v="0"/>
    <n v="0"/>
    <n v="0"/>
    <n v="1"/>
    <n v="0"/>
    <n v="0.89947089947089942"/>
    <n v="0"/>
    <n v="2550"/>
    <n v="0"/>
    <n v="2550"/>
    <n v="0"/>
    <s v="Yes"/>
    <s v="KMSS-BMO"/>
    <x v="1"/>
    <x v="0"/>
    <x v="0"/>
    <x v="1"/>
    <n v="24.056132999999999"/>
    <n v="97.625617000000005"/>
    <s v="MMR001CMP128"/>
    <x v="0"/>
    <m/>
  </r>
  <r>
    <x v="2"/>
    <x v="3"/>
    <x v="0"/>
    <x v="3"/>
    <x v="46"/>
    <n v="432"/>
    <n v="1855"/>
    <m/>
    <s v="Plan/GFFO,ADRA/CANADA  "/>
    <d v="2019-03-31T00:00:00"/>
    <n v="0"/>
    <s v="Yes"/>
    <n v="0.8"/>
    <n v="0.5"/>
    <n v="0"/>
    <n v="4"/>
    <n v="0"/>
    <n v="0"/>
    <n v="0"/>
    <m/>
    <n v="0"/>
    <n v="0"/>
    <n v="0"/>
    <n v="0"/>
    <n v="0"/>
    <m/>
    <n v="110"/>
    <n v="40"/>
    <n v="0"/>
    <m/>
    <n v="0"/>
    <x v="0"/>
    <x v="2"/>
    <m/>
    <m/>
    <m/>
    <n v="0.6"/>
    <s v="Communal"/>
    <n v="0"/>
    <n v="10"/>
    <n v="3"/>
    <n v="0"/>
    <n v="0"/>
    <x v="0"/>
    <m/>
    <m/>
    <m/>
    <m/>
    <s v="no test"/>
    <s v="no test"/>
    <x v="1"/>
    <n v="1"/>
    <n v="0.53908355795148244"/>
    <n v="1"/>
    <n v="1855"/>
    <n v="0"/>
    <n v="0"/>
    <n v="1"/>
    <n v="1855"/>
    <n v="3.71"/>
    <n v="0"/>
    <n v="0"/>
    <n v="0.29000000000000004"/>
    <n v="4"/>
    <n v="150"/>
    <n v="1"/>
    <n v="1855"/>
    <n v="0"/>
    <n v="0"/>
    <n v="93"/>
    <n v="0.26666666666666666"/>
    <n v="0"/>
    <n v="1500"/>
    <n v="0"/>
    <n v="0"/>
    <n v="0"/>
    <n v="0"/>
    <n v="0"/>
    <n v="1"/>
    <n v="0.80862533692722371"/>
    <n v="0"/>
    <n v="0"/>
    <n v="0"/>
    <n v="0"/>
    <n v="0"/>
    <n v="259.2"/>
    <s v="Yes"/>
    <s v="KBC"/>
    <x v="1"/>
    <x v="0"/>
    <x v="0"/>
    <x v="0"/>
    <n v="23.972453000000002"/>
    <n v="97.225881000000001"/>
    <s v="MMR001CMP218"/>
    <x v="0"/>
    <m/>
  </r>
  <r>
    <x v="2"/>
    <x v="5"/>
    <x v="0"/>
    <x v="3"/>
    <x v="47"/>
    <n v="172"/>
    <n v="803"/>
    <m/>
    <s v="DFID/HARP"/>
    <d v="2020-12-31T00:00:00"/>
    <n v="0"/>
    <s v="No"/>
    <n v="0"/>
    <n v="0"/>
    <n v="3"/>
    <n v="2"/>
    <n v="0"/>
    <n v="0"/>
    <s v="-"/>
    <m/>
    <m/>
    <m/>
    <m/>
    <m/>
    <m/>
    <s v="Already tested the water quality test in Mai Khaung camp and the water quality report has not been develop yet."/>
    <n v="47"/>
    <n v="0"/>
    <m/>
    <m/>
    <n v="0"/>
    <x v="0"/>
    <x v="0"/>
    <m/>
    <m/>
    <m/>
    <n v="0.75"/>
    <s v="Household"/>
    <n v="0"/>
    <n v="4"/>
    <n v="2"/>
    <m/>
    <m/>
    <x v="0"/>
    <m/>
    <m/>
    <m/>
    <s v="Quarterly Hygiene kits distribution is doing by Metta."/>
    <s v="no test"/>
    <s v="no test"/>
    <x v="1"/>
    <n v="1"/>
    <n v="1"/>
    <n v="1"/>
    <n v="803"/>
    <n v="0"/>
    <n v="0"/>
    <n v="1"/>
    <n v="803"/>
    <n v="1.6060000000000001"/>
    <n v="0"/>
    <n v="0"/>
    <n v="0.39399999999999991"/>
    <n v="2"/>
    <n v="47"/>
    <n v="1"/>
    <n v="803"/>
    <n v="0"/>
    <n v="0"/>
    <n v="40"/>
    <n v="0"/>
    <n v="0"/>
    <n v="803"/>
    <n v="0"/>
    <n v="1"/>
    <n v="0"/>
    <n v="0"/>
    <n v="0"/>
    <n v="1"/>
    <n v="1"/>
    <n v="0"/>
    <n v="0"/>
    <n v="0"/>
    <n v="0"/>
    <n v="0"/>
    <n v="129"/>
    <s v="Yes"/>
    <s v="KMSS-BMO"/>
    <x v="1"/>
    <x v="0"/>
    <x v="0"/>
    <x v="0"/>
    <n v="23.976571"/>
    <n v="97.227057000000002"/>
    <s v="MMR001CMP223"/>
    <x v="0"/>
    <m/>
  </r>
  <r>
    <x v="2"/>
    <x v="7"/>
    <x v="0"/>
    <x v="3"/>
    <x v="48"/>
    <n v="107"/>
    <n v="529"/>
    <n v="221"/>
    <s v="MHF"/>
    <d v="2018-11-17T00:00:00"/>
    <m/>
    <s v="Yes"/>
    <n v="0.2"/>
    <n v="0.2"/>
    <n v="0"/>
    <n v="1"/>
    <n v="9000"/>
    <n v="0"/>
    <n v="2"/>
    <m/>
    <n v="0"/>
    <n v="0"/>
    <n v="0"/>
    <n v="0"/>
    <n v="0"/>
    <m/>
    <n v="16"/>
    <n v="16"/>
    <n v="0"/>
    <m/>
    <n v="16"/>
    <x v="3"/>
    <x v="2"/>
    <n v="0"/>
    <n v="0"/>
    <m/>
    <n v="0.67"/>
    <s v="Communal"/>
    <n v="0"/>
    <n v="2"/>
    <n v="1"/>
    <n v="107"/>
    <n v="0"/>
    <x v="0"/>
    <m/>
    <m/>
    <m/>
    <m/>
    <s v="no test"/>
    <s v="no test"/>
    <x v="1"/>
    <n v="1"/>
    <n v="1"/>
    <n v="1"/>
    <n v="529"/>
    <n v="0"/>
    <n v="0"/>
    <n v="1"/>
    <n v="529"/>
    <n v="1.0580000000000001"/>
    <n v="0"/>
    <n v="0"/>
    <n v="0"/>
    <n v="1"/>
    <n v="32"/>
    <n v="0.60491493383742911"/>
    <n v="320"/>
    <n v="0"/>
    <n v="0"/>
    <n v="26"/>
    <n v="0.5"/>
    <n v="0"/>
    <n v="500"/>
    <n v="0"/>
    <n v="1"/>
    <n v="1"/>
    <n v="529"/>
    <n v="1"/>
    <n v="0"/>
    <n v="0.94517958412098302"/>
    <n v="1"/>
    <n v="0"/>
    <n v="535"/>
    <n v="0"/>
    <n v="535"/>
    <n v="71.69"/>
    <s v="Yes"/>
    <s v="KBC"/>
    <x v="1"/>
    <x v="0"/>
    <x v="0"/>
    <x v="0"/>
    <n v="23.83013"/>
    <n v="97.589979999999997"/>
    <s v="MMR001CMP133"/>
    <x v="0"/>
    <m/>
  </r>
  <r>
    <x v="2"/>
    <x v="7"/>
    <x v="0"/>
    <x v="3"/>
    <x v="49"/>
    <n v="117"/>
    <n v="524"/>
    <n v="190"/>
    <s v="MHF"/>
    <d v="2018-11-17T00:00:00"/>
    <m/>
    <s v="Yes"/>
    <n v="0.56999999999999995"/>
    <n v="0.43"/>
    <n v="0"/>
    <n v="3"/>
    <n v="40000"/>
    <n v="0"/>
    <n v="16"/>
    <m/>
    <n v="0"/>
    <n v="0"/>
    <n v="0"/>
    <n v="0"/>
    <n v="0"/>
    <m/>
    <n v="29"/>
    <n v="8"/>
    <n v="0"/>
    <m/>
    <n v="29"/>
    <x v="3"/>
    <x v="2"/>
    <n v="0"/>
    <n v="0"/>
    <m/>
    <n v="0.92"/>
    <s v="Communal"/>
    <n v="0"/>
    <n v="4"/>
    <n v="1"/>
    <n v="117"/>
    <n v="0"/>
    <x v="0"/>
    <m/>
    <m/>
    <m/>
    <m/>
    <s v="no test"/>
    <s v="no test"/>
    <x v="1"/>
    <n v="1"/>
    <n v="1"/>
    <n v="1"/>
    <n v="524"/>
    <n v="0"/>
    <n v="0"/>
    <n v="1"/>
    <n v="524"/>
    <n v="1.048"/>
    <n v="0"/>
    <n v="0"/>
    <n v="0"/>
    <n v="1"/>
    <n v="37"/>
    <n v="1"/>
    <n v="524"/>
    <n v="0"/>
    <n v="0"/>
    <n v="26"/>
    <n v="0.21621621621621623"/>
    <n v="0"/>
    <n v="500"/>
    <n v="0"/>
    <n v="1"/>
    <n v="1"/>
    <n v="524"/>
    <n v="1"/>
    <n v="0"/>
    <n v="0.95419847328244278"/>
    <n v="1"/>
    <n v="0"/>
    <n v="585"/>
    <n v="0"/>
    <n v="585"/>
    <n v="107.64"/>
    <s v="Yes"/>
    <s v="KBC"/>
    <x v="1"/>
    <x v="0"/>
    <x v="0"/>
    <x v="0"/>
    <n v="23.829599000000002"/>
    <n v="97.590767"/>
    <s v="MMR001CMP230"/>
    <x v="0"/>
    <m/>
  </r>
  <r>
    <x v="2"/>
    <x v="7"/>
    <x v="0"/>
    <x v="3"/>
    <x v="50"/>
    <n v="443"/>
    <n v="2327"/>
    <m/>
    <s v="MHF"/>
    <d v="2018-11-17T00:00:00"/>
    <m/>
    <s v="Yes"/>
    <n v="0.14000000000000001"/>
    <n v="0.14000000000000001"/>
    <n v="1"/>
    <n v="2"/>
    <n v="63560"/>
    <n v="0"/>
    <n v="10"/>
    <m/>
    <n v="0"/>
    <n v="0"/>
    <n v="0"/>
    <n v="0"/>
    <n v="0"/>
    <m/>
    <n v="127"/>
    <n v="28"/>
    <n v="0"/>
    <m/>
    <n v="127"/>
    <x v="3"/>
    <x v="2"/>
    <n v="0"/>
    <n v="0"/>
    <m/>
    <n v="0.5"/>
    <s v="Communal"/>
    <n v="0"/>
    <n v="7"/>
    <n v="2"/>
    <n v="443"/>
    <n v="0"/>
    <x v="0"/>
    <m/>
    <m/>
    <m/>
    <m/>
    <s v="no test"/>
    <s v="no test"/>
    <x v="1"/>
    <n v="1"/>
    <n v="1"/>
    <n v="1"/>
    <n v="2327"/>
    <n v="0"/>
    <n v="0"/>
    <n v="1"/>
    <n v="2327"/>
    <n v="4.6539999999999999"/>
    <n v="0"/>
    <n v="0"/>
    <n v="0.34600000000000009"/>
    <n v="5"/>
    <n v="155"/>
    <n v="1"/>
    <n v="2327"/>
    <n v="0"/>
    <n v="0"/>
    <n v="116"/>
    <n v="0.18064516129032257"/>
    <n v="0"/>
    <n v="1000"/>
    <n v="0"/>
    <n v="0"/>
    <n v="1"/>
    <n v="0"/>
    <n v="0"/>
    <n v="1"/>
    <n v="0.42973785990545765"/>
    <n v="1"/>
    <n v="0"/>
    <n v="2215"/>
    <n v="0"/>
    <n v="2215"/>
    <n v="221.5"/>
    <s v="Yes"/>
    <s v="KMSS-BMO"/>
    <x v="1"/>
    <x v="0"/>
    <x v="0"/>
    <x v="0"/>
    <n v="23.835319999999999"/>
    <n v="97.578490000000002"/>
    <s v="MMR001CMP132"/>
    <x v="0"/>
    <m/>
  </r>
  <r>
    <x v="2"/>
    <x v="7"/>
    <x v="0"/>
    <x v="3"/>
    <x v="51"/>
    <n v="119"/>
    <n v="637"/>
    <m/>
    <s v="MHF"/>
    <d v="2018-11-17T00:00:00"/>
    <m/>
    <s v="Yes"/>
    <n v="0.28999999999999998"/>
    <n v="0.28999999999999998"/>
    <n v="1"/>
    <n v="2"/>
    <n v="36300"/>
    <n v="0"/>
    <n v="3"/>
    <m/>
    <n v="0"/>
    <n v="0"/>
    <n v="0"/>
    <n v="0"/>
    <n v="0"/>
    <m/>
    <n v="36"/>
    <n v="0"/>
    <n v="0"/>
    <m/>
    <n v="36"/>
    <x v="3"/>
    <x v="2"/>
    <n v="0"/>
    <n v="0"/>
    <m/>
    <n v="0"/>
    <m/>
    <n v="0"/>
    <n v="3"/>
    <n v="1"/>
    <n v="119"/>
    <n v="0"/>
    <x v="0"/>
    <m/>
    <m/>
    <m/>
    <m/>
    <s v="no test"/>
    <s v="no test"/>
    <x v="1"/>
    <n v="1"/>
    <n v="1"/>
    <n v="1"/>
    <n v="637"/>
    <n v="0"/>
    <n v="0"/>
    <n v="1"/>
    <n v="637"/>
    <n v="1.274"/>
    <n v="0"/>
    <n v="0"/>
    <n v="0"/>
    <n v="1"/>
    <n v="36"/>
    <n v="1"/>
    <n v="637"/>
    <n v="0"/>
    <n v="0"/>
    <n v="32"/>
    <n v="0"/>
    <n v="0"/>
    <n v="500"/>
    <n v="0"/>
    <n v="0"/>
    <n v="1"/>
    <n v="0"/>
    <n v="0"/>
    <n v="1"/>
    <n v="0.78492935635792782"/>
    <n v="1"/>
    <n v="0"/>
    <n v="595"/>
    <n v="0"/>
    <n v="595"/>
    <n v="0"/>
    <s v="Yes"/>
    <s v="KMSS-BMO"/>
    <x v="1"/>
    <x v="0"/>
    <x v="0"/>
    <x v="0"/>
    <n v="23.833477999999999"/>
    <n v="97.578367"/>
    <s v="MMR001CMP228"/>
    <x v="0"/>
    <m/>
  </r>
  <r>
    <x v="2"/>
    <x v="2"/>
    <x v="0"/>
    <x v="3"/>
    <x v="52"/>
    <n v="175"/>
    <n v="834"/>
    <m/>
    <m/>
    <m/>
    <m/>
    <s v="No"/>
    <n v="0"/>
    <n v="0"/>
    <m/>
    <m/>
    <m/>
    <m/>
    <m/>
    <m/>
    <m/>
    <m/>
    <m/>
    <m/>
    <m/>
    <m/>
    <n v="0"/>
    <m/>
    <m/>
    <m/>
    <m/>
    <x v="1"/>
    <x v="1"/>
    <m/>
    <m/>
    <m/>
    <m/>
    <m/>
    <m/>
    <m/>
    <m/>
    <m/>
    <m/>
    <x v="0"/>
    <m/>
    <m/>
    <m/>
    <m/>
    <s v="no test"/>
    <s v="no test"/>
    <x v="1"/>
    <n v="0"/>
    <n v="0"/>
    <n v="0"/>
    <n v="0"/>
    <n v="0"/>
    <n v="0"/>
    <n v="0"/>
    <n v="0"/>
    <n v="0"/>
    <n v="1"/>
    <n v="834"/>
    <n v="2"/>
    <n v="2"/>
    <n v="0"/>
    <n v="0"/>
    <n v="0"/>
    <n v="1"/>
    <n v="42"/>
    <n v="42"/>
    <n v="0"/>
    <n v="0"/>
    <n v="0"/>
    <n v="0"/>
    <n v="0"/>
    <n v="0"/>
    <n v="0"/>
    <n v="0"/>
    <n v="1"/>
    <n v="0"/>
    <n v="0"/>
    <n v="0"/>
    <n v="0"/>
    <n v="0"/>
    <n v="0"/>
    <n v="0"/>
    <n v="0"/>
    <s v="uncovered"/>
    <x v="1"/>
    <x v="0"/>
    <x v="1"/>
    <x v="0"/>
    <n v="23.827870999999998"/>
    <n v="97.588291999999996"/>
    <s v="MMR001CMP134"/>
    <x v="1"/>
    <m/>
  </r>
  <r>
    <x v="2"/>
    <x v="1"/>
    <x v="0"/>
    <x v="3"/>
    <x v="53"/>
    <n v="185"/>
    <n v="823"/>
    <m/>
    <s v="USAID,Christian Aid, "/>
    <s v="9/1/2018,1-Dec-2018"/>
    <n v="0"/>
    <s v="Yes"/>
    <n v="0.8"/>
    <n v="0.8"/>
    <n v="3"/>
    <n v="6"/>
    <n v="0"/>
    <n v="0"/>
    <n v="0"/>
    <m/>
    <m/>
    <m/>
    <m/>
    <m/>
    <m/>
    <m/>
    <n v="44"/>
    <n v="0"/>
    <n v="2"/>
    <m/>
    <n v="0"/>
    <x v="0"/>
    <x v="0"/>
    <m/>
    <m/>
    <m/>
    <n v="1"/>
    <s v="Both"/>
    <n v="0"/>
    <n v="7"/>
    <n v="3"/>
    <n v="185"/>
    <n v="185"/>
    <x v="0"/>
    <m/>
    <m/>
    <m/>
    <m/>
    <s v="no test"/>
    <s v="no test"/>
    <x v="1"/>
    <n v="1"/>
    <n v="1"/>
    <n v="1"/>
    <n v="823"/>
    <n v="0"/>
    <n v="0"/>
    <n v="1"/>
    <n v="823"/>
    <n v="1.6459999999999999"/>
    <n v="0"/>
    <n v="0"/>
    <n v="0.35400000000000009"/>
    <n v="2"/>
    <n v="44"/>
    <n v="1"/>
    <n v="823"/>
    <n v="0"/>
    <n v="0"/>
    <n v="41"/>
    <n v="0"/>
    <n v="40"/>
    <n v="823"/>
    <n v="1"/>
    <n v="1"/>
    <n v="1"/>
    <n v="823"/>
    <n v="1"/>
    <n v="0"/>
    <n v="1"/>
    <n v="1"/>
    <n v="1"/>
    <n v="925"/>
    <n v="925"/>
    <n v="925"/>
    <n v="185"/>
    <s v="Yes"/>
    <s v="KBC"/>
    <x v="1"/>
    <x v="0"/>
    <x v="0"/>
    <x v="0"/>
    <n v="24.129059999999999"/>
    <n v="97.291820000000001"/>
    <s v="MMR001CMP066"/>
    <x v="0"/>
    <m/>
  </r>
  <r>
    <x v="2"/>
    <x v="2"/>
    <x v="0"/>
    <x v="3"/>
    <x v="54"/>
    <n v="80"/>
    <n v="290"/>
    <m/>
    <m/>
    <m/>
    <m/>
    <s v="No"/>
    <n v="0"/>
    <n v="0"/>
    <m/>
    <m/>
    <m/>
    <m/>
    <m/>
    <m/>
    <m/>
    <m/>
    <m/>
    <m/>
    <m/>
    <m/>
    <n v="0"/>
    <m/>
    <m/>
    <m/>
    <m/>
    <x v="1"/>
    <x v="1"/>
    <m/>
    <m/>
    <m/>
    <m/>
    <m/>
    <m/>
    <m/>
    <m/>
    <m/>
    <m/>
    <x v="0"/>
    <m/>
    <m/>
    <m/>
    <m/>
    <s v="no test"/>
    <s v="no test"/>
    <x v="1"/>
    <n v="0"/>
    <n v="0"/>
    <n v="0"/>
    <n v="0"/>
    <n v="0"/>
    <n v="0"/>
    <n v="0"/>
    <n v="0"/>
    <n v="0"/>
    <n v="1"/>
    <n v="290"/>
    <n v="1"/>
    <n v="1"/>
    <n v="0"/>
    <n v="0"/>
    <n v="0"/>
    <n v="1"/>
    <n v="15"/>
    <n v="15"/>
    <n v="0"/>
    <n v="0"/>
    <n v="0"/>
    <n v="0"/>
    <n v="0"/>
    <n v="0"/>
    <n v="0"/>
    <n v="0"/>
    <n v="1"/>
    <n v="0"/>
    <n v="0"/>
    <n v="0"/>
    <n v="0"/>
    <n v="0"/>
    <n v="0"/>
    <n v="0"/>
    <n v="0"/>
    <s v="uncovered"/>
    <x v="1"/>
    <x v="0"/>
    <x v="1"/>
    <x v="0"/>
    <n v="24.118618999999999"/>
    <n v="97.298055000000005"/>
    <s v="MMR001CMP196"/>
    <x v="1"/>
    <m/>
  </r>
  <r>
    <x v="2"/>
    <x v="5"/>
    <x v="0"/>
    <x v="3"/>
    <x v="55"/>
    <n v="16"/>
    <n v="89"/>
    <m/>
    <s v="DFID/HARP"/>
    <d v="2017-09-30T00:00:00"/>
    <n v="0"/>
    <s v="No"/>
    <n v="0"/>
    <n v="0"/>
    <n v="1"/>
    <n v="0"/>
    <m/>
    <n v="0"/>
    <m/>
    <m/>
    <m/>
    <m/>
    <m/>
    <m/>
    <m/>
    <s v="Not safe"/>
    <n v="0"/>
    <n v="0"/>
    <m/>
    <m/>
    <n v="0"/>
    <x v="1"/>
    <x v="1"/>
    <m/>
    <m/>
    <m/>
    <n v="0"/>
    <m/>
    <n v="0"/>
    <n v="1"/>
    <n v="0"/>
    <m/>
    <m/>
    <x v="0"/>
    <m/>
    <m/>
    <m/>
    <m/>
    <s v="no test"/>
    <s v="no test"/>
    <x v="1"/>
    <n v="1"/>
    <n v="1"/>
    <n v="1"/>
    <n v="89"/>
    <n v="0"/>
    <n v="0"/>
    <n v="1"/>
    <n v="89"/>
    <n v="0.17799999999999999"/>
    <n v="0"/>
    <n v="0"/>
    <n v="0.82200000000000006"/>
    <n v="1"/>
    <n v="0"/>
    <n v="0"/>
    <n v="0"/>
    <n v="0.898876404494382"/>
    <n v="4"/>
    <n v="4"/>
    <n v="0"/>
    <n v="0"/>
    <n v="0"/>
    <n v="0"/>
    <n v="0"/>
    <n v="0"/>
    <n v="0"/>
    <n v="0"/>
    <n v="1"/>
    <n v="0"/>
    <n v="0"/>
    <n v="0"/>
    <n v="0"/>
    <n v="0"/>
    <n v="0"/>
    <n v="0"/>
    <n v="0"/>
    <n v="0"/>
    <x v="0"/>
    <x v="0"/>
    <x v="0"/>
    <x v="0"/>
    <n v="0"/>
    <n v="0"/>
    <n v="0"/>
    <x v="0"/>
    <m/>
  </r>
  <r>
    <x v="2"/>
    <x v="3"/>
    <x v="0"/>
    <x v="4"/>
    <x v="57"/>
    <n v="13"/>
    <n v="66"/>
    <m/>
    <s v="ADRA/CANADA"/>
    <d v="2018-01-31T00:00:00"/>
    <n v="0"/>
    <s v="Yes"/>
    <n v="0.8"/>
    <n v="0.8"/>
    <n v="0"/>
    <n v="2"/>
    <n v="2000"/>
    <n v="0"/>
    <n v="0"/>
    <m/>
    <n v="0"/>
    <n v="0"/>
    <n v="0"/>
    <n v="0"/>
    <n v="0"/>
    <m/>
    <n v="6"/>
    <n v="0"/>
    <n v="4"/>
    <m/>
    <n v="0"/>
    <x v="0"/>
    <x v="2"/>
    <m/>
    <m/>
    <m/>
    <n v="0.6"/>
    <s v="Communal"/>
    <n v="0"/>
    <n v="2"/>
    <n v="1"/>
    <n v="0"/>
    <n v="0"/>
    <x v="0"/>
    <m/>
    <m/>
    <m/>
    <m/>
    <s v="no test"/>
    <s v="no test"/>
    <x v="1"/>
    <n v="1"/>
    <n v="1"/>
    <n v="1"/>
    <n v="66"/>
    <n v="0"/>
    <n v="0"/>
    <n v="1"/>
    <n v="66"/>
    <n v="0.13200000000000001"/>
    <n v="0"/>
    <n v="0"/>
    <n v="0.86799999999999999"/>
    <n v="1"/>
    <n v="6"/>
    <n v="1"/>
    <n v="66"/>
    <n v="0"/>
    <n v="0"/>
    <n v="3"/>
    <n v="0"/>
    <n v="66"/>
    <n v="66"/>
    <n v="0"/>
    <n v="1"/>
    <n v="0"/>
    <n v="0"/>
    <n v="0"/>
    <n v="1"/>
    <n v="1"/>
    <n v="0"/>
    <n v="0"/>
    <n v="0"/>
    <n v="0"/>
    <n v="0"/>
    <n v="7.8"/>
    <s v="Yes"/>
    <s v="KBC"/>
    <x v="1"/>
    <x v="0"/>
    <x v="0"/>
    <x v="0"/>
    <n v="25.305669999999999"/>
    <n v="96.922619999999995"/>
    <s v="MMR001CMP078"/>
    <x v="0"/>
    <m/>
  </r>
  <r>
    <x v="2"/>
    <x v="3"/>
    <x v="0"/>
    <x v="4"/>
    <x v="60"/>
    <n v="16"/>
    <n v="98"/>
    <m/>
    <s v="ADRA/CANADA"/>
    <d v="2018-01-31T00:00:00"/>
    <n v="0"/>
    <s v="Yes"/>
    <n v="0.8"/>
    <n v="0.8"/>
    <n v="0"/>
    <n v="2"/>
    <n v="2000"/>
    <n v="0"/>
    <n v="0"/>
    <m/>
    <n v="0"/>
    <n v="0"/>
    <n v="0"/>
    <n v="0"/>
    <n v="0"/>
    <m/>
    <n v="2"/>
    <n v="0"/>
    <n v="0"/>
    <m/>
    <n v="0"/>
    <x v="0"/>
    <x v="2"/>
    <m/>
    <m/>
    <m/>
    <n v="0.6"/>
    <s v="Communal"/>
    <n v="0"/>
    <n v="2"/>
    <n v="1"/>
    <n v="0"/>
    <n v="0"/>
    <x v="0"/>
    <m/>
    <m/>
    <m/>
    <m/>
    <s v="no test"/>
    <s v="no test"/>
    <x v="1"/>
    <n v="1"/>
    <n v="1"/>
    <n v="1"/>
    <n v="98"/>
    <n v="0"/>
    <n v="0"/>
    <n v="1"/>
    <n v="98"/>
    <n v="0.19600000000000001"/>
    <n v="0"/>
    <n v="0"/>
    <n v="0.80400000000000005"/>
    <n v="1"/>
    <n v="2"/>
    <n v="0.40816326530612246"/>
    <n v="40"/>
    <n v="0.61224489795918358"/>
    <n v="3"/>
    <n v="5"/>
    <n v="0"/>
    <n v="0"/>
    <n v="98"/>
    <n v="0"/>
    <n v="1"/>
    <n v="0"/>
    <n v="0"/>
    <n v="0"/>
    <n v="1"/>
    <n v="1"/>
    <n v="0"/>
    <n v="0"/>
    <n v="0"/>
    <n v="0"/>
    <n v="0"/>
    <n v="9.6"/>
    <s v="Yes"/>
    <s v="KBC"/>
    <x v="1"/>
    <x v="0"/>
    <x v="0"/>
    <x v="0"/>
    <n v="25.296579999999999"/>
    <n v="96.942279999999997"/>
    <s v="MMR001CMP077"/>
    <x v="0"/>
    <m/>
  </r>
  <r>
    <x v="2"/>
    <x v="5"/>
    <x v="0"/>
    <x v="4"/>
    <x v="61"/>
    <n v="20"/>
    <n v="105"/>
    <m/>
    <s v="UNICEF"/>
    <d v="2018-12-31T00:00:00"/>
    <n v="0"/>
    <s v="Yes"/>
    <n v="0.4"/>
    <n v="0.1"/>
    <n v="3"/>
    <n v="0"/>
    <n v="6000"/>
    <n v="0"/>
    <n v="0"/>
    <m/>
    <n v="0"/>
    <n v="0"/>
    <n v="0"/>
    <n v="0"/>
    <n v="0"/>
    <m/>
    <n v="20"/>
    <n v="0"/>
    <n v="0"/>
    <m/>
    <n v="0"/>
    <x v="0"/>
    <x v="2"/>
    <n v="0"/>
    <n v="0"/>
    <m/>
    <n v="0"/>
    <s v="Communal"/>
    <n v="0"/>
    <n v="0"/>
    <n v="0"/>
    <n v="0"/>
    <n v="0"/>
    <x v="1"/>
    <m/>
    <m/>
    <m/>
    <m/>
    <s v="no test"/>
    <s v="no test"/>
    <x v="1"/>
    <n v="1"/>
    <n v="1"/>
    <n v="1"/>
    <n v="105"/>
    <n v="0"/>
    <n v="0"/>
    <n v="1"/>
    <n v="105"/>
    <n v="0.21"/>
    <n v="0"/>
    <n v="0"/>
    <n v="0.79"/>
    <n v="1"/>
    <n v="20"/>
    <n v="1"/>
    <n v="105"/>
    <n v="0"/>
    <n v="0"/>
    <n v="5"/>
    <n v="0"/>
    <n v="0"/>
    <n v="0"/>
    <n v="0"/>
    <n v="0"/>
    <n v="0"/>
    <n v="0"/>
    <n v="0"/>
    <n v="1"/>
    <n v="0"/>
    <n v="0"/>
    <n v="0"/>
    <n v="0"/>
    <n v="0"/>
    <n v="0"/>
    <n v="0"/>
    <n v="0"/>
    <n v="0"/>
    <x v="1"/>
    <x v="0"/>
    <x v="3"/>
    <x v="0"/>
    <n v="25.299679999999999"/>
    <n v="96.942279999999997"/>
    <s v="MMR001CMP237"/>
    <x v="0"/>
    <m/>
  </r>
  <r>
    <x v="2"/>
    <x v="3"/>
    <x v="0"/>
    <x v="4"/>
    <x v="65"/>
    <n v="11"/>
    <n v="33"/>
    <m/>
    <s v="ADRA/CANADA"/>
    <d v="2018-01-31T00:00:00"/>
    <n v="0"/>
    <s v="Yes"/>
    <n v="0.8"/>
    <n v="0.8"/>
    <n v="1"/>
    <n v="2"/>
    <n v="2000"/>
    <n v="0"/>
    <n v="0"/>
    <m/>
    <n v="0"/>
    <n v="0"/>
    <n v="0"/>
    <n v="0"/>
    <n v="0"/>
    <m/>
    <n v="3"/>
    <n v="0"/>
    <n v="0"/>
    <m/>
    <n v="0"/>
    <x v="0"/>
    <x v="2"/>
    <m/>
    <m/>
    <m/>
    <n v="0.6"/>
    <s v="Communal"/>
    <n v="0"/>
    <n v="2"/>
    <n v="1"/>
    <n v="0"/>
    <n v="0"/>
    <x v="0"/>
    <m/>
    <m/>
    <m/>
    <m/>
    <s v="no test"/>
    <s v="no test"/>
    <x v="1"/>
    <n v="1"/>
    <n v="1"/>
    <n v="1"/>
    <n v="33"/>
    <n v="0"/>
    <n v="0"/>
    <n v="1"/>
    <n v="33"/>
    <n v="6.6000000000000003E-2"/>
    <n v="0"/>
    <n v="0"/>
    <n v="0.93399999999999994"/>
    <n v="1"/>
    <n v="3"/>
    <n v="1"/>
    <n v="33"/>
    <n v="0"/>
    <n v="0"/>
    <n v="2"/>
    <n v="0"/>
    <n v="0"/>
    <n v="33"/>
    <n v="0"/>
    <n v="1"/>
    <n v="0"/>
    <n v="0"/>
    <n v="0"/>
    <n v="1"/>
    <n v="1"/>
    <n v="0"/>
    <n v="0"/>
    <n v="0"/>
    <n v="0"/>
    <n v="0"/>
    <n v="6.6"/>
    <s v="Yes"/>
    <s v="KBC"/>
    <x v="1"/>
    <x v="0"/>
    <x v="0"/>
    <x v="0"/>
    <n v="25.30442"/>
    <n v="96.948740000000001"/>
    <s v="MMR001CMP079"/>
    <x v="0"/>
    <m/>
  </r>
  <r>
    <x v="2"/>
    <x v="3"/>
    <x v="0"/>
    <x v="4"/>
    <x v="66"/>
    <n v="28"/>
    <n v="129"/>
    <m/>
    <s v="ADRA/CANADA"/>
    <d v="2018-01-31T00:00:00"/>
    <n v="0"/>
    <s v="Yes"/>
    <n v="0.8"/>
    <n v="0.8"/>
    <n v="1"/>
    <n v="2"/>
    <n v="3000"/>
    <n v="0"/>
    <n v="0"/>
    <m/>
    <n v="0"/>
    <n v="0"/>
    <n v="0"/>
    <n v="0"/>
    <n v="0"/>
    <m/>
    <n v="8"/>
    <n v="0"/>
    <n v="0"/>
    <m/>
    <n v="0"/>
    <x v="0"/>
    <x v="2"/>
    <m/>
    <m/>
    <m/>
    <n v="0.6"/>
    <s v="Communal"/>
    <n v="0"/>
    <n v="2"/>
    <n v="1"/>
    <n v="0"/>
    <n v="0"/>
    <x v="0"/>
    <m/>
    <m/>
    <m/>
    <m/>
    <s v="no test"/>
    <s v="no test"/>
    <x v="1"/>
    <n v="1"/>
    <n v="1"/>
    <n v="1"/>
    <n v="129"/>
    <n v="0"/>
    <n v="0"/>
    <n v="1"/>
    <n v="129"/>
    <n v="0.25800000000000001"/>
    <n v="0"/>
    <n v="0"/>
    <n v="0.74199999999999999"/>
    <n v="1"/>
    <n v="8"/>
    <n v="1"/>
    <n v="129"/>
    <n v="0"/>
    <n v="0"/>
    <n v="6"/>
    <n v="0"/>
    <n v="0"/>
    <n v="129"/>
    <n v="0"/>
    <n v="1"/>
    <n v="0"/>
    <n v="0"/>
    <n v="0"/>
    <n v="1"/>
    <n v="1"/>
    <n v="0"/>
    <n v="0"/>
    <n v="0"/>
    <n v="0"/>
    <n v="0"/>
    <n v="16.8"/>
    <s v="Yes"/>
    <s v="KBC"/>
    <x v="1"/>
    <x v="0"/>
    <x v="0"/>
    <x v="0"/>
    <n v="25.225000000000001"/>
    <n v="96.793999999999997"/>
    <s v="MMR001CMP236"/>
    <x v="0"/>
    <m/>
  </r>
  <r>
    <x v="2"/>
    <x v="2"/>
    <x v="0"/>
    <x v="5"/>
    <x v="67"/>
    <n v="27"/>
    <n v="121"/>
    <m/>
    <m/>
    <m/>
    <m/>
    <s v="No"/>
    <n v="0"/>
    <n v="0"/>
    <m/>
    <m/>
    <m/>
    <m/>
    <m/>
    <m/>
    <m/>
    <m/>
    <m/>
    <m/>
    <m/>
    <m/>
    <n v="0"/>
    <m/>
    <m/>
    <m/>
    <m/>
    <x v="1"/>
    <x v="1"/>
    <m/>
    <m/>
    <m/>
    <m/>
    <m/>
    <m/>
    <m/>
    <m/>
    <m/>
    <m/>
    <x v="0"/>
    <m/>
    <m/>
    <m/>
    <m/>
    <s v="no test"/>
    <s v="no test"/>
    <x v="1"/>
    <n v="0"/>
    <n v="0"/>
    <n v="0"/>
    <n v="0"/>
    <n v="0"/>
    <n v="0"/>
    <n v="0"/>
    <n v="0"/>
    <n v="0"/>
    <n v="1"/>
    <n v="121"/>
    <n v="1"/>
    <n v="1"/>
    <n v="0"/>
    <n v="0"/>
    <n v="0"/>
    <n v="0.99173553719008267"/>
    <n v="6"/>
    <n v="6"/>
    <n v="0"/>
    <n v="0"/>
    <n v="0"/>
    <n v="0"/>
    <n v="0"/>
    <n v="0"/>
    <n v="0"/>
    <n v="0"/>
    <n v="1"/>
    <n v="0"/>
    <n v="0"/>
    <n v="0"/>
    <n v="0"/>
    <n v="0"/>
    <n v="0"/>
    <n v="0"/>
    <n v="0"/>
    <s v="uncovered"/>
    <x v="1"/>
    <x v="0"/>
    <x v="1"/>
    <x v="0"/>
    <n v="24.996279999999999"/>
    <n v="96.52534"/>
    <s v="MMR001CMP232"/>
    <x v="1"/>
    <m/>
  </r>
  <r>
    <x v="2"/>
    <x v="2"/>
    <x v="0"/>
    <x v="5"/>
    <x v="69"/>
    <n v="14"/>
    <n v="63"/>
    <m/>
    <m/>
    <m/>
    <m/>
    <s v="No"/>
    <n v="0"/>
    <n v="0"/>
    <m/>
    <m/>
    <m/>
    <m/>
    <m/>
    <m/>
    <m/>
    <m/>
    <m/>
    <m/>
    <m/>
    <m/>
    <n v="0"/>
    <m/>
    <m/>
    <m/>
    <m/>
    <x v="1"/>
    <x v="1"/>
    <m/>
    <m/>
    <m/>
    <m/>
    <m/>
    <m/>
    <m/>
    <m/>
    <m/>
    <m/>
    <x v="0"/>
    <m/>
    <m/>
    <m/>
    <m/>
    <s v="no test"/>
    <s v="no test"/>
    <x v="1"/>
    <n v="0"/>
    <n v="0"/>
    <n v="0"/>
    <n v="0"/>
    <n v="0"/>
    <n v="0"/>
    <n v="0"/>
    <n v="0"/>
    <n v="0"/>
    <n v="1"/>
    <n v="63"/>
    <n v="1"/>
    <n v="1"/>
    <n v="0"/>
    <n v="0"/>
    <n v="0"/>
    <n v="0.95238095238095244"/>
    <n v="3"/>
    <n v="3"/>
    <n v="0"/>
    <n v="0"/>
    <n v="0"/>
    <n v="0"/>
    <n v="0"/>
    <n v="0"/>
    <n v="0"/>
    <n v="0"/>
    <n v="1"/>
    <n v="0"/>
    <n v="0"/>
    <n v="0"/>
    <n v="0"/>
    <n v="0"/>
    <n v="0"/>
    <n v="0"/>
    <n v="0"/>
    <s v="uncovered"/>
    <x v="1"/>
    <x v="0"/>
    <x v="1"/>
    <x v="0"/>
    <n v="24.764959999999999"/>
    <n v="96.366919999999993"/>
    <s v="MMR001CMP233"/>
    <x v="1"/>
    <m/>
  </r>
  <r>
    <x v="2"/>
    <x v="3"/>
    <x v="0"/>
    <x v="5"/>
    <x v="70"/>
    <n v="19"/>
    <n v="115"/>
    <m/>
    <s v="ADRA/CANADA"/>
    <d v="2018-01-31T00:00:00"/>
    <n v="0"/>
    <s v="Yes"/>
    <n v="0.6"/>
    <n v="0.5"/>
    <n v="0"/>
    <n v="2"/>
    <n v="0"/>
    <n v="0"/>
    <n v="0"/>
    <m/>
    <n v="0"/>
    <n v="0"/>
    <n v="0"/>
    <n v="0"/>
    <n v="0"/>
    <m/>
    <n v="5"/>
    <n v="0"/>
    <n v="0"/>
    <m/>
    <n v="0"/>
    <x v="0"/>
    <x v="2"/>
    <m/>
    <m/>
    <m/>
    <n v="0.6"/>
    <s v="Communal"/>
    <n v="0"/>
    <n v="2"/>
    <n v="1"/>
    <n v="0"/>
    <n v="0"/>
    <x v="0"/>
    <m/>
    <m/>
    <m/>
    <m/>
    <s v="no test"/>
    <s v="no test"/>
    <x v="1"/>
    <n v="1"/>
    <n v="1"/>
    <n v="1"/>
    <n v="115"/>
    <n v="0"/>
    <n v="0"/>
    <n v="1"/>
    <n v="115"/>
    <n v="0.23"/>
    <n v="0"/>
    <n v="0"/>
    <n v="0.77"/>
    <n v="1"/>
    <n v="5"/>
    <n v="0.86956521739130432"/>
    <n v="100"/>
    <n v="0.17391304347826086"/>
    <n v="1"/>
    <n v="6"/>
    <n v="0"/>
    <n v="0"/>
    <n v="115"/>
    <n v="0"/>
    <n v="1"/>
    <n v="0"/>
    <n v="0"/>
    <n v="0"/>
    <n v="1"/>
    <n v="1"/>
    <n v="0"/>
    <n v="0"/>
    <n v="0"/>
    <n v="0"/>
    <n v="0"/>
    <n v="11.4"/>
    <s v="Yes"/>
    <s v="KBC"/>
    <x v="1"/>
    <x v="0"/>
    <x v="0"/>
    <x v="0"/>
    <n v="24.998349999999999"/>
    <n v="96.364949999999993"/>
    <s v="MMR001CMP152"/>
    <x v="0"/>
    <m/>
  </r>
  <r>
    <x v="2"/>
    <x v="5"/>
    <x v="0"/>
    <x v="5"/>
    <x v="71"/>
    <n v="11"/>
    <n v="50"/>
    <m/>
    <s v="DFID/UNICEF"/>
    <d v="2018-12-31T00:00:00"/>
    <n v="0"/>
    <s v="Yes"/>
    <n v="0.3"/>
    <n v="0.6"/>
    <n v="1"/>
    <n v="1"/>
    <n v="4000"/>
    <n v="0"/>
    <n v="0"/>
    <m/>
    <n v="0"/>
    <n v="0"/>
    <n v="0"/>
    <n v="0"/>
    <n v="0"/>
    <s v="Need to renovation Tube well"/>
    <n v="2"/>
    <n v="0"/>
    <n v="0"/>
    <m/>
    <n v="4"/>
    <x v="0"/>
    <x v="2"/>
    <n v="0"/>
    <n v="0"/>
    <m/>
    <n v="0"/>
    <s v="Communal"/>
    <n v="0"/>
    <n v="1"/>
    <n v="1"/>
    <n v="0"/>
    <n v="0"/>
    <x v="1"/>
    <m/>
    <m/>
    <m/>
    <m/>
    <s v="no test"/>
    <s v="no test"/>
    <x v="1"/>
    <n v="1"/>
    <n v="1"/>
    <n v="1"/>
    <n v="50"/>
    <n v="0"/>
    <n v="0"/>
    <n v="1"/>
    <n v="50"/>
    <n v="0.1"/>
    <n v="0"/>
    <n v="0"/>
    <n v="0.9"/>
    <n v="1"/>
    <n v="2"/>
    <n v="0.8"/>
    <n v="40"/>
    <n v="0.4"/>
    <n v="1"/>
    <n v="3"/>
    <n v="0"/>
    <n v="0"/>
    <n v="50"/>
    <n v="0"/>
    <n v="1"/>
    <n v="0"/>
    <n v="0"/>
    <n v="0"/>
    <n v="1"/>
    <n v="1"/>
    <n v="0"/>
    <n v="0"/>
    <n v="0"/>
    <n v="0"/>
    <n v="0"/>
    <n v="0"/>
    <s v="Yes"/>
    <s v="KMSS-MYT"/>
    <x v="1"/>
    <x v="0"/>
    <x v="0"/>
    <x v="0"/>
    <n v="24.764800000000001"/>
    <n v="96.367059999999995"/>
    <s v="MMR001CMP080"/>
    <x v="0"/>
    <m/>
  </r>
  <r>
    <x v="2"/>
    <x v="1"/>
    <x v="0"/>
    <x v="6"/>
    <x v="72"/>
    <n v="141"/>
    <n v="665"/>
    <m/>
    <s v="USAID, Christian AID, HIDA"/>
    <s v="9/1/2018,1-dec-2018"/>
    <n v="0"/>
    <s v="Yes"/>
    <n v="0.5"/>
    <n v="0.5"/>
    <n v="3"/>
    <n v="2"/>
    <n v="0"/>
    <n v="0"/>
    <n v="0"/>
    <m/>
    <m/>
    <m/>
    <m/>
    <m/>
    <m/>
    <m/>
    <n v="24"/>
    <n v="0"/>
    <n v="4"/>
    <m/>
    <n v="0"/>
    <x v="0"/>
    <x v="0"/>
    <m/>
    <m/>
    <m/>
    <n v="1"/>
    <s v="Both"/>
    <n v="0"/>
    <n v="3"/>
    <n v="2"/>
    <n v="141"/>
    <n v="141"/>
    <x v="0"/>
    <m/>
    <m/>
    <m/>
    <m/>
    <s v="no test"/>
    <s v="no test"/>
    <x v="1"/>
    <n v="1"/>
    <n v="1"/>
    <n v="1"/>
    <n v="665"/>
    <n v="0"/>
    <n v="0"/>
    <n v="1"/>
    <n v="665"/>
    <n v="1.33"/>
    <n v="0"/>
    <n v="0"/>
    <n v="0"/>
    <n v="1"/>
    <n v="24"/>
    <n v="0.72180451127819545"/>
    <n v="480"/>
    <n v="0.27067669172932329"/>
    <n v="9"/>
    <n v="33"/>
    <n v="0"/>
    <n v="80"/>
    <n v="665"/>
    <n v="1"/>
    <n v="1"/>
    <n v="1"/>
    <n v="665"/>
    <n v="1"/>
    <n v="0"/>
    <n v="1"/>
    <n v="1"/>
    <n v="1"/>
    <n v="705"/>
    <n v="705"/>
    <n v="705"/>
    <n v="141"/>
    <n v="0"/>
    <n v="0"/>
    <x v="0"/>
    <x v="0"/>
    <x v="0"/>
    <x v="0"/>
    <n v="0"/>
    <n v="0"/>
    <n v="0"/>
    <x v="0"/>
    <m/>
  </r>
  <r>
    <x v="2"/>
    <x v="5"/>
    <x v="0"/>
    <x v="6"/>
    <x v="73"/>
    <n v="98"/>
    <n v="446"/>
    <m/>
    <s v="DFID/UNICEF"/>
    <d v="2018-12-31T00:00:00"/>
    <n v="0"/>
    <s v="Yes"/>
    <n v="0.5"/>
    <n v="0.3"/>
    <n v="0"/>
    <n v="0"/>
    <n v="7000"/>
    <n v="0"/>
    <n v="8"/>
    <m/>
    <n v="0"/>
    <n v="0"/>
    <n v="0"/>
    <n v="0"/>
    <n v="0"/>
    <m/>
    <n v="93"/>
    <n v="0"/>
    <n v="0"/>
    <m/>
    <n v="0"/>
    <x v="0"/>
    <x v="2"/>
    <n v="0"/>
    <n v="0"/>
    <m/>
    <n v="0"/>
    <s v="Communal"/>
    <n v="0"/>
    <n v="2"/>
    <n v="2"/>
    <n v="0"/>
    <n v="0"/>
    <x v="1"/>
    <m/>
    <m/>
    <m/>
    <m/>
    <s v="no test"/>
    <s v="no test"/>
    <x v="1"/>
    <n v="1"/>
    <n v="1"/>
    <n v="1"/>
    <n v="446"/>
    <n v="0"/>
    <n v="0"/>
    <n v="1"/>
    <n v="446"/>
    <n v="0.89200000000000002"/>
    <n v="0"/>
    <n v="0"/>
    <n v="0.10799999999999998"/>
    <n v="1"/>
    <n v="93"/>
    <n v="1"/>
    <n v="446"/>
    <n v="0"/>
    <n v="0"/>
    <n v="22"/>
    <n v="0"/>
    <n v="0"/>
    <n v="446"/>
    <n v="0"/>
    <n v="1"/>
    <n v="0"/>
    <n v="0"/>
    <n v="0"/>
    <n v="1"/>
    <n v="1"/>
    <n v="0"/>
    <n v="0"/>
    <n v="0"/>
    <n v="0"/>
    <n v="0"/>
    <n v="0"/>
    <s v="Yes"/>
    <s v="KMSS-MYT"/>
    <x v="1"/>
    <x v="0"/>
    <x v="0"/>
    <x v="1"/>
    <n v="24.461033"/>
    <n v="97.537099999999995"/>
    <s v="MMR001CMP123"/>
    <x v="0"/>
    <m/>
  </r>
  <r>
    <x v="2"/>
    <x v="1"/>
    <x v="0"/>
    <x v="6"/>
    <x v="74"/>
    <n v="664"/>
    <n v="3294"/>
    <m/>
    <s v="WHH-BMZ,WHH-AA"/>
    <d v="2018-06-30T00:00:00"/>
    <n v="0"/>
    <s v="Yes"/>
    <n v="0.4"/>
    <n v="0.4"/>
    <n v="3"/>
    <n v="0"/>
    <n v="65880"/>
    <n v="0"/>
    <n v="0"/>
    <m/>
    <m/>
    <m/>
    <m/>
    <m/>
    <m/>
    <n v="0"/>
    <n v="202"/>
    <n v="4"/>
    <m/>
    <m/>
    <n v="1"/>
    <x v="0"/>
    <x v="0"/>
    <m/>
    <m/>
    <n v="0"/>
    <n v="0.99"/>
    <s v="Communal"/>
    <n v="0"/>
    <n v="21"/>
    <n v="4"/>
    <m/>
    <m/>
    <x v="0"/>
    <m/>
    <m/>
    <m/>
    <n v="0"/>
    <s v="no test"/>
    <s v="no test"/>
    <x v="1"/>
    <n v="1"/>
    <n v="1"/>
    <n v="1"/>
    <n v="3294"/>
    <n v="0"/>
    <n v="0"/>
    <n v="1"/>
    <n v="3294"/>
    <n v="6.5880000000000001"/>
    <n v="0"/>
    <n v="0"/>
    <n v="0.41199999999999992"/>
    <n v="7"/>
    <n v="206"/>
    <n v="1"/>
    <n v="3294"/>
    <n v="0"/>
    <n v="0"/>
    <n v="165"/>
    <n v="1.9417475728155338E-2"/>
    <n v="0"/>
    <n v="2000"/>
    <n v="0"/>
    <n v="0"/>
    <n v="0"/>
    <n v="0"/>
    <n v="0"/>
    <n v="1"/>
    <n v="0.60716454159077105"/>
    <n v="0"/>
    <n v="0"/>
    <n v="0"/>
    <n v="0"/>
    <n v="0"/>
    <n v="657.36"/>
    <s v="Yes"/>
    <s v="KMSS-MYT"/>
    <x v="1"/>
    <x v="0"/>
    <x v="0"/>
    <x v="1"/>
    <n v="24.661905999999998"/>
    <n v="97.573126000000002"/>
    <s v="MMR001CMP122"/>
    <x v="0"/>
    <m/>
  </r>
  <r>
    <x v="2"/>
    <x v="9"/>
    <x v="0"/>
    <x v="6"/>
    <x v="75"/>
    <n v="1557"/>
    <n v="8554"/>
    <m/>
    <s v="OFDA"/>
    <d v="2018-04-30T00:00:00"/>
    <n v="0"/>
    <s v="Yes"/>
    <n v="0.52"/>
    <n v="0"/>
    <n v="0"/>
    <n v="3"/>
    <n v="9331200"/>
    <n v="0"/>
    <n v="0"/>
    <m/>
    <m/>
    <m/>
    <n v="42"/>
    <n v="38"/>
    <m/>
    <m/>
    <n v="503"/>
    <n v="26"/>
    <n v="118"/>
    <m/>
    <n v="0"/>
    <x v="0"/>
    <x v="0"/>
    <n v="0"/>
    <n v="0"/>
    <m/>
    <n v="1"/>
    <s v="Both"/>
    <n v="0"/>
    <n v="49"/>
    <n v="1167"/>
    <n v="0"/>
    <m/>
    <x v="0"/>
    <m/>
    <m/>
    <m/>
    <m/>
    <s v="no test"/>
    <n v="0.90476190476190477"/>
    <x v="0"/>
    <n v="1"/>
    <n v="1"/>
    <n v="1"/>
    <n v="8554"/>
    <n v="0"/>
    <n v="0"/>
    <n v="1"/>
    <n v="8554"/>
    <n v="17.108000000000001"/>
    <n v="0"/>
    <n v="0"/>
    <n v="0"/>
    <n v="17"/>
    <n v="529"/>
    <n v="1"/>
    <n v="8554"/>
    <n v="0"/>
    <n v="0"/>
    <n v="428"/>
    <n v="4.9149338374291113E-2"/>
    <n v="2360"/>
    <n v="8554"/>
    <n v="0"/>
    <n v="1"/>
    <n v="0"/>
    <n v="0"/>
    <n v="0"/>
    <n v="1"/>
    <n v="1"/>
    <n v="0"/>
    <n v="0"/>
    <n v="0"/>
    <n v="0"/>
    <n v="0"/>
    <n v="1557"/>
    <s v="Yes"/>
    <s v="KMSS-MYT"/>
    <x v="1"/>
    <x v="0"/>
    <x v="0"/>
    <x v="1"/>
    <n v="24.688338999999999"/>
    <n v="97.568331999999998"/>
    <s v="MMR001CMP121"/>
    <x v="0"/>
    <m/>
  </r>
  <r>
    <x v="2"/>
    <x v="1"/>
    <x v="0"/>
    <x v="6"/>
    <x v="76"/>
    <n v="17"/>
    <n v="106"/>
    <m/>
    <s v="USAID,Christian Aid, HIDA"/>
    <s v="9/1/2018,1-dec-2018"/>
    <n v="0"/>
    <s v="No"/>
    <n v="0"/>
    <n v="0"/>
    <n v="1"/>
    <n v="0"/>
    <n v="0"/>
    <n v="0"/>
    <n v="0"/>
    <m/>
    <m/>
    <m/>
    <m/>
    <m/>
    <m/>
    <m/>
    <n v="4"/>
    <n v="0"/>
    <n v="2"/>
    <m/>
    <n v="0"/>
    <x v="0"/>
    <x v="0"/>
    <m/>
    <m/>
    <m/>
    <n v="1"/>
    <s v="Both"/>
    <n v="0"/>
    <n v="2"/>
    <n v="1"/>
    <n v="17"/>
    <n v="17"/>
    <x v="0"/>
    <m/>
    <m/>
    <m/>
    <m/>
    <s v="no test"/>
    <s v="no test"/>
    <x v="1"/>
    <n v="1"/>
    <n v="1"/>
    <n v="1"/>
    <n v="106"/>
    <n v="0"/>
    <n v="0"/>
    <n v="1"/>
    <n v="106"/>
    <n v="0.21199999999999999"/>
    <n v="0"/>
    <n v="0"/>
    <n v="0.78800000000000003"/>
    <n v="1"/>
    <n v="4"/>
    <n v="0.75471698113207553"/>
    <n v="80"/>
    <n v="0.18867924528301888"/>
    <n v="1"/>
    <n v="5"/>
    <n v="0"/>
    <n v="40"/>
    <n v="106"/>
    <n v="1"/>
    <n v="1"/>
    <n v="1"/>
    <n v="106"/>
    <n v="1"/>
    <n v="0"/>
    <n v="1"/>
    <n v="1"/>
    <n v="1"/>
    <n v="85"/>
    <n v="85"/>
    <n v="85"/>
    <n v="17"/>
    <n v="0"/>
    <n v="0"/>
    <x v="0"/>
    <x v="0"/>
    <x v="0"/>
    <x v="0"/>
    <n v="0"/>
    <n v="0"/>
    <n v="0"/>
    <x v="0"/>
    <m/>
  </r>
  <r>
    <x v="2"/>
    <x v="1"/>
    <x v="0"/>
    <x v="6"/>
    <x v="77"/>
    <n v="19"/>
    <n v="94"/>
    <m/>
    <s v="USAID,Christian Aid, HIDA"/>
    <s v="9/1/2018,1-Dec-2018"/>
    <n v="0"/>
    <s v="No"/>
    <n v="0"/>
    <n v="0"/>
    <n v="5"/>
    <n v="0"/>
    <n v="1350"/>
    <n v="0"/>
    <n v="0"/>
    <m/>
    <m/>
    <m/>
    <m/>
    <m/>
    <m/>
    <m/>
    <n v="5"/>
    <n v="0"/>
    <m/>
    <m/>
    <n v="0"/>
    <x v="0"/>
    <x v="0"/>
    <m/>
    <m/>
    <m/>
    <n v="1"/>
    <s v="Both"/>
    <n v="0"/>
    <n v="1"/>
    <n v="1"/>
    <n v="19"/>
    <n v="19"/>
    <x v="0"/>
    <m/>
    <m/>
    <m/>
    <m/>
    <s v="no test"/>
    <s v="no test"/>
    <x v="1"/>
    <n v="1"/>
    <n v="1"/>
    <n v="1"/>
    <n v="94"/>
    <n v="0"/>
    <n v="0"/>
    <n v="1"/>
    <n v="94"/>
    <n v="0.188"/>
    <n v="0"/>
    <n v="0"/>
    <n v="0.81200000000000006"/>
    <n v="1"/>
    <n v="5"/>
    <n v="1"/>
    <n v="94"/>
    <n v="0"/>
    <n v="0"/>
    <n v="5"/>
    <n v="0"/>
    <n v="0"/>
    <n v="94"/>
    <n v="1"/>
    <n v="1"/>
    <n v="1"/>
    <n v="94"/>
    <n v="1"/>
    <n v="0"/>
    <n v="1"/>
    <n v="1"/>
    <n v="1"/>
    <n v="95"/>
    <n v="95"/>
    <n v="95"/>
    <n v="19"/>
    <n v="0"/>
    <n v="0"/>
    <x v="0"/>
    <x v="0"/>
    <x v="0"/>
    <x v="0"/>
    <n v="0"/>
    <n v="0"/>
    <n v="0"/>
    <x v="0"/>
    <m/>
  </r>
  <r>
    <x v="2"/>
    <x v="2"/>
    <x v="0"/>
    <x v="6"/>
    <x v="78"/>
    <n v="3"/>
    <n v="18"/>
    <m/>
    <m/>
    <m/>
    <m/>
    <s v="No"/>
    <n v="0"/>
    <n v="0"/>
    <m/>
    <m/>
    <m/>
    <m/>
    <m/>
    <m/>
    <m/>
    <m/>
    <m/>
    <m/>
    <m/>
    <m/>
    <n v="0"/>
    <m/>
    <m/>
    <m/>
    <m/>
    <x v="1"/>
    <x v="1"/>
    <m/>
    <m/>
    <m/>
    <m/>
    <m/>
    <m/>
    <m/>
    <m/>
    <m/>
    <m/>
    <x v="0"/>
    <m/>
    <m/>
    <m/>
    <m/>
    <s v="no test"/>
    <s v="no test"/>
    <x v="1"/>
    <n v="0"/>
    <n v="0"/>
    <n v="0"/>
    <n v="0"/>
    <n v="0"/>
    <n v="0"/>
    <n v="0"/>
    <n v="0"/>
    <n v="0"/>
    <n v="1"/>
    <n v="18"/>
    <n v="1"/>
    <n v="1"/>
    <n v="0"/>
    <n v="0"/>
    <n v="0"/>
    <n v="1"/>
    <n v="1"/>
    <n v="1"/>
    <n v="0"/>
    <n v="0"/>
    <n v="0"/>
    <n v="0"/>
    <n v="0"/>
    <n v="0"/>
    <n v="0"/>
    <n v="0"/>
    <n v="1"/>
    <n v="0"/>
    <n v="0"/>
    <n v="0"/>
    <n v="0"/>
    <n v="0"/>
    <n v="0"/>
    <n v="0"/>
    <n v="0"/>
    <s v="uncovered"/>
    <x v="1"/>
    <x v="0"/>
    <x v="1"/>
    <x v="0"/>
    <n v="24.377054000000001"/>
    <n v="97.343406999999999"/>
    <s v="MMR001CMP200"/>
    <x v="1"/>
    <m/>
  </r>
  <r>
    <x v="2"/>
    <x v="9"/>
    <x v="0"/>
    <x v="6"/>
    <x v="79"/>
    <n v="440"/>
    <n v="2199"/>
    <m/>
    <s v="OFDA"/>
    <d v="2018-04-30T00:00:00"/>
    <n v="0"/>
    <s v="No"/>
    <n v="0"/>
    <n v="0"/>
    <n v="0"/>
    <n v="1"/>
    <n v="0"/>
    <n v="0"/>
    <n v="0"/>
    <m/>
    <m/>
    <n v="0"/>
    <m/>
    <m/>
    <n v="0"/>
    <m/>
    <n v="16"/>
    <n v="0"/>
    <n v="0"/>
    <m/>
    <n v="0"/>
    <x v="0"/>
    <x v="4"/>
    <n v="0"/>
    <n v="0"/>
    <m/>
    <n v="0"/>
    <s v="Both"/>
    <n v="0"/>
    <m/>
    <m/>
    <n v="0"/>
    <n v="0"/>
    <x v="1"/>
    <m/>
    <m/>
    <m/>
    <m/>
    <s v="no test"/>
    <s v="no test"/>
    <x v="1"/>
    <n v="1"/>
    <n v="0.11368804001819009"/>
    <n v="1"/>
    <n v="2199"/>
    <n v="0"/>
    <n v="0"/>
    <n v="1"/>
    <n v="2199"/>
    <n v="4.3979999999999997"/>
    <n v="0"/>
    <n v="0"/>
    <n v="0"/>
    <n v="4"/>
    <n v="16"/>
    <n v="0.14552069122328332"/>
    <n v="320"/>
    <n v="0.85493406093678947"/>
    <n v="94"/>
    <n v="110"/>
    <n v="0"/>
    <n v="0"/>
    <n v="0"/>
    <n v="0"/>
    <n v="0"/>
    <n v="0"/>
    <n v="0"/>
    <n v="0"/>
    <n v="1"/>
    <n v="0"/>
    <n v="0"/>
    <n v="0"/>
    <n v="0"/>
    <n v="0"/>
    <n v="0"/>
    <n v="0"/>
    <n v="0"/>
    <n v="0"/>
    <x v="0"/>
    <x v="0"/>
    <x v="4"/>
    <x v="1"/>
    <n v="0"/>
    <n v="0"/>
    <n v="0"/>
    <x v="0"/>
    <m/>
  </r>
  <r>
    <x v="2"/>
    <x v="0"/>
    <x v="0"/>
    <x v="6"/>
    <x v="80"/>
    <n v="37"/>
    <n v="225"/>
    <m/>
    <s v="ECHO/OFDA"/>
    <s v="30-04-2018"/>
    <n v="0"/>
    <s v="Yes"/>
    <n v="1"/>
    <n v="0"/>
    <n v="0"/>
    <n v="1"/>
    <n v="90000"/>
    <n v="0"/>
    <n v="0"/>
    <m/>
    <m/>
    <m/>
    <m/>
    <m/>
    <m/>
    <m/>
    <n v="9"/>
    <n v="0"/>
    <m/>
    <m/>
    <n v="0"/>
    <x v="0"/>
    <x v="0"/>
    <m/>
    <m/>
    <s v="nil"/>
    <n v="1"/>
    <s v="Both"/>
    <n v="0"/>
    <n v="1"/>
    <n v="0"/>
    <m/>
    <m/>
    <x v="0"/>
    <m/>
    <m/>
    <m/>
    <s v="Nill"/>
    <s v="no test"/>
    <s v="no test"/>
    <x v="1"/>
    <n v="1"/>
    <n v="1"/>
    <n v="1"/>
    <n v="225"/>
    <n v="0"/>
    <n v="0"/>
    <n v="1"/>
    <n v="225"/>
    <n v="0.45"/>
    <n v="0"/>
    <n v="0"/>
    <n v="0.55000000000000004"/>
    <n v="1"/>
    <n v="9"/>
    <n v="0.8"/>
    <n v="180"/>
    <n v="0.17777777777777778"/>
    <n v="2"/>
    <n v="11"/>
    <n v="0"/>
    <n v="0"/>
    <n v="0"/>
    <n v="0"/>
    <n v="0"/>
    <n v="0"/>
    <n v="0"/>
    <n v="0"/>
    <n v="1"/>
    <n v="0"/>
    <n v="0"/>
    <n v="0"/>
    <n v="0"/>
    <n v="0"/>
    <n v="0"/>
    <n v="37"/>
    <s v="Yes"/>
    <s v="KBC"/>
    <x v="1"/>
    <x v="0"/>
    <x v="0"/>
    <x v="0"/>
    <n v="24.200972"/>
    <n v="97.718582999999995"/>
    <s v="MMR001CMP071"/>
    <x v="0"/>
    <m/>
  </r>
  <r>
    <x v="2"/>
    <x v="0"/>
    <x v="0"/>
    <x v="6"/>
    <x v="81"/>
    <n v="63"/>
    <n v="348"/>
    <m/>
    <s v="ECHO/OFDA"/>
    <s v="30-04-2018"/>
    <n v="0"/>
    <s v="Yes"/>
    <n v="0.5"/>
    <n v="0"/>
    <n v="0"/>
    <n v="1"/>
    <n v="115200"/>
    <n v="0"/>
    <n v="0"/>
    <m/>
    <m/>
    <m/>
    <m/>
    <m/>
    <m/>
    <m/>
    <n v="13"/>
    <n v="0"/>
    <n v="16"/>
    <m/>
    <n v="0"/>
    <x v="0"/>
    <x v="0"/>
    <m/>
    <m/>
    <s v="nil"/>
    <n v="1"/>
    <s v="Both"/>
    <n v="0"/>
    <n v="2"/>
    <n v="0"/>
    <n v="47"/>
    <n v="0"/>
    <x v="1"/>
    <m/>
    <m/>
    <m/>
    <s v="Nill"/>
    <s v="no test"/>
    <s v="no test"/>
    <x v="1"/>
    <n v="1"/>
    <n v="1"/>
    <n v="1"/>
    <n v="348"/>
    <n v="0"/>
    <n v="0"/>
    <n v="1"/>
    <n v="348"/>
    <n v="0.69599999999999995"/>
    <n v="0"/>
    <n v="0"/>
    <n v="0.30400000000000005"/>
    <n v="1"/>
    <n v="13"/>
    <n v="0.74712643678160917"/>
    <n v="260"/>
    <n v="0.22988505747126439"/>
    <n v="4"/>
    <n v="17"/>
    <n v="0"/>
    <n v="320"/>
    <n v="0"/>
    <n v="0"/>
    <n v="0"/>
    <n v="0"/>
    <n v="0"/>
    <n v="0"/>
    <n v="1"/>
    <n v="0"/>
    <n v="0.74603174603174605"/>
    <n v="0"/>
    <n v="235"/>
    <n v="0"/>
    <n v="235"/>
    <n v="63"/>
    <s v="Yes"/>
    <s v="KMSS-BMO"/>
    <x v="1"/>
    <x v="0"/>
    <x v="0"/>
    <x v="0"/>
    <n v="24.205417000000001"/>
    <n v="97.724566999999993"/>
    <s v="MMR001CMP069"/>
    <x v="0"/>
    <m/>
  </r>
  <r>
    <x v="2"/>
    <x v="0"/>
    <x v="0"/>
    <x v="6"/>
    <x v="82"/>
    <n v="197"/>
    <n v="1092"/>
    <m/>
    <s v="OFDA"/>
    <d v="2018-04-30T00:00:00"/>
    <n v="0"/>
    <s v="Yes"/>
    <n v="1"/>
    <n v="0"/>
    <n v="2"/>
    <n v="3"/>
    <n v="604500"/>
    <n v="0"/>
    <n v="0"/>
    <m/>
    <m/>
    <n v="0"/>
    <n v="10"/>
    <n v="10"/>
    <n v="0"/>
    <m/>
    <n v="40"/>
    <n v="0"/>
    <n v="22"/>
    <m/>
    <n v="0"/>
    <x v="0"/>
    <x v="0"/>
    <n v="0"/>
    <n v="0"/>
    <m/>
    <n v="1"/>
    <s v="Both"/>
    <n v="0"/>
    <n v="5"/>
    <n v="4"/>
    <n v="148"/>
    <n v="0"/>
    <x v="1"/>
    <m/>
    <m/>
    <m/>
    <m/>
    <s v="no test"/>
    <n v="1"/>
    <x v="0"/>
    <n v="1"/>
    <n v="1"/>
    <n v="1"/>
    <n v="1092"/>
    <n v="0"/>
    <n v="0"/>
    <n v="1"/>
    <n v="1092"/>
    <n v="2.1840000000000002"/>
    <n v="0"/>
    <n v="0"/>
    <n v="0"/>
    <n v="2"/>
    <n v="40"/>
    <n v="0.73260073260073255"/>
    <n v="800"/>
    <n v="0.27472527472527469"/>
    <n v="15"/>
    <n v="55"/>
    <n v="0"/>
    <n v="440"/>
    <n v="1092"/>
    <n v="0"/>
    <n v="1"/>
    <n v="0"/>
    <n v="0"/>
    <n v="0"/>
    <n v="1"/>
    <n v="1"/>
    <n v="0.75126903553299496"/>
    <n v="0"/>
    <n v="740"/>
    <n v="0"/>
    <n v="740"/>
    <n v="197"/>
    <s v="Yes"/>
    <s v="KBC"/>
    <x v="1"/>
    <x v="0"/>
    <x v="0"/>
    <x v="0"/>
    <n v="24.200433"/>
    <n v="97.717133000000004"/>
    <s v="MMR001CMP070"/>
    <x v="0"/>
    <m/>
  </r>
  <r>
    <x v="2"/>
    <x v="0"/>
    <x v="0"/>
    <x v="6"/>
    <x v="83"/>
    <n v="470"/>
    <n v="2350"/>
    <m/>
    <s v="OFDA"/>
    <d v="2018-04-30T00:00:00"/>
    <n v="0"/>
    <s v="No"/>
    <n v="0"/>
    <n v="0"/>
    <n v="0"/>
    <n v="1"/>
    <n v="0"/>
    <n v="0"/>
    <n v="0"/>
    <m/>
    <m/>
    <n v="0"/>
    <m/>
    <m/>
    <n v="51"/>
    <m/>
    <n v="0"/>
    <n v="0"/>
    <n v="0"/>
    <m/>
    <n v="0"/>
    <x v="0"/>
    <x v="4"/>
    <n v="0"/>
    <n v="0"/>
    <m/>
    <n v="1"/>
    <s v="Both"/>
    <n v="0"/>
    <m/>
    <m/>
    <n v="0"/>
    <n v="0"/>
    <x v="1"/>
    <m/>
    <m/>
    <m/>
    <m/>
    <s v="no test"/>
    <s v="no test"/>
    <x v="1"/>
    <n v="1"/>
    <n v="0.10638297872340426"/>
    <n v="1"/>
    <n v="2350"/>
    <n v="0"/>
    <n v="0"/>
    <n v="1"/>
    <n v="2350"/>
    <n v="4.7"/>
    <n v="0"/>
    <n v="0"/>
    <n v="0.29999999999999982"/>
    <n v="5"/>
    <n v="0"/>
    <n v="0"/>
    <n v="0"/>
    <n v="1"/>
    <n v="118"/>
    <n v="118"/>
    <n v="0"/>
    <n v="0"/>
    <n v="0"/>
    <n v="0"/>
    <n v="0"/>
    <n v="0"/>
    <n v="0"/>
    <n v="0"/>
    <n v="1"/>
    <n v="0"/>
    <n v="0"/>
    <n v="0"/>
    <n v="0"/>
    <n v="0"/>
    <n v="0"/>
    <n v="470"/>
    <n v="0"/>
    <n v="0"/>
    <x v="0"/>
    <x v="0"/>
    <x v="4"/>
    <x v="0"/>
    <n v="0"/>
    <n v="0"/>
    <n v="0"/>
    <x v="0"/>
    <m/>
  </r>
  <r>
    <x v="2"/>
    <x v="1"/>
    <x v="0"/>
    <x v="6"/>
    <x v="84"/>
    <n v="217"/>
    <n v="1172"/>
    <m/>
    <s v="USAID, Christian Aid, HIDA"/>
    <s v="9/1/2018,1-Dec-2018"/>
    <n v="0"/>
    <s v="Yes"/>
    <n v="0.6"/>
    <n v="0"/>
    <n v="1"/>
    <n v="3"/>
    <n v="0"/>
    <n v="0"/>
    <n v="0"/>
    <m/>
    <m/>
    <m/>
    <m/>
    <m/>
    <m/>
    <m/>
    <n v="47"/>
    <n v="0"/>
    <n v="3"/>
    <m/>
    <n v="0"/>
    <x v="0"/>
    <x v="0"/>
    <m/>
    <m/>
    <m/>
    <n v="1"/>
    <s v="Both"/>
    <n v="0"/>
    <n v="7"/>
    <n v="2"/>
    <n v="217"/>
    <n v="217"/>
    <x v="0"/>
    <m/>
    <m/>
    <m/>
    <m/>
    <s v="no test"/>
    <s v="no test"/>
    <x v="1"/>
    <n v="1"/>
    <n v="0.85324232081911267"/>
    <n v="1"/>
    <n v="1172"/>
    <n v="0"/>
    <n v="0"/>
    <n v="1"/>
    <n v="1172"/>
    <n v="2.3439999999999999"/>
    <n v="0"/>
    <n v="0"/>
    <n v="0"/>
    <n v="2"/>
    <n v="47"/>
    <n v="0.80204778156996592"/>
    <n v="940.00000000000011"/>
    <n v="0.20477815699658702"/>
    <n v="12"/>
    <n v="59"/>
    <n v="0"/>
    <n v="60"/>
    <n v="1000"/>
    <n v="1"/>
    <n v="1"/>
    <n v="1"/>
    <n v="1172"/>
    <n v="1"/>
    <n v="0"/>
    <n v="0.85324232081911267"/>
    <n v="1"/>
    <n v="1"/>
    <n v="1085"/>
    <n v="1085"/>
    <n v="1085"/>
    <n v="217"/>
    <s v="Yes"/>
    <s v="KMSS-BMO"/>
    <x v="1"/>
    <x v="0"/>
    <x v="0"/>
    <x v="0"/>
    <n v="24.245100000000001"/>
    <n v="97.325019999999995"/>
    <s v="MMR001CMP062"/>
    <x v="0"/>
    <m/>
  </r>
  <r>
    <x v="2"/>
    <x v="0"/>
    <x v="0"/>
    <x v="6"/>
    <x v="85"/>
    <n v="109"/>
    <n v="580"/>
    <m/>
    <s v="OFDA"/>
    <d v="2018-04-30T00:00:00"/>
    <n v="0"/>
    <s v="Yes"/>
    <n v="0.5"/>
    <n v="0"/>
    <n v="1"/>
    <n v="1"/>
    <n v="1260000"/>
    <n v="0"/>
    <n v="0"/>
    <m/>
    <m/>
    <m/>
    <n v="6"/>
    <n v="6"/>
    <m/>
    <m/>
    <n v="28"/>
    <n v="0"/>
    <n v="18"/>
    <m/>
    <n v="0"/>
    <x v="0"/>
    <x v="4"/>
    <n v="0"/>
    <n v="0"/>
    <m/>
    <n v="1"/>
    <s v="Both"/>
    <n v="0"/>
    <n v="3"/>
    <n v="81"/>
    <n v="0"/>
    <m/>
    <x v="0"/>
    <m/>
    <m/>
    <m/>
    <m/>
    <s v="no test"/>
    <n v="1"/>
    <x v="0"/>
    <n v="1"/>
    <n v="1"/>
    <n v="1"/>
    <n v="580"/>
    <n v="0"/>
    <n v="0"/>
    <n v="1"/>
    <n v="580"/>
    <n v="1.1599999999999999"/>
    <n v="0"/>
    <n v="0"/>
    <n v="0"/>
    <n v="1"/>
    <n v="28"/>
    <n v="0.96551724137931039"/>
    <n v="560"/>
    <n v="3.4482758620689655E-2"/>
    <n v="1"/>
    <n v="29"/>
    <n v="0"/>
    <n v="360"/>
    <n v="580"/>
    <n v="0"/>
    <n v="1"/>
    <n v="0"/>
    <n v="0"/>
    <n v="0"/>
    <n v="1"/>
    <n v="1"/>
    <n v="0"/>
    <n v="0"/>
    <n v="0"/>
    <n v="0"/>
    <n v="0"/>
    <n v="109"/>
    <n v="0"/>
    <n v="0"/>
    <x v="0"/>
    <x v="0"/>
    <x v="0"/>
    <x v="0"/>
    <n v="0"/>
    <n v="0"/>
    <n v="0"/>
    <x v="0"/>
    <m/>
  </r>
  <r>
    <x v="2"/>
    <x v="1"/>
    <x v="0"/>
    <x v="6"/>
    <x v="86"/>
    <n v="3"/>
    <n v="13"/>
    <m/>
    <s v="USAID"/>
    <d v="2018-09-01T00:00:00"/>
    <n v="0"/>
    <s v="No"/>
    <n v="0"/>
    <n v="0"/>
    <n v="2"/>
    <n v="0"/>
    <n v="0"/>
    <n v="0"/>
    <n v="0"/>
    <m/>
    <m/>
    <m/>
    <m/>
    <m/>
    <m/>
    <m/>
    <n v="2"/>
    <n v="0"/>
    <n v="0"/>
    <m/>
    <n v="0"/>
    <x v="0"/>
    <x v="0"/>
    <m/>
    <m/>
    <m/>
    <n v="1"/>
    <s v="Both"/>
    <n v="0"/>
    <n v="1"/>
    <n v="0"/>
    <n v="3"/>
    <n v="3"/>
    <x v="0"/>
    <m/>
    <m/>
    <m/>
    <m/>
    <s v="no test"/>
    <s v="no test"/>
    <x v="1"/>
    <n v="1"/>
    <n v="1"/>
    <n v="1"/>
    <n v="13"/>
    <n v="0"/>
    <n v="0"/>
    <n v="1"/>
    <n v="13"/>
    <n v="2.5999999999999999E-2"/>
    <n v="0"/>
    <n v="0"/>
    <n v="0.97399999999999998"/>
    <n v="1"/>
    <n v="2"/>
    <n v="1"/>
    <n v="13"/>
    <n v="0"/>
    <n v="0"/>
    <n v="1"/>
    <n v="0"/>
    <n v="0"/>
    <n v="0"/>
    <n v="1"/>
    <n v="0"/>
    <n v="1"/>
    <n v="13"/>
    <n v="1"/>
    <n v="0"/>
    <n v="0"/>
    <n v="1"/>
    <n v="1"/>
    <n v="15"/>
    <n v="15"/>
    <n v="15"/>
    <n v="3"/>
    <n v="0"/>
    <n v="0"/>
    <x v="1"/>
    <x v="0"/>
    <x v="3"/>
    <x v="0"/>
    <n v="24.251860000000001"/>
    <n v="97.346940000000004"/>
    <s v="MMR001CMP058"/>
    <x v="0"/>
    <m/>
  </r>
  <r>
    <x v="2"/>
    <x v="1"/>
    <x v="0"/>
    <x v="6"/>
    <x v="87"/>
    <n v="109"/>
    <n v="453"/>
    <m/>
    <s v="USAID, Christian AID, HIDA"/>
    <s v="9/1/2018,1-Dec-2018"/>
    <n v="0"/>
    <s v="Yes"/>
    <n v="0.5"/>
    <n v="0.5"/>
    <n v="1"/>
    <n v="1"/>
    <n v="0"/>
    <n v="0"/>
    <n v="0"/>
    <m/>
    <m/>
    <m/>
    <m/>
    <m/>
    <m/>
    <m/>
    <n v="10"/>
    <n v="0"/>
    <m/>
    <m/>
    <n v="0"/>
    <x v="0"/>
    <x v="0"/>
    <m/>
    <m/>
    <m/>
    <n v="1"/>
    <s v="Both"/>
    <n v="0"/>
    <n v="4"/>
    <n v="2"/>
    <n v="109"/>
    <n v="109"/>
    <x v="0"/>
    <m/>
    <m/>
    <m/>
    <m/>
    <s v="no test"/>
    <s v="no test"/>
    <x v="1"/>
    <n v="1"/>
    <n v="1"/>
    <n v="1"/>
    <n v="453"/>
    <n v="0"/>
    <n v="0"/>
    <n v="1"/>
    <n v="453"/>
    <n v="0.90600000000000003"/>
    <n v="0"/>
    <n v="0"/>
    <n v="9.3999999999999972E-2"/>
    <n v="1"/>
    <n v="10"/>
    <n v="0.44150110375275936"/>
    <n v="200"/>
    <n v="0.57395143487858724"/>
    <n v="13"/>
    <n v="23"/>
    <n v="0"/>
    <n v="0"/>
    <n v="453"/>
    <n v="1"/>
    <n v="1"/>
    <n v="1"/>
    <n v="453"/>
    <n v="1"/>
    <n v="0"/>
    <n v="1"/>
    <n v="1"/>
    <n v="1"/>
    <n v="545"/>
    <n v="545"/>
    <n v="545"/>
    <n v="109"/>
    <s v="Yes"/>
    <s v="KBC"/>
    <x v="1"/>
    <x v="0"/>
    <x v="0"/>
    <x v="0"/>
    <n v="24.250689999999999"/>
    <n v="97.344359999999995"/>
    <s v="MMR001CMP056"/>
    <x v="0"/>
    <m/>
  </r>
  <r>
    <x v="2"/>
    <x v="2"/>
    <x v="0"/>
    <x v="6"/>
    <x v="88"/>
    <n v="223"/>
    <n v="1067"/>
    <m/>
    <m/>
    <m/>
    <m/>
    <s v="No"/>
    <n v="0"/>
    <n v="0"/>
    <m/>
    <m/>
    <m/>
    <m/>
    <m/>
    <m/>
    <m/>
    <m/>
    <m/>
    <m/>
    <m/>
    <m/>
    <n v="0"/>
    <m/>
    <m/>
    <m/>
    <m/>
    <x v="1"/>
    <x v="1"/>
    <m/>
    <m/>
    <m/>
    <m/>
    <m/>
    <m/>
    <m/>
    <m/>
    <m/>
    <m/>
    <x v="0"/>
    <m/>
    <m/>
    <m/>
    <m/>
    <s v="no test"/>
    <s v="no test"/>
    <x v="1"/>
    <n v="0"/>
    <n v="0"/>
    <n v="0"/>
    <n v="0"/>
    <n v="0"/>
    <n v="0"/>
    <n v="0"/>
    <n v="0"/>
    <n v="0"/>
    <n v="1"/>
    <n v="1067"/>
    <n v="2"/>
    <n v="2"/>
    <n v="0"/>
    <n v="0"/>
    <n v="0"/>
    <n v="0.99343955014058105"/>
    <n v="53"/>
    <n v="53"/>
    <n v="0"/>
    <n v="0"/>
    <n v="0"/>
    <n v="0"/>
    <n v="0"/>
    <n v="0"/>
    <n v="0"/>
    <n v="0"/>
    <n v="1"/>
    <n v="0"/>
    <n v="0"/>
    <n v="0"/>
    <n v="0"/>
    <n v="0"/>
    <n v="0"/>
    <n v="0"/>
    <n v="0"/>
    <s v="uncovered"/>
    <x v="1"/>
    <x v="0"/>
    <x v="1"/>
    <x v="0"/>
    <n v="24.251232000000002"/>
    <n v="97.348405"/>
    <s v="MMR001CMP197"/>
    <x v="1"/>
    <m/>
  </r>
  <r>
    <x v="2"/>
    <x v="2"/>
    <x v="0"/>
    <x v="6"/>
    <x v="89"/>
    <n v="47"/>
    <n v="153"/>
    <m/>
    <m/>
    <m/>
    <m/>
    <s v="No"/>
    <n v="0"/>
    <n v="0"/>
    <m/>
    <m/>
    <m/>
    <m/>
    <m/>
    <m/>
    <m/>
    <m/>
    <m/>
    <m/>
    <m/>
    <m/>
    <n v="0"/>
    <m/>
    <m/>
    <m/>
    <m/>
    <x v="1"/>
    <x v="1"/>
    <m/>
    <m/>
    <m/>
    <m/>
    <m/>
    <m/>
    <m/>
    <m/>
    <m/>
    <m/>
    <x v="0"/>
    <m/>
    <m/>
    <m/>
    <m/>
    <s v="no test"/>
    <s v="no test"/>
    <x v="1"/>
    <n v="0"/>
    <n v="0"/>
    <n v="0"/>
    <n v="0"/>
    <n v="0"/>
    <n v="0"/>
    <n v="0"/>
    <n v="0"/>
    <n v="0"/>
    <n v="1"/>
    <n v="153"/>
    <n v="1"/>
    <n v="1"/>
    <n v="0"/>
    <n v="0"/>
    <n v="0"/>
    <n v="1"/>
    <n v="8"/>
    <n v="8"/>
    <n v="0"/>
    <n v="0"/>
    <n v="0"/>
    <n v="0"/>
    <n v="0"/>
    <n v="0"/>
    <n v="0"/>
    <n v="0"/>
    <n v="1"/>
    <n v="0"/>
    <n v="0"/>
    <n v="0"/>
    <n v="0"/>
    <n v="0"/>
    <n v="0"/>
    <n v="0"/>
    <n v="0"/>
    <s v="uncovered"/>
    <x v="1"/>
    <x v="0"/>
    <x v="1"/>
    <x v="0"/>
    <n v="24.404876999999999"/>
    <n v="97.407787999999996"/>
    <s v="MMR001CMP061"/>
    <x v="1"/>
    <m/>
  </r>
  <r>
    <x v="2"/>
    <x v="6"/>
    <x v="0"/>
    <x v="6"/>
    <x v="90"/>
    <n v="353"/>
    <n v="1663"/>
    <m/>
    <s v="ECHO"/>
    <d v="2017-12-31T00:00:00"/>
    <n v="0"/>
    <s v="NA"/>
    <n v="0"/>
    <n v="0"/>
    <n v="0"/>
    <n v="0"/>
    <n v="0"/>
    <n v="0"/>
    <n v="0"/>
    <m/>
    <n v="0"/>
    <n v="0"/>
    <n v="0"/>
    <n v="0"/>
    <n v="0"/>
    <m/>
    <n v="100"/>
    <n v="10"/>
    <n v="0"/>
    <m/>
    <n v="0"/>
    <x v="4"/>
    <x v="4"/>
    <n v="0"/>
    <n v="0"/>
    <m/>
    <n v="0.24"/>
    <s v="Both"/>
    <n v="0"/>
    <n v="16"/>
    <m/>
    <n v="318"/>
    <n v="0"/>
    <x v="1"/>
    <m/>
    <m/>
    <m/>
    <m/>
    <s v="no test"/>
    <s v="no test"/>
    <x v="1"/>
    <n v="0"/>
    <n v="0"/>
    <n v="0"/>
    <n v="0"/>
    <n v="0"/>
    <n v="0"/>
    <n v="0"/>
    <n v="0"/>
    <n v="0"/>
    <n v="1"/>
    <n v="1663"/>
    <n v="3"/>
    <n v="3"/>
    <n v="110"/>
    <n v="1"/>
    <n v="1663"/>
    <n v="0"/>
    <n v="0"/>
    <n v="83"/>
    <n v="9.0909090909090912E-2"/>
    <n v="0"/>
    <n v="0"/>
    <n v="0"/>
    <n v="0"/>
    <n v="0"/>
    <n v="0"/>
    <n v="0"/>
    <n v="1"/>
    <n v="0"/>
    <n v="0.90084985835694054"/>
    <n v="0"/>
    <n v="1590"/>
    <n v="0"/>
    <n v="1590"/>
    <n v="84.72"/>
    <s v="Yes"/>
    <s v="KMSS-BMO"/>
    <x v="1"/>
    <x v="0"/>
    <x v="0"/>
    <x v="1"/>
    <n v="24.378167000000001"/>
    <n v="97.669366999999994"/>
    <s v="MMR001CMP131"/>
    <x v="0"/>
    <m/>
  </r>
  <r>
    <x v="2"/>
    <x v="0"/>
    <x v="0"/>
    <x v="6"/>
    <x v="91"/>
    <n v="49"/>
    <n v="300"/>
    <m/>
    <s v="OFDA"/>
    <d v="2018-04-30T00:00:00"/>
    <n v="0"/>
    <s v="Yes"/>
    <n v="0.5"/>
    <n v="0"/>
    <n v="2"/>
    <n v="0"/>
    <n v="12000"/>
    <n v="0"/>
    <n v="0"/>
    <m/>
    <m/>
    <n v="0"/>
    <n v="3"/>
    <n v="3"/>
    <n v="0"/>
    <m/>
    <n v="22"/>
    <n v="0"/>
    <n v="16"/>
    <m/>
    <n v="0"/>
    <x v="0"/>
    <x v="0"/>
    <n v="0"/>
    <n v="0"/>
    <m/>
    <n v="1"/>
    <s v="Both"/>
    <n v="0"/>
    <n v="3"/>
    <n v="1"/>
    <n v="36"/>
    <n v="0"/>
    <x v="1"/>
    <m/>
    <m/>
    <m/>
    <m/>
    <s v="no test"/>
    <n v="1"/>
    <x v="0"/>
    <n v="1"/>
    <n v="1"/>
    <n v="1"/>
    <n v="300"/>
    <n v="0"/>
    <n v="0"/>
    <n v="1"/>
    <n v="300"/>
    <n v="0.6"/>
    <n v="0"/>
    <n v="0"/>
    <n v="0.4"/>
    <n v="1"/>
    <n v="22"/>
    <n v="1"/>
    <n v="300"/>
    <n v="0"/>
    <n v="0"/>
    <n v="15"/>
    <n v="0"/>
    <n v="300"/>
    <n v="300"/>
    <n v="0"/>
    <n v="1"/>
    <n v="0"/>
    <n v="0"/>
    <n v="0"/>
    <n v="1"/>
    <n v="1"/>
    <n v="0.73469387755102045"/>
    <n v="0"/>
    <n v="180"/>
    <n v="0"/>
    <n v="180"/>
    <n v="49"/>
    <s v="Yes"/>
    <s v="KBC"/>
    <x v="1"/>
    <x v="0"/>
    <x v="0"/>
    <x v="0"/>
    <n v="24.205417000000001"/>
    <n v="97.724483000000006"/>
    <s v="MMR001CMP072"/>
    <x v="0"/>
    <m/>
  </r>
  <r>
    <x v="2"/>
    <x v="6"/>
    <x v="0"/>
    <x v="6"/>
    <x v="92"/>
    <n v="663"/>
    <n v="3411"/>
    <m/>
    <s v="ECHO"/>
    <d v="2017-12-31T00:00:00"/>
    <n v="0"/>
    <s v="NA"/>
    <n v="0"/>
    <n v="0"/>
    <n v="0"/>
    <n v="0"/>
    <n v="0"/>
    <n v="0"/>
    <n v="0"/>
    <m/>
    <n v="0"/>
    <n v="0"/>
    <n v="0"/>
    <n v="0"/>
    <n v="0"/>
    <m/>
    <n v="228"/>
    <n v="10"/>
    <n v="0"/>
    <m/>
    <n v="0"/>
    <x v="4"/>
    <x v="4"/>
    <n v="0"/>
    <n v="0"/>
    <m/>
    <n v="0.53"/>
    <s v="Both"/>
    <n v="0"/>
    <n v="13"/>
    <m/>
    <n v="597"/>
    <n v="0"/>
    <x v="1"/>
    <m/>
    <m/>
    <m/>
    <m/>
    <s v="no test"/>
    <s v="no test"/>
    <x v="1"/>
    <n v="0"/>
    <n v="0"/>
    <n v="0"/>
    <n v="0"/>
    <n v="0"/>
    <n v="0"/>
    <n v="0"/>
    <n v="0"/>
    <n v="0"/>
    <n v="1"/>
    <n v="3411"/>
    <n v="7"/>
    <n v="7"/>
    <n v="238"/>
    <n v="1"/>
    <n v="3411"/>
    <n v="0"/>
    <n v="0"/>
    <n v="171"/>
    <n v="4.2016806722689079E-2"/>
    <n v="0"/>
    <n v="0"/>
    <n v="0"/>
    <n v="0"/>
    <n v="0"/>
    <n v="0"/>
    <n v="0"/>
    <n v="1"/>
    <n v="0"/>
    <n v="0.90045248868778283"/>
    <n v="0"/>
    <n v="2985"/>
    <n v="0"/>
    <n v="2985"/>
    <n v="351.39000000000004"/>
    <s v="Yes"/>
    <s v="KMSS-BMO"/>
    <x v="1"/>
    <x v="0"/>
    <x v="0"/>
    <x v="1"/>
    <n v="24.2744"/>
    <n v="97.752667000000002"/>
    <s v="MMR001CMP126"/>
    <x v="0"/>
    <m/>
  </r>
  <r>
    <x v="2"/>
    <x v="0"/>
    <x v="0"/>
    <x v="6"/>
    <x v="93"/>
    <n v="77"/>
    <n v="485"/>
    <m/>
    <s v="OFDA"/>
    <d v="2018-04-30T00:00:00"/>
    <n v="0"/>
    <s v="Yes"/>
    <n v="1"/>
    <n v="0"/>
    <n v="1"/>
    <n v="1"/>
    <n v="73500"/>
    <n v="0"/>
    <n v="0"/>
    <m/>
    <m/>
    <n v="0"/>
    <n v="6"/>
    <n v="6"/>
    <n v="0"/>
    <m/>
    <n v="27"/>
    <n v="0"/>
    <n v="21"/>
    <m/>
    <n v="0"/>
    <x v="0"/>
    <x v="0"/>
    <n v="0"/>
    <n v="0"/>
    <m/>
    <n v="1"/>
    <s v="Both"/>
    <n v="0"/>
    <n v="2"/>
    <n v="2"/>
    <n v="57"/>
    <n v="0"/>
    <x v="1"/>
    <m/>
    <m/>
    <m/>
    <m/>
    <s v="no test"/>
    <n v="1"/>
    <x v="0"/>
    <n v="1"/>
    <n v="1"/>
    <n v="1"/>
    <n v="485"/>
    <n v="0"/>
    <n v="0"/>
    <n v="1"/>
    <n v="485"/>
    <n v="0.97"/>
    <n v="0"/>
    <n v="0"/>
    <n v="3.0000000000000027E-2"/>
    <n v="1"/>
    <n v="27"/>
    <n v="1"/>
    <n v="485"/>
    <n v="0"/>
    <n v="0"/>
    <n v="24"/>
    <n v="0"/>
    <n v="420"/>
    <n v="485"/>
    <n v="0"/>
    <n v="1"/>
    <n v="0"/>
    <n v="0"/>
    <n v="0"/>
    <n v="1"/>
    <n v="1"/>
    <n v="0.74025974025974028"/>
    <n v="0"/>
    <n v="285"/>
    <n v="0"/>
    <n v="285"/>
    <n v="77"/>
    <s v="Yes"/>
    <s v="KBC"/>
    <x v="1"/>
    <x v="0"/>
    <x v="0"/>
    <x v="0"/>
    <n v="24.207332999999998"/>
    <n v="97.710864000000001"/>
    <s v="MMR001CMP073"/>
    <x v="0"/>
    <m/>
  </r>
  <r>
    <x v="2"/>
    <x v="3"/>
    <x v="0"/>
    <x v="7"/>
    <x v="95"/>
    <n v="42"/>
    <n v="185"/>
    <m/>
    <s v="Plan/GFFO,ADRA/CANADA  "/>
    <d v="2019-03-31T00:00:00"/>
    <n v="0"/>
    <s v="Yes"/>
    <n v="0.6"/>
    <n v="0.5"/>
    <n v="0"/>
    <n v="3"/>
    <n v="4000"/>
    <n v="0"/>
    <n v="0"/>
    <m/>
    <n v="0"/>
    <n v="0"/>
    <n v="0"/>
    <n v="0"/>
    <n v="0"/>
    <m/>
    <n v="7"/>
    <n v="0"/>
    <n v="0"/>
    <m/>
    <n v="0"/>
    <x v="0"/>
    <x v="2"/>
    <m/>
    <m/>
    <m/>
    <n v="0.6"/>
    <s v="Communal"/>
    <n v="0"/>
    <n v="3"/>
    <n v="1"/>
    <n v="0"/>
    <n v="0"/>
    <x v="0"/>
    <m/>
    <m/>
    <m/>
    <m/>
    <s v="no test"/>
    <s v="no test"/>
    <x v="1"/>
    <n v="1"/>
    <n v="1"/>
    <n v="1"/>
    <n v="185"/>
    <n v="0"/>
    <n v="0"/>
    <n v="1"/>
    <n v="185"/>
    <n v="0.37"/>
    <n v="0"/>
    <n v="0"/>
    <n v="0.63"/>
    <n v="1"/>
    <n v="7"/>
    <n v="0.7567567567567568"/>
    <n v="140"/>
    <n v="0.21621621621621623"/>
    <n v="2"/>
    <n v="9"/>
    <n v="0"/>
    <n v="0"/>
    <n v="185"/>
    <n v="0"/>
    <n v="1"/>
    <n v="0"/>
    <n v="0"/>
    <n v="0"/>
    <n v="1"/>
    <n v="1"/>
    <n v="0"/>
    <n v="0"/>
    <n v="0"/>
    <n v="0"/>
    <n v="0"/>
    <n v="25.2"/>
    <s v="Yes"/>
    <s v="KBC"/>
    <x v="1"/>
    <x v="0"/>
    <x v="0"/>
    <x v="0"/>
    <n v="25.3959740909091"/>
    <n v="97.382997575757599"/>
    <s v="MMR001CMP010"/>
    <x v="0"/>
    <m/>
  </r>
  <r>
    <x v="2"/>
    <x v="3"/>
    <x v="0"/>
    <x v="7"/>
    <x v="96"/>
    <n v="198"/>
    <n v="1114"/>
    <m/>
    <s v="Plan/GFFO,ADRA/CANADA  "/>
    <d v="2019-03-31T00:00:00"/>
    <n v="0"/>
    <s v="Yes"/>
    <n v="0.6"/>
    <n v="0.5"/>
    <n v="1"/>
    <n v="4"/>
    <n v="3000"/>
    <n v="0"/>
    <n v="0"/>
    <m/>
    <n v="0"/>
    <n v="0"/>
    <n v="0"/>
    <n v="0"/>
    <n v="0"/>
    <m/>
    <n v="43"/>
    <n v="0"/>
    <n v="0"/>
    <m/>
    <n v="0"/>
    <x v="0"/>
    <x v="0"/>
    <m/>
    <m/>
    <m/>
    <n v="0.6"/>
    <s v="Communal"/>
    <n v="0"/>
    <n v="3"/>
    <n v="4"/>
    <n v="0"/>
    <n v="0"/>
    <x v="0"/>
    <m/>
    <m/>
    <m/>
    <m/>
    <s v="no test"/>
    <s v="no test"/>
    <x v="1"/>
    <n v="1"/>
    <n v="1"/>
    <n v="1"/>
    <n v="1114"/>
    <n v="0"/>
    <n v="0"/>
    <n v="1"/>
    <n v="1114"/>
    <n v="2.2280000000000002"/>
    <n v="0"/>
    <n v="0"/>
    <n v="0"/>
    <n v="2"/>
    <n v="43"/>
    <n v="0.7719928186714542"/>
    <n v="860"/>
    <n v="0.23339317773788149"/>
    <n v="13"/>
    <n v="56"/>
    <n v="0"/>
    <n v="0"/>
    <n v="1114"/>
    <n v="0"/>
    <n v="1"/>
    <n v="0"/>
    <n v="0"/>
    <n v="0"/>
    <n v="1"/>
    <n v="1"/>
    <n v="0"/>
    <n v="0"/>
    <n v="0"/>
    <n v="0"/>
    <n v="0"/>
    <n v="118.8"/>
    <s v="Yes"/>
    <s v="KBC"/>
    <x v="1"/>
    <x v="0"/>
    <x v="0"/>
    <x v="0"/>
    <n v="25.403476999999999"/>
    <n v="97.373361000000003"/>
    <s v="MMR001CMP018"/>
    <x v="0"/>
    <m/>
  </r>
  <r>
    <x v="2"/>
    <x v="5"/>
    <x v="0"/>
    <x v="7"/>
    <x v="97"/>
    <n v="88"/>
    <n v="430"/>
    <m/>
    <s v="DFID/UNICEF"/>
    <d v="2018-12-31T00:00:00"/>
    <n v="0"/>
    <s v="Yes"/>
    <n v="0.5"/>
    <n v="0.5"/>
    <n v="1"/>
    <n v="3"/>
    <n v="5000"/>
    <n v="0"/>
    <n v="4"/>
    <m/>
    <n v="3"/>
    <n v="1"/>
    <n v="12"/>
    <n v="0"/>
    <n v="0"/>
    <m/>
    <n v="22"/>
    <n v="0"/>
    <n v="0"/>
    <m/>
    <n v="10"/>
    <x v="0"/>
    <x v="0"/>
    <n v="0"/>
    <n v="0"/>
    <m/>
    <n v="0"/>
    <s v="Communal"/>
    <n v="0"/>
    <n v="3"/>
    <n v="2"/>
    <n v="0"/>
    <n v="0"/>
    <x v="1"/>
    <m/>
    <m/>
    <m/>
    <m/>
    <n v="0.33333333333333331"/>
    <n v="0"/>
    <x v="0"/>
    <n v="1"/>
    <n v="1"/>
    <n v="1"/>
    <n v="430"/>
    <n v="0"/>
    <n v="0"/>
    <n v="1"/>
    <n v="430"/>
    <n v="0.86"/>
    <n v="0"/>
    <n v="0"/>
    <n v="0.14000000000000001"/>
    <n v="1"/>
    <n v="22"/>
    <n v="1"/>
    <n v="430"/>
    <n v="0"/>
    <n v="0"/>
    <n v="22"/>
    <n v="0"/>
    <n v="0"/>
    <n v="430"/>
    <n v="0"/>
    <n v="1"/>
    <n v="0"/>
    <n v="0"/>
    <n v="0"/>
    <n v="1"/>
    <n v="1"/>
    <n v="0"/>
    <n v="0"/>
    <n v="0"/>
    <n v="0"/>
    <n v="0"/>
    <n v="0"/>
    <s v="Yes"/>
    <s v="KMSS-MYT"/>
    <x v="1"/>
    <x v="0"/>
    <x v="0"/>
    <x v="0"/>
    <n v="25.401061110000001"/>
    <n v="97.379594999999995"/>
    <s v="MMR001CMP019"/>
    <x v="0"/>
    <m/>
  </r>
  <r>
    <x v="2"/>
    <x v="3"/>
    <x v="0"/>
    <x v="7"/>
    <x v="100"/>
    <n v="44"/>
    <n v="195"/>
    <m/>
    <s v="Plan/GFFO,ADRA/CANADA  "/>
    <d v="2019-03-31T00:00:00"/>
    <n v="0"/>
    <s v="Yes"/>
    <n v="0.6"/>
    <n v="0.5"/>
    <n v="1"/>
    <n v="1"/>
    <n v="3000"/>
    <n v="0"/>
    <n v="0"/>
    <m/>
    <n v="0"/>
    <n v="0"/>
    <n v="0"/>
    <n v="0"/>
    <n v="0"/>
    <m/>
    <n v="8"/>
    <n v="0"/>
    <n v="0"/>
    <m/>
    <n v="0"/>
    <x v="0"/>
    <x v="0"/>
    <m/>
    <m/>
    <m/>
    <n v="0.6"/>
    <s v="Communal"/>
    <n v="0"/>
    <n v="1"/>
    <n v="1"/>
    <n v="0"/>
    <n v="0"/>
    <x v="0"/>
    <m/>
    <m/>
    <m/>
    <m/>
    <s v="no test"/>
    <s v="no test"/>
    <x v="1"/>
    <n v="1"/>
    <n v="1"/>
    <n v="1"/>
    <n v="195"/>
    <n v="0"/>
    <n v="0"/>
    <n v="1"/>
    <n v="195"/>
    <n v="0.39"/>
    <n v="0"/>
    <n v="0"/>
    <n v="0.61"/>
    <n v="1"/>
    <n v="8"/>
    <n v="0.82051282051282048"/>
    <n v="160"/>
    <n v="0.20512820512820512"/>
    <n v="2"/>
    <n v="10"/>
    <n v="0"/>
    <n v="0"/>
    <n v="195"/>
    <n v="0"/>
    <n v="1"/>
    <n v="0"/>
    <n v="0"/>
    <n v="0"/>
    <n v="1"/>
    <n v="1"/>
    <n v="0"/>
    <n v="0"/>
    <n v="0"/>
    <n v="0"/>
    <n v="0"/>
    <n v="26.4"/>
    <s v="Yes"/>
    <s v="KBC"/>
    <x v="1"/>
    <x v="0"/>
    <x v="0"/>
    <x v="0"/>
    <n v="25.3660036111111"/>
    <n v="97.405202777777802"/>
    <s v="MMR001CMP013"/>
    <x v="0"/>
    <m/>
  </r>
  <r>
    <x v="2"/>
    <x v="3"/>
    <x v="0"/>
    <x v="7"/>
    <x v="103"/>
    <n v="105"/>
    <n v="578"/>
    <m/>
    <s v="Plan/GFFO,ADRA/CANADA  "/>
    <d v="2019-03-31T00:00:00"/>
    <n v="0"/>
    <s v="Yes"/>
    <n v="0.6"/>
    <n v="0.5"/>
    <n v="1"/>
    <n v="1"/>
    <n v="4000"/>
    <n v="0"/>
    <n v="0"/>
    <m/>
    <n v="0"/>
    <n v="0"/>
    <n v="0"/>
    <n v="0"/>
    <n v="0"/>
    <m/>
    <n v="8"/>
    <n v="0"/>
    <n v="0"/>
    <m/>
    <n v="0"/>
    <x v="0"/>
    <x v="0"/>
    <m/>
    <m/>
    <m/>
    <n v="0.6"/>
    <s v="Communal"/>
    <n v="0"/>
    <n v="2"/>
    <n v="1"/>
    <n v="0"/>
    <n v="0"/>
    <x v="0"/>
    <m/>
    <m/>
    <m/>
    <m/>
    <s v="no test"/>
    <s v="no test"/>
    <x v="1"/>
    <n v="1"/>
    <n v="1"/>
    <n v="1"/>
    <n v="578"/>
    <n v="0"/>
    <n v="0"/>
    <n v="1"/>
    <n v="578"/>
    <n v="1.1559999999999999"/>
    <n v="0"/>
    <n v="0"/>
    <n v="0"/>
    <n v="1"/>
    <n v="8"/>
    <n v="0.27681660899653981"/>
    <n v="160"/>
    <n v="0.72664359861591699"/>
    <n v="21"/>
    <n v="29"/>
    <n v="0"/>
    <n v="0"/>
    <n v="500"/>
    <n v="0"/>
    <n v="1"/>
    <n v="0"/>
    <n v="0"/>
    <n v="0"/>
    <n v="1"/>
    <n v="0.86505190311418689"/>
    <n v="0"/>
    <n v="0"/>
    <n v="0"/>
    <n v="0"/>
    <n v="0"/>
    <n v="63"/>
    <s v="Yes"/>
    <s v="KBC"/>
    <x v="1"/>
    <x v="0"/>
    <x v="0"/>
    <x v="0"/>
    <n v="25.362420757575801"/>
    <n v="97.409035000000003"/>
    <s v="MMR001CMP015"/>
    <x v="0"/>
    <m/>
  </r>
  <r>
    <x v="2"/>
    <x v="3"/>
    <x v="0"/>
    <x v="7"/>
    <x v="104"/>
    <n v="138"/>
    <n v="697"/>
    <m/>
    <s v="Plan/GFFO,ADRA/CANADA  "/>
    <d v="2019-03-31T00:00:00"/>
    <n v="0"/>
    <s v="Yes"/>
    <n v="0.6"/>
    <n v="0.5"/>
    <n v="0"/>
    <n v="2"/>
    <n v="2000"/>
    <n v="0"/>
    <n v="0"/>
    <m/>
    <n v="0"/>
    <n v="0"/>
    <n v="0"/>
    <n v="0"/>
    <n v="0"/>
    <m/>
    <n v="32"/>
    <n v="0"/>
    <n v="0"/>
    <m/>
    <n v="0"/>
    <x v="0"/>
    <x v="0"/>
    <m/>
    <m/>
    <m/>
    <n v="0.6"/>
    <s v="Communal"/>
    <n v="0"/>
    <n v="2"/>
    <n v="1"/>
    <n v="0"/>
    <n v="0"/>
    <x v="0"/>
    <m/>
    <m/>
    <m/>
    <m/>
    <s v="no test"/>
    <s v="no test"/>
    <x v="1"/>
    <n v="1"/>
    <n v="0.90865614538498329"/>
    <n v="1"/>
    <n v="697"/>
    <n v="0"/>
    <n v="0"/>
    <n v="1"/>
    <n v="697"/>
    <n v="1.3939999999999999"/>
    <n v="0"/>
    <n v="0"/>
    <n v="0"/>
    <n v="1"/>
    <n v="32"/>
    <n v="0.9182209469153515"/>
    <n v="640"/>
    <n v="8.6083213773314196E-2"/>
    <n v="3"/>
    <n v="35"/>
    <n v="0"/>
    <n v="0"/>
    <n v="500"/>
    <n v="0"/>
    <n v="0"/>
    <n v="0"/>
    <n v="0"/>
    <n v="0"/>
    <n v="1"/>
    <n v="0.71736011477761841"/>
    <n v="0"/>
    <n v="0"/>
    <n v="0"/>
    <n v="0"/>
    <n v="0"/>
    <n v="82.8"/>
    <s v="Yes"/>
    <s v="KBC"/>
    <x v="1"/>
    <x v="0"/>
    <x v="0"/>
    <x v="0"/>
    <n v="25.3510167948718"/>
    <n v="97.403402307692303"/>
    <s v="MMR001CMP014"/>
    <x v="0"/>
    <m/>
  </r>
  <r>
    <x v="2"/>
    <x v="3"/>
    <x v="0"/>
    <x v="7"/>
    <x v="105"/>
    <n v="61"/>
    <n v="304"/>
    <m/>
    <s v="Plan/GFFO,ADRA/CANADA  "/>
    <d v="2019-03-31T00:00:00"/>
    <n v="0"/>
    <s v="Yes"/>
    <n v="0.6"/>
    <n v="0.5"/>
    <n v="1"/>
    <n v="1"/>
    <n v="2000"/>
    <n v="0"/>
    <n v="0"/>
    <m/>
    <n v="0"/>
    <n v="0"/>
    <n v="0"/>
    <n v="0"/>
    <n v="0"/>
    <m/>
    <n v="7"/>
    <n v="0"/>
    <n v="0"/>
    <m/>
    <n v="0"/>
    <x v="0"/>
    <x v="0"/>
    <m/>
    <m/>
    <m/>
    <n v="0.6"/>
    <s v="Communal"/>
    <n v="0"/>
    <n v="3"/>
    <n v="2"/>
    <n v="0"/>
    <n v="0"/>
    <x v="0"/>
    <m/>
    <m/>
    <m/>
    <m/>
    <s v="no test"/>
    <s v="no test"/>
    <x v="1"/>
    <n v="1"/>
    <n v="1"/>
    <n v="1"/>
    <n v="304"/>
    <n v="0"/>
    <n v="0"/>
    <n v="1"/>
    <n v="304"/>
    <n v="0.60799999999999998"/>
    <n v="0"/>
    <n v="0"/>
    <n v="0.39200000000000002"/>
    <n v="1"/>
    <n v="7"/>
    <n v="0.46052631578947367"/>
    <n v="140"/>
    <n v="0.52631578947368418"/>
    <n v="8"/>
    <n v="15"/>
    <n v="0"/>
    <n v="0"/>
    <n v="304"/>
    <n v="0"/>
    <n v="1"/>
    <n v="0"/>
    <n v="0"/>
    <n v="0"/>
    <n v="1"/>
    <n v="1"/>
    <n v="0"/>
    <n v="0"/>
    <n v="0"/>
    <n v="0"/>
    <n v="0"/>
    <n v="36.6"/>
    <s v="Yes"/>
    <s v="KBC"/>
    <x v="1"/>
    <x v="0"/>
    <x v="0"/>
    <x v="0"/>
    <n v="25.360463124999999"/>
    <n v="97.4113064583333"/>
    <s v="MMR001CMP016"/>
    <x v="0"/>
    <m/>
  </r>
  <r>
    <x v="2"/>
    <x v="3"/>
    <x v="0"/>
    <x v="7"/>
    <x v="106"/>
    <n v="103"/>
    <n v="581"/>
    <m/>
    <s v="Plan/GFFO,ADRA/CANADA  "/>
    <d v="2019-03-31T00:00:00"/>
    <n v="0"/>
    <s v="Yes"/>
    <n v="0.6"/>
    <n v="0.5"/>
    <n v="1"/>
    <n v="2"/>
    <n v="2000"/>
    <n v="0"/>
    <n v="0"/>
    <m/>
    <n v="0"/>
    <n v="0"/>
    <n v="0"/>
    <n v="0"/>
    <n v="0"/>
    <m/>
    <n v="30"/>
    <n v="0"/>
    <n v="0"/>
    <m/>
    <n v="0"/>
    <x v="0"/>
    <x v="0"/>
    <m/>
    <m/>
    <m/>
    <n v="0.6"/>
    <s v="Communal"/>
    <n v="0"/>
    <n v="2"/>
    <n v="2"/>
    <n v="0"/>
    <n v="0"/>
    <x v="0"/>
    <m/>
    <m/>
    <m/>
    <m/>
    <s v="no test"/>
    <s v="no test"/>
    <x v="1"/>
    <n v="1"/>
    <n v="1"/>
    <n v="1"/>
    <n v="581"/>
    <n v="0"/>
    <n v="0"/>
    <n v="1"/>
    <n v="581"/>
    <n v="1.1619999999999999"/>
    <n v="0"/>
    <n v="0"/>
    <n v="0"/>
    <n v="1"/>
    <n v="30"/>
    <n v="1"/>
    <n v="581"/>
    <n v="0"/>
    <n v="0"/>
    <n v="29"/>
    <n v="0"/>
    <n v="0"/>
    <n v="581"/>
    <n v="0"/>
    <n v="1"/>
    <n v="0"/>
    <n v="0"/>
    <n v="0"/>
    <n v="1"/>
    <n v="1"/>
    <n v="0"/>
    <n v="0"/>
    <n v="0"/>
    <n v="0"/>
    <n v="0"/>
    <n v="61.8"/>
    <s v="Yes"/>
    <s v="KBC"/>
    <x v="1"/>
    <x v="0"/>
    <x v="0"/>
    <x v="0"/>
    <n v="25.428910999999999"/>
    <n v="97.418694000000002"/>
    <s v="MMR001CMP008"/>
    <x v="0"/>
    <m/>
  </r>
  <r>
    <x v="2"/>
    <x v="4"/>
    <x v="0"/>
    <x v="7"/>
    <x v="107"/>
    <n v="24"/>
    <n v="97"/>
    <m/>
    <s v="OFDA"/>
    <d v="2017-07-31T00:00:00"/>
    <n v="0"/>
    <s v="Yes"/>
    <n v="1"/>
    <n v="1"/>
    <n v="1"/>
    <n v="1"/>
    <n v="1000"/>
    <n v="0"/>
    <n v="1"/>
    <m/>
    <n v="0"/>
    <n v="0"/>
    <n v="0"/>
    <n v="0"/>
    <n v="0"/>
    <m/>
    <n v="3"/>
    <n v="0"/>
    <n v="2"/>
    <m/>
    <n v="3"/>
    <x v="0"/>
    <x v="2"/>
    <n v="0"/>
    <n v="0"/>
    <m/>
    <n v="0.6"/>
    <s v="Communal"/>
    <n v="0"/>
    <n v="2"/>
    <n v="0"/>
    <n v="0"/>
    <n v="0"/>
    <x v="0"/>
    <m/>
    <m/>
    <m/>
    <m/>
    <s v="no test"/>
    <s v="no test"/>
    <x v="1"/>
    <n v="1"/>
    <n v="1"/>
    <n v="1"/>
    <n v="97"/>
    <n v="0"/>
    <n v="0"/>
    <n v="1"/>
    <n v="97"/>
    <n v="0.19400000000000001"/>
    <n v="0"/>
    <n v="0"/>
    <n v="0.80600000000000005"/>
    <n v="1"/>
    <n v="3"/>
    <n v="0.61855670103092786"/>
    <n v="60"/>
    <n v="0.41237113402061859"/>
    <n v="2"/>
    <n v="5"/>
    <n v="0"/>
    <n v="40"/>
    <n v="0"/>
    <n v="0"/>
    <n v="0"/>
    <n v="0"/>
    <n v="0"/>
    <n v="0"/>
    <n v="1"/>
    <n v="0"/>
    <n v="0"/>
    <n v="0"/>
    <n v="0"/>
    <n v="0"/>
    <n v="0"/>
    <n v="14.399999999999999"/>
    <s v="Yes"/>
    <s v="Shalom"/>
    <x v="1"/>
    <x v="0"/>
    <x v="0"/>
    <x v="0"/>
    <n v="25.374343974359"/>
    <n v="97.2843958974359"/>
    <s v="MMR001CMP020"/>
    <x v="0"/>
    <m/>
  </r>
  <r>
    <x v="2"/>
    <x v="4"/>
    <x v="0"/>
    <x v="7"/>
    <x v="108"/>
    <n v="14"/>
    <n v="76"/>
    <m/>
    <s v="OFDA"/>
    <d v="2017-07-31T00:00:00"/>
    <n v="0"/>
    <s v="Yes"/>
    <n v="0.6"/>
    <n v="1"/>
    <n v="1"/>
    <n v="0"/>
    <n v="1000"/>
    <n v="0"/>
    <n v="1"/>
    <m/>
    <n v="0"/>
    <n v="0"/>
    <n v="0"/>
    <n v="0"/>
    <n v="0"/>
    <m/>
    <n v="3"/>
    <n v="0"/>
    <n v="3"/>
    <m/>
    <n v="3"/>
    <x v="0"/>
    <x v="2"/>
    <n v="0"/>
    <n v="0"/>
    <m/>
    <n v="0.6"/>
    <s v="Communal"/>
    <n v="0"/>
    <n v="1"/>
    <n v="0"/>
    <n v="0"/>
    <n v="0"/>
    <x v="0"/>
    <m/>
    <m/>
    <m/>
    <m/>
    <s v="no test"/>
    <s v="no test"/>
    <x v="1"/>
    <n v="1"/>
    <n v="1"/>
    <n v="1"/>
    <n v="76"/>
    <n v="0"/>
    <n v="0"/>
    <n v="1"/>
    <n v="76"/>
    <n v="0.152"/>
    <n v="0"/>
    <n v="0"/>
    <n v="0.84799999999999998"/>
    <n v="1"/>
    <n v="3"/>
    <n v="0.78947368421052633"/>
    <n v="60"/>
    <n v="0.26315789473684209"/>
    <n v="1"/>
    <n v="4"/>
    <n v="0"/>
    <n v="60"/>
    <n v="0"/>
    <n v="0"/>
    <n v="0"/>
    <n v="0"/>
    <n v="0"/>
    <n v="0"/>
    <n v="1"/>
    <n v="0"/>
    <n v="0"/>
    <n v="0"/>
    <n v="0"/>
    <n v="0"/>
    <n v="0"/>
    <n v="8.4"/>
    <s v="Yes"/>
    <s v="Shalom"/>
    <x v="1"/>
    <x v="0"/>
    <x v="0"/>
    <x v="0"/>
    <n v="25.371049444444399"/>
    <n v="97.290952037037002"/>
    <s v="MMR001CMP021"/>
    <x v="0"/>
    <m/>
  </r>
  <r>
    <x v="2"/>
    <x v="5"/>
    <x v="0"/>
    <x v="7"/>
    <x v="109"/>
    <n v="63"/>
    <n v="311"/>
    <m/>
    <s v="DFID/UNICEF"/>
    <d v="2018-12-31T00:00:00"/>
    <n v="0"/>
    <s v="Yes"/>
    <n v="0.5"/>
    <n v="0.2"/>
    <n v="0"/>
    <n v="0"/>
    <n v="5000"/>
    <n v="0"/>
    <n v="4"/>
    <m/>
    <n v="4"/>
    <n v="2"/>
    <n v="11"/>
    <n v="1"/>
    <n v="0"/>
    <m/>
    <n v="20"/>
    <n v="0"/>
    <n v="0"/>
    <m/>
    <n v="13"/>
    <x v="0"/>
    <x v="0"/>
    <n v="0"/>
    <n v="0"/>
    <m/>
    <n v="0"/>
    <s v="Communal"/>
    <n v="0"/>
    <n v="3"/>
    <n v="2"/>
    <n v="0"/>
    <n v="0"/>
    <x v="1"/>
    <m/>
    <m/>
    <m/>
    <m/>
    <n v="0.5"/>
    <n v="9.0909090909090912E-2"/>
    <x v="0"/>
    <n v="1"/>
    <n v="1"/>
    <n v="1"/>
    <n v="311"/>
    <n v="0"/>
    <n v="0"/>
    <n v="1"/>
    <n v="311"/>
    <n v="0.622"/>
    <n v="0"/>
    <n v="0"/>
    <n v="0.378"/>
    <n v="1"/>
    <n v="20"/>
    <n v="1"/>
    <n v="311"/>
    <n v="0"/>
    <n v="0"/>
    <n v="16"/>
    <n v="0"/>
    <n v="0"/>
    <n v="311"/>
    <n v="0"/>
    <n v="1"/>
    <n v="0"/>
    <n v="0"/>
    <n v="0"/>
    <n v="1"/>
    <n v="1"/>
    <n v="0"/>
    <n v="0"/>
    <n v="0"/>
    <n v="0"/>
    <n v="0"/>
    <n v="0"/>
    <s v="Yes"/>
    <s v="KMSS-MYT"/>
    <x v="1"/>
    <x v="0"/>
    <x v="0"/>
    <x v="0"/>
    <n v="25.410569299999999"/>
    <n v="97.359320179999997"/>
    <s v="MMR001CMP024"/>
    <x v="0"/>
    <m/>
  </r>
  <r>
    <x v="2"/>
    <x v="3"/>
    <x v="0"/>
    <x v="7"/>
    <x v="110"/>
    <n v="67"/>
    <n v="295"/>
    <m/>
    <s v="Plan/GFFO,ADRA/CANADA  "/>
    <d v="2019-03-31T00:00:00"/>
    <n v="0"/>
    <s v="Yes"/>
    <n v="0.6"/>
    <n v="0.5"/>
    <n v="1"/>
    <n v="2"/>
    <n v="1500"/>
    <n v="0"/>
    <n v="0"/>
    <m/>
    <n v="0"/>
    <n v="0"/>
    <n v="0"/>
    <n v="0"/>
    <n v="0"/>
    <m/>
    <n v="10"/>
    <n v="0"/>
    <n v="8"/>
    <m/>
    <n v="0"/>
    <x v="0"/>
    <x v="0"/>
    <m/>
    <m/>
    <m/>
    <n v="0.6"/>
    <s v="Communal"/>
    <n v="0"/>
    <n v="2"/>
    <n v="1"/>
    <n v="0"/>
    <n v="0"/>
    <x v="0"/>
    <m/>
    <m/>
    <m/>
    <m/>
    <s v="no test"/>
    <s v="no test"/>
    <x v="1"/>
    <n v="1"/>
    <n v="1"/>
    <n v="1"/>
    <n v="295"/>
    <n v="0"/>
    <n v="0"/>
    <n v="1"/>
    <n v="295"/>
    <n v="0.59"/>
    <n v="0"/>
    <n v="0"/>
    <n v="0.41000000000000003"/>
    <n v="1"/>
    <n v="10"/>
    <n v="0.67796610169491522"/>
    <n v="200"/>
    <n v="0.33898305084745761"/>
    <n v="5"/>
    <n v="15"/>
    <n v="0"/>
    <n v="160"/>
    <n v="295"/>
    <n v="0"/>
    <n v="1"/>
    <n v="0"/>
    <n v="0"/>
    <n v="0"/>
    <n v="1"/>
    <n v="1"/>
    <n v="0"/>
    <n v="0"/>
    <n v="0"/>
    <n v="0"/>
    <n v="0"/>
    <n v="40.199999999999996"/>
    <s v="Yes"/>
    <s v="KBC"/>
    <x v="1"/>
    <x v="0"/>
    <x v="0"/>
    <x v="0"/>
    <n v="25.422194000000001"/>
    <n v="97.394547000000003"/>
    <s v="MMR001CMP002"/>
    <x v="0"/>
    <m/>
  </r>
  <r>
    <x v="2"/>
    <x v="5"/>
    <x v="0"/>
    <x v="7"/>
    <x v="111"/>
    <n v="49"/>
    <n v="289"/>
    <m/>
    <s v="DFID/UNICEF"/>
    <d v="2018-12-31T00:00:00"/>
    <n v="0"/>
    <s v="Yes"/>
    <n v="0.6"/>
    <n v="0.5"/>
    <n v="2"/>
    <n v="0"/>
    <n v="6000"/>
    <n v="0"/>
    <n v="0"/>
    <m/>
    <n v="2"/>
    <n v="2"/>
    <n v="14"/>
    <n v="1"/>
    <n v="0"/>
    <m/>
    <n v="12"/>
    <n v="0"/>
    <n v="0"/>
    <m/>
    <n v="12"/>
    <x v="0"/>
    <x v="0"/>
    <n v="0"/>
    <n v="0"/>
    <m/>
    <n v="0"/>
    <s v="Communal"/>
    <n v="0"/>
    <n v="3"/>
    <n v="2"/>
    <n v="0"/>
    <n v="0"/>
    <x v="1"/>
    <m/>
    <m/>
    <m/>
    <m/>
    <n v="1"/>
    <n v="7.1428571428571425E-2"/>
    <x v="0"/>
    <n v="1"/>
    <n v="1"/>
    <n v="1"/>
    <n v="289"/>
    <n v="0"/>
    <n v="0"/>
    <n v="1"/>
    <n v="289"/>
    <n v="0.57799999999999996"/>
    <n v="0"/>
    <n v="0"/>
    <n v="0.42200000000000004"/>
    <n v="1"/>
    <n v="12"/>
    <n v="0.83044982698961933"/>
    <n v="240"/>
    <n v="0.13840830449826991"/>
    <n v="2"/>
    <n v="14"/>
    <n v="0"/>
    <n v="0"/>
    <n v="289"/>
    <n v="0"/>
    <n v="1"/>
    <n v="0"/>
    <n v="0"/>
    <n v="0"/>
    <n v="1"/>
    <n v="1"/>
    <n v="0"/>
    <n v="0"/>
    <n v="0"/>
    <n v="0"/>
    <n v="0"/>
    <n v="0"/>
    <s v="Yes"/>
    <s v="KMSS-MYT"/>
    <x v="1"/>
    <x v="0"/>
    <x v="0"/>
    <x v="0"/>
    <n v="25.493819999999999"/>
    <n v="97.4345"/>
    <s v="MMR001CMP162"/>
    <x v="0"/>
    <m/>
  </r>
  <r>
    <x v="2"/>
    <x v="3"/>
    <x v="0"/>
    <x v="7"/>
    <x v="113"/>
    <n v="119"/>
    <n v="569"/>
    <m/>
    <s v="Plan/GFFO,ADRA/CANADA  "/>
    <d v="2019-03-31T00:00:00"/>
    <n v="0"/>
    <s v="Yes"/>
    <n v="0.6"/>
    <n v="0.5"/>
    <n v="1"/>
    <n v="1"/>
    <n v="3000"/>
    <n v="0"/>
    <n v="0"/>
    <m/>
    <n v="0"/>
    <n v="0"/>
    <n v="0"/>
    <n v="0"/>
    <n v="0"/>
    <m/>
    <n v="13"/>
    <n v="0"/>
    <n v="0"/>
    <m/>
    <n v="0"/>
    <x v="0"/>
    <x v="0"/>
    <m/>
    <m/>
    <m/>
    <n v="0.6"/>
    <s v="Both"/>
    <n v="0"/>
    <n v="2"/>
    <n v="2"/>
    <n v="0"/>
    <n v="0"/>
    <x v="0"/>
    <m/>
    <m/>
    <m/>
    <m/>
    <s v="no test"/>
    <s v="no test"/>
    <x v="1"/>
    <n v="1"/>
    <n v="1"/>
    <n v="1"/>
    <n v="569"/>
    <n v="0"/>
    <n v="0"/>
    <n v="1"/>
    <n v="569"/>
    <n v="1.1379999999999999"/>
    <n v="0"/>
    <n v="0"/>
    <n v="0"/>
    <n v="1"/>
    <n v="13"/>
    <n v="0.45694200351493847"/>
    <n v="260"/>
    <n v="0.52724077328646746"/>
    <n v="15"/>
    <n v="28"/>
    <n v="0"/>
    <n v="0"/>
    <n v="569"/>
    <n v="0"/>
    <n v="1"/>
    <n v="0"/>
    <n v="0"/>
    <n v="0"/>
    <n v="1"/>
    <n v="1"/>
    <n v="0"/>
    <n v="0"/>
    <n v="0"/>
    <n v="0"/>
    <n v="0"/>
    <n v="71.399999999999991"/>
    <s v="Yes"/>
    <s v="KBC"/>
    <x v="1"/>
    <x v="0"/>
    <x v="0"/>
    <x v="0"/>
    <n v="25.412313000000001"/>
    <n v="97.399628000000007"/>
    <s v="MMR001CMP006"/>
    <x v="0"/>
    <m/>
  </r>
  <r>
    <x v="2"/>
    <x v="4"/>
    <x v="0"/>
    <x v="7"/>
    <x v="114"/>
    <n v="23"/>
    <n v="114"/>
    <m/>
    <s v="OFDA"/>
    <d v="2017-07-31T00:00:00"/>
    <n v="0"/>
    <s v="Yes"/>
    <n v="0.71"/>
    <n v="1"/>
    <n v="1"/>
    <n v="0"/>
    <n v="0"/>
    <n v="0"/>
    <n v="2"/>
    <m/>
    <n v="0"/>
    <n v="0"/>
    <n v="0"/>
    <n v="0"/>
    <n v="0"/>
    <m/>
    <n v="7"/>
    <n v="0"/>
    <n v="0"/>
    <m/>
    <n v="7"/>
    <x v="0"/>
    <x v="2"/>
    <n v="0"/>
    <n v="0"/>
    <m/>
    <n v="0.6"/>
    <s v="Communal"/>
    <n v="0"/>
    <n v="2"/>
    <n v="0"/>
    <n v="0"/>
    <n v="0"/>
    <x v="0"/>
    <m/>
    <m/>
    <m/>
    <m/>
    <s v="no test"/>
    <s v="no test"/>
    <x v="1"/>
    <n v="1"/>
    <n v="1"/>
    <n v="1"/>
    <n v="114"/>
    <n v="0"/>
    <n v="0"/>
    <n v="1"/>
    <n v="114"/>
    <n v="0.22800000000000001"/>
    <n v="0"/>
    <n v="0"/>
    <n v="0.77200000000000002"/>
    <n v="1"/>
    <n v="7"/>
    <n v="1"/>
    <n v="114"/>
    <n v="0"/>
    <n v="0"/>
    <n v="6"/>
    <n v="0"/>
    <n v="0"/>
    <n v="0"/>
    <n v="0"/>
    <n v="0"/>
    <n v="0"/>
    <n v="0"/>
    <n v="0"/>
    <n v="1"/>
    <n v="0"/>
    <n v="0"/>
    <n v="0"/>
    <n v="0"/>
    <n v="0"/>
    <n v="0"/>
    <n v="13.799999999999999"/>
    <s v="Yes"/>
    <s v="Shalom"/>
    <x v="1"/>
    <x v="0"/>
    <x v="0"/>
    <x v="0"/>
    <n v="25.423817"/>
    <n v="97.418004999999994"/>
    <s v="MMR001CMP007"/>
    <x v="0"/>
    <m/>
  </r>
  <r>
    <x v="2"/>
    <x v="3"/>
    <x v="0"/>
    <x v="7"/>
    <x v="115"/>
    <n v="91"/>
    <n v="501"/>
    <m/>
    <s v="Plan/GFFO,ADRA/CANADA  "/>
    <d v="2019-03-31T00:00:00"/>
    <n v="0"/>
    <s v="Yes"/>
    <n v="0.6"/>
    <n v="0.5"/>
    <n v="1"/>
    <n v="1"/>
    <n v="0"/>
    <n v="0"/>
    <n v="0"/>
    <m/>
    <n v="0"/>
    <n v="0"/>
    <n v="0"/>
    <n v="0"/>
    <n v="0"/>
    <m/>
    <n v="17"/>
    <n v="0"/>
    <n v="0"/>
    <m/>
    <n v="0"/>
    <x v="0"/>
    <x v="0"/>
    <m/>
    <m/>
    <m/>
    <n v="0.6"/>
    <s v="Both"/>
    <n v="0"/>
    <n v="2"/>
    <n v="2"/>
    <n v="0"/>
    <n v="0"/>
    <x v="0"/>
    <m/>
    <m/>
    <m/>
    <m/>
    <s v="no test"/>
    <s v="no test"/>
    <x v="1"/>
    <n v="1"/>
    <n v="0.99800399201596801"/>
    <n v="1"/>
    <n v="501"/>
    <n v="0"/>
    <n v="0"/>
    <n v="1"/>
    <n v="501"/>
    <n v="1.002"/>
    <n v="0"/>
    <n v="0"/>
    <n v="0"/>
    <n v="1"/>
    <n v="17"/>
    <n v="0.67864271457085823"/>
    <n v="340"/>
    <n v="0.31936127744510978"/>
    <n v="8"/>
    <n v="25"/>
    <n v="0"/>
    <n v="0"/>
    <n v="501"/>
    <n v="0"/>
    <n v="1"/>
    <n v="0"/>
    <n v="0"/>
    <n v="0"/>
    <n v="1"/>
    <n v="1"/>
    <n v="0"/>
    <n v="0"/>
    <n v="0"/>
    <n v="0"/>
    <n v="0"/>
    <n v="54.6"/>
    <s v="Yes"/>
    <s v="KBC"/>
    <x v="1"/>
    <x v="0"/>
    <x v="0"/>
    <x v="0"/>
    <n v="25.440928"/>
    <n v="97.419403000000003"/>
    <s v="MMR001CMP009"/>
    <x v="0"/>
    <m/>
  </r>
  <r>
    <x v="2"/>
    <x v="3"/>
    <x v="0"/>
    <x v="7"/>
    <x v="117"/>
    <n v="69"/>
    <n v="369"/>
    <m/>
    <s v="Plan/GFFO,ADRA/CANADA  "/>
    <d v="2019-03-31T00:00:00"/>
    <n v="0"/>
    <s v="Yes"/>
    <n v="0.6"/>
    <n v="0.5"/>
    <n v="0"/>
    <n v="2"/>
    <n v="1500"/>
    <n v="0"/>
    <n v="0"/>
    <m/>
    <n v="0"/>
    <n v="0"/>
    <n v="0"/>
    <n v="0"/>
    <n v="0"/>
    <m/>
    <n v="11"/>
    <n v="8"/>
    <n v="0"/>
    <m/>
    <n v="0"/>
    <x v="0"/>
    <x v="0"/>
    <m/>
    <m/>
    <m/>
    <n v="0.6"/>
    <s v="Both"/>
    <n v="0"/>
    <n v="2"/>
    <n v="2"/>
    <n v="0"/>
    <n v="0"/>
    <x v="0"/>
    <m/>
    <m/>
    <m/>
    <m/>
    <s v="no test"/>
    <s v="no test"/>
    <x v="1"/>
    <n v="1"/>
    <n v="1"/>
    <n v="1"/>
    <n v="369"/>
    <n v="0"/>
    <n v="0"/>
    <n v="1"/>
    <n v="369"/>
    <n v="0.73799999999999999"/>
    <n v="0"/>
    <n v="0"/>
    <n v="0.26200000000000001"/>
    <n v="1"/>
    <n v="19"/>
    <n v="0.59620596205962062"/>
    <n v="220"/>
    <n v="0"/>
    <n v="0"/>
    <n v="18"/>
    <n v="0.42105263157894735"/>
    <n v="0"/>
    <n v="369"/>
    <n v="0"/>
    <n v="1"/>
    <n v="0"/>
    <n v="0"/>
    <n v="0"/>
    <n v="1"/>
    <n v="1"/>
    <n v="0"/>
    <n v="0"/>
    <n v="0"/>
    <n v="0"/>
    <n v="0"/>
    <n v="41.4"/>
    <s v="Yes"/>
    <s v="KBC"/>
    <x v="1"/>
    <x v="0"/>
    <x v="0"/>
    <x v="0"/>
    <n v="25.415482000000001"/>
    <n v="97.386718999999999"/>
    <s v="MMR001CMP001"/>
    <x v="0"/>
    <m/>
  </r>
  <r>
    <x v="2"/>
    <x v="4"/>
    <x v="0"/>
    <x v="7"/>
    <x v="118"/>
    <n v="54"/>
    <n v="266"/>
    <m/>
    <s v="OFDA"/>
    <d v="2017-07-31T00:00:00"/>
    <n v="0"/>
    <s v="Yes"/>
    <n v="0.71"/>
    <n v="1"/>
    <n v="1"/>
    <n v="4"/>
    <n v="2000"/>
    <n v="0"/>
    <n v="1"/>
    <m/>
    <n v="0"/>
    <n v="0"/>
    <n v="0"/>
    <n v="0"/>
    <n v="0"/>
    <m/>
    <n v="10"/>
    <n v="2"/>
    <n v="4"/>
    <m/>
    <n v="10"/>
    <x v="0"/>
    <x v="0"/>
    <n v="0"/>
    <n v="0"/>
    <m/>
    <n v="0.5"/>
    <s v="Communal"/>
    <n v="0"/>
    <n v="4"/>
    <n v="0"/>
    <n v="0"/>
    <n v="0"/>
    <x v="0"/>
    <m/>
    <m/>
    <m/>
    <m/>
    <s v="no test"/>
    <s v="no test"/>
    <x v="1"/>
    <n v="1"/>
    <n v="1"/>
    <n v="1"/>
    <n v="266"/>
    <n v="0"/>
    <n v="0"/>
    <n v="1"/>
    <n v="266"/>
    <n v="0.53200000000000003"/>
    <n v="0"/>
    <n v="0"/>
    <n v="0.46799999999999997"/>
    <n v="1"/>
    <n v="12"/>
    <n v="0.75187969924812026"/>
    <n v="200"/>
    <n v="7.5187969924812026E-2"/>
    <n v="1"/>
    <n v="13"/>
    <n v="0.16666666666666666"/>
    <n v="80"/>
    <n v="0"/>
    <n v="0"/>
    <n v="0"/>
    <n v="0"/>
    <n v="0"/>
    <n v="0"/>
    <n v="1"/>
    <n v="0"/>
    <n v="0"/>
    <n v="0"/>
    <n v="0"/>
    <n v="0"/>
    <n v="0"/>
    <n v="27"/>
    <s v="Yes"/>
    <s v="Shalom"/>
    <x v="1"/>
    <x v="0"/>
    <x v="0"/>
    <x v="0"/>
    <n v="25.423209"/>
    <n v="97.379987"/>
    <s v="MMR001CMP023"/>
    <x v="0"/>
    <m/>
  </r>
  <r>
    <x v="2"/>
    <x v="4"/>
    <x v="0"/>
    <x v="7"/>
    <x v="119"/>
    <n v="7"/>
    <n v="31"/>
    <m/>
    <s v="OFDA"/>
    <d v="2017-07-31T00:00:00"/>
    <n v="0"/>
    <s v="Yes"/>
    <n v="0.5"/>
    <n v="1"/>
    <n v="0"/>
    <n v="1"/>
    <n v="400"/>
    <n v="0"/>
    <n v="0"/>
    <m/>
    <n v="0"/>
    <n v="0"/>
    <n v="0"/>
    <n v="0"/>
    <n v="0"/>
    <m/>
    <n v="2"/>
    <n v="0"/>
    <n v="0"/>
    <m/>
    <n v="2"/>
    <x v="0"/>
    <x v="2"/>
    <n v="0"/>
    <n v="0"/>
    <m/>
    <n v="0.5"/>
    <s v="Communal"/>
    <n v="0"/>
    <n v="2"/>
    <n v="0"/>
    <n v="0"/>
    <n v="0"/>
    <x v="0"/>
    <m/>
    <m/>
    <m/>
    <m/>
    <s v="no test"/>
    <s v="no test"/>
    <x v="1"/>
    <n v="1"/>
    <n v="1"/>
    <n v="1"/>
    <n v="31"/>
    <n v="0"/>
    <n v="0"/>
    <n v="1"/>
    <n v="31"/>
    <n v="6.2E-2"/>
    <n v="0"/>
    <n v="0"/>
    <n v="0.93799999999999994"/>
    <n v="1"/>
    <n v="2"/>
    <n v="1"/>
    <n v="31"/>
    <n v="0"/>
    <n v="0"/>
    <n v="2"/>
    <n v="0"/>
    <n v="0"/>
    <n v="0"/>
    <n v="0"/>
    <n v="0"/>
    <n v="0"/>
    <n v="0"/>
    <n v="0"/>
    <n v="1"/>
    <n v="0"/>
    <n v="0"/>
    <n v="0"/>
    <n v="0"/>
    <n v="0"/>
    <n v="0"/>
    <n v="3.5"/>
    <s v="Yes"/>
    <s v="uncovered"/>
    <x v="1"/>
    <x v="0"/>
    <x v="2"/>
    <x v="0"/>
    <n v="25.417733999999999"/>
    <n v="97.389778000000007"/>
    <s v="MMR001CMP004"/>
    <x v="0"/>
    <m/>
  </r>
  <r>
    <x v="2"/>
    <x v="3"/>
    <x v="0"/>
    <x v="7"/>
    <x v="120"/>
    <n v="30"/>
    <n v="171"/>
    <m/>
    <s v="Plan/GFFO,ADRA/CANADA  "/>
    <d v="2019-03-31T00:00:00"/>
    <n v="0"/>
    <s v="Yes"/>
    <n v="0.6"/>
    <n v="0.5"/>
    <n v="0"/>
    <n v="3"/>
    <n v="0"/>
    <n v="0"/>
    <n v="0"/>
    <m/>
    <n v="0"/>
    <n v="0"/>
    <n v="0"/>
    <n v="0"/>
    <n v="0"/>
    <m/>
    <n v="5"/>
    <n v="0"/>
    <n v="0"/>
    <m/>
    <n v="0"/>
    <x v="0"/>
    <x v="2"/>
    <m/>
    <m/>
    <m/>
    <n v="0.6"/>
    <s v="Both"/>
    <n v="0"/>
    <n v="2"/>
    <n v="1"/>
    <n v="0"/>
    <n v="0"/>
    <x v="0"/>
    <m/>
    <m/>
    <m/>
    <m/>
    <s v="no test"/>
    <s v="no test"/>
    <x v="1"/>
    <n v="1"/>
    <n v="1"/>
    <n v="1"/>
    <n v="171"/>
    <n v="0"/>
    <n v="0"/>
    <n v="1"/>
    <n v="171"/>
    <n v="0.34200000000000003"/>
    <n v="0"/>
    <n v="0"/>
    <n v="0.65799999999999992"/>
    <n v="1"/>
    <n v="5"/>
    <n v="0.58479532163742687"/>
    <n v="100"/>
    <n v="0.46783625730994149"/>
    <n v="4"/>
    <n v="9"/>
    <n v="0"/>
    <n v="0"/>
    <n v="171"/>
    <n v="0"/>
    <n v="1"/>
    <n v="0"/>
    <n v="0"/>
    <n v="0"/>
    <n v="1"/>
    <n v="1"/>
    <n v="0"/>
    <n v="0"/>
    <n v="0"/>
    <n v="0"/>
    <n v="0"/>
    <n v="18"/>
    <s v="Yes"/>
    <s v="KBC"/>
    <x v="1"/>
    <x v="0"/>
    <x v="0"/>
    <x v="0"/>
    <n v="25.404752999999999"/>
    <n v="97.377662999999998"/>
    <s v="MMR001CMP003"/>
    <x v="0"/>
    <m/>
  </r>
  <r>
    <x v="2"/>
    <x v="3"/>
    <x v="0"/>
    <x v="7"/>
    <x v="121"/>
    <n v="46"/>
    <n v="239"/>
    <m/>
    <s v="Plan/GFFO,ADRA/CANADA  "/>
    <d v="2019-03-31T00:00:00"/>
    <n v="0"/>
    <s v="Yes"/>
    <n v="0.6"/>
    <n v="0.5"/>
    <n v="0"/>
    <n v="3"/>
    <n v="2000"/>
    <n v="0"/>
    <n v="0"/>
    <m/>
    <n v="0"/>
    <n v="0"/>
    <n v="0"/>
    <n v="0"/>
    <n v="0"/>
    <m/>
    <n v="13"/>
    <n v="0"/>
    <n v="0"/>
    <m/>
    <n v="0"/>
    <x v="0"/>
    <x v="0"/>
    <m/>
    <m/>
    <m/>
    <n v="0.6"/>
    <s v="Both"/>
    <n v="0"/>
    <n v="3"/>
    <n v="1"/>
    <n v="0"/>
    <n v="0"/>
    <x v="0"/>
    <m/>
    <m/>
    <m/>
    <m/>
    <s v="no test"/>
    <s v="no test"/>
    <x v="1"/>
    <n v="1"/>
    <n v="1"/>
    <n v="1"/>
    <n v="239"/>
    <n v="0"/>
    <n v="0"/>
    <n v="1"/>
    <n v="239"/>
    <n v="0.47799999999999998"/>
    <n v="0"/>
    <n v="0"/>
    <n v="0.52200000000000002"/>
    <n v="1"/>
    <n v="13"/>
    <n v="1"/>
    <n v="239"/>
    <n v="0"/>
    <n v="0"/>
    <n v="12"/>
    <n v="0"/>
    <n v="0"/>
    <n v="239"/>
    <n v="0"/>
    <n v="1"/>
    <n v="0"/>
    <n v="0"/>
    <n v="0"/>
    <n v="1"/>
    <n v="1"/>
    <n v="0"/>
    <n v="0"/>
    <n v="0"/>
    <n v="0"/>
    <n v="0"/>
    <n v="27.599999999999998"/>
    <s v="Yes"/>
    <s v="KBC"/>
    <x v="1"/>
    <x v="0"/>
    <x v="0"/>
    <x v="0"/>
    <n v="25.404015000000001"/>
    <n v="97.382192000000003"/>
    <s v="MMR001CMP005"/>
    <x v="0"/>
    <m/>
  </r>
  <r>
    <x v="2"/>
    <x v="2"/>
    <x v="0"/>
    <x v="8"/>
    <x v="124"/>
    <n v="10"/>
    <n v="56"/>
    <m/>
    <m/>
    <m/>
    <m/>
    <s v="No"/>
    <n v="0"/>
    <n v="0"/>
    <m/>
    <m/>
    <m/>
    <m/>
    <m/>
    <m/>
    <m/>
    <m/>
    <m/>
    <m/>
    <m/>
    <m/>
    <n v="0"/>
    <m/>
    <m/>
    <m/>
    <m/>
    <x v="1"/>
    <x v="1"/>
    <m/>
    <m/>
    <m/>
    <m/>
    <m/>
    <m/>
    <m/>
    <m/>
    <m/>
    <m/>
    <x v="0"/>
    <m/>
    <m/>
    <m/>
    <m/>
    <s v="no test"/>
    <s v="no test"/>
    <x v="1"/>
    <n v="0"/>
    <n v="0"/>
    <n v="0"/>
    <n v="0"/>
    <n v="0"/>
    <n v="0"/>
    <n v="0"/>
    <n v="0"/>
    <n v="0"/>
    <n v="1"/>
    <n v="56"/>
    <n v="1"/>
    <n v="1"/>
    <n v="0"/>
    <n v="0"/>
    <n v="0"/>
    <n v="1"/>
    <n v="3"/>
    <n v="3"/>
    <n v="0"/>
    <n v="0"/>
    <n v="0"/>
    <n v="0"/>
    <n v="0"/>
    <n v="0"/>
    <n v="0"/>
    <n v="0"/>
    <n v="1"/>
    <n v="0"/>
    <n v="0"/>
    <n v="0"/>
    <n v="0"/>
    <n v="0"/>
    <n v="0"/>
    <n v="0"/>
    <n v="0"/>
    <s v="uncovered"/>
    <x v="1"/>
    <x v="0"/>
    <x v="1"/>
    <x v="0"/>
    <n v="27.248964999999998"/>
    <n v="97.561105999999995"/>
    <s v="MMR001CMP227"/>
    <x v="1"/>
    <m/>
  </r>
  <r>
    <x v="2"/>
    <x v="3"/>
    <x v="0"/>
    <x v="8"/>
    <x v="125"/>
    <n v="61"/>
    <n v="281"/>
    <m/>
    <s v="ADRA/CANADA"/>
    <d v="2018-01-31T00:00:00"/>
    <n v="0"/>
    <s v="Yes"/>
    <n v="0.6"/>
    <n v="0.5"/>
    <n v="1"/>
    <n v="0"/>
    <n v="2000"/>
    <n v="1"/>
    <n v="0"/>
    <m/>
    <n v="0"/>
    <n v="0"/>
    <n v="0"/>
    <n v="0"/>
    <n v="0"/>
    <m/>
    <n v="8"/>
    <n v="0"/>
    <n v="0"/>
    <m/>
    <n v="0"/>
    <x v="0"/>
    <x v="0"/>
    <m/>
    <m/>
    <m/>
    <n v="0.6"/>
    <s v="Both"/>
    <n v="0"/>
    <n v="2"/>
    <n v="2"/>
    <n v="0"/>
    <n v="0"/>
    <x v="0"/>
    <m/>
    <m/>
    <m/>
    <m/>
    <s v="no test"/>
    <s v="no test"/>
    <x v="1"/>
    <n v="1"/>
    <n v="1"/>
    <n v="1"/>
    <n v="281"/>
    <n v="0.88967971530249113"/>
    <n v="250"/>
    <n v="1"/>
    <n v="281"/>
    <n v="0.56200000000000006"/>
    <n v="0"/>
    <n v="0"/>
    <n v="0.43799999999999994"/>
    <n v="1"/>
    <n v="8"/>
    <n v="0.56939501779359436"/>
    <n v="160.00000000000003"/>
    <n v="0.42704626334519569"/>
    <n v="6"/>
    <n v="14"/>
    <n v="0"/>
    <n v="0"/>
    <n v="281"/>
    <n v="0"/>
    <n v="1"/>
    <n v="0"/>
    <n v="0"/>
    <n v="0"/>
    <n v="1"/>
    <n v="1"/>
    <n v="0"/>
    <n v="0"/>
    <n v="0"/>
    <n v="0"/>
    <n v="0"/>
    <n v="36.6"/>
    <s v="Yes"/>
    <s v="KBC"/>
    <x v="1"/>
    <x v="0"/>
    <x v="0"/>
    <x v="0"/>
    <n v="27.337499999999999"/>
    <n v="97.416121000000004"/>
    <s v="MMR001CMP234"/>
    <x v="0"/>
    <m/>
  </r>
  <r>
    <x v="2"/>
    <x v="2"/>
    <x v="0"/>
    <x v="8"/>
    <x v="126"/>
    <n v="14"/>
    <n v="75"/>
    <m/>
    <m/>
    <m/>
    <m/>
    <s v="No"/>
    <n v="0"/>
    <n v="0"/>
    <m/>
    <m/>
    <m/>
    <m/>
    <m/>
    <m/>
    <m/>
    <m/>
    <m/>
    <m/>
    <m/>
    <m/>
    <n v="0"/>
    <m/>
    <m/>
    <m/>
    <m/>
    <x v="1"/>
    <x v="1"/>
    <m/>
    <m/>
    <m/>
    <m/>
    <m/>
    <m/>
    <m/>
    <m/>
    <m/>
    <m/>
    <x v="0"/>
    <m/>
    <m/>
    <m/>
    <m/>
    <s v="no test"/>
    <s v="no test"/>
    <x v="1"/>
    <n v="0"/>
    <n v="0"/>
    <n v="0"/>
    <n v="0"/>
    <n v="0"/>
    <n v="0"/>
    <n v="0"/>
    <n v="0"/>
    <n v="0"/>
    <n v="1"/>
    <n v="75"/>
    <n v="1"/>
    <n v="1"/>
    <n v="0"/>
    <n v="0"/>
    <n v="0"/>
    <n v="1"/>
    <n v="4"/>
    <n v="4"/>
    <n v="0"/>
    <n v="0"/>
    <n v="0"/>
    <n v="0"/>
    <n v="0"/>
    <n v="0"/>
    <n v="0"/>
    <n v="0"/>
    <n v="1"/>
    <n v="0"/>
    <n v="0"/>
    <n v="0"/>
    <n v="0"/>
    <n v="0"/>
    <n v="0"/>
    <n v="0"/>
    <n v="0"/>
    <s v="uncovered"/>
    <x v="1"/>
    <x v="0"/>
    <x v="1"/>
    <x v="0"/>
    <n v="27.311699999999998"/>
    <n v="97.415289999999999"/>
    <s v="MMR001CMP075"/>
    <x v="1"/>
    <m/>
  </r>
  <r>
    <x v="2"/>
    <x v="2"/>
    <x v="0"/>
    <x v="9"/>
    <x v="101"/>
    <n v="375"/>
    <n v="1691"/>
    <m/>
    <m/>
    <m/>
    <m/>
    <s v="No"/>
    <n v="0"/>
    <n v="0"/>
    <m/>
    <m/>
    <m/>
    <m/>
    <m/>
    <m/>
    <m/>
    <m/>
    <m/>
    <m/>
    <m/>
    <m/>
    <n v="0"/>
    <m/>
    <m/>
    <m/>
    <m/>
    <x v="1"/>
    <x v="1"/>
    <m/>
    <m/>
    <m/>
    <m/>
    <m/>
    <m/>
    <m/>
    <m/>
    <m/>
    <m/>
    <x v="0"/>
    <m/>
    <m/>
    <m/>
    <m/>
    <s v="no test"/>
    <s v="no test"/>
    <x v="1"/>
    <n v="0"/>
    <n v="0"/>
    <n v="0"/>
    <n v="0"/>
    <n v="0"/>
    <n v="0"/>
    <n v="0"/>
    <n v="0"/>
    <n v="0"/>
    <n v="1"/>
    <n v="1691"/>
    <n v="3"/>
    <n v="3"/>
    <n v="0"/>
    <n v="0"/>
    <n v="0"/>
    <n v="1"/>
    <n v="85"/>
    <n v="85"/>
    <n v="0"/>
    <n v="0"/>
    <n v="0"/>
    <n v="0"/>
    <n v="0"/>
    <n v="0"/>
    <n v="0"/>
    <n v="0"/>
    <n v="1"/>
    <n v="0"/>
    <n v="0"/>
    <n v="0"/>
    <n v="0"/>
    <n v="0"/>
    <n v="0"/>
    <n v="0"/>
    <n v="0"/>
    <s v="uncovered"/>
    <x v="1"/>
    <x v="0"/>
    <x v="1"/>
    <x v="0"/>
    <n v="0"/>
    <n v="0"/>
    <s v="MMR001CMP147"/>
    <x v="1"/>
    <m/>
  </r>
  <r>
    <x v="2"/>
    <x v="1"/>
    <x v="0"/>
    <x v="9"/>
    <x v="129"/>
    <n v="45"/>
    <n v="259"/>
    <m/>
    <s v="USAID, Christian AID, HIDA"/>
    <s v="9/1/2018,1-Dec-2018"/>
    <n v="0"/>
    <s v="Yes"/>
    <n v="0.8"/>
    <n v="0.6"/>
    <n v="0"/>
    <n v="1"/>
    <n v="0"/>
    <n v="0"/>
    <n v="0"/>
    <m/>
    <m/>
    <m/>
    <m/>
    <m/>
    <m/>
    <m/>
    <n v="13"/>
    <n v="0"/>
    <m/>
    <m/>
    <n v="0"/>
    <x v="0"/>
    <x v="0"/>
    <m/>
    <m/>
    <m/>
    <n v="1"/>
    <s v="Both"/>
    <n v="0"/>
    <n v="5"/>
    <n v="1"/>
    <n v="45"/>
    <n v="45"/>
    <x v="0"/>
    <m/>
    <m/>
    <m/>
    <m/>
    <s v="no test"/>
    <s v="no test"/>
    <x v="1"/>
    <n v="1"/>
    <n v="0.96525096525096521"/>
    <n v="1"/>
    <n v="259"/>
    <n v="0"/>
    <n v="0"/>
    <n v="1"/>
    <n v="259"/>
    <n v="0.51800000000000002"/>
    <n v="0"/>
    <n v="0"/>
    <n v="0.48199999999999998"/>
    <n v="1"/>
    <n v="13"/>
    <n v="1"/>
    <n v="259"/>
    <n v="0"/>
    <n v="0"/>
    <n v="13"/>
    <n v="0"/>
    <n v="0"/>
    <n v="259"/>
    <n v="1"/>
    <n v="1"/>
    <n v="1"/>
    <n v="259"/>
    <n v="1"/>
    <n v="0"/>
    <n v="1"/>
    <n v="1"/>
    <n v="1"/>
    <n v="225"/>
    <n v="225"/>
    <n v="225"/>
    <n v="45"/>
    <s v="Yes"/>
    <s v="KBC"/>
    <x v="1"/>
    <x v="0"/>
    <x v="0"/>
    <x v="0"/>
    <n v="24.200361000000001"/>
    <n v="96.807353000000006"/>
    <s v="MMR001CMP067"/>
    <x v="0"/>
    <m/>
  </r>
  <r>
    <x v="2"/>
    <x v="1"/>
    <x v="0"/>
    <x v="9"/>
    <x v="130"/>
    <n v="33"/>
    <n v="169"/>
    <m/>
    <s v="USAID, Christian AID, HIDA"/>
    <s v="9/1/2018,1-Dec-2018"/>
    <n v="0"/>
    <s v="Yes"/>
    <n v="0.8"/>
    <n v="0.6"/>
    <n v="0"/>
    <n v="1"/>
    <n v="0"/>
    <n v="0"/>
    <n v="0"/>
    <m/>
    <m/>
    <m/>
    <m/>
    <m/>
    <m/>
    <m/>
    <n v="14"/>
    <n v="0"/>
    <n v="0"/>
    <m/>
    <n v="0"/>
    <x v="0"/>
    <x v="0"/>
    <m/>
    <m/>
    <m/>
    <n v="1"/>
    <s v="Both"/>
    <n v="0"/>
    <n v="3"/>
    <n v="1"/>
    <n v="33"/>
    <n v="33"/>
    <x v="0"/>
    <m/>
    <m/>
    <m/>
    <m/>
    <s v="no test"/>
    <s v="no test"/>
    <x v="1"/>
    <n v="1"/>
    <n v="1"/>
    <n v="1"/>
    <n v="169"/>
    <n v="0"/>
    <n v="0"/>
    <n v="1"/>
    <n v="169"/>
    <n v="0.33800000000000002"/>
    <n v="0"/>
    <n v="0"/>
    <n v="0.66199999999999992"/>
    <n v="1"/>
    <n v="14"/>
    <n v="1"/>
    <n v="169"/>
    <n v="0"/>
    <n v="0"/>
    <n v="8"/>
    <n v="0"/>
    <n v="0"/>
    <n v="169"/>
    <n v="1"/>
    <n v="1"/>
    <n v="1"/>
    <n v="169"/>
    <n v="1"/>
    <n v="0"/>
    <n v="1"/>
    <n v="1"/>
    <n v="1"/>
    <n v="165"/>
    <n v="165"/>
    <n v="165"/>
    <n v="33"/>
    <s v="Yes"/>
    <s v="KMSS-BMO"/>
    <x v="1"/>
    <x v="0"/>
    <x v="0"/>
    <x v="0"/>
    <n v="24.200367"/>
    <n v="96.807353000000006"/>
    <s v="MMR001CMP068"/>
    <x v="0"/>
    <m/>
  </r>
  <r>
    <x v="2"/>
    <x v="3"/>
    <x v="0"/>
    <x v="10"/>
    <x v="133"/>
    <n v="127"/>
    <n v="547"/>
    <m/>
    <s v="ADRA/CANADA"/>
    <d v="2018-01-31T00:00:00"/>
    <n v="0"/>
    <s v="Yes"/>
    <n v="0.5"/>
    <n v="0.5"/>
    <n v="0"/>
    <n v="0"/>
    <n v="0"/>
    <n v="0"/>
    <n v="0"/>
    <m/>
    <n v="0"/>
    <n v="0"/>
    <n v="0"/>
    <n v="0"/>
    <n v="0"/>
    <m/>
    <n v="74"/>
    <n v="0"/>
    <n v="0"/>
    <m/>
    <n v="0"/>
    <x v="4"/>
    <x v="0"/>
    <m/>
    <m/>
    <m/>
    <n v="0.2"/>
    <s v="Household"/>
    <n v="0"/>
    <n v="0"/>
    <n v="2"/>
    <n v="0"/>
    <n v="0"/>
    <x v="0"/>
    <m/>
    <m/>
    <m/>
    <m/>
    <s v="no test"/>
    <s v="no test"/>
    <x v="1"/>
    <n v="0"/>
    <n v="0"/>
    <n v="0"/>
    <n v="0"/>
    <n v="0"/>
    <n v="0"/>
    <n v="0"/>
    <n v="0"/>
    <n v="0"/>
    <n v="1"/>
    <n v="547"/>
    <n v="1"/>
    <n v="1"/>
    <n v="74"/>
    <n v="1"/>
    <n v="547"/>
    <n v="0"/>
    <n v="0"/>
    <n v="27"/>
    <n v="0"/>
    <n v="0"/>
    <n v="547"/>
    <n v="0"/>
    <n v="1"/>
    <n v="0"/>
    <n v="0"/>
    <n v="0"/>
    <n v="1"/>
    <n v="1"/>
    <n v="0"/>
    <n v="0"/>
    <n v="0"/>
    <n v="0"/>
    <n v="0"/>
    <n v="25.400000000000002"/>
    <s v="Yes"/>
    <s v="KBC"/>
    <x v="1"/>
    <x v="0"/>
    <x v="0"/>
    <x v="1"/>
    <n v="26.569633"/>
    <n v="97.745480999999998"/>
    <s v="MMR001CMP238"/>
    <x v="0"/>
    <m/>
  </r>
  <r>
    <x v="2"/>
    <x v="3"/>
    <x v="0"/>
    <x v="10"/>
    <x v="134"/>
    <n v="68"/>
    <n v="268"/>
    <m/>
    <s v="ADRA/CANADA"/>
    <d v="2018-01-31T00:00:00"/>
    <n v="0"/>
    <s v="Yes"/>
    <n v="0.4"/>
    <n v="0.5"/>
    <n v="0"/>
    <n v="0"/>
    <n v="0"/>
    <n v="0"/>
    <n v="0"/>
    <m/>
    <n v="0"/>
    <n v="0"/>
    <n v="0"/>
    <n v="0"/>
    <n v="0"/>
    <m/>
    <n v="65"/>
    <n v="0"/>
    <n v="0"/>
    <m/>
    <n v="0"/>
    <x v="4"/>
    <x v="0"/>
    <m/>
    <m/>
    <m/>
    <n v="0.2"/>
    <s v="Household"/>
    <n v="0"/>
    <n v="0"/>
    <n v="1"/>
    <n v="0"/>
    <n v="0"/>
    <x v="0"/>
    <m/>
    <m/>
    <m/>
    <m/>
    <s v="no test"/>
    <s v="no test"/>
    <x v="1"/>
    <n v="0"/>
    <n v="0"/>
    <n v="0"/>
    <n v="0"/>
    <n v="0"/>
    <n v="0"/>
    <n v="0"/>
    <n v="0"/>
    <n v="0"/>
    <n v="1"/>
    <n v="268"/>
    <n v="1"/>
    <n v="1"/>
    <n v="65"/>
    <n v="1"/>
    <n v="268"/>
    <n v="0"/>
    <n v="0"/>
    <n v="13"/>
    <n v="0"/>
    <n v="0"/>
    <n v="268"/>
    <n v="0"/>
    <n v="1"/>
    <n v="0"/>
    <n v="0"/>
    <n v="0"/>
    <n v="1"/>
    <n v="1"/>
    <n v="0"/>
    <n v="0"/>
    <n v="0"/>
    <n v="0"/>
    <n v="0"/>
    <n v="13.600000000000001"/>
    <s v="Yes"/>
    <s v="KBC"/>
    <x v="1"/>
    <x v="0"/>
    <x v="0"/>
    <x v="1"/>
    <n v="26.548506"/>
    <n v="97.75609"/>
    <s v="MMR001CMP239"/>
    <x v="0"/>
    <m/>
  </r>
  <r>
    <x v="2"/>
    <x v="2"/>
    <x v="0"/>
    <x v="10"/>
    <x v="135"/>
    <n v="5"/>
    <n v="32"/>
    <m/>
    <m/>
    <m/>
    <m/>
    <s v="No"/>
    <n v="0"/>
    <n v="0"/>
    <m/>
    <m/>
    <m/>
    <m/>
    <m/>
    <m/>
    <m/>
    <m/>
    <m/>
    <m/>
    <m/>
    <m/>
    <n v="0"/>
    <m/>
    <m/>
    <m/>
    <m/>
    <x v="1"/>
    <x v="1"/>
    <m/>
    <m/>
    <m/>
    <m/>
    <m/>
    <m/>
    <m/>
    <m/>
    <m/>
    <m/>
    <x v="0"/>
    <m/>
    <m/>
    <m/>
    <m/>
    <s v="no test"/>
    <s v="no test"/>
    <x v="1"/>
    <n v="0"/>
    <n v="0"/>
    <n v="0"/>
    <n v="0"/>
    <n v="0"/>
    <n v="0"/>
    <n v="0"/>
    <n v="0"/>
    <n v="0"/>
    <n v="1"/>
    <n v="32"/>
    <n v="1"/>
    <n v="1"/>
    <n v="0"/>
    <n v="0"/>
    <n v="0"/>
    <n v="1"/>
    <n v="2"/>
    <n v="2"/>
    <n v="0"/>
    <n v="0"/>
    <n v="0"/>
    <n v="0"/>
    <n v="0"/>
    <n v="0"/>
    <n v="0"/>
    <n v="0"/>
    <n v="1"/>
    <n v="0"/>
    <n v="0"/>
    <n v="0"/>
    <n v="0"/>
    <n v="0"/>
    <n v="0"/>
    <n v="0"/>
    <n v="0"/>
    <s v="uncovered"/>
    <x v="1"/>
    <x v="0"/>
    <x v="2"/>
    <x v="0"/>
    <n v="26.541930000000001"/>
    <n v="97.568836000000005"/>
    <s v="MMR001CMP206"/>
    <x v="1"/>
    <m/>
  </r>
  <r>
    <x v="2"/>
    <x v="5"/>
    <x v="0"/>
    <x v="11"/>
    <x v="138"/>
    <n v="42"/>
    <n v="205"/>
    <m/>
    <s v="UNICEF"/>
    <d v="2018-12-31T00:00:00"/>
    <n v="0"/>
    <s v="Yes"/>
    <n v="0.2"/>
    <n v="0.2"/>
    <n v="0"/>
    <n v="0"/>
    <n v="2000"/>
    <n v="0"/>
    <n v="0"/>
    <m/>
    <n v="0"/>
    <n v="0"/>
    <n v="0"/>
    <n v="0"/>
    <n v="0"/>
    <s v="Need to be construction Tube well"/>
    <n v="2"/>
    <n v="0"/>
    <n v="0"/>
    <m/>
    <n v="0"/>
    <x v="0"/>
    <x v="2"/>
    <n v="0"/>
    <n v="0"/>
    <m/>
    <n v="0"/>
    <s v="Communal"/>
    <n v="0"/>
    <n v="1"/>
    <n v="2"/>
    <n v="0"/>
    <n v="0"/>
    <x v="1"/>
    <m/>
    <m/>
    <m/>
    <m/>
    <s v="no test"/>
    <s v="no test"/>
    <x v="1"/>
    <n v="0.65040650406504075"/>
    <n v="0.65040650406504075"/>
    <n v="0.65040650406504075"/>
    <n v="133.33333333333334"/>
    <n v="0"/>
    <n v="0"/>
    <n v="0.65040650406504075"/>
    <n v="133.33333333333334"/>
    <n v="0.26666666666666666"/>
    <n v="0.34959349593495925"/>
    <n v="71.666666666666643"/>
    <n v="0.73333333333333339"/>
    <n v="1"/>
    <n v="2"/>
    <n v="0.1951219512195122"/>
    <n v="40"/>
    <n v="0.78048780487804881"/>
    <n v="8"/>
    <n v="10"/>
    <n v="0"/>
    <n v="0"/>
    <n v="205"/>
    <n v="0"/>
    <n v="1"/>
    <n v="0"/>
    <n v="0"/>
    <n v="0"/>
    <n v="1"/>
    <n v="1"/>
    <n v="0"/>
    <n v="0"/>
    <n v="0"/>
    <n v="0"/>
    <n v="0"/>
    <n v="0"/>
    <n v="0"/>
    <s v="uncovered"/>
    <x v="1"/>
    <x v="0"/>
    <x v="2"/>
    <x v="0"/>
    <n v="0"/>
    <n v="0"/>
    <s v="MMR001CMP252"/>
    <x v="0"/>
    <m/>
  </r>
  <r>
    <x v="2"/>
    <x v="5"/>
    <x v="0"/>
    <x v="11"/>
    <x v="139"/>
    <n v="36"/>
    <n v="152"/>
    <m/>
    <s v="UNICEF"/>
    <d v="2018-12-31T00:00:00"/>
    <n v="0"/>
    <s v="Yes"/>
    <n v="0.2"/>
    <n v="0.2"/>
    <n v="0"/>
    <n v="0"/>
    <n v="0"/>
    <n v="0"/>
    <n v="0"/>
    <m/>
    <n v="0"/>
    <n v="0"/>
    <n v="0"/>
    <n v="0"/>
    <n v="0"/>
    <s v="Need to be construction Tube well"/>
    <n v="2"/>
    <n v="0"/>
    <n v="0"/>
    <m/>
    <n v="0"/>
    <x v="0"/>
    <x v="2"/>
    <n v="0"/>
    <n v="0"/>
    <m/>
    <n v="0"/>
    <s v="Communal"/>
    <n v="0"/>
    <n v="2"/>
    <n v="1"/>
    <n v="0"/>
    <n v="0"/>
    <x v="1"/>
    <m/>
    <m/>
    <m/>
    <m/>
    <s v="no test"/>
    <s v="no test"/>
    <x v="1"/>
    <n v="0"/>
    <n v="0"/>
    <n v="0"/>
    <n v="0"/>
    <n v="0"/>
    <n v="0"/>
    <n v="0"/>
    <n v="0"/>
    <n v="0"/>
    <n v="1"/>
    <n v="152"/>
    <n v="1"/>
    <n v="1"/>
    <n v="2"/>
    <n v="0.26315789473684209"/>
    <n v="40"/>
    <n v="0.78947368421052633"/>
    <n v="6"/>
    <n v="8"/>
    <n v="0"/>
    <n v="0"/>
    <n v="152"/>
    <n v="0"/>
    <n v="1"/>
    <n v="0"/>
    <n v="0"/>
    <n v="0"/>
    <n v="1"/>
    <n v="1"/>
    <n v="0"/>
    <n v="0"/>
    <n v="0"/>
    <n v="0"/>
    <n v="0"/>
    <n v="0"/>
    <n v="0"/>
    <s v="uncovered"/>
    <x v="1"/>
    <x v="0"/>
    <x v="2"/>
    <x v="0"/>
    <n v="0"/>
    <n v="0"/>
    <s v="MMR001CMP254"/>
    <x v="0"/>
    <m/>
  </r>
  <r>
    <x v="2"/>
    <x v="5"/>
    <x v="0"/>
    <x v="11"/>
    <x v="140"/>
    <n v="127"/>
    <n v="450"/>
    <m/>
    <s v="UNICEF"/>
    <d v="2018-12-31T00:00:00"/>
    <n v="0"/>
    <s v="Yes"/>
    <n v="0.2"/>
    <n v="0.2"/>
    <n v="0"/>
    <n v="0"/>
    <n v="2000"/>
    <n v="0"/>
    <n v="0"/>
    <m/>
    <n v="0"/>
    <n v="0"/>
    <n v="0"/>
    <n v="0"/>
    <n v="0"/>
    <s v="Need to be construction Tube well"/>
    <n v="5"/>
    <n v="0"/>
    <n v="0"/>
    <m/>
    <n v="0"/>
    <x v="0"/>
    <x v="2"/>
    <n v="0"/>
    <n v="0"/>
    <m/>
    <n v="0"/>
    <s v="Communal"/>
    <n v="0"/>
    <n v="2"/>
    <n v="2"/>
    <n v="0"/>
    <n v="0"/>
    <x v="1"/>
    <m/>
    <m/>
    <m/>
    <m/>
    <s v="no test"/>
    <s v="no test"/>
    <x v="1"/>
    <n v="0.29629629629629634"/>
    <n v="0.29629629629629634"/>
    <n v="0.29629629629629634"/>
    <n v="133.33333333333334"/>
    <n v="0"/>
    <n v="0"/>
    <n v="0.29629629629629634"/>
    <n v="133.33333333333334"/>
    <n v="0.26666666666666666"/>
    <n v="0.70370370370370372"/>
    <n v="316.66666666666669"/>
    <n v="0.73333333333333339"/>
    <n v="1"/>
    <n v="5"/>
    <n v="0.22222222222222221"/>
    <n v="100"/>
    <n v="0.8"/>
    <n v="18"/>
    <n v="23"/>
    <n v="0"/>
    <n v="0"/>
    <n v="450"/>
    <n v="0"/>
    <n v="1"/>
    <n v="0"/>
    <n v="0"/>
    <n v="0"/>
    <n v="1"/>
    <n v="1"/>
    <n v="0"/>
    <n v="0"/>
    <n v="0"/>
    <n v="0"/>
    <n v="0"/>
    <n v="0"/>
    <n v="0"/>
    <s v="uncovered"/>
    <x v="1"/>
    <x v="0"/>
    <x v="0"/>
    <x v="0"/>
    <n v="0"/>
    <n v="0"/>
    <s v="MMR001CMP253"/>
    <x v="0"/>
    <m/>
  </r>
  <r>
    <x v="2"/>
    <x v="5"/>
    <x v="0"/>
    <x v="11"/>
    <x v="141"/>
    <n v="31"/>
    <n v="129"/>
    <m/>
    <s v="UNICEF"/>
    <d v="2018-12-31T00:00:00"/>
    <n v="0"/>
    <s v="Yes"/>
    <n v="0.2"/>
    <n v="0.2"/>
    <n v="0"/>
    <n v="0"/>
    <n v="3000"/>
    <n v="0"/>
    <n v="0"/>
    <m/>
    <n v="0"/>
    <n v="0"/>
    <n v="0"/>
    <n v="0"/>
    <n v="0"/>
    <s v="Need to be construction Tube well"/>
    <n v="5"/>
    <n v="0"/>
    <n v="0"/>
    <m/>
    <n v="0"/>
    <x v="0"/>
    <x v="2"/>
    <n v="0"/>
    <n v="0"/>
    <m/>
    <n v="0"/>
    <s v="Communal"/>
    <n v="0"/>
    <n v="2"/>
    <n v="1"/>
    <n v="0"/>
    <n v="0"/>
    <x v="1"/>
    <m/>
    <m/>
    <m/>
    <m/>
    <s v="no test"/>
    <s v="no test"/>
    <x v="1"/>
    <n v="1"/>
    <n v="1"/>
    <n v="1"/>
    <n v="129"/>
    <n v="0"/>
    <n v="0"/>
    <n v="1"/>
    <n v="129"/>
    <n v="0.25800000000000001"/>
    <n v="0"/>
    <n v="0"/>
    <n v="0.74199999999999999"/>
    <n v="1"/>
    <n v="5"/>
    <n v="0.77519379844961245"/>
    <n v="100"/>
    <n v="0.15503875968992248"/>
    <n v="1"/>
    <n v="6"/>
    <n v="0"/>
    <n v="0"/>
    <n v="129"/>
    <n v="0"/>
    <n v="1"/>
    <n v="0"/>
    <n v="0"/>
    <n v="0"/>
    <n v="1"/>
    <n v="1"/>
    <n v="0"/>
    <n v="0"/>
    <n v="0"/>
    <n v="0"/>
    <n v="0"/>
    <n v="0"/>
    <n v="0"/>
    <s v="uncovered"/>
    <x v="1"/>
    <x v="0"/>
    <x v="2"/>
    <x v="0"/>
    <n v="0"/>
    <n v="0"/>
    <s v="MMR001CMP251"/>
    <x v="0"/>
    <m/>
  </r>
  <r>
    <x v="2"/>
    <x v="5"/>
    <x v="0"/>
    <x v="12"/>
    <x v="142"/>
    <n v="130"/>
    <n v="527"/>
    <m/>
    <s v="DFID/UNICEF"/>
    <d v="2018-12-31T00:00:00"/>
    <n v="0"/>
    <s v="Yes"/>
    <n v="0.6"/>
    <n v="0.3"/>
    <n v="0"/>
    <n v="0"/>
    <n v="10000"/>
    <n v="0"/>
    <n v="6"/>
    <m/>
    <n v="0"/>
    <n v="0"/>
    <n v="0"/>
    <n v="0"/>
    <n v="0"/>
    <m/>
    <n v="90"/>
    <n v="0"/>
    <n v="0"/>
    <m/>
    <n v="25"/>
    <x v="0"/>
    <x v="2"/>
    <n v="0"/>
    <n v="0"/>
    <m/>
    <n v="0"/>
    <s v="Communal"/>
    <n v="0"/>
    <n v="2"/>
    <n v="2"/>
    <n v="0"/>
    <n v="0"/>
    <x v="1"/>
    <m/>
    <m/>
    <m/>
    <m/>
    <s v="no test"/>
    <s v="no test"/>
    <x v="1"/>
    <n v="1"/>
    <n v="1"/>
    <n v="1"/>
    <n v="527"/>
    <n v="0"/>
    <n v="0"/>
    <n v="1"/>
    <n v="527"/>
    <n v="1.054"/>
    <n v="0"/>
    <n v="0"/>
    <n v="0"/>
    <n v="1"/>
    <n v="90"/>
    <n v="1"/>
    <n v="527"/>
    <n v="0"/>
    <n v="0"/>
    <n v="26"/>
    <n v="0"/>
    <n v="0"/>
    <n v="527"/>
    <n v="0"/>
    <n v="1"/>
    <n v="0"/>
    <n v="0"/>
    <n v="0"/>
    <n v="1"/>
    <n v="1"/>
    <n v="0"/>
    <n v="0"/>
    <n v="0"/>
    <n v="0"/>
    <n v="0"/>
    <n v="0"/>
    <s v="Yes"/>
    <s v="KMSS-MYT"/>
    <x v="1"/>
    <x v="0"/>
    <x v="0"/>
    <x v="1"/>
    <n v="25.220278"/>
    <n v="97.915833000000006"/>
    <s v="MMR001CMP113"/>
    <x v="0"/>
    <m/>
  </r>
  <r>
    <x v="2"/>
    <x v="2"/>
    <x v="0"/>
    <x v="12"/>
    <x v="143"/>
    <n v="62"/>
    <n v="410"/>
    <m/>
    <m/>
    <m/>
    <n v="0"/>
    <s v="No"/>
    <n v="0"/>
    <n v="0"/>
    <n v="0"/>
    <n v="2"/>
    <m/>
    <m/>
    <n v="0"/>
    <m/>
    <m/>
    <m/>
    <m/>
    <m/>
    <m/>
    <m/>
    <n v="10"/>
    <m/>
    <m/>
    <m/>
    <n v="0"/>
    <x v="1"/>
    <x v="1"/>
    <m/>
    <m/>
    <m/>
    <n v="1"/>
    <s v="Both"/>
    <n v="0"/>
    <n v="3"/>
    <n v="3"/>
    <m/>
    <m/>
    <x v="0"/>
    <m/>
    <m/>
    <m/>
    <m/>
    <s v="no test"/>
    <s v="no test"/>
    <x v="1"/>
    <n v="1"/>
    <n v="1"/>
    <n v="1"/>
    <n v="410"/>
    <n v="0"/>
    <n v="0"/>
    <n v="1"/>
    <n v="410"/>
    <n v="0.82"/>
    <n v="0"/>
    <n v="0"/>
    <n v="0.18000000000000005"/>
    <n v="1"/>
    <n v="10"/>
    <n v="0.48780487804878048"/>
    <n v="200"/>
    <n v="0.53658536585365857"/>
    <n v="11"/>
    <n v="21"/>
    <n v="0"/>
    <n v="0"/>
    <n v="410"/>
    <n v="0"/>
    <n v="1"/>
    <n v="0"/>
    <n v="0"/>
    <n v="0"/>
    <n v="1"/>
    <n v="1"/>
    <n v="0"/>
    <n v="0"/>
    <n v="0"/>
    <n v="0"/>
    <n v="0"/>
    <n v="62"/>
    <n v="0"/>
    <s v="uncovered"/>
    <x v="1"/>
    <x v="0"/>
    <x v="2"/>
    <x v="0"/>
    <n v="25.305008999999998"/>
    <n v="97.430321000000006"/>
    <s v="MMR001CMP248"/>
    <x v="1"/>
    <m/>
  </r>
  <r>
    <x v="2"/>
    <x v="4"/>
    <x v="0"/>
    <x v="12"/>
    <x v="144"/>
    <n v="103"/>
    <n v="503"/>
    <m/>
    <s v="OFDA"/>
    <d v="2017-07-31T00:00:00"/>
    <n v="0"/>
    <s v="Yes"/>
    <n v="1"/>
    <n v="1"/>
    <n v="2"/>
    <n v="0"/>
    <n v="2000"/>
    <n v="0"/>
    <n v="2"/>
    <m/>
    <n v="0"/>
    <n v="0"/>
    <n v="0"/>
    <n v="0"/>
    <n v="0"/>
    <m/>
    <n v="16"/>
    <n v="6"/>
    <n v="4"/>
    <m/>
    <n v="16"/>
    <x v="0"/>
    <x v="2"/>
    <n v="0"/>
    <n v="0"/>
    <m/>
    <n v="0.5"/>
    <s v="Communal"/>
    <n v="0"/>
    <n v="4"/>
    <n v="0"/>
    <n v="0"/>
    <n v="0"/>
    <x v="0"/>
    <m/>
    <m/>
    <m/>
    <m/>
    <s v="no test"/>
    <s v="no test"/>
    <x v="1"/>
    <n v="1"/>
    <n v="1"/>
    <n v="1"/>
    <n v="503"/>
    <n v="0"/>
    <n v="0"/>
    <n v="1"/>
    <n v="503"/>
    <n v="1.006"/>
    <n v="0"/>
    <n v="0"/>
    <n v="0"/>
    <n v="1"/>
    <n v="22"/>
    <n v="0.63618290258449306"/>
    <n v="320"/>
    <n v="0.11928429423459246"/>
    <n v="3"/>
    <n v="25"/>
    <n v="0.27272727272727271"/>
    <n v="80"/>
    <n v="0"/>
    <n v="0"/>
    <n v="0"/>
    <n v="0"/>
    <n v="0"/>
    <n v="0"/>
    <n v="1"/>
    <n v="0"/>
    <n v="0"/>
    <n v="0"/>
    <n v="0"/>
    <n v="0"/>
    <n v="0"/>
    <n v="51.5"/>
    <s v="Yes"/>
    <s v="Shalom"/>
    <x v="1"/>
    <x v="0"/>
    <x v="0"/>
    <x v="0"/>
    <n v="25.321710740740698"/>
    <n v="97.404195925926004"/>
    <s v="MMR001CMP028"/>
    <x v="0"/>
    <m/>
  </r>
  <r>
    <x v="2"/>
    <x v="3"/>
    <x v="0"/>
    <x v="12"/>
    <x v="145"/>
    <n v="154"/>
    <n v="903"/>
    <m/>
    <s v="ADRA/CANADA"/>
    <s v="31-01-2018"/>
    <n v="0"/>
    <s v="Yes"/>
    <n v="0.6"/>
    <n v="0.5"/>
    <n v="0"/>
    <n v="0"/>
    <n v="116640"/>
    <n v="0"/>
    <n v="0"/>
    <m/>
    <n v="0"/>
    <n v="0"/>
    <n v="0"/>
    <n v="0"/>
    <n v="0"/>
    <m/>
    <n v="50"/>
    <n v="0"/>
    <n v="0"/>
    <m/>
    <n v="0"/>
    <x v="0"/>
    <x v="0"/>
    <m/>
    <m/>
    <m/>
    <n v="0.6"/>
    <s v="Both"/>
    <n v="0"/>
    <n v="4"/>
    <n v="3"/>
    <n v="0"/>
    <n v="0"/>
    <x v="0"/>
    <m/>
    <m/>
    <m/>
    <m/>
    <s v="no test"/>
    <s v="no test"/>
    <x v="1"/>
    <n v="1"/>
    <n v="1"/>
    <n v="1"/>
    <n v="903"/>
    <n v="0"/>
    <n v="0"/>
    <n v="1"/>
    <n v="903"/>
    <n v="1.806"/>
    <n v="0"/>
    <n v="0"/>
    <n v="0.19399999999999995"/>
    <n v="2"/>
    <n v="50"/>
    <n v="1"/>
    <n v="903"/>
    <n v="0"/>
    <n v="0"/>
    <n v="45"/>
    <n v="0"/>
    <n v="0"/>
    <n v="903"/>
    <n v="0"/>
    <n v="1"/>
    <n v="0"/>
    <n v="0"/>
    <n v="0"/>
    <n v="1"/>
    <n v="1"/>
    <n v="0"/>
    <n v="0"/>
    <n v="0"/>
    <n v="0"/>
    <n v="0"/>
    <n v="92.399999999999991"/>
    <s v="Yes"/>
    <s v="KBC"/>
    <x v="1"/>
    <x v="0"/>
    <x v="0"/>
    <x v="1"/>
    <n v="25.200333000000001"/>
    <n v="97.807182999999995"/>
    <s v="MMR001CMP115"/>
    <x v="0"/>
    <m/>
  </r>
  <r>
    <x v="2"/>
    <x v="1"/>
    <x v="0"/>
    <x v="12"/>
    <x v="146"/>
    <n v="144"/>
    <n v="862"/>
    <m/>
    <s v="WHH-BMZ,WHH-AA"/>
    <d v="2018-06-30T00:00:00"/>
    <n v="0"/>
    <s v="Yes"/>
    <n v="0.5"/>
    <n v="0.5"/>
    <n v="0"/>
    <n v="0"/>
    <n v="5172"/>
    <n v="0"/>
    <n v="0"/>
    <m/>
    <m/>
    <m/>
    <m/>
    <m/>
    <m/>
    <n v="0"/>
    <n v="20"/>
    <n v="0"/>
    <m/>
    <m/>
    <n v="0"/>
    <x v="0"/>
    <x v="0"/>
    <m/>
    <m/>
    <n v="0"/>
    <n v="1"/>
    <s v="Communal"/>
    <n v="0"/>
    <n v="0"/>
    <n v="0"/>
    <m/>
    <m/>
    <x v="0"/>
    <m/>
    <m/>
    <m/>
    <n v="0"/>
    <s v="no test"/>
    <s v="no test"/>
    <x v="1"/>
    <n v="0.4"/>
    <n v="0.4"/>
    <n v="0.4"/>
    <n v="344.8"/>
    <n v="0"/>
    <n v="0"/>
    <n v="0.4"/>
    <n v="344.8"/>
    <n v="0.68959999999999999"/>
    <n v="0.6"/>
    <n v="517.19999999999993"/>
    <n v="1.3104"/>
    <n v="2"/>
    <n v="20"/>
    <n v="0.46403712296983757"/>
    <n v="400"/>
    <n v="0.53364269141531318"/>
    <n v="23"/>
    <n v="43"/>
    <n v="0"/>
    <n v="0"/>
    <n v="0"/>
    <n v="0"/>
    <n v="0"/>
    <n v="0"/>
    <n v="0"/>
    <n v="0"/>
    <n v="1"/>
    <n v="0"/>
    <n v="0"/>
    <n v="0"/>
    <n v="0"/>
    <n v="0"/>
    <n v="0"/>
    <n v="144"/>
    <n v="0"/>
    <s v="uncovered"/>
    <x v="1"/>
    <x v="0"/>
    <x v="5"/>
    <x v="1"/>
    <n v="24.752471"/>
    <n v="97.541793999999996"/>
    <s v="MMR001CMP208"/>
    <x v="0"/>
    <m/>
  </r>
  <r>
    <x v="2"/>
    <x v="3"/>
    <x v="0"/>
    <x v="12"/>
    <x v="147"/>
    <n v="31"/>
    <n v="178"/>
    <m/>
    <s v="Plan/GFFO,ADRA/CANADA  "/>
    <d v="2019-03-31T00:00:00"/>
    <n v="0"/>
    <s v="Yes"/>
    <n v="0.6"/>
    <n v="0.5"/>
    <n v="2"/>
    <n v="1"/>
    <n v="0"/>
    <n v="0"/>
    <n v="0"/>
    <m/>
    <n v="0"/>
    <n v="0"/>
    <n v="0"/>
    <n v="0"/>
    <n v="0"/>
    <m/>
    <n v="6"/>
    <n v="0"/>
    <n v="0"/>
    <m/>
    <n v="0"/>
    <x v="0"/>
    <x v="2"/>
    <m/>
    <m/>
    <m/>
    <n v="0.6"/>
    <s v="Both"/>
    <n v="0"/>
    <n v="3"/>
    <n v="1"/>
    <n v="0"/>
    <n v="0"/>
    <x v="0"/>
    <m/>
    <m/>
    <m/>
    <m/>
    <s v="no test"/>
    <s v="no test"/>
    <x v="1"/>
    <n v="1"/>
    <n v="1"/>
    <n v="1"/>
    <n v="178"/>
    <n v="0"/>
    <n v="0"/>
    <n v="1"/>
    <n v="178"/>
    <n v="0.35599999999999998"/>
    <n v="0"/>
    <n v="0"/>
    <n v="0.64400000000000002"/>
    <n v="1"/>
    <n v="6"/>
    <n v="0.6741573033707865"/>
    <n v="120"/>
    <n v="0.33707865168539325"/>
    <n v="3"/>
    <n v="9"/>
    <n v="0"/>
    <n v="0"/>
    <n v="178"/>
    <n v="0"/>
    <n v="1"/>
    <n v="0"/>
    <n v="0"/>
    <n v="0"/>
    <n v="1"/>
    <n v="1"/>
    <n v="0"/>
    <n v="0"/>
    <n v="0"/>
    <n v="0"/>
    <n v="0"/>
    <n v="18.599999999999998"/>
    <s v="Yes"/>
    <s v="KBC"/>
    <x v="1"/>
    <x v="0"/>
    <x v="0"/>
    <x v="0"/>
    <n v="25.356632000000001"/>
    <n v="97.451965000000001"/>
    <s v="MMR001CMP027"/>
    <x v="0"/>
    <m/>
  </r>
  <r>
    <x v="2"/>
    <x v="3"/>
    <x v="0"/>
    <x v="12"/>
    <x v="148"/>
    <n v="440"/>
    <n v="1723"/>
    <m/>
    <s v="Plan/GFFO,ADRA/CANADA  "/>
    <d v="2019-03-31T00:00:00"/>
    <n v="0"/>
    <s v="Yes"/>
    <n v="0.6"/>
    <n v="0.5"/>
    <n v="0"/>
    <n v="0"/>
    <n v="349920"/>
    <n v="0"/>
    <n v="0"/>
    <m/>
    <n v="0"/>
    <n v="0"/>
    <n v="0"/>
    <n v="0"/>
    <n v="0"/>
    <m/>
    <n v="500"/>
    <n v="0"/>
    <n v="0"/>
    <m/>
    <n v="0"/>
    <x v="0"/>
    <x v="0"/>
    <m/>
    <m/>
    <m/>
    <n v="0.6"/>
    <s v="Household"/>
    <n v="0"/>
    <n v="12"/>
    <n v="6"/>
    <n v="0"/>
    <n v="0"/>
    <x v="0"/>
    <m/>
    <m/>
    <m/>
    <m/>
    <s v="no test"/>
    <s v="no test"/>
    <x v="1"/>
    <n v="1"/>
    <n v="1"/>
    <n v="1"/>
    <n v="1723"/>
    <n v="0"/>
    <n v="0"/>
    <n v="1"/>
    <n v="1723"/>
    <n v="3.4460000000000002"/>
    <n v="0"/>
    <n v="0"/>
    <n v="0"/>
    <n v="3"/>
    <n v="500"/>
    <n v="1"/>
    <n v="1723"/>
    <n v="0"/>
    <n v="0"/>
    <n v="287"/>
    <n v="0"/>
    <n v="0"/>
    <n v="1723"/>
    <n v="0"/>
    <n v="1"/>
    <n v="0"/>
    <n v="0"/>
    <n v="0"/>
    <n v="1"/>
    <n v="1"/>
    <n v="0"/>
    <n v="0"/>
    <n v="0"/>
    <n v="0"/>
    <n v="0"/>
    <n v="264"/>
    <s v="Yes"/>
    <s v="KMSS-MYT"/>
    <x v="1"/>
    <x v="1"/>
    <x v="0"/>
    <x v="1"/>
    <n v="24.980250000000002"/>
    <n v="97.715230000000005"/>
    <s v="MMR001CMP119"/>
    <x v="0"/>
    <m/>
  </r>
  <r>
    <x v="2"/>
    <x v="4"/>
    <x v="0"/>
    <x v="12"/>
    <x v="149"/>
    <n v="333"/>
    <n v="1801"/>
    <m/>
    <s v="OFDA"/>
    <d v="2017-07-31T00:00:00"/>
    <n v="0"/>
    <s v="Yes"/>
    <n v="0.69"/>
    <n v="1"/>
    <n v="4"/>
    <n v="3"/>
    <n v="4000"/>
    <n v="0"/>
    <n v="4"/>
    <m/>
    <n v="0"/>
    <n v="0"/>
    <n v="0"/>
    <n v="0"/>
    <n v="0"/>
    <m/>
    <n v="29"/>
    <n v="6"/>
    <n v="9"/>
    <m/>
    <n v="29"/>
    <x v="0"/>
    <x v="0"/>
    <n v="0"/>
    <n v="0"/>
    <m/>
    <n v="0.5"/>
    <s v="Communal"/>
    <n v="0"/>
    <n v="7"/>
    <n v="0"/>
    <n v="0"/>
    <n v="0"/>
    <x v="0"/>
    <m/>
    <m/>
    <m/>
    <m/>
    <s v="no test"/>
    <s v="no test"/>
    <x v="1"/>
    <n v="1"/>
    <n v="1"/>
    <n v="1"/>
    <n v="1801"/>
    <n v="0"/>
    <n v="0"/>
    <n v="1"/>
    <n v="1801"/>
    <n v="3.6019999999999999"/>
    <n v="0"/>
    <n v="0"/>
    <n v="0.39800000000000013"/>
    <n v="4"/>
    <n v="35"/>
    <n v="0.32204330927262631"/>
    <n v="580"/>
    <n v="0.61077179344808441"/>
    <n v="55"/>
    <n v="90"/>
    <n v="0.17142857142857143"/>
    <n v="180"/>
    <n v="0"/>
    <n v="0"/>
    <n v="0"/>
    <n v="0"/>
    <n v="0"/>
    <n v="0"/>
    <n v="1"/>
    <n v="0"/>
    <n v="0"/>
    <n v="0"/>
    <n v="0"/>
    <n v="0"/>
    <n v="0"/>
    <n v="166.5"/>
    <s v="Yes"/>
    <s v="Shalom"/>
    <x v="1"/>
    <x v="0"/>
    <x v="0"/>
    <x v="0"/>
    <n v="25.424529444444399"/>
    <n v="97.433419259259296"/>
    <s v="MMR001CMP031"/>
    <x v="0"/>
    <m/>
  </r>
  <r>
    <x v="2"/>
    <x v="5"/>
    <x v="0"/>
    <x v="12"/>
    <x v="150"/>
    <n v="284"/>
    <n v="1492"/>
    <m/>
    <s v="DFID/UNICEF"/>
    <d v="2018-12-31T00:00:00"/>
    <n v="0"/>
    <s v="Yes"/>
    <n v="0.6"/>
    <n v="0.2"/>
    <n v="10"/>
    <n v="5"/>
    <n v="12000"/>
    <n v="0"/>
    <n v="10"/>
    <m/>
    <n v="10"/>
    <n v="1"/>
    <n v="9"/>
    <n v="2"/>
    <n v="0"/>
    <s v="Need to renovation Tube well"/>
    <n v="87"/>
    <n v="0"/>
    <n v="0"/>
    <m/>
    <n v="40"/>
    <x v="0"/>
    <x v="0"/>
    <n v="0"/>
    <n v="0"/>
    <m/>
    <n v="0"/>
    <s v="Communal"/>
    <n v="0"/>
    <n v="6"/>
    <n v="4"/>
    <n v="0"/>
    <n v="0"/>
    <x v="1"/>
    <m/>
    <m/>
    <m/>
    <m/>
    <n v="0.1"/>
    <n v="0.22222222222222221"/>
    <x v="0"/>
    <n v="1"/>
    <n v="1"/>
    <n v="1"/>
    <n v="1492"/>
    <n v="0"/>
    <n v="0"/>
    <n v="1"/>
    <n v="1492"/>
    <n v="2.984"/>
    <n v="0"/>
    <n v="0"/>
    <n v="1.6000000000000014E-2"/>
    <n v="3"/>
    <n v="87"/>
    <n v="1"/>
    <n v="1492"/>
    <n v="0"/>
    <n v="0"/>
    <n v="75"/>
    <n v="0"/>
    <n v="0"/>
    <n v="1492"/>
    <n v="0"/>
    <n v="1"/>
    <n v="0"/>
    <n v="0"/>
    <n v="0"/>
    <n v="1"/>
    <n v="1"/>
    <n v="0"/>
    <n v="0"/>
    <n v="0"/>
    <n v="0"/>
    <n v="0"/>
    <n v="0"/>
    <s v="Yes"/>
    <s v="KMSS-MYT"/>
    <x v="1"/>
    <x v="0"/>
    <x v="0"/>
    <x v="0"/>
    <n v="25.415667500000001"/>
    <n v="97.437782499999997"/>
    <s v="MMR001CMP029"/>
    <x v="0"/>
    <m/>
  </r>
  <r>
    <x v="2"/>
    <x v="3"/>
    <x v="0"/>
    <x v="12"/>
    <x v="151"/>
    <n v="499"/>
    <n v="2551"/>
    <m/>
    <s v="Plan/GFFO,ADRA/CANADA  "/>
    <d v="2019-03-31T00:00:00"/>
    <n v="0"/>
    <s v="Yes"/>
    <n v="0.6"/>
    <n v="0.5"/>
    <n v="9"/>
    <n v="0"/>
    <n v="0"/>
    <n v="0"/>
    <n v="0"/>
    <m/>
    <n v="0"/>
    <n v="0"/>
    <n v="0"/>
    <n v="0"/>
    <n v="0"/>
    <m/>
    <n v="130"/>
    <n v="0"/>
    <n v="0"/>
    <m/>
    <n v="0"/>
    <x v="0"/>
    <x v="0"/>
    <m/>
    <m/>
    <m/>
    <n v="0.6"/>
    <s v="Both"/>
    <n v="0"/>
    <n v="6"/>
    <n v="6"/>
    <n v="0"/>
    <n v="0"/>
    <x v="0"/>
    <m/>
    <m/>
    <m/>
    <m/>
    <s v="no test"/>
    <s v="no test"/>
    <x v="1"/>
    <n v="1"/>
    <n v="0.88200705605644847"/>
    <n v="1"/>
    <n v="2551"/>
    <n v="0"/>
    <n v="0"/>
    <n v="1"/>
    <n v="2551"/>
    <n v="5.1020000000000003"/>
    <n v="0"/>
    <n v="0"/>
    <n v="0"/>
    <n v="5"/>
    <n v="130"/>
    <n v="1"/>
    <n v="2551"/>
    <n v="0"/>
    <n v="0"/>
    <n v="128"/>
    <n v="0"/>
    <n v="0"/>
    <n v="2551"/>
    <n v="0"/>
    <n v="1"/>
    <n v="0"/>
    <n v="0"/>
    <n v="0"/>
    <n v="1"/>
    <n v="1"/>
    <n v="0"/>
    <n v="0"/>
    <n v="0"/>
    <n v="0"/>
    <n v="0"/>
    <n v="299.39999999999998"/>
    <s v="Yes"/>
    <s v="KBC"/>
    <x v="1"/>
    <x v="0"/>
    <x v="0"/>
    <x v="0"/>
    <n v="25.4118005797101"/>
    <n v="97.434855869565197"/>
    <s v="MMR001CMP040"/>
    <x v="0"/>
    <m/>
  </r>
  <r>
    <x v="2"/>
    <x v="3"/>
    <x v="0"/>
    <x v="12"/>
    <x v="152"/>
    <n v="46"/>
    <n v="193"/>
    <m/>
    <s v="Plan/GFFO,ADRA/CANADA  "/>
    <d v="2019-03-31T00:00:00"/>
    <n v="0"/>
    <s v="Yes"/>
    <n v="0.6"/>
    <n v="0.5"/>
    <n v="2"/>
    <n v="0"/>
    <n v="2000"/>
    <n v="0"/>
    <n v="0"/>
    <m/>
    <n v="0"/>
    <n v="0"/>
    <n v="0"/>
    <n v="0"/>
    <n v="0"/>
    <m/>
    <n v="10"/>
    <n v="0"/>
    <n v="0"/>
    <m/>
    <n v="0"/>
    <x v="0"/>
    <x v="0"/>
    <m/>
    <m/>
    <m/>
    <n v="0.6"/>
    <s v="Communal"/>
    <n v="0"/>
    <n v="2"/>
    <n v="1"/>
    <n v="0"/>
    <n v="0"/>
    <x v="0"/>
    <m/>
    <m/>
    <m/>
    <m/>
    <s v="no test"/>
    <s v="no test"/>
    <x v="1"/>
    <n v="1"/>
    <n v="1"/>
    <n v="1"/>
    <n v="193"/>
    <n v="0"/>
    <n v="0"/>
    <n v="1"/>
    <n v="193"/>
    <n v="0.38600000000000001"/>
    <n v="0"/>
    <n v="0"/>
    <n v="0.61399999999999999"/>
    <n v="1"/>
    <n v="10"/>
    <n v="1"/>
    <n v="193"/>
    <n v="0"/>
    <n v="0"/>
    <n v="10"/>
    <n v="0"/>
    <n v="0"/>
    <n v="193"/>
    <n v="0"/>
    <n v="1"/>
    <n v="0"/>
    <n v="0"/>
    <n v="0"/>
    <n v="1"/>
    <n v="1"/>
    <n v="0"/>
    <n v="0"/>
    <n v="0"/>
    <n v="0"/>
    <n v="0"/>
    <n v="27.599999999999998"/>
    <s v="Yes"/>
    <s v="KBC"/>
    <x v="1"/>
    <x v="0"/>
    <x v="0"/>
    <x v="0"/>
    <n v="25.409612685185198"/>
    <n v="97.426536944444507"/>
    <s v="MMR001CMP039"/>
    <x v="0"/>
    <m/>
  </r>
  <r>
    <x v="2"/>
    <x v="4"/>
    <x v="0"/>
    <x v="12"/>
    <x v="153"/>
    <n v="20"/>
    <n v="86"/>
    <m/>
    <s v="OFDA"/>
    <d v="2017-07-31T00:00:00"/>
    <n v="0"/>
    <s v="Yes"/>
    <n v="0.8"/>
    <n v="1"/>
    <n v="1"/>
    <n v="1"/>
    <n v="0"/>
    <n v="0"/>
    <n v="1"/>
    <m/>
    <n v="0"/>
    <n v="0"/>
    <n v="0"/>
    <n v="0"/>
    <n v="0"/>
    <m/>
    <n v="4"/>
    <n v="2"/>
    <n v="3"/>
    <m/>
    <n v="4"/>
    <x v="0"/>
    <x v="2"/>
    <n v="0"/>
    <n v="0"/>
    <m/>
    <n v="0.5"/>
    <s v="Communal"/>
    <n v="0"/>
    <n v="2"/>
    <n v="0"/>
    <n v="0"/>
    <n v="0"/>
    <x v="0"/>
    <m/>
    <m/>
    <m/>
    <m/>
    <s v="no test"/>
    <s v="no test"/>
    <x v="1"/>
    <n v="1"/>
    <n v="1"/>
    <n v="1"/>
    <n v="86"/>
    <n v="0"/>
    <n v="0"/>
    <n v="1"/>
    <n v="86"/>
    <n v="0.17199999999999999"/>
    <n v="0"/>
    <n v="0"/>
    <n v="0.82800000000000007"/>
    <n v="1"/>
    <n v="6"/>
    <n v="0.93023255813953487"/>
    <n v="80"/>
    <n v="0"/>
    <n v="0"/>
    <n v="4"/>
    <n v="0.33333333333333331"/>
    <n v="60"/>
    <n v="0"/>
    <n v="0"/>
    <n v="0"/>
    <n v="0"/>
    <n v="0"/>
    <n v="0"/>
    <n v="1"/>
    <n v="0"/>
    <n v="0"/>
    <n v="0"/>
    <n v="0"/>
    <n v="0"/>
    <n v="0"/>
    <n v="10"/>
    <s v="Yes"/>
    <s v="Shalom"/>
    <x v="1"/>
    <x v="0"/>
    <x v="0"/>
    <x v="0"/>
    <n v="25.351965"/>
    <n v="97.345039"/>
    <s v="MMR001CMP033"/>
    <x v="0"/>
    <m/>
  </r>
  <r>
    <x v="2"/>
    <x v="3"/>
    <x v="0"/>
    <x v="12"/>
    <x v="154"/>
    <n v="183"/>
    <n v="895"/>
    <m/>
    <s v="ADRA/CANADA"/>
    <s v="31-01-2018"/>
    <n v="0"/>
    <s v="Yes"/>
    <n v="0.6"/>
    <n v="0.5"/>
    <n v="0"/>
    <n v="0"/>
    <n v="194400"/>
    <n v="0"/>
    <n v="0"/>
    <m/>
    <n v="0"/>
    <n v="0"/>
    <n v="0"/>
    <n v="0"/>
    <n v="0"/>
    <m/>
    <n v="150"/>
    <n v="0"/>
    <n v="0"/>
    <m/>
    <n v="0"/>
    <x v="0"/>
    <x v="0"/>
    <m/>
    <m/>
    <m/>
    <n v="0.6"/>
    <s v="Household"/>
    <n v="150"/>
    <n v="4"/>
    <n v="3"/>
    <n v="0"/>
    <n v="0"/>
    <x v="0"/>
    <m/>
    <m/>
    <m/>
    <m/>
    <s v="no test"/>
    <s v="no test"/>
    <x v="1"/>
    <n v="1"/>
    <n v="1"/>
    <n v="1"/>
    <n v="895"/>
    <n v="0"/>
    <n v="0"/>
    <n v="1"/>
    <n v="895"/>
    <n v="1.79"/>
    <n v="0"/>
    <n v="0"/>
    <n v="0.20999999999999996"/>
    <n v="2"/>
    <n v="150"/>
    <n v="1"/>
    <n v="895"/>
    <n v="0"/>
    <n v="0"/>
    <n v="149"/>
    <n v="0"/>
    <n v="0"/>
    <n v="895"/>
    <n v="0"/>
    <n v="1"/>
    <n v="0"/>
    <n v="0"/>
    <n v="0"/>
    <n v="1"/>
    <n v="1"/>
    <n v="0"/>
    <n v="0"/>
    <n v="0"/>
    <n v="0"/>
    <n v="0"/>
    <n v="109.8"/>
    <s v="Yes"/>
    <s v="KBC"/>
    <x v="1"/>
    <x v="1"/>
    <x v="0"/>
    <x v="1"/>
    <n v="24.831944"/>
    <n v="97.751389000000003"/>
    <s v="MMR001CMP120"/>
    <x v="0"/>
    <m/>
  </r>
  <r>
    <x v="2"/>
    <x v="5"/>
    <x v="0"/>
    <x v="12"/>
    <x v="155"/>
    <n v="89"/>
    <n v="550"/>
    <m/>
    <s v="DFID/UNICEF"/>
    <d v="2018-12-31T00:00:00"/>
    <n v="0"/>
    <s v="Yes"/>
    <n v="0.5"/>
    <n v="0.1"/>
    <n v="0"/>
    <n v="0"/>
    <n v="10000"/>
    <n v="0"/>
    <n v="10"/>
    <m/>
    <n v="0"/>
    <n v="0"/>
    <n v="0"/>
    <n v="0"/>
    <n v="0"/>
    <m/>
    <n v="98"/>
    <n v="0"/>
    <n v="0"/>
    <m/>
    <n v="27"/>
    <x v="0"/>
    <x v="2"/>
    <n v="0"/>
    <n v="0"/>
    <m/>
    <n v="0"/>
    <s v="Communal"/>
    <n v="0"/>
    <n v="2"/>
    <n v="2"/>
    <n v="0"/>
    <n v="0"/>
    <x v="1"/>
    <m/>
    <m/>
    <m/>
    <m/>
    <s v="no test"/>
    <s v="no test"/>
    <x v="1"/>
    <n v="1"/>
    <n v="1"/>
    <n v="1"/>
    <n v="550"/>
    <n v="0"/>
    <n v="0"/>
    <n v="1"/>
    <n v="550"/>
    <n v="1.1000000000000001"/>
    <n v="0"/>
    <n v="0"/>
    <n v="0"/>
    <n v="1"/>
    <n v="98"/>
    <n v="1"/>
    <n v="550"/>
    <n v="0"/>
    <n v="0"/>
    <n v="28"/>
    <n v="0"/>
    <n v="0"/>
    <n v="550"/>
    <n v="0"/>
    <n v="1"/>
    <n v="0"/>
    <n v="0"/>
    <n v="0"/>
    <n v="1"/>
    <n v="1"/>
    <n v="0"/>
    <n v="0"/>
    <n v="0"/>
    <n v="0"/>
    <n v="0"/>
    <n v="0"/>
    <s v="Yes"/>
    <s v="KMSS-MYT"/>
    <x v="1"/>
    <x v="0"/>
    <x v="0"/>
    <x v="1"/>
    <n v="25.265277999999999"/>
    <n v="97.990555999999998"/>
    <s v="MMR001CMP160"/>
    <x v="0"/>
    <m/>
  </r>
  <r>
    <x v="2"/>
    <x v="4"/>
    <x v="0"/>
    <x v="12"/>
    <x v="156"/>
    <n v="115"/>
    <n v="460"/>
    <m/>
    <s v="OFDA"/>
    <d v="2017-07-31T00:00:00"/>
    <n v="0"/>
    <s v="Yes"/>
    <n v="0.6"/>
    <n v="1"/>
    <n v="5"/>
    <n v="0"/>
    <n v="1000"/>
    <n v="0"/>
    <n v="3"/>
    <m/>
    <n v="0"/>
    <n v="0"/>
    <n v="0"/>
    <n v="0"/>
    <n v="0"/>
    <m/>
    <n v="4"/>
    <n v="0"/>
    <n v="6"/>
    <m/>
    <n v="4"/>
    <x v="0"/>
    <x v="0"/>
    <n v="0"/>
    <n v="0"/>
    <m/>
    <n v="0.5"/>
    <s v="Communal"/>
    <n v="0"/>
    <n v="2"/>
    <n v="0"/>
    <n v="0"/>
    <n v="0"/>
    <x v="0"/>
    <m/>
    <m/>
    <m/>
    <m/>
    <s v="no test"/>
    <s v="no test"/>
    <x v="1"/>
    <n v="1"/>
    <n v="1"/>
    <n v="1"/>
    <n v="460"/>
    <n v="0"/>
    <n v="0"/>
    <n v="1"/>
    <n v="460"/>
    <n v="0.92"/>
    <n v="0"/>
    <n v="0"/>
    <n v="7.999999999999996E-2"/>
    <n v="1"/>
    <n v="4"/>
    <n v="0.17391304347826086"/>
    <n v="80"/>
    <n v="0.82608695652173914"/>
    <n v="19"/>
    <n v="23"/>
    <n v="0"/>
    <n v="120"/>
    <n v="0"/>
    <n v="0"/>
    <n v="0"/>
    <n v="0"/>
    <n v="0"/>
    <n v="0"/>
    <n v="1"/>
    <n v="0"/>
    <n v="0"/>
    <n v="0"/>
    <n v="0"/>
    <n v="0"/>
    <n v="0"/>
    <n v="57.5"/>
    <s v="Yes"/>
    <s v="Shalom"/>
    <x v="1"/>
    <x v="0"/>
    <x v="0"/>
    <x v="0"/>
    <n v="25.3540362037037"/>
    <n v="97.441166388888902"/>
    <s v="MMR001CMP032"/>
    <x v="0"/>
    <m/>
  </r>
  <r>
    <x v="2"/>
    <x v="3"/>
    <x v="0"/>
    <x v="12"/>
    <x v="157"/>
    <n v="64"/>
    <n v="322"/>
    <m/>
    <s v="Plan/GFFO,ADRA/CANADA  "/>
    <d v="2019-03-31T00:00:00"/>
    <n v="0"/>
    <s v="Yes"/>
    <n v="0.6"/>
    <n v="0.5"/>
    <n v="1"/>
    <n v="0"/>
    <n v="0"/>
    <n v="0"/>
    <n v="0"/>
    <m/>
    <n v="0"/>
    <n v="0"/>
    <n v="0"/>
    <n v="0"/>
    <n v="0"/>
    <m/>
    <n v="10"/>
    <n v="0"/>
    <n v="0"/>
    <m/>
    <n v="0"/>
    <x v="0"/>
    <x v="0"/>
    <m/>
    <m/>
    <m/>
    <n v="0.6"/>
    <s v="Communal"/>
    <n v="0"/>
    <n v="2"/>
    <n v="1"/>
    <n v="0"/>
    <n v="0"/>
    <x v="0"/>
    <m/>
    <m/>
    <m/>
    <m/>
    <s v="no test"/>
    <s v="no test"/>
    <x v="1"/>
    <n v="1"/>
    <n v="0.77639751552795033"/>
    <n v="1"/>
    <n v="322"/>
    <n v="0"/>
    <n v="0"/>
    <n v="1"/>
    <n v="322"/>
    <n v="0.64400000000000002"/>
    <n v="0"/>
    <n v="0"/>
    <n v="0.35599999999999998"/>
    <n v="1"/>
    <n v="10"/>
    <n v="0.6211180124223602"/>
    <n v="199.99999999999997"/>
    <n v="0.37267080745341613"/>
    <n v="6"/>
    <n v="16"/>
    <n v="0"/>
    <n v="0"/>
    <n v="322"/>
    <n v="0"/>
    <n v="1"/>
    <n v="0"/>
    <n v="0"/>
    <n v="0"/>
    <n v="1"/>
    <n v="1"/>
    <n v="0"/>
    <n v="0"/>
    <n v="0"/>
    <n v="0"/>
    <n v="0"/>
    <n v="38.4"/>
    <s v="Yes"/>
    <s v="KBC"/>
    <x v="1"/>
    <x v="0"/>
    <x v="0"/>
    <x v="0"/>
    <n v="25.351724999999998"/>
    <n v="97.438432380952406"/>
    <s v="MMR001CMP025"/>
    <x v="0"/>
    <m/>
  </r>
  <r>
    <x v="2"/>
    <x v="4"/>
    <x v="0"/>
    <x v="12"/>
    <x v="158"/>
    <n v="29"/>
    <n v="159"/>
    <m/>
    <s v="OFDA"/>
    <d v="2017-07-31T00:00:00"/>
    <n v="0"/>
    <s v="Yes"/>
    <n v="0.8"/>
    <n v="1"/>
    <n v="2"/>
    <n v="0"/>
    <n v="2000"/>
    <n v="0"/>
    <n v="2"/>
    <m/>
    <n v="0"/>
    <n v="0"/>
    <n v="0"/>
    <n v="0"/>
    <n v="0"/>
    <m/>
    <n v="3"/>
    <n v="1"/>
    <n v="9"/>
    <m/>
    <n v="3"/>
    <x v="0"/>
    <x v="2"/>
    <n v="0"/>
    <n v="0"/>
    <m/>
    <n v="0.5"/>
    <s v="Communal"/>
    <n v="0"/>
    <n v="5"/>
    <n v="0"/>
    <n v="0"/>
    <n v="0"/>
    <x v="0"/>
    <m/>
    <m/>
    <m/>
    <m/>
    <s v="no test"/>
    <s v="no test"/>
    <x v="1"/>
    <n v="1"/>
    <n v="1"/>
    <n v="1"/>
    <n v="159"/>
    <n v="0"/>
    <n v="0"/>
    <n v="1"/>
    <n v="159"/>
    <n v="0.318"/>
    <n v="0"/>
    <n v="0"/>
    <n v="0.68199999999999994"/>
    <n v="1"/>
    <n v="4"/>
    <n v="0.37735849056603776"/>
    <n v="60.000000000000007"/>
    <n v="0.50314465408805031"/>
    <n v="4"/>
    <n v="8"/>
    <n v="0.25"/>
    <n v="159"/>
    <n v="0"/>
    <n v="0"/>
    <n v="0"/>
    <n v="0"/>
    <n v="0"/>
    <n v="0"/>
    <n v="1"/>
    <n v="0"/>
    <n v="0"/>
    <n v="0"/>
    <n v="0"/>
    <n v="0"/>
    <n v="0"/>
    <n v="14.5"/>
    <s v="Yes"/>
    <s v="Shalom"/>
    <x v="1"/>
    <x v="0"/>
    <x v="0"/>
    <x v="0"/>
    <n v="25.345918166666699"/>
    <n v="97.437472666666693"/>
    <s v="MMR001CMP030"/>
    <x v="0"/>
    <m/>
  </r>
  <r>
    <x v="2"/>
    <x v="4"/>
    <x v="0"/>
    <x v="12"/>
    <x v="159"/>
    <n v="90"/>
    <n v="492"/>
    <m/>
    <s v="OFDA"/>
    <d v="2017-07-31T00:00:00"/>
    <n v="0"/>
    <s v="Yes"/>
    <n v="0.75"/>
    <n v="1"/>
    <n v="1"/>
    <n v="0"/>
    <n v="2000"/>
    <n v="0"/>
    <n v="3"/>
    <m/>
    <n v="0"/>
    <n v="0"/>
    <n v="0"/>
    <n v="0"/>
    <n v="0"/>
    <m/>
    <n v="16"/>
    <n v="3"/>
    <n v="6"/>
    <m/>
    <n v="16"/>
    <x v="0"/>
    <x v="0"/>
    <n v="0"/>
    <n v="0"/>
    <m/>
    <n v="0.5"/>
    <s v="Communal"/>
    <n v="0"/>
    <n v="4"/>
    <n v="0"/>
    <n v="0"/>
    <n v="0"/>
    <x v="0"/>
    <m/>
    <m/>
    <m/>
    <m/>
    <s v="no test"/>
    <s v="no test"/>
    <x v="1"/>
    <n v="1"/>
    <n v="0.77913279132791335"/>
    <n v="1"/>
    <n v="492"/>
    <n v="0"/>
    <n v="0"/>
    <n v="1"/>
    <n v="492"/>
    <n v="0.98399999999999999"/>
    <n v="0"/>
    <n v="0"/>
    <n v="1.6000000000000014E-2"/>
    <n v="1"/>
    <n v="19"/>
    <n v="0.65040650406504064"/>
    <n v="320"/>
    <n v="0.24390243902439024"/>
    <n v="6"/>
    <n v="25"/>
    <n v="0.15789473684210525"/>
    <n v="120"/>
    <n v="0"/>
    <n v="0"/>
    <n v="0"/>
    <n v="0"/>
    <n v="0"/>
    <n v="0"/>
    <n v="1"/>
    <n v="0"/>
    <n v="0"/>
    <n v="0"/>
    <n v="0"/>
    <n v="0"/>
    <n v="0"/>
    <n v="45"/>
    <s v="Yes"/>
    <s v="Shalom"/>
    <x v="1"/>
    <x v="0"/>
    <x v="3"/>
    <x v="0"/>
    <n v="25.350809000000002"/>
    <n v="97.432495000000003"/>
    <s v="MMR001CMP026"/>
    <x v="0"/>
    <m/>
  </r>
  <r>
    <x v="2"/>
    <x v="3"/>
    <x v="0"/>
    <x v="12"/>
    <x v="161"/>
    <n v="413"/>
    <n v="1893"/>
    <m/>
    <s v="Plan/GFFO,ADRA/CANADA  "/>
    <d v="2019-03-31T00:00:00"/>
    <n v="0"/>
    <s v="Yes"/>
    <n v="0.8"/>
    <n v="0.5"/>
    <n v="0"/>
    <n v="0"/>
    <n v="38880"/>
    <n v="0"/>
    <n v="0"/>
    <m/>
    <n v="0"/>
    <n v="0"/>
    <n v="0"/>
    <n v="0"/>
    <n v="0"/>
    <m/>
    <n v="413"/>
    <n v="0"/>
    <n v="0"/>
    <m/>
    <n v="0"/>
    <x v="0"/>
    <x v="0"/>
    <m/>
    <n v="30"/>
    <m/>
    <n v="1"/>
    <s v="Household"/>
    <n v="400"/>
    <n v="9"/>
    <n v="6"/>
    <n v="0"/>
    <n v="0"/>
    <x v="0"/>
    <m/>
    <m/>
    <m/>
    <m/>
    <s v="no test"/>
    <s v="no test"/>
    <x v="1"/>
    <n v="1"/>
    <n v="1"/>
    <n v="1"/>
    <n v="1893"/>
    <n v="0"/>
    <n v="0"/>
    <n v="1"/>
    <n v="1893"/>
    <n v="3.786"/>
    <n v="0"/>
    <n v="0"/>
    <n v="0.21399999999999997"/>
    <n v="4"/>
    <n v="413"/>
    <n v="1"/>
    <n v="1893"/>
    <n v="0"/>
    <n v="0"/>
    <n v="95"/>
    <n v="0"/>
    <n v="0"/>
    <n v="1893"/>
    <n v="0"/>
    <n v="1"/>
    <n v="0"/>
    <n v="0"/>
    <n v="0"/>
    <n v="1"/>
    <n v="1"/>
    <n v="0"/>
    <n v="0"/>
    <n v="0"/>
    <n v="0"/>
    <n v="0"/>
    <n v="413"/>
    <s v="Yes"/>
    <s v="KBC"/>
    <x v="1"/>
    <x v="0"/>
    <x v="0"/>
    <x v="1"/>
    <n v="0"/>
    <n v="0"/>
    <s v="MMR001CMP249"/>
    <x v="0"/>
    <m/>
  </r>
  <r>
    <x v="2"/>
    <x v="3"/>
    <x v="0"/>
    <x v="12"/>
    <x v="162"/>
    <n v="179"/>
    <n v="962"/>
    <m/>
    <s v="ADRA/CANADA"/>
    <s v="31-01-2018"/>
    <n v="0"/>
    <s v="Yes"/>
    <n v="0.6"/>
    <n v="0.5"/>
    <n v="0"/>
    <n v="0"/>
    <n v="272160"/>
    <n v="0"/>
    <n v="0"/>
    <m/>
    <n v="0"/>
    <n v="0"/>
    <n v="0"/>
    <n v="0"/>
    <n v="0"/>
    <m/>
    <n v="150"/>
    <n v="0"/>
    <n v="0"/>
    <m/>
    <n v="0"/>
    <x v="0"/>
    <x v="0"/>
    <m/>
    <m/>
    <m/>
    <n v="1"/>
    <s v="Both"/>
    <n v="0"/>
    <n v="4"/>
    <n v="3"/>
    <n v="0"/>
    <n v="0"/>
    <x v="0"/>
    <m/>
    <m/>
    <m/>
    <m/>
    <s v="no test"/>
    <s v="no test"/>
    <x v="1"/>
    <n v="1"/>
    <n v="1"/>
    <n v="1"/>
    <n v="962"/>
    <n v="0"/>
    <n v="0"/>
    <n v="1"/>
    <n v="962"/>
    <n v="1.9239999999999999"/>
    <n v="0"/>
    <n v="0"/>
    <n v="7.6000000000000068E-2"/>
    <n v="2"/>
    <n v="150"/>
    <n v="1"/>
    <n v="962"/>
    <n v="0"/>
    <n v="0"/>
    <n v="48"/>
    <n v="0"/>
    <n v="0"/>
    <n v="962"/>
    <n v="0"/>
    <n v="1"/>
    <n v="0"/>
    <n v="0"/>
    <n v="0"/>
    <n v="1"/>
    <n v="1"/>
    <n v="0"/>
    <n v="0"/>
    <n v="0"/>
    <n v="0"/>
    <n v="0"/>
    <n v="179"/>
    <s v="Yes"/>
    <s v="KBC"/>
    <x v="1"/>
    <x v="0"/>
    <x v="0"/>
    <x v="0"/>
    <n v="25.418084"/>
    <n v="98.025662999999994"/>
    <s v="MMR001CMP041"/>
    <x v="0"/>
    <m/>
  </r>
  <r>
    <x v="2"/>
    <x v="4"/>
    <x v="0"/>
    <x v="12"/>
    <x v="163"/>
    <n v="46"/>
    <n v="190"/>
    <m/>
    <s v="OFDA"/>
    <d v="2017-07-31T00:00:00"/>
    <n v="0"/>
    <s v="Yes"/>
    <n v="1"/>
    <n v="1"/>
    <n v="1"/>
    <n v="0"/>
    <n v="1000"/>
    <n v="0"/>
    <n v="2"/>
    <m/>
    <n v="0"/>
    <n v="0"/>
    <n v="0"/>
    <n v="0"/>
    <n v="0"/>
    <m/>
    <n v="4"/>
    <n v="2"/>
    <n v="2"/>
    <m/>
    <n v="4"/>
    <x v="0"/>
    <x v="0"/>
    <n v="0"/>
    <n v="0"/>
    <m/>
    <n v="0.5"/>
    <s v="Communal"/>
    <n v="0"/>
    <n v="2"/>
    <n v="0"/>
    <n v="0"/>
    <n v="0"/>
    <x v="0"/>
    <m/>
    <m/>
    <m/>
    <m/>
    <s v="no test"/>
    <s v="no test"/>
    <x v="1"/>
    <n v="1"/>
    <n v="1"/>
    <n v="1"/>
    <n v="190"/>
    <n v="0"/>
    <n v="0"/>
    <n v="1"/>
    <n v="190"/>
    <n v="0.38"/>
    <n v="0"/>
    <n v="0"/>
    <n v="0.62"/>
    <n v="1"/>
    <n v="6"/>
    <n v="0.42105263157894735"/>
    <n v="80"/>
    <n v="0.42105263157894735"/>
    <n v="4"/>
    <n v="10"/>
    <n v="0.33333333333333331"/>
    <n v="40"/>
    <n v="0"/>
    <n v="0"/>
    <n v="0"/>
    <n v="0"/>
    <n v="0"/>
    <n v="0"/>
    <n v="1"/>
    <n v="0"/>
    <n v="0"/>
    <n v="0"/>
    <n v="0"/>
    <n v="0"/>
    <n v="0"/>
    <n v="23"/>
    <s v="Yes"/>
    <s v="Shalom"/>
    <x v="1"/>
    <x v="0"/>
    <x v="0"/>
    <x v="0"/>
    <n v="25.333683333333301"/>
    <n v="97.428251153846105"/>
    <s v="MMR001CMP037"/>
    <x v="0"/>
    <m/>
  </r>
  <r>
    <x v="2"/>
    <x v="4"/>
    <x v="0"/>
    <x v="12"/>
    <x v="165"/>
    <n v="69"/>
    <n v="291"/>
    <m/>
    <s v="OFDA"/>
    <d v="2017-07-31T00:00:00"/>
    <n v="0"/>
    <s v="Yes"/>
    <n v="0.43"/>
    <n v="0"/>
    <n v="2"/>
    <n v="0"/>
    <n v="3000"/>
    <n v="0"/>
    <n v="4"/>
    <m/>
    <n v="0"/>
    <n v="0"/>
    <n v="0"/>
    <n v="0"/>
    <n v="0"/>
    <m/>
    <n v="8"/>
    <n v="1"/>
    <n v="0"/>
    <m/>
    <n v="8"/>
    <x v="0"/>
    <x v="2"/>
    <n v="0"/>
    <n v="0"/>
    <m/>
    <n v="0.5"/>
    <s v="Communal"/>
    <n v="0"/>
    <n v="4"/>
    <n v="0"/>
    <n v="0"/>
    <n v="0"/>
    <x v="0"/>
    <m/>
    <m/>
    <m/>
    <m/>
    <s v="no test"/>
    <s v="no test"/>
    <x v="1"/>
    <n v="1"/>
    <n v="1"/>
    <n v="1"/>
    <n v="291"/>
    <n v="0"/>
    <n v="0"/>
    <n v="1"/>
    <n v="291"/>
    <n v="0.58199999999999996"/>
    <n v="0"/>
    <n v="0"/>
    <n v="0.41800000000000004"/>
    <n v="1"/>
    <n v="9"/>
    <n v="0.54982817869415812"/>
    <n v="160"/>
    <n v="0.41237113402061853"/>
    <n v="6"/>
    <n v="15"/>
    <n v="0.1111111111111111"/>
    <n v="0"/>
    <n v="0"/>
    <n v="0"/>
    <n v="0"/>
    <n v="0"/>
    <n v="0"/>
    <n v="0"/>
    <n v="1"/>
    <n v="0"/>
    <n v="0"/>
    <n v="0"/>
    <n v="0"/>
    <n v="0"/>
    <n v="0"/>
    <n v="34.5"/>
    <s v="Yes"/>
    <s v="Shalom"/>
    <x v="1"/>
    <x v="0"/>
    <x v="0"/>
    <x v="0"/>
    <n v="25.351250396825399"/>
    <n v="97.444283730158702"/>
    <s v="MMR001CMP038"/>
    <x v="0"/>
    <m/>
  </r>
  <r>
    <x v="2"/>
    <x v="1"/>
    <x v="0"/>
    <x v="12"/>
    <x v="166"/>
    <n v="560"/>
    <n v="2902"/>
    <m/>
    <s v="WHH-BMZ,WHH-AA"/>
    <d v="2018-06-30T00:00:00"/>
    <n v="0"/>
    <s v="Yes"/>
    <n v="0.31"/>
    <n v="0.31"/>
    <n v="0"/>
    <n v="0"/>
    <n v="58040"/>
    <n v="0"/>
    <n v="0"/>
    <m/>
    <m/>
    <m/>
    <m/>
    <m/>
    <m/>
    <n v="0"/>
    <n v="78"/>
    <n v="8"/>
    <m/>
    <m/>
    <n v="1"/>
    <x v="0"/>
    <x v="0"/>
    <m/>
    <m/>
    <n v="0"/>
    <n v="0.99"/>
    <s v="Communal"/>
    <n v="0"/>
    <n v="5"/>
    <n v="5"/>
    <m/>
    <m/>
    <x v="0"/>
    <m/>
    <m/>
    <m/>
    <n v="0"/>
    <s v="no test"/>
    <s v="no test"/>
    <x v="1"/>
    <n v="1"/>
    <n v="1"/>
    <n v="1"/>
    <n v="2902"/>
    <n v="0"/>
    <n v="0"/>
    <n v="1"/>
    <n v="2902"/>
    <n v="5.8040000000000003"/>
    <n v="0"/>
    <n v="0"/>
    <n v="0.19599999999999973"/>
    <n v="6"/>
    <n v="86"/>
    <n v="0.53756030323914539"/>
    <n v="1560"/>
    <n v="0.4066161268090972"/>
    <n v="59"/>
    <n v="145"/>
    <n v="9.3023255813953487E-2"/>
    <n v="0"/>
    <n v="2500"/>
    <n v="0"/>
    <n v="1"/>
    <n v="0"/>
    <n v="0"/>
    <n v="0"/>
    <n v="1"/>
    <n v="0.86147484493452786"/>
    <n v="0"/>
    <n v="0"/>
    <n v="0"/>
    <n v="0"/>
    <n v="0"/>
    <n v="554.4"/>
    <s v="Yes"/>
    <s v="KMSS-MYT"/>
    <x v="1"/>
    <x v="0"/>
    <x v="0"/>
    <x v="1"/>
    <n v="24.755253"/>
    <n v="97.546893999999995"/>
    <s v="MMR001CMP116"/>
    <x v="0"/>
    <m/>
  </r>
  <r>
    <x v="2"/>
    <x v="1"/>
    <x v="0"/>
    <x v="12"/>
    <x v="167"/>
    <n v="134"/>
    <n v="709"/>
    <m/>
    <s v="WHH-BMZ,WHH-AA"/>
    <d v="2018-06-30T00:00:00"/>
    <n v="0"/>
    <s v="Yes"/>
    <n v="0.3"/>
    <n v="0.3"/>
    <n v="0"/>
    <n v="0"/>
    <n v="14180"/>
    <n v="0"/>
    <n v="0"/>
    <m/>
    <m/>
    <m/>
    <m/>
    <m/>
    <m/>
    <n v="0"/>
    <n v="44"/>
    <n v="0"/>
    <m/>
    <m/>
    <n v="1"/>
    <x v="0"/>
    <x v="2"/>
    <m/>
    <m/>
    <n v="0"/>
    <n v="1"/>
    <s v="Communal"/>
    <n v="0"/>
    <n v="7"/>
    <n v="0"/>
    <m/>
    <m/>
    <x v="0"/>
    <m/>
    <m/>
    <m/>
    <n v="0"/>
    <s v="no test"/>
    <s v="no test"/>
    <x v="1"/>
    <n v="1"/>
    <n v="1"/>
    <n v="1"/>
    <n v="709"/>
    <n v="0"/>
    <n v="0"/>
    <n v="1"/>
    <n v="709"/>
    <n v="1.4179999999999999"/>
    <n v="0"/>
    <n v="0"/>
    <n v="0"/>
    <n v="1"/>
    <n v="44"/>
    <n v="1"/>
    <n v="709"/>
    <n v="0"/>
    <n v="0"/>
    <n v="35"/>
    <n v="0"/>
    <n v="0"/>
    <n v="0"/>
    <n v="0"/>
    <n v="0"/>
    <n v="0"/>
    <n v="0"/>
    <n v="0"/>
    <n v="1"/>
    <n v="0"/>
    <n v="0"/>
    <n v="0"/>
    <n v="0"/>
    <n v="0"/>
    <n v="0"/>
    <n v="134"/>
    <n v="0"/>
    <n v="0"/>
    <x v="0"/>
    <x v="0"/>
    <x v="0"/>
    <x v="1"/>
    <n v="0"/>
    <n v="0"/>
    <n v="0"/>
    <x v="0"/>
    <m/>
  </r>
  <r>
    <x v="2"/>
    <x v="1"/>
    <x v="0"/>
    <x v="12"/>
    <x v="168"/>
    <n v="546"/>
    <n v="2550"/>
    <m/>
    <s v="WHH-BMZ,WHH-AA"/>
    <d v="2018-06-30T00:00:00"/>
    <n v="0"/>
    <s v="No"/>
    <n v="0"/>
    <n v="0"/>
    <n v="3"/>
    <n v="0"/>
    <n v="0"/>
    <n v="0"/>
    <n v="0"/>
    <m/>
    <m/>
    <m/>
    <m/>
    <m/>
    <m/>
    <n v="0"/>
    <n v="357"/>
    <n v="0"/>
    <m/>
    <m/>
    <n v="0"/>
    <x v="4"/>
    <x v="4"/>
    <m/>
    <m/>
    <n v="0"/>
    <n v="1"/>
    <m/>
    <n v="0"/>
    <n v="0"/>
    <n v="0"/>
    <m/>
    <m/>
    <x v="0"/>
    <m/>
    <m/>
    <m/>
    <n v="0"/>
    <s v="no test"/>
    <s v="no test"/>
    <x v="1"/>
    <n v="1"/>
    <n v="0.29411764705882354"/>
    <n v="1"/>
    <n v="2550"/>
    <n v="0"/>
    <n v="0"/>
    <n v="1"/>
    <n v="2550"/>
    <n v="5.0999999999999996"/>
    <n v="0"/>
    <n v="0"/>
    <n v="0"/>
    <n v="5"/>
    <n v="357"/>
    <n v="1"/>
    <n v="2550"/>
    <n v="0"/>
    <n v="0"/>
    <n v="128"/>
    <n v="0"/>
    <n v="0"/>
    <n v="0"/>
    <n v="0"/>
    <n v="0"/>
    <n v="0"/>
    <n v="0"/>
    <n v="0"/>
    <n v="1"/>
    <n v="0"/>
    <n v="0"/>
    <n v="0"/>
    <n v="0"/>
    <n v="0"/>
    <n v="0"/>
    <n v="546"/>
    <n v="0"/>
    <n v="0"/>
    <x v="0"/>
    <x v="0"/>
    <x v="1"/>
    <x v="1"/>
    <n v="0"/>
    <n v="0"/>
    <n v="0"/>
    <x v="0"/>
    <m/>
  </r>
  <r>
    <x v="2"/>
    <x v="10"/>
    <x v="1"/>
    <x v="13"/>
    <x v="169"/>
    <n v="68"/>
    <n v="342"/>
    <m/>
    <s v="BMZ"/>
    <d v="2019-05-01T00:00:00"/>
    <m/>
    <s v="Yes"/>
    <n v="0"/>
    <n v="0"/>
    <n v="0"/>
    <n v="0"/>
    <m/>
    <m/>
    <n v="0"/>
    <m/>
    <m/>
    <m/>
    <m/>
    <m/>
    <m/>
    <m/>
    <n v="0"/>
    <m/>
    <m/>
    <m/>
    <n v="0"/>
    <x v="1"/>
    <x v="1"/>
    <m/>
    <m/>
    <m/>
    <n v="0"/>
    <m/>
    <n v="0"/>
    <m/>
    <n v="0"/>
    <m/>
    <m/>
    <x v="0"/>
    <m/>
    <m/>
    <m/>
    <m/>
    <s v="no test"/>
    <s v="no test"/>
    <x v="1"/>
    <n v="0"/>
    <n v="0"/>
    <n v="0"/>
    <n v="0"/>
    <n v="0"/>
    <n v="0"/>
    <n v="0"/>
    <n v="0"/>
    <n v="0"/>
    <n v="1"/>
    <n v="342"/>
    <n v="1"/>
    <n v="1"/>
    <n v="0"/>
    <n v="0"/>
    <n v="0"/>
    <n v="1"/>
    <n v="57"/>
    <n v="57"/>
    <n v="0"/>
    <s v="N/A"/>
    <n v="0"/>
    <n v="0"/>
    <n v="0"/>
    <n v="0"/>
    <n v="0"/>
    <n v="0"/>
    <n v="1"/>
    <n v="0"/>
    <n v="0"/>
    <n v="0"/>
    <n v="0"/>
    <n v="0"/>
    <n v="0"/>
    <n v="0"/>
    <n v="0"/>
    <n v="0"/>
    <x v="2"/>
    <x v="2"/>
    <x v="6"/>
    <x v="2"/>
    <n v="19.726810455322301"/>
    <n v="94.0286865234375"/>
    <s v="199157"/>
    <x v="0"/>
    <m/>
  </r>
  <r>
    <x v="2"/>
    <x v="10"/>
    <x v="1"/>
    <x v="13"/>
    <x v="170"/>
    <n v="80"/>
    <n v="398"/>
    <m/>
    <s v="BMZ"/>
    <d v="2019-05-01T00:00:00"/>
    <m/>
    <s v="Yes"/>
    <n v="0"/>
    <n v="0"/>
    <n v="0"/>
    <n v="0"/>
    <m/>
    <m/>
    <n v="0"/>
    <m/>
    <m/>
    <m/>
    <m/>
    <m/>
    <m/>
    <m/>
    <n v="0"/>
    <m/>
    <m/>
    <m/>
    <n v="0"/>
    <x v="1"/>
    <x v="1"/>
    <m/>
    <m/>
    <m/>
    <n v="0"/>
    <m/>
    <n v="0"/>
    <m/>
    <n v="0"/>
    <m/>
    <m/>
    <x v="0"/>
    <m/>
    <m/>
    <m/>
    <m/>
    <s v="no test"/>
    <s v="no test"/>
    <x v="1"/>
    <n v="0"/>
    <n v="0"/>
    <n v="0"/>
    <n v="0"/>
    <n v="0"/>
    <n v="0"/>
    <n v="0"/>
    <n v="0"/>
    <n v="0"/>
    <n v="1"/>
    <n v="398"/>
    <n v="1"/>
    <n v="1"/>
    <n v="0"/>
    <n v="0"/>
    <n v="0"/>
    <n v="0.99497487437185939"/>
    <n v="66"/>
    <n v="66"/>
    <n v="0"/>
    <s v="N/A"/>
    <n v="0"/>
    <n v="0"/>
    <n v="0"/>
    <n v="0"/>
    <n v="0"/>
    <n v="0"/>
    <n v="1"/>
    <n v="0"/>
    <n v="0"/>
    <n v="0"/>
    <n v="0"/>
    <n v="0"/>
    <n v="0"/>
    <n v="0"/>
    <n v="0"/>
    <n v="0"/>
    <x v="2"/>
    <x v="2"/>
    <x v="6"/>
    <x v="3"/>
    <n v="19.9947109222412"/>
    <n v="93.836921691894503"/>
    <s v="199233"/>
    <x v="0"/>
    <m/>
  </r>
  <r>
    <x v="2"/>
    <x v="10"/>
    <x v="1"/>
    <x v="13"/>
    <x v="171"/>
    <n v="109"/>
    <n v="546"/>
    <m/>
    <s v="BMZ"/>
    <d v="2019-05-01T00:00:00"/>
    <m/>
    <s v="Yes"/>
    <n v="0"/>
    <n v="0"/>
    <n v="0"/>
    <n v="0"/>
    <m/>
    <m/>
    <n v="0"/>
    <m/>
    <m/>
    <m/>
    <m/>
    <m/>
    <m/>
    <m/>
    <n v="0"/>
    <m/>
    <m/>
    <m/>
    <n v="0"/>
    <x v="1"/>
    <x v="1"/>
    <m/>
    <m/>
    <m/>
    <n v="0"/>
    <m/>
    <n v="0"/>
    <m/>
    <n v="0"/>
    <m/>
    <m/>
    <x v="0"/>
    <m/>
    <m/>
    <m/>
    <m/>
    <s v="no test"/>
    <s v="no test"/>
    <x v="1"/>
    <n v="0"/>
    <n v="0"/>
    <n v="0"/>
    <n v="0"/>
    <n v="0"/>
    <n v="0"/>
    <n v="0"/>
    <n v="0"/>
    <n v="0"/>
    <n v="1"/>
    <n v="546"/>
    <n v="1"/>
    <n v="1"/>
    <n v="0"/>
    <n v="0"/>
    <n v="0"/>
    <n v="1"/>
    <n v="91"/>
    <n v="91"/>
    <n v="0"/>
    <s v="N/A"/>
    <n v="0"/>
    <n v="0"/>
    <n v="0"/>
    <n v="0"/>
    <n v="0"/>
    <n v="0"/>
    <n v="1"/>
    <n v="0"/>
    <n v="0"/>
    <n v="0"/>
    <n v="0"/>
    <n v="0"/>
    <n v="0"/>
    <n v="0"/>
    <n v="0"/>
    <n v="0"/>
    <x v="2"/>
    <x v="2"/>
    <x v="6"/>
    <x v="3"/>
    <n v="19.985679626464801"/>
    <n v="93.843322753906307"/>
    <s v="199235"/>
    <x v="0"/>
    <m/>
  </r>
  <r>
    <x v="2"/>
    <x v="10"/>
    <x v="1"/>
    <x v="13"/>
    <x v="172"/>
    <n v="157"/>
    <n v="786"/>
    <m/>
    <s v="BMZ"/>
    <d v="2019-05-01T00:00:00"/>
    <m/>
    <s v="Yes"/>
    <n v="0"/>
    <n v="0"/>
    <n v="0"/>
    <n v="0"/>
    <m/>
    <m/>
    <n v="0"/>
    <m/>
    <m/>
    <m/>
    <m/>
    <m/>
    <m/>
    <m/>
    <n v="0"/>
    <m/>
    <m/>
    <m/>
    <n v="0"/>
    <x v="1"/>
    <x v="1"/>
    <m/>
    <m/>
    <m/>
    <n v="0"/>
    <m/>
    <n v="0"/>
    <m/>
    <n v="0"/>
    <m/>
    <m/>
    <x v="0"/>
    <m/>
    <m/>
    <m/>
    <m/>
    <s v="no test"/>
    <s v="no test"/>
    <x v="1"/>
    <n v="0"/>
    <n v="0"/>
    <n v="0"/>
    <n v="0"/>
    <n v="0"/>
    <n v="0"/>
    <n v="0"/>
    <n v="0"/>
    <n v="0"/>
    <n v="1"/>
    <n v="786"/>
    <n v="2"/>
    <n v="2"/>
    <n v="0"/>
    <n v="0"/>
    <n v="0"/>
    <n v="1"/>
    <n v="131"/>
    <n v="131"/>
    <n v="0"/>
    <s v="N/A"/>
    <n v="0"/>
    <n v="0"/>
    <n v="0"/>
    <n v="0"/>
    <n v="0"/>
    <n v="0"/>
    <n v="1"/>
    <n v="0"/>
    <n v="0"/>
    <n v="0"/>
    <n v="0"/>
    <n v="0"/>
    <n v="0"/>
    <n v="0"/>
    <n v="0"/>
    <n v="0"/>
    <x v="2"/>
    <x v="2"/>
    <x v="6"/>
    <x v="3"/>
    <n v="19.988689422607401"/>
    <n v="93.842460632324205"/>
    <s v="199236"/>
    <x v="0"/>
    <m/>
  </r>
  <r>
    <x v="2"/>
    <x v="10"/>
    <x v="1"/>
    <x v="13"/>
    <x v="173"/>
    <n v="34"/>
    <n v="171"/>
    <m/>
    <s v="BMZ"/>
    <d v="2019-05-01T00:00:00"/>
    <m/>
    <s v="Yes"/>
    <n v="0"/>
    <n v="0"/>
    <n v="0"/>
    <n v="0"/>
    <m/>
    <m/>
    <n v="0"/>
    <m/>
    <m/>
    <m/>
    <m/>
    <m/>
    <m/>
    <m/>
    <n v="0"/>
    <m/>
    <m/>
    <m/>
    <n v="0"/>
    <x v="1"/>
    <x v="1"/>
    <m/>
    <m/>
    <m/>
    <n v="0"/>
    <m/>
    <n v="0"/>
    <m/>
    <n v="0"/>
    <m/>
    <m/>
    <x v="0"/>
    <m/>
    <m/>
    <m/>
    <m/>
    <s v="no test"/>
    <s v="no test"/>
    <x v="1"/>
    <n v="0"/>
    <n v="0"/>
    <n v="0"/>
    <n v="0"/>
    <n v="0"/>
    <n v="0"/>
    <n v="0"/>
    <n v="0"/>
    <n v="0"/>
    <n v="1"/>
    <n v="171"/>
    <n v="1"/>
    <n v="1"/>
    <n v="0"/>
    <n v="0"/>
    <n v="0"/>
    <n v="1"/>
    <n v="29"/>
    <n v="29"/>
    <n v="0"/>
    <s v="N/A"/>
    <n v="0"/>
    <n v="0"/>
    <n v="0"/>
    <n v="0"/>
    <n v="0"/>
    <n v="0"/>
    <n v="1"/>
    <n v="0"/>
    <n v="0"/>
    <n v="0"/>
    <n v="0"/>
    <n v="0"/>
    <n v="0"/>
    <n v="0"/>
    <n v="0"/>
    <n v="0"/>
    <x v="2"/>
    <x v="2"/>
    <x v="6"/>
    <x v="3"/>
    <n v="19.610979080200199"/>
    <n v="93.9847412109375"/>
    <s v="199264"/>
    <x v="0"/>
    <m/>
  </r>
  <r>
    <x v="2"/>
    <x v="10"/>
    <x v="1"/>
    <x v="13"/>
    <x v="174"/>
    <n v="55"/>
    <n v="273"/>
    <m/>
    <s v="BMZ"/>
    <d v="2019-05-01T00:00:00"/>
    <m/>
    <s v="Yes"/>
    <n v="0"/>
    <n v="0"/>
    <n v="0"/>
    <n v="0"/>
    <m/>
    <m/>
    <n v="0"/>
    <m/>
    <m/>
    <m/>
    <m/>
    <m/>
    <m/>
    <m/>
    <n v="0"/>
    <m/>
    <m/>
    <m/>
    <n v="0"/>
    <x v="1"/>
    <x v="1"/>
    <m/>
    <m/>
    <m/>
    <n v="0"/>
    <m/>
    <n v="0"/>
    <m/>
    <n v="0"/>
    <m/>
    <m/>
    <x v="0"/>
    <m/>
    <m/>
    <m/>
    <m/>
    <s v="no test"/>
    <s v="no test"/>
    <x v="1"/>
    <n v="0"/>
    <n v="0"/>
    <n v="0"/>
    <n v="0"/>
    <n v="0"/>
    <n v="0"/>
    <n v="0"/>
    <n v="0"/>
    <n v="0"/>
    <n v="1"/>
    <n v="273"/>
    <n v="1"/>
    <n v="1"/>
    <n v="0"/>
    <n v="0"/>
    <n v="0"/>
    <n v="1"/>
    <n v="46"/>
    <n v="46"/>
    <n v="0"/>
    <s v="N/A"/>
    <n v="0"/>
    <n v="0"/>
    <n v="0"/>
    <n v="0"/>
    <n v="0"/>
    <n v="0"/>
    <n v="1"/>
    <n v="0"/>
    <n v="0"/>
    <n v="0"/>
    <n v="0"/>
    <n v="0"/>
    <n v="0"/>
    <n v="0"/>
    <n v="0"/>
    <n v="0"/>
    <x v="2"/>
    <x v="2"/>
    <x v="6"/>
    <x v="3"/>
    <n v="19.721389770507798"/>
    <n v="94.019851684570298"/>
    <s v="199159"/>
    <x v="0"/>
    <m/>
  </r>
  <r>
    <x v="2"/>
    <x v="10"/>
    <x v="1"/>
    <x v="13"/>
    <x v="175"/>
    <n v="62"/>
    <n v="312"/>
    <m/>
    <s v="BMZ"/>
    <d v="2019-05-01T00:00:00"/>
    <m/>
    <s v="Yes"/>
    <n v="0"/>
    <n v="0"/>
    <n v="0"/>
    <n v="0"/>
    <m/>
    <m/>
    <n v="0"/>
    <m/>
    <m/>
    <m/>
    <m/>
    <m/>
    <m/>
    <m/>
    <n v="0"/>
    <m/>
    <m/>
    <m/>
    <n v="0"/>
    <x v="1"/>
    <x v="1"/>
    <m/>
    <m/>
    <m/>
    <n v="0"/>
    <m/>
    <n v="0"/>
    <m/>
    <n v="0"/>
    <m/>
    <m/>
    <x v="0"/>
    <m/>
    <m/>
    <m/>
    <m/>
    <s v="no test"/>
    <s v="no test"/>
    <x v="1"/>
    <n v="0"/>
    <n v="0"/>
    <n v="0"/>
    <n v="0"/>
    <n v="0"/>
    <n v="0"/>
    <n v="0"/>
    <n v="0"/>
    <n v="0"/>
    <n v="1"/>
    <n v="312"/>
    <n v="1"/>
    <n v="1"/>
    <n v="0"/>
    <n v="0"/>
    <n v="0"/>
    <n v="1"/>
    <n v="52"/>
    <n v="52"/>
    <n v="0"/>
    <s v="N/A"/>
    <n v="0"/>
    <n v="0"/>
    <n v="0"/>
    <n v="0"/>
    <n v="0"/>
    <n v="0"/>
    <n v="1"/>
    <n v="0"/>
    <n v="0"/>
    <n v="0"/>
    <n v="0"/>
    <n v="0"/>
    <n v="0"/>
    <n v="0"/>
    <n v="0"/>
    <n v="0"/>
    <x v="2"/>
    <x v="2"/>
    <x v="6"/>
    <x v="3"/>
    <n v="20.0087699890137"/>
    <n v="93.816879272460895"/>
    <s v="199240"/>
    <x v="0"/>
    <m/>
  </r>
  <r>
    <x v="2"/>
    <x v="10"/>
    <x v="1"/>
    <x v="13"/>
    <x v="176"/>
    <n v="135"/>
    <n v="674"/>
    <m/>
    <s v="BMZ"/>
    <d v="2019-05-01T00:00:00"/>
    <m/>
    <s v="Yes"/>
    <n v="0"/>
    <n v="0"/>
    <n v="0"/>
    <n v="0"/>
    <m/>
    <m/>
    <n v="0"/>
    <m/>
    <m/>
    <m/>
    <m/>
    <m/>
    <m/>
    <m/>
    <n v="0"/>
    <m/>
    <m/>
    <m/>
    <n v="0"/>
    <x v="1"/>
    <x v="1"/>
    <m/>
    <m/>
    <m/>
    <n v="0"/>
    <m/>
    <n v="0"/>
    <m/>
    <n v="0"/>
    <m/>
    <m/>
    <x v="0"/>
    <m/>
    <m/>
    <m/>
    <m/>
    <s v="no test"/>
    <s v="no test"/>
    <x v="1"/>
    <n v="0"/>
    <n v="0"/>
    <n v="0"/>
    <n v="0"/>
    <n v="0"/>
    <n v="0"/>
    <n v="0"/>
    <n v="0"/>
    <n v="0"/>
    <n v="1"/>
    <n v="674"/>
    <n v="1"/>
    <n v="1"/>
    <n v="0"/>
    <n v="0"/>
    <n v="0"/>
    <n v="0.9970326409495549"/>
    <n v="112"/>
    <n v="112"/>
    <n v="0"/>
    <s v="N/A"/>
    <n v="0"/>
    <n v="0"/>
    <n v="0"/>
    <n v="0"/>
    <n v="0"/>
    <n v="0"/>
    <n v="1"/>
    <n v="0"/>
    <n v="0"/>
    <n v="0"/>
    <n v="0"/>
    <n v="0"/>
    <n v="0"/>
    <n v="0"/>
    <n v="0"/>
    <n v="0"/>
    <x v="2"/>
    <x v="2"/>
    <x v="6"/>
    <x v="4"/>
    <n v="19.955690383911101"/>
    <n v="93.801551818847699"/>
    <s v="199134"/>
    <x v="0"/>
    <m/>
  </r>
  <r>
    <x v="2"/>
    <x v="10"/>
    <x v="1"/>
    <x v="13"/>
    <x v="177"/>
    <n v="75"/>
    <n v="373"/>
    <m/>
    <s v="BMZ"/>
    <d v="2019-05-01T00:00:00"/>
    <m/>
    <s v="Yes"/>
    <n v="0"/>
    <n v="0"/>
    <n v="0"/>
    <n v="0"/>
    <m/>
    <m/>
    <n v="0"/>
    <m/>
    <m/>
    <m/>
    <m/>
    <m/>
    <m/>
    <m/>
    <n v="0"/>
    <m/>
    <m/>
    <m/>
    <n v="0"/>
    <x v="1"/>
    <x v="1"/>
    <m/>
    <m/>
    <m/>
    <n v="0"/>
    <m/>
    <n v="0"/>
    <m/>
    <n v="0"/>
    <m/>
    <m/>
    <x v="0"/>
    <m/>
    <m/>
    <m/>
    <m/>
    <s v="no test"/>
    <s v="no test"/>
    <x v="1"/>
    <n v="0"/>
    <n v="0"/>
    <n v="0"/>
    <n v="0"/>
    <n v="0"/>
    <n v="0"/>
    <n v="0"/>
    <n v="0"/>
    <n v="0"/>
    <n v="1"/>
    <n v="373"/>
    <n v="1"/>
    <n v="1"/>
    <n v="0"/>
    <n v="0"/>
    <n v="0"/>
    <n v="0.99731903485254692"/>
    <n v="62"/>
    <n v="62"/>
    <n v="0"/>
    <s v="N/A"/>
    <n v="0"/>
    <n v="0"/>
    <n v="0"/>
    <n v="0"/>
    <n v="0"/>
    <n v="0"/>
    <n v="1"/>
    <n v="0"/>
    <n v="0"/>
    <n v="0"/>
    <n v="0"/>
    <n v="0"/>
    <n v="0"/>
    <n v="0"/>
    <n v="0"/>
    <n v="0"/>
    <x v="2"/>
    <x v="2"/>
    <x v="6"/>
    <x v="2"/>
    <n v="19.7062797546387"/>
    <n v="94.016433715820298"/>
    <s v="199161"/>
    <x v="0"/>
    <m/>
  </r>
  <r>
    <x v="2"/>
    <x v="10"/>
    <x v="1"/>
    <x v="13"/>
    <x v="178"/>
    <n v="27"/>
    <n v="136"/>
    <m/>
    <s v="BMZ"/>
    <d v="2019-05-01T00:00:00"/>
    <m/>
    <s v="Yes"/>
    <n v="0"/>
    <n v="0"/>
    <n v="0"/>
    <n v="0"/>
    <m/>
    <m/>
    <n v="0"/>
    <m/>
    <m/>
    <m/>
    <m/>
    <m/>
    <m/>
    <m/>
    <n v="0"/>
    <m/>
    <m/>
    <m/>
    <n v="0"/>
    <x v="1"/>
    <x v="1"/>
    <m/>
    <m/>
    <m/>
    <n v="0"/>
    <m/>
    <n v="0"/>
    <m/>
    <n v="0"/>
    <m/>
    <m/>
    <x v="0"/>
    <m/>
    <m/>
    <m/>
    <m/>
    <s v="no test"/>
    <s v="no test"/>
    <x v="1"/>
    <n v="0"/>
    <n v="0"/>
    <n v="0"/>
    <n v="0"/>
    <n v="0"/>
    <n v="0"/>
    <n v="0"/>
    <n v="0"/>
    <n v="0"/>
    <n v="1"/>
    <n v="136"/>
    <n v="1"/>
    <n v="1"/>
    <n v="0"/>
    <n v="0"/>
    <n v="0"/>
    <n v="1"/>
    <n v="23"/>
    <n v="23"/>
    <n v="0"/>
    <s v="N/A"/>
    <n v="0"/>
    <n v="0"/>
    <n v="0"/>
    <n v="0"/>
    <n v="0"/>
    <n v="0"/>
    <n v="1"/>
    <n v="0"/>
    <n v="0"/>
    <n v="0"/>
    <n v="0"/>
    <n v="0"/>
    <n v="0"/>
    <n v="0"/>
    <n v="0"/>
    <n v="0"/>
    <x v="2"/>
    <x v="2"/>
    <x v="6"/>
    <x v="2"/>
    <n v="19.619289398193398"/>
    <n v="93.959686279296903"/>
    <s v="199266"/>
    <x v="0"/>
    <m/>
  </r>
  <r>
    <x v="2"/>
    <x v="10"/>
    <x v="1"/>
    <x v="13"/>
    <x v="179"/>
    <n v="58"/>
    <n v="290"/>
    <m/>
    <s v="BMZ"/>
    <d v="2019-05-01T00:00:00"/>
    <m/>
    <s v="Yes"/>
    <n v="0"/>
    <n v="0"/>
    <n v="0"/>
    <n v="0"/>
    <m/>
    <m/>
    <n v="0"/>
    <m/>
    <m/>
    <m/>
    <m/>
    <m/>
    <m/>
    <m/>
    <n v="0"/>
    <m/>
    <m/>
    <m/>
    <n v="0"/>
    <x v="1"/>
    <x v="1"/>
    <m/>
    <m/>
    <m/>
    <n v="0"/>
    <m/>
    <n v="0"/>
    <m/>
    <n v="0"/>
    <m/>
    <m/>
    <x v="0"/>
    <m/>
    <m/>
    <m/>
    <m/>
    <s v="no test"/>
    <s v="no test"/>
    <x v="1"/>
    <n v="0"/>
    <n v="0"/>
    <n v="0"/>
    <n v="0"/>
    <n v="0"/>
    <n v="0"/>
    <n v="0"/>
    <n v="0"/>
    <n v="0"/>
    <n v="1"/>
    <n v="290"/>
    <n v="1"/>
    <n v="1"/>
    <n v="0"/>
    <n v="0"/>
    <n v="0"/>
    <n v="0.99310344827586206"/>
    <n v="48"/>
    <n v="48"/>
    <n v="0"/>
    <s v="N/A"/>
    <n v="0"/>
    <n v="0"/>
    <n v="0"/>
    <n v="0"/>
    <n v="0"/>
    <n v="0"/>
    <n v="1"/>
    <n v="0"/>
    <n v="0"/>
    <n v="0"/>
    <n v="0"/>
    <n v="0"/>
    <n v="0"/>
    <n v="0"/>
    <n v="0"/>
    <n v="0"/>
    <x v="2"/>
    <x v="2"/>
    <x v="6"/>
    <x v="3"/>
    <n v="19.484790802001999"/>
    <n v="94.007926940917997"/>
    <s v="199191"/>
    <x v="0"/>
    <m/>
  </r>
  <r>
    <x v="2"/>
    <x v="10"/>
    <x v="1"/>
    <x v="13"/>
    <x v="180"/>
    <n v="194"/>
    <n v="972"/>
    <m/>
    <s v="BMZ"/>
    <d v="2019-05-01T00:00:00"/>
    <m/>
    <s v="Yes"/>
    <n v="0"/>
    <n v="0"/>
    <n v="0"/>
    <n v="0"/>
    <m/>
    <m/>
    <n v="0"/>
    <m/>
    <m/>
    <m/>
    <m/>
    <m/>
    <m/>
    <m/>
    <n v="0"/>
    <m/>
    <m/>
    <m/>
    <n v="0"/>
    <x v="1"/>
    <x v="1"/>
    <m/>
    <m/>
    <m/>
    <n v="0"/>
    <m/>
    <n v="0"/>
    <m/>
    <n v="0"/>
    <m/>
    <m/>
    <x v="0"/>
    <m/>
    <m/>
    <m/>
    <m/>
    <s v="no test"/>
    <s v="no test"/>
    <x v="1"/>
    <n v="0"/>
    <n v="0"/>
    <n v="0"/>
    <n v="0"/>
    <n v="0"/>
    <n v="0"/>
    <n v="0"/>
    <n v="0"/>
    <n v="0"/>
    <n v="1"/>
    <n v="972"/>
    <n v="2"/>
    <n v="2"/>
    <n v="0"/>
    <n v="0"/>
    <n v="0"/>
    <n v="1"/>
    <n v="162"/>
    <n v="162"/>
    <n v="0"/>
    <s v="N/A"/>
    <n v="0"/>
    <n v="0"/>
    <n v="0"/>
    <n v="0"/>
    <n v="0"/>
    <n v="0"/>
    <n v="1"/>
    <n v="0"/>
    <n v="0"/>
    <n v="0"/>
    <n v="0"/>
    <n v="0"/>
    <n v="0"/>
    <n v="0"/>
    <n v="0"/>
    <n v="0"/>
    <x v="2"/>
    <x v="2"/>
    <x v="6"/>
    <x v="4"/>
    <n v="0"/>
    <n v="0"/>
    <n v="0"/>
    <x v="0"/>
    <m/>
  </r>
  <r>
    <x v="2"/>
    <x v="10"/>
    <x v="1"/>
    <x v="13"/>
    <x v="181"/>
    <n v="104"/>
    <n v="521"/>
    <m/>
    <s v="BMZ"/>
    <d v="2019-05-01T00:00:00"/>
    <m/>
    <s v="Yes"/>
    <n v="0"/>
    <n v="0"/>
    <n v="0"/>
    <n v="0"/>
    <m/>
    <m/>
    <n v="0"/>
    <m/>
    <m/>
    <m/>
    <m/>
    <m/>
    <m/>
    <m/>
    <n v="0"/>
    <m/>
    <m/>
    <m/>
    <n v="0"/>
    <x v="1"/>
    <x v="1"/>
    <m/>
    <m/>
    <m/>
    <n v="0"/>
    <m/>
    <n v="0"/>
    <m/>
    <n v="0"/>
    <m/>
    <m/>
    <x v="0"/>
    <m/>
    <m/>
    <m/>
    <m/>
    <s v="no test"/>
    <s v="no test"/>
    <x v="1"/>
    <n v="0"/>
    <n v="0"/>
    <n v="0"/>
    <n v="0"/>
    <n v="0"/>
    <n v="0"/>
    <n v="0"/>
    <n v="0"/>
    <n v="0"/>
    <n v="1"/>
    <n v="521"/>
    <n v="1"/>
    <n v="1"/>
    <n v="0"/>
    <n v="0"/>
    <n v="0"/>
    <n v="1"/>
    <n v="87"/>
    <n v="87"/>
    <n v="0"/>
    <s v="N/A"/>
    <n v="0"/>
    <n v="0"/>
    <n v="0"/>
    <n v="0"/>
    <n v="0"/>
    <n v="0"/>
    <n v="1"/>
    <n v="0"/>
    <n v="0"/>
    <n v="0"/>
    <n v="0"/>
    <n v="0"/>
    <n v="0"/>
    <n v="0"/>
    <n v="0"/>
    <n v="0"/>
    <x v="2"/>
    <x v="2"/>
    <x v="6"/>
    <x v="3"/>
    <n v="19.989589691162099"/>
    <n v="93.823867797851605"/>
    <s v="199250"/>
    <x v="0"/>
    <m/>
  </r>
  <r>
    <x v="2"/>
    <x v="10"/>
    <x v="1"/>
    <x v="13"/>
    <x v="182"/>
    <n v="44"/>
    <n v="221"/>
    <m/>
    <s v="BMZ"/>
    <d v="2019-05-01T00:00:00"/>
    <m/>
    <s v="Yes"/>
    <n v="0"/>
    <n v="0"/>
    <n v="0"/>
    <n v="0"/>
    <m/>
    <m/>
    <n v="0"/>
    <m/>
    <m/>
    <m/>
    <m/>
    <m/>
    <m/>
    <m/>
    <n v="0"/>
    <m/>
    <m/>
    <m/>
    <n v="0"/>
    <x v="1"/>
    <x v="1"/>
    <m/>
    <m/>
    <m/>
    <n v="0"/>
    <m/>
    <n v="0"/>
    <m/>
    <n v="0"/>
    <m/>
    <m/>
    <x v="0"/>
    <m/>
    <m/>
    <m/>
    <m/>
    <s v="no test"/>
    <s v="no test"/>
    <x v="1"/>
    <n v="0"/>
    <n v="0"/>
    <n v="0"/>
    <n v="0"/>
    <n v="0"/>
    <n v="0"/>
    <n v="0"/>
    <n v="0"/>
    <n v="0"/>
    <n v="1"/>
    <n v="221"/>
    <n v="1"/>
    <n v="1"/>
    <n v="0"/>
    <n v="0"/>
    <n v="0"/>
    <n v="1"/>
    <n v="37"/>
    <n v="37"/>
    <n v="0"/>
    <s v="N/A"/>
    <n v="0"/>
    <n v="0"/>
    <n v="0"/>
    <n v="0"/>
    <n v="0"/>
    <n v="0"/>
    <n v="1"/>
    <n v="0"/>
    <n v="0"/>
    <n v="0"/>
    <n v="0"/>
    <n v="0"/>
    <n v="0"/>
    <n v="0"/>
    <n v="0"/>
    <n v="0"/>
    <x v="2"/>
    <x v="2"/>
    <x v="6"/>
    <x v="3"/>
    <n v="19.725629806518601"/>
    <n v="94.031059265136705"/>
    <s v="199158"/>
    <x v="0"/>
    <m/>
  </r>
  <r>
    <x v="2"/>
    <x v="10"/>
    <x v="1"/>
    <x v="13"/>
    <x v="183"/>
    <n v="47"/>
    <n v="237"/>
    <m/>
    <s v="BMZ"/>
    <d v="2019-05-01T00:00:00"/>
    <m/>
    <s v="Yes"/>
    <n v="0"/>
    <n v="0"/>
    <n v="0"/>
    <n v="0"/>
    <m/>
    <m/>
    <n v="0"/>
    <m/>
    <m/>
    <m/>
    <m/>
    <m/>
    <m/>
    <m/>
    <n v="0"/>
    <m/>
    <m/>
    <m/>
    <n v="0"/>
    <x v="1"/>
    <x v="1"/>
    <m/>
    <m/>
    <m/>
    <n v="0"/>
    <m/>
    <n v="0"/>
    <m/>
    <n v="0"/>
    <m/>
    <m/>
    <x v="0"/>
    <m/>
    <m/>
    <m/>
    <m/>
    <s v="no test"/>
    <s v="no test"/>
    <x v="1"/>
    <n v="0"/>
    <n v="0"/>
    <n v="0"/>
    <n v="0"/>
    <n v="0"/>
    <n v="0"/>
    <n v="0"/>
    <n v="0"/>
    <n v="0"/>
    <n v="1"/>
    <n v="237"/>
    <n v="1"/>
    <n v="1"/>
    <n v="0"/>
    <n v="0"/>
    <n v="0"/>
    <n v="1"/>
    <n v="40"/>
    <n v="40"/>
    <n v="0"/>
    <s v="N/A"/>
    <n v="0"/>
    <n v="0"/>
    <n v="0"/>
    <n v="0"/>
    <n v="0"/>
    <n v="0"/>
    <n v="1"/>
    <n v="0"/>
    <n v="0"/>
    <n v="0"/>
    <n v="0"/>
    <n v="0"/>
    <n v="0"/>
    <n v="0"/>
    <n v="0"/>
    <n v="0"/>
    <x v="2"/>
    <x v="2"/>
    <x v="6"/>
    <x v="3"/>
    <n v="19.591590881347699"/>
    <n v="93.808258056640597"/>
    <n v="199195"/>
    <x v="0"/>
    <m/>
  </r>
  <r>
    <x v="2"/>
    <x v="10"/>
    <x v="1"/>
    <x v="13"/>
    <x v="184"/>
    <n v="89"/>
    <n v="443"/>
    <m/>
    <s v="BMZ"/>
    <d v="2019-05-01T00:00:00"/>
    <m/>
    <s v="Yes"/>
    <n v="0"/>
    <n v="0"/>
    <n v="0"/>
    <n v="0"/>
    <m/>
    <m/>
    <n v="0"/>
    <m/>
    <m/>
    <m/>
    <m/>
    <m/>
    <m/>
    <m/>
    <n v="0"/>
    <m/>
    <m/>
    <m/>
    <n v="0"/>
    <x v="1"/>
    <x v="1"/>
    <m/>
    <m/>
    <m/>
    <n v="0"/>
    <m/>
    <n v="0"/>
    <m/>
    <n v="0"/>
    <m/>
    <m/>
    <x v="0"/>
    <m/>
    <m/>
    <m/>
    <m/>
    <s v="no test"/>
    <s v="no test"/>
    <x v="1"/>
    <n v="0"/>
    <n v="0"/>
    <n v="0"/>
    <n v="0"/>
    <n v="0"/>
    <n v="0"/>
    <n v="0"/>
    <n v="0"/>
    <n v="0"/>
    <n v="1"/>
    <n v="443"/>
    <n v="1"/>
    <n v="1"/>
    <n v="0"/>
    <n v="0"/>
    <n v="0"/>
    <n v="1"/>
    <n v="74"/>
    <n v="74"/>
    <n v="0"/>
    <s v="N/A"/>
    <n v="0"/>
    <n v="0"/>
    <n v="0"/>
    <n v="0"/>
    <n v="0"/>
    <n v="0"/>
    <n v="1"/>
    <n v="0"/>
    <n v="0"/>
    <n v="0"/>
    <n v="0"/>
    <n v="0"/>
    <n v="0"/>
    <n v="0"/>
    <n v="0"/>
    <n v="0"/>
    <x v="2"/>
    <x v="2"/>
    <x v="6"/>
    <x v="2"/>
    <n v="19.639009475708001"/>
    <n v="94.036079406738295"/>
    <s v="199223"/>
    <x v="0"/>
    <m/>
  </r>
  <r>
    <x v="2"/>
    <x v="10"/>
    <x v="1"/>
    <x v="13"/>
    <x v="185"/>
    <n v="75"/>
    <n v="375"/>
    <m/>
    <s v="BMZ"/>
    <d v="2019-05-01T00:00:00"/>
    <m/>
    <s v="Yes"/>
    <n v="0"/>
    <n v="0"/>
    <n v="0"/>
    <n v="0"/>
    <m/>
    <m/>
    <n v="0"/>
    <m/>
    <m/>
    <m/>
    <m/>
    <m/>
    <m/>
    <m/>
    <n v="0"/>
    <m/>
    <m/>
    <m/>
    <n v="0"/>
    <x v="1"/>
    <x v="1"/>
    <m/>
    <m/>
    <m/>
    <n v="0"/>
    <m/>
    <n v="0"/>
    <m/>
    <n v="0"/>
    <m/>
    <m/>
    <x v="0"/>
    <m/>
    <m/>
    <m/>
    <m/>
    <s v="no test"/>
    <s v="no test"/>
    <x v="1"/>
    <n v="0"/>
    <n v="0"/>
    <n v="0"/>
    <n v="0"/>
    <n v="0"/>
    <n v="0"/>
    <n v="0"/>
    <n v="0"/>
    <n v="0"/>
    <n v="1"/>
    <n v="375"/>
    <n v="1"/>
    <n v="1"/>
    <n v="0"/>
    <n v="0"/>
    <n v="0"/>
    <n v="1"/>
    <n v="63"/>
    <n v="63"/>
    <n v="0"/>
    <s v="N/A"/>
    <n v="0"/>
    <n v="0"/>
    <n v="0"/>
    <n v="0"/>
    <n v="0"/>
    <n v="0"/>
    <n v="1"/>
    <n v="0"/>
    <n v="0"/>
    <n v="0"/>
    <n v="0"/>
    <n v="0"/>
    <n v="0"/>
    <n v="0"/>
    <n v="0"/>
    <n v="0"/>
    <x v="2"/>
    <x v="2"/>
    <x v="6"/>
    <x v="3"/>
    <n v="19.738719940185501"/>
    <n v="94.035491943359403"/>
    <s v="199160"/>
    <x v="0"/>
    <m/>
  </r>
  <r>
    <x v="2"/>
    <x v="10"/>
    <x v="1"/>
    <x v="13"/>
    <x v="186"/>
    <n v="248"/>
    <n v="1241"/>
    <m/>
    <s v="BMZ"/>
    <d v="2019-05-01T00:00:00"/>
    <m/>
    <s v="Yes"/>
    <n v="0"/>
    <n v="0"/>
    <n v="0"/>
    <n v="0"/>
    <m/>
    <m/>
    <n v="0"/>
    <m/>
    <m/>
    <m/>
    <m/>
    <m/>
    <m/>
    <m/>
    <n v="0"/>
    <m/>
    <m/>
    <m/>
    <n v="0"/>
    <x v="1"/>
    <x v="1"/>
    <m/>
    <m/>
    <m/>
    <n v="0"/>
    <m/>
    <n v="0"/>
    <m/>
    <n v="0"/>
    <m/>
    <m/>
    <x v="0"/>
    <m/>
    <m/>
    <m/>
    <m/>
    <s v="no test"/>
    <s v="no test"/>
    <x v="1"/>
    <n v="0"/>
    <n v="0"/>
    <n v="0"/>
    <n v="0"/>
    <n v="0"/>
    <n v="0"/>
    <n v="0"/>
    <n v="0"/>
    <n v="0"/>
    <n v="1"/>
    <n v="1241"/>
    <n v="2"/>
    <n v="2"/>
    <n v="0"/>
    <n v="0"/>
    <n v="0"/>
    <n v="1"/>
    <n v="207"/>
    <n v="207"/>
    <n v="0"/>
    <s v="N/A"/>
    <n v="0"/>
    <n v="0"/>
    <n v="0"/>
    <n v="0"/>
    <n v="0"/>
    <n v="0"/>
    <n v="1"/>
    <n v="0"/>
    <n v="0"/>
    <n v="0"/>
    <n v="0"/>
    <n v="0"/>
    <n v="0"/>
    <n v="0"/>
    <n v="0"/>
    <n v="0"/>
    <x v="2"/>
    <x v="2"/>
    <x v="6"/>
    <x v="3"/>
    <n v="19.646549224853501"/>
    <n v="94.004188537597699"/>
    <s v="199218"/>
    <x v="0"/>
    <m/>
  </r>
  <r>
    <x v="2"/>
    <x v="10"/>
    <x v="1"/>
    <x v="13"/>
    <x v="187"/>
    <n v="107"/>
    <n v="534"/>
    <m/>
    <s v="BMZ"/>
    <d v="2019-05-01T00:00:00"/>
    <m/>
    <s v="Yes"/>
    <n v="0"/>
    <n v="0"/>
    <n v="0"/>
    <n v="0"/>
    <m/>
    <m/>
    <n v="0"/>
    <m/>
    <m/>
    <m/>
    <m/>
    <m/>
    <m/>
    <m/>
    <n v="0"/>
    <m/>
    <m/>
    <m/>
    <n v="0"/>
    <x v="1"/>
    <x v="1"/>
    <m/>
    <m/>
    <m/>
    <n v="0"/>
    <m/>
    <n v="0"/>
    <m/>
    <n v="0"/>
    <m/>
    <m/>
    <x v="0"/>
    <m/>
    <m/>
    <m/>
    <m/>
    <s v="no test"/>
    <s v="no test"/>
    <x v="1"/>
    <n v="0"/>
    <n v="0"/>
    <n v="0"/>
    <n v="0"/>
    <n v="0"/>
    <n v="0"/>
    <n v="0"/>
    <n v="0"/>
    <n v="0"/>
    <n v="1"/>
    <n v="534"/>
    <n v="1"/>
    <n v="1"/>
    <n v="0"/>
    <n v="0"/>
    <n v="0"/>
    <n v="1"/>
    <n v="89"/>
    <n v="89"/>
    <n v="0"/>
    <s v="N/A"/>
    <n v="0"/>
    <n v="0"/>
    <n v="0"/>
    <n v="0"/>
    <n v="0"/>
    <n v="0"/>
    <n v="1"/>
    <n v="0"/>
    <n v="0"/>
    <n v="0"/>
    <n v="0"/>
    <n v="0"/>
    <n v="0"/>
    <n v="0"/>
    <n v="0"/>
    <n v="0"/>
    <x v="2"/>
    <x v="2"/>
    <x v="6"/>
    <x v="2"/>
    <n v="19.991359710693398"/>
    <n v="93.834663391113295"/>
    <s v="199248"/>
    <x v="0"/>
    <m/>
  </r>
  <r>
    <x v="2"/>
    <x v="10"/>
    <x v="1"/>
    <x v="13"/>
    <x v="188"/>
    <n v="123"/>
    <n v="615"/>
    <m/>
    <s v="BMZ"/>
    <d v="2019-05-01T00:00:00"/>
    <m/>
    <s v="Yes"/>
    <n v="0"/>
    <n v="0"/>
    <n v="0"/>
    <n v="0"/>
    <m/>
    <m/>
    <n v="0"/>
    <m/>
    <m/>
    <m/>
    <m/>
    <m/>
    <m/>
    <m/>
    <n v="0"/>
    <m/>
    <m/>
    <m/>
    <n v="0"/>
    <x v="1"/>
    <x v="1"/>
    <m/>
    <m/>
    <m/>
    <n v="0"/>
    <m/>
    <n v="0"/>
    <m/>
    <n v="0"/>
    <m/>
    <m/>
    <x v="0"/>
    <m/>
    <m/>
    <m/>
    <m/>
    <s v="no test"/>
    <s v="no test"/>
    <x v="1"/>
    <n v="0"/>
    <n v="0"/>
    <n v="0"/>
    <n v="0"/>
    <n v="0"/>
    <n v="0"/>
    <n v="0"/>
    <n v="0"/>
    <n v="0"/>
    <n v="1"/>
    <n v="615"/>
    <n v="1"/>
    <n v="1"/>
    <n v="0"/>
    <n v="0"/>
    <n v="0"/>
    <n v="1"/>
    <n v="103"/>
    <n v="103"/>
    <n v="0"/>
    <s v="N/A"/>
    <n v="0"/>
    <n v="0"/>
    <n v="0"/>
    <n v="0"/>
    <n v="0"/>
    <n v="0"/>
    <n v="1"/>
    <n v="0"/>
    <n v="0"/>
    <n v="0"/>
    <n v="0"/>
    <n v="0"/>
    <n v="0"/>
    <n v="0"/>
    <n v="0"/>
    <n v="0"/>
    <x v="2"/>
    <x v="2"/>
    <x v="6"/>
    <x v="3"/>
    <n v="19.9044303894043"/>
    <n v="93.792778015136705"/>
    <s v="199137"/>
    <x v="0"/>
    <m/>
  </r>
  <r>
    <x v="2"/>
    <x v="10"/>
    <x v="1"/>
    <x v="13"/>
    <x v="189"/>
    <n v="115"/>
    <n v="575"/>
    <m/>
    <s v="BMZ"/>
    <d v="2019-05-01T00:00:00"/>
    <m/>
    <s v="Yes"/>
    <n v="0"/>
    <n v="0"/>
    <n v="0"/>
    <n v="0"/>
    <m/>
    <m/>
    <n v="0"/>
    <m/>
    <m/>
    <m/>
    <m/>
    <m/>
    <m/>
    <m/>
    <n v="0"/>
    <m/>
    <m/>
    <m/>
    <n v="0"/>
    <x v="1"/>
    <x v="1"/>
    <m/>
    <m/>
    <m/>
    <n v="0"/>
    <m/>
    <n v="0"/>
    <m/>
    <n v="0"/>
    <m/>
    <m/>
    <x v="0"/>
    <m/>
    <m/>
    <m/>
    <m/>
    <s v="no test"/>
    <s v="no test"/>
    <x v="1"/>
    <n v="0"/>
    <n v="0"/>
    <n v="0"/>
    <n v="0"/>
    <n v="0"/>
    <n v="0"/>
    <n v="0"/>
    <n v="0"/>
    <n v="0"/>
    <n v="1"/>
    <n v="575"/>
    <n v="1"/>
    <n v="1"/>
    <n v="0"/>
    <n v="0"/>
    <n v="0"/>
    <n v="1"/>
    <n v="96"/>
    <n v="96"/>
    <n v="0"/>
    <s v="N/A"/>
    <n v="0"/>
    <n v="0"/>
    <n v="0"/>
    <n v="0"/>
    <n v="0"/>
    <n v="0"/>
    <n v="1"/>
    <n v="0"/>
    <n v="0"/>
    <n v="0"/>
    <n v="0"/>
    <n v="0"/>
    <n v="0"/>
    <n v="0"/>
    <n v="0"/>
    <n v="0"/>
    <x v="2"/>
    <x v="2"/>
    <x v="6"/>
    <x v="2"/>
    <n v="19.930080413818398"/>
    <n v="93.787002563476605"/>
    <s v="199135"/>
    <x v="0"/>
    <m/>
  </r>
  <r>
    <x v="2"/>
    <x v="10"/>
    <x v="1"/>
    <x v="13"/>
    <x v="190"/>
    <n v="144"/>
    <n v="719"/>
    <m/>
    <s v="BMZ"/>
    <d v="2019-05-01T00:00:00"/>
    <m/>
    <s v="Yes"/>
    <n v="0"/>
    <n v="0"/>
    <n v="0"/>
    <n v="0"/>
    <m/>
    <m/>
    <n v="0"/>
    <m/>
    <m/>
    <m/>
    <m/>
    <m/>
    <m/>
    <m/>
    <n v="0"/>
    <m/>
    <m/>
    <m/>
    <n v="0"/>
    <x v="1"/>
    <x v="1"/>
    <m/>
    <m/>
    <m/>
    <n v="0"/>
    <m/>
    <n v="0"/>
    <m/>
    <n v="0"/>
    <m/>
    <m/>
    <x v="0"/>
    <m/>
    <m/>
    <m/>
    <m/>
    <s v="no test"/>
    <s v="no test"/>
    <x v="1"/>
    <n v="0"/>
    <n v="0"/>
    <n v="0"/>
    <n v="0"/>
    <n v="0"/>
    <n v="0"/>
    <n v="0"/>
    <n v="0"/>
    <n v="0"/>
    <n v="1"/>
    <n v="719"/>
    <n v="1"/>
    <n v="1"/>
    <n v="0"/>
    <n v="0"/>
    <n v="0"/>
    <n v="1"/>
    <n v="120"/>
    <n v="120"/>
    <n v="0"/>
    <s v="N/A"/>
    <n v="0"/>
    <n v="0"/>
    <n v="0"/>
    <n v="0"/>
    <n v="0"/>
    <n v="0"/>
    <n v="1"/>
    <n v="0"/>
    <n v="0"/>
    <n v="0"/>
    <n v="0"/>
    <n v="0"/>
    <n v="0"/>
    <n v="0"/>
    <n v="0"/>
    <n v="0"/>
    <x v="2"/>
    <x v="2"/>
    <x v="6"/>
    <x v="3"/>
    <n v="19.611209869384801"/>
    <n v="93.995933532714801"/>
    <s v="199261"/>
    <x v="0"/>
    <m/>
  </r>
  <r>
    <x v="2"/>
    <x v="10"/>
    <x v="1"/>
    <x v="13"/>
    <x v="191"/>
    <n v="110"/>
    <n v="549"/>
    <m/>
    <s v="BMZ"/>
    <d v="2019-05-01T00:00:00"/>
    <m/>
    <s v="Yes"/>
    <n v="0"/>
    <n v="0"/>
    <n v="0"/>
    <n v="0"/>
    <m/>
    <m/>
    <n v="0"/>
    <m/>
    <m/>
    <m/>
    <m/>
    <m/>
    <m/>
    <m/>
    <n v="0"/>
    <m/>
    <m/>
    <m/>
    <n v="0"/>
    <x v="1"/>
    <x v="1"/>
    <m/>
    <m/>
    <m/>
    <n v="0"/>
    <m/>
    <n v="0"/>
    <m/>
    <n v="0"/>
    <m/>
    <m/>
    <x v="0"/>
    <m/>
    <m/>
    <m/>
    <m/>
    <s v="no test"/>
    <s v="no test"/>
    <x v="1"/>
    <n v="0"/>
    <n v="0"/>
    <n v="0"/>
    <n v="0"/>
    <n v="0"/>
    <n v="0"/>
    <n v="0"/>
    <n v="0"/>
    <n v="0"/>
    <n v="1"/>
    <n v="549"/>
    <n v="1"/>
    <n v="1"/>
    <n v="0"/>
    <n v="0"/>
    <n v="0"/>
    <n v="1"/>
    <n v="92"/>
    <n v="92"/>
    <n v="0"/>
    <s v="N/A"/>
    <n v="0"/>
    <n v="0"/>
    <n v="0"/>
    <n v="0"/>
    <n v="0"/>
    <n v="0"/>
    <n v="1"/>
    <n v="0"/>
    <n v="0"/>
    <n v="0"/>
    <n v="0"/>
    <n v="0"/>
    <n v="0"/>
    <n v="0"/>
    <n v="0"/>
    <n v="0"/>
    <x v="2"/>
    <x v="2"/>
    <x v="6"/>
    <x v="2"/>
    <n v="19.686580657958999"/>
    <n v="94.048843383789105"/>
    <s v="199156"/>
    <x v="0"/>
    <m/>
  </r>
  <r>
    <x v="2"/>
    <x v="10"/>
    <x v="1"/>
    <x v="13"/>
    <x v="192"/>
    <n v="72"/>
    <n v="360"/>
    <m/>
    <s v="BMZ"/>
    <d v="2019-05-01T00:00:00"/>
    <m/>
    <s v="Yes"/>
    <n v="0"/>
    <n v="0"/>
    <n v="0"/>
    <n v="0"/>
    <m/>
    <m/>
    <n v="0"/>
    <m/>
    <m/>
    <m/>
    <m/>
    <m/>
    <m/>
    <m/>
    <n v="0"/>
    <m/>
    <m/>
    <m/>
    <n v="0"/>
    <x v="1"/>
    <x v="1"/>
    <m/>
    <m/>
    <m/>
    <n v="0"/>
    <m/>
    <n v="0"/>
    <m/>
    <n v="0"/>
    <m/>
    <m/>
    <x v="0"/>
    <m/>
    <m/>
    <m/>
    <m/>
    <s v="no test"/>
    <s v="no test"/>
    <x v="1"/>
    <n v="0"/>
    <n v="0"/>
    <n v="0"/>
    <n v="0"/>
    <n v="0"/>
    <n v="0"/>
    <n v="0"/>
    <n v="0"/>
    <n v="0"/>
    <n v="1"/>
    <n v="360"/>
    <n v="1"/>
    <n v="1"/>
    <n v="0"/>
    <n v="0"/>
    <n v="0"/>
    <n v="1"/>
    <n v="60"/>
    <n v="60"/>
    <n v="0"/>
    <s v="N/A"/>
    <n v="0"/>
    <n v="0"/>
    <n v="0"/>
    <n v="0"/>
    <n v="0"/>
    <n v="0"/>
    <n v="1"/>
    <n v="0"/>
    <n v="0"/>
    <n v="0"/>
    <n v="0"/>
    <n v="0"/>
    <n v="0"/>
    <n v="0"/>
    <n v="0"/>
    <n v="0"/>
    <x v="2"/>
    <x v="2"/>
    <x v="6"/>
    <x v="3"/>
    <n v="19.627199172973601"/>
    <n v="93.962989807128906"/>
    <s v="199265"/>
    <x v="0"/>
    <m/>
  </r>
  <r>
    <x v="2"/>
    <x v="10"/>
    <x v="1"/>
    <x v="13"/>
    <x v="193"/>
    <n v="84"/>
    <n v="419"/>
    <m/>
    <s v="BMZ"/>
    <d v="2019-05-01T00:00:00"/>
    <m/>
    <s v="Yes"/>
    <n v="0"/>
    <n v="0"/>
    <n v="0"/>
    <n v="0"/>
    <m/>
    <m/>
    <n v="0"/>
    <m/>
    <m/>
    <m/>
    <m/>
    <m/>
    <m/>
    <m/>
    <n v="0"/>
    <m/>
    <m/>
    <m/>
    <n v="0"/>
    <x v="1"/>
    <x v="1"/>
    <m/>
    <m/>
    <m/>
    <n v="0"/>
    <m/>
    <n v="0"/>
    <m/>
    <n v="0"/>
    <m/>
    <m/>
    <x v="0"/>
    <m/>
    <m/>
    <m/>
    <m/>
    <s v="no test"/>
    <s v="no test"/>
    <x v="1"/>
    <n v="0"/>
    <n v="0"/>
    <n v="0"/>
    <n v="0"/>
    <n v="0"/>
    <n v="0"/>
    <n v="0"/>
    <n v="0"/>
    <n v="0"/>
    <n v="1"/>
    <n v="419"/>
    <n v="1"/>
    <n v="1"/>
    <n v="0"/>
    <n v="0"/>
    <n v="0"/>
    <n v="1"/>
    <n v="70"/>
    <n v="70"/>
    <n v="0"/>
    <s v="N/A"/>
    <n v="0"/>
    <n v="0"/>
    <n v="0"/>
    <n v="0"/>
    <n v="0"/>
    <n v="0"/>
    <n v="1"/>
    <n v="0"/>
    <n v="0"/>
    <n v="0"/>
    <n v="0"/>
    <n v="0"/>
    <n v="0"/>
    <n v="0"/>
    <n v="0"/>
    <n v="0"/>
    <x v="2"/>
    <x v="2"/>
    <x v="6"/>
    <x v="3"/>
    <n v="19.615800857543899"/>
    <n v="94.000473022460895"/>
    <s v="199262"/>
    <x v="0"/>
    <m/>
  </r>
  <r>
    <x v="2"/>
    <x v="10"/>
    <x v="1"/>
    <x v="13"/>
    <x v="194"/>
    <n v="235"/>
    <n v="1176"/>
    <m/>
    <s v="BMZ"/>
    <d v="2019-05-01T00:00:00"/>
    <m/>
    <s v="Yes"/>
    <n v="0"/>
    <n v="0"/>
    <n v="0"/>
    <n v="0"/>
    <m/>
    <m/>
    <n v="0"/>
    <m/>
    <m/>
    <m/>
    <m/>
    <m/>
    <m/>
    <m/>
    <n v="0"/>
    <m/>
    <m/>
    <m/>
    <n v="0"/>
    <x v="1"/>
    <x v="1"/>
    <m/>
    <m/>
    <m/>
    <n v="0"/>
    <m/>
    <n v="0"/>
    <m/>
    <n v="0"/>
    <m/>
    <m/>
    <x v="0"/>
    <m/>
    <m/>
    <m/>
    <m/>
    <s v="no test"/>
    <s v="no test"/>
    <x v="1"/>
    <n v="0"/>
    <n v="0"/>
    <n v="0"/>
    <n v="0"/>
    <n v="0"/>
    <n v="0"/>
    <n v="0"/>
    <n v="0"/>
    <n v="0"/>
    <n v="1"/>
    <n v="1176"/>
    <n v="2"/>
    <n v="2"/>
    <n v="0"/>
    <n v="0"/>
    <n v="0"/>
    <n v="1"/>
    <n v="196"/>
    <n v="196"/>
    <n v="0"/>
    <s v="N/A"/>
    <n v="0"/>
    <n v="0"/>
    <n v="0"/>
    <n v="0"/>
    <n v="0"/>
    <n v="0"/>
    <n v="1"/>
    <n v="0"/>
    <n v="0"/>
    <n v="0"/>
    <n v="0"/>
    <n v="0"/>
    <n v="0"/>
    <n v="0"/>
    <n v="0"/>
    <n v="0"/>
    <x v="2"/>
    <x v="2"/>
    <x v="6"/>
    <x v="2"/>
    <n v="19.988599777221701"/>
    <n v="93.803939819335895"/>
    <s v="199241"/>
    <x v="0"/>
    <m/>
  </r>
  <r>
    <x v="2"/>
    <x v="10"/>
    <x v="1"/>
    <x v="13"/>
    <x v="195"/>
    <n v="82"/>
    <n v="412"/>
    <m/>
    <s v="BMZ"/>
    <d v="2019-05-01T00:00:00"/>
    <m/>
    <s v="Yes"/>
    <n v="0"/>
    <n v="0"/>
    <n v="0"/>
    <n v="0"/>
    <m/>
    <m/>
    <n v="0"/>
    <m/>
    <m/>
    <m/>
    <m/>
    <m/>
    <m/>
    <m/>
    <n v="0"/>
    <m/>
    <m/>
    <m/>
    <n v="0"/>
    <x v="1"/>
    <x v="1"/>
    <m/>
    <m/>
    <m/>
    <n v="0"/>
    <m/>
    <n v="0"/>
    <m/>
    <n v="0"/>
    <m/>
    <m/>
    <x v="0"/>
    <m/>
    <m/>
    <m/>
    <m/>
    <s v="no test"/>
    <s v="no test"/>
    <x v="1"/>
    <n v="0"/>
    <n v="0"/>
    <n v="0"/>
    <n v="0"/>
    <n v="0"/>
    <n v="0"/>
    <n v="0"/>
    <n v="0"/>
    <n v="0"/>
    <n v="1"/>
    <n v="412"/>
    <n v="1"/>
    <n v="1"/>
    <n v="0"/>
    <n v="0"/>
    <n v="0"/>
    <n v="1"/>
    <n v="69"/>
    <n v="69"/>
    <n v="0"/>
    <s v="N/A"/>
    <n v="0"/>
    <n v="0"/>
    <n v="0"/>
    <n v="0"/>
    <n v="0"/>
    <n v="0"/>
    <n v="1"/>
    <n v="0"/>
    <n v="0"/>
    <n v="0"/>
    <n v="0"/>
    <n v="0"/>
    <n v="0"/>
    <n v="0"/>
    <n v="0"/>
    <n v="0"/>
    <x v="2"/>
    <x v="2"/>
    <x v="6"/>
    <x v="2"/>
    <n v="19.962713241577099"/>
    <n v="93.885574340820298"/>
    <s v="220838"/>
    <x v="0"/>
    <m/>
  </r>
  <r>
    <x v="2"/>
    <x v="10"/>
    <x v="1"/>
    <x v="13"/>
    <x v="196"/>
    <n v="229"/>
    <n v="1147"/>
    <m/>
    <s v="BMZ"/>
    <d v="2019-05-01T00:00:00"/>
    <m/>
    <s v="Yes"/>
    <n v="0"/>
    <n v="0"/>
    <n v="0"/>
    <n v="0"/>
    <m/>
    <m/>
    <n v="0"/>
    <m/>
    <m/>
    <m/>
    <m/>
    <m/>
    <m/>
    <m/>
    <n v="0"/>
    <m/>
    <m/>
    <m/>
    <n v="0"/>
    <x v="1"/>
    <x v="1"/>
    <m/>
    <m/>
    <m/>
    <n v="0"/>
    <m/>
    <n v="0"/>
    <m/>
    <n v="0"/>
    <m/>
    <m/>
    <x v="0"/>
    <m/>
    <m/>
    <m/>
    <m/>
    <s v="no test"/>
    <s v="no test"/>
    <x v="1"/>
    <n v="0"/>
    <n v="0"/>
    <n v="0"/>
    <n v="0"/>
    <n v="0"/>
    <n v="0"/>
    <n v="0"/>
    <n v="0"/>
    <n v="0"/>
    <n v="1"/>
    <n v="1147"/>
    <n v="2"/>
    <n v="2"/>
    <n v="0"/>
    <n v="0"/>
    <n v="0"/>
    <n v="0.99912816041848307"/>
    <n v="191"/>
    <n v="191"/>
    <n v="0"/>
    <s v="N/A"/>
    <n v="0"/>
    <n v="0"/>
    <n v="0"/>
    <n v="0"/>
    <n v="0"/>
    <n v="0"/>
    <n v="1"/>
    <n v="0"/>
    <n v="0"/>
    <n v="0"/>
    <n v="0"/>
    <n v="0"/>
    <n v="0"/>
    <n v="0"/>
    <n v="0"/>
    <n v="0"/>
    <x v="2"/>
    <x v="2"/>
    <x v="6"/>
    <x v="3"/>
    <n v="19.925739288330099"/>
    <n v="93.792991638183594"/>
    <s v="199133"/>
    <x v="0"/>
    <m/>
  </r>
  <r>
    <x v="2"/>
    <x v="11"/>
    <x v="1"/>
    <x v="14"/>
    <x v="197"/>
    <n v="20"/>
    <n v="60"/>
    <m/>
    <s v="UNICEF"/>
    <d v="2018-08-31T00:00:00"/>
    <n v="0"/>
    <s v="Yes"/>
    <m/>
    <m/>
    <m/>
    <m/>
    <m/>
    <m/>
    <m/>
    <m/>
    <m/>
    <m/>
    <m/>
    <m/>
    <m/>
    <m/>
    <m/>
    <m/>
    <m/>
    <m/>
    <n v="10"/>
    <x v="4"/>
    <x v="4"/>
    <m/>
    <m/>
    <m/>
    <n v="0"/>
    <s v="Household"/>
    <n v="0"/>
    <n v="0"/>
    <n v="7"/>
    <m/>
    <m/>
    <x v="0"/>
    <m/>
    <m/>
    <m/>
    <m/>
    <s v="no test"/>
    <s v="no test"/>
    <x v="1"/>
    <n v="0"/>
    <n v="0"/>
    <n v="0"/>
    <n v="0"/>
    <n v="0"/>
    <n v="0"/>
    <n v="0"/>
    <n v="0"/>
    <n v="0"/>
    <n v="1"/>
    <n v="60"/>
    <n v="1"/>
    <n v="1"/>
    <n v="0"/>
    <n v="0"/>
    <n v="0"/>
    <n v="1"/>
    <n v="10"/>
    <n v="10"/>
    <n v="0"/>
    <s v="N/A"/>
    <n v="60"/>
    <n v="0"/>
    <n v="1"/>
    <n v="0"/>
    <n v="0"/>
    <n v="0"/>
    <n v="1"/>
    <n v="1"/>
    <n v="0"/>
    <n v="0"/>
    <n v="0"/>
    <n v="0"/>
    <n v="0"/>
    <n v="0"/>
    <n v="0"/>
    <n v="0"/>
    <x v="3"/>
    <x v="2"/>
    <x v="7"/>
    <x v="3"/>
    <n v="20.8490600585938"/>
    <n v="92.497413635253906"/>
    <n v="198313"/>
    <x v="0"/>
    <m/>
  </r>
  <r>
    <x v="2"/>
    <x v="11"/>
    <x v="1"/>
    <x v="14"/>
    <x v="198"/>
    <n v="27"/>
    <n v="127"/>
    <m/>
    <s v="UNICEF"/>
    <d v="2018-02-14T00:00:00"/>
    <n v="0"/>
    <s v="Yes"/>
    <n v="0"/>
    <n v="0"/>
    <n v="0"/>
    <n v="0"/>
    <n v="0"/>
    <n v="3"/>
    <n v="0"/>
    <m/>
    <m/>
    <m/>
    <m/>
    <m/>
    <m/>
    <m/>
    <n v="1"/>
    <n v="0"/>
    <m/>
    <m/>
    <n v="1"/>
    <x v="4"/>
    <x v="4"/>
    <m/>
    <m/>
    <s v="HH latrines in village"/>
    <n v="0"/>
    <s v="Household"/>
    <n v="0"/>
    <n v="0"/>
    <n v="7"/>
    <m/>
    <m/>
    <x v="0"/>
    <m/>
    <m/>
    <m/>
    <m/>
    <s v="no test"/>
    <s v="no test"/>
    <x v="1"/>
    <n v="0"/>
    <n v="0"/>
    <n v="0"/>
    <n v="0"/>
    <n v="1"/>
    <n v="127"/>
    <n v="1"/>
    <n v="127"/>
    <n v="0.254"/>
    <n v="0"/>
    <n v="0"/>
    <n v="0.746"/>
    <n v="1"/>
    <n v="1"/>
    <n v="4.7244094488188976E-2"/>
    <n v="6"/>
    <n v="0.94488188976377951"/>
    <n v="20"/>
    <n v="21"/>
    <n v="0"/>
    <s v="N/A"/>
    <n v="127"/>
    <n v="0"/>
    <n v="1"/>
    <n v="0"/>
    <n v="0"/>
    <n v="0"/>
    <n v="1"/>
    <n v="1"/>
    <n v="0"/>
    <n v="0"/>
    <n v="0"/>
    <n v="0"/>
    <n v="0"/>
    <n v="0"/>
    <n v="0"/>
    <n v="0"/>
    <x v="3"/>
    <x v="2"/>
    <x v="7"/>
    <x v="3"/>
    <n v="20.805580139160199"/>
    <n v="92.549842834472699"/>
    <n v="198336"/>
    <x v="0"/>
    <m/>
  </r>
  <r>
    <x v="2"/>
    <x v="11"/>
    <x v="1"/>
    <x v="14"/>
    <x v="199"/>
    <n v="513"/>
    <n v="4073"/>
    <m/>
    <s v="UNICEF"/>
    <d v="2018-08-31T00:00:00"/>
    <n v="0"/>
    <s v="Yes"/>
    <m/>
    <m/>
    <n v="0"/>
    <n v="0"/>
    <n v="0"/>
    <n v="0"/>
    <n v="0"/>
    <m/>
    <m/>
    <m/>
    <m/>
    <m/>
    <m/>
    <m/>
    <n v="1"/>
    <n v="0"/>
    <m/>
    <m/>
    <n v="10"/>
    <x v="4"/>
    <x v="4"/>
    <m/>
    <m/>
    <m/>
    <n v="0"/>
    <s v="Household"/>
    <n v="0"/>
    <n v="0"/>
    <n v="7"/>
    <m/>
    <m/>
    <x v="0"/>
    <m/>
    <m/>
    <m/>
    <m/>
    <s v="no test"/>
    <s v="no test"/>
    <x v="1"/>
    <n v="0"/>
    <n v="0"/>
    <n v="0"/>
    <n v="0"/>
    <n v="0"/>
    <n v="0"/>
    <n v="0"/>
    <n v="0"/>
    <n v="0"/>
    <n v="1"/>
    <n v="4073"/>
    <n v="8"/>
    <n v="8"/>
    <n v="1"/>
    <n v="1.4731156395777069E-3"/>
    <n v="6"/>
    <n v="0.99877240363368514"/>
    <n v="678"/>
    <n v="679"/>
    <n v="0"/>
    <s v="N/A"/>
    <n v="3500"/>
    <n v="0"/>
    <n v="1"/>
    <n v="0"/>
    <n v="0"/>
    <n v="0"/>
    <n v="1"/>
    <n v="0.85931745642032897"/>
    <n v="0"/>
    <n v="0"/>
    <n v="0"/>
    <n v="0"/>
    <n v="0"/>
    <n v="0"/>
    <n v="0"/>
    <n v="0"/>
    <x v="3"/>
    <x v="2"/>
    <x v="7"/>
    <x v="5"/>
    <n v="20.821479797363299"/>
    <n v="92.603950500488295"/>
    <s v="198356"/>
    <x v="0"/>
    <m/>
  </r>
  <r>
    <x v="2"/>
    <x v="11"/>
    <x v="1"/>
    <x v="14"/>
    <x v="200"/>
    <n v="22"/>
    <n v="88"/>
    <m/>
    <s v="UNICEF"/>
    <d v="2018-02-14T00:00:00"/>
    <n v="0"/>
    <s v="Yes"/>
    <n v="0"/>
    <n v="0"/>
    <n v="0"/>
    <n v="0"/>
    <n v="0"/>
    <n v="1"/>
    <n v="0"/>
    <m/>
    <m/>
    <m/>
    <m/>
    <m/>
    <m/>
    <m/>
    <n v="1"/>
    <n v="0"/>
    <m/>
    <m/>
    <n v="1"/>
    <x v="4"/>
    <x v="4"/>
    <m/>
    <m/>
    <s v="HH latrines in village"/>
    <n v="0"/>
    <s v="Household"/>
    <n v="0"/>
    <n v="0"/>
    <n v="7"/>
    <m/>
    <m/>
    <x v="0"/>
    <m/>
    <m/>
    <m/>
    <m/>
    <s v="no test"/>
    <s v="no test"/>
    <x v="1"/>
    <n v="0"/>
    <n v="0"/>
    <n v="0"/>
    <n v="0"/>
    <n v="1"/>
    <n v="88"/>
    <n v="1"/>
    <n v="88"/>
    <n v="0.17599999999999999"/>
    <n v="0"/>
    <n v="0"/>
    <n v="0.82400000000000007"/>
    <n v="1"/>
    <n v="1"/>
    <n v="6.8181818181818177E-2"/>
    <n v="6"/>
    <n v="0.95454545454545459"/>
    <n v="14"/>
    <n v="15"/>
    <n v="0"/>
    <s v="N/A"/>
    <n v="88"/>
    <n v="0"/>
    <n v="1"/>
    <n v="0"/>
    <n v="0"/>
    <n v="0"/>
    <n v="1"/>
    <n v="1"/>
    <n v="0"/>
    <n v="0"/>
    <n v="0"/>
    <n v="0"/>
    <n v="0"/>
    <n v="0"/>
    <n v="0"/>
    <n v="0"/>
    <x v="3"/>
    <x v="2"/>
    <x v="7"/>
    <x v="3"/>
    <n v="21.025630950927699"/>
    <n v="92.524818420410199"/>
    <n v="198196"/>
    <x v="0"/>
    <m/>
  </r>
  <r>
    <x v="2"/>
    <x v="11"/>
    <x v="1"/>
    <x v="14"/>
    <x v="201"/>
    <n v="60"/>
    <n v="318"/>
    <m/>
    <s v="UNICEF"/>
    <d v="2018-08-31T00:00:00"/>
    <n v="0"/>
    <s v="Yes"/>
    <m/>
    <m/>
    <m/>
    <m/>
    <m/>
    <m/>
    <m/>
    <m/>
    <m/>
    <m/>
    <m/>
    <m/>
    <m/>
    <m/>
    <m/>
    <m/>
    <m/>
    <m/>
    <n v="3"/>
    <x v="4"/>
    <x v="4"/>
    <m/>
    <m/>
    <m/>
    <n v="0"/>
    <s v="Household"/>
    <n v="0"/>
    <n v="0"/>
    <n v="7"/>
    <m/>
    <m/>
    <x v="0"/>
    <m/>
    <m/>
    <m/>
    <m/>
    <s v="no test"/>
    <s v="no test"/>
    <x v="1"/>
    <n v="0"/>
    <n v="0"/>
    <n v="0"/>
    <n v="0"/>
    <n v="0"/>
    <n v="0"/>
    <n v="0"/>
    <n v="0"/>
    <n v="0"/>
    <n v="1"/>
    <n v="318"/>
    <n v="1"/>
    <n v="1"/>
    <n v="0"/>
    <n v="0"/>
    <n v="0"/>
    <n v="1"/>
    <n v="53"/>
    <n v="53"/>
    <n v="0"/>
    <s v="N/A"/>
    <n v="318"/>
    <n v="0"/>
    <n v="1"/>
    <n v="0"/>
    <n v="0"/>
    <n v="0"/>
    <n v="1"/>
    <n v="1"/>
    <n v="0"/>
    <n v="0"/>
    <n v="0"/>
    <n v="0"/>
    <n v="0"/>
    <n v="0"/>
    <n v="0"/>
    <n v="0"/>
    <x v="3"/>
    <x v="2"/>
    <x v="7"/>
    <x v="6"/>
    <n v="20.936040878295898"/>
    <n v="92.475830078125"/>
    <n v="198177"/>
    <x v="0"/>
    <m/>
  </r>
  <r>
    <x v="2"/>
    <x v="11"/>
    <x v="1"/>
    <x v="14"/>
    <x v="202"/>
    <n v="360"/>
    <n v="1544"/>
    <m/>
    <s v="UNICEF"/>
    <d v="2018-02-14T00:00:00"/>
    <n v="0"/>
    <s v="Yes"/>
    <n v="0"/>
    <n v="0"/>
    <n v="0"/>
    <n v="3"/>
    <n v="0"/>
    <n v="2"/>
    <n v="0"/>
    <m/>
    <m/>
    <m/>
    <m/>
    <m/>
    <m/>
    <m/>
    <n v="0"/>
    <n v="0"/>
    <m/>
    <m/>
    <n v="0"/>
    <x v="4"/>
    <x v="4"/>
    <m/>
    <m/>
    <s v="HH latrines in village"/>
    <n v="0"/>
    <s v="Household"/>
    <n v="0"/>
    <n v="0"/>
    <n v="7"/>
    <m/>
    <m/>
    <x v="0"/>
    <m/>
    <m/>
    <m/>
    <m/>
    <s v="no test"/>
    <s v="no test"/>
    <x v="1"/>
    <n v="1"/>
    <n v="0.48575129533678757"/>
    <n v="0.48575129533678757"/>
    <n v="750"/>
    <n v="0.32383419689119169"/>
    <n v="500"/>
    <n v="0.80958549222797926"/>
    <n v="1250"/>
    <n v="2.5"/>
    <n v="0.19041450777202074"/>
    <n v="294"/>
    <n v="0.5"/>
    <n v="3"/>
    <n v="0"/>
    <n v="0"/>
    <n v="0"/>
    <n v="0.99870466321243534"/>
    <n v="257"/>
    <n v="257"/>
    <n v="0"/>
    <s v="N/A"/>
    <n v="1544"/>
    <n v="0"/>
    <n v="1"/>
    <n v="0"/>
    <n v="0"/>
    <n v="0"/>
    <n v="1"/>
    <n v="1"/>
    <n v="0"/>
    <n v="0"/>
    <n v="0"/>
    <n v="0"/>
    <n v="0"/>
    <n v="0"/>
    <n v="0"/>
    <n v="0"/>
    <x v="3"/>
    <x v="2"/>
    <x v="7"/>
    <x v="3"/>
    <n v="20.926780700683601"/>
    <n v="92.5399169921875"/>
    <n v="198234"/>
    <x v="0"/>
    <m/>
  </r>
  <r>
    <x v="2"/>
    <x v="11"/>
    <x v="1"/>
    <x v="14"/>
    <x v="203"/>
    <n v="360"/>
    <n v="1759"/>
    <m/>
    <s v="UNICEF"/>
    <d v="2018-02-14T00:00:00"/>
    <n v="0"/>
    <s v="Yes"/>
    <n v="0"/>
    <n v="0"/>
    <n v="0"/>
    <n v="0"/>
    <n v="0"/>
    <n v="3"/>
    <n v="0"/>
    <m/>
    <m/>
    <m/>
    <m/>
    <m/>
    <m/>
    <m/>
    <n v="15"/>
    <n v="0"/>
    <m/>
    <m/>
    <n v="15"/>
    <x v="4"/>
    <x v="4"/>
    <m/>
    <m/>
    <s v="HH latrines in village"/>
    <n v="0"/>
    <s v="Household"/>
    <n v="0"/>
    <n v="0"/>
    <n v="7"/>
    <m/>
    <m/>
    <x v="0"/>
    <m/>
    <m/>
    <m/>
    <m/>
    <s v="no test"/>
    <s v="no test"/>
    <x v="1"/>
    <n v="0"/>
    <n v="0"/>
    <n v="0"/>
    <n v="0"/>
    <n v="0.42637862421830586"/>
    <n v="750"/>
    <n v="0.42637862421830586"/>
    <n v="750"/>
    <n v="1.5"/>
    <n v="0.57362137578169414"/>
    <n v="1009"/>
    <n v="2.5"/>
    <n v="4"/>
    <n v="15"/>
    <n v="5.1165434906196704E-2"/>
    <n v="90"/>
    <n v="0.94826606026151217"/>
    <n v="278"/>
    <n v="293"/>
    <n v="0"/>
    <s v="N/A"/>
    <n v="1759"/>
    <n v="0"/>
    <n v="1"/>
    <n v="0"/>
    <n v="0"/>
    <n v="0"/>
    <n v="1"/>
    <n v="1"/>
    <n v="0"/>
    <n v="0"/>
    <n v="0"/>
    <n v="0"/>
    <n v="0"/>
    <n v="0"/>
    <n v="0"/>
    <n v="0"/>
    <x v="3"/>
    <x v="2"/>
    <x v="7"/>
    <x v="3"/>
    <n v="20.782770156860401"/>
    <n v="92.551826477050795"/>
    <n v="198388"/>
    <x v="0"/>
    <m/>
  </r>
  <r>
    <x v="2"/>
    <x v="2"/>
    <x v="1"/>
    <x v="15"/>
    <x v="204"/>
    <n v="65"/>
    <n v="211"/>
    <m/>
    <m/>
    <m/>
    <n v="31"/>
    <s v="Yes"/>
    <n v="0.6"/>
    <n v="0"/>
    <n v="0"/>
    <n v="0"/>
    <n v="15066"/>
    <n v="0"/>
    <n v="0"/>
    <m/>
    <m/>
    <m/>
    <m/>
    <m/>
    <m/>
    <m/>
    <n v="65"/>
    <n v="65"/>
    <m/>
    <m/>
    <n v="65"/>
    <x v="3"/>
    <x v="0"/>
    <m/>
    <m/>
    <s v="still need to improve through hygiene awareness session"/>
    <n v="1"/>
    <s v="Household"/>
    <n v="0"/>
    <n v="0"/>
    <n v="1"/>
    <m/>
    <m/>
    <x v="0"/>
    <m/>
    <m/>
    <m/>
    <s v="not provided by Oxfam"/>
    <s v="no test"/>
    <s v="no test"/>
    <x v="1"/>
    <n v="1"/>
    <n v="1"/>
    <n v="1"/>
    <n v="211"/>
    <n v="0"/>
    <n v="0"/>
    <n v="1"/>
    <n v="211"/>
    <n v="0.42199999999999999"/>
    <n v="0"/>
    <n v="0"/>
    <n v="0.57800000000000007"/>
    <n v="1"/>
    <n v="130"/>
    <n v="1"/>
    <n v="211"/>
    <n v="0"/>
    <n v="0"/>
    <n v="35"/>
    <n v="0.5"/>
    <s v="N/A"/>
    <n v="211"/>
    <n v="0"/>
    <n v="1"/>
    <n v="0"/>
    <n v="0"/>
    <n v="0"/>
    <n v="1"/>
    <n v="1"/>
    <n v="0"/>
    <n v="0"/>
    <n v="0"/>
    <n v="0"/>
    <n v="0"/>
    <n v="65"/>
    <s v="Yes"/>
    <n v="0"/>
    <x v="3"/>
    <x v="2"/>
    <x v="8"/>
    <x v="3"/>
    <n v="19.421102000000001"/>
    <n v="93.552452000000002"/>
    <s v="MMR012CMP036"/>
    <x v="1"/>
    <m/>
  </r>
  <r>
    <x v="2"/>
    <x v="17"/>
    <x v="1"/>
    <x v="15"/>
    <x v="334"/>
    <n v="366"/>
    <n v="992"/>
    <s v="NA"/>
    <s v="UNICEF"/>
    <d v="2018-06-30T00:00:00"/>
    <m/>
    <s v="No"/>
    <m/>
    <m/>
    <n v="4"/>
    <n v="2"/>
    <n v="0"/>
    <n v="0"/>
    <m/>
    <m/>
    <m/>
    <n v="0"/>
    <n v="4"/>
    <n v="3"/>
    <n v="17"/>
    <n v="14"/>
    <n v="90"/>
    <n v="10"/>
    <m/>
    <m/>
    <m/>
    <x v="0"/>
    <x v="2"/>
    <m/>
    <m/>
    <m/>
    <n v="1"/>
    <s v="Communal"/>
    <n v="252"/>
    <n v="2"/>
    <n v="28"/>
    <n v="365"/>
    <n v="281"/>
    <x v="0"/>
    <m/>
    <m/>
    <m/>
    <m/>
    <s v="no test"/>
    <n v="0.75"/>
    <x v="0"/>
    <n v="1"/>
    <n v="1"/>
    <n v="1"/>
    <n v="992"/>
    <n v="0"/>
    <n v="0"/>
    <n v="1"/>
    <n v="992"/>
    <n v="1.984"/>
    <n v="0"/>
    <n v="0"/>
    <n v="1.6000000000000014E-2"/>
    <n v="2"/>
    <n v="100"/>
    <n v="1"/>
    <n v="992"/>
    <n v="0"/>
    <n v="0"/>
    <n v="50"/>
    <n v="0.1"/>
    <n v="0"/>
    <n v="992"/>
    <n v="0"/>
    <n v="1"/>
    <n v="0"/>
    <n v="0"/>
    <n v="0"/>
    <n v="1"/>
    <n v="1"/>
    <n v="0.99726775956284153"/>
    <n v="0.76775956284153002"/>
    <n v="1825"/>
    <n v="1405"/>
    <n v="1825"/>
    <n v="366"/>
    <s v="Yes"/>
    <n v="0"/>
    <x v="1"/>
    <x v="0"/>
    <x v="9"/>
    <x v="5"/>
    <n v="19.424576999999999"/>
    <n v="93.512326000000002"/>
    <s v="MMR012CMP035"/>
    <x v="0"/>
    <m/>
  </r>
  <r>
    <x v="2"/>
    <x v="12"/>
    <x v="1"/>
    <x v="17"/>
    <x v="206"/>
    <n v="74"/>
    <n v="326"/>
    <m/>
    <s v="GIZ"/>
    <d v="2019-05-30T00:00:00"/>
    <n v="0"/>
    <s v="No"/>
    <n v="0"/>
    <n v="0"/>
    <n v="0"/>
    <n v="0"/>
    <n v="0"/>
    <n v="0"/>
    <n v="0"/>
    <m/>
    <m/>
    <m/>
    <m/>
    <m/>
    <m/>
    <m/>
    <n v="0"/>
    <n v="0"/>
    <m/>
    <m/>
    <n v="0"/>
    <x v="3"/>
    <x v="2"/>
    <m/>
    <m/>
    <m/>
    <n v="0"/>
    <m/>
    <n v="0"/>
    <n v="0"/>
    <n v="0"/>
    <m/>
    <m/>
    <x v="0"/>
    <m/>
    <m/>
    <m/>
    <m/>
    <s v="no test"/>
    <s v="no test"/>
    <x v="1"/>
    <n v="0"/>
    <n v="0"/>
    <n v="0"/>
    <n v="0"/>
    <n v="0"/>
    <n v="0"/>
    <n v="0"/>
    <n v="0"/>
    <n v="0"/>
    <n v="1"/>
    <n v="326"/>
    <n v="1"/>
    <n v="1"/>
    <n v="0"/>
    <n v="0"/>
    <n v="0"/>
    <n v="0.99386503067484655"/>
    <n v="54"/>
    <n v="54"/>
    <n v="0"/>
    <s v="N/A"/>
    <n v="0"/>
    <n v="0"/>
    <n v="0"/>
    <n v="0"/>
    <n v="0"/>
    <n v="0"/>
    <n v="1"/>
    <n v="0"/>
    <n v="0"/>
    <n v="0"/>
    <n v="0"/>
    <n v="0"/>
    <n v="0"/>
    <n v="0"/>
    <n v="0"/>
    <n v="0"/>
    <x v="2"/>
    <x v="2"/>
    <x v="6"/>
    <x v="7"/>
    <n v="20.8550128936768"/>
    <n v="92.91"/>
    <n v="196824"/>
    <x v="0"/>
    <m/>
  </r>
  <r>
    <x v="2"/>
    <x v="2"/>
    <x v="1"/>
    <x v="17"/>
    <x v="207"/>
    <n v="167"/>
    <n v="836"/>
    <m/>
    <m/>
    <m/>
    <m/>
    <s v="No"/>
    <n v="0"/>
    <n v="0"/>
    <n v="0"/>
    <n v="0"/>
    <m/>
    <m/>
    <n v="0"/>
    <m/>
    <m/>
    <m/>
    <m/>
    <m/>
    <m/>
    <m/>
    <n v="53"/>
    <m/>
    <m/>
    <m/>
    <n v="0"/>
    <x v="1"/>
    <x v="1"/>
    <m/>
    <m/>
    <m/>
    <n v="0"/>
    <m/>
    <n v="0"/>
    <m/>
    <n v="0"/>
    <m/>
    <m/>
    <x v="0"/>
    <m/>
    <m/>
    <m/>
    <m/>
    <s v="no test"/>
    <s v="no test"/>
    <x v="1"/>
    <n v="0"/>
    <n v="0"/>
    <n v="0"/>
    <n v="0"/>
    <n v="0"/>
    <n v="0"/>
    <n v="0"/>
    <n v="0"/>
    <n v="0"/>
    <n v="1"/>
    <n v="836"/>
    <n v="2"/>
    <n v="2"/>
    <n v="53"/>
    <n v="0.38038277511961721"/>
    <n v="318"/>
    <n v="0.61722488038277512"/>
    <n v="86"/>
    <n v="139"/>
    <n v="0"/>
    <s v="N/A"/>
    <n v="0"/>
    <n v="0"/>
    <n v="0"/>
    <n v="0"/>
    <n v="0"/>
    <n v="0"/>
    <n v="1"/>
    <n v="0"/>
    <n v="0"/>
    <n v="0"/>
    <n v="0"/>
    <n v="0"/>
    <n v="0"/>
    <n v="0"/>
    <n v="0"/>
    <n v="0"/>
    <x v="3"/>
    <x v="2"/>
    <x v="7"/>
    <x v="3"/>
    <n v="0"/>
    <n v="0"/>
    <n v="0"/>
    <x v="1"/>
    <m/>
  </r>
  <r>
    <x v="2"/>
    <x v="2"/>
    <x v="1"/>
    <x v="17"/>
    <x v="208"/>
    <n v="92"/>
    <n v="559"/>
    <m/>
    <m/>
    <m/>
    <m/>
    <s v="No"/>
    <n v="0"/>
    <n v="0"/>
    <n v="0"/>
    <n v="0"/>
    <m/>
    <m/>
    <n v="0"/>
    <m/>
    <m/>
    <m/>
    <m/>
    <m/>
    <m/>
    <m/>
    <n v="194"/>
    <m/>
    <m/>
    <m/>
    <n v="0"/>
    <x v="1"/>
    <x v="1"/>
    <m/>
    <m/>
    <m/>
    <n v="0"/>
    <m/>
    <n v="0"/>
    <m/>
    <n v="0"/>
    <m/>
    <m/>
    <x v="0"/>
    <m/>
    <m/>
    <m/>
    <m/>
    <s v="no test"/>
    <s v="no test"/>
    <x v="1"/>
    <n v="0"/>
    <n v="0"/>
    <n v="0"/>
    <n v="0"/>
    <n v="0"/>
    <n v="0"/>
    <n v="0"/>
    <n v="0"/>
    <n v="0"/>
    <n v="1"/>
    <n v="559"/>
    <n v="1"/>
    <n v="1"/>
    <n v="194"/>
    <n v="1"/>
    <n v="559"/>
    <n v="0"/>
    <n v="0"/>
    <n v="93"/>
    <n v="0"/>
    <s v="N/A"/>
    <n v="0"/>
    <n v="0"/>
    <n v="0"/>
    <n v="0"/>
    <n v="0"/>
    <n v="0"/>
    <n v="1"/>
    <n v="0"/>
    <n v="0"/>
    <n v="0"/>
    <n v="0"/>
    <n v="0"/>
    <n v="0"/>
    <n v="0"/>
    <n v="0"/>
    <n v="0"/>
    <x v="3"/>
    <x v="2"/>
    <x v="10"/>
    <x v="3"/>
    <n v="20.720213000000001"/>
    <n v="92.961841000000007"/>
    <s v="MMR012CMP024"/>
    <x v="1"/>
    <m/>
  </r>
  <r>
    <x v="2"/>
    <x v="2"/>
    <x v="1"/>
    <x v="17"/>
    <x v="209"/>
    <n v="175"/>
    <n v="855"/>
    <m/>
    <m/>
    <m/>
    <m/>
    <s v="No"/>
    <n v="0"/>
    <n v="0"/>
    <n v="0"/>
    <n v="0"/>
    <m/>
    <m/>
    <n v="1"/>
    <m/>
    <m/>
    <m/>
    <m/>
    <m/>
    <m/>
    <m/>
    <n v="0"/>
    <m/>
    <m/>
    <m/>
    <n v="0"/>
    <x v="1"/>
    <x v="1"/>
    <m/>
    <m/>
    <m/>
    <n v="0"/>
    <m/>
    <n v="0"/>
    <m/>
    <m/>
    <m/>
    <m/>
    <x v="0"/>
    <m/>
    <m/>
    <m/>
    <m/>
    <s v="no test"/>
    <s v="no test"/>
    <x v="1"/>
    <n v="0"/>
    <n v="0"/>
    <n v="0"/>
    <n v="0"/>
    <n v="0"/>
    <n v="0"/>
    <n v="0"/>
    <n v="0"/>
    <n v="0"/>
    <n v="1"/>
    <n v="855"/>
    <n v="2"/>
    <n v="2"/>
    <n v="0"/>
    <n v="0"/>
    <n v="0"/>
    <n v="1"/>
    <n v="143"/>
    <n v="143"/>
    <n v="0"/>
    <s v="N/A"/>
    <n v="0"/>
    <n v="0"/>
    <n v="0"/>
    <n v="0"/>
    <n v="0"/>
    <n v="0"/>
    <n v="1"/>
    <n v="0"/>
    <n v="0"/>
    <n v="0"/>
    <n v="0"/>
    <n v="0"/>
    <n v="0"/>
    <n v="0"/>
    <n v="0"/>
    <n v="0"/>
    <x v="3"/>
    <x v="2"/>
    <x v="7"/>
    <x v="3"/>
    <n v="20.627639770507798"/>
    <n v="93.022773742675795"/>
    <s v="196878"/>
    <x v="1"/>
    <m/>
  </r>
  <r>
    <x v="2"/>
    <x v="12"/>
    <x v="1"/>
    <x v="17"/>
    <x v="210"/>
    <n v="337"/>
    <n v="1571"/>
    <m/>
    <s v="GIZ"/>
    <d v="2019-05-30T00:00:00"/>
    <n v="0"/>
    <s v="No"/>
    <n v="0"/>
    <n v="0"/>
    <n v="0"/>
    <n v="0"/>
    <n v="0"/>
    <n v="0"/>
    <n v="0"/>
    <m/>
    <m/>
    <m/>
    <m/>
    <m/>
    <m/>
    <m/>
    <n v="0"/>
    <n v="0"/>
    <m/>
    <m/>
    <n v="0"/>
    <x v="3"/>
    <x v="2"/>
    <m/>
    <m/>
    <m/>
    <n v="0"/>
    <m/>
    <n v="0"/>
    <n v="0"/>
    <n v="0"/>
    <m/>
    <m/>
    <x v="0"/>
    <m/>
    <m/>
    <m/>
    <m/>
    <s v="no test"/>
    <s v="no test"/>
    <x v="1"/>
    <n v="0"/>
    <n v="0"/>
    <n v="0"/>
    <n v="0"/>
    <n v="0"/>
    <n v="0"/>
    <n v="0"/>
    <n v="0"/>
    <n v="0"/>
    <n v="1"/>
    <n v="1571"/>
    <n v="3"/>
    <n v="3"/>
    <n v="0"/>
    <n v="0"/>
    <n v="0"/>
    <n v="1"/>
    <n v="262"/>
    <n v="262"/>
    <n v="0"/>
    <s v="N/A"/>
    <n v="0"/>
    <n v="0"/>
    <n v="0"/>
    <n v="0"/>
    <n v="0"/>
    <n v="0"/>
    <n v="1"/>
    <n v="0"/>
    <n v="0"/>
    <n v="0"/>
    <n v="0"/>
    <n v="0"/>
    <n v="0"/>
    <n v="0"/>
    <n v="0"/>
    <n v="0"/>
    <x v="2"/>
    <x v="2"/>
    <x v="6"/>
    <x v="3"/>
    <n v="20.705930709838899"/>
    <n v="93.001953125"/>
    <s v="196943"/>
    <x v="0"/>
    <m/>
  </r>
  <r>
    <x v="2"/>
    <x v="12"/>
    <x v="1"/>
    <x v="17"/>
    <x v="211"/>
    <n v="76"/>
    <n v="363"/>
    <m/>
    <s v="GIZ"/>
    <d v="2019-05-30T00:00:00"/>
    <n v="0"/>
    <s v="No"/>
    <n v="0"/>
    <n v="0"/>
    <n v="0"/>
    <n v="0"/>
    <n v="0"/>
    <n v="0"/>
    <n v="0"/>
    <m/>
    <m/>
    <m/>
    <m/>
    <m/>
    <m/>
    <m/>
    <n v="0"/>
    <n v="0"/>
    <m/>
    <m/>
    <n v="0"/>
    <x v="3"/>
    <x v="2"/>
    <m/>
    <m/>
    <m/>
    <n v="0"/>
    <m/>
    <n v="0"/>
    <n v="0"/>
    <n v="0"/>
    <m/>
    <m/>
    <x v="0"/>
    <m/>
    <m/>
    <m/>
    <m/>
    <s v="no test"/>
    <s v="no test"/>
    <x v="1"/>
    <n v="0"/>
    <n v="0"/>
    <n v="0"/>
    <n v="0"/>
    <n v="0"/>
    <n v="0"/>
    <n v="0"/>
    <n v="0"/>
    <n v="0"/>
    <n v="1"/>
    <n v="363"/>
    <n v="1"/>
    <n v="1"/>
    <n v="0"/>
    <n v="0"/>
    <n v="0"/>
    <n v="1"/>
    <n v="61"/>
    <n v="61"/>
    <n v="0"/>
    <s v="N/A"/>
    <n v="0"/>
    <n v="0"/>
    <n v="0"/>
    <n v="0"/>
    <n v="0"/>
    <n v="0"/>
    <n v="1"/>
    <n v="0"/>
    <n v="0"/>
    <n v="0"/>
    <n v="0"/>
    <n v="0"/>
    <n v="0"/>
    <n v="0"/>
    <n v="0"/>
    <n v="0"/>
    <x v="2"/>
    <x v="2"/>
    <x v="6"/>
    <x v="7"/>
    <n v="20.851089477539102"/>
    <n v="92.916893005371094"/>
    <n v="196825"/>
    <x v="0"/>
    <m/>
  </r>
  <r>
    <x v="2"/>
    <x v="2"/>
    <x v="1"/>
    <x v="17"/>
    <x v="212"/>
    <n v="165"/>
    <n v="786"/>
    <m/>
    <m/>
    <m/>
    <m/>
    <s v="No"/>
    <n v="0"/>
    <n v="0"/>
    <n v="0"/>
    <n v="0"/>
    <m/>
    <m/>
    <n v="1"/>
    <m/>
    <m/>
    <m/>
    <m/>
    <m/>
    <m/>
    <m/>
    <n v="0"/>
    <m/>
    <m/>
    <m/>
    <n v="0"/>
    <x v="1"/>
    <x v="1"/>
    <m/>
    <m/>
    <m/>
    <n v="0"/>
    <m/>
    <n v="0"/>
    <m/>
    <m/>
    <m/>
    <m/>
    <x v="0"/>
    <m/>
    <m/>
    <m/>
    <m/>
    <s v="no test"/>
    <s v="no test"/>
    <x v="1"/>
    <n v="0"/>
    <n v="0"/>
    <n v="0"/>
    <n v="0"/>
    <n v="0"/>
    <n v="0"/>
    <n v="0"/>
    <n v="0"/>
    <n v="0"/>
    <n v="1"/>
    <n v="786"/>
    <n v="2"/>
    <n v="2"/>
    <n v="0"/>
    <n v="0"/>
    <n v="0"/>
    <n v="1"/>
    <n v="131"/>
    <n v="131"/>
    <n v="0"/>
    <s v="N/A"/>
    <n v="0"/>
    <n v="0"/>
    <n v="0"/>
    <n v="0"/>
    <n v="0"/>
    <n v="0"/>
    <n v="1"/>
    <n v="0"/>
    <n v="0"/>
    <n v="0"/>
    <n v="0"/>
    <n v="0"/>
    <n v="0"/>
    <n v="0"/>
    <n v="0"/>
    <n v="0"/>
    <x v="3"/>
    <x v="2"/>
    <x v="7"/>
    <x v="3"/>
    <n v="20.644098281860401"/>
    <n v="93.036460876464801"/>
    <s v="196983"/>
    <x v="1"/>
    <m/>
  </r>
  <r>
    <x v="2"/>
    <x v="2"/>
    <x v="1"/>
    <x v="17"/>
    <x v="213"/>
    <n v="116"/>
    <n v="802"/>
    <m/>
    <m/>
    <m/>
    <m/>
    <s v="No"/>
    <n v="0"/>
    <n v="0"/>
    <n v="0"/>
    <n v="0"/>
    <m/>
    <m/>
    <n v="0"/>
    <m/>
    <m/>
    <m/>
    <m/>
    <m/>
    <m/>
    <m/>
    <n v="40"/>
    <m/>
    <m/>
    <m/>
    <n v="0"/>
    <x v="1"/>
    <x v="1"/>
    <m/>
    <m/>
    <m/>
    <n v="0"/>
    <m/>
    <n v="0"/>
    <m/>
    <n v="0"/>
    <m/>
    <m/>
    <x v="0"/>
    <m/>
    <m/>
    <m/>
    <m/>
    <s v="no test"/>
    <s v="no test"/>
    <x v="1"/>
    <n v="0"/>
    <n v="0"/>
    <n v="0"/>
    <n v="0"/>
    <n v="0"/>
    <n v="0"/>
    <n v="0"/>
    <n v="0"/>
    <n v="0"/>
    <n v="1"/>
    <n v="802"/>
    <n v="2"/>
    <n v="2"/>
    <n v="40"/>
    <n v="0.29925187032418954"/>
    <n v="240"/>
    <n v="0.70324189526184544"/>
    <n v="94"/>
    <n v="134"/>
    <n v="0"/>
    <s v="N/A"/>
    <n v="0"/>
    <n v="0"/>
    <n v="0"/>
    <n v="0"/>
    <n v="0"/>
    <n v="0"/>
    <n v="1"/>
    <n v="0"/>
    <n v="0"/>
    <n v="0"/>
    <n v="0"/>
    <n v="0"/>
    <n v="0"/>
    <n v="0"/>
    <n v="0"/>
    <n v="0"/>
    <x v="3"/>
    <x v="2"/>
    <x v="10"/>
    <x v="5"/>
    <n v="20.713259999999998"/>
    <n v="93.014089999999996"/>
    <s v="MMR012CMP027"/>
    <x v="1"/>
    <m/>
  </r>
  <r>
    <x v="2"/>
    <x v="2"/>
    <x v="1"/>
    <x v="17"/>
    <x v="214"/>
    <n v="314"/>
    <n v="1569"/>
    <m/>
    <m/>
    <m/>
    <m/>
    <s v="No"/>
    <n v="0"/>
    <n v="0"/>
    <n v="0"/>
    <n v="0"/>
    <m/>
    <m/>
    <n v="0"/>
    <m/>
    <m/>
    <m/>
    <m/>
    <m/>
    <m/>
    <m/>
    <n v="160"/>
    <m/>
    <m/>
    <m/>
    <n v="0"/>
    <x v="1"/>
    <x v="1"/>
    <m/>
    <m/>
    <m/>
    <n v="0"/>
    <m/>
    <n v="0"/>
    <m/>
    <n v="0"/>
    <m/>
    <m/>
    <x v="0"/>
    <m/>
    <m/>
    <m/>
    <m/>
    <s v="no test"/>
    <s v="no test"/>
    <x v="1"/>
    <n v="0"/>
    <n v="0"/>
    <n v="0"/>
    <n v="0"/>
    <n v="0"/>
    <n v="0"/>
    <n v="0"/>
    <n v="0"/>
    <n v="0"/>
    <n v="1"/>
    <n v="1569"/>
    <n v="3"/>
    <n v="3"/>
    <n v="160"/>
    <n v="0.6118546845124283"/>
    <n v="960"/>
    <n v="0.39005736137667302"/>
    <n v="102"/>
    <n v="262"/>
    <n v="0"/>
    <s v="N/A"/>
    <n v="0"/>
    <n v="0"/>
    <n v="0"/>
    <n v="0"/>
    <n v="0"/>
    <n v="0"/>
    <n v="1"/>
    <n v="0"/>
    <n v="0"/>
    <n v="0"/>
    <n v="0"/>
    <n v="0"/>
    <n v="0"/>
    <n v="0"/>
    <n v="0"/>
    <n v="0"/>
    <x v="3"/>
    <x v="2"/>
    <x v="7"/>
    <x v="3"/>
    <n v="20.709970473999999"/>
    <n v="93.015357971"/>
    <s v="196973"/>
    <x v="1"/>
    <m/>
  </r>
  <r>
    <x v="2"/>
    <x v="12"/>
    <x v="1"/>
    <x v="17"/>
    <x v="215"/>
    <n v="75"/>
    <n v="379"/>
    <m/>
    <s v="GIZ"/>
    <d v="2019-05-30T00:00:00"/>
    <n v="0"/>
    <s v="No"/>
    <n v="0"/>
    <n v="0"/>
    <n v="0"/>
    <n v="0"/>
    <n v="0"/>
    <n v="0"/>
    <n v="0"/>
    <m/>
    <m/>
    <m/>
    <m/>
    <m/>
    <m/>
    <m/>
    <n v="0"/>
    <n v="0"/>
    <m/>
    <m/>
    <n v="0"/>
    <x v="3"/>
    <x v="2"/>
    <m/>
    <m/>
    <m/>
    <n v="0"/>
    <m/>
    <n v="0"/>
    <n v="0"/>
    <n v="0"/>
    <m/>
    <m/>
    <x v="0"/>
    <m/>
    <m/>
    <m/>
    <m/>
    <s v="no test"/>
    <s v="no test"/>
    <x v="1"/>
    <n v="0"/>
    <n v="0"/>
    <n v="0"/>
    <n v="0"/>
    <n v="0"/>
    <n v="0"/>
    <n v="0"/>
    <n v="0"/>
    <n v="0"/>
    <n v="1"/>
    <n v="379"/>
    <n v="1"/>
    <n v="1"/>
    <n v="0"/>
    <n v="0"/>
    <n v="0"/>
    <n v="0.99736147757255944"/>
    <n v="63"/>
    <n v="63"/>
    <n v="0"/>
    <s v="N/A"/>
    <n v="0"/>
    <n v="0"/>
    <n v="0"/>
    <n v="0"/>
    <n v="0"/>
    <n v="0"/>
    <n v="1"/>
    <n v="0"/>
    <n v="0"/>
    <n v="0"/>
    <n v="0"/>
    <n v="0"/>
    <n v="0"/>
    <n v="0"/>
    <n v="0"/>
    <n v="0"/>
    <x v="2"/>
    <x v="2"/>
    <x v="6"/>
    <x v="7"/>
    <n v="20.803529739379901"/>
    <n v="92.929466247558594"/>
    <s v="196883"/>
    <x v="0"/>
    <m/>
  </r>
  <r>
    <x v="2"/>
    <x v="12"/>
    <x v="1"/>
    <x v="17"/>
    <x v="216"/>
    <n v="142"/>
    <n v="1214"/>
    <m/>
    <s v="GIZ"/>
    <d v="2019-05-30T00:00:00"/>
    <n v="0"/>
    <s v="No"/>
    <n v="0"/>
    <n v="0"/>
    <n v="0"/>
    <n v="0"/>
    <n v="0"/>
    <n v="0"/>
    <n v="0"/>
    <m/>
    <m/>
    <m/>
    <m/>
    <m/>
    <m/>
    <m/>
    <n v="0"/>
    <n v="0"/>
    <m/>
    <m/>
    <n v="0"/>
    <x v="3"/>
    <x v="2"/>
    <m/>
    <m/>
    <m/>
    <n v="0"/>
    <m/>
    <n v="0"/>
    <n v="0"/>
    <n v="0"/>
    <m/>
    <m/>
    <x v="0"/>
    <m/>
    <m/>
    <m/>
    <m/>
    <s v="no test"/>
    <s v="no test"/>
    <x v="1"/>
    <n v="0"/>
    <n v="0"/>
    <n v="0"/>
    <n v="0"/>
    <n v="0"/>
    <n v="0"/>
    <n v="0"/>
    <n v="0"/>
    <n v="0"/>
    <n v="1"/>
    <n v="1214"/>
    <n v="2"/>
    <n v="2"/>
    <n v="0"/>
    <n v="0"/>
    <n v="0"/>
    <n v="0.9983525535420098"/>
    <n v="202"/>
    <n v="202"/>
    <n v="0"/>
    <s v="N/A"/>
    <n v="0"/>
    <n v="0"/>
    <n v="0"/>
    <n v="0"/>
    <n v="0"/>
    <n v="0"/>
    <n v="1"/>
    <n v="0"/>
    <n v="0"/>
    <n v="0"/>
    <n v="0"/>
    <n v="0"/>
    <n v="0"/>
    <n v="0"/>
    <n v="0"/>
    <n v="0"/>
    <x v="3"/>
    <x v="2"/>
    <x v="10"/>
    <x v="5"/>
    <n v="20.696819999999999"/>
    <n v="93.009900000000002"/>
    <s v="MMR012CMP026"/>
    <x v="0"/>
    <m/>
  </r>
  <r>
    <x v="2"/>
    <x v="2"/>
    <x v="1"/>
    <x v="17"/>
    <x v="219"/>
    <n v="97"/>
    <n v="557"/>
    <m/>
    <m/>
    <m/>
    <m/>
    <s v="No"/>
    <n v="0"/>
    <n v="0"/>
    <n v="0"/>
    <n v="0"/>
    <m/>
    <m/>
    <n v="0"/>
    <m/>
    <m/>
    <m/>
    <m/>
    <m/>
    <m/>
    <m/>
    <n v="235"/>
    <m/>
    <m/>
    <m/>
    <n v="0"/>
    <x v="1"/>
    <x v="1"/>
    <m/>
    <m/>
    <m/>
    <n v="0"/>
    <m/>
    <n v="0"/>
    <m/>
    <n v="0"/>
    <m/>
    <m/>
    <x v="0"/>
    <m/>
    <m/>
    <m/>
    <m/>
    <s v="no test"/>
    <s v="no test"/>
    <x v="1"/>
    <n v="0"/>
    <n v="0"/>
    <n v="0"/>
    <n v="0"/>
    <n v="0"/>
    <n v="0"/>
    <n v="0"/>
    <n v="0"/>
    <n v="0"/>
    <n v="1"/>
    <n v="557"/>
    <n v="1"/>
    <n v="1"/>
    <n v="235"/>
    <n v="1"/>
    <n v="557"/>
    <n v="0"/>
    <n v="0"/>
    <n v="93"/>
    <n v="0"/>
    <s v="N/A"/>
    <n v="0"/>
    <n v="0"/>
    <n v="0"/>
    <n v="0"/>
    <n v="0"/>
    <n v="0"/>
    <n v="1"/>
    <n v="0"/>
    <n v="0"/>
    <n v="0"/>
    <n v="0"/>
    <n v="0"/>
    <n v="0"/>
    <n v="0"/>
    <n v="0"/>
    <n v="0"/>
    <x v="3"/>
    <x v="2"/>
    <x v="8"/>
    <x v="5"/>
    <n v="20.886997999999998"/>
    <n v="93.006497999999993"/>
    <s v="MMR012CMP030"/>
    <x v="1"/>
    <m/>
  </r>
  <r>
    <x v="2"/>
    <x v="12"/>
    <x v="1"/>
    <x v="17"/>
    <x v="220"/>
    <n v="52"/>
    <n v="295"/>
    <m/>
    <s v="GIZ"/>
    <d v="2019-05-30T00:00:00"/>
    <n v="0"/>
    <s v="No"/>
    <n v="0"/>
    <n v="0"/>
    <n v="0"/>
    <n v="0"/>
    <n v="0"/>
    <n v="0"/>
    <n v="0"/>
    <m/>
    <m/>
    <m/>
    <m/>
    <m/>
    <m/>
    <m/>
    <n v="0"/>
    <n v="0"/>
    <m/>
    <m/>
    <n v="0"/>
    <x v="4"/>
    <x v="4"/>
    <m/>
    <m/>
    <m/>
    <n v="0"/>
    <m/>
    <n v="0"/>
    <n v="0"/>
    <n v="0"/>
    <m/>
    <m/>
    <x v="0"/>
    <m/>
    <m/>
    <m/>
    <m/>
    <s v="no test"/>
    <s v="no test"/>
    <x v="1"/>
    <n v="0"/>
    <n v="0"/>
    <n v="0"/>
    <n v="0"/>
    <n v="0"/>
    <n v="0"/>
    <n v="0"/>
    <n v="0"/>
    <n v="0"/>
    <n v="1"/>
    <n v="295"/>
    <n v="1"/>
    <n v="1"/>
    <n v="0"/>
    <n v="0"/>
    <n v="0"/>
    <n v="0.99661016949152548"/>
    <n v="49"/>
    <n v="49"/>
    <n v="0"/>
    <s v="N/A"/>
    <n v="0"/>
    <n v="0"/>
    <n v="0"/>
    <n v="0"/>
    <n v="0"/>
    <n v="0"/>
    <n v="1"/>
    <n v="0"/>
    <n v="0"/>
    <n v="0"/>
    <n v="0"/>
    <n v="0"/>
    <n v="0"/>
    <n v="0"/>
    <n v="0"/>
    <n v="0"/>
    <x v="2"/>
    <x v="2"/>
    <x v="6"/>
    <x v="7"/>
    <n v="20.8950595855713"/>
    <n v="92.907356262207003"/>
    <n v="196807"/>
    <x v="0"/>
    <m/>
  </r>
  <r>
    <x v="2"/>
    <x v="12"/>
    <x v="1"/>
    <x v="17"/>
    <x v="221"/>
    <n v="35"/>
    <n v="238"/>
    <m/>
    <s v="GIZ"/>
    <d v="2019-05-30T00:00:00"/>
    <n v="0"/>
    <s v="No"/>
    <n v="0"/>
    <n v="0"/>
    <n v="0"/>
    <n v="0"/>
    <n v="0"/>
    <n v="0"/>
    <n v="0"/>
    <m/>
    <m/>
    <m/>
    <m/>
    <m/>
    <m/>
    <m/>
    <n v="0"/>
    <n v="0"/>
    <m/>
    <m/>
    <n v="0"/>
    <x v="3"/>
    <x v="2"/>
    <m/>
    <m/>
    <m/>
    <n v="0"/>
    <m/>
    <n v="0"/>
    <n v="0"/>
    <n v="0"/>
    <m/>
    <m/>
    <x v="0"/>
    <m/>
    <m/>
    <m/>
    <m/>
    <s v="no test"/>
    <s v="no test"/>
    <x v="1"/>
    <n v="0"/>
    <n v="0"/>
    <n v="0"/>
    <n v="0"/>
    <n v="0"/>
    <n v="0"/>
    <n v="0"/>
    <n v="0"/>
    <n v="0"/>
    <n v="1"/>
    <n v="238"/>
    <n v="1"/>
    <n v="1"/>
    <n v="0"/>
    <n v="0"/>
    <n v="0"/>
    <n v="1"/>
    <n v="40"/>
    <n v="40"/>
    <n v="0"/>
    <s v="N/A"/>
    <n v="0"/>
    <n v="0"/>
    <n v="0"/>
    <n v="0"/>
    <n v="0"/>
    <n v="0"/>
    <n v="1"/>
    <n v="0"/>
    <n v="0"/>
    <n v="0"/>
    <n v="0"/>
    <n v="0"/>
    <n v="0"/>
    <n v="0"/>
    <n v="0"/>
    <n v="0"/>
    <x v="2"/>
    <x v="2"/>
    <x v="6"/>
    <x v="7"/>
    <n v="20.807970046997099"/>
    <n v="92.929046630859403"/>
    <n v="196882"/>
    <x v="0"/>
    <m/>
  </r>
  <r>
    <x v="2"/>
    <x v="2"/>
    <x v="1"/>
    <x v="17"/>
    <x v="222"/>
    <n v="130"/>
    <n v="664"/>
    <m/>
    <m/>
    <m/>
    <m/>
    <s v="No"/>
    <n v="0"/>
    <n v="0"/>
    <n v="0"/>
    <n v="0"/>
    <m/>
    <m/>
    <n v="1"/>
    <m/>
    <m/>
    <m/>
    <m/>
    <m/>
    <m/>
    <m/>
    <n v="0"/>
    <m/>
    <m/>
    <m/>
    <n v="0"/>
    <x v="1"/>
    <x v="1"/>
    <m/>
    <m/>
    <m/>
    <n v="0"/>
    <m/>
    <n v="0"/>
    <m/>
    <m/>
    <m/>
    <m/>
    <x v="0"/>
    <m/>
    <m/>
    <m/>
    <m/>
    <s v="no test"/>
    <s v="no test"/>
    <x v="1"/>
    <n v="0"/>
    <n v="0"/>
    <n v="0"/>
    <n v="0"/>
    <n v="0"/>
    <n v="0"/>
    <n v="0"/>
    <n v="0"/>
    <n v="0"/>
    <n v="1"/>
    <n v="664"/>
    <n v="1"/>
    <n v="1"/>
    <n v="0"/>
    <n v="0"/>
    <n v="0"/>
    <n v="1"/>
    <n v="111"/>
    <n v="111"/>
    <n v="0"/>
    <s v="N/A"/>
    <n v="0"/>
    <n v="0"/>
    <n v="0"/>
    <n v="0"/>
    <n v="0"/>
    <n v="0"/>
    <n v="1"/>
    <n v="0"/>
    <n v="0"/>
    <n v="0"/>
    <n v="0"/>
    <n v="0"/>
    <n v="0"/>
    <n v="0"/>
    <n v="0"/>
    <n v="0"/>
    <x v="3"/>
    <x v="2"/>
    <x v="7"/>
    <x v="3"/>
    <n v="20.6080207824707"/>
    <n v="93.035400390625"/>
    <s v="196875"/>
    <x v="1"/>
    <m/>
  </r>
  <r>
    <x v="2"/>
    <x v="2"/>
    <x v="1"/>
    <x v="17"/>
    <x v="223"/>
    <n v="289"/>
    <n v="1419"/>
    <m/>
    <m/>
    <m/>
    <m/>
    <s v="No"/>
    <n v="0"/>
    <n v="0"/>
    <n v="0"/>
    <n v="0"/>
    <m/>
    <m/>
    <n v="2"/>
    <m/>
    <m/>
    <m/>
    <m/>
    <m/>
    <m/>
    <m/>
    <n v="0"/>
    <m/>
    <m/>
    <m/>
    <n v="0"/>
    <x v="1"/>
    <x v="1"/>
    <m/>
    <m/>
    <m/>
    <n v="0"/>
    <m/>
    <n v="0"/>
    <m/>
    <m/>
    <m/>
    <m/>
    <x v="0"/>
    <m/>
    <m/>
    <m/>
    <m/>
    <s v="no test"/>
    <s v="no test"/>
    <x v="1"/>
    <n v="0"/>
    <n v="0"/>
    <n v="0"/>
    <n v="0"/>
    <n v="0"/>
    <n v="0"/>
    <n v="0"/>
    <n v="0"/>
    <n v="0"/>
    <n v="1"/>
    <n v="1419"/>
    <n v="3"/>
    <n v="3"/>
    <n v="0"/>
    <n v="0"/>
    <n v="0"/>
    <n v="1"/>
    <n v="237"/>
    <n v="237"/>
    <n v="0"/>
    <s v="N/A"/>
    <n v="0"/>
    <n v="0"/>
    <n v="0"/>
    <n v="0"/>
    <n v="0"/>
    <n v="0"/>
    <n v="1"/>
    <n v="0"/>
    <n v="0"/>
    <n v="0"/>
    <n v="0"/>
    <n v="0"/>
    <n v="0"/>
    <n v="0"/>
    <n v="0"/>
    <n v="0"/>
    <x v="3"/>
    <x v="2"/>
    <x v="7"/>
    <x v="3"/>
    <n v="20.716699600219702"/>
    <n v="92.997863769531307"/>
    <s v="196971"/>
    <x v="1"/>
    <m/>
  </r>
  <r>
    <x v="2"/>
    <x v="2"/>
    <x v="1"/>
    <x v="17"/>
    <x v="224"/>
    <n v="18"/>
    <n v="157"/>
    <m/>
    <m/>
    <m/>
    <m/>
    <s v="No"/>
    <n v="0"/>
    <n v="0"/>
    <n v="0"/>
    <n v="0"/>
    <m/>
    <m/>
    <n v="0"/>
    <m/>
    <m/>
    <m/>
    <m/>
    <m/>
    <m/>
    <m/>
    <n v="96"/>
    <m/>
    <m/>
    <m/>
    <n v="0"/>
    <x v="1"/>
    <x v="1"/>
    <m/>
    <m/>
    <m/>
    <n v="0"/>
    <m/>
    <n v="0"/>
    <m/>
    <n v="0"/>
    <m/>
    <m/>
    <x v="0"/>
    <m/>
    <m/>
    <m/>
    <m/>
    <s v="no test"/>
    <s v="no test"/>
    <x v="1"/>
    <n v="0"/>
    <n v="0"/>
    <n v="0"/>
    <n v="0"/>
    <n v="0"/>
    <n v="0"/>
    <n v="0"/>
    <n v="0"/>
    <n v="0"/>
    <n v="1"/>
    <n v="157"/>
    <n v="1"/>
    <n v="1"/>
    <n v="96"/>
    <n v="1"/>
    <n v="157"/>
    <n v="0"/>
    <n v="0"/>
    <n v="26"/>
    <n v="0"/>
    <s v="N/A"/>
    <n v="0"/>
    <n v="0"/>
    <n v="0"/>
    <n v="0"/>
    <n v="0"/>
    <n v="0"/>
    <n v="1"/>
    <n v="0"/>
    <n v="0"/>
    <n v="0"/>
    <n v="0"/>
    <n v="0"/>
    <n v="0"/>
    <n v="0"/>
    <n v="0"/>
    <n v="0"/>
    <x v="3"/>
    <x v="2"/>
    <x v="10"/>
    <x v="5"/>
    <n v="20.805734000000001"/>
    <n v="92.982675999999998"/>
    <s v="MMR012CMP020"/>
    <x v="1"/>
    <m/>
  </r>
  <r>
    <x v="2"/>
    <x v="12"/>
    <x v="1"/>
    <x v="17"/>
    <x v="225"/>
    <n v="102"/>
    <n v="397"/>
    <m/>
    <s v="GIZ"/>
    <d v="2019-05-30T00:00:00"/>
    <n v="0"/>
    <s v="No"/>
    <n v="0"/>
    <n v="0"/>
    <n v="0"/>
    <n v="0"/>
    <n v="0"/>
    <n v="0"/>
    <n v="0"/>
    <m/>
    <m/>
    <m/>
    <m/>
    <m/>
    <m/>
    <m/>
    <n v="0"/>
    <n v="0"/>
    <m/>
    <m/>
    <n v="0"/>
    <x v="3"/>
    <x v="2"/>
    <m/>
    <m/>
    <m/>
    <n v="0"/>
    <m/>
    <n v="0"/>
    <n v="0"/>
    <n v="0"/>
    <m/>
    <m/>
    <x v="0"/>
    <m/>
    <m/>
    <m/>
    <m/>
    <s v="no test"/>
    <s v="no test"/>
    <x v="1"/>
    <n v="0"/>
    <n v="0"/>
    <n v="0"/>
    <n v="0"/>
    <n v="0"/>
    <n v="0"/>
    <n v="0"/>
    <n v="0"/>
    <n v="0"/>
    <n v="1"/>
    <n v="397"/>
    <n v="1"/>
    <n v="1"/>
    <n v="0"/>
    <n v="0"/>
    <n v="0"/>
    <n v="0.99748110831234249"/>
    <n v="66"/>
    <n v="66"/>
    <n v="0"/>
    <s v="N/A"/>
    <n v="0"/>
    <n v="0"/>
    <n v="0"/>
    <n v="0"/>
    <n v="0"/>
    <n v="0"/>
    <n v="1"/>
    <n v="0"/>
    <n v="0"/>
    <n v="0"/>
    <n v="0"/>
    <n v="0"/>
    <n v="0"/>
    <n v="0"/>
    <n v="0"/>
    <n v="0"/>
    <x v="2"/>
    <x v="2"/>
    <x v="6"/>
    <x v="7"/>
    <n v="20.785770416259801"/>
    <n v="92.931427001953097"/>
    <n v="196887"/>
    <x v="0"/>
    <m/>
  </r>
  <r>
    <x v="2"/>
    <x v="12"/>
    <x v="1"/>
    <x v="17"/>
    <x v="226"/>
    <n v="311"/>
    <n v="1393"/>
    <m/>
    <s v="GIZ"/>
    <d v="2019-05-30T00:00:00"/>
    <n v="0"/>
    <s v="No"/>
    <n v="0"/>
    <n v="0"/>
    <n v="0"/>
    <n v="0"/>
    <n v="0"/>
    <n v="0"/>
    <n v="0"/>
    <m/>
    <m/>
    <m/>
    <m/>
    <m/>
    <m/>
    <m/>
    <n v="0"/>
    <n v="0"/>
    <m/>
    <m/>
    <n v="0"/>
    <x v="3"/>
    <x v="2"/>
    <m/>
    <m/>
    <m/>
    <n v="0"/>
    <m/>
    <n v="0"/>
    <n v="0"/>
    <n v="0"/>
    <m/>
    <m/>
    <x v="0"/>
    <m/>
    <m/>
    <m/>
    <m/>
    <s v="no test"/>
    <s v="no test"/>
    <x v="1"/>
    <n v="0"/>
    <n v="0"/>
    <n v="0"/>
    <n v="0"/>
    <n v="0"/>
    <n v="0"/>
    <n v="0"/>
    <n v="0"/>
    <n v="0"/>
    <n v="1"/>
    <n v="1393"/>
    <n v="3"/>
    <n v="3"/>
    <n v="0"/>
    <n v="0"/>
    <n v="0"/>
    <n v="0.99928212491026569"/>
    <n v="232"/>
    <n v="232"/>
    <n v="0"/>
    <s v="N/A"/>
    <n v="0"/>
    <n v="0"/>
    <n v="0"/>
    <n v="0"/>
    <n v="0"/>
    <n v="0"/>
    <n v="1"/>
    <n v="0"/>
    <n v="0"/>
    <n v="0"/>
    <n v="0"/>
    <n v="0"/>
    <n v="0"/>
    <n v="0"/>
    <n v="0"/>
    <n v="0"/>
    <x v="2"/>
    <x v="2"/>
    <x v="6"/>
    <x v="3"/>
    <n v="20.711349487304702"/>
    <n v="92.980506896972699"/>
    <n v="196944"/>
    <x v="0"/>
    <m/>
  </r>
  <r>
    <x v="2"/>
    <x v="12"/>
    <x v="1"/>
    <x v="17"/>
    <x v="227"/>
    <n v="156"/>
    <n v="932"/>
    <m/>
    <s v="GIZ"/>
    <d v="2019-05-30T00:00:00"/>
    <n v="0"/>
    <s v="No"/>
    <n v="0"/>
    <n v="0"/>
    <n v="0"/>
    <n v="0"/>
    <n v="0"/>
    <n v="0"/>
    <n v="0"/>
    <m/>
    <m/>
    <m/>
    <m/>
    <m/>
    <m/>
    <m/>
    <n v="0"/>
    <n v="0"/>
    <m/>
    <m/>
    <n v="0"/>
    <x v="4"/>
    <x v="4"/>
    <m/>
    <m/>
    <m/>
    <n v="0"/>
    <m/>
    <n v="0"/>
    <n v="0"/>
    <n v="0"/>
    <m/>
    <m/>
    <x v="0"/>
    <m/>
    <m/>
    <m/>
    <m/>
    <s v="no test"/>
    <s v="no test"/>
    <x v="1"/>
    <n v="0"/>
    <n v="0"/>
    <n v="0"/>
    <n v="0"/>
    <n v="0"/>
    <n v="0"/>
    <n v="0"/>
    <n v="0"/>
    <n v="0"/>
    <n v="1"/>
    <n v="932"/>
    <n v="2"/>
    <n v="2"/>
    <n v="0"/>
    <n v="0"/>
    <n v="0"/>
    <n v="0.99785407725321884"/>
    <n v="155"/>
    <n v="155"/>
    <n v="0"/>
    <s v="N/A"/>
    <n v="0"/>
    <n v="0"/>
    <n v="0"/>
    <n v="0"/>
    <n v="0"/>
    <n v="0"/>
    <n v="1"/>
    <n v="0"/>
    <n v="0"/>
    <n v="0"/>
    <n v="0"/>
    <n v="0"/>
    <n v="0"/>
    <n v="0"/>
    <n v="0"/>
    <n v="0"/>
    <x v="2"/>
    <x v="2"/>
    <x v="6"/>
    <x v="3"/>
    <n v="20.786739349365199"/>
    <n v="92.944313049316406"/>
    <s v="196884"/>
    <x v="0"/>
    <m/>
  </r>
  <r>
    <x v="2"/>
    <x v="12"/>
    <x v="1"/>
    <x v="17"/>
    <x v="229"/>
    <n v="130"/>
    <n v="509"/>
    <m/>
    <s v="GIZ"/>
    <d v="2019-05-30T00:00:00"/>
    <n v="0"/>
    <s v="No"/>
    <n v="0"/>
    <n v="0"/>
    <n v="0"/>
    <n v="0"/>
    <n v="0"/>
    <n v="0"/>
    <n v="0"/>
    <m/>
    <m/>
    <m/>
    <m/>
    <m/>
    <m/>
    <m/>
    <n v="0"/>
    <n v="0"/>
    <m/>
    <m/>
    <n v="0"/>
    <x v="3"/>
    <x v="2"/>
    <m/>
    <m/>
    <m/>
    <n v="0"/>
    <m/>
    <n v="0"/>
    <n v="0"/>
    <n v="0"/>
    <m/>
    <m/>
    <x v="0"/>
    <m/>
    <m/>
    <m/>
    <m/>
    <s v="no test"/>
    <s v="no test"/>
    <x v="1"/>
    <n v="0"/>
    <n v="0"/>
    <n v="0"/>
    <n v="0"/>
    <n v="0"/>
    <n v="0"/>
    <n v="0"/>
    <n v="0"/>
    <n v="0"/>
    <n v="1"/>
    <n v="509"/>
    <n v="1"/>
    <n v="1"/>
    <n v="0"/>
    <n v="0"/>
    <n v="0"/>
    <n v="1"/>
    <n v="85"/>
    <n v="85"/>
    <n v="0"/>
    <s v="N/A"/>
    <n v="0"/>
    <n v="0"/>
    <n v="0"/>
    <n v="0"/>
    <n v="0"/>
    <n v="0"/>
    <n v="1"/>
    <n v="0"/>
    <n v="0"/>
    <n v="0"/>
    <n v="0"/>
    <n v="0"/>
    <n v="0"/>
    <n v="0"/>
    <n v="0"/>
    <n v="0"/>
    <x v="2"/>
    <x v="2"/>
    <x v="6"/>
    <x v="7"/>
    <n v="20.809240341186499"/>
    <n v="92.923919677734403"/>
    <n v="196881"/>
    <x v="0"/>
    <m/>
  </r>
  <r>
    <x v="2"/>
    <x v="13"/>
    <x v="1"/>
    <x v="17"/>
    <x v="343"/>
    <n v="91"/>
    <n v="581"/>
    <m/>
    <s v="SINTASIDIKAH"/>
    <s v="31/12/2018"/>
    <m/>
    <m/>
    <m/>
    <m/>
    <n v="0"/>
    <n v="0"/>
    <m/>
    <n v="3"/>
    <n v="0"/>
    <m/>
    <m/>
    <m/>
    <m/>
    <m/>
    <m/>
    <m/>
    <n v="13"/>
    <m/>
    <m/>
    <m/>
    <n v="0"/>
    <x v="1"/>
    <x v="1"/>
    <m/>
    <m/>
    <m/>
    <n v="0"/>
    <m/>
    <n v="0"/>
    <m/>
    <n v="0"/>
    <m/>
    <m/>
    <x v="0"/>
    <m/>
    <m/>
    <m/>
    <m/>
    <s v="no test"/>
    <s v="no test"/>
    <x v="1"/>
    <n v="0"/>
    <n v="0"/>
    <n v="0"/>
    <n v="0"/>
    <n v="1"/>
    <n v="581"/>
    <n v="1"/>
    <n v="581"/>
    <n v="1.1619999999999999"/>
    <n v="0"/>
    <n v="0"/>
    <n v="0"/>
    <n v="1"/>
    <n v="13"/>
    <n v="0.44750430292598969"/>
    <n v="260"/>
    <n v="0.55077452667814109"/>
    <n v="16"/>
    <n v="29"/>
    <n v="0"/>
    <n v="0"/>
    <n v="0"/>
    <n v="0"/>
    <n v="0"/>
    <n v="0"/>
    <n v="0"/>
    <n v="0"/>
    <n v="1"/>
    <n v="0"/>
    <n v="0"/>
    <n v="0"/>
    <n v="0"/>
    <n v="0"/>
    <n v="0"/>
    <n v="0"/>
    <s v="Yes"/>
    <n v="0"/>
    <x v="1"/>
    <x v="0"/>
    <x v="12"/>
    <x v="5"/>
    <n v="20.865687000000001"/>
    <n v="92.965980999999999"/>
    <s v="MMR012CMP023"/>
    <x v="0"/>
    <m/>
  </r>
  <r>
    <x v="2"/>
    <x v="12"/>
    <x v="1"/>
    <x v="17"/>
    <x v="231"/>
    <n v="66"/>
    <n v="316"/>
    <m/>
    <s v="GIZ"/>
    <d v="2019-05-30T00:00:00"/>
    <n v="0"/>
    <s v="No"/>
    <n v="0"/>
    <n v="0"/>
    <n v="0"/>
    <n v="0"/>
    <n v="0"/>
    <n v="0"/>
    <n v="0"/>
    <m/>
    <m/>
    <m/>
    <m/>
    <m/>
    <m/>
    <m/>
    <n v="0"/>
    <n v="0"/>
    <m/>
    <m/>
    <n v="0"/>
    <x v="3"/>
    <x v="2"/>
    <m/>
    <m/>
    <m/>
    <n v="0"/>
    <m/>
    <n v="0"/>
    <n v="0"/>
    <n v="0"/>
    <m/>
    <m/>
    <x v="0"/>
    <m/>
    <m/>
    <m/>
    <m/>
    <s v="no test"/>
    <s v="no test"/>
    <x v="1"/>
    <n v="0"/>
    <n v="0"/>
    <n v="0"/>
    <n v="0"/>
    <n v="0"/>
    <n v="0"/>
    <n v="0"/>
    <n v="0"/>
    <n v="0"/>
    <n v="1"/>
    <n v="316"/>
    <n v="1"/>
    <n v="1"/>
    <n v="0"/>
    <n v="0"/>
    <n v="0"/>
    <n v="1"/>
    <n v="53"/>
    <n v="53"/>
    <n v="0"/>
    <s v="N/A"/>
    <n v="0"/>
    <n v="0"/>
    <n v="0"/>
    <n v="0"/>
    <n v="0"/>
    <n v="0"/>
    <n v="1"/>
    <n v="0"/>
    <n v="0"/>
    <n v="0"/>
    <n v="0"/>
    <n v="0"/>
    <n v="0"/>
    <n v="0"/>
    <n v="0"/>
    <n v="0"/>
    <x v="2"/>
    <x v="2"/>
    <x v="6"/>
    <x v="9"/>
    <n v="20.681715011596701"/>
    <n v="92.94140625"/>
    <n v="196930"/>
    <x v="0"/>
    <m/>
  </r>
  <r>
    <x v="2"/>
    <x v="2"/>
    <x v="1"/>
    <x v="17"/>
    <x v="232"/>
    <n v="167"/>
    <n v="833"/>
    <m/>
    <m/>
    <m/>
    <m/>
    <s v="No"/>
    <n v="0"/>
    <n v="0"/>
    <n v="1"/>
    <m/>
    <m/>
    <m/>
    <n v="0"/>
    <m/>
    <m/>
    <m/>
    <m/>
    <m/>
    <m/>
    <m/>
    <n v="0"/>
    <m/>
    <m/>
    <m/>
    <n v="0"/>
    <x v="1"/>
    <x v="1"/>
    <m/>
    <m/>
    <m/>
    <n v="0"/>
    <m/>
    <n v="0"/>
    <m/>
    <n v="0"/>
    <m/>
    <m/>
    <x v="0"/>
    <m/>
    <m/>
    <m/>
    <m/>
    <s v="no test"/>
    <s v="no test"/>
    <x v="1"/>
    <n v="1"/>
    <n v="0.30012004801920766"/>
    <n v="0.30012004801920766"/>
    <n v="249.99999999999997"/>
    <n v="0"/>
    <n v="0"/>
    <n v="0.30012004801920766"/>
    <n v="249.99999999999997"/>
    <n v="0.49999999999999994"/>
    <n v="0.69987995198079234"/>
    <n v="583"/>
    <n v="1.5"/>
    <n v="2"/>
    <n v="0"/>
    <n v="0"/>
    <n v="0"/>
    <n v="1"/>
    <n v="139"/>
    <n v="139"/>
    <n v="0"/>
    <s v="N/A"/>
    <n v="0"/>
    <n v="0"/>
    <n v="0"/>
    <n v="0"/>
    <n v="0"/>
    <n v="0"/>
    <n v="1"/>
    <n v="0"/>
    <n v="0"/>
    <n v="0"/>
    <n v="0"/>
    <n v="0"/>
    <n v="0"/>
    <n v="0"/>
    <n v="0"/>
    <n v="0"/>
    <x v="3"/>
    <x v="2"/>
    <x v="7"/>
    <x v="5"/>
    <n v="20.903770446777301"/>
    <n v="93.004432678222699"/>
    <s v="196787"/>
    <x v="1"/>
    <m/>
  </r>
  <r>
    <x v="2"/>
    <x v="12"/>
    <x v="1"/>
    <x v="17"/>
    <x v="233"/>
    <n v="137"/>
    <n v="479"/>
    <m/>
    <s v="GIZ"/>
    <d v="2019-05-30T00:00:00"/>
    <n v="0"/>
    <s v="No"/>
    <n v="0"/>
    <n v="0"/>
    <n v="0"/>
    <n v="0"/>
    <n v="0"/>
    <n v="0"/>
    <n v="0"/>
    <m/>
    <m/>
    <m/>
    <m/>
    <m/>
    <m/>
    <m/>
    <n v="0"/>
    <n v="0"/>
    <m/>
    <m/>
    <n v="0"/>
    <x v="3"/>
    <x v="2"/>
    <m/>
    <m/>
    <m/>
    <n v="0"/>
    <m/>
    <n v="0"/>
    <n v="0"/>
    <n v="0"/>
    <m/>
    <m/>
    <x v="0"/>
    <m/>
    <m/>
    <m/>
    <m/>
    <s v="no test"/>
    <s v="no test"/>
    <x v="1"/>
    <n v="0"/>
    <n v="0"/>
    <n v="0"/>
    <n v="0"/>
    <n v="0"/>
    <n v="0"/>
    <n v="0"/>
    <n v="0"/>
    <n v="0"/>
    <n v="1"/>
    <n v="479"/>
    <n v="1"/>
    <n v="1"/>
    <n v="0"/>
    <n v="0"/>
    <n v="0"/>
    <n v="1"/>
    <n v="80"/>
    <n v="80"/>
    <n v="0"/>
    <s v="N/A"/>
    <n v="0"/>
    <n v="0"/>
    <n v="0"/>
    <n v="0"/>
    <n v="0"/>
    <n v="0"/>
    <n v="1"/>
    <n v="0"/>
    <n v="0"/>
    <n v="0"/>
    <n v="0"/>
    <n v="0"/>
    <n v="0"/>
    <n v="0"/>
    <n v="0"/>
    <n v="0"/>
    <x v="2"/>
    <x v="2"/>
    <x v="6"/>
    <x v="7"/>
    <n v="0"/>
    <n v="0"/>
    <n v="0"/>
    <x v="0"/>
    <m/>
  </r>
  <r>
    <x v="2"/>
    <x v="12"/>
    <x v="1"/>
    <x v="17"/>
    <x v="234"/>
    <n v="30"/>
    <n v="136"/>
    <m/>
    <s v="GIZ"/>
    <d v="2019-05-30T00:00:00"/>
    <n v="0"/>
    <s v="No"/>
    <n v="0"/>
    <n v="0"/>
    <n v="0"/>
    <n v="0"/>
    <n v="0"/>
    <n v="0"/>
    <n v="0"/>
    <m/>
    <m/>
    <m/>
    <m/>
    <m/>
    <m/>
    <m/>
    <n v="0"/>
    <n v="0"/>
    <m/>
    <m/>
    <n v="0"/>
    <x v="3"/>
    <x v="2"/>
    <m/>
    <m/>
    <m/>
    <n v="0"/>
    <m/>
    <n v="0"/>
    <n v="0"/>
    <n v="0"/>
    <m/>
    <m/>
    <x v="0"/>
    <m/>
    <m/>
    <m/>
    <m/>
    <s v="no test"/>
    <s v="no test"/>
    <x v="1"/>
    <n v="0"/>
    <n v="0"/>
    <n v="0"/>
    <n v="0"/>
    <n v="0"/>
    <n v="0"/>
    <n v="0"/>
    <n v="0"/>
    <n v="0"/>
    <n v="1"/>
    <n v="136"/>
    <n v="1"/>
    <n v="1"/>
    <n v="0"/>
    <n v="0"/>
    <n v="0"/>
    <n v="1"/>
    <n v="23"/>
    <n v="23"/>
    <n v="0"/>
    <s v="N/A"/>
    <n v="0"/>
    <n v="0"/>
    <n v="0"/>
    <n v="0"/>
    <n v="0"/>
    <n v="0"/>
    <n v="1"/>
    <n v="0"/>
    <n v="0"/>
    <n v="0"/>
    <n v="0"/>
    <n v="0"/>
    <n v="0"/>
    <n v="0"/>
    <n v="0"/>
    <n v="0"/>
    <x v="2"/>
    <x v="2"/>
    <x v="6"/>
    <x v="3"/>
    <n v="0"/>
    <n v="0"/>
    <n v="0"/>
    <x v="0"/>
    <m/>
  </r>
  <r>
    <x v="2"/>
    <x v="12"/>
    <x v="1"/>
    <x v="17"/>
    <x v="235"/>
    <n v="130"/>
    <n v="621"/>
    <m/>
    <s v="GIZ"/>
    <d v="2019-05-30T00:00:00"/>
    <n v="0"/>
    <s v="No"/>
    <n v="0"/>
    <n v="0"/>
    <n v="0"/>
    <n v="0"/>
    <n v="0"/>
    <n v="0"/>
    <n v="0"/>
    <m/>
    <m/>
    <m/>
    <m/>
    <m/>
    <m/>
    <m/>
    <n v="0"/>
    <n v="0"/>
    <m/>
    <m/>
    <n v="0"/>
    <x v="3"/>
    <x v="2"/>
    <m/>
    <m/>
    <m/>
    <n v="0"/>
    <m/>
    <n v="0"/>
    <n v="0"/>
    <n v="0"/>
    <m/>
    <m/>
    <x v="0"/>
    <m/>
    <m/>
    <m/>
    <m/>
    <s v="no test"/>
    <s v="no test"/>
    <x v="1"/>
    <n v="0"/>
    <n v="0"/>
    <n v="0"/>
    <n v="0"/>
    <n v="0"/>
    <n v="0"/>
    <n v="0"/>
    <n v="0"/>
    <n v="0"/>
    <n v="1"/>
    <n v="621"/>
    <n v="1"/>
    <n v="1"/>
    <n v="0"/>
    <n v="0"/>
    <n v="0"/>
    <n v="1"/>
    <n v="104"/>
    <n v="104"/>
    <n v="0"/>
    <s v="N/A"/>
    <n v="0"/>
    <n v="0"/>
    <n v="0"/>
    <n v="0"/>
    <n v="0"/>
    <n v="0"/>
    <n v="1"/>
    <n v="0"/>
    <n v="0"/>
    <n v="0"/>
    <n v="0"/>
    <n v="0"/>
    <n v="0"/>
    <n v="0"/>
    <n v="0"/>
    <n v="0"/>
    <x v="2"/>
    <x v="2"/>
    <x v="6"/>
    <x v="10"/>
    <n v="0"/>
    <n v="0"/>
    <n v="196815"/>
    <x v="0"/>
    <m/>
  </r>
  <r>
    <x v="2"/>
    <x v="12"/>
    <x v="1"/>
    <x v="17"/>
    <x v="237"/>
    <n v="171"/>
    <n v="821"/>
    <m/>
    <s v="GIZ"/>
    <d v="2019-05-30T00:00:00"/>
    <n v="0"/>
    <s v="No"/>
    <n v="0"/>
    <n v="0"/>
    <n v="0"/>
    <n v="0"/>
    <n v="0"/>
    <n v="0"/>
    <n v="0"/>
    <m/>
    <m/>
    <m/>
    <m/>
    <m/>
    <m/>
    <m/>
    <n v="0"/>
    <n v="0"/>
    <m/>
    <m/>
    <n v="0"/>
    <x v="3"/>
    <x v="2"/>
    <m/>
    <m/>
    <m/>
    <n v="0"/>
    <m/>
    <n v="0"/>
    <n v="0"/>
    <n v="0"/>
    <m/>
    <m/>
    <x v="0"/>
    <m/>
    <m/>
    <m/>
    <m/>
    <s v="no test"/>
    <s v="no test"/>
    <x v="1"/>
    <n v="0"/>
    <n v="0"/>
    <n v="0"/>
    <n v="0"/>
    <n v="0"/>
    <n v="0"/>
    <n v="0"/>
    <n v="0"/>
    <n v="0"/>
    <n v="1"/>
    <n v="821"/>
    <n v="2"/>
    <n v="2"/>
    <n v="0"/>
    <n v="0"/>
    <n v="0"/>
    <n v="1"/>
    <n v="137"/>
    <n v="137"/>
    <n v="0"/>
    <s v="N/A"/>
    <n v="0"/>
    <n v="0"/>
    <n v="0"/>
    <n v="0"/>
    <n v="0"/>
    <n v="0"/>
    <n v="1"/>
    <n v="0"/>
    <n v="0"/>
    <n v="0"/>
    <n v="0"/>
    <n v="0"/>
    <n v="0"/>
    <n v="0"/>
    <n v="0"/>
    <n v="0"/>
    <x v="2"/>
    <x v="2"/>
    <x v="6"/>
    <x v="3"/>
    <n v="20.894269943237301"/>
    <n v="92.920730590820298"/>
    <n v="196814"/>
    <x v="0"/>
    <m/>
  </r>
  <r>
    <x v="2"/>
    <x v="12"/>
    <x v="1"/>
    <x v="17"/>
    <x v="239"/>
    <n v="142"/>
    <n v="626"/>
    <m/>
    <s v="GIZ"/>
    <d v="2019-05-30T00:00:00"/>
    <n v="0"/>
    <s v="No"/>
    <n v="0"/>
    <n v="0"/>
    <n v="0"/>
    <n v="0"/>
    <n v="0"/>
    <n v="0"/>
    <n v="0"/>
    <m/>
    <m/>
    <m/>
    <m/>
    <m/>
    <m/>
    <m/>
    <n v="0"/>
    <n v="0"/>
    <m/>
    <m/>
    <n v="0"/>
    <x v="4"/>
    <x v="4"/>
    <m/>
    <m/>
    <m/>
    <n v="0"/>
    <m/>
    <n v="0"/>
    <n v="0"/>
    <n v="0"/>
    <m/>
    <m/>
    <x v="0"/>
    <m/>
    <m/>
    <m/>
    <m/>
    <s v="no test"/>
    <s v="no test"/>
    <x v="1"/>
    <n v="0"/>
    <n v="0"/>
    <n v="0"/>
    <n v="0"/>
    <n v="0"/>
    <n v="0"/>
    <n v="0"/>
    <n v="0"/>
    <n v="0"/>
    <n v="1"/>
    <n v="626"/>
    <n v="1"/>
    <n v="1"/>
    <n v="0"/>
    <n v="0"/>
    <n v="0"/>
    <n v="0.99680511182108633"/>
    <n v="104"/>
    <n v="104"/>
    <n v="0"/>
    <s v="N/A"/>
    <n v="0"/>
    <n v="0"/>
    <n v="0"/>
    <n v="0"/>
    <n v="0"/>
    <n v="0"/>
    <n v="1"/>
    <n v="0"/>
    <n v="0"/>
    <n v="0"/>
    <n v="0"/>
    <n v="0"/>
    <n v="0"/>
    <n v="0"/>
    <n v="0"/>
    <n v="0"/>
    <x v="2"/>
    <x v="2"/>
    <x v="6"/>
    <x v="3"/>
    <n v="20.677059173583999"/>
    <n v="92.9532470703125"/>
    <s v="196929"/>
    <x v="0"/>
    <m/>
  </r>
  <r>
    <x v="2"/>
    <x v="2"/>
    <x v="1"/>
    <x v="17"/>
    <x v="240"/>
    <n v="118"/>
    <n v="665"/>
    <m/>
    <m/>
    <m/>
    <m/>
    <s v="No"/>
    <n v="0"/>
    <n v="0"/>
    <n v="0"/>
    <n v="0"/>
    <m/>
    <m/>
    <n v="1"/>
    <m/>
    <m/>
    <m/>
    <m/>
    <m/>
    <m/>
    <m/>
    <n v="0"/>
    <m/>
    <m/>
    <m/>
    <n v="0"/>
    <x v="1"/>
    <x v="1"/>
    <m/>
    <m/>
    <m/>
    <n v="0"/>
    <m/>
    <n v="0"/>
    <m/>
    <m/>
    <m/>
    <m/>
    <x v="0"/>
    <m/>
    <m/>
    <m/>
    <m/>
    <s v="no test"/>
    <s v="no test"/>
    <x v="1"/>
    <n v="0"/>
    <n v="0"/>
    <n v="0"/>
    <n v="0"/>
    <n v="0"/>
    <n v="0"/>
    <n v="0"/>
    <n v="0"/>
    <n v="0"/>
    <n v="1"/>
    <n v="665"/>
    <n v="1"/>
    <n v="1"/>
    <n v="0"/>
    <n v="0"/>
    <n v="0"/>
    <n v="1"/>
    <n v="111"/>
    <n v="111"/>
    <n v="0"/>
    <s v="N/A"/>
    <n v="0"/>
    <n v="0"/>
    <n v="0"/>
    <n v="0"/>
    <n v="0"/>
    <n v="0"/>
    <n v="1"/>
    <n v="0"/>
    <n v="0"/>
    <n v="0"/>
    <n v="0"/>
    <n v="0"/>
    <n v="0"/>
    <n v="0"/>
    <n v="0"/>
    <n v="0"/>
    <x v="3"/>
    <x v="2"/>
    <x v="7"/>
    <x v="3"/>
    <n v="20.697889328002901"/>
    <n v="92.951232910156307"/>
    <s v="196927"/>
    <x v="1"/>
    <m/>
  </r>
  <r>
    <x v="2"/>
    <x v="2"/>
    <x v="1"/>
    <x v="17"/>
    <x v="243"/>
    <n v="395"/>
    <n v="1687"/>
    <m/>
    <m/>
    <m/>
    <m/>
    <s v="No"/>
    <n v="0"/>
    <n v="0"/>
    <n v="0"/>
    <n v="0"/>
    <m/>
    <m/>
    <n v="2"/>
    <m/>
    <m/>
    <m/>
    <m/>
    <m/>
    <m/>
    <m/>
    <n v="0"/>
    <m/>
    <m/>
    <m/>
    <n v="0"/>
    <x v="1"/>
    <x v="1"/>
    <m/>
    <m/>
    <m/>
    <n v="0"/>
    <m/>
    <n v="0"/>
    <m/>
    <m/>
    <m/>
    <m/>
    <x v="0"/>
    <m/>
    <m/>
    <m/>
    <m/>
    <s v="no test"/>
    <s v="no test"/>
    <x v="1"/>
    <n v="0"/>
    <n v="0"/>
    <n v="0"/>
    <n v="0"/>
    <n v="0"/>
    <n v="0"/>
    <n v="0"/>
    <n v="0"/>
    <n v="0"/>
    <n v="1"/>
    <n v="1687"/>
    <n v="3"/>
    <n v="3"/>
    <n v="0"/>
    <n v="0"/>
    <n v="0"/>
    <n v="0.99940723177237689"/>
    <n v="281"/>
    <n v="281"/>
    <n v="0"/>
    <s v="N/A"/>
    <n v="0"/>
    <n v="0"/>
    <n v="0"/>
    <n v="0"/>
    <n v="0"/>
    <n v="0"/>
    <n v="1"/>
    <n v="0"/>
    <n v="0"/>
    <n v="0"/>
    <n v="0"/>
    <n v="0"/>
    <n v="0"/>
    <n v="0"/>
    <n v="0"/>
    <n v="0"/>
    <x v="3"/>
    <x v="2"/>
    <x v="7"/>
    <x v="3"/>
    <n v="0"/>
    <n v="0"/>
    <n v="0"/>
    <x v="1"/>
    <m/>
  </r>
  <r>
    <x v="2"/>
    <x v="12"/>
    <x v="1"/>
    <x v="17"/>
    <x v="244"/>
    <n v="94"/>
    <n v="362"/>
    <m/>
    <s v="GIZ"/>
    <d v="2019-05-30T00:00:00"/>
    <n v="0"/>
    <s v="No"/>
    <n v="0"/>
    <n v="0"/>
    <n v="0"/>
    <n v="0"/>
    <n v="0"/>
    <n v="0"/>
    <n v="0"/>
    <m/>
    <m/>
    <m/>
    <m/>
    <m/>
    <m/>
    <m/>
    <n v="0"/>
    <n v="0"/>
    <m/>
    <m/>
    <n v="0"/>
    <x v="3"/>
    <x v="2"/>
    <m/>
    <m/>
    <m/>
    <n v="0"/>
    <m/>
    <n v="0"/>
    <n v="0"/>
    <n v="0"/>
    <m/>
    <m/>
    <x v="0"/>
    <m/>
    <m/>
    <m/>
    <m/>
    <s v="no test"/>
    <s v="no test"/>
    <x v="1"/>
    <n v="0"/>
    <n v="0"/>
    <n v="0"/>
    <n v="0"/>
    <n v="0"/>
    <n v="0"/>
    <n v="0"/>
    <n v="0"/>
    <n v="0"/>
    <n v="1"/>
    <n v="362"/>
    <n v="1"/>
    <n v="1"/>
    <n v="0"/>
    <n v="0"/>
    <n v="0"/>
    <n v="0.99447513812154698"/>
    <n v="60"/>
    <n v="60"/>
    <n v="0"/>
    <s v="N/A"/>
    <n v="0"/>
    <n v="0"/>
    <n v="0"/>
    <n v="0"/>
    <n v="0"/>
    <n v="0"/>
    <n v="1"/>
    <n v="0"/>
    <n v="0"/>
    <n v="0"/>
    <n v="0"/>
    <n v="0"/>
    <n v="0"/>
    <n v="0"/>
    <n v="0"/>
    <n v="0"/>
    <x v="2"/>
    <x v="2"/>
    <x v="6"/>
    <x v="7"/>
    <n v="20.831729888916001"/>
    <n v="92.919639587402301"/>
    <n v="196880"/>
    <x v="0"/>
    <m/>
  </r>
  <r>
    <x v="2"/>
    <x v="2"/>
    <x v="1"/>
    <x v="17"/>
    <x v="245"/>
    <n v="144"/>
    <n v="1006"/>
    <m/>
    <m/>
    <m/>
    <m/>
    <s v="No"/>
    <n v="0"/>
    <n v="0"/>
    <n v="0"/>
    <n v="0"/>
    <m/>
    <m/>
    <n v="0"/>
    <m/>
    <m/>
    <m/>
    <m/>
    <m/>
    <m/>
    <m/>
    <n v="33"/>
    <m/>
    <m/>
    <m/>
    <n v="0"/>
    <x v="1"/>
    <x v="1"/>
    <m/>
    <m/>
    <m/>
    <n v="0"/>
    <m/>
    <n v="0"/>
    <m/>
    <n v="0"/>
    <m/>
    <m/>
    <x v="0"/>
    <m/>
    <m/>
    <m/>
    <m/>
    <s v="no test"/>
    <s v="no test"/>
    <x v="1"/>
    <n v="0"/>
    <n v="0"/>
    <n v="0"/>
    <n v="0"/>
    <n v="0"/>
    <n v="0"/>
    <n v="0"/>
    <n v="0"/>
    <n v="0"/>
    <n v="1"/>
    <n v="1006"/>
    <n v="2"/>
    <n v="2"/>
    <n v="33"/>
    <n v="0.19681908548707752"/>
    <n v="198"/>
    <n v="0.80516898608349907"/>
    <n v="135"/>
    <n v="168"/>
    <n v="0"/>
    <s v="N/A"/>
    <n v="0"/>
    <n v="0"/>
    <n v="0"/>
    <n v="0"/>
    <n v="0"/>
    <n v="0"/>
    <n v="1"/>
    <n v="0"/>
    <n v="0"/>
    <n v="0"/>
    <n v="0"/>
    <n v="0"/>
    <n v="0"/>
    <n v="0"/>
    <n v="0"/>
    <n v="0"/>
    <x v="3"/>
    <x v="2"/>
    <x v="10"/>
    <x v="5"/>
    <n v="20.78332"/>
    <n v="92.987399999999994"/>
    <s v="MMR012CMP029"/>
    <x v="1"/>
    <m/>
  </r>
  <r>
    <x v="2"/>
    <x v="2"/>
    <x v="1"/>
    <x v="17"/>
    <x v="246"/>
    <n v="233"/>
    <n v="1163"/>
    <m/>
    <m/>
    <m/>
    <m/>
    <s v="No"/>
    <n v="0"/>
    <n v="0"/>
    <n v="0"/>
    <n v="0"/>
    <m/>
    <m/>
    <n v="0"/>
    <m/>
    <m/>
    <m/>
    <m/>
    <m/>
    <m/>
    <m/>
    <n v="39"/>
    <m/>
    <m/>
    <m/>
    <n v="0"/>
    <x v="1"/>
    <x v="1"/>
    <m/>
    <m/>
    <m/>
    <n v="0"/>
    <m/>
    <n v="0"/>
    <m/>
    <n v="0"/>
    <m/>
    <m/>
    <x v="0"/>
    <m/>
    <m/>
    <m/>
    <m/>
    <s v="no test"/>
    <s v="no test"/>
    <x v="1"/>
    <n v="0"/>
    <n v="0"/>
    <n v="0"/>
    <n v="0"/>
    <n v="0"/>
    <n v="0"/>
    <n v="0"/>
    <n v="0"/>
    <n v="0"/>
    <n v="1"/>
    <n v="1163"/>
    <n v="2"/>
    <n v="2"/>
    <n v="39"/>
    <n v="0.20120378331900257"/>
    <n v="234"/>
    <n v="0.79965606190885641"/>
    <n v="155"/>
    <n v="194"/>
    <n v="0"/>
    <s v="N/A"/>
    <n v="0"/>
    <n v="0"/>
    <n v="0"/>
    <n v="0"/>
    <n v="0"/>
    <n v="0"/>
    <n v="1"/>
    <n v="0"/>
    <n v="0"/>
    <n v="0"/>
    <n v="0"/>
    <n v="0"/>
    <n v="0"/>
    <n v="0"/>
    <n v="0"/>
    <n v="0"/>
    <x v="3"/>
    <x v="2"/>
    <x v="7"/>
    <x v="3"/>
    <n v="20.785699844360401"/>
    <n v="92.986633300781307"/>
    <s v="196869"/>
    <x v="1"/>
    <m/>
  </r>
  <r>
    <x v="2"/>
    <x v="12"/>
    <x v="1"/>
    <x v="17"/>
    <x v="247"/>
    <n v="499"/>
    <n v="2554"/>
    <m/>
    <s v="GIZ"/>
    <d v="2019-05-30T00:00:00"/>
    <n v="0"/>
    <s v="No"/>
    <n v="0"/>
    <n v="0"/>
    <n v="0"/>
    <n v="0"/>
    <n v="0"/>
    <n v="0"/>
    <n v="2"/>
    <m/>
    <m/>
    <m/>
    <m/>
    <m/>
    <m/>
    <m/>
    <n v="0"/>
    <n v="0"/>
    <m/>
    <m/>
    <n v="0"/>
    <x v="4"/>
    <x v="4"/>
    <m/>
    <m/>
    <m/>
    <n v="0"/>
    <m/>
    <n v="0"/>
    <n v="0"/>
    <n v="0"/>
    <m/>
    <m/>
    <x v="0"/>
    <m/>
    <m/>
    <m/>
    <m/>
    <s v="no test"/>
    <s v="no test"/>
    <x v="1"/>
    <n v="0"/>
    <n v="0"/>
    <n v="0"/>
    <n v="0"/>
    <n v="0"/>
    <n v="0"/>
    <n v="0"/>
    <n v="0"/>
    <n v="0"/>
    <n v="1"/>
    <n v="2554"/>
    <n v="5"/>
    <n v="5"/>
    <n v="0"/>
    <n v="0"/>
    <n v="0"/>
    <n v="1"/>
    <n v="426"/>
    <n v="426"/>
    <n v="0"/>
    <s v="N/A"/>
    <n v="0"/>
    <n v="0"/>
    <n v="0"/>
    <n v="0"/>
    <n v="0"/>
    <n v="0"/>
    <n v="1"/>
    <n v="0"/>
    <n v="0"/>
    <n v="0"/>
    <n v="0"/>
    <n v="0"/>
    <n v="0"/>
    <n v="0"/>
    <n v="0"/>
    <n v="0"/>
    <x v="2"/>
    <x v="2"/>
    <x v="6"/>
    <x v="5"/>
    <n v="20.859569549560501"/>
    <n v="92.941146850585895"/>
    <s v="196823"/>
    <x v="0"/>
    <m/>
  </r>
  <r>
    <x v="2"/>
    <x v="12"/>
    <x v="1"/>
    <x v="17"/>
    <x v="248"/>
    <n v="478"/>
    <n v="2698"/>
    <m/>
    <s v="GIZ"/>
    <d v="2019-05-30T00:00:00"/>
    <n v="0"/>
    <s v="No"/>
    <n v="0"/>
    <n v="0"/>
    <n v="0"/>
    <n v="0"/>
    <n v="0"/>
    <n v="0"/>
    <n v="0"/>
    <m/>
    <m/>
    <m/>
    <m/>
    <m/>
    <m/>
    <m/>
    <n v="0"/>
    <n v="0"/>
    <m/>
    <m/>
    <n v="0"/>
    <x v="3"/>
    <x v="2"/>
    <m/>
    <m/>
    <m/>
    <n v="0"/>
    <m/>
    <n v="0"/>
    <n v="0"/>
    <n v="0"/>
    <m/>
    <m/>
    <x v="0"/>
    <m/>
    <m/>
    <m/>
    <m/>
    <s v="no test"/>
    <s v="no test"/>
    <x v="1"/>
    <n v="0"/>
    <n v="0"/>
    <n v="0"/>
    <n v="0"/>
    <n v="0"/>
    <n v="0"/>
    <n v="0"/>
    <n v="0"/>
    <n v="0"/>
    <n v="1"/>
    <n v="2698"/>
    <n v="5"/>
    <n v="5"/>
    <n v="0"/>
    <n v="0"/>
    <n v="0"/>
    <n v="1"/>
    <n v="450"/>
    <n v="450"/>
    <n v="0"/>
    <s v="N/A"/>
    <n v="0"/>
    <n v="0"/>
    <n v="0"/>
    <n v="0"/>
    <n v="0"/>
    <n v="0"/>
    <n v="1"/>
    <n v="0"/>
    <n v="0"/>
    <n v="0"/>
    <n v="0"/>
    <n v="0"/>
    <n v="0"/>
    <n v="0"/>
    <n v="0"/>
    <n v="0"/>
    <x v="2"/>
    <x v="2"/>
    <x v="6"/>
    <x v="5"/>
    <n v="20.864519119262699"/>
    <n v="92.940399169921903"/>
    <n v="196817"/>
    <x v="0"/>
    <m/>
  </r>
  <r>
    <x v="2"/>
    <x v="12"/>
    <x v="1"/>
    <x v="17"/>
    <x v="249"/>
    <n v="148"/>
    <n v="750"/>
    <m/>
    <s v="GIZ"/>
    <d v="2019-05-30T00:00:00"/>
    <n v="0"/>
    <s v="No"/>
    <n v="0"/>
    <n v="0"/>
    <n v="0"/>
    <n v="0"/>
    <n v="0"/>
    <n v="0"/>
    <n v="0"/>
    <m/>
    <m/>
    <m/>
    <m/>
    <m/>
    <m/>
    <m/>
    <n v="0"/>
    <n v="0"/>
    <m/>
    <m/>
    <n v="0"/>
    <x v="3"/>
    <x v="2"/>
    <m/>
    <m/>
    <m/>
    <n v="0"/>
    <m/>
    <n v="0"/>
    <n v="0"/>
    <n v="0"/>
    <m/>
    <m/>
    <x v="0"/>
    <m/>
    <m/>
    <m/>
    <m/>
    <s v="no test"/>
    <s v="no test"/>
    <x v="1"/>
    <n v="0"/>
    <n v="0"/>
    <n v="0"/>
    <n v="0"/>
    <n v="0"/>
    <n v="0"/>
    <n v="0"/>
    <n v="0"/>
    <n v="0"/>
    <n v="1"/>
    <n v="750"/>
    <n v="2"/>
    <n v="2"/>
    <n v="0"/>
    <n v="0"/>
    <n v="0"/>
    <n v="1"/>
    <n v="125"/>
    <n v="125"/>
    <n v="0"/>
    <s v="N/A"/>
    <n v="0"/>
    <n v="0"/>
    <n v="0"/>
    <n v="0"/>
    <n v="0"/>
    <n v="0"/>
    <n v="1"/>
    <n v="0"/>
    <n v="0"/>
    <n v="0"/>
    <n v="0"/>
    <n v="0"/>
    <n v="0"/>
    <n v="0"/>
    <n v="0"/>
    <n v="0"/>
    <x v="2"/>
    <x v="2"/>
    <x v="6"/>
    <x v="5"/>
    <n v="0"/>
    <n v="0"/>
    <n v="196818"/>
    <x v="0"/>
    <m/>
  </r>
  <r>
    <x v="2"/>
    <x v="2"/>
    <x v="1"/>
    <x v="17"/>
    <x v="250"/>
    <n v="181"/>
    <n v="907"/>
    <m/>
    <m/>
    <m/>
    <m/>
    <s v="No"/>
    <n v="0"/>
    <n v="0"/>
    <n v="0"/>
    <n v="0"/>
    <m/>
    <m/>
    <n v="0"/>
    <m/>
    <m/>
    <m/>
    <m/>
    <m/>
    <m/>
    <m/>
    <n v="41"/>
    <m/>
    <m/>
    <m/>
    <n v="0"/>
    <x v="1"/>
    <x v="1"/>
    <m/>
    <m/>
    <m/>
    <n v="0"/>
    <m/>
    <n v="0"/>
    <m/>
    <n v="0"/>
    <m/>
    <m/>
    <x v="0"/>
    <m/>
    <m/>
    <m/>
    <m/>
    <s v="no test"/>
    <s v="no test"/>
    <x v="1"/>
    <n v="0"/>
    <n v="0"/>
    <n v="0"/>
    <n v="0"/>
    <n v="0"/>
    <n v="0"/>
    <n v="0"/>
    <n v="0"/>
    <n v="0"/>
    <n v="1"/>
    <n v="907"/>
    <n v="2"/>
    <n v="2"/>
    <n v="41"/>
    <n v="0.27122381477398017"/>
    <n v="246"/>
    <n v="0.72767364939360535"/>
    <n v="110"/>
    <n v="151"/>
    <n v="0"/>
    <s v="N/A"/>
    <n v="0"/>
    <n v="0"/>
    <n v="0"/>
    <n v="0"/>
    <n v="0"/>
    <n v="0"/>
    <n v="1"/>
    <n v="0"/>
    <n v="0"/>
    <n v="0"/>
    <n v="0"/>
    <n v="0"/>
    <n v="0"/>
    <n v="0"/>
    <n v="0"/>
    <n v="0"/>
    <x v="3"/>
    <x v="2"/>
    <x v="7"/>
    <x v="3"/>
    <n v="20.806400299072301"/>
    <n v="92.982147216796903"/>
    <s v="196873"/>
    <x v="1"/>
    <m/>
  </r>
  <r>
    <x v="2"/>
    <x v="12"/>
    <x v="1"/>
    <x v="17"/>
    <x v="251"/>
    <n v="163"/>
    <n v="888"/>
    <m/>
    <s v="GIZ"/>
    <d v="2019-05-30T00:00:00"/>
    <n v="20"/>
    <s v="No"/>
    <n v="0"/>
    <n v="0"/>
    <n v="0"/>
    <n v="0"/>
    <n v="0"/>
    <n v="0"/>
    <n v="0"/>
    <m/>
    <m/>
    <m/>
    <m/>
    <m/>
    <m/>
    <m/>
    <n v="0"/>
    <n v="0"/>
    <m/>
    <m/>
    <n v="0"/>
    <x v="3"/>
    <x v="2"/>
    <m/>
    <m/>
    <m/>
    <n v="0"/>
    <m/>
    <n v="0"/>
    <n v="0"/>
    <n v="0"/>
    <m/>
    <m/>
    <x v="0"/>
    <m/>
    <m/>
    <m/>
    <m/>
    <s v="no test"/>
    <s v="no test"/>
    <x v="1"/>
    <n v="0"/>
    <n v="0"/>
    <n v="0"/>
    <n v="0"/>
    <n v="0"/>
    <n v="0"/>
    <n v="0"/>
    <n v="0"/>
    <n v="0"/>
    <n v="1"/>
    <n v="888"/>
    <n v="2"/>
    <n v="2"/>
    <n v="0"/>
    <n v="0"/>
    <n v="0"/>
    <n v="1"/>
    <n v="148"/>
    <n v="148"/>
    <n v="0"/>
    <s v="N/A"/>
    <n v="0"/>
    <n v="0"/>
    <n v="0"/>
    <n v="0"/>
    <n v="0"/>
    <n v="0"/>
    <n v="1"/>
    <n v="0"/>
    <n v="0"/>
    <n v="0"/>
    <n v="0"/>
    <n v="0"/>
    <n v="0"/>
    <n v="0"/>
    <n v="0"/>
    <n v="0"/>
    <x v="3"/>
    <x v="2"/>
    <x v="10"/>
    <x v="5"/>
    <n v="20.587142"/>
    <n v="93.258573999999996"/>
    <s v="MMR012CMP005"/>
    <x v="0"/>
    <m/>
  </r>
  <r>
    <x v="2"/>
    <x v="12"/>
    <x v="1"/>
    <x v="17"/>
    <x v="252"/>
    <n v="88"/>
    <n v="325"/>
    <m/>
    <s v="GIZ"/>
    <d v="2019-05-30T00:00:00"/>
    <n v="0"/>
    <s v="No"/>
    <n v="0"/>
    <n v="0"/>
    <m/>
    <m/>
    <m/>
    <m/>
    <m/>
    <m/>
    <m/>
    <m/>
    <m/>
    <m/>
    <m/>
    <m/>
    <m/>
    <m/>
    <m/>
    <m/>
    <m/>
    <x v="1"/>
    <x v="1"/>
    <m/>
    <m/>
    <m/>
    <m/>
    <m/>
    <m/>
    <m/>
    <m/>
    <m/>
    <m/>
    <x v="0"/>
    <m/>
    <m/>
    <m/>
    <m/>
    <s v="no test"/>
    <s v="no test"/>
    <x v="1"/>
    <n v="0"/>
    <n v="0"/>
    <n v="0"/>
    <n v="0"/>
    <n v="0"/>
    <n v="0"/>
    <n v="0"/>
    <n v="0"/>
    <n v="0"/>
    <n v="1"/>
    <n v="325"/>
    <n v="1"/>
    <n v="1"/>
    <n v="0"/>
    <n v="0"/>
    <n v="0"/>
    <n v="0.99692307692307691"/>
    <n v="54"/>
    <n v="54"/>
    <n v="0"/>
    <s v="N/A"/>
    <n v="0"/>
    <n v="0"/>
    <n v="0"/>
    <n v="0"/>
    <n v="0"/>
    <n v="0"/>
    <n v="1"/>
    <n v="0"/>
    <n v="0"/>
    <n v="0"/>
    <n v="0"/>
    <n v="0"/>
    <n v="0"/>
    <n v="0"/>
    <n v="0"/>
    <n v="0"/>
    <x v="2"/>
    <x v="2"/>
    <x v="6"/>
    <x v="3"/>
    <n v="20.8037109375"/>
    <n v="92.946136474609403"/>
    <s v="196886"/>
    <x v="0"/>
    <m/>
  </r>
  <r>
    <x v="2"/>
    <x v="12"/>
    <x v="1"/>
    <x v="17"/>
    <x v="254"/>
    <n v="56"/>
    <n v="238"/>
    <m/>
    <s v="GIZ"/>
    <d v="2019-05-30T00:00:00"/>
    <n v="0"/>
    <s v="No"/>
    <n v="0"/>
    <n v="0"/>
    <n v="0"/>
    <n v="0"/>
    <n v="0"/>
    <n v="0"/>
    <n v="0"/>
    <m/>
    <m/>
    <m/>
    <m/>
    <m/>
    <m/>
    <m/>
    <n v="0"/>
    <n v="0"/>
    <m/>
    <m/>
    <n v="0"/>
    <x v="3"/>
    <x v="2"/>
    <m/>
    <m/>
    <m/>
    <n v="0"/>
    <m/>
    <n v="0"/>
    <n v="0"/>
    <n v="0"/>
    <m/>
    <m/>
    <x v="0"/>
    <m/>
    <m/>
    <m/>
    <m/>
    <s v="no test"/>
    <s v="no test"/>
    <x v="1"/>
    <n v="0"/>
    <n v="0"/>
    <n v="0"/>
    <n v="0"/>
    <n v="0"/>
    <n v="0"/>
    <n v="0"/>
    <n v="0"/>
    <n v="0"/>
    <n v="1"/>
    <n v="238"/>
    <n v="1"/>
    <n v="1"/>
    <n v="0"/>
    <n v="0"/>
    <n v="0"/>
    <n v="1"/>
    <n v="40"/>
    <n v="40"/>
    <n v="0"/>
    <s v="N/A"/>
    <n v="0"/>
    <n v="0"/>
    <n v="0"/>
    <n v="0"/>
    <n v="0"/>
    <n v="0"/>
    <n v="1"/>
    <n v="0"/>
    <n v="0"/>
    <n v="0"/>
    <n v="0"/>
    <n v="0"/>
    <n v="0"/>
    <n v="0"/>
    <n v="0"/>
    <n v="0"/>
    <x v="2"/>
    <x v="2"/>
    <x v="6"/>
    <x v="3"/>
    <n v="0"/>
    <n v="0"/>
    <n v="0"/>
    <x v="0"/>
    <m/>
  </r>
  <r>
    <x v="2"/>
    <x v="2"/>
    <x v="1"/>
    <x v="17"/>
    <x v="256"/>
    <n v="112"/>
    <n v="738"/>
    <m/>
    <m/>
    <m/>
    <m/>
    <s v="No"/>
    <n v="0"/>
    <n v="0"/>
    <n v="0"/>
    <n v="0"/>
    <m/>
    <m/>
    <n v="0"/>
    <m/>
    <m/>
    <m/>
    <m/>
    <m/>
    <m/>
    <m/>
    <n v="73"/>
    <m/>
    <m/>
    <m/>
    <n v="0"/>
    <x v="1"/>
    <x v="1"/>
    <m/>
    <m/>
    <m/>
    <n v="0"/>
    <m/>
    <n v="0"/>
    <m/>
    <n v="0"/>
    <m/>
    <m/>
    <x v="0"/>
    <m/>
    <m/>
    <m/>
    <m/>
    <s v="no test"/>
    <s v="no test"/>
    <x v="1"/>
    <n v="0"/>
    <n v="0"/>
    <n v="0"/>
    <n v="0"/>
    <n v="0"/>
    <n v="0"/>
    <n v="0"/>
    <n v="0"/>
    <n v="0"/>
    <n v="1"/>
    <n v="738"/>
    <n v="1"/>
    <n v="1"/>
    <n v="73"/>
    <n v="0.5934959349593496"/>
    <n v="438"/>
    <n v="0.4065040650406504"/>
    <n v="50"/>
    <n v="123"/>
    <n v="0"/>
    <s v="N/A"/>
    <n v="0"/>
    <n v="0"/>
    <n v="0"/>
    <n v="0"/>
    <n v="0"/>
    <n v="0"/>
    <n v="1"/>
    <n v="0"/>
    <n v="0"/>
    <n v="0"/>
    <n v="0"/>
    <n v="0"/>
    <n v="0"/>
    <n v="0"/>
    <n v="0"/>
    <n v="0"/>
    <x v="3"/>
    <x v="2"/>
    <x v="10"/>
    <x v="5"/>
    <n v="20.727589999999999"/>
    <n v="92.969350000000006"/>
    <s v="MMR012CMP028"/>
    <x v="1"/>
    <m/>
  </r>
  <r>
    <x v="2"/>
    <x v="2"/>
    <x v="1"/>
    <x v="17"/>
    <x v="257"/>
    <n v="139"/>
    <n v="695"/>
    <m/>
    <m/>
    <m/>
    <m/>
    <s v="No"/>
    <n v="0"/>
    <n v="0"/>
    <n v="0"/>
    <n v="0"/>
    <m/>
    <m/>
    <n v="0"/>
    <m/>
    <m/>
    <m/>
    <m/>
    <m/>
    <m/>
    <m/>
    <n v="73"/>
    <m/>
    <m/>
    <m/>
    <n v="0"/>
    <x v="1"/>
    <x v="1"/>
    <m/>
    <m/>
    <m/>
    <n v="0"/>
    <m/>
    <n v="0"/>
    <m/>
    <n v="0"/>
    <m/>
    <m/>
    <x v="0"/>
    <m/>
    <m/>
    <m/>
    <m/>
    <s v="no test"/>
    <s v="no test"/>
    <x v="1"/>
    <n v="0"/>
    <n v="0"/>
    <n v="0"/>
    <n v="0"/>
    <n v="0"/>
    <n v="0"/>
    <n v="0"/>
    <n v="0"/>
    <n v="0"/>
    <n v="1"/>
    <n v="695"/>
    <n v="1"/>
    <n v="1"/>
    <n v="73"/>
    <n v="0.63021582733812953"/>
    <n v="438"/>
    <n v="0.37122302158273385"/>
    <n v="43"/>
    <n v="116"/>
    <n v="0"/>
    <s v="N/A"/>
    <n v="0"/>
    <n v="0"/>
    <n v="0"/>
    <n v="0"/>
    <n v="0"/>
    <n v="0"/>
    <n v="1"/>
    <n v="0"/>
    <n v="0"/>
    <n v="0"/>
    <n v="0"/>
    <n v="0"/>
    <n v="0"/>
    <n v="0"/>
    <n v="0"/>
    <n v="0"/>
    <x v="3"/>
    <x v="2"/>
    <x v="7"/>
    <x v="3"/>
    <n v="20.723630905151399"/>
    <n v="92.974327087402301"/>
    <s v="196951"/>
    <x v="1"/>
    <m/>
  </r>
  <r>
    <x v="2"/>
    <x v="11"/>
    <x v="1"/>
    <x v="19"/>
    <x v="258"/>
    <n v="102"/>
    <n v="368"/>
    <m/>
    <s v="UNICEF"/>
    <d v="2018-02-14T00:00:00"/>
    <n v="0"/>
    <s v="Yes"/>
    <n v="0"/>
    <n v="0"/>
    <n v="3"/>
    <n v="0"/>
    <n v="0"/>
    <n v="2"/>
    <n v="0"/>
    <m/>
    <m/>
    <m/>
    <m/>
    <m/>
    <m/>
    <m/>
    <n v="0"/>
    <n v="0"/>
    <m/>
    <m/>
    <n v="0"/>
    <x v="4"/>
    <x v="4"/>
    <m/>
    <m/>
    <m/>
    <n v="0"/>
    <s v="Household"/>
    <n v="0"/>
    <n v="0"/>
    <n v="7"/>
    <m/>
    <m/>
    <x v="0"/>
    <m/>
    <m/>
    <m/>
    <m/>
    <s v="no test"/>
    <s v="no test"/>
    <x v="1"/>
    <n v="1"/>
    <n v="1"/>
    <n v="1"/>
    <n v="368"/>
    <n v="1"/>
    <n v="368"/>
    <n v="1"/>
    <n v="368"/>
    <n v="0.73599999999999999"/>
    <n v="0"/>
    <n v="0"/>
    <n v="0.26400000000000001"/>
    <n v="1"/>
    <n v="0"/>
    <n v="0"/>
    <n v="0"/>
    <n v="0.99456521739130432"/>
    <n v="61"/>
    <n v="61"/>
    <n v="0"/>
    <s v="N/A"/>
    <n v="368"/>
    <n v="0"/>
    <n v="1"/>
    <n v="0"/>
    <n v="0"/>
    <n v="0"/>
    <n v="1"/>
    <n v="1"/>
    <n v="0"/>
    <n v="0"/>
    <n v="0"/>
    <n v="0"/>
    <n v="0"/>
    <n v="0"/>
    <n v="0"/>
    <n v="0"/>
    <x v="3"/>
    <x v="2"/>
    <x v="7"/>
    <x v="3"/>
    <n v="20.910375595092798"/>
    <n v="92.400138854980497"/>
    <n v="220734"/>
    <x v="0"/>
    <m/>
  </r>
  <r>
    <x v="2"/>
    <x v="11"/>
    <x v="1"/>
    <x v="19"/>
    <x v="259"/>
    <n v="38"/>
    <n v="216"/>
    <m/>
    <s v="UNICEF"/>
    <d v="2018-08-31T00:00:00"/>
    <n v="0"/>
    <s v="Yes"/>
    <m/>
    <m/>
    <m/>
    <m/>
    <m/>
    <m/>
    <m/>
    <m/>
    <m/>
    <m/>
    <m/>
    <m/>
    <m/>
    <m/>
    <m/>
    <m/>
    <m/>
    <m/>
    <n v="4"/>
    <x v="4"/>
    <x v="4"/>
    <m/>
    <m/>
    <m/>
    <n v="0"/>
    <s v="Household"/>
    <n v="0"/>
    <n v="0"/>
    <n v="7"/>
    <m/>
    <m/>
    <x v="0"/>
    <m/>
    <m/>
    <m/>
    <m/>
    <s v="no test"/>
    <s v="no test"/>
    <x v="1"/>
    <n v="0"/>
    <n v="0"/>
    <n v="0"/>
    <n v="0"/>
    <n v="0"/>
    <n v="0"/>
    <n v="0"/>
    <n v="0"/>
    <n v="0"/>
    <n v="1"/>
    <n v="216"/>
    <n v="1"/>
    <n v="1"/>
    <n v="0"/>
    <n v="0"/>
    <n v="0"/>
    <n v="1"/>
    <n v="36"/>
    <n v="36"/>
    <n v="0"/>
    <s v="N/A"/>
    <n v="216"/>
    <n v="0"/>
    <n v="1"/>
    <n v="0"/>
    <n v="0"/>
    <n v="0"/>
    <n v="1"/>
    <n v="1"/>
    <n v="0"/>
    <n v="0"/>
    <n v="0"/>
    <n v="0"/>
    <n v="0"/>
    <n v="0"/>
    <n v="0"/>
    <n v="0"/>
    <x v="3"/>
    <x v="2"/>
    <x v="7"/>
    <x v="3"/>
    <n v="20.473930358886701"/>
    <n v="92.668853759765597"/>
    <n v="197631"/>
    <x v="0"/>
    <m/>
  </r>
  <r>
    <x v="2"/>
    <x v="11"/>
    <x v="1"/>
    <x v="19"/>
    <x v="260"/>
    <n v="104"/>
    <n v="521"/>
    <m/>
    <s v="UNICEF"/>
    <d v="2018-02-14T00:00:00"/>
    <n v="0"/>
    <s v="Yes"/>
    <n v="0"/>
    <n v="0"/>
    <n v="0"/>
    <n v="0"/>
    <n v="0"/>
    <n v="1"/>
    <n v="0"/>
    <m/>
    <m/>
    <m/>
    <m/>
    <m/>
    <m/>
    <m/>
    <n v="3"/>
    <n v="0"/>
    <m/>
    <m/>
    <n v="3"/>
    <x v="4"/>
    <x v="4"/>
    <m/>
    <m/>
    <m/>
    <n v="0"/>
    <s v="Household"/>
    <n v="0"/>
    <n v="0"/>
    <n v="7"/>
    <m/>
    <m/>
    <x v="0"/>
    <m/>
    <m/>
    <m/>
    <m/>
    <s v="no test"/>
    <s v="no test"/>
    <x v="1"/>
    <n v="0"/>
    <n v="0"/>
    <n v="0"/>
    <n v="0"/>
    <n v="0.47984644913627639"/>
    <n v="250"/>
    <n v="0.47984644913627639"/>
    <n v="250"/>
    <n v="0.5"/>
    <n v="0.52015355086372361"/>
    <n v="271"/>
    <n v="0.5"/>
    <n v="1"/>
    <n v="3"/>
    <n v="3.4548944337811902E-2"/>
    <n v="18"/>
    <n v="0.9673704414587333"/>
    <n v="84"/>
    <n v="87"/>
    <n v="0"/>
    <s v="N/A"/>
    <n v="521"/>
    <n v="0"/>
    <n v="1"/>
    <n v="0"/>
    <n v="0"/>
    <n v="0"/>
    <n v="1"/>
    <n v="1"/>
    <n v="0"/>
    <n v="0"/>
    <n v="0"/>
    <n v="0"/>
    <n v="0"/>
    <n v="0"/>
    <n v="0"/>
    <n v="0"/>
    <x v="3"/>
    <x v="2"/>
    <x v="7"/>
    <x v="3"/>
    <n v="20.987419128418001"/>
    <n v="92.362136840820298"/>
    <n v="197913"/>
    <x v="0"/>
    <m/>
  </r>
  <r>
    <x v="2"/>
    <x v="11"/>
    <x v="1"/>
    <x v="19"/>
    <x v="261"/>
    <n v="190"/>
    <n v="1193"/>
    <m/>
    <s v="UNICEF"/>
    <d v="2018-08-31T00:00:00"/>
    <n v="0"/>
    <s v="Yes"/>
    <m/>
    <m/>
    <m/>
    <m/>
    <m/>
    <m/>
    <m/>
    <m/>
    <m/>
    <m/>
    <m/>
    <m/>
    <m/>
    <m/>
    <m/>
    <m/>
    <m/>
    <m/>
    <n v="2"/>
    <x v="4"/>
    <x v="4"/>
    <m/>
    <m/>
    <m/>
    <n v="0"/>
    <s v="Household"/>
    <n v="0"/>
    <n v="0"/>
    <n v="7"/>
    <m/>
    <m/>
    <x v="0"/>
    <m/>
    <m/>
    <m/>
    <m/>
    <s v="no test"/>
    <s v="no test"/>
    <x v="1"/>
    <n v="0"/>
    <n v="0"/>
    <n v="0"/>
    <n v="0"/>
    <n v="0"/>
    <n v="0"/>
    <n v="0"/>
    <n v="0"/>
    <n v="0"/>
    <n v="1"/>
    <n v="1193"/>
    <n v="2"/>
    <n v="2"/>
    <n v="0"/>
    <n v="0"/>
    <n v="0"/>
    <n v="1"/>
    <n v="199"/>
    <n v="199"/>
    <n v="0"/>
    <s v="N/A"/>
    <n v="1193"/>
    <n v="0"/>
    <n v="1"/>
    <n v="0"/>
    <n v="0"/>
    <n v="0"/>
    <n v="1"/>
    <n v="1"/>
    <n v="0"/>
    <n v="0"/>
    <n v="0"/>
    <n v="0"/>
    <n v="0"/>
    <n v="0"/>
    <n v="0"/>
    <n v="0"/>
    <x v="3"/>
    <x v="2"/>
    <x v="7"/>
    <x v="5"/>
    <n v="20.866529464721701"/>
    <n v="92.364883422851605"/>
    <n v="197969"/>
    <x v="0"/>
    <m/>
  </r>
  <r>
    <x v="2"/>
    <x v="11"/>
    <x v="1"/>
    <x v="19"/>
    <x v="263"/>
    <n v="270"/>
    <n v="1644"/>
    <m/>
    <s v="UNICEF"/>
    <d v="2018-08-31T00:00:00"/>
    <n v="0"/>
    <s v="Yes"/>
    <m/>
    <m/>
    <m/>
    <m/>
    <m/>
    <m/>
    <m/>
    <m/>
    <m/>
    <m/>
    <m/>
    <m/>
    <m/>
    <m/>
    <m/>
    <m/>
    <m/>
    <m/>
    <n v="12"/>
    <x v="4"/>
    <x v="4"/>
    <m/>
    <m/>
    <m/>
    <n v="0"/>
    <s v="Household"/>
    <n v="0"/>
    <n v="0"/>
    <n v="7"/>
    <m/>
    <m/>
    <x v="0"/>
    <m/>
    <m/>
    <m/>
    <m/>
    <s v="no test"/>
    <s v="no test"/>
    <x v="1"/>
    <n v="0"/>
    <n v="0"/>
    <n v="0"/>
    <n v="0"/>
    <n v="0"/>
    <n v="0"/>
    <n v="0"/>
    <n v="0"/>
    <n v="0"/>
    <n v="1"/>
    <n v="1644"/>
    <n v="3"/>
    <n v="3"/>
    <n v="0"/>
    <n v="0"/>
    <n v="0"/>
    <n v="1"/>
    <n v="274"/>
    <n v="274"/>
    <n v="0"/>
    <s v="N/A"/>
    <n v="1644"/>
    <n v="0"/>
    <n v="1"/>
    <n v="0"/>
    <n v="0"/>
    <n v="0"/>
    <n v="1"/>
    <n v="1"/>
    <n v="0"/>
    <n v="0"/>
    <n v="0"/>
    <n v="0"/>
    <n v="0"/>
    <n v="0"/>
    <n v="0"/>
    <n v="0"/>
    <x v="3"/>
    <x v="2"/>
    <x v="7"/>
    <x v="5"/>
    <n v="20.903369903564499"/>
    <n v="92.332237243652301"/>
    <n v="197961"/>
    <x v="0"/>
    <m/>
  </r>
  <r>
    <x v="2"/>
    <x v="11"/>
    <x v="1"/>
    <x v="19"/>
    <x v="264"/>
    <n v="240"/>
    <n v="1350"/>
    <m/>
    <s v="UNICEF"/>
    <d v="2018-02-14T00:00:00"/>
    <n v="0"/>
    <s v="Yes"/>
    <n v="0"/>
    <n v="0"/>
    <n v="1"/>
    <n v="25"/>
    <n v="0"/>
    <n v="5"/>
    <n v="0"/>
    <m/>
    <m/>
    <m/>
    <m/>
    <m/>
    <m/>
    <m/>
    <n v="5"/>
    <n v="0"/>
    <m/>
    <m/>
    <n v="5"/>
    <x v="4"/>
    <x v="4"/>
    <m/>
    <m/>
    <m/>
    <n v="0"/>
    <s v="Household"/>
    <n v="0"/>
    <n v="0"/>
    <n v="7"/>
    <m/>
    <m/>
    <x v="0"/>
    <m/>
    <m/>
    <m/>
    <m/>
    <s v="no test"/>
    <s v="no test"/>
    <x v="1"/>
    <n v="1"/>
    <n v="1"/>
    <n v="1"/>
    <n v="1350"/>
    <n v="0.92592592592592593"/>
    <n v="1250"/>
    <n v="1"/>
    <n v="1350"/>
    <n v="2.7"/>
    <n v="0"/>
    <n v="0"/>
    <n v="0.29999999999999982"/>
    <n v="3"/>
    <n v="5"/>
    <n v="2.2222222222222223E-2"/>
    <n v="30"/>
    <n v="0.97777777777777775"/>
    <n v="220"/>
    <n v="225"/>
    <n v="0"/>
    <s v="N/A"/>
    <n v="1350"/>
    <n v="0"/>
    <n v="1"/>
    <n v="0"/>
    <n v="0"/>
    <n v="0"/>
    <n v="1"/>
    <n v="1"/>
    <n v="0"/>
    <n v="0"/>
    <n v="0"/>
    <n v="0"/>
    <n v="0"/>
    <n v="0"/>
    <n v="0"/>
    <n v="0"/>
    <x v="3"/>
    <x v="2"/>
    <x v="7"/>
    <x v="3"/>
    <n v="21.007270812988299"/>
    <n v="92.3585205078125"/>
    <n v="197910"/>
    <x v="0"/>
    <m/>
  </r>
  <r>
    <x v="2"/>
    <x v="11"/>
    <x v="1"/>
    <x v="19"/>
    <x v="265"/>
    <n v="250"/>
    <n v="2289"/>
    <m/>
    <s v="UNICEF"/>
    <d v="2018-08-31T00:00:00"/>
    <n v="0"/>
    <s v="Yes"/>
    <m/>
    <m/>
    <m/>
    <m/>
    <m/>
    <m/>
    <m/>
    <m/>
    <m/>
    <m/>
    <m/>
    <m/>
    <m/>
    <m/>
    <m/>
    <m/>
    <m/>
    <m/>
    <n v="18"/>
    <x v="4"/>
    <x v="4"/>
    <m/>
    <m/>
    <m/>
    <n v="0"/>
    <s v="Household"/>
    <n v="0"/>
    <n v="0"/>
    <n v="7"/>
    <m/>
    <m/>
    <x v="0"/>
    <m/>
    <m/>
    <m/>
    <m/>
    <s v="no test"/>
    <s v="no test"/>
    <x v="1"/>
    <n v="0"/>
    <n v="0"/>
    <n v="0"/>
    <n v="0"/>
    <n v="0"/>
    <n v="0"/>
    <n v="0"/>
    <n v="0"/>
    <n v="0"/>
    <n v="1"/>
    <n v="2289"/>
    <n v="5"/>
    <n v="5"/>
    <n v="0"/>
    <n v="0"/>
    <n v="0"/>
    <n v="1"/>
    <n v="382"/>
    <n v="382"/>
    <n v="0"/>
    <s v="N/A"/>
    <n v="2289"/>
    <n v="0"/>
    <n v="1"/>
    <n v="0"/>
    <n v="0"/>
    <n v="0"/>
    <n v="1"/>
    <n v="1"/>
    <n v="0"/>
    <n v="0"/>
    <n v="0"/>
    <n v="0"/>
    <n v="0"/>
    <n v="0"/>
    <n v="0"/>
    <n v="0"/>
    <x v="3"/>
    <x v="2"/>
    <x v="7"/>
    <x v="5"/>
    <n v="20.872400283813501"/>
    <n v="92.337608337402301"/>
    <n v="197971"/>
    <x v="0"/>
    <m/>
  </r>
  <r>
    <x v="2"/>
    <x v="11"/>
    <x v="1"/>
    <x v="19"/>
    <x v="267"/>
    <n v="113"/>
    <n v="700"/>
    <m/>
    <s v="UNICEF"/>
    <d v="2018-08-31T00:00:00"/>
    <n v="0"/>
    <s v="Yes"/>
    <m/>
    <m/>
    <m/>
    <m/>
    <m/>
    <m/>
    <m/>
    <m/>
    <m/>
    <m/>
    <m/>
    <m/>
    <m/>
    <m/>
    <m/>
    <m/>
    <m/>
    <m/>
    <n v="3"/>
    <x v="4"/>
    <x v="4"/>
    <m/>
    <m/>
    <m/>
    <n v="0"/>
    <s v="Household"/>
    <n v="0"/>
    <n v="0"/>
    <n v="7"/>
    <m/>
    <m/>
    <x v="0"/>
    <m/>
    <m/>
    <m/>
    <m/>
    <s v="no test"/>
    <s v="no test"/>
    <x v="1"/>
    <n v="0"/>
    <n v="0"/>
    <n v="0"/>
    <n v="0"/>
    <n v="0"/>
    <n v="0"/>
    <n v="0"/>
    <n v="0"/>
    <n v="0"/>
    <n v="1"/>
    <n v="700"/>
    <n v="1"/>
    <n v="1"/>
    <n v="0"/>
    <n v="0"/>
    <n v="0"/>
    <n v="1"/>
    <n v="117"/>
    <n v="117"/>
    <n v="0"/>
    <s v="N/A"/>
    <n v="700"/>
    <n v="0"/>
    <n v="1"/>
    <n v="0"/>
    <n v="0"/>
    <n v="0"/>
    <n v="1"/>
    <n v="1"/>
    <n v="0"/>
    <n v="0"/>
    <n v="0"/>
    <n v="0"/>
    <n v="0"/>
    <n v="0"/>
    <n v="0"/>
    <n v="0"/>
    <x v="3"/>
    <x v="2"/>
    <x v="7"/>
    <x v="3"/>
    <n v="20.731571197509801"/>
    <n v="92.428176879882798"/>
    <n v="198016"/>
    <x v="0"/>
    <m/>
  </r>
  <r>
    <x v="2"/>
    <x v="11"/>
    <x v="1"/>
    <x v="19"/>
    <x v="270"/>
    <n v="62"/>
    <n v="278"/>
    <m/>
    <s v="UNICEF"/>
    <d v="2018-02-14T00:00:00"/>
    <n v="0"/>
    <s v="Yes"/>
    <n v="0"/>
    <n v="0"/>
    <n v="1"/>
    <n v="2"/>
    <n v="0"/>
    <n v="3"/>
    <n v="0"/>
    <m/>
    <m/>
    <m/>
    <m/>
    <m/>
    <m/>
    <m/>
    <n v="8"/>
    <n v="0"/>
    <m/>
    <m/>
    <n v="8"/>
    <x v="4"/>
    <x v="4"/>
    <m/>
    <m/>
    <m/>
    <n v="0"/>
    <s v="Household"/>
    <n v="0"/>
    <n v="0"/>
    <n v="7"/>
    <m/>
    <m/>
    <x v="0"/>
    <m/>
    <m/>
    <m/>
    <m/>
    <s v="no test"/>
    <s v="no test"/>
    <x v="1"/>
    <n v="1"/>
    <n v="1"/>
    <n v="1"/>
    <n v="278"/>
    <n v="1"/>
    <n v="278"/>
    <n v="1"/>
    <n v="278"/>
    <n v="0.55600000000000005"/>
    <n v="0"/>
    <n v="0"/>
    <n v="0.44399999999999995"/>
    <n v="1"/>
    <n v="8"/>
    <n v="0.17266187050359713"/>
    <n v="48"/>
    <n v="0.82014388489208634"/>
    <n v="38"/>
    <n v="46"/>
    <n v="0"/>
    <s v="N/A"/>
    <n v="278"/>
    <n v="0"/>
    <n v="1"/>
    <n v="0"/>
    <n v="0"/>
    <n v="0"/>
    <n v="1"/>
    <n v="1"/>
    <n v="0"/>
    <n v="0"/>
    <n v="0"/>
    <n v="0"/>
    <n v="0"/>
    <n v="0"/>
    <n v="0"/>
    <n v="0"/>
    <x v="3"/>
    <x v="2"/>
    <x v="7"/>
    <x v="3"/>
    <n v="21.0094203948975"/>
    <n v="92.318077087402301"/>
    <n v="197893"/>
    <x v="0"/>
    <m/>
  </r>
  <r>
    <x v="2"/>
    <x v="11"/>
    <x v="1"/>
    <x v="19"/>
    <x v="271"/>
    <n v="46"/>
    <n v="259"/>
    <m/>
    <s v="UNICEF"/>
    <d v="2018-08-31T00:00:00"/>
    <n v="0"/>
    <s v="Yes"/>
    <m/>
    <m/>
    <m/>
    <m/>
    <m/>
    <m/>
    <m/>
    <m/>
    <m/>
    <m/>
    <m/>
    <m/>
    <m/>
    <m/>
    <m/>
    <m/>
    <m/>
    <m/>
    <n v="2"/>
    <x v="4"/>
    <x v="4"/>
    <m/>
    <m/>
    <m/>
    <n v="0"/>
    <s v="Household"/>
    <n v="0"/>
    <n v="0"/>
    <n v="7"/>
    <m/>
    <m/>
    <x v="0"/>
    <m/>
    <m/>
    <m/>
    <m/>
    <s v="no test"/>
    <s v="no test"/>
    <x v="1"/>
    <n v="0"/>
    <n v="0"/>
    <n v="0"/>
    <n v="0"/>
    <n v="0"/>
    <n v="0"/>
    <n v="0"/>
    <n v="0"/>
    <n v="0"/>
    <n v="1"/>
    <n v="259"/>
    <n v="1"/>
    <n v="1"/>
    <n v="0"/>
    <n v="0"/>
    <n v="0"/>
    <n v="0.99613899613899615"/>
    <n v="43"/>
    <n v="43"/>
    <n v="0"/>
    <s v="N/A"/>
    <n v="259"/>
    <n v="0"/>
    <n v="1"/>
    <n v="0"/>
    <n v="0"/>
    <n v="0"/>
    <n v="1"/>
    <n v="1"/>
    <n v="0"/>
    <n v="0"/>
    <n v="0"/>
    <n v="0"/>
    <n v="0"/>
    <n v="0"/>
    <n v="0"/>
    <n v="0"/>
    <x v="3"/>
    <x v="2"/>
    <x v="7"/>
    <x v="3"/>
    <n v="20.946010589599599"/>
    <n v="92.301872253417997"/>
    <n v="197899"/>
    <x v="0"/>
    <m/>
  </r>
  <r>
    <x v="2"/>
    <x v="11"/>
    <x v="1"/>
    <x v="19"/>
    <x v="272"/>
    <n v="173"/>
    <n v="1205"/>
    <m/>
    <s v="UNICEF"/>
    <d v="2018-02-14T00:00:00"/>
    <n v="0"/>
    <s v="Yes"/>
    <n v="0"/>
    <n v="0"/>
    <n v="1"/>
    <n v="10"/>
    <n v="0"/>
    <n v="5"/>
    <n v="0"/>
    <m/>
    <m/>
    <m/>
    <m/>
    <m/>
    <m/>
    <m/>
    <n v="0"/>
    <n v="0"/>
    <m/>
    <m/>
    <n v="0"/>
    <x v="4"/>
    <x v="4"/>
    <m/>
    <m/>
    <m/>
    <n v="0"/>
    <s v="Household"/>
    <n v="0"/>
    <n v="0"/>
    <n v="7"/>
    <m/>
    <m/>
    <x v="0"/>
    <m/>
    <m/>
    <m/>
    <m/>
    <s v="no test"/>
    <s v="no test"/>
    <x v="1"/>
    <n v="1"/>
    <n v="1"/>
    <n v="1"/>
    <n v="1205"/>
    <n v="1"/>
    <n v="1205"/>
    <n v="1"/>
    <n v="1205"/>
    <n v="2.41"/>
    <n v="0"/>
    <n v="0"/>
    <n v="0"/>
    <n v="2"/>
    <n v="0"/>
    <n v="0"/>
    <n v="0"/>
    <n v="1"/>
    <n v="201"/>
    <n v="201"/>
    <n v="0"/>
    <s v="N/A"/>
    <n v="1205"/>
    <n v="0"/>
    <n v="1"/>
    <n v="0"/>
    <n v="0"/>
    <n v="0"/>
    <n v="1"/>
    <n v="1"/>
    <n v="0"/>
    <n v="0"/>
    <n v="0"/>
    <n v="0"/>
    <n v="0"/>
    <n v="0"/>
    <n v="0"/>
    <n v="0"/>
    <x v="3"/>
    <x v="2"/>
    <x v="7"/>
    <x v="5"/>
    <n v="21.000970840454102"/>
    <n v="92.334213256835895"/>
    <n v="197903"/>
    <x v="0"/>
    <m/>
  </r>
  <r>
    <x v="2"/>
    <x v="2"/>
    <x v="1"/>
    <x v="20"/>
    <x v="273"/>
    <n v="124"/>
    <n v="479"/>
    <m/>
    <m/>
    <m/>
    <m/>
    <s v="No"/>
    <n v="0"/>
    <n v="0"/>
    <n v="0"/>
    <n v="0"/>
    <m/>
    <m/>
    <n v="0"/>
    <m/>
    <m/>
    <m/>
    <m/>
    <m/>
    <m/>
    <m/>
    <n v="8"/>
    <m/>
    <m/>
    <m/>
    <n v="8"/>
    <x v="1"/>
    <x v="1"/>
    <m/>
    <m/>
    <m/>
    <n v="0"/>
    <m/>
    <n v="0"/>
    <m/>
    <m/>
    <m/>
    <m/>
    <x v="0"/>
    <m/>
    <m/>
    <m/>
    <m/>
    <s v="no test"/>
    <s v="no test"/>
    <x v="1"/>
    <n v="0"/>
    <n v="0"/>
    <n v="0"/>
    <n v="0"/>
    <n v="0"/>
    <n v="0"/>
    <n v="0"/>
    <n v="0"/>
    <n v="0"/>
    <n v="1"/>
    <n v="479"/>
    <n v="1"/>
    <n v="1"/>
    <n v="8"/>
    <n v="0.10020876826722339"/>
    <n v="48"/>
    <n v="0.90187891440501045"/>
    <n v="72"/>
    <n v="80"/>
    <n v="0"/>
    <s v="N/A"/>
    <n v="0"/>
    <n v="0"/>
    <n v="0"/>
    <n v="0"/>
    <n v="0"/>
    <n v="0"/>
    <n v="1"/>
    <n v="0"/>
    <n v="0"/>
    <n v="0"/>
    <n v="0"/>
    <n v="0"/>
    <n v="0"/>
    <n v="0"/>
    <n v="0"/>
    <n v="0"/>
    <x v="3"/>
    <x v="2"/>
    <x v="7"/>
    <x v="11"/>
    <n v="20.394809723000002"/>
    <n v="93.251609802000004"/>
    <s v="196994"/>
    <x v="1"/>
    <m/>
  </r>
  <r>
    <x v="2"/>
    <x v="2"/>
    <x v="1"/>
    <x v="20"/>
    <x v="274"/>
    <n v="178"/>
    <n v="763"/>
    <m/>
    <m/>
    <m/>
    <m/>
    <s v="No"/>
    <n v="0"/>
    <n v="0"/>
    <n v="0"/>
    <n v="0"/>
    <m/>
    <m/>
    <n v="0"/>
    <m/>
    <m/>
    <m/>
    <m/>
    <m/>
    <m/>
    <m/>
    <n v="5"/>
    <m/>
    <m/>
    <m/>
    <n v="5"/>
    <x v="1"/>
    <x v="1"/>
    <m/>
    <m/>
    <m/>
    <n v="0"/>
    <m/>
    <n v="0"/>
    <m/>
    <m/>
    <m/>
    <m/>
    <x v="0"/>
    <m/>
    <m/>
    <m/>
    <m/>
    <s v="no test"/>
    <s v="no test"/>
    <x v="1"/>
    <n v="0"/>
    <n v="0"/>
    <n v="0"/>
    <n v="0"/>
    <n v="0"/>
    <n v="0"/>
    <n v="0"/>
    <n v="0"/>
    <n v="0"/>
    <n v="1"/>
    <n v="763"/>
    <n v="2"/>
    <n v="2"/>
    <n v="5"/>
    <n v="3.9318479685452164E-2"/>
    <n v="30"/>
    <n v="0.95937090432503269"/>
    <n v="122"/>
    <n v="127"/>
    <n v="0"/>
    <s v="N/A"/>
    <n v="0"/>
    <n v="0"/>
    <n v="0"/>
    <n v="0"/>
    <n v="0"/>
    <n v="0"/>
    <n v="1"/>
    <n v="0"/>
    <n v="0"/>
    <n v="0"/>
    <n v="0"/>
    <n v="0"/>
    <n v="0"/>
    <n v="0"/>
    <n v="0"/>
    <n v="0"/>
    <x v="3"/>
    <x v="2"/>
    <x v="7"/>
    <x v="3"/>
    <n v="0"/>
    <n v="0"/>
    <s v="197174"/>
    <x v="1"/>
    <m/>
  </r>
  <r>
    <x v="2"/>
    <x v="2"/>
    <x v="1"/>
    <x v="20"/>
    <x v="275"/>
    <n v="42"/>
    <n v="183"/>
    <m/>
    <m/>
    <m/>
    <m/>
    <s v="No"/>
    <n v="0"/>
    <n v="0"/>
    <n v="2"/>
    <n v="0"/>
    <m/>
    <m/>
    <n v="2"/>
    <m/>
    <m/>
    <m/>
    <m/>
    <m/>
    <m/>
    <m/>
    <n v="0"/>
    <m/>
    <m/>
    <m/>
    <n v="0"/>
    <x v="1"/>
    <x v="1"/>
    <m/>
    <m/>
    <m/>
    <n v="0"/>
    <m/>
    <n v="0"/>
    <m/>
    <m/>
    <m/>
    <m/>
    <x v="0"/>
    <m/>
    <m/>
    <m/>
    <m/>
    <s v="no test"/>
    <s v="no test"/>
    <x v="1"/>
    <n v="1"/>
    <n v="1"/>
    <n v="1"/>
    <n v="183"/>
    <n v="0"/>
    <n v="0"/>
    <n v="1"/>
    <n v="183"/>
    <n v="0.36599999999999999"/>
    <n v="0"/>
    <n v="0"/>
    <n v="0.63400000000000001"/>
    <n v="1"/>
    <n v="0"/>
    <n v="0"/>
    <n v="0"/>
    <n v="1"/>
    <n v="31"/>
    <n v="31"/>
    <n v="0"/>
    <s v="N/A"/>
    <n v="0"/>
    <n v="0"/>
    <n v="0"/>
    <n v="0"/>
    <n v="0"/>
    <n v="0"/>
    <n v="1"/>
    <n v="0"/>
    <n v="0"/>
    <n v="0"/>
    <n v="0"/>
    <n v="0"/>
    <n v="0"/>
    <n v="0"/>
    <n v="0"/>
    <n v="0"/>
    <x v="3"/>
    <x v="2"/>
    <x v="7"/>
    <x v="3"/>
    <n v="20.398889541999999"/>
    <n v="93.254051208000007"/>
    <s v="196996"/>
    <x v="1"/>
    <m/>
  </r>
  <r>
    <x v="2"/>
    <x v="2"/>
    <x v="1"/>
    <x v="20"/>
    <x v="276"/>
    <n v="415"/>
    <n v="1628"/>
    <m/>
    <m/>
    <m/>
    <m/>
    <s v="No"/>
    <n v="0"/>
    <n v="0"/>
    <n v="0"/>
    <n v="0"/>
    <m/>
    <m/>
    <n v="0"/>
    <m/>
    <m/>
    <m/>
    <m/>
    <m/>
    <m/>
    <m/>
    <n v="45"/>
    <m/>
    <m/>
    <m/>
    <n v="45"/>
    <x v="1"/>
    <x v="1"/>
    <m/>
    <m/>
    <m/>
    <n v="0"/>
    <m/>
    <n v="0"/>
    <m/>
    <m/>
    <m/>
    <m/>
    <x v="0"/>
    <m/>
    <m/>
    <m/>
    <m/>
    <s v="no test"/>
    <s v="no test"/>
    <x v="1"/>
    <n v="0"/>
    <n v="0"/>
    <n v="0"/>
    <n v="0"/>
    <n v="0"/>
    <n v="0"/>
    <n v="0"/>
    <n v="0"/>
    <n v="0"/>
    <n v="1"/>
    <n v="1628"/>
    <n v="3"/>
    <n v="3"/>
    <n v="45"/>
    <n v="0.16584766584766586"/>
    <n v="270"/>
    <n v="0.83292383292383299"/>
    <n v="226"/>
    <n v="271"/>
    <n v="0"/>
    <s v="N/A"/>
    <n v="0"/>
    <n v="0"/>
    <n v="0"/>
    <n v="0"/>
    <n v="0"/>
    <n v="0"/>
    <n v="1"/>
    <n v="0"/>
    <n v="0"/>
    <n v="0"/>
    <n v="0"/>
    <n v="0"/>
    <n v="0"/>
    <n v="0"/>
    <n v="0"/>
    <n v="0"/>
    <x v="3"/>
    <x v="2"/>
    <x v="7"/>
    <x v="3"/>
    <n v="20.218471527099599"/>
    <n v="93.424331665039105"/>
    <s v="220671"/>
    <x v="1"/>
    <m/>
  </r>
  <r>
    <x v="2"/>
    <x v="2"/>
    <x v="1"/>
    <x v="20"/>
    <x v="277"/>
    <n v="150"/>
    <n v="730"/>
    <m/>
    <m/>
    <m/>
    <m/>
    <s v="No"/>
    <n v="0"/>
    <n v="0"/>
    <n v="2"/>
    <n v="0"/>
    <m/>
    <m/>
    <n v="3"/>
    <m/>
    <m/>
    <m/>
    <m/>
    <m/>
    <m/>
    <m/>
    <n v="55"/>
    <m/>
    <m/>
    <m/>
    <n v="55"/>
    <x v="1"/>
    <x v="1"/>
    <m/>
    <m/>
    <m/>
    <n v="1"/>
    <m/>
    <n v="15"/>
    <m/>
    <n v="4"/>
    <m/>
    <m/>
    <x v="0"/>
    <m/>
    <m/>
    <m/>
    <m/>
    <s v="no test"/>
    <s v="no test"/>
    <x v="1"/>
    <n v="1"/>
    <n v="0.68493150684931503"/>
    <n v="0.68493150684931503"/>
    <n v="500"/>
    <n v="0"/>
    <n v="0"/>
    <n v="0.68493150684931503"/>
    <n v="500"/>
    <n v="1"/>
    <n v="0.31506849315068497"/>
    <n v="230.00000000000003"/>
    <n v="0"/>
    <n v="1"/>
    <n v="55"/>
    <n v="0.45205479452054792"/>
    <n v="330"/>
    <n v="0.55068493150684927"/>
    <n v="67"/>
    <n v="122"/>
    <n v="0"/>
    <s v="N/A"/>
    <n v="730"/>
    <n v="0"/>
    <n v="1"/>
    <n v="0"/>
    <n v="0"/>
    <n v="0"/>
    <n v="1"/>
    <n v="1"/>
    <n v="0"/>
    <n v="0"/>
    <n v="0"/>
    <n v="0"/>
    <n v="0"/>
    <n v="150"/>
    <n v="0"/>
    <n v="0"/>
    <x v="3"/>
    <x v="2"/>
    <x v="10"/>
    <x v="5"/>
    <n v="20.39902"/>
    <n v="93.249669999999995"/>
    <s v="MMR012CMP003"/>
    <x v="1"/>
    <m/>
  </r>
  <r>
    <x v="2"/>
    <x v="2"/>
    <x v="1"/>
    <x v="20"/>
    <x v="278"/>
    <n v="175"/>
    <n v="659"/>
    <m/>
    <m/>
    <m/>
    <m/>
    <s v="No"/>
    <n v="0"/>
    <n v="0"/>
    <n v="2"/>
    <n v="0"/>
    <m/>
    <m/>
    <n v="0"/>
    <m/>
    <m/>
    <m/>
    <m/>
    <m/>
    <m/>
    <m/>
    <n v="12"/>
    <m/>
    <m/>
    <m/>
    <n v="12"/>
    <x v="1"/>
    <x v="1"/>
    <m/>
    <m/>
    <m/>
    <n v="0"/>
    <m/>
    <n v="0"/>
    <m/>
    <m/>
    <m/>
    <m/>
    <x v="0"/>
    <m/>
    <m/>
    <m/>
    <m/>
    <s v="no test"/>
    <s v="no test"/>
    <x v="1"/>
    <n v="1"/>
    <n v="0.75872534142640369"/>
    <n v="0.75872534142640369"/>
    <n v="500.00000000000006"/>
    <n v="0"/>
    <n v="0"/>
    <n v="0.75872534142640369"/>
    <n v="500.00000000000006"/>
    <n v="1.0000000000000002"/>
    <n v="0.24127465857359631"/>
    <n v="158.99999999999997"/>
    <n v="0"/>
    <n v="1"/>
    <n v="12"/>
    <n v="0.10925644916540213"/>
    <n v="72"/>
    <n v="0.89226100151745069"/>
    <n v="98"/>
    <n v="110"/>
    <n v="0"/>
    <s v="N/A"/>
    <n v="0"/>
    <n v="0"/>
    <n v="0"/>
    <n v="0"/>
    <n v="0"/>
    <n v="0"/>
    <n v="1"/>
    <n v="0"/>
    <n v="0"/>
    <n v="0"/>
    <n v="0"/>
    <n v="0"/>
    <n v="0"/>
    <n v="0"/>
    <n v="0"/>
    <n v="0"/>
    <x v="3"/>
    <x v="2"/>
    <x v="7"/>
    <x v="3"/>
    <n v="20.5199794769287"/>
    <n v="93.277252197265597"/>
    <s v="197067"/>
    <x v="1"/>
    <m/>
  </r>
  <r>
    <x v="2"/>
    <x v="2"/>
    <x v="1"/>
    <x v="20"/>
    <x v="279"/>
    <n v="41"/>
    <n v="146"/>
    <m/>
    <m/>
    <m/>
    <m/>
    <s v="No"/>
    <n v="0"/>
    <n v="0"/>
    <n v="2"/>
    <n v="0"/>
    <m/>
    <m/>
    <n v="2"/>
    <m/>
    <m/>
    <m/>
    <m/>
    <m/>
    <m/>
    <m/>
    <n v="2"/>
    <m/>
    <m/>
    <m/>
    <n v="2"/>
    <x v="1"/>
    <x v="1"/>
    <m/>
    <m/>
    <m/>
    <n v="0"/>
    <m/>
    <n v="0"/>
    <m/>
    <m/>
    <m/>
    <m/>
    <x v="0"/>
    <m/>
    <m/>
    <m/>
    <m/>
    <s v="no test"/>
    <s v="no test"/>
    <x v="1"/>
    <n v="1"/>
    <n v="1"/>
    <n v="1"/>
    <n v="146"/>
    <n v="0"/>
    <n v="0"/>
    <n v="1"/>
    <n v="146"/>
    <n v="0.29199999999999998"/>
    <n v="0"/>
    <n v="0"/>
    <n v="0.70799999999999996"/>
    <n v="1"/>
    <n v="2"/>
    <n v="8.2191780821917804E-2"/>
    <n v="12"/>
    <n v="0.90410958904109595"/>
    <n v="22"/>
    <n v="24"/>
    <n v="0"/>
    <s v="N/A"/>
    <n v="0"/>
    <n v="0"/>
    <n v="0"/>
    <n v="0"/>
    <n v="0"/>
    <n v="0"/>
    <n v="1"/>
    <n v="0"/>
    <n v="0"/>
    <n v="0"/>
    <n v="0"/>
    <n v="0"/>
    <n v="0"/>
    <n v="0"/>
    <n v="0"/>
    <n v="0"/>
    <x v="3"/>
    <x v="2"/>
    <x v="7"/>
    <x v="3"/>
    <n v="20.396680832000001"/>
    <n v="93.252868652000004"/>
    <s v="196998"/>
    <x v="1"/>
    <m/>
  </r>
  <r>
    <x v="2"/>
    <x v="2"/>
    <x v="1"/>
    <x v="20"/>
    <x v="280"/>
    <n v="280"/>
    <n v="1423"/>
    <m/>
    <m/>
    <m/>
    <m/>
    <s v="No"/>
    <n v="0"/>
    <n v="0"/>
    <n v="2"/>
    <n v="0"/>
    <m/>
    <m/>
    <n v="3"/>
    <m/>
    <m/>
    <m/>
    <m/>
    <m/>
    <m/>
    <m/>
    <n v="60"/>
    <m/>
    <m/>
    <m/>
    <n v="60"/>
    <x v="1"/>
    <x v="1"/>
    <m/>
    <m/>
    <m/>
    <n v="1"/>
    <m/>
    <n v="0"/>
    <m/>
    <n v="6"/>
    <m/>
    <m/>
    <x v="0"/>
    <m/>
    <m/>
    <m/>
    <m/>
    <s v="no test"/>
    <s v="no test"/>
    <x v="1"/>
    <n v="1"/>
    <n v="0.35137034434293746"/>
    <n v="0.35137034434293746"/>
    <n v="500"/>
    <n v="0"/>
    <n v="0"/>
    <n v="0.35137034434293746"/>
    <n v="500"/>
    <n v="1"/>
    <n v="0.64862965565706254"/>
    <n v="923"/>
    <n v="2"/>
    <n v="3"/>
    <n v="60"/>
    <n v="0.25298664792691494"/>
    <n v="359.99999999999994"/>
    <n v="0.74631061138439914"/>
    <n v="177"/>
    <n v="237"/>
    <n v="0"/>
    <s v="N/A"/>
    <n v="1423"/>
    <n v="0"/>
    <n v="1"/>
    <n v="0"/>
    <n v="0"/>
    <n v="0"/>
    <n v="1"/>
    <n v="1"/>
    <n v="0"/>
    <n v="0"/>
    <n v="0"/>
    <n v="0"/>
    <n v="0"/>
    <n v="280"/>
    <n v="0"/>
    <n v="0"/>
    <x v="3"/>
    <x v="2"/>
    <x v="10"/>
    <x v="5"/>
    <n v="20.392137999999999"/>
    <n v="93.257272"/>
    <s v="MMR012CMP002"/>
    <x v="1"/>
    <m/>
  </r>
  <r>
    <x v="2"/>
    <x v="2"/>
    <x v="1"/>
    <x v="21"/>
    <x v="281"/>
    <n v="146"/>
    <n v="731"/>
    <m/>
    <m/>
    <m/>
    <m/>
    <s v="No"/>
    <n v="0"/>
    <n v="0"/>
    <n v="1"/>
    <m/>
    <m/>
    <m/>
    <n v="0"/>
    <m/>
    <m/>
    <m/>
    <m/>
    <m/>
    <m/>
    <m/>
    <n v="5"/>
    <m/>
    <m/>
    <m/>
    <n v="0"/>
    <x v="1"/>
    <x v="1"/>
    <m/>
    <m/>
    <m/>
    <n v="0"/>
    <m/>
    <n v="0"/>
    <m/>
    <n v="0"/>
    <m/>
    <m/>
    <x v="0"/>
    <m/>
    <m/>
    <m/>
    <m/>
    <s v="no test"/>
    <s v="no test"/>
    <x v="1"/>
    <n v="1"/>
    <n v="0.34199726402188785"/>
    <n v="0.34199726402188785"/>
    <n v="250.00000000000003"/>
    <n v="0"/>
    <n v="0"/>
    <n v="0.34199726402188785"/>
    <n v="250.00000000000003"/>
    <n v="0.50000000000000011"/>
    <n v="0.65800273597811221"/>
    <n v="481"/>
    <n v="0.49999999999999989"/>
    <n v="1"/>
    <n v="5"/>
    <n v="4.1039671682626538E-2"/>
    <n v="30"/>
    <n v="0.96032831737346103"/>
    <n v="117"/>
    <n v="122"/>
    <n v="0"/>
    <s v="N/A"/>
    <n v="0"/>
    <n v="0"/>
    <n v="0"/>
    <n v="0"/>
    <n v="0"/>
    <n v="0"/>
    <n v="1"/>
    <n v="0"/>
    <n v="0"/>
    <n v="0"/>
    <n v="0"/>
    <n v="0"/>
    <n v="0"/>
    <n v="0"/>
    <n v="0"/>
    <n v="0"/>
    <x v="3"/>
    <x v="2"/>
    <x v="7"/>
    <x v="5"/>
    <n v="20.697229385376001"/>
    <n v="93.044059753417997"/>
    <s v="196643"/>
    <x v="1"/>
    <m/>
  </r>
  <r>
    <x v="2"/>
    <x v="2"/>
    <x v="1"/>
    <x v="21"/>
    <x v="282"/>
    <n v="23"/>
    <n v="117"/>
    <m/>
    <m/>
    <m/>
    <m/>
    <s v="No"/>
    <n v="0"/>
    <n v="0"/>
    <n v="2"/>
    <m/>
    <m/>
    <m/>
    <n v="0"/>
    <m/>
    <m/>
    <m/>
    <m/>
    <m/>
    <m/>
    <m/>
    <n v="0"/>
    <m/>
    <m/>
    <m/>
    <n v="0"/>
    <x v="1"/>
    <x v="1"/>
    <m/>
    <m/>
    <m/>
    <n v="0"/>
    <m/>
    <n v="0"/>
    <m/>
    <n v="0"/>
    <m/>
    <m/>
    <x v="0"/>
    <m/>
    <m/>
    <m/>
    <m/>
    <s v="no test"/>
    <s v="no test"/>
    <x v="1"/>
    <n v="1"/>
    <n v="1"/>
    <n v="1"/>
    <n v="117"/>
    <n v="0"/>
    <n v="0"/>
    <n v="1"/>
    <n v="117"/>
    <n v="0.23400000000000001"/>
    <n v="0"/>
    <n v="0"/>
    <n v="0.76600000000000001"/>
    <n v="1"/>
    <n v="0"/>
    <n v="0"/>
    <n v="0"/>
    <n v="1"/>
    <n v="20"/>
    <n v="20"/>
    <n v="0"/>
    <s v="N/A"/>
    <n v="0"/>
    <n v="0"/>
    <n v="0"/>
    <n v="0"/>
    <n v="0"/>
    <n v="0"/>
    <n v="1"/>
    <n v="0"/>
    <n v="0"/>
    <n v="0"/>
    <n v="0"/>
    <n v="0"/>
    <n v="0"/>
    <n v="0"/>
    <n v="0"/>
    <n v="0"/>
    <x v="3"/>
    <x v="2"/>
    <x v="7"/>
    <x v="3"/>
    <n v="20.489089965820298"/>
    <n v="93.211738586425795"/>
    <s v="196508"/>
    <x v="1"/>
    <m/>
  </r>
  <r>
    <x v="2"/>
    <x v="2"/>
    <x v="1"/>
    <x v="21"/>
    <x v="283"/>
    <n v="44"/>
    <n v="221"/>
    <m/>
    <m/>
    <m/>
    <m/>
    <s v="No"/>
    <n v="0"/>
    <n v="0"/>
    <n v="2"/>
    <m/>
    <m/>
    <m/>
    <n v="0"/>
    <m/>
    <m/>
    <m/>
    <m/>
    <m/>
    <m/>
    <m/>
    <n v="3"/>
    <m/>
    <m/>
    <m/>
    <n v="0"/>
    <x v="1"/>
    <x v="1"/>
    <m/>
    <m/>
    <m/>
    <n v="0"/>
    <m/>
    <n v="0"/>
    <m/>
    <n v="0"/>
    <m/>
    <m/>
    <x v="0"/>
    <m/>
    <m/>
    <m/>
    <m/>
    <s v="no test"/>
    <s v="no test"/>
    <x v="1"/>
    <n v="1"/>
    <n v="1"/>
    <n v="1"/>
    <n v="221"/>
    <n v="0"/>
    <n v="0"/>
    <n v="1"/>
    <n v="221"/>
    <n v="0.442"/>
    <n v="0"/>
    <n v="0"/>
    <n v="0.55800000000000005"/>
    <n v="1"/>
    <n v="3"/>
    <n v="8.1447963800904979E-2"/>
    <n v="18"/>
    <n v="0.92307692307692302"/>
    <n v="34"/>
    <n v="37"/>
    <n v="0"/>
    <s v="N/A"/>
    <n v="0"/>
    <n v="0"/>
    <n v="0"/>
    <n v="0"/>
    <n v="0"/>
    <n v="0"/>
    <n v="1"/>
    <n v="0"/>
    <n v="0"/>
    <n v="0"/>
    <n v="0"/>
    <n v="0"/>
    <n v="0"/>
    <n v="0"/>
    <n v="0"/>
    <n v="0"/>
    <x v="3"/>
    <x v="2"/>
    <x v="7"/>
    <x v="3"/>
    <n v="20.464775085449201"/>
    <n v="93.269363403320298"/>
    <s v="196496"/>
    <x v="1"/>
    <m/>
  </r>
  <r>
    <x v="2"/>
    <x v="2"/>
    <x v="1"/>
    <x v="21"/>
    <x v="284"/>
    <n v="161"/>
    <n v="807"/>
    <m/>
    <m/>
    <m/>
    <m/>
    <s v="No"/>
    <n v="0"/>
    <n v="0"/>
    <n v="1"/>
    <m/>
    <m/>
    <m/>
    <n v="0"/>
    <m/>
    <m/>
    <m/>
    <m/>
    <m/>
    <m/>
    <m/>
    <n v="4"/>
    <m/>
    <m/>
    <m/>
    <n v="0"/>
    <x v="1"/>
    <x v="1"/>
    <m/>
    <m/>
    <m/>
    <n v="0"/>
    <m/>
    <n v="0"/>
    <m/>
    <n v="0"/>
    <m/>
    <m/>
    <x v="0"/>
    <m/>
    <m/>
    <m/>
    <m/>
    <s v="no test"/>
    <s v="no test"/>
    <x v="1"/>
    <n v="1"/>
    <n v="0.3097893432465923"/>
    <n v="0.3097893432465923"/>
    <n v="249.99999999999997"/>
    <n v="0"/>
    <n v="0"/>
    <n v="0.3097893432465923"/>
    <n v="249.99999999999997"/>
    <n v="0.49999999999999994"/>
    <n v="0.69021065675340765"/>
    <n v="557"/>
    <n v="1.5"/>
    <n v="2"/>
    <n v="4"/>
    <n v="2.9739776951672861E-2"/>
    <n v="24"/>
    <n v="0.97397769516728627"/>
    <n v="131"/>
    <n v="135"/>
    <n v="0"/>
    <s v="N/A"/>
    <n v="0"/>
    <n v="0"/>
    <n v="0"/>
    <n v="0"/>
    <n v="0"/>
    <n v="0"/>
    <n v="1"/>
    <n v="0"/>
    <n v="0"/>
    <n v="0"/>
    <n v="0"/>
    <n v="0"/>
    <n v="0"/>
    <n v="0"/>
    <n v="0"/>
    <n v="0"/>
    <x v="3"/>
    <x v="2"/>
    <x v="7"/>
    <x v="3"/>
    <n v="20.4625244140625"/>
    <n v="93.257278442382798"/>
    <s v="220626"/>
    <x v="1"/>
    <m/>
  </r>
  <r>
    <x v="2"/>
    <x v="2"/>
    <x v="1"/>
    <x v="21"/>
    <x v="285"/>
    <n v="211"/>
    <n v="1055"/>
    <m/>
    <m/>
    <m/>
    <m/>
    <s v="No"/>
    <n v="0"/>
    <n v="0"/>
    <n v="1"/>
    <m/>
    <m/>
    <m/>
    <n v="0"/>
    <m/>
    <m/>
    <m/>
    <m/>
    <m/>
    <m/>
    <m/>
    <n v="5"/>
    <m/>
    <m/>
    <m/>
    <n v="0"/>
    <x v="1"/>
    <x v="1"/>
    <m/>
    <m/>
    <m/>
    <n v="0"/>
    <m/>
    <n v="0"/>
    <m/>
    <n v="0"/>
    <m/>
    <m/>
    <x v="0"/>
    <m/>
    <m/>
    <m/>
    <m/>
    <s v="no test"/>
    <s v="no test"/>
    <x v="1"/>
    <n v="1"/>
    <n v="0.23696682464454977"/>
    <n v="0.23696682464454977"/>
    <n v="250"/>
    <n v="0"/>
    <n v="0"/>
    <n v="0.23696682464454977"/>
    <n v="250"/>
    <n v="0.5"/>
    <n v="0.76303317535545023"/>
    <n v="805"/>
    <n v="1.5"/>
    <n v="2"/>
    <n v="5"/>
    <n v="2.843601895734597E-2"/>
    <n v="30"/>
    <n v="0.97251184834123217"/>
    <n v="171"/>
    <n v="176"/>
    <n v="0"/>
    <s v="N/A"/>
    <n v="0"/>
    <n v="0"/>
    <n v="0"/>
    <n v="0"/>
    <n v="0"/>
    <n v="0"/>
    <n v="1"/>
    <n v="0"/>
    <n v="0"/>
    <n v="0"/>
    <n v="0"/>
    <n v="0"/>
    <n v="0"/>
    <n v="0"/>
    <n v="0"/>
    <n v="0"/>
    <x v="3"/>
    <x v="2"/>
    <x v="7"/>
    <x v="3"/>
    <n v="20.703550338745099"/>
    <n v="93.060462951660199"/>
    <s v="196642"/>
    <x v="1"/>
    <m/>
  </r>
  <r>
    <x v="2"/>
    <x v="16"/>
    <x v="1"/>
    <x v="22"/>
    <x v="286"/>
    <n v="40"/>
    <n v="217"/>
    <m/>
    <s v="UNICEF"/>
    <d v="2018-06-30T00:00:00"/>
    <n v="0"/>
    <s v="No"/>
    <n v="0"/>
    <n v="0"/>
    <n v="0"/>
    <n v="0"/>
    <n v="37500"/>
    <n v="0"/>
    <n v="0"/>
    <m/>
    <m/>
    <m/>
    <m/>
    <m/>
    <m/>
    <m/>
    <n v="40"/>
    <n v="0"/>
    <m/>
    <m/>
    <n v="40"/>
    <x v="4"/>
    <x v="0"/>
    <m/>
    <m/>
    <m/>
    <n v="0"/>
    <m/>
    <n v="0"/>
    <n v="0"/>
    <n v="2"/>
    <m/>
    <m/>
    <x v="0"/>
    <m/>
    <m/>
    <m/>
    <m/>
    <s v="no test"/>
    <s v="no test"/>
    <x v="1"/>
    <n v="1"/>
    <n v="1"/>
    <n v="1"/>
    <n v="217"/>
    <n v="0"/>
    <n v="0"/>
    <n v="1"/>
    <n v="217"/>
    <n v="0.434"/>
    <n v="0"/>
    <n v="0"/>
    <n v="0.56600000000000006"/>
    <n v="1"/>
    <n v="40"/>
    <n v="1"/>
    <n v="217"/>
    <n v="0"/>
    <n v="0"/>
    <n v="36"/>
    <n v="0"/>
    <s v="N/A"/>
    <n v="217"/>
    <n v="0"/>
    <n v="1"/>
    <n v="0"/>
    <n v="0"/>
    <n v="0"/>
    <n v="1"/>
    <n v="1"/>
    <n v="0"/>
    <n v="0"/>
    <n v="0"/>
    <n v="0"/>
    <n v="0"/>
    <n v="0"/>
    <n v="0"/>
    <n v="0"/>
    <x v="3"/>
    <x v="2"/>
    <x v="8"/>
    <x v="3"/>
    <n v="20.041981"/>
    <n v="93.373951000000005"/>
    <s v="MMR012CMP013"/>
    <x v="0"/>
    <m/>
  </r>
  <r>
    <x v="2"/>
    <x v="16"/>
    <x v="1"/>
    <x v="22"/>
    <x v="361"/>
    <n v="713"/>
    <n v="2835"/>
    <m/>
    <s v="UNICEF"/>
    <d v="2018-06-30T00:00:00"/>
    <n v="0"/>
    <s v="Yes"/>
    <n v="0"/>
    <n v="0"/>
    <n v="0"/>
    <n v="0"/>
    <n v="0"/>
    <n v="5"/>
    <n v="0"/>
    <m/>
    <m/>
    <m/>
    <m/>
    <m/>
    <m/>
    <m/>
    <n v="150"/>
    <n v="197"/>
    <m/>
    <m/>
    <n v="0"/>
    <x v="0"/>
    <x v="0"/>
    <m/>
    <m/>
    <s v="Functional"/>
    <n v="1"/>
    <s v="Communal"/>
    <n v="0"/>
    <n v="1"/>
    <n v="8"/>
    <m/>
    <m/>
    <x v="0"/>
    <m/>
    <m/>
    <m/>
    <s v="8 Hygiene promoters, 8 latrine cleaner, 10 environmental workers and 2 water system operators"/>
    <s v="no test"/>
    <s v="no test"/>
    <x v="1"/>
    <n v="0"/>
    <n v="0"/>
    <n v="0"/>
    <n v="0"/>
    <n v="0.44091710758377423"/>
    <n v="1250"/>
    <n v="0.44091710758377423"/>
    <n v="1250"/>
    <n v="2.5"/>
    <n v="0.55908289241622577"/>
    <n v="1585"/>
    <n v="3.5"/>
    <n v="6"/>
    <n v="347"/>
    <n v="1"/>
    <n v="2835"/>
    <n v="0"/>
    <n v="0"/>
    <n v="142"/>
    <n v="0.56772334293948123"/>
    <n v="0"/>
    <n v="2835"/>
    <n v="0"/>
    <n v="1"/>
    <n v="0"/>
    <n v="0"/>
    <n v="0"/>
    <n v="1"/>
    <n v="1"/>
    <n v="0"/>
    <n v="0"/>
    <n v="0"/>
    <n v="0"/>
    <n v="0"/>
    <n v="713"/>
    <s v="Yes"/>
    <n v="0"/>
    <x v="1"/>
    <x v="0"/>
    <x v="9"/>
    <x v="5"/>
    <n v="20.037655000000001"/>
    <n v="93.370037999999994"/>
    <s v="MMR012CMP014"/>
    <x v="0"/>
    <m/>
  </r>
  <r>
    <x v="2"/>
    <x v="0"/>
    <x v="1"/>
    <x v="16"/>
    <x v="288"/>
    <n v="399"/>
    <n v="1975"/>
    <m/>
    <s v="ECHO/OFDA"/>
    <d v="2018-04-30T00:00:00"/>
    <n v="36"/>
    <s v="No"/>
    <n v="0"/>
    <n v="0"/>
    <n v="0"/>
    <n v="0"/>
    <n v="0"/>
    <n v="3"/>
    <n v="0"/>
    <m/>
    <m/>
    <m/>
    <m/>
    <m/>
    <m/>
    <s v="SI does not deliver water to the village, only CWF and HP sessions"/>
    <n v="347"/>
    <n v="347"/>
    <m/>
    <m/>
    <n v="0"/>
    <x v="3"/>
    <x v="0"/>
    <m/>
    <m/>
    <s v="There is solid waste management in ANY  villagebut no incinerator"/>
    <n v="0"/>
    <m/>
    <n v="0"/>
    <n v="0"/>
    <n v="3"/>
    <m/>
    <m/>
    <x v="0"/>
    <m/>
    <m/>
    <m/>
    <s v="Access to soap as incentive for mass cleaning campaigns"/>
    <s v="no test"/>
    <s v="no test"/>
    <x v="1"/>
    <n v="0"/>
    <n v="0"/>
    <n v="0"/>
    <n v="0"/>
    <n v="0.379746835443038"/>
    <n v="750"/>
    <n v="0.379746835443038"/>
    <n v="750"/>
    <n v="1.5"/>
    <n v="0.620253164556962"/>
    <n v="1225"/>
    <n v="2.5"/>
    <n v="4"/>
    <n v="694"/>
    <n v="1"/>
    <n v="1975"/>
    <n v="0"/>
    <n v="0"/>
    <n v="329"/>
    <n v="0.5"/>
    <s v="N/A"/>
    <n v="1500"/>
    <n v="0"/>
    <n v="1"/>
    <n v="0"/>
    <n v="0"/>
    <n v="0"/>
    <n v="1"/>
    <n v="0.759493670886076"/>
    <n v="0"/>
    <n v="0"/>
    <n v="0"/>
    <n v="0"/>
    <n v="0"/>
    <n v="0"/>
    <n v="0"/>
    <n v="0"/>
    <x v="3"/>
    <x v="2"/>
    <x v="7"/>
    <x v="5"/>
    <n v="20.099340438842798"/>
    <n v="92.989143371582003"/>
    <s v="197558"/>
    <x v="0"/>
    <m/>
  </r>
  <r>
    <x v="2"/>
    <x v="0"/>
    <x v="1"/>
    <x v="16"/>
    <x v="205"/>
    <n v="712"/>
    <n v="4302"/>
    <m/>
    <s v="ECHO/OFDA"/>
    <d v="2018-04-30T00:00:00"/>
    <m/>
    <s v="No"/>
    <n v="0"/>
    <n v="0"/>
    <n v="0"/>
    <n v="0"/>
    <n v="65000"/>
    <n v="2"/>
    <n v="0"/>
    <m/>
    <m/>
    <m/>
    <m/>
    <m/>
    <m/>
    <m/>
    <n v="130"/>
    <n v="2"/>
    <m/>
    <m/>
    <n v="0"/>
    <x v="3"/>
    <x v="0"/>
    <m/>
    <m/>
    <s v="There is solid waste management in ANY but no incinerator"/>
    <n v="0"/>
    <s v="Household"/>
    <n v="0"/>
    <n v="0"/>
    <n v="10"/>
    <m/>
    <m/>
    <x v="0"/>
    <m/>
    <m/>
    <m/>
    <s v="UNICEF distributed full HK"/>
    <s v="no test"/>
    <s v="no test"/>
    <x v="1"/>
    <n v="1"/>
    <n v="1"/>
    <n v="1"/>
    <n v="4302"/>
    <n v="0.11622501162250116"/>
    <n v="500"/>
    <n v="1"/>
    <n v="4302"/>
    <n v="8.6039999999999992"/>
    <n v="0"/>
    <n v="0"/>
    <n v="0.3960000000000008"/>
    <n v="9"/>
    <n v="132"/>
    <n v="0.60437006043700603"/>
    <n v="2600"/>
    <n v="0.38586703858670385"/>
    <n v="83"/>
    <n v="215"/>
    <n v="1.5151515151515152E-2"/>
    <n v="0"/>
    <n v="4302"/>
    <n v="0"/>
    <n v="1"/>
    <n v="0"/>
    <n v="0"/>
    <n v="0"/>
    <n v="1"/>
    <n v="1"/>
    <n v="0"/>
    <n v="0"/>
    <n v="0"/>
    <n v="0"/>
    <n v="0"/>
    <n v="0"/>
    <s v="Yes"/>
    <n v="0"/>
    <x v="1"/>
    <x v="0"/>
    <x v="9"/>
    <x v="5"/>
    <n v="20.108101999999999"/>
    <n v="92.985095000000001"/>
    <s v="MMR012CMP016"/>
    <x v="0"/>
    <m/>
  </r>
  <r>
    <x v="2"/>
    <x v="18"/>
    <x v="1"/>
    <x v="16"/>
    <x v="336"/>
    <n v="1341"/>
    <n v="5938"/>
    <m/>
    <s v="UNICEF"/>
    <d v="2018-06-30T00:00:00"/>
    <n v="0"/>
    <s v="No"/>
    <n v="0"/>
    <n v="0"/>
    <n v="0"/>
    <n v="0"/>
    <n v="81000"/>
    <n v="2"/>
    <n v="0"/>
    <m/>
    <n v="0"/>
    <n v="0"/>
    <n v="0"/>
    <n v="0"/>
    <n v="0"/>
    <m/>
    <n v="87"/>
    <n v="116"/>
    <n v="34"/>
    <m/>
    <n v="0"/>
    <x v="0"/>
    <x v="2"/>
    <n v="0"/>
    <n v="0"/>
    <m/>
    <n v="0"/>
    <s v="Household"/>
    <n v="0"/>
    <n v="0"/>
    <n v="20"/>
    <n v="1341"/>
    <n v="1341"/>
    <x v="1"/>
    <m/>
    <m/>
    <m/>
    <m/>
    <s v="no test"/>
    <s v="no test"/>
    <x v="1"/>
    <n v="0.90939710340181878"/>
    <n v="0.90939710340181878"/>
    <n v="0.90939710340181878"/>
    <n v="5400"/>
    <n v="8.4203435500168414E-2"/>
    <n v="500.00000000000006"/>
    <n v="0.99360053890198718"/>
    <n v="5900"/>
    <n v="11.8"/>
    <n v="6.3994610980128153E-3"/>
    <n v="38.000000000000099"/>
    <n v="0.19999999999999929"/>
    <n v="12"/>
    <n v="203"/>
    <n v="0.29302795554058608"/>
    <n v="1740.0000000000002"/>
    <n v="0.31660491748063324"/>
    <n v="94"/>
    <n v="297"/>
    <n v="0.5714285714285714"/>
    <n v="680"/>
    <n v="5938"/>
    <n v="1"/>
    <n v="1"/>
    <n v="1"/>
    <n v="5938"/>
    <n v="1"/>
    <n v="0"/>
    <n v="1"/>
    <n v="1"/>
    <n v="1"/>
    <n v="6705"/>
    <n v="6705"/>
    <n v="6705"/>
    <n v="0"/>
    <s v="Yes"/>
    <n v="0"/>
    <x v="1"/>
    <x v="0"/>
    <x v="9"/>
    <x v="5"/>
    <n v="20.090183"/>
    <n v="93.010368999999997"/>
    <s v="MMR012CMP018"/>
    <x v="0"/>
    <m/>
  </r>
  <r>
    <x v="2"/>
    <x v="0"/>
    <x v="1"/>
    <x v="16"/>
    <x v="339"/>
    <n v="708"/>
    <n v="4380"/>
    <m/>
    <s v="ECHO/OFDA"/>
    <d v="2018-04-30T00:00:00"/>
    <m/>
    <s v="No"/>
    <n v="0"/>
    <n v="0"/>
    <n v="0"/>
    <n v="0"/>
    <n v="65000"/>
    <n v="0"/>
    <n v="0"/>
    <m/>
    <m/>
    <m/>
    <m/>
    <m/>
    <m/>
    <m/>
    <n v="147"/>
    <n v="12"/>
    <m/>
    <m/>
    <n v="0"/>
    <x v="3"/>
    <x v="2"/>
    <m/>
    <m/>
    <m/>
    <n v="0"/>
    <s v="Household"/>
    <n v="0"/>
    <n v="0"/>
    <n v="9"/>
    <m/>
    <m/>
    <x v="0"/>
    <m/>
    <m/>
    <m/>
    <s v="UNICEF distributed full HK"/>
    <s v="no test"/>
    <s v="no test"/>
    <x v="1"/>
    <n v="0.98934550989345504"/>
    <n v="0.98934550989345504"/>
    <n v="0.98934550989345504"/>
    <n v="4333.333333333333"/>
    <n v="0"/>
    <n v="0"/>
    <n v="0.98934550989345504"/>
    <n v="4333.333333333333"/>
    <n v="8.6666666666666661"/>
    <n v="1.0654490106544956E-2"/>
    <n v="46.666666666666906"/>
    <n v="0.33333333333333393"/>
    <n v="9"/>
    <n v="159"/>
    <n v="0.67123287671232879"/>
    <n v="2940"/>
    <n v="0.27397260273972601"/>
    <n v="60"/>
    <n v="219"/>
    <n v="7.5471698113207544E-2"/>
    <n v="0"/>
    <n v="4380"/>
    <n v="0"/>
    <n v="1"/>
    <n v="0"/>
    <n v="0"/>
    <n v="0"/>
    <n v="1"/>
    <n v="1"/>
    <n v="0"/>
    <n v="0"/>
    <n v="0"/>
    <n v="0"/>
    <n v="0"/>
    <n v="0"/>
    <s v="Yes"/>
    <n v="0"/>
    <x v="1"/>
    <x v="0"/>
    <x v="11"/>
    <x v="5"/>
    <n v="20.073437999999999"/>
    <n v="93.154551999999995"/>
    <s v="MMR012CMP017"/>
    <x v="0"/>
    <m/>
  </r>
  <r>
    <x v="2"/>
    <x v="0"/>
    <x v="1"/>
    <x v="16"/>
    <x v="340"/>
    <n v="544"/>
    <n v="3951"/>
    <m/>
    <s v="ECHO/OFDA"/>
    <d v="2018-04-30T00:00:00"/>
    <m/>
    <s v="No"/>
    <n v="0"/>
    <n v="0"/>
    <n v="0"/>
    <n v="0"/>
    <n v="60000"/>
    <n v="0"/>
    <n v="0"/>
    <m/>
    <m/>
    <m/>
    <m/>
    <m/>
    <m/>
    <m/>
    <n v="132"/>
    <n v="14"/>
    <m/>
    <m/>
    <n v="0"/>
    <x v="3"/>
    <x v="2"/>
    <m/>
    <m/>
    <m/>
    <n v="0"/>
    <s v="Household"/>
    <n v="0"/>
    <n v="0"/>
    <n v="8"/>
    <m/>
    <m/>
    <x v="0"/>
    <m/>
    <m/>
    <m/>
    <s v="UNICEF distributed full HK"/>
    <s v="no test"/>
    <s v="no test"/>
    <x v="1"/>
    <n v="1"/>
    <n v="1"/>
    <n v="1"/>
    <n v="3951"/>
    <n v="0"/>
    <n v="0"/>
    <n v="1"/>
    <n v="3951"/>
    <n v="7.9020000000000001"/>
    <n v="0"/>
    <n v="0"/>
    <n v="9.7999999999999865E-2"/>
    <n v="8"/>
    <n v="146"/>
    <n v="0.66818526955201218"/>
    <n v="2640"/>
    <n v="0.26322450012655024"/>
    <n v="52"/>
    <n v="198"/>
    <n v="9.5890410958904104E-2"/>
    <n v="0"/>
    <n v="3951"/>
    <n v="0"/>
    <n v="1"/>
    <n v="0"/>
    <n v="0"/>
    <n v="0"/>
    <n v="1"/>
    <n v="1"/>
    <n v="0"/>
    <n v="0"/>
    <n v="0"/>
    <n v="0"/>
    <n v="0"/>
    <n v="0"/>
    <s v="Yes"/>
    <n v="0"/>
    <x v="1"/>
    <x v="0"/>
    <x v="9"/>
    <x v="5"/>
    <n v="20.073437999999999"/>
    <n v="93.154551999999995"/>
    <s v="MMR012CMP017"/>
    <x v="0"/>
    <m/>
  </r>
  <r>
    <x v="2"/>
    <x v="7"/>
    <x v="1"/>
    <x v="16"/>
    <x v="293"/>
    <n v="204"/>
    <n v="1055"/>
    <m/>
    <s v="OFDA"/>
    <d v="2018-03-31T00:00:00"/>
    <n v="0"/>
    <s v="No"/>
    <n v="0"/>
    <n v="0"/>
    <n v="0"/>
    <n v="0"/>
    <n v="0"/>
    <n v="2"/>
    <n v="0"/>
    <m/>
    <n v="0"/>
    <n v="0"/>
    <n v="0"/>
    <n v="0"/>
    <n v="0"/>
    <m/>
    <n v="50"/>
    <n v="20"/>
    <n v="0"/>
    <m/>
    <n v="70"/>
    <x v="4"/>
    <x v="4"/>
    <n v="0"/>
    <n v="0"/>
    <m/>
    <n v="0"/>
    <s v="Household"/>
    <n v="0"/>
    <n v="0"/>
    <n v="3"/>
    <n v="0"/>
    <n v="0"/>
    <x v="0"/>
    <m/>
    <m/>
    <m/>
    <m/>
    <s v="no test"/>
    <s v="no test"/>
    <x v="1"/>
    <n v="0"/>
    <n v="0"/>
    <n v="0"/>
    <n v="0"/>
    <n v="0.47393364928909953"/>
    <n v="500"/>
    <n v="0.47393364928909953"/>
    <n v="500"/>
    <n v="1"/>
    <n v="0.52606635071090047"/>
    <n v="555"/>
    <n v="1"/>
    <n v="2"/>
    <n v="70"/>
    <n v="0.28436018957345971"/>
    <n v="300"/>
    <n v="0.6028436018957346"/>
    <n v="106"/>
    <n v="176"/>
    <n v="0.2857142857142857"/>
    <s v="N/A"/>
    <n v="1055"/>
    <n v="0"/>
    <n v="1"/>
    <n v="0"/>
    <n v="0"/>
    <n v="0"/>
    <n v="1"/>
    <n v="1"/>
    <n v="0"/>
    <n v="0"/>
    <n v="0"/>
    <n v="0"/>
    <n v="0"/>
    <n v="0"/>
    <n v="0"/>
    <n v="0"/>
    <x v="3"/>
    <x v="2"/>
    <x v="7"/>
    <x v="3"/>
    <n v="20.0839"/>
    <n v="92.993799999999993"/>
    <s v="197557"/>
    <x v="0"/>
    <m/>
  </r>
  <r>
    <x v="2"/>
    <x v="7"/>
    <x v="1"/>
    <x v="16"/>
    <x v="357"/>
    <n v="744"/>
    <n v="2810"/>
    <m/>
    <s v="OFDA"/>
    <d v="2018-03-31T00:00:00"/>
    <n v="0"/>
    <s v="No"/>
    <n v="0"/>
    <n v="0"/>
    <n v="14"/>
    <n v="0"/>
    <n v="70067"/>
    <n v="0"/>
    <n v="8"/>
    <m/>
    <n v="0"/>
    <n v="0"/>
    <n v="0"/>
    <n v="0"/>
    <n v="0"/>
    <m/>
    <n v="348"/>
    <n v="18"/>
    <n v="0"/>
    <m/>
    <n v="366"/>
    <x v="0"/>
    <x v="0"/>
    <n v="0"/>
    <n v="0"/>
    <m/>
    <n v="0.55000000000000004"/>
    <s v="Both"/>
    <n v="660"/>
    <n v="0"/>
    <n v="7"/>
    <n v="720"/>
    <n v="720"/>
    <x v="0"/>
    <m/>
    <m/>
    <m/>
    <m/>
    <s v="no test"/>
    <s v="no test"/>
    <x v="1"/>
    <n v="1"/>
    <n v="1"/>
    <n v="1"/>
    <n v="2810"/>
    <n v="0"/>
    <n v="0"/>
    <n v="1"/>
    <n v="2810"/>
    <n v="5.62"/>
    <n v="0"/>
    <n v="0"/>
    <n v="0.37999999999999989"/>
    <n v="6"/>
    <n v="366"/>
    <n v="1"/>
    <n v="2810"/>
    <n v="0"/>
    <n v="0"/>
    <n v="141"/>
    <n v="4.9180327868852458E-2"/>
    <n v="0"/>
    <n v="2810"/>
    <n v="0"/>
    <n v="1"/>
    <n v="0"/>
    <n v="0"/>
    <n v="0"/>
    <n v="1"/>
    <n v="1"/>
    <n v="0.967741935483871"/>
    <n v="0.967741935483871"/>
    <n v="3600"/>
    <n v="3600"/>
    <n v="3600"/>
    <n v="409.20000000000005"/>
    <s v="Yes"/>
    <n v="0"/>
    <x v="1"/>
    <x v="0"/>
    <x v="9"/>
    <x v="5"/>
    <n v="20.064226000000001"/>
    <n v="92.993758999999997"/>
    <s v="MMR012CMP019"/>
    <x v="0"/>
    <m/>
  </r>
  <r>
    <x v="2"/>
    <x v="7"/>
    <x v="1"/>
    <x v="16"/>
    <x v="295"/>
    <n v="948"/>
    <n v="3946"/>
    <m/>
    <s v="OFDA"/>
    <d v="2018-03-31T00:00:00"/>
    <n v="0"/>
    <s v="No"/>
    <n v="0"/>
    <n v="0"/>
    <n v="50"/>
    <n v="8"/>
    <n v="0"/>
    <n v="0"/>
    <n v="0"/>
    <m/>
    <n v="0"/>
    <n v="0"/>
    <n v="0"/>
    <n v="0"/>
    <n v="0"/>
    <m/>
    <n v="243"/>
    <n v="97"/>
    <n v="0"/>
    <m/>
    <n v="340"/>
    <x v="4"/>
    <x v="0"/>
    <n v="0"/>
    <n v="0"/>
    <m/>
    <n v="0.45"/>
    <s v="Both"/>
    <n v="0"/>
    <n v="0"/>
    <n v="7"/>
    <n v="0"/>
    <n v="0"/>
    <x v="0"/>
    <m/>
    <m/>
    <m/>
    <m/>
    <s v="no test"/>
    <s v="no test"/>
    <x v="1"/>
    <n v="1"/>
    <n v="1"/>
    <n v="1"/>
    <n v="3946"/>
    <n v="0"/>
    <n v="0"/>
    <n v="1"/>
    <n v="3946"/>
    <n v="7.8920000000000003"/>
    <n v="0"/>
    <n v="0"/>
    <n v="0.10799999999999965"/>
    <n v="8"/>
    <n v="340"/>
    <n v="0.36948808920425746"/>
    <n v="1458"/>
    <n v="0.48352762290927526"/>
    <n v="318"/>
    <n v="658"/>
    <n v="0.28529411764705881"/>
    <s v="N/A"/>
    <n v="3500"/>
    <n v="0"/>
    <n v="1"/>
    <n v="0"/>
    <n v="0"/>
    <n v="0"/>
    <n v="1"/>
    <n v="0.88697415103902688"/>
    <n v="0"/>
    <n v="0"/>
    <n v="0"/>
    <n v="0"/>
    <n v="0"/>
    <n v="426.6"/>
    <n v="0"/>
    <n v="0"/>
    <x v="3"/>
    <x v="2"/>
    <x v="7"/>
    <x v="5"/>
    <n v="20.0641"/>
    <n v="92.994600000000005"/>
    <s v="197548"/>
    <x v="0"/>
    <m/>
  </r>
  <r>
    <x v="2"/>
    <x v="7"/>
    <x v="1"/>
    <x v="16"/>
    <x v="296"/>
    <n v="477"/>
    <n v="2034"/>
    <m/>
    <s v="OFDA"/>
    <d v="2018-03-31T00:00:00"/>
    <n v="0"/>
    <s v="No"/>
    <n v="0"/>
    <n v="0"/>
    <n v="15"/>
    <n v="7"/>
    <n v="0"/>
    <n v="2"/>
    <n v="0"/>
    <m/>
    <n v="0"/>
    <n v="0"/>
    <n v="0"/>
    <n v="0"/>
    <n v="0"/>
    <m/>
    <n v="102"/>
    <n v="74"/>
    <n v="0"/>
    <m/>
    <n v="176"/>
    <x v="4"/>
    <x v="0"/>
    <n v="0"/>
    <n v="0"/>
    <s v="Village approach(Agency regular provide only cleaning mateirals)"/>
    <n v="0"/>
    <s v="Household"/>
    <n v="0"/>
    <n v="0"/>
    <n v="4"/>
    <n v="0"/>
    <n v="0"/>
    <x v="0"/>
    <m/>
    <m/>
    <m/>
    <m/>
    <s v="no test"/>
    <s v="no test"/>
    <x v="1"/>
    <n v="1"/>
    <n v="1"/>
    <n v="1"/>
    <n v="2034"/>
    <n v="0.24582104228121926"/>
    <n v="500"/>
    <n v="1"/>
    <n v="2034"/>
    <n v="4.0679999999999996"/>
    <n v="0"/>
    <n v="0"/>
    <n v="0"/>
    <n v="4"/>
    <n v="176"/>
    <n v="0.30088495575221241"/>
    <n v="612"/>
    <n v="0.4808259587020649"/>
    <n v="163"/>
    <n v="339"/>
    <n v="0.42045454545454547"/>
    <s v="N/A"/>
    <n v="2000"/>
    <n v="0"/>
    <n v="1"/>
    <n v="0"/>
    <n v="0"/>
    <n v="0"/>
    <n v="1"/>
    <n v="0.98328416912487704"/>
    <n v="0"/>
    <n v="0"/>
    <n v="0"/>
    <n v="0"/>
    <n v="0"/>
    <n v="0"/>
    <n v="0"/>
    <n v="0"/>
    <x v="3"/>
    <x v="2"/>
    <x v="7"/>
    <x v="3"/>
    <n v="20.057860999999999"/>
    <n v="92.995181000000002"/>
    <s v="197550"/>
    <x v="0"/>
    <m/>
  </r>
  <r>
    <x v="2"/>
    <x v="2"/>
    <x v="1"/>
    <x v="23"/>
    <x v="297"/>
    <n v="72"/>
    <n v="360"/>
    <m/>
    <m/>
    <m/>
    <m/>
    <s v="No"/>
    <n v="0"/>
    <n v="0"/>
    <n v="0"/>
    <m/>
    <m/>
    <m/>
    <n v="0"/>
    <m/>
    <m/>
    <m/>
    <m/>
    <m/>
    <m/>
    <m/>
    <n v="5"/>
    <m/>
    <m/>
    <m/>
    <n v="0"/>
    <x v="1"/>
    <x v="1"/>
    <m/>
    <m/>
    <m/>
    <n v="0"/>
    <m/>
    <n v="0"/>
    <m/>
    <n v="0"/>
    <m/>
    <m/>
    <x v="0"/>
    <m/>
    <m/>
    <m/>
    <m/>
    <s v="no test"/>
    <s v="no test"/>
    <x v="1"/>
    <n v="0"/>
    <n v="0"/>
    <n v="0"/>
    <n v="0"/>
    <n v="0"/>
    <n v="0"/>
    <n v="0"/>
    <n v="0"/>
    <n v="0"/>
    <n v="1"/>
    <n v="360"/>
    <n v="1"/>
    <n v="1"/>
    <n v="5"/>
    <n v="8.3333333333333329E-2"/>
    <n v="30"/>
    <n v="0.91666666666666663"/>
    <n v="55"/>
    <n v="60"/>
    <n v="0"/>
    <s v="N/A"/>
    <n v="0"/>
    <n v="0"/>
    <n v="0"/>
    <n v="0"/>
    <n v="0"/>
    <n v="0"/>
    <n v="1"/>
    <n v="0"/>
    <n v="0"/>
    <n v="0"/>
    <n v="0"/>
    <n v="0"/>
    <n v="0"/>
    <n v="0"/>
    <n v="0"/>
    <n v="0"/>
    <x v="3"/>
    <x v="2"/>
    <x v="7"/>
    <x v="5"/>
    <n v="20.494340897000001"/>
    <n v="93.054298400999997"/>
    <s v="196350"/>
    <x v="1"/>
    <m/>
  </r>
  <r>
    <x v="2"/>
    <x v="2"/>
    <x v="1"/>
    <x v="23"/>
    <x v="298"/>
    <n v="324"/>
    <n v="1618"/>
    <m/>
    <m/>
    <m/>
    <m/>
    <s v="No"/>
    <n v="0"/>
    <n v="0"/>
    <n v="0"/>
    <m/>
    <m/>
    <m/>
    <n v="0"/>
    <m/>
    <m/>
    <m/>
    <m/>
    <m/>
    <m/>
    <m/>
    <n v="45"/>
    <m/>
    <m/>
    <m/>
    <n v="0"/>
    <x v="1"/>
    <x v="1"/>
    <m/>
    <m/>
    <m/>
    <n v="0"/>
    <m/>
    <n v="0"/>
    <m/>
    <n v="0"/>
    <m/>
    <m/>
    <x v="0"/>
    <m/>
    <m/>
    <m/>
    <m/>
    <s v="no test"/>
    <s v="no test"/>
    <x v="1"/>
    <n v="0"/>
    <n v="0"/>
    <n v="0"/>
    <n v="0"/>
    <n v="0"/>
    <n v="0"/>
    <n v="0"/>
    <n v="0"/>
    <n v="0"/>
    <n v="1"/>
    <n v="1618"/>
    <n v="3"/>
    <n v="3"/>
    <n v="45"/>
    <n v="0.1668726823238566"/>
    <n v="270"/>
    <n v="0.83436341161928296"/>
    <n v="225"/>
    <n v="270"/>
    <n v="0"/>
    <s v="N/A"/>
    <n v="0"/>
    <n v="0"/>
    <n v="0"/>
    <n v="0"/>
    <n v="0"/>
    <n v="0"/>
    <n v="1"/>
    <n v="0"/>
    <n v="0"/>
    <n v="0"/>
    <n v="0"/>
    <n v="0"/>
    <n v="0"/>
    <n v="0"/>
    <n v="0"/>
    <n v="0"/>
    <x v="3"/>
    <x v="2"/>
    <x v="7"/>
    <x v="5"/>
    <n v="20.608819961999998"/>
    <n v="93.022407532000003"/>
    <s v="196318"/>
    <x v="1"/>
    <m/>
  </r>
  <r>
    <x v="2"/>
    <x v="2"/>
    <x v="1"/>
    <x v="23"/>
    <x v="299"/>
    <n v="149"/>
    <n v="747"/>
    <m/>
    <m/>
    <m/>
    <m/>
    <s v="No"/>
    <n v="0"/>
    <n v="0"/>
    <n v="0"/>
    <m/>
    <m/>
    <m/>
    <n v="0"/>
    <m/>
    <m/>
    <m/>
    <m/>
    <m/>
    <m/>
    <m/>
    <n v="0"/>
    <m/>
    <m/>
    <m/>
    <n v="0"/>
    <x v="1"/>
    <x v="1"/>
    <m/>
    <m/>
    <m/>
    <n v="0"/>
    <m/>
    <n v="0"/>
    <m/>
    <n v="0"/>
    <m/>
    <m/>
    <x v="0"/>
    <m/>
    <m/>
    <m/>
    <m/>
    <s v="no test"/>
    <s v="no test"/>
    <x v="1"/>
    <n v="0"/>
    <n v="0"/>
    <n v="0"/>
    <n v="0"/>
    <n v="0"/>
    <n v="0"/>
    <n v="0"/>
    <n v="0"/>
    <n v="0"/>
    <n v="1"/>
    <n v="747"/>
    <n v="1"/>
    <n v="1"/>
    <n v="0"/>
    <n v="0"/>
    <n v="0"/>
    <n v="1"/>
    <n v="125"/>
    <n v="125"/>
    <n v="0"/>
    <s v="N/A"/>
    <n v="0"/>
    <n v="0"/>
    <n v="0"/>
    <n v="0"/>
    <n v="0"/>
    <n v="0"/>
    <n v="1"/>
    <n v="0"/>
    <n v="0"/>
    <n v="0"/>
    <n v="0"/>
    <n v="0"/>
    <n v="0"/>
    <n v="0"/>
    <n v="0"/>
    <n v="0"/>
    <x v="3"/>
    <x v="2"/>
    <x v="7"/>
    <x v="3"/>
    <n v="20.630609511999999"/>
    <n v="92.998641968000001"/>
    <s v="196316"/>
    <x v="1"/>
    <m/>
  </r>
  <r>
    <x v="2"/>
    <x v="2"/>
    <x v="1"/>
    <x v="23"/>
    <x v="300"/>
    <n v="83"/>
    <n v="417"/>
    <m/>
    <m/>
    <m/>
    <m/>
    <s v="No"/>
    <n v="0"/>
    <n v="0"/>
    <n v="0"/>
    <m/>
    <m/>
    <m/>
    <n v="0"/>
    <m/>
    <m/>
    <m/>
    <m/>
    <m/>
    <m/>
    <m/>
    <n v="10"/>
    <m/>
    <m/>
    <m/>
    <n v="0"/>
    <x v="1"/>
    <x v="1"/>
    <m/>
    <m/>
    <m/>
    <n v="0"/>
    <m/>
    <n v="0"/>
    <m/>
    <n v="0"/>
    <m/>
    <m/>
    <x v="0"/>
    <m/>
    <m/>
    <m/>
    <m/>
    <s v="no test"/>
    <s v="no test"/>
    <x v="1"/>
    <n v="0"/>
    <n v="0"/>
    <n v="0"/>
    <n v="0"/>
    <n v="0"/>
    <n v="0"/>
    <n v="0"/>
    <n v="0"/>
    <n v="0"/>
    <n v="1"/>
    <n v="417"/>
    <n v="1"/>
    <n v="1"/>
    <n v="10"/>
    <n v="0.14388489208633093"/>
    <n v="60"/>
    <n v="0.86330935251798557"/>
    <n v="60"/>
    <n v="70"/>
    <n v="0"/>
    <s v="N/A"/>
    <n v="0"/>
    <n v="0"/>
    <n v="0"/>
    <n v="0"/>
    <n v="0"/>
    <n v="0"/>
    <n v="1"/>
    <n v="0"/>
    <n v="0"/>
    <n v="0"/>
    <n v="0"/>
    <n v="0"/>
    <n v="0"/>
    <n v="0"/>
    <n v="0"/>
    <n v="0"/>
    <x v="3"/>
    <x v="2"/>
    <x v="7"/>
    <x v="3"/>
    <n v="20.645240783999999"/>
    <n v="92.939758300999998"/>
    <s v="196313"/>
    <x v="1"/>
    <m/>
  </r>
  <r>
    <x v="2"/>
    <x v="2"/>
    <x v="1"/>
    <x v="23"/>
    <x v="301"/>
    <n v="130"/>
    <n v="650"/>
    <m/>
    <m/>
    <m/>
    <m/>
    <s v="No"/>
    <n v="0"/>
    <n v="0"/>
    <n v="0"/>
    <m/>
    <m/>
    <m/>
    <n v="0"/>
    <m/>
    <m/>
    <m/>
    <m/>
    <m/>
    <m/>
    <m/>
    <n v="23"/>
    <m/>
    <m/>
    <m/>
    <n v="0"/>
    <x v="1"/>
    <x v="1"/>
    <m/>
    <m/>
    <m/>
    <n v="0"/>
    <m/>
    <n v="0"/>
    <m/>
    <n v="0"/>
    <m/>
    <m/>
    <x v="0"/>
    <m/>
    <m/>
    <m/>
    <m/>
    <s v="no test"/>
    <s v="no test"/>
    <x v="1"/>
    <n v="0"/>
    <n v="0"/>
    <n v="0"/>
    <n v="0"/>
    <n v="0"/>
    <n v="0"/>
    <n v="0"/>
    <n v="0"/>
    <n v="0"/>
    <n v="1"/>
    <n v="650"/>
    <n v="1"/>
    <n v="1"/>
    <n v="23"/>
    <n v="0.21230769230769231"/>
    <n v="138"/>
    <n v="0.7846153846153846"/>
    <n v="85"/>
    <n v="108"/>
    <n v="0"/>
    <s v="N/A"/>
    <n v="0"/>
    <n v="0"/>
    <n v="0"/>
    <n v="0"/>
    <n v="0"/>
    <n v="0"/>
    <n v="1"/>
    <n v="0"/>
    <n v="0"/>
    <n v="0"/>
    <n v="0"/>
    <n v="0"/>
    <n v="0"/>
    <n v="0"/>
    <n v="0"/>
    <n v="0"/>
    <x v="3"/>
    <x v="2"/>
    <x v="7"/>
    <x v="3"/>
    <n v="20.482030868999999"/>
    <n v="93.045410156000003"/>
    <s v="196349"/>
    <x v="1"/>
    <m/>
  </r>
  <r>
    <x v="2"/>
    <x v="2"/>
    <x v="1"/>
    <x v="23"/>
    <x v="302"/>
    <n v="82"/>
    <n v="408"/>
    <m/>
    <m/>
    <m/>
    <m/>
    <s v="No"/>
    <n v="0"/>
    <n v="0"/>
    <n v="0"/>
    <m/>
    <m/>
    <m/>
    <n v="0"/>
    <m/>
    <m/>
    <m/>
    <m/>
    <m/>
    <m/>
    <m/>
    <n v="0"/>
    <m/>
    <m/>
    <m/>
    <n v="0"/>
    <x v="1"/>
    <x v="1"/>
    <m/>
    <m/>
    <m/>
    <n v="0"/>
    <m/>
    <n v="0"/>
    <m/>
    <n v="0"/>
    <m/>
    <m/>
    <x v="0"/>
    <m/>
    <m/>
    <m/>
    <m/>
    <s v="no test"/>
    <s v="no test"/>
    <x v="1"/>
    <n v="0"/>
    <n v="0"/>
    <n v="0"/>
    <n v="0"/>
    <n v="0"/>
    <n v="0"/>
    <n v="0"/>
    <n v="0"/>
    <n v="0"/>
    <n v="1"/>
    <n v="408"/>
    <n v="1"/>
    <n v="1"/>
    <n v="0"/>
    <n v="0"/>
    <n v="0"/>
    <n v="1"/>
    <n v="68"/>
    <n v="68"/>
    <n v="0"/>
    <s v="N/A"/>
    <n v="0"/>
    <n v="0"/>
    <n v="0"/>
    <n v="0"/>
    <n v="0"/>
    <n v="0"/>
    <n v="1"/>
    <n v="0"/>
    <n v="0"/>
    <n v="0"/>
    <n v="0"/>
    <n v="0"/>
    <n v="0"/>
    <n v="0"/>
    <n v="0"/>
    <n v="0"/>
    <x v="3"/>
    <x v="2"/>
    <x v="7"/>
    <x v="3"/>
    <n v="20.632720946999999"/>
    <n v="92.940132141000007"/>
    <s v="196312"/>
    <x v="1"/>
    <m/>
  </r>
  <r>
    <x v="2"/>
    <x v="2"/>
    <x v="1"/>
    <x v="23"/>
    <x v="303"/>
    <n v="246"/>
    <n v="1232"/>
    <m/>
    <m/>
    <m/>
    <m/>
    <s v="No"/>
    <n v="0"/>
    <n v="0"/>
    <n v="0"/>
    <m/>
    <m/>
    <m/>
    <n v="0"/>
    <m/>
    <m/>
    <m/>
    <m/>
    <m/>
    <m/>
    <m/>
    <n v="42"/>
    <m/>
    <m/>
    <m/>
    <n v="0"/>
    <x v="1"/>
    <x v="1"/>
    <m/>
    <m/>
    <m/>
    <n v="0"/>
    <m/>
    <n v="0"/>
    <m/>
    <n v="0"/>
    <m/>
    <m/>
    <x v="0"/>
    <m/>
    <m/>
    <m/>
    <m/>
    <s v="no test"/>
    <s v="no test"/>
    <x v="1"/>
    <n v="0"/>
    <n v="0"/>
    <n v="0"/>
    <n v="0"/>
    <n v="0"/>
    <n v="0"/>
    <n v="0"/>
    <n v="0"/>
    <n v="0"/>
    <n v="1"/>
    <n v="1232"/>
    <n v="2"/>
    <n v="2"/>
    <n v="42"/>
    <n v="0.20454545454545456"/>
    <n v="252.00000000000003"/>
    <n v="0.79383116883116878"/>
    <n v="163"/>
    <n v="205"/>
    <n v="0"/>
    <s v="N/A"/>
    <n v="0"/>
    <n v="0"/>
    <n v="0"/>
    <n v="0"/>
    <n v="0"/>
    <n v="0"/>
    <n v="1"/>
    <n v="0"/>
    <n v="0"/>
    <n v="0"/>
    <n v="0"/>
    <n v="0"/>
    <n v="0"/>
    <n v="0"/>
    <n v="0"/>
    <n v="0"/>
    <x v="3"/>
    <x v="2"/>
    <x v="7"/>
    <x v="3"/>
    <n v="20.596279144"/>
    <n v="92.987480164000004"/>
    <s v="196321"/>
    <x v="1"/>
    <m/>
  </r>
  <r>
    <x v="2"/>
    <x v="2"/>
    <x v="1"/>
    <x v="23"/>
    <x v="304"/>
    <n v="362"/>
    <n v="1811"/>
    <m/>
    <m/>
    <m/>
    <m/>
    <s v="No"/>
    <n v="0"/>
    <n v="0"/>
    <n v="0"/>
    <n v="4"/>
    <m/>
    <m/>
    <n v="0"/>
    <m/>
    <m/>
    <m/>
    <m/>
    <m/>
    <m/>
    <m/>
    <n v="141"/>
    <m/>
    <m/>
    <m/>
    <n v="141"/>
    <x v="1"/>
    <x v="1"/>
    <m/>
    <m/>
    <m/>
    <n v="0"/>
    <m/>
    <n v="0"/>
    <m/>
    <n v="0"/>
    <m/>
    <m/>
    <x v="0"/>
    <m/>
    <m/>
    <m/>
    <m/>
    <s v="no test"/>
    <s v="no test"/>
    <x v="1"/>
    <n v="1"/>
    <n v="0.55218111540585313"/>
    <n v="0.55218111540585313"/>
    <n v="1000"/>
    <n v="0"/>
    <n v="0"/>
    <n v="0.55218111540585313"/>
    <n v="1000"/>
    <n v="2"/>
    <n v="0.44781888459414687"/>
    <n v="811"/>
    <n v="2"/>
    <n v="4"/>
    <n v="141"/>
    <n v="0.46714522363335176"/>
    <n v="846"/>
    <n v="0.53340695748205413"/>
    <n v="161"/>
    <n v="302"/>
    <n v="0"/>
    <s v="N/A"/>
    <n v="0"/>
    <n v="0"/>
    <n v="0"/>
    <n v="0"/>
    <n v="0"/>
    <n v="0"/>
    <n v="1"/>
    <n v="0"/>
    <n v="0"/>
    <n v="0"/>
    <n v="0"/>
    <n v="0"/>
    <n v="0"/>
    <n v="0"/>
    <n v="0"/>
    <n v="0"/>
    <x v="3"/>
    <x v="2"/>
    <x v="7"/>
    <x v="3"/>
    <n v="20.268000000000001"/>
    <n v="92.977999999999994"/>
    <s v="196408"/>
    <x v="1"/>
    <m/>
  </r>
  <r>
    <x v="2"/>
    <x v="2"/>
    <x v="1"/>
    <x v="23"/>
    <x v="305"/>
    <n v="139"/>
    <n v="695"/>
    <m/>
    <m/>
    <m/>
    <m/>
    <s v="No"/>
    <n v="0"/>
    <n v="0"/>
    <n v="0"/>
    <n v="0"/>
    <m/>
    <m/>
    <n v="0"/>
    <m/>
    <m/>
    <m/>
    <m/>
    <m/>
    <m/>
    <m/>
    <n v="44"/>
    <m/>
    <m/>
    <m/>
    <n v="44"/>
    <x v="1"/>
    <x v="1"/>
    <m/>
    <m/>
    <m/>
    <n v="0"/>
    <m/>
    <n v="0"/>
    <m/>
    <n v="0"/>
    <m/>
    <m/>
    <x v="0"/>
    <m/>
    <m/>
    <m/>
    <m/>
    <s v="no test"/>
    <s v="no test"/>
    <x v="1"/>
    <n v="0"/>
    <n v="0"/>
    <n v="0"/>
    <n v="0"/>
    <n v="0"/>
    <n v="0"/>
    <n v="0"/>
    <n v="0"/>
    <n v="0"/>
    <n v="1"/>
    <n v="695"/>
    <n v="1"/>
    <n v="1"/>
    <n v="44"/>
    <n v="0.37985611510791367"/>
    <n v="264"/>
    <n v="0.62158273381294971"/>
    <n v="72"/>
    <n v="116"/>
    <n v="0"/>
    <s v="N/A"/>
    <n v="0"/>
    <n v="0"/>
    <n v="0"/>
    <n v="0"/>
    <n v="0"/>
    <n v="0"/>
    <n v="1"/>
    <n v="0"/>
    <n v="0"/>
    <n v="0"/>
    <n v="0"/>
    <n v="0"/>
    <n v="0"/>
    <n v="0"/>
    <n v="0"/>
    <n v="0"/>
    <x v="3"/>
    <x v="2"/>
    <x v="7"/>
    <x v="3"/>
    <n v="20.292100000000001"/>
    <n v="92.994100000000003"/>
    <s v="196377"/>
    <x v="1"/>
    <m/>
  </r>
  <r>
    <x v="2"/>
    <x v="2"/>
    <x v="1"/>
    <x v="23"/>
    <x v="306"/>
    <n v="91"/>
    <n v="456"/>
    <m/>
    <m/>
    <m/>
    <m/>
    <s v="No"/>
    <n v="0"/>
    <n v="0"/>
    <n v="0"/>
    <m/>
    <m/>
    <m/>
    <n v="0"/>
    <m/>
    <m/>
    <m/>
    <m/>
    <m/>
    <m/>
    <m/>
    <n v="6"/>
    <m/>
    <m/>
    <m/>
    <n v="0"/>
    <x v="1"/>
    <x v="1"/>
    <m/>
    <m/>
    <m/>
    <n v="0"/>
    <m/>
    <n v="0"/>
    <m/>
    <n v="0"/>
    <m/>
    <m/>
    <x v="0"/>
    <m/>
    <m/>
    <m/>
    <m/>
    <s v="no test"/>
    <s v="no test"/>
    <x v="1"/>
    <n v="0"/>
    <n v="0"/>
    <n v="0"/>
    <n v="0"/>
    <n v="0"/>
    <n v="0"/>
    <n v="0"/>
    <n v="0"/>
    <n v="0"/>
    <n v="1"/>
    <n v="456"/>
    <n v="1"/>
    <n v="1"/>
    <n v="6"/>
    <n v="7.8947368421052627E-2"/>
    <n v="36"/>
    <n v="0.92105263157894735"/>
    <n v="70"/>
    <n v="76"/>
    <n v="0"/>
    <s v="N/A"/>
    <n v="0"/>
    <n v="0"/>
    <n v="0"/>
    <n v="0"/>
    <n v="0"/>
    <n v="0"/>
    <n v="1"/>
    <n v="0"/>
    <n v="0"/>
    <n v="0"/>
    <n v="0"/>
    <n v="0"/>
    <n v="0"/>
    <n v="0"/>
    <n v="0"/>
    <n v="0"/>
    <x v="3"/>
    <x v="2"/>
    <x v="7"/>
    <x v="3"/>
    <n v="20.509660720999999"/>
    <n v="92.997230529999996"/>
    <s v="196337"/>
    <x v="1"/>
    <m/>
  </r>
  <r>
    <x v="2"/>
    <x v="2"/>
    <x v="1"/>
    <x v="23"/>
    <x v="307"/>
    <n v="97"/>
    <n v="487"/>
    <m/>
    <m/>
    <m/>
    <m/>
    <s v="No"/>
    <n v="0"/>
    <n v="0"/>
    <n v="0"/>
    <m/>
    <m/>
    <m/>
    <n v="0"/>
    <m/>
    <m/>
    <m/>
    <m/>
    <m/>
    <m/>
    <m/>
    <n v="5"/>
    <m/>
    <m/>
    <m/>
    <n v="0"/>
    <x v="1"/>
    <x v="1"/>
    <m/>
    <m/>
    <m/>
    <n v="0"/>
    <m/>
    <n v="0"/>
    <m/>
    <n v="0"/>
    <m/>
    <m/>
    <x v="0"/>
    <m/>
    <m/>
    <m/>
    <m/>
    <s v="no test"/>
    <s v="no test"/>
    <x v="1"/>
    <n v="0"/>
    <n v="0"/>
    <n v="0"/>
    <n v="0"/>
    <n v="0"/>
    <n v="0"/>
    <n v="0"/>
    <n v="0"/>
    <n v="0"/>
    <n v="1"/>
    <n v="487"/>
    <n v="1"/>
    <n v="1"/>
    <n v="5"/>
    <n v="6.1601642710472276E-2"/>
    <n v="30"/>
    <n v="0.93634496919917864"/>
    <n v="76"/>
    <n v="81"/>
    <n v="0"/>
    <s v="N/A"/>
    <n v="0"/>
    <n v="0"/>
    <n v="0"/>
    <n v="0"/>
    <n v="0"/>
    <n v="0"/>
    <n v="1"/>
    <n v="0"/>
    <n v="0"/>
    <n v="0"/>
    <n v="0"/>
    <n v="0"/>
    <n v="0"/>
    <n v="0"/>
    <n v="0"/>
    <n v="0"/>
    <x v="3"/>
    <x v="2"/>
    <x v="7"/>
    <x v="3"/>
    <n v="20.361530303999999"/>
    <n v="92.992073059000006"/>
    <s v="196359"/>
    <x v="1"/>
    <m/>
  </r>
  <r>
    <x v="2"/>
    <x v="2"/>
    <x v="1"/>
    <x v="23"/>
    <x v="308"/>
    <n v="26"/>
    <n v="130"/>
    <m/>
    <m/>
    <m/>
    <m/>
    <s v="No"/>
    <n v="0"/>
    <n v="0"/>
    <n v="0"/>
    <m/>
    <m/>
    <m/>
    <n v="0"/>
    <m/>
    <m/>
    <m/>
    <m/>
    <m/>
    <m/>
    <m/>
    <n v="5"/>
    <m/>
    <m/>
    <m/>
    <n v="0"/>
    <x v="1"/>
    <x v="1"/>
    <m/>
    <m/>
    <m/>
    <n v="0"/>
    <m/>
    <n v="0"/>
    <m/>
    <n v="0"/>
    <m/>
    <m/>
    <x v="0"/>
    <m/>
    <m/>
    <m/>
    <m/>
    <s v="no test"/>
    <s v="no test"/>
    <x v="1"/>
    <n v="0"/>
    <n v="0"/>
    <n v="0"/>
    <n v="0"/>
    <n v="0"/>
    <n v="0"/>
    <n v="0"/>
    <n v="0"/>
    <n v="0"/>
    <n v="1"/>
    <n v="130"/>
    <n v="1"/>
    <n v="1"/>
    <n v="5"/>
    <n v="0.23076923076923078"/>
    <n v="30"/>
    <n v="0.7846153846153846"/>
    <n v="17"/>
    <n v="22"/>
    <n v="0"/>
    <s v="N/A"/>
    <n v="0"/>
    <n v="0"/>
    <n v="0"/>
    <n v="0"/>
    <n v="0"/>
    <n v="0"/>
    <n v="1"/>
    <n v="0"/>
    <n v="0"/>
    <n v="0"/>
    <n v="0"/>
    <n v="0"/>
    <n v="0"/>
    <n v="0"/>
    <n v="0"/>
    <n v="0"/>
    <x v="3"/>
    <x v="2"/>
    <x v="7"/>
    <x v="3"/>
    <n v="20.506580353"/>
    <n v="93.043449401999993"/>
    <s v="196351"/>
    <x v="1"/>
    <m/>
  </r>
  <r>
    <x v="2"/>
    <x v="2"/>
    <x v="1"/>
    <x v="23"/>
    <x v="309"/>
    <n v="97"/>
    <n v="484"/>
    <m/>
    <m/>
    <m/>
    <m/>
    <s v="No"/>
    <n v="0"/>
    <n v="0"/>
    <n v="0"/>
    <m/>
    <m/>
    <m/>
    <n v="0"/>
    <m/>
    <m/>
    <m/>
    <m/>
    <m/>
    <m/>
    <m/>
    <n v="10"/>
    <m/>
    <m/>
    <m/>
    <n v="0"/>
    <x v="1"/>
    <x v="1"/>
    <m/>
    <m/>
    <m/>
    <n v="0"/>
    <m/>
    <n v="0"/>
    <m/>
    <n v="0"/>
    <m/>
    <m/>
    <x v="0"/>
    <m/>
    <m/>
    <m/>
    <m/>
    <s v="no test"/>
    <s v="no test"/>
    <x v="1"/>
    <n v="0"/>
    <n v="0"/>
    <n v="0"/>
    <n v="0"/>
    <n v="0"/>
    <n v="0"/>
    <n v="0"/>
    <n v="0"/>
    <n v="0"/>
    <n v="1"/>
    <n v="484"/>
    <n v="1"/>
    <n v="1"/>
    <n v="10"/>
    <n v="0.12396694214876033"/>
    <n v="60"/>
    <n v="0.8801652892561983"/>
    <n v="71"/>
    <n v="81"/>
    <n v="0"/>
    <s v="N/A"/>
    <n v="0"/>
    <n v="0"/>
    <n v="0"/>
    <n v="0"/>
    <n v="0"/>
    <n v="0"/>
    <n v="1"/>
    <n v="0"/>
    <n v="0"/>
    <n v="0"/>
    <n v="0"/>
    <n v="0"/>
    <n v="0"/>
    <n v="0"/>
    <n v="0"/>
    <n v="0"/>
    <x v="3"/>
    <x v="2"/>
    <x v="7"/>
    <x v="3"/>
    <n v="20.564739227"/>
    <n v="93.064781189000001"/>
    <s v="196331"/>
    <x v="1"/>
    <m/>
  </r>
  <r>
    <x v="2"/>
    <x v="2"/>
    <x v="1"/>
    <x v="23"/>
    <x v="310"/>
    <n v="291"/>
    <n v="1455"/>
    <m/>
    <m/>
    <m/>
    <m/>
    <s v="No"/>
    <n v="0"/>
    <n v="0"/>
    <n v="0"/>
    <n v="0"/>
    <m/>
    <m/>
    <n v="0"/>
    <m/>
    <m/>
    <m/>
    <m/>
    <m/>
    <m/>
    <m/>
    <n v="44"/>
    <m/>
    <m/>
    <m/>
    <n v="44"/>
    <x v="1"/>
    <x v="1"/>
    <m/>
    <m/>
    <m/>
    <n v="0"/>
    <m/>
    <n v="0"/>
    <m/>
    <n v="0"/>
    <m/>
    <m/>
    <x v="0"/>
    <m/>
    <m/>
    <m/>
    <m/>
    <s v="no test"/>
    <s v="no test"/>
    <x v="1"/>
    <n v="0"/>
    <n v="0"/>
    <n v="0"/>
    <n v="0"/>
    <n v="0"/>
    <n v="0"/>
    <n v="0"/>
    <n v="0"/>
    <n v="0"/>
    <n v="1"/>
    <n v="1455"/>
    <n v="3"/>
    <n v="3"/>
    <n v="44"/>
    <n v="0.18144329896907216"/>
    <n v="264"/>
    <n v="0.8206185567010309"/>
    <n v="199"/>
    <n v="243"/>
    <n v="0"/>
    <s v="N/A"/>
    <n v="0"/>
    <n v="0"/>
    <n v="0"/>
    <n v="0"/>
    <n v="0"/>
    <n v="0"/>
    <n v="1"/>
    <n v="0"/>
    <n v="0"/>
    <n v="0"/>
    <n v="0"/>
    <n v="0"/>
    <n v="0"/>
    <n v="0"/>
    <n v="0"/>
    <n v="0"/>
    <x v="3"/>
    <x v="2"/>
    <x v="7"/>
    <x v="3"/>
    <n v="20.424389999999999"/>
    <n v="93.012960000000007"/>
    <s v="196356"/>
    <x v="1"/>
    <m/>
  </r>
  <r>
    <x v="2"/>
    <x v="11"/>
    <x v="1"/>
    <x v="24"/>
    <x v="311"/>
    <n v="367"/>
    <n v="1768"/>
    <m/>
    <s v="UNICEF"/>
    <d v="2018-02-14T00:00:00"/>
    <n v="0"/>
    <s v="Yes"/>
    <m/>
    <m/>
    <n v="0"/>
    <n v="0"/>
    <n v="0"/>
    <n v="3"/>
    <n v="0"/>
    <m/>
    <m/>
    <m/>
    <m/>
    <m/>
    <m/>
    <m/>
    <n v="0"/>
    <n v="0"/>
    <m/>
    <m/>
    <n v="0"/>
    <x v="4"/>
    <x v="4"/>
    <m/>
    <m/>
    <m/>
    <n v="0"/>
    <s v="Household"/>
    <n v="0"/>
    <n v="0"/>
    <n v="7"/>
    <m/>
    <m/>
    <x v="0"/>
    <m/>
    <m/>
    <m/>
    <m/>
    <s v="no test"/>
    <s v="no test"/>
    <x v="1"/>
    <n v="0"/>
    <n v="0"/>
    <n v="0"/>
    <n v="0"/>
    <n v="0.42420814479638008"/>
    <n v="750"/>
    <n v="0.42420814479638008"/>
    <n v="750"/>
    <n v="1.5"/>
    <n v="0.57579185520361986"/>
    <n v="1017.9999999999999"/>
    <n v="2.5"/>
    <n v="4"/>
    <n v="0"/>
    <n v="0"/>
    <n v="0"/>
    <n v="1"/>
    <n v="295"/>
    <n v="295"/>
    <n v="0"/>
    <s v="N/A"/>
    <n v="1768"/>
    <n v="0"/>
    <n v="1"/>
    <n v="0"/>
    <n v="0"/>
    <n v="0"/>
    <n v="1"/>
    <n v="1"/>
    <n v="0"/>
    <n v="0"/>
    <n v="0"/>
    <n v="0"/>
    <n v="0"/>
    <n v="0"/>
    <n v="0"/>
    <n v="0"/>
    <x v="3"/>
    <x v="2"/>
    <x v="7"/>
    <x v="5"/>
    <n v="20.555610656738299"/>
    <n v="92.643516540527301"/>
    <n v="197593"/>
    <x v="0"/>
    <m/>
  </r>
  <r>
    <x v="2"/>
    <x v="2"/>
    <x v="1"/>
    <x v="24"/>
    <x v="312"/>
    <n v="425"/>
    <n v="2552"/>
    <m/>
    <s v="OFDA"/>
    <d v="2018-04-30T00:00:00"/>
    <m/>
    <s v="Yes"/>
    <n v="0.5"/>
    <n v="0"/>
    <n v="48"/>
    <n v="0"/>
    <n v="0"/>
    <n v="0"/>
    <n v="48"/>
    <m/>
    <m/>
    <m/>
    <m/>
    <m/>
    <m/>
    <s v="no water test"/>
    <n v="328"/>
    <n v="0"/>
    <m/>
    <m/>
    <n v="0"/>
    <x v="1"/>
    <x v="1"/>
    <m/>
    <m/>
    <m/>
    <n v="0"/>
    <m/>
    <n v="580"/>
    <n v="0"/>
    <n v="0"/>
    <m/>
    <m/>
    <x v="0"/>
    <m/>
    <m/>
    <m/>
    <m/>
    <s v="no test"/>
    <s v="no test"/>
    <x v="1"/>
    <n v="1"/>
    <n v="1"/>
    <n v="1"/>
    <n v="2552"/>
    <n v="0"/>
    <n v="0"/>
    <n v="1"/>
    <n v="2552"/>
    <n v="5.1040000000000001"/>
    <n v="0"/>
    <n v="0"/>
    <n v="0"/>
    <n v="5"/>
    <n v="328"/>
    <n v="0.7711598746081505"/>
    <n v="1968"/>
    <n v="0.2280564263322884"/>
    <n v="97"/>
    <n v="425"/>
    <n v="0"/>
    <s v="N/A"/>
    <n v="0"/>
    <n v="0"/>
    <n v="0"/>
    <n v="0"/>
    <n v="0"/>
    <n v="0"/>
    <n v="1"/>
    <n v="0"/>
    <n v="0"/>
    <n v="0"/>
    <n v="0"/>
    <n v="0"/>
    <n v="0"/>
    <n v="0"/>
    <n v="0"/>
    <n v="0"/>
    <x v="3"/>
    <x v="2"/>
    <x v="10"/>
    <x v="5"/>
    <n v="20.399269"/>
    <n v="92.781294000000003"/>
    <s v="MMR012CMP032"/>
    <x v="1"/>
    <m/>
  </r>
  <r>
    <x v="2"/>
    <x v="11"/>
    <x v="1"/>
    <x v="24"/>
    <x v="313"/>
    <n v="54"/>
    <n v="264"/>
    <m/>
    <s v="UNICEF"/>
    <d v="2018-02-14T00:00:00"/>
    <n v="0"/>
    <s v="Yes"/>
    <m/>
    <m/>
    <n v="0"/>
    <n v="1"/>
    <n v="0"/>
    <n v="2"/>
    <n v="0"/>
    <m/>
    <m/>
    <m/>
    <m/>
    <m/>
    <m/>
    <m/>
    <n v="3"/>
    <n v="0"/>
    <m/>
    <m/>
    <n v="3"/>
    <x v="4"/>
    <x v="4"/>
    <m/>
    <m/>
    <m/>
    <n v="0"/>
    <s v="Household"/>
    <n v="0"/>
    <n v="0"/>
    <n v="7"/>
    <m/>
    <m/>
    <x v="0"/>
    <m/>
    <m/>
    <m/>
    <m/>
    <s v="no test"/>
    <s v="no test"/>
    <x v="1"/>
    <n v="1"/>
    <n v="0.94696969696969702"/>
    <n v="0.94696969696969702"/>
    <n v="250"/>
    <n v="1"/>
    <n v="264"/>
    <n v="1"/>
    <n v="264"/>
    <n v="0.52800000000000002"/>
    <n v="0"/>
    <n v="0"/>
    <n v="0.47199999999999998"/>
    <n v="1"/>
    <n v="3"/>
    <n v="6.8181818181818177E-2"/>
    <n v="18"/>
    <n v="0.93181818181818177"/>
    <n v="41"/>
    <n v="44"/>
    <n v="0"/>
    <s v="N/A"/>
    <n v="264"/>
    <n v="0"/>
    <n v="1"/>
    <n v="0"/>
    <n v="0"/>
    <n v="0"/>
    <n v="1"/>
    <n v="1"/>
    <n v="0"/>
    <n v="0"/>
    <n v="0"/>
    <n v="0"/>
    <n v="0"/>
    <n v="0"/>
    <n v="0"/>
    <n v="0"/>
    <x v="3"/>
    <x v="2"/>
    <x v="7"/>
    <x v="3"/>
    <n v="0"/>
    <n v="0"/>
    <n v="220977"/>
    <x v="0"/>
    <m/>
  </r>
  <r>
    <x v="2"/>
    <x v="11"/>
    <x v="1"/>
    <x v="24"/>
    <x v="259"/>
    <n v="85"/>
    <n v="296"/>
    <m/>
    <s v="UNICEF"/>
    <d v="2018-02-14T00:00:00"/>
    <n v="0"/>
    <s v="Yes"/>
    <m/>
    <m/>
    <n v="0"/>
    <n v="0"/>
    <n v="0"/>
    <n v="2"/>
    <n v="0"/>
    <m/>
    <m/>
    <m/>
    <m/>
    <m/>
    <m/>
    <m/>
    <n v="22"/>
    <n v="0"/>
    <m/>
    <m/>
    <n v="22"/>
    <x v="4"/>
    <x v="4"/>
    <m/>
    <m/>
    <m/>
    <n v="0"/>
    <s v="Household"/>
    <n v="0"/>
    <n v="0"/>
    <n v="7"/>
    <m/>
    <m/>
    <x v="0"/>
    <m/>
    <m/>
    <m/>
    <m/>
    <s v="no test"/>
    <s v="no test"/>
    <x v="1"/>
    <n v="0"/>
    <n v="0"/>
    <n v="0"/>
    <n v="0"/>
    <n v="1"/>
    <n v="296"/>
    <n v="1"/>
    <n v="296"/>
    <n v="0.59199999999999997"/>
    <n v="0"/>
    <n v="0"/>
    <n v="0.40800000000000003"/>
    <n v="1"/>
    <n v="22"/>
    <n v="0.44594594594594594"/>
    <n v="132"/>
    <n v="0.54729729729729726"/>
    <n v="27"/>
    <n v="49"/>
    <n v="0"/>
    <s v="N/A"/>
    <n v="296"/>
    <n v="0"/>
    <n v="1"/>
    <n v="0"/>
    <n v="0"/>
    <n v="0"/>
    <n v="1"/>
    <n v="1"/>
    <n v="0"/>
    <n v="0"/>
    <n v="0"/>
    <n v="0"/>
    <n v="0"/>
    <n v="0"/>
    <n v="0"/>
    <n v="0"/>
    <x v="3"/>
    <x v="2"/>
    <x v="7"/>
    <x v="3"/>
    <n v="20.473930358886701"/>
    <n v="92.668853759765597"/>
    <n v="197631"/>
    <x v="0"/>
    <m/>
  </r>
  <r>
    <x v="2"/>
    <x v="11"/>
    <x v="1"/>
    <x v="24"/>
    <x v="314"/>
    <n v="280"/>
    <n v="2030"/>
    <m/>
    <s v="UNICEF"/>
    <d v="2018-02-14T00:00:00"/>
    <n v="0"/>
    <s v="Yes"/>
    <m/>
    <m/>
    <n v="0"/>
    <n v="0"/>
    <n v="0"/>
    <n v="3"/>
    <n v="0"/>
    <m/>
    <m/>
    <m/>
    <m/>
    <m/>
    <m/>
    <m/>
    <n v="0"/>
    <n v="0"/>
    <m/>
    <m/>
    <n v="0"/>
    <x v="4"/>
    <x v="4"/>
    <m/>
    <m/>
    <m/>
    <n v="0"/>
    <s v="Household"/>
    <n v="0"/>
    <n v="0"/>
    <n v="7"/>
    <m/>
    <m/>
    <x v="0"/>
    <m/>
    <m/>
    <m/>
    <m/>
    <s v="no test"/>
    <s v="no test"/>
    <x v="1"/>
    <n v="0"/>
    <n v="0"/>
    <n v="0"/>
    <n v="0"/>
    <n v="0.36945812807881773"/>
    <n v="750"/>
    <n v="0.36945812807881773"/>
    <n v="750"/>
    <n v="1.5"/>
    <n v="0.63054187192118227"/>
    <n v="1280"/>
    <n v="2.5"/>
    <n v="4"/>
    <n v="0"/>
    <n v="0"/>
    <n v="0"/>
    <n v="0.9990147783251232"/>
    <n v="338"/>
    <n v="338"/>
    <n v="0"/>
    <s v="N/A"/>
    <n v="2030"/>
    <n v="0"/>
    <n v="1"/>
    <n v="0"/>
    <n v="0"/>
    <n v="0"/>
    <n v="1"/>
    <n v="1"/>
    <n v="0"/>
    <n v="0"/>
    <n v="0"/>
    <n v="0"/>
    <n v="0"/>
    <n v="0"/>
    <n v="0"/>
    <n v="0"/>
    <x v="3"/>
    <x v="2"/>
    <x v="7"/>
    <x v="5"/>
    <n v="20.581470489501999"/>
    <n v="92.643272399902301"/>
    <s v="197591"/>
    <x v="0"/>
    <m/>
  </r>
  <r>
    <x v="2"/>
    <x v="11"/>
    <x v="1"/>
    <x v="24"/>
    <x v="315"/>
    <n v="245"/>
    <n v="1292"/>
    <m/>
    <s v="UNICEF"/>
    <d v="2018-02-14T00:00:00"/>
    <n v="0"/>
    <s v="Yes"/>
    <m/>
    <m/>
    <n v="0"/>
    <n v="0"/>
    <n v="0"/>
    <n v="2"/>
    <n v="0"/>
    <m/>
    <m/>
    <m/>
    <m/>
    <m/>
    <m/>
    <m/>
    <n v="0"/>
    <n v="0"/>
    <m/>
    <m/>
    <n v="0"/>
    <x v="4"/>
    <x v="4"/>
    <m/>
    <m/>
    <m/>
    <n v="0"/>
    <s v="Household"/>
    <n v="0"/>
    <n v="0"/>
    <n v="7"/>
    <m/>
    <m/>
    <x v="0"/>
    <m/>
    <m/>
    <m/>
    <m/>
    <s v="no test"/>
    <s v="no test"/>
    <x v="1"/>
    <n v="0"/>
    <n v="0"/>
    <n v="0"/>
    <n v="0"/>
    <n v="0.38699690402476783"/>
    <n v="500.00000000000006"/>
    <n v="0.38699690402476783"/>
    <n v="500.00000000000006"/>
    <n v="1.0000000000000002"/>
    <n v="0.61300309597523217"/>
    <n v="792"/>
    <n v="1.9999999999999998"/>
    <n v="3"/>
    <n v="0"/>
    <n v="0"/>
    <n v="0"/>
    <n v="0.99845201238390091"/>
    <n v="215"/>
    <n v="215"/>
    <n v="0"/>
    <s v="N/A"/>
    <n v="1292"/>
    <n v="0"/>
    <n v="1"/>
    <n v="0"/>
    <n v="0"/>
    <n v="0"/>
    <n v="1"/>
    <n v="1"/>
    <n v="0"/>
    <n v="0"/>
    <n v="0"/>
    <n v="0"/>
    <n v="0"/>
    <n v="0"/>
    <n v="0"/>
    <n v="0"/>
    <x v="3"/>
    <x v="2"/>
    <x v="7"/>
    <x v="3"/>
    <n v="20.569759368896499"/>
    <n v="92.641799926757798"/>
    <s v="197590"/>
    <x v="0"/>
    <m/>
  </r>
  <r>
    <x v="2"/>
    <x v="11"/>
    <x v="1"/>
    <x v="24"/>
    <x v="316"/>
    <n v="70"/>
    <n v="227"/>
    <m/>
    <s v="UNICEF"/>
    <d v="2018-02-14T00:00:00"/>
    <n v="0"/>
    <s v="Yes"/>
    <m/>
    <m/>
    <n v="0"/>
    <n v="3"/>
    <n v="0"/>
    <n v="0"/>
    <n v="0"/>
    <m/>
    <m/>
    <m/>
    <m/>
    <m/>
    <m/>
    <m/>
    <n v="9"/>
    <n v="0"/>
    <m/>
    <m/>
    <n v="9"/>
    <x v="4"/>
    <x v="4"/>
    <m/>
    <m/>
    <m/>
    <n v="0"/>
    <s v="Household"/>
    <n v="0"/>
    <n v="0"/>
    <n v="7"/>
    <m/>
    <m/>
    <x v="0"/>
    <m/>
    <m/>
    <m/>
    <m/>
    <s v="no test"/>
    <s v="no test"/>
    <x v="1"/>
    <n v="1"/>
    <n v="1"/>
    <n v="1"/>
    <n v="227"/>
    <n v="0"/>
    <n v="0"/>
    <n v="1"/>
    <n v="227"/>
    <n v="0.45400000000000001"/>
    <n v="0"/>
    <n v="0"/>
    <n v="0.54600000000000004"/>
    <n v="1"/>
    <n v="9"/>
    <n v="0.23788546255506607"/>
    <n v="54"/>
    <n v="0.76651982378854622"/>
    <n v="29"/>
    <n v="38"/>
    <n v="0"/>
    <s v="N/A"/>
    <n v="227"/>
    <n v="0"/>
    <n v="1"/>
    <n v="0"/>
    <n v="0"/>
    <n v="0"/>
    <n v="1"/>
    <n v="1"/>
    <n v="0"/>
    <n v="0"/>
    <n v="0"/>
    <n v="0"/>
    <n v="0"/>
    <n v="0"/>
    <n v="0"/>
    <n v="0"/>
    <x v="3"/>
    <x v="2"/>
    <x v="7"/>
    <x v="3"/>
    <n v="20.495670318603501"/>
    <n v="92.651496887207003"/>
    <n v="197616"/>
    <x v="0"/>
    <m/>
  </r>
  <r>
    <x v="2"/>
    <x v="11"/>
    <x v="1"/>
    <x v="24"/>
    <x v="317"/>
    <n v="83"/>
    <n v="450"/>
    <m/>
    <s v="UNICEF"/>
    <d v="2018-02-14T00:00:00"/>
    <n v="0"/>
    <s v="Yes"/>
    <m/>
    <m/>
    <n v="0"/>
    <n v="0"/>
    <n v="0"/>
    <n v="2"/>
    <n v="0"/>
    <m/>
    <m/>
    <m/>
    <m/>
    <m/>
    <m/>
    <m/>
    <n v="17"/>
    <n v="0"/>
    <m/>
    <m/>
    <n v="17"/>
    <x v="4"/>
    <x v="4"/>
    <m/>
    <m/>
    <m/>
    <n v="0"/>
    <s v="Household"/>
    <n v="0"/>
    <n v="0"/>
    <n v="7"/>
    <m/>
    <m/>
    <x v="0"/>
    <m/>
    <m/>
    <m/>
    <m/>
    <s v="no test"/>
    <s v="no test"/>
    <x v="1"/>
    <n v="0"/>
    <n v="0"/>
    <n v="0"/>
    <n v="0"/>
    <n v="1"/>
    <n v="450"/>
    <n v="1"/>
    <n v="450"/>
    <n v="0.9"/>
    <n v="0"/>
    <n v="0"/>
    <n v="9.9999999999999978E-2"/>
    <n v="1"/>
    <n v="17"/>
    <n v="0.22666666666666666"/>
    <n v="102"/>
    <n v="0.77333333333333332"/>
    <n v="58"/>
    <n v="75"/>
    <n v="0"/>
    <s v="N/A"/>
    <n v="450"/>
    <n v="0"/>
    <n v="1"/>
    <n v="0"/>
    <n v="0"/>
    <n v="0"/>
    <n v="1"/>
    <n v="1"/>
    <n v="0"/>
    <n v="0"/>
    <n v="0"/>
    <n v="0"/>
    <n v="0"/>
    <n v="0"/>
    <n v="0"/>
    <n v="0"/>
    <x v="3"/>
    <x v="2"/>
    <x v="7"/>
    <x v="3"/>
    <n v="20.651939392089801"/>
    <n v="92.684577941894503"/>
    <n v="197695"/>
    <x v="0"/>
    <m/>
  </r>
  <r>
    <x v="2"/>
    <x v="11"/>
    <x v="1"/>
    <x v="24"/>
    <x v="318"/>
    <n v="95"/>
    <n v="700"/>
    <m/>
    <s v="UNICEF"/>
    <d v="2018-02-14T00:00:00"/>
    <n v="0"/>
    <s v="Yes"/>
    <m/>
    <m/>
    <n v="0"/>
    <n v="0"/>
    <n v="0"/>
    <n v="3"/>
    <n v="0"/>
    <m/>
    <m/>
    <m/>
    <m/>
    <m/>
    <m/>
    <m/>
    <n v="28"/>
    <n v="0"/>
    <m/>
    <m/>
    <n v="28"/>
    <x v="4"/>
    <x v="4"/>
    <m/>
    <m/>
    <m/>
    <n v="0"/>
    <s v="Household"/>
    <n v="0"/>
    <n v="0"/>
    <n v="7"/>
    <m/>
    <m/>
    <x v="0"/>
    <m/>
    <m/>
    <m/>
    <m/>
    <s v="no test"/>
    <s v="no test"/>
    <x v="1"/>
    <n v="0"/>
    <n v="0"/>
    <n v="0"/>
    <n v="0"/>
    <n v="1"/>
    <n v="700"/>
    <n v="1"/>
    <n v="700"/>
    <n v="1.4"/>
    <n v="0"/>
    <n v="0"/>
    <n v="0"/>
    <n v="1"/>
    <n v="28"/>
    <n v="0.24"/>
    <n v="168"/>
    <n v="0.76285714285714279"/>
    <n v="89"/>
    <n v="117"/>
    <n v="0"/>
    <s v="N/A"/>
    <n v="700"/>
    <n v="0"/>
    <n v="1"/>
    <n v="0"/>
    <n v="0"/>
    <n v="0"/>
    <n v="1"/>
    <n v="1"/>
    <n v="0"/>
    <n v="0"/>
    <n v="0"/>
    <n v="0"/>
    <n v="0"/>
    <n v="0"/>
    <n v="0"/>
    <n v="0"/>
    <x v="3"/>
    <x v="2"/>
    <x v="7"/>
    <x v="3"/>
    <n v="20.463909149169901"/>
    <n v="92.675468444824205"/>
    <n v="197629"/>
    <x v="0"/>
    <m/>
  </r>
  <r>
    <x v="2"/>
    <x v="11"/>
    <x v="1"/>
    <x v="24"/>
    <x v="319"/>
    <n v="70"/>
    <n v="380"/>
    <m/>
    <s v="UNICEF"/>
    <d v="2018-02-14T00:00:00"/>
    <n v="0"/>
    <s v="Yes"/>
    <m/>
    <m/>
    <n v="0"/>
    <n v="0"/>
    <n v="0"/>
    <n v="1"/>
    <n v="0"/>
    <m/>
    <m/>
    <m/>
    <m/>
    <m/>
    <m/>
    <m/>
    <n v="16"/>
    <n v="0"/>
    <m/>
    <m/>
    <n v="16"/>
    <x v="4"/>
    <x v="4"/>
    <m/>
    <m/>
    <m/>
    <n v="0"/>
    <s v="Household"/>
    <n v="0"/>
    <n v="0"/>
    <n v="7"/>
    <m/>
    <m/>
    <x v="0"/>
    <m/>
    <m/>
    <m/>
    <m/>
    <s v="no test"/>
    <s v="no test"/>
    <x v="1"/>
    <n v="0"/>
    <n v="0"/>
    <n v="0"/>
    <n v="0"/>
    <n v="0.65789473684210531"/>
    <n v="250.00000000000003"/>
    <n v="0.65789473684210531"/>
    <n v="250.00000000000003"/>
    <n v="0.50000000000000011"/>
    <n v="0.34210526315789469"/>
    <n v="129.99999999999997"/>
    <n v="0.49999999999999989"/>
    <n v="1"/>
    <n v="16"/>
    <n v="0.25263157894736843"/>
    <n v="96"/>
    <n v="0.74210526315789471"/>
    <n v="47"/>
    <n v="63"/>
    <n v="0"/>
    <s v="N/A"/>
    <n v="380"/>
    <n v="0"/>
    <n v="1"/>
    <n v="0"/>
    <n v="0"/>
    <n v="0"/>
    <n v="1"/>
    <n v="1"/>
    <n v="0"/>
    <n v="0"/>
    <n v="0"/>
    <n v="0"/>
    <n v="0"/>
    <n v="0"/>
    <n v="0"/>
    <n v="0"/>
    <x v="3"/>
    <x v="2"/>
    <x v="7"/>
    <x v="3"/>
    <n v="20.502599716186499"/>
    <n v="92.647476196289105"/>
    <n v="197615"/>
    <x v="0"/>
    <m/>
  </r>
  <r>
    <x v="2"/>
    <x v="11"/>
    <x v="1"/>
    <x v="24"/>
    <x v="320"/>
    <n v="91"/>
    <n v="409"/>
    <m/>
    <s v="UNICEF"/>
    <d v="2018-02-14T00:00:00"/>
    <n v="0"/>
    <s v="Yes"/>
    <m/>
    <m/>
    <n v="0"/>
    <n v="1"/>
    <n v="0"/>
    <n v="3"/>
    <n v="0"/>
    <m/>
    <m/>
    <m/>
    <m/>
    <m/>
    <m/>
    <m/>
    <n v="42"/>
    <n v="0"/>
    <m/>
    <m/>
    <n v="42"/>
    <x v="4"/>
    <x v="4"/>
    <m/>
    <m/>
    <m/>
    <n v="0"/>
    <s v="Household"/>
    <n v="0"/>
    <n v="0"/>
    <n v="7"/>
    <m/>
    <m/>
    <x v="0"/>
    <m/>
    <m/>
    <m/>
    <m/>
    <s v="no test"/>
    <s v="no test"/>
    <x v="1"/>
    <n v="1"/>
    <n v="0.61124694376528121"/>
    <n v="0.61124694376528121"/>
    <n v="250.00000000000003"/>
    <n v="1"/>
    <n v="409"/>
    <n v="1"/>
    <n v="409"/>
    <n v="0.81799999999999995"/>
    <n v="0"/>
    <n v="0"/>
    <n v="0.18200000000000005"/>
    <n v="1"/>
    <n v="42"/>
    <n v="0.61613691931540338"/>
    <n v="251.99999999999997"/>
    <n v="0.38141809290953543"/>
    <n v="26"/>
    <n v="68"/>
    <n v="0"/>
    <s v="N/A"/>
    <n v="409"/>
    <n v="0"/>
    <n v="1"/>
    <n v="0"/>
    <n v="0"/>
    <n v="0"/>
    <n v="1"/>
    <n v="1"/>
    <n v="0"/>
    <n v="0"/>
    <n v="0"/>
    <n v="0"/>
    <n v="0"/>
    <n v="0"/>
    <n v="0"/>
    <n v="0"/>
    <x v="3"/>
    <x v="2"/>
    <x v="7"/>
    <x v="3"/>
    <n v="20.480100631713899"/>
    <n v="92.704818725585895"/>
    <n v="197618"/>
    <x v="0"/>
    <m/>
  </r>
  <r>
    <x v="2"/>
    <x v="11"/>
    <x v="1"/>
    <x v="24"/>
    <x v="321"/>
    <n v="90"/>
    <n v="458"/>
    <m/>
    <s v="UNICEF"/>
    <d v="2018-02-14T00:00:00"/>
    <n v="0"/>
    <s v="Yes"/>
    <m/>
    <m/>
    <n v="0"/>
    <n v="0"/>
    <n v="0"/>
    <n v="3"/>
    <n v="0"/>
    <m/>
    <m/>
    <m/>
    <m/>
    <m/>
    <m/>
    <m/>
    <n v="14"/>
    <n v="0"/>
    <m/>
    <m/>
    <n v="14"/>
    <x v="4"/>
    <x v="4"/>
    <m/>
    <m/>
    <m/>
    <n v="0"/>
    <s v="Household"/>
    <n v="0"/>
    <n v="0"/>
    <n v="7"/>
    <m/>
    <m/>
    <x v="0"/>
    <m/>
    <m/>
    <m/>
    <m/>
    <s v="no test"/>
    <s v="no test"/>
    <x v="1"/>
    <n v="0"/>
    <n v="0"/>
    <n v="0"/>
    <n v="0"/>
    <n v="1"/>
    <n v="458"/>
    <n v="1"/>
    <n v="458"/>
    <n v="0.91600000000000004"/>
    <n v="0"/>
    <n v="0"/>
    <n v="8.3999999999999964E-2"/>
    <n v="1"/>
    <n v="14"/>
    <n v="0.18340611353711792"/>
    <n v="84"/>
    <n v="0.81222707423580787"/>
    <n v="62"/>
    <n v="76"/>
    <n v="0"/>
    <s v="N/A"/>
    <n v="458"/>
    <n v="0"/>
    <n v="1"/>
    <n v="0"/>
    <n v="0"/>
    <n v="0"/>
    <n v="1"/>
    <n v="1"/>
    <n v="0"/>
    <n v="0"/>
    <n v="0"/>
    <n v="0"/>
    <n v="0"/>
    <n v="0"/>
    <n v="0"/>
    <n v="0"/>
    <x v="3"/>
    <x v="2"/>
    <x v="7"/>
    <x v="3"/>
    <n v="20.470119476318398"/>
    <n v="92.672653198242202"/>
    <n v="197630"/>
    <x v="0"/>
    <m/>
  </r>
  <r>
    <x v="2"/>
    <x v="11"/>
    <x v="1"/>
    <x v="24"/>
    <x v="322"/>
    <n v="127"/>
    <n v="710"/>
    <m/>
    <s v="UNICEF"/>
    <d v="2018-08-31T00:00:00"/>
    <n v="0"/>
    <s v="Yes"/>
    <m/>
    <m/>
    <m/>
    <m/>
    <m/>
    <m/>
    <m/>
    <m/>
    <m/>
    <m/>
    <m/>
    <m/>
    <m/>
    <m/>
    <n v="2"/>
    <m/>
    <m/>
    <m/>
    <n v="2"/>
    <x v="4"/>
    <x v="4"/>
    <m/>
    <m/>
    <m/>
    <n v="0"/>
    <s v="Household"/>
    <n v="0"/>
    <n v="0"/>
    <n v="7"/>
    <m/>
    <m/>
    <x v="0"/>
    <m/>
    <m/>
    <m/>
    <m/>
    <s v="no test"/>
    <s v="no test"/>
    <x v="1"/>
    <n v="0"/>
    <n v="0"/>
    <n v="0"/>
    <n v="0"/>
    <n v="0"/>
    <n v="0"/>
    <n v="0"/>
    <n v="0"/>
    <n v="0"/>
    <n v="1"/>
    <n v="710"/>
    <n v="1"/>
    <n v="1"/>
    <n v="2"/>
    <n v="1.6901408450704224E-2"/>
    <n v="11.999999999999998"/>
    <n v="0.9802816901408451"/>
    <n v="116"/>
    <n v="118"/>
    <n v="0"/>
    <s v="N/A"/>
    <n v="710"/>
    <n v="0"/>
    <n v="1"/>
    <n v="0"/>
    <n v="0"/>
    <n v="0"/>
    <n v="1"/>
    <n v="1"/>
    <n v="0"/>
    <n v="0"/>
    <n v="0"/>
    <n v="0"/>
    <n v="0"/>
    <n v="0"/>
    <n v="0"/>
    <n v="0"/>
    <x v="3"/>
    <x v="2"/>
    <x v="7"/>
    <x v="3"/>
    <n v="20.5047302246094"/>
    <n v="92.683113098144503"/>
    <n v="197611"/>
    <x v="0"/>
    <m/>
  </r>
  <r>
    <x v="2"/>
    <x v="11"/>
    <x v="1"/>
    <x v="24"/>
    <x v="323"/>
    <n v="64"/>
    <n v="345"/>
    <m/>
    <s v="UNICEF"/>
    <d v="2018-08-31T00:00:00"/>
    <n v="0"/>
    <s v="Yes"/>
    <m/>
    <m/>
    <m/>
    <m/>
    <m/>
    <m/>
    <m/>
    <m/>
    <m/>
    <m/>
    <m/>
    <m/>
    <m/>
    <m/>
    <n v="3"/>
    <m/>
    <m/>
    <m/>
    <n v="3"/>
    <x v="4"/>
    <x v="4"/>
    <m/>
    <m/>
    <m/>
    <n v="0"/>
    <s v="Household"/>
    <n v="0"/>
    <n v="0"/>
    <n v="7"/>
    <m/>
    <m/>
    <x v="0"/>
    <m/>
    <m/>
    <m/>
    <m/>
    <s v="no test"/>
    <s v="no test"/>
    <x v="1"/>
    <n v="0"/>
    <n v="0"/>
    <n v="0"/>
    <n v="0"/>
    <n v="0"/>
    <n v="0"/>
    <n v="0"/>
    <n v="0"/>
    <n v="0"/>
    <n v="1"/>
    <n v="345"/>
    <n v="1"/>
    <n v="1"/>
    <n v="3"/>
    <n v="5.2173913043478258E-2"/>
    <n v="18"/>
    <n v="0.95652173913043481"/>
    <n v="55"/>
    <n v="58"/>
    <n v="0"/>
    <s v="N/A"/>
    <n v="345"/>
    <n v="0"/>
    <n v="1"/>
    <n v="0"/>
    <n v="0"/>
    <n v="0"/>
    <n v="1"/>
    <n v="1"/>
    <n v="0"/>
    <n v="0"/>
    <n v="0"/>
    <n v="0"/>
    <n v="0"/>
    <n v="0"/>
    <n v="0"/>
    <n v="0"/>
    <x v="3"/>
    <x v="2"/>
    <x v="7"/>
    <x v="3"/>
    <n v="20.497299194335898"/>
    <n v="92.683097839355497"/>
    <n v="197613"/>
    <x v="0"/>
    <m/>
  </r>
  <r>
    <x v="2"/>
    <x v="11"/>
    <x v="1"/>
    <x v="24"/>
    <x v="324"/>
    <n v="127"/>
    <n v="559"/>
    <m/>
    <s v="UNICEF"/>
    <d v="2018-02-14T00:00:00"/>
    <n v="0"/>
    <s v="Yes"/>
    <m/>
    <m/>
    <n v="0"/>
    <n v="0"/>
    <n v="0"/>
    <n v="5"/>
    <n v="0"/>
    <m/>
    <m/>
    <m/>
    <m/>
    <m/>
    <m/>
    <m/>
    <n v="13"/>
    <n v="0"/>
    <m/>
    <m/>
    <n v="13"/>
    <x v="4"/>
    <x v="4"/>
    <m/>
    <m/>
    <m/>
    <n v="0"/>
    <s v="Household"/>
    <n v="0"/>
    <n v="0"/>
    <n v="7"/>
    <m/>
    <m/>
    <x v="0"/>
    <m/>
    <m/>
    <m/>
    <m/>
    <s v="no test"/>
    <s v="no test"/>
    <x v="1"/>
    <n v="0"/>
    <n v="0"/>
    <n v="0"/>
    <n v="0"/>
    <n v="1"/>
    <n v="559"/>
    <n v="1"/>
    <n v="559"/>
    <n v="1.1180000000000001"/>
    <n v="0"/>
    <n v="0"/>
    <n v="0"/>
    <n v="1"/>
    <n v="13"/>
    <n v="0.13953488372093023"/>
    <n v="78"/>
    <n v="0.85867620751341678"/>
    <n v="80"/>
    <n v="93"/>
    <n v="0"/>
    <s v="N/A"/>
    <n v="559"/>
    <n v="0"/>
    <n v="1"/>
    <n v="0"/>
    <n v="0"/>
    <n v="0"/>
    <n v="1"/>
    <n v="1"/>
    <n v="0"/>
    <n v="0"/>
    <n v="0"/>
    <n v="0"/>
    <n v="0"/>
    <n v="0"/>
    <n v="0"/>
    <n v="0"/>
    <x v="3"/>
    <x v="2"/>
    <x v="7"/>
    <x v="3"/>
    <n v="20.453830718994102"/>
    <n v="92.683090209960895"/>
    <n v="197621"/>
    <x v="0"/>
    <m/>
  </r>
  <r>
    <x v="2"/>
    <x v="2"/>
    <x v="1"/>
    <x v="24"/>
    <x v="325"/>
    <n v="292"/>
    <n v="1751"/>
    <m/>
    <s v="OFDA"/>
    <d v="2018-04-30T00:00:00"/>
    <n v="0"/>
    <s v="Yes"/>
    <n v="0.5"/>
    <n v="0"/>
    <n v="11"/>
    <n v="0"/>
    <n v="0"/>
    <n v="0"/>
    <n v="11"/>
    <m/>
    <m/>
    <m/>
    <m/>
    <m/>
    <m/>
    <s v="no water test"/>
    <n v="192"/>
    <n v="70"/>
    <m/>
    <m/>
    <n v="0"/>
    <x v="1"/>
    <x v="1"/>
    <m/>
    <m/>
    <m/>
    <n v="0"/>
    <m/>
    <n v="341"/>
    <n v="0"/>
    <n v="0"/>
    <m/>
    <m/>
    <x v="0"/>
    <m/>
    <m/>
    <m/>
    <m/>
    <s v="no test"/>
    <s v="no test"/>
    <x v="1"/>
    <n v="1"/>
    <n v="1"/>
    <n v="1"/>
    <n v="1751"/>
    <n v="0"/>
    <n v="0"/>
    <n v="1"/>
    <n v="1751"/>
    <n v="3.5019999999999998"/>
    <n v="0"/>
    <n v="0"/>
    <n v="0.49800000000000022"/>
    <n v="4"/>
    <n v="262"/>
    <n v="0.6579097658480868"/>
    <n v="1152"/>
    <n v="0.10279840091376358"/>
    <n v="30"/>
    <n v="292"/>
    <n v="0.26717557251908397"/>
    <s v="N/A"/>
    <n v="0"/>
    <n v="0"/>
    <n v="0"/>
    <n v="0"/>
    <n v="0"/>
    <n v="0"/>
    <n v="1"/>
    <n v="0"/>
    <n v="0"/>
    <n v="0"/>
    <n v="0"/>
    <n v="0"/>
    <n v="0"/>
    <n v="0"/>
    <n v="0"/>
    <n v="0"/>
    <x v="3"/>
    <x v="2"/>
    <x v="10"/>
    <x v="5"/>
    <n v="20.335864000000001"/>
    <n v="92.785706000000005"/>
    <s v="MMR012CMP031"/>
    <x v="1"/>
    <m/>
  </r>
  <r>
    <x v="2"/>
    <x v="2"/>
    <x v="1"/>
    <x v="24"/>
    <x v="326"/>
    <n v="46"/>
    <n v="227"/>
    <m/>
    <s v="OFDA"/>
    <d v="2018-04-30T00:00:00"/>
    <n v="0"/>
    <s v="No"/>
    <n v="0"/>
    <n v="0"/>
    <n v="3"/>
    <n v="0"/>
    <n v="0"/>
    <n v="0"/>
    <n v="3"/>
    <m/>
    <m/>
    <m/>
    <m/>
    <m/>
    <m/>
    <s v="no water test"/>
    <n v="51"/>
    <n v="23"/>
    <m/>
    <m/>
    <n v="0"/>
    <x v="1"/>
    <x v="1"/>
    <m/>
    <m/>
    <m/>
    <n v="0"/>
    <m/>
    <n v="46"/>
    <n v="0"/>
    <n v="0"/>
    <m/>
    <m/>
    <x v="0"/>
    <m/>
    <m/>
    <m/>
    <m/>
    <s v="no test"/>
    <s v="no test"/>
    <x v="1"/>
    <n v="1"/>
    <n v="1"/>
    <n v="1"/>
    <n v="227"/>
    <n v="0"/>
    <n v="0"/>
    <n v="1"/>
    <n v="227"/>
    <n v="0.45400000000000001"/>
    <n v="0"/>
    <n v="0"/>
    <n v="0.54600000000000004"/>
    <n v="1"/>
    <n v="74"/>
    <n v="1"/>
    <n v="227"/>
    <n v="0"/>
    <n v="0"/>
    <n v="38"/>
    <n v="0.3108108108108108"/>
    <s v="N/A"/>
    <n v="0"/>
    <n v="0"/>
    <n v="0"/>
    <n v="0"/>
    <n v="0"/>
    <n v="0"/>
    <n v="1"/>
    <n v="0"/>
    <n v="0"/>
    <n v="0"/>
    <n v="0"/>
    <n v="0"/>
    <n v="0"/>
    <n v="0"/>
    <n v="0"/>
    <n v="0"/>
    <x v="3"/>
    <x v="2"/>
    <x v="7"/>
    <x v="3"/>
    <n v="20.339799880981399"/>
    <n v="92.782653808593807"/>
    <s v="197779"/>
    <x v="1"/>
    <m/>
  </r>
  <r>
    <x v="2"/>
    <x v="11"/>
    <x v="1"/>
    <x v="24"/>
    <x v="327"/>
    <n v="140"/>
    <n v="806"/>
    <m/>
    <s v="UNICEF"/>
    <d v="2018-08-31T00:00:00"/>
    <n v="0"/>
    <s v="Yes"/>
    <m/>
    <m/>
    <m/>
    <m/>
    <m/>
    <m/>
    <m/>
    <m/>
    <m/>
    <m/>
    <m/>
    <m/>
    <m/>
    <m/>
    <n v="2"/>
    <m/>
    <m/>
    <m/>
    <n v="2"/>
    <x v="4"/>
    <x v="4"/>
    <m/>
    <m/>
    <m/>
    <n v="0"/>
    <s v="Household"/>
    <n v="0"/>
    <n v="0"/>
    <n v="7"/>
    <m/>
    <m/>
    <x v="0"/>
    <m/>
    <m/>
    <m/>
    <m/>
    <s v="no test"/>
    <s v="no test"/>
    <x v="1"/>
    <n v="0"/>
    <n v="0"/>
    <n v="0"/>
    <n v="0"/>
    <n v="0"/>
    <n v="0"/>
    <n v="0"/>
    <n v="0"/>
    <n v="0"/>
    <n v="1"/>
    <n v="806"/>
    <n v="2"/>
    <n v="2"/>
    <n v="2"/>
    <n v="1.488833746898263E-2"/>
    <n v="12"/>
    <n v="0.98263027295285355"/>
    <n v="132"/>
    <n v="134"/>
    <n v="0"/>
    <s v="N/A"/>
    <n v="806"/>
    <n v="0"/>
    <n v="1"/>
    <n v="0"/>
    <n v="0"/>
    <n v="0"/>
    <n v="1"/>
    <n v="1"/>
    <n v="0"/>
    <n v="0"/>
    <n v="0"/>
    <n v="0"/>
    <n v="0"/>
    <n v="0"/>
    <s v="Yes"/>
    <n v="0"/>
    <x v="3"/>
    <x v="2"/>
    <x v="10"/>
    <x v="3"/>
    <n v="20.824777999999998"/>
    <n v="92.362196999999995"/>
    <s v="MMR012CMP082"/>
    <x v="0"/>
    <m/>
  </r>
  <r>
    <x v="2"/>
    <x v="11"/>
    <x v="1"/>
    <x v="24"/>
    <x v="328"/>
    <n v="150"/>
    <n v="1681"/>
    <m/>
    <s v="UNICEF"/>
    <d v="2018-02-14T00:00:00"/>
    <n v="0"/>
    <s v="Yes"/>
    <m/>
    <m/>
    <n v="0"/>
    <n v="0"/>
    <n v="0"/>
    <n v="4"/>
    <n v="0"/>
    <m/>
    <m/>
    <m/>
    <m/>
    <m/>
    <m/>
    <m/>
    <n v="31"/>
    <n v="0"/>
    <m/>
    <m/>
    <n v="31"/>
    <x v="4"/>
    <x v="4"/>
    <m/>
    <m/>
    <m/>
    <n v="0"/>
    <s v="Household"/>
    <n v="0"/>
    <n v="0"/>
    <n v="7"/>
    <m/>
    <m/>
    <x v="0"/>
    <m/>
    <m/>
    <m/>
    <m/>
    <s v="no test"/>
    <s v="no test"/>
    <x v="1"/>
    <n v="0"/>
    <n v="0"/>
    <n v="0"/>
    <n v="0"/>
    <n v="0.59488399762046396"/>
    <n v="999.99999999999989"/>
    <n v="0.59488399762046396"/>
    <n v="999.99999999999989"/>
    <n v="1.9999999999999998"/>
    <n v="0.40511600237953604"/>
    <n v="681.00000000000011"/>
    <n v="1.0000000000000002"/>
    <n v="3"/>
    <n v="31"/>
    <n v="0.11064842355740631"/>
    <n v="186"/>
    <n v="0.88875669244497313"/>
    <n v="249"/>
    <n v="280"/>
    <n v="0"/>
    <s v="N/A"/>
    <n v="1681"/>
    <n v="0"/>
    <n v="1"/>
    <n v="0"/>
    <n v="0"/>
    <n v="0"/>
    <n v="1"/>
    <n v="1"/>
    <n v="0"/>
    <n v="0"/>
    <n v="0"/>
    <n v="0"/>
    <n v="0"/>
    <n v="0"/>
    <n v="0"/>
    <n v="0"/>
    <x v="3"/>
    <x v="2"/>
    <x v="7"/>
    <x v="3"/>
    <n v="20.486930847168001"/>
    <n v="92.662757873535199"/>
    <n v="197614"/>
    <x v="0"/>
    <m/>
  </r>
  <r>
    <x v="2"/>
    <x v="11"/>
    <x v="1"/>
    <x v="24"/>
    <x v="329"/>
    <n v="124"/>
    <n v="705"/>
    <m/>
    <s v="UNICEF"/>
    <d v="2018-02-14T00:00:00"/>
    <n v="0"/>
    <s v="Yes"/>
    <m/>
    <m/>
    <n v="0"/>
    <n v="1"/>
    <n v="0"/>
    <n v="8"/>
    <n v="0"/>
    <m/>
    <m/>
    <m/>
    <m/>
    <m/>
    <m/>
    <m/>
    <n v="57"/>
    <n v="0"/>
    <m/>
    <m/>
    <n v="57"/>
    <x v="4"/>
    <x v="4"/>
    <m/>
    <m/>
    <m/>
    <n v="0"/>
    <s v="Household"/>
    <n v="0"/>
    <n v="0"/>
    <n v="7"/>
    <m/>
    <m/>
    <x v="0"/>
    <m/>
    <m/>
    <m/>
    <m/>
    <s v="no test"/>
    <s v="no test"/>
    <x v="1"/>
    <n v="1"/>
    <n v="0.3546099290780142"/>
    <n v="0.3546099290780142"/>
    <n v="250"/>
    <n v="1"/>
    <n v="705"/>
    <n v="1"/>
    <n v="705"/>
    <n v="1.41"/>
    <n v="0"/>
    <n v="0"/>
    <n v="0"/>
    <n v="1"/>
    <n v="57"/>
    <n v="0.48510638297872338"/>
    <n v="342"/>
    <n v="0.51914893617021274"/>
    <n v="61"/>
    <n v="118"/>
    <n v="0"/>
    <s v="N/A"/>
    <n v="705"/>
    <n v="0"/>
    <n v="1"/>
    <n v="0"/>
    <n v="0"/>
    <n v="0"/>
    <n v="1"/>
    <n v="1"/>
    <n v="0"/>
    <n v="0"/>
    <n v="0"/>
    <n v="0"/>
    <n v="0"/>
    <n v="0"/>
    <n v="0"/>
    <n v="0"/>
    <x v="3"/>
    <x v="2"/>
    <x v="7"/>
    <x v="3"/>
    <n v="20.478969573974599"/>
    <n v="92.683746337890597"/>
    <n v="197617"/>
    <x v="0"/>
    <m/>
  </r>
  <r>
    <x v="2"/>
    <x v="11"/>
    <x v="1"/>
    <x v="24"/>
    <x v="330"/>
    <n v="20"/>
    <n v="102"/>
    <m/>
    <s v="UNICEF"/>
    <d v="2018-02-14T00:00:00"/>
    <n v="0"/>
    <s v="Yes"/>
    <m/>
    <m/>
    <n v="0"/>
    <n v="0"/>
    <n v="0"/>
    <n v="2"/>
    <n v="0"/>
    <m/>
    <m/>
    <m/>
    <m/>
    <m/>
    <m/>
    <m/>
    <n v="10"/>
    <n v="0"/>
    <m/>
    <m/>
    <n v="10"/>
    <x v="4"/>
    <x v="4"/>
    <m/>
    <m/>
    <m/>
    <n v="0"/>
    <s v="Household"/>
    <n v="0"/>
    <n v="0"/>
    <n v="7"/>
    <m/>
    <m/>
    <x v="0"/>
    <m/>
    <m/>
    <m/>
    <m/>
    <s v="no test"/>
    <s v="no test"/>
    <x v="1"/>
    <n v="0"/>
    <n v="0"/>
    <n v="0"/>
    <n v="0"/>
    <n v="1"/>
    <n v="102"/>
    <n v="1"/>
    <n v="102"/>
    <n v="0.20399999999999999"/>
    <n v="0"/>
    <n v="0"/>
    <n v="0.79600000000000004"/>
    <n v="1"/>
    <n v="10"/>
    <n v="0.58823529411764708"/>
    <n v="60"/>
    <n v="0.41176470588235292"/>
    <n v="7"/>
    <n v="17"/>
    <n v="0"/>
    <s v="N/A"/>
    <n v="102"/>
    <n v="0"/>
    <n v="1"/>
    <n v="0"/>
    <n v="0"/>
    <n v="0"/>
    <n v="1"/>
    <n v="1"/>
    <n v="0"/>
    <n v="0"/>
    <n v="0"/>
    <n v="0"/>
    <n v="0"/>
    <n v="0"/>
    <n v="0"/>
    <n v="0"/>
    <x v="3"/>
    <x v="2"/>
    <x v="7"/>
    <x v="3"/>
    <n v="20.46994972229"/>
    <n v="92.676437377929702"/>
    <n v="197632"/>
    <x v="0"/>
    <m/>
  </r>
  <r>
    <x v="2"/>
    <x v="13"/>
    <x v="1"/>
    <x v="18"/>
    <x v="420"/>
    <n v="43"/>
    <n v="213"/>
    <m/>
    <m/>
    <m/>
    <m/>
    <m/>
    <m/>
    <m/>
    <n v="0"/>
    <n v="5"/>
    <m/>
    <m/>
    <m/>
    <m/>
    <m/>
    <m/>
    <m/>
    <m/>
    <m/>
    <m/>
    <n v="0"/>
    <m/>
    <m/>
    <m/>
    <m/>
    <x v="1"/>
    <x v="1"/>
    <m/>
    <m/>
    <m/>
    <m/>
    <m/>
    <m/>
    <m/>
    <m/>
    <m/>
    <m/>
    <x v="0"/>
    <m/>
    <m/>
    <m/>
    <m/>
    <s v="no test"/>
    <s v="no test"/>
    <x v="1"/>
    <n v="1"/>
    <n v="1"/>
    <n v="1"/>
    <n v="213"/>
    <n v="0"/>
    <n v="0"/>
    <n v="1"/>
    <n v="213"/>
    <n v="0.42599999999999999"/>
    <n v="0"/>
    <n v="0"/>
    <n v="0.57400000000000007"/>
    <n v="1"/>
    <n v="0"/>
    <n v="0"/>
    <n v="0"/>
    <n v="1"/>
    <n v="36"/>
    <n v="36"/>
    <n v="0"/>
    <s v="N/A"/>
    <n v="0"/>
    <n v="0"/>
    <n v="0"/>
    <n v="0"/>
    <n v="0"/>
    <n v="0"/>
    <n v="1"/>
    <n v="0"/>
    <n v="0"/>
    <n v="0"/>
    <n v="0"/>
    <n v="0"/>
    <n v="0"/>
    <n v="0"/>
    <n v="0"/>
    <n v="0"/>
    <x v="2"/>
    <x v="2"/>
    <x v="6"/>
    <x v="5"/>
    <n v="0"/>
    <n v="0"/>
    <n v="0"/>
    <x v="0"/>
    <m/>
  </r>
  <r>
    <x v="2"/>
    <x v="2"/>
    <x v="1"/>
    <x v="18"/>
    <x v="331"/>
    <n v="373"/>
    <n v="1867"/>
    <m/>
    <m/>
    <m/>
    <m/>
    <s v="No"/>
    <n v="0"/>
    <n v="0"/>
    <n v="10"/>
    <n v="6"/>
    <m/>
    <m/>
    <n v="0"/>
    <m/>
    <m/>
    <m/>
    <m/>
    <m/>
    <m/>
    <m/>
    <n v="68"/>
    <m/>
    <m/>
    <m/>
    <n v="0"/>
    <x v="4"/>
    <x v="4"/>
    <m/>
    <m/>
    <m/>
    <n v="0"/>
    <m/>
    <n v="0"/>
    <m/>
    <n v="0"/>
    <m/>
    <m/>
    <x v="0"/>
    <m/>
    <m/>
    <m/>
    <m/>
    <s v="no test"/>
    <s v="no test"/>
    <x v="1"/>
    <n v="1"/>
    <n v="1"/>
    <n v="1"/>
    <n v="1867"/>
    <n v="0"/>
    <n v="0"/>
    <n v="1"/>
    <n v="1867"/>
    <n v="3.734"/>
    <n v="0"/>
    <n v="0"/>
    <n v="0.26600000000000001"/>
    <n v="4"/>
    <n v="68"/>
    <n v="0.21853240492769149"/>
    <n v="408"/>
    <n v="0.78093197643277978"/>
    <n v="243"/>
    <n v="311"/>
    <n v="0"/>
    <s v="N/A"/>
    <n v="0"/>
    <n v="0"/>
    <n v="0"/>
    <n v="0"/>
    <n v="0"/>
    <n v="0"/>
    <n v="1"/>
    <n v="0"/>
    <n v="0"/>
    <n v="0"/>
    <n v="0"/>
    <n v="0"/>
    <n v="0"/>
    <n v="0"/>
    <n v="0"/>
    <n v="0"/>
    <x v="3"/>
    <x v="2"/>
    <x v="7"/>
    <x v="5"/>
    <n v="20.235199999999999"/>
    <n v="92.805000000000007"/>
    <s v="196143"/>
    <x v="1"/>
    <m/>
  </r>
  <r>
    <x v="2"/>
    <x v="7"/>
    <x v="1"/>
    <x v="18"/>
    <x v="332"/>
    <n v="380"/>
    <n v="1813"/>
    <m/>
    <s v="MHF"/>
    <d v="2018-09-13T00:00:00"/>
    <n v="0"/>
    <s v="No"/>
    <n v="0"/>
    <n v="0"/>
    <n v="8"/>
    <n v="30"/>
    <n v="0"/>
    <n v="0"/>
    <n v="0"/>
    <m/>
    <n v="0"/>
    <n v="0"/>
    <n v="0"/>
    <n v="0"/>
    <n v="0"/>
    <m/>
    <n v="113"/>
    <n v="0"/>
    <n v="0"/>
    <m/>
    <n v="0"/>
    <x v="1"/>
    <x v="1"/>
    <n v="0"/>
    <n v="0"/>
    <m/>
    <n v="0"/>
    <s v="Household"/>
    <n v="0"/>
    <n v="0"/>
    <n v="1"/>
    <n v="0"/>
    <n v="0"/>
    <x v="0"/>
    <m/>
    <m/>
    <m/>
    <m/>
    <s v="no test"/>
    <s v="no test"/>
    <x v="1"/>
    <n v="1"/>
    <n v="1"/>
    <n v="1"/>
    <n v="1813"/>
    <n v="0"/>
    <n v="0"/>
    <n v="1"/>
    <n v="1813"/>
    <n v="3.6259999999999999"/>
    <n v="0"/>
    <n v="0"/>
    <n v="0.37400000000000011"/>
    <n v="4"/>
    <n v="113"/>
    <n v="0.37396580253723111"/>
    <n v="678"/>
    <n v="0.62548262548262545"/>
    <n v="189"/>
    <n v="302"/>
    <n v="0"/>
    <s v="N/A"/>
    <n v="500"/>
    <n v="0"/>
    <n v="0"/>
    <n v="0"/>
    <n v="0"/>
    <n v="0"/>
    <n v="1"/>
    <n v="0.27578599007170435"/>
    <n v="0"/>
    <n v="0"/>
    <n v="0"/>
    <n v="0"/>
    <n v="0"/>
    <n v="0"/>
    <n v="0"/>
    <n v="0"/>
    <x v="3"/>
    <x v="2"/>
    <x v="7"/>
    <x v="3"/>
    <n v="20.235199999999999"/>
    <n v="92.790199999999999"/>
    <s v="196138"/>
    <x v="0"/>
    <m/>
  </r>
  <r>
    <x v="2"/>
    <x v="7"/>
    <x v="1"/>
    <x v="18"/>
    <x v="333"/>
    <n v="615"/>
    <n v="2985"/>
    <m/>
    <s v="MHF"/>
    <d v="2018-09-13T00:00:00"/>
    <n v="0"/>
    <s v="No"/>
    <n v="0"/>
    <n v="0"/>
    <n v="9"/>
    <n v="62"/>
    <n v="0"/>
    <n v="0"/>
    <n v="0"/>
    <m/>
    <n v="0"/>
    <n v="0"/>
    <n v="0"/>
    <n v="0"/>
    <n v="0"/>
    <m/>
    <n v="2"/>
    <n v="0"/>
    <n v="0"/>
    <m/>
    <n v="0"/>
    <x v="1"/>
    <x v="1"/>
    <n v="0"/>
    <n v="0"/>
    <m/>
    <n v="0"/>
    <s v="Household"/>
    <n v="0"/>
    <n v="0"/>
    <n v="1"/>
    <n v="0"/>
    <n v="0"/>
    <x v="0"/>
    <m/>
    <m/>
    <m/>
    <m/>
    <s v="no test"/>
    <s v="no test"/>
    <x v="1"/>
    <n v="1"/>
    <n v="1"/>
    <n v="1"/>
    <n v="2985"/>
    <n v="0"/>
    <n v="0"/>
    <n v="1"/>
    <n v="2985"/>
    <n v="5.97"/>
    <n v="0"/>
    <n v="0"/>
    <n v="3.0000000000000249E-2"/>
    <n v="6"/>
    <n v="2"/>
    <n v="4.0201005025125632E-3"/>
    <n v="12.000000000000002"/>
    <n v="0.99698492462311561"/>
    <n v="496"/>
    <n v="498"/>
    <n v="0"/>
    <s v="N/A"/>
    <n v="500"/>
    <n v="0"/>
    <n v="0"/>
    <n v="0"/>
    <n v="0"/>
    <n v="0"/>
    <n v="1"/>
    <n v="0.16750418760469013"/>
    <n v="0"/>
    <n v="0"/>
    <n v="0"/>
    <n v="0"/>
    <n v="0"/>
    <n v="0"/>
    <n v="0"/>
    <n v="0"/>
    <x v="3"/>
    <x v="2"/>
    <x v="7"/>
    <x v="5"/>
    <n v="20.127127999999999"/>
    <n v="92.875450000000001"/>
    <s v="196208"/>
    <x v="0"/>
    <m/>
  </r>
  <r>
    <x v="2"/>
    <x v="0"/>
    <x v="1"/>
    <x v="18"/>
    <x v="230"/>
    <n v="397"/>
    <n v="1995"/>
    <m/>
    <s v="HARP"/>
    <d v="2020-09-30T00:00:00"/>
    <n v="0"/>
    <s v="No"/>
    <n v="0"/>
    <n v="0"/>
    <n v="0"/>
    <n v="26"/>
    <n v="0"/>
    <n v="0"/>
    <n v="29"/>
    <m/>
    <n v="0"/>
    <n v="0"/>
    <n v="0"/>
    <n v="0"/>
    <n v="0"/>
    <m/>
    <n v="55"/>
    <n v="61"/>
    <n v="12"/>
    <m/>
    <n v="112"/>
    <x v="0"/>
    <x v="0"/>
    <n v="0"/>
    <n v="0"/>
    <m/>
    <n v="0"/>
    <s v="Communal"/>
    <n v="0"/>
    <n v="0"/>
    <n v="2"/>
    <n v="397"/>
    <n v="397"/>
    <x v="0"/>
    <m/>
    <m/>
    <m/>
    <m/>
    <s v="no test"/>
    <s v="no test"/>
    <x v="1"/>
    <n v="1"/>
    <n v="1"/>
    <n v="1"/>
    <n v="1995"/>
    <n v="0"/>
    <n v="0"/>
    <n v="1"/>
    <n v="1995"/>
    <n v="3.99"/>
    <n v="0"/>
    <n v="0"/>
    <n v="9.9999999999997868E-3"/>
    <n v="4"/>
    <n v="116"/>
    <n v="0.55137844611528819"/>
    <n v="1100"/>
    <n v="0"/>
    <n v="0"/>
    <n v="100"/>
    <n v="0.52586206896551724"/>
    <n v="240"/>
    <n v="1000"/>
    <n v="1"/>
    <n v="0"/>
    <n v="1"/>
    <n v="1995"/>
    <n v="1"/>
    <n v="0"/>
    <n v="0.50125313283208017"/>
    <n v="1"/>
    <n v="1"/>
    <n v="1985"/>
    <n v="1985"/>
    <n v="1985"/>
    <n v="0"/>
    <s v="Yes"/>
    <n v="0"/>
    <x v="1"/>
    <x v="0"/>
    <x v="9"/>
    <x v="5"/>
    <n v="20.128488999999998"/>
    <n v="92.875814000000005"/>
    <s v="MMR012CMP039"/>
    <x v="0"/>
    <m/>
  </r>
  <r>
    <x v="2"/>
    <x v="2"/>
    <x v="1"/>
    <x v="18"/>
    <x v="335"/>
    <n v="22"/>
    <n v="114"/>
    <m/>
    <m/>
    <m/>
    <m/>
    <s v="No"/>
    <n v="0"/>
    <n v="0"/>
    <n v="0"/>
    <n v="0"/>
    <n v="0"/>
    <n v="0"/>
    <n v="0"/>
    <m/>
    <m/>
    <m/>
    <m/>
    <m/>
    <m/>
    <m/>
    <n v="0"/>
    <n v="0"/>
    <m/>
    <m/>
    <n v="0"/>
    <x v="4"/>
    <x v="4"/>
    <m/>
    <m/>
    <m/>
    <n v="0"/>
    <s v="Household"/>
    <n v="0"/>
    <n v="0"/>
    <n v="2"/>
    <m/>
    <m/>
    <x v="0"/>
    <m/>
    <m/>
    <m/>
    <m/>
    <s v="no test"/>
    <s v="no test"/>
    <x v="1"/>
    <n v="0"/>
    <n v="0"/>
    <n v="0"/>
    <n v="0"/>
    <n v="0"/>
    <n v="0"/>
    <n v="0"/>
    <n v="0"/>
    <n v="0"/>
    <n v="1"/>
    <n v="114"/>
    <n v="1"/>
    <n v="1"/>
    <n v="0"/>
    <n v="0"/>
    <n v="0"/>
    <n v="1"/>
    <n v="6"/>
    <n v="6"/>
    <n v="0"/>
    <n v="0"/>
    <n v="114"/>
    <n v="0"/>
    <n v="1"/>
    <n v="0"/>
    <n v="0"/>
    <n v="0"/>
    <n v="1"/>
    <n v="1"/>
    <n v="0"/>
    <n v="0"/>
    <n v="0"/>
    <n v="0"/>
    <n v="0"/>
    <n v="0"/>
    <s v="Yes"/>
    <n v="0"/>
    <x v="1"/>
    <x v="0"/>
    <x v="1"/>
    <x v="5"/>
    <n v="20.182987000000001"/>
    <n v="92.804803000000007"/>
    <s v="MMR012CMP103"/>
    <x v="1"/>
    <m/>
  </r>
  <r>
    <x v="2"/>
    <x v="0"/>
    <x v="1"/>
    <x v="18"/>
    <x v="287"/>
    <n v="1016"/>
    <n v="4892"/>
    <m/>
    <s v="HARP"/>
    <d v="2020-09-30T00:00:00"/>
    <n v="0"/>
    <s v="No"/>
    <n v="0"/>
    <n v="0"/>
    <n v="0"/>
    <n v="46"/>
    <n v="0"/>
    <n v="0"/>
    <n v="53"/>
    <m/>
    <n v="0"/>
    <n v="0"/>
    <n v="0"/>
    <n v="0"/>
    <n v="0"/>
    <m/>
    <n v="254"/>
    <n v="32"/>
    <n v="162"/>
    <m/>
    <n v="250"/>
    <x v="0"/>
    <x v="2"/>
    <n v="0"/>
    <n v="0"/>
    <m/>
    <n v="0"/>
    <s v="Household"/>
    <n v="0"/>
    <n v="0"/>
    <n v="9"/>
    <n v="1016"/>
    <n v="1016"/>
    <x v="0"/>
    <m/>
    <m/>
    <m/>
    <m/>
    <s v="no test"/>
    <s v="no test"/>
    <x v="1"/>
    <n v="1"/>
    <n v="1"/>
    <n v="1"/>
    <n v="4892"/>
    <n v="0"/>
    <n v="0"/>
    <n v="1"/>
    <n v="4892"/>
    <n v="9.7840000000000007"/>
    <n v="0"/>
    <n v="0"/>
    <n v="0.2159999999999993"/>
    <n v="10"/>
    <n v="286"/>
    <n v="1"/>
    <n v="4892"/>
    <n v="0"/>
    <n v="0"/>
    <n v="245"/>
    <n v="0.11188811188811189"/>
    <n v="3240"/>
    <n v="4500"/>
    <n v="1"/>
    <n v="1"/>
    <n v="1"/>
    <n v="4892"/>
    <n v="1"/>
    <n v="0"/>
    <n v="0.91986917416189695"/>
    <n v="1"/>
    <n v="1"/>
    <n v="5080"/>
    <n v="5080"/>
    <n v="5080"/>
    <n v="0"/>
    <s v="Yes"/>
    <n v="0"/>
    <x v="1"/>
    <x v="0"/>
    <x v="9"/>
    <x v="5"/>
    <n v="20.179417000000001"/>
    <n v="92.813028000000003"/>
    <s v="MMR012CMP113"/>
    <x v="0"/>
    <m/>
  </r>
  <r>
    <x v="2"/>
    <x v="0"/>
    <x v="1"/>
    <x v="18"/>
    <x v="289"/>
    <n v="1311"/>
    <n v="6936"/>
    <m/>
    <s v="HARP"/>
    <d v="2020-09-30T00:00:00"/>
    <n v="0"/>
    <s v="No"/>
    <n v="0"/>
    <n v="0"/>
    <n v="0"/>
    <n v="71"/>
    <n v="0"/>
    <n v="0"/>
    <n v="88"/>
    <m/>
    <n v="0"/>
    <n v="0"/>
    <n v="0"/>
    <n v="0"/>
    <n v="0"/>
    <m/>
    <n v="305"/>
    <n v="137"/>
    <n v="197"/>
    <m/>
    <n v="303"/>
    <x v="0"/>
    <x v="0"/>
    <n v="0"/>
    <n v="0"/>
    <m/>
    <n v="0"/>
    <s v="Household"/>
    <n v="0"/>
    <n v="0"/>
    <n v="0"/>
    <n v="0"/>
    <n v="0"/>
    <x v="0"/>
    <m/>
    <m/>
    <m/>
    <m/>
    <s v="no test"/>
    <s v="no test"/>
    <x v="1"/>
    <n v="1"/>
    <n v="1"/>
    <n v="1"/>
    <n v="6936"/>
    <n v="0"/>
    <n v="0"/>
    <n v="1"/>
    <n v="6936"/>
    <n v="13.872"/>
    <n v="0"/>
    <n v="0"/>
    <n v="0.12800000000000011"/>
    <n v="14"/>
    <n v="442"/>
    <n v="0.87946943483275664"/>
    <n v="6100"/>
    <n v="0"/>
    <n v="0"/>
    <n v="347"/>
    <n v="0.30995475113122173"/>
    <n v="3940"/>
    <n v="0"/>
    <n v="0"/>
    <n v="0"/>
    <n v="0"/>
    <n v="0"/>
    <n v="0"/>
    <n v="1"/>
    <n v="0"/>
    <n v="0"/>
    <n v="0"/>
    <n v="0"/>
    <n v="0"/>
    <n v="0"/>
    <n v="0"/>
    <s v="Yes"/>
    <n v="0"/>
    <x v="1"/>
    <x v="0"/>
    <x v="9"/>
    <x v="5"/>
    <n v="20.181405999999999"/>
    <n v="92.807552000000001"/>
    <s v="MMR012CMP114"/>
    <x v="0"/>
    <m/>
  </r>
  <r>
    <x v="2"/>
    <x v="2"/>
    <x v="1"/>
    <x v="18"/>
    <x v="338"/>
    <n v="14"/>
    <n v="93"/>
    <m/>
    <m/>
    <m/>
    <m/>
    <s v="No"/>
    <n v="0"/>
    <n v="0"/>
    <n v="0"/>
    <n v="0"/>
    <n v="0"/>
    <n v="0"/>
    <n v="0"/>
    <m/>
    <m/>
    <m/>
    <m/>
    <m/>
    <m/>
    <m/>
    <n v="0"/>
    <n v="0"/>
    <m/>
    <m/>
    <n v="0"/>
    <x v="4"/>
    <x v="4"/>
    <m/>
    <m/>
    <m/>
    <n v="0"/>
    <s v="Household"/>
    <n v="0"/>
    <n v="0"/>
    <n v="0"/>
    <m/>
    <m/>
    <x v="0"/>
    <m/>
    <m/>
    <m/>
    <m/>
    <s v="no test"/>
    <s v="no test"/>
    <x v="1"/>
    <n v="0"/>
    <n v="0"/>
    <n v="0"/>
    <n v="0"/>
    <n v="0"/>
    <n v="0"/>
    <n v="0"/>
    <n v="0"/>
    <n v="0"/>
    <n v="1"/>
    <n v="93"/>
    <n v="1"/>
    <n v="1"/>
    <n v="0"/>
    <n v="0"/>
    <n v="0"/>
    <n v="1"/>
    <n v="16"/>
    <n v="16"/>
    <n v="0"/>
    <s v="N/A"/>
    <n v="0"/>
    <n v="0"/>
    <n v="0"/>
    <n v="0"/>
    <n v="0"/>
    <n v="0"/>
    <n v="1"/>
    <n v="0"/>
    <n v="0"/>
    <n v="0"/>
    <n v="0"/>
    <n v="0"/>
    <n v="0"/>
    <n v="0"/>
    <n v="0"/>
    <n v="0"/>
    <x v="3"/>
    <x v="2"/>
    <x v="7"/>
    <x v="5"/>
    <n v="0"/>
    <n v="0"/>
    <n v="0"/>
    <x v="1"/>
    <m/>
  </r>
  <r>
    <x v="2"/>
    <x v="13"/>
    <x v="1"/>
    <x v="18"/>
    <x v="421"/>
    <n v="27"/>
    <n v="175"/>
    <m/>
    <m/>
    <m/>
    <m/>
    <m/>
    <m/>
    <m/>
    <n v="0"/>
    <n v="4"/>
    <m/>
    <m/>
    <m/>
    <m/>
    <m/>
    <m/>
    <m/>
    <m/>
    <m/>
    <m/>
    <n v="0"/>
    <m/>
    <m/>
    <m/>
    <m/>
    <x v="1"/>
    <x v="1"/>
    <m/>
    <m/>
    <m/>
    <m/>
    <m/>
    <m/>
    <m/>
    <m/>
    <m/>
    <m/>
    <x v="0"/>
    <m/>
    <m/>
    <m/>
    <m/>
    <s v="no test"/>
    <s v="no test"/>
    <x v="1"/>
    <n v="1"/>
    <n v="1"/>
    <n v="1"/>
    <n v="175"/>
    <n v="0"/>
    <n v="0"/>
    <n v="1"/>
    <n v="175"/>
    <n v="0.35"/>
    <n v="0"/>
    <n v="0"/>
    <n v="0.65"/>
    <n v="1"/>
    <n v="0"/>
    <n v="0"/>
    <n v="0"/>
    <n v="0.99428571428571422"/>
    <n v="29"/>
    <n v="29"/>
    <n v="0"/>
    <s v="N/A"/>
    <n v="0"/>
    <n v="0"/>
    <n v="0"/>
    <n v="0"/>
    <n v="0"/>
    <n v="0"/>
    <n v="1"/>
    <n v="0"/>
    <n v="0"/>
    <n v="0"/>
    <n v="0"/>
    <n v="0"/>
    <n v="0"/>
    <n v="0"/>
    <n v="0"/>
    <n v="0"/>
    <x v="2"/>
    <x v="2"/>
    <x v="6"/>
    <x v="5"/>
    <n v="20.1438598632813"/>
    <n v="92.867576599121094"/>
    <n v="196200"/>
    <x v="0"/>
    <m/>
  </r>
  <r>
    <x v="2"/>
    <x v="13"/>
    <x v="1"/>
    <x v="18"/>
    <x v="422"/>
    <n v="21"/>
    <n v="106"/>
    <m/>
    <m/>
    <m/>
    <m/>
    <m/>
    <m/>
    <m/>
    <n v="0"/>
    <n v="1"/>
    <m/>
    <m/>
    <m/>
    <m/>
    <m/>
    <m/>
    <m/>
    <m/>
    <m/>
    <m/>
    <n v="0"/>
    <m/>
    <m/>
    <m/>
    <m/>
    <x v="1"/>
    <x v="1"/>
    <m/>
    <m/>
    <m/>
    <m/>
    <m/>
    <m/>
    <m/>
    <m/>
    <m/>
    <m/>
    <x v="0"/>
    <m/>
    <m/>
    <m/>
    <m/>
    <s v="no test"/>
    <s v="no test"/>
    <x v="1"/>
    <n v="1"/>
    <n v="1"/>
    <n v="1"/>
    <n v="106"/>
    <n v="0"/>
    <n v="0"/>
    <n v="1"/>
    <n v="106"/>
    <n v="0.21199999999999999"/>
    <n v="0"/>
    <n v="0"/>
    <n v="0.78800000000000003"/>
    <n v="1"/>
    <n v="0"/>
    <n v="0"/>
    <n v="0"/>
    <n v="1"/>
    <n v="18"/>
    <n v="18"/>
    <n v="0"/>
    <s v="N/A"/>
    <n v="0"/>
    <n v="0"/>
    <n v="0"/>
    <n v="0"/>
    <n v="0"/>
    <n v="0"/>
    <n v="1"/>
    <n v="0"/>
    <n v="0"/>
    <n v="0"/>
    <n v="0"/>
    <n v="0"/>
    <n v="0"/>
    <n v="0"/>
    <n v="0"/>
    <n v="0"/>
    <x v="2"/>
    <x v="2"/>
    <x v="6"/>
    <x v="3"/>
    <n v="20.286720275878899"/>
    <n v="92.882843017578097"/>
    <n v="196172"/>
    <x v="0"/>
    <m/>
  </r>
  <r>
    <x v="2"/>
    <x v="0"/>
    <x v="1"/>
    <x v="18"/>
    <x v="290"/>
    <n v="1436"/>
    <n v="8508"/>
    <m/>
    <s v="HARP"/>
    <d v="2020-09-30T00:00:00"/>
    <n v="0"/>
    <s v="No"/>
    <n v="0"/>
    <n v="0"/>
    <n v="0"/>
    <n v="72"/>
    <n v="0"/>
    <n v="0"/>
    <n v="93"/>
    <m/>
    <n v="0"/>
    <n v="0"/>
    <n v="0"/>
    <n v="0"/>
    <n v="0"/>
    <m/>
    <n v="406"/>
    <n v="130"/>
    <n v="117"/>
    <m/>
    <n v="371"/>
    <x v="0"/>
    <x v="0"/>
    <n v="0"/>
    <n v="0"/>
    <m/>
    <n v="0"/>
    <s v="Household"/>
    <n v="0"/>
    <n v="0"/>
    <n v="8"/>
    <n v="2007"/>
    <n v="2007"/>
    <x v="0"/>
    <m/>
    <m/>
    <m/>
    <m/>
    <s v="no test"/>
    <s v="no test"/>
    <x v="1"/>
    <n v="1"/>
    <n v="1"/>
    <n v="1"/>
    <n v="8508"/>
    <n v="0"/>
    <n v="0"/>
    <n v="1"/>
    <n v="8508"/>
    <n v="17.015999999999998"/>
    <n v="0"/>
    <n v="0"/>
    <n v="0"/>
    <n v="17"/>
    <n v="536"/>
    <n v="0.95439586271744237"/>
    <n v="8120"/>
    <n v="0"/>
    <n v="0"/>
    <n v="425"/>
    <n v="0.24253731343283583"/>
    <n v="2340"/>
    <n v="4000"/>
    <n v="1"/>
    <n v="0"/>
    <n v="1"/>
    <n v="8508"/>
    <n v="1"/>
    <n v="0"/>
    <n v="0.4701457451810061"/>
    <n v="1"/>
    <n v="1"/>
    <n v="10035"/>
    <n v="10035"/>
    <n v="10035"/>
    <n v="0"/>
    <s v="Yes"/>
    <n v="0"/>
    <x v="1"/>
    <x v="0"/>
    <x v="9"/>
    <x v="5"/>
    <n v="20.16846"/>
    <n v="92.827427"/>
    <s v="MMR012CMP041"/>
    <x v="0"/>
    <m/>
  </r>
  <r>
    <x v="2"/>
    <x v="0"/>
    <x v="1"/>
    <x v="18"/>
    <x v="291"/>
    <n v="601"/>
    <n v="3360"/>
    <m/>
    <s v="HARP"/>
    <d v="2020-09-30T00:00:00"/>
    <n v="0"/>
    <s v="No"/>
    <n v="0"/>
    <n v="0"/>
    <n v="0"/>
    <n v="21"/>
    <n v="0"/>
    <n v="0"/>
    <n v="21"/>
    <m/>
    <n v="0"/>
    <n v="0"/>
    <n v="0"/>
    <n v="0"/>
    <n v="0"/>
    <m/>
    <n v="0"/>
    <n v="0"/>
    <n v="0"/>
    <m/>
    <n v="0"/>
    <x v="4"/>
    <x v="4"/>
    <n v="0"/>
    <n v="0"/>
    <m/>
    <n v="0"/>
    <s v="Household"/>
    <n v="0"/>
    <n v="0"/>
    <n v="1"/>
    <n v="593"/>
    <n v="593"/>
    <x v="0"/>
    <m/>
    <m/>
    <m/>
    <m/>
    <s v="no test"/>
    <s v="no test"/>
    <x v="1"/>
    <n v="1"/>
    <n v="1"/>
    <n v="1"/>
    <n v="3360"/>
    <n v="0"/>
    <n v="0"/>
    <n v="1"/>
    <n v="3360"/>
    <n v="6.72"/>
    <n v="0"/>
    <n v="0"/>
    <n v="0.28000000000000025"/>
    <n v="7"/>
    <n v="0"/>
    <n v="0"/>
    <n v="0"/>
    <n v="1"/>
    <n v="168"/>
    <n v="168"/>
    <n v="0"/>
    <n v="0"/>
    <n v="500"/>
    <n v="0"/>
    <n v="0"/>
    <n v="0"/>
    <n v="0"/>
    <n v="0"/>
    <n v="1"/>
    <n v="0.14880952380952381"/>
    <n v="0.98668885191347755"/>
    <n v="0.98668885191347755"/>
    <n v="2965"/>
    <n v="2965"/>
    <n v="2965"/>
    <n v="0"/>
    <s v="Yes"/>
    <n v="0"/>
    <x v="1"/>
    <x v="0"/>
    <x v="1"/>
    <x v="5"/>
    <n v="20.167421999999998"/>
    <n v="92.830074999999994"/>
    <s v="MMR012CMP097"/>
    <x v="0"/>
    <m/>
  </r>
  <r>
    <x v="2"/>
    <x v="2"/>
    <x v="1"/>
    <x v="18"/>
    <x v="341"/>
    <n v="357"/>
    <n v="2743"/>
    <m/>
    <m/>
    <m/>
    <m/>
    <s v="No"/>
    <n v="0"/>
    <n v="0"/>
    <n v="0"/>
    <n v="20"/>
    <n v="0"/>
    <n v="0"/>
    <n v="0"/>
    <m/>
    <m/>
    <m/>
    <m/>
    <m/>
    <m/>
    <m/>
    <n v="39"/>
    <n v="0"/>
    <m/>
    <m/>
    <n v="0"/>
    <x v="1"/>
    <x v="1"/>
    <m/>
    <m/>
    <m/>
    <n v="0"/>
    <s v="Household"/>
    <n v="0"/>
    <n v="0"/>
    <n v="2"/>
    <m/>
    <m/>
    <x v="0"/>
    <m/>
    <m/>
    <m/>
    <m/>
    <s v="no test"/>
    <s v="no test"/>
    <x v="1"/>
    <n v="1"/>
    <n v="1"/>
    <n v="1"/>
    <n v="2743"/>
    <n v="0"/>
    <n v="0"/>
    <n v="1"/>
    <n v="2743"/>
    <n v="5.4859999999999998"/>
    <n v="0"/>
    <n v="0"/>
    <n v="0"/>
    <n v="5"/>
    <n v="39"/>
    <n v="8.5308056872037921E-2"/>
    <n v="234.00000000000003"/>
    <n v="0.91432737878235504"/>
    <n v="418"/>
    <n v="457"/>
    <n v="0"/>
    <s v="N/A"/>
    <n v="1000"/>
    <n v="0"/>
    <n v="0"/>
    <n v="0"/>
    <n v="0"/>
    <n v="0"/>
    <n v="1"/>
    <n v="0.36456434560699963"/>
    <n v="0"/>
    <n v="0"/>
    <n v="0"/>
    <n v="0"/>
    <n v="0"/>
    <n v="0"/>
    <n v="0"/>
    <n v="0"/>
    <x v="3"/>
    <x v="2"/>
    <x v="7"/>
    <x v="5"/>
    <n v="0"/>
    <n v="0"/>
    <n v="0"/>
    <x v="1"/>
    <m/>
  </r>
  <r>
    <x v="2"/>
    <x v="7"/>
    <x v="1"/>
    <x v="18"/>
    <x v="342"/>
    <n v="22"/>
    <n v="113"/>
    <m/>
    <s v="MHF"/>
    <d v="2018-09-13T00:00:00"/>
    <n v="0"/>
    <s v="No"/>
    <n v="0"/>
    <n v="0"/>
    <n v="2"/>
    <n v="1"/>
    <n v="0"/>
    <n v="0"/>
    <n v="0"/>
    <m/>
    <n v="0"/>
    <n v="0"/>
    <n v="0"/>
    <n v="0"/>
    <n v="0"/>
    <m/>
    <n v="22"/>
    <n v="0"/>
    <n v="0"/>
    <m/>
    <n v="0"/>
    <x v="1"/>
    <x v="1"/>
    <n v="0"/>
    <n v="0"/>
    <m/>
    <n v="0"/>
    <s v="Household"/>
    <n v="0"/>
    <n v="0"/>
    <n v="1"/>
    <n v="0"/>
    <n v="0"/>
    <x v="0"/>
    <m/>
    <m/>
    <m/>
    <m/>
    <s v="no test"/>
    <s v="no test"/>
    <x v="1"/>
    <n v="1"/>
    <n v="1"/>
    <n v="1"/>
    <n v="113"/>
    <n v="0"/>
    <n v="0"/>
    <n v="1"/>
    <n v="113"/>
    <n v="0.22600000000000001"/>
    <n v="0"/>
    <n v="0"/>
    <n v="0.77400000000000002"/>
    <n v="1"/>
    <n v="22"/>
    <n v="1"/>
    <n v="113"/>
    <n v="0"/>
    <n v="0"/>
    <n v="19"/>
    <n v="0"/>
    <s v="N/A"/>
    <n v="113"/>
    <n v="0"/>
    <n v="1"/>
    <n v="0"/>
    <n v="0"/>
    <n v="0"/>
    <n v="1"/>
    <n v="1"/>
    <n v="0"/>
    <n v="0"/>
    <n v="0"/>
    <n v="0"/>
    <n v="0"/>
    <n v="0"/>
    <n v="0"/>
    <n v="0"/>
    <x v="3"/>
    <x v="2"/>
    <x v="7"/>
    <x v="3"/>
    <n v="20.218299999999999"/>
    <n v="92.805999999999997"/>
    <s v="196140"/>
    <x v="0"/>
    <m/>
  </r>
  <r>
    <x v="2"/>
    <x v="13"/>
    <x v="1"/>
    <x v="18"/>
    <x v="423"/>
    <n v="26"/>
    <n v="105"/>
    <m/>
    <m/>
    <m/>
    <m/>
    <m/>
    <m/>
    <m/>
    <n v="0"/>
    <n v="3"/>
    <m/>
    <m/>
    <m/>
    <m/>
    <m/>
    <m/>
    <m/>
    <m/>
    <m/>
    <m/>
    <n v="0"/>
    <m/>
    <m/>
    <m/>
    <m/>
    <x v="1"/>
    <x v="1"/>
    <m/>
    <m/>
    <m/>
    <m/>
    <m/>
    <m/>
    <m/>
    <m/>
    <m/>
    <m/>
    <x v="0"/>
    <m/>
    <m/>
    <m/>
    <m/>
    <s v="no test"/>
    <s v="no test"/>
    <x v="1"/>
    <n v="1"/>
    <n v="1"/>
    <n v="1"/>
    <n v="105"/>
    <n v="0"/>
    <n v="0"/>
    <n v="1"/>
    <n v="105"/>
    <n v="0.21"/>
    <n v="0"/>
    <n v="0"/>
    <n v="0.79"/>
    <n v="1"/>
    <n v="0"/>
    <n v="0"/>
    <n v="0"/>
    <n v="1"/>
    <n v="18"/>
    <n v="18"/>
    <n v="0"/>
    <s v="N/A"/>
    <n v="0"/>
    <n v="0"/>
    <n v="0"/>
    <n v="0"/>
    <n v="0"/>
    <n v="0"/>
    <n v="1"/>
    <n v="0"/>
    <n v="0"/>
    <n v="0"/>
    <n v="0"/>
    <n v="0"/>
    <n v="0"/>
    <n v="0"/>
    <n v="0"/>
    <n v="0"/>
    <x v="2"/>
    <x v="2"/>
    <x v="6"/>
    <x v="5"/>
    <n v="20.194370269775401"/>
    <n v="92.834007263183594"/>
    <n v="196128"/>
    <x v="0"/>
    <m/>
  </r>
  <r>
    <x v="2"/>
    <x v="13"/>
    <x v="1"/>
    <x v="18"/>
    <x v="424"/>
    <n v="8"/>
    <n v="38"/>
    <m/>
    <m/>
    <m/>
    <m/>
    <m/>
    <m/>
    <m/>
    <n v="0"/>
    <n v="1"/>
    <m/>
    <m/>
    <m/>
    <m/>
    <m/>
    <m/>
    <m/>
    <m/>
    <m/>
    <m/>
    <n v="0"/>
    <m/>
    <m/>
    <m/>
    <m/>
    <x v="1"/>
    <x v="1"/>
    <m/>
    <m/>
    <m/>
    <m/>
    <m/>
    <m/>
    <m/>
    <m/>
    <m/>
    <m/>
    <x v="0"/>
    <m/>
    <m/>
    <m/>
    <m/>
    <s v="no test"/>
    <s v="no test"/>
    <x v="1"/>
    <n v="1"/>
    <n v="1"/>
    <n v="1"/>
    <n v="38"/>
    <n v="0"/>
    <n v="0"/>
    <n v="1"/>
    <n v="38"/>
    <n v="7.5999999999999998E-2"/>
    <n v="0"/>
    <n v="0"/>
    <n v="0.92400000000000004"/>
    <n v="1"/>
    <n v="0"/>
    <n v="0"/>
    <n v="0"/>
    <n v="0.94736842105263164"/>
    <n v="6"/>
    <n v="6"/>
    <n v="0"/>
    <s v="N/A"/>
    <n v="0"/>
    <n v="0"/>
    <n v="0"/>
    <n v="0"/>
    <n v="0"/>
    <n v="0"/>
    <n v="1"/>
    <n v="0"/>
    <n v="0"/>
    <n v="0"/>
    <n v="0"/>
    <n v="0"/>
    <n v="0"/>
    <n v="0"/>
    <n v="0"/>
    <n v="0"/>
    <x v="2"/>
    <x v="2"/>
    <x v="6"/>
    <x v="5"/>
    <n v="20.183790206909201"/>
    <n v="92.864143371582003"/>
    <n v="196197"/>
    <x v="0"/>
    <m/>
  </r>
  <r>
    <x v="2"/>
    <x v="0"/>
    <x v="1"/>
    <x v="18"/>
    <x v="292"/>
    <n v="400"/>
    <n v="2186"/>
    <m/>
    <s v="HARP"/>
    <d v="2020-09-30T00:00:00"/>
    <n v="0"/>
    <s v="No"/>
    <n v="0"/>
    <n v="0"/>
    <n v="0"/>
    <n v="27"/>
    <n v="0"/>
    <n v="0"/>
    <n v="27"/>
    <m/>
    <n v="0"/>
    <n v="0"/>
    <n v="0"/>
    <n v="0"/>
    <n v="0"/>
    <m/>
    <n v="102"/>
    <n v="5"/>
    <n v="25"/>
    <m/>
    <n v="102"/>
    <x v="0"/>
    <x v="2"/>
    <n v="0"/>
    <n v="0"/>
    <m/>
    <n v="0"/>
    <s v="Household"/>
    <n v="0"/>
    <n v="0"/>
    <n v="2"/>
    <n v="400"/>
    <n v="400"/>
    <x v="0"/>
    <m/>
    <m/>
    <m/>
    <m/>
    <s v="no test"/>
    <s v="no test"/>
    <x v="1"/>
    <n v="1"/>
    <n v="1"/>
    <n v="1"/>
    <n v="2186"/>
    <n v="0"/>
    <n v="0"/>
    <n v="1"/>
    <n v="2186"/>
    <n v="4.3719999999999999"/>
    <n v="0"/>
    <n v="0"/>
    <n v="0"/>
    <n v="4"/>
    <n v="107"/>
    <n v="0.93321134492223234"/>
    <n v="2040"/>
    <n v="1.8298261665141813E-2"/>
    <n v="2"/>
    <n v="109"/>
    <n v="4.6728971962616821E-2"/>
    <n v="500"/>
    <n v="1000"/>
    <n v="1"/>
    <n v="0"/>
    <n v="1"/>
    <n v="2186"/>
    <n v="1"/>
    <n v="0"/>
    <n v="0.45745654162854527"/>
    <n v="1"/>
    <n v="1"/>
    <n v="2000"/>
    <n v="2000"/>
    <n v="2000"/>
    <n v="0"/>
    <n v="0"/>
    <n v="0"/>
    <x v="1"/>
    <x v="0"/>
    <x v="3"/>
    <x v="5"/>
    <n v="20.180194"/>
    <n v="92.816638999999995"/>
    <s v="MMR012CMP102"/>
    <x v="0"/>
    <m/>
  </r>
  <r>
    <x v="2"/>
    <x v="12"/>
    <x v="1"/>
    <x v="18"/>
    <x v="294"/>
    <n v="400"/>
    <n v="2248"/>
    <m/>
    <s v="OFDA/UNICEF"/>
    <d v="2018-06-15T00:00:00"/>
    <n v="20"/>
    <s v="Yes"/>
    <n v="0"/>
    <n v="0"/>
    <n v="0"/>
    <n v="13"/>
    <n v="0"/>
    <n v="1"/>
    <m/>
    <m/>
    <n v="13"/>
    <n v="11"/>
    <n v="13"/>
    <n v="10"/>
    <n v="0"/>
    <m/>
    <n v="118"/>
    <n v="24"/>
    <n v="3"/>
    <m/>
    <n v="142"/>
    <x v="0"/>
    <x v="0"/>
    <n v="0"/>
    <n v="0"/>
    <m/>
    <n v="0"/>
    <s v="Both"/>
    <n v="399"/>
    <n v="0"/>
    <n v="10"/>
    <n v="400"/>
    <n v="400"/>
    <x v="0"/>
    <m/>
    <m/>
    <m/>
    <m/>
    <n v="0.84615384615384615"/>
    <n v="0.76923076923076927"/>
    <x v="0"/>
    <n v="1"/>
    <n v="1"/>
    <n v="1"/>
    <n v="2248"/>
    <n v="0.11120996441281139"/>
    <n v="250"/>
    <n v="1"/>
    <n v="2248"/>
    <n v="4.4960000000000004"/>
    <n v="0"/>
    <n v="0"/>
    <n v="0"/>
    <n v="4"/>
    <n v="142"/>
    <n v="1"/>
    <n v="2248"/>
    <n v="0"/>
    <n v="0"/>
    <n v="112"/>
    <n v="0.16901408450704225"/>
    <n v="60"/>
    <n v="2248"/>
    <n v="1"/>
    <n v="1"/>
    <n v="1"/>
    <n v="2248"/>
    <n v="1"/>
    <n v="0"/>
    <n v="1"/>
    <n v="1"/>
    <n v="1"/>
    <n v="2000"/>
    <n v="2000"/>
    <n v="2000"/>
    <n v="0"/>
    <s v="Yes"/>
    <n v="0"/>
    <x v="1"/>
    <x v="0"/>
    <x v="9"/>
    <x v="5"/>
    <n v="20.181778000000001"/>
    <n v="92.823166999999998"/>
    <s v="MMR012CMP042"/>
    <x v="0"/>
    <m/>
  </r>
  <r>
    <x v="2"/>
    <x v="2"/>
    <x v="1"/>
    <x v="18"/>
    <x v="346"/>
    <n v="197"/>
    <n v="488"/>
    <m/>
    <m/>
    <m/>
    <m/>
    <s v="No"/>
    <n v="0"/>
    <n v="0"/>
    <n v="9"/>
    <n v="4"/>
    <n v="0"/>
    <n v="0"/>
    <n v="0"/>
    <m/>
    <m/>
    <m/>
    <m/>
    <m/>
    <m/>
    <s v="No WASH actor"/>
    <n v="146"/>
    <n v="0"/>
    <m/>
    <m/>
    <n v="0"/>
    <x v="3"/>
    <x v="2"/>
    <m/>
    <m/>
    <m/>
    <n v="0"/>
    <m/>
    <n v="0"/>
    <n v="0"/>
    <n v="0"/>
    <m/>
    <m/>
    <x v="0"/>
    <m/>
    <m/>
    <m/>
    <m/>
    <s v="no test"/>
    <s v="no test"/>
    <x v="1"/>
    <n v="1"/>
    <n v="1"/>
    <n v="1"/>
    <n v="488"/>
    <n v="0"/>
    <n v="0"/>
    <n v="1"/>
    <n v="488"/>
    <n v="0.97599999999999998"/>
    <n v="0"/>
    <n v="0"/>
    <n v="2.4000000000000021E-2"/>
    <n v="1"/>
    <n v="146"/>
    <n v="1"/>
    <n v="488"/>
    <n v="0"/>
    <n v="0"/>
    <n v="81"/>
    <n v="0"/>
    <s v="N/A"/>
    <n v="0"/>
    <n v="0"/>
    <n v="0"/>
    <n v="0"/>
    <n v="0"/>
    <n v="0"/>
    <n v="1"/>
    <n v="0"/>
    <n v="0"/>
    <n v="0"/>
    <n v="0"/>
    <n v="0"/>
    <n v="0"/>
    <n v="0"/>
    <n v="0"/>
    <n v="0"/>
    <x v="3"/>
    <x v="2"/>
    <x v="7"/>
    <x v="3"/>
    <n v="20.245159149169901"/>
    <n v="92.807418823242202"/>
    <s v="196137"/>
    <x v="1"/>
    <m/>
  </r>
  <r>
    <x v="2"/>
    <x v="13"/>
    <x v="1"/>
    <x v="18"/>
    <x v="425"/>
    <n v="108"/>
    <n v="541"/>
    <m/>
    <m/>
    <m/>
    <m/>
    <m/>
    <m/>
    <m/>
    <n v="0"/>
    <n v="1"/>
    <m/>
    <m/>
    <m/>
    <m/>
    <m/>
    <m/>
    <m/>
    <m/>
    <m/>
    <m/>
    <n v="0"/>
    <m/>
    <m/>
    <m/>
    <m/>
    <x v="1"/>
    <x v="1"/>
    <m/>
    <m/>
    <m/>
    <m/>
    <m/>
    <m/>
    <m/>
    <m/>
    <m/>
    <m/>
    <x v="0"/>
    <m/>
    <m/>
    <m/>
    <m/>
    <s v="no test"/>
    <s v="no test"/>
    <x v="1"/>
    <n v="1"/>
    <n v="0.46210720887245843"/>
    <n v="0.46210720887245843"/>
    <n v="250"/>
    <n v="0"/>
    <n v="0"/>
    <n v="0.46210720887245843"/>
    <n v="250"/>
    <n v="0.5"/>
    <n v="0.53789279112754151"/>
    <n v="290.99999999999994"/>
    <n v="0.5"/>
    <n v="1"/>
    <n v="0"/>
    <n v="0"/>
    <n v="0"/>
    <n v="0.99815157116451014"/>
    <n v="90"/>
    <n v="90"/>
    <n v="0"/>
    <s v="N/A"/>
    <n v="0"/>
    <n v="0"/>
    <n v="0"/>
    <n v="0"/>
    <n v="0"/>
    <n v="0"/>
    <n v="1"/>
    <n v="0"/>
    <n v="0"/>
    <n v="0"/>
    <n v="0"/>
    <n v="0"/>
    <n v="0"/>
    <n v="0"/>
    <n v="0"/>
    <n v="0"/>
    <x v="2"/>
    <x v="2"/>
    <x v="6"/>
    <x v="3"/>
    <n v="20.272630691528299"/>
    <n v="92.84326171875"/>
    <n v="196163"/>
    <x v="0"/>
    <m/>
  </r>
  <r>
    <x v="2"/>
    <x v="17"/>
    <x v="1"/>
    <x v="18"/>
    <x v="337"/>
    <n v="656"/>
    <n v="3486"/>
    <n v="0"/>
    <s v="DFID/HARP"/>
    <d v="2020-09-30T00:00:00"/>
    <n v="0"/>
    <s v="No"/>
    <n v="0"/>
    <n v="0"/>
    <n v="0"/>
    <n v="37"/>
    <m/>
    <n v="0"/>
    <n v="46"/>
    <m/>
    <n v="35"/>
    <n v="24"/>
    <n v="84"/>
    <n v="51"/>
    <n v="8"/>
    <m/>
    <n v="109"/>
    <n v="126"/>
    <n v="0"/>
    <m/>
    <n v="235"/>
    <x v="0"/>
    <x v="2"/>
    <n v="0"/>
    <n v="2"/>
    <m/>
    <n v="1"/>
    <s v="Household"/>
    <n v="656"/>
    <n v="0"/>
    <n v="5"/>
    <n v="656"/>
    <n v="656"/>
    <x v="1"/>
    <m/>
    <m/>
    <m/>
    <m/>
    <n v="0.68571428571428572"/>
    <n v="0.6071428571428571"/>
    <x v="0"/>
    <n v="1"/>
    <n v="1"/>
    <n v="1"/>
    <n v="3486"/>
    <n v="0"/>
    <n v="0"/>
    <n v="1"/>
    <n v="3486"/>
    <n v="6.9720000000000004"/>
    <n v="0"/>
    <n v="0"/>
    <n v="2.7999999999999581E-2"/>
    <n v="7"/>
    <n v="235"/>
    <n v="0.62535857716580612"/>
    <n v="2180"/>
    <n v="0"/>
    <n v="0"/>
    <n v="174"/>
    <n v="0.53617021276595744"/>
    <n v="0"/>
    <n v="2500"/>
    <n v="1"/>
    <n v="0"/>
    <n v="1"/>
    <n v="3486"/>
    <n v="1"/>
    <n v="0"/>
    <n v="0.71715433161216291"/>
    <n v="1"/>
    <n v="1"/>
    <n v="3280"/>
    <n v="3280"/>
    <n v="3280"/>
    <n v="656"/>
    <s v="Yes"/>
    <n v="0"/>
    <x v="1"/>
    <x v="0"/>
    <x v="9"/>
    <x v="5"/>
    <n v="20.185917"/>
    <n v="92.831000000000003"/>
    <s v="MMR012CMP092"/>
    <x v="0"/>
    <m/>
  </r>
  <r>
    <x v="2"/>
    <x v="7"/>
    <x v="1"/>
    <x v="18"/>
    <x v="348"/>
    <n v="250"/>
    <n v="1183"/>
    <m/>
    <s v="MHF"/>
    <d v="2018-09-13T00:00:00"/>
    <n v="0"/>
    <s v="No"/>
    <n v="0"/>
    <n v="0"/>
    <n v="11"/>
    <n v="21"/>
    <n v="0"/>
    <n v="0"/>
    <n v="0"/>
    <m/>
    <n v="0"/>
    <n v="0"/>
    <n v="0"/>
    <n v="0"/>
    <n v="0"/>
    <m/>
    <n v="65"/>
    <n v="0"/>
    <n v="0"/>
    <m/>
    <n v="0"/>
    <x v="1"/>
    <x v="1"/>
    <n v="0"/>
    <n v="0"/>
    <m/>
    <n v="0"/>
    <s v="Household"/>
    <n v="0"/>
    <n v="0"/>
    <n v="1"/>
    <n v="0"/>
    <n v="0"/>
    <x v="0"/>
    <m/>
    <m/>
    <m/>
    <m/>
    <s v="no test"/>
    <s v="no test"/>
    <x v="1"/>
    <n v="1"/>
    <n v="1"/>
    <n v="1"/>
    <n v="1183"/>
    <n v="0"/>
    <n v="0"/>
    <n v="1"/>
    <n v="1183"/>
    <n v="2.3660000000000001"/>
    <n v="0"/>
    <n v="0"/>
    <n v="0"/>
    <n v="2"/>
    <n v="65"/>
    <n v="0.32967032967032966"/>
    <n v="390"/>
    <n v="0.66948436179205417"/>
    <n v="132"/>
    <n v="197"/>
    <n v="0"/>
    <s v="N/A"/>
    <n v="500"/>
    <n v="0"/>
    <n v="0"/>
    <n v="0"/>
    <n v="0"/>
    <n v="0"/>
    <n v="1"/>
    <n v="0.42265426880811496"/>
    <n v="0"/>
    <n v="0"/>
    <n v="0"/>
    <n v="0"/>
    <n v="0"/>
    <n v="0"/>
    <n v="0"/>
    <n v="0"/>
    <x v="3"/>
    <x v="2"/>
    <x v="7"/>
    <x v="5"/>
    <n v="20.2302"/>
    <n v="92.817999999999998"/>
    <s v="196139"/>
    <x v="0"/>
    <m/>
  </r>
  <r>
    <x v="2"/>
    <x v="7"/>
    <x v="1"/>
    <x v="18"/>
    <x v="350"/>
    <n v="164"/>
    <n v="908"/>
    <m/>
    <s v="MHF"/>
    <d v="2018-09-13T00:00:00"/>
    <n v="0"/>
    <s v="No"/>
    <n v="0"/>
    <n v="0"/>
    <n v="20"/>
    <n v="35"/>
    <n v="0"/>
    <n v="0"/>
    <n v="0"/>
    <m/>
    <n v="0"/>
    <n v="0"/>
    <n v="0"/>
    <n v="0"/>
    <n v="0"/>
    <m/>
    <n v="48"/>
    <n v="0"/>
    <n v="0"/>
    <m/>
    <n v="0"/>
    <x v="1"/>
    <x v="1"/>
    <n v="0"/>
    <n v="0"/>
    <m/>
    <n v="0"/>
    <s v="Household"/>
    <n v="0"/>
    <n v="0"/>
    <n v="1"/>
    <n v="0"/>
    <n v="0"/>
    <x v="0"/>
    <m/>
    <m/>
    <m/>
    <m/>
    <s v="no test"/>
    <s v="no test"/>
    <x v="1"/>
    <n v="1"/>
    <n v="1"/>
    <n v="1"/>
    <n v="908"/>
    <n v="0"/>
    <n v="0"/>
    <n v="1"/>
    <n v="908"/>
    <n v="1.8160000000000001"/>
    <n v="0"/>
    <n v="0"/>
    <n v="0.18399999999999994"/>
    <n v="2"/>
    <n v="48"/>
    <n v="0.31718061674008813"/>
    <n v="288"/>
    <n v="0.68061674008810569"/>
    <n v="103"/>
    <n v="151"/>
    <n v="0"/>
    <s v="N/A"/>
    <n v="500"/>
    <n v="0"/>
    <n v="1"/>
    <n v="0"/>
    <n v="0"/>
    <n v="0"/>
    <n v="1"/>
    <n v="0.5506607929515418"/>
    <n v="0"/>
    <n v="0"/>
    <n v="0"/>
    <n v="0"/>
    <n v="0"/>
    <n v="0"/>
    <n v="0"/>
    <n v="0"/>
    <x v="3"/>
    <x v="2"/>
    <x v="7"/>
    <x v="5"/>
    <n v="20.212700000000002"/>
    <n v="92.820800000000006"/>
    <s v="196144"/>
    <x v="0"/>
    <m/>
  </r>
  <r>
    <x v="2"/>
    <x v="7"/>
    <x v="1"/>
    <x v="18"/>
    <x v="351"/>
    <n v="325"/>
    <n v="1857"/>
    <m/>
    <s v="MHF"/>
    <d v="2018-09-13T00:00:00"/>
    <n v="0"/>
    <s v="No"/>
    <n v="0"/>
    <n v="0"/>
    <n v="20"/>
    <n v="30"/>
    <n v="0"/>
    <n v="0"/>
    <n v="0"/>
    <m/>
    <n v="0"/>
    <n v="0"/>
    <n v="0"/>
    <n v="0"/>
    <n v="0"/>
    <m/>
    <n v="64"/>
    <n v="0"/>
    <n v="0"/>
    <m/>
    <n v="0"/>
    <x v="1"/>
    <x v="1"/>
    <n v="0"/>
    <n v="0"/>
    <m/>
    <n v="0"/>
    <s v="Household"/>
    <n v="0"/>
    <n v="0"/>
    <n v="1"/>
    <n v="0"/>
    <n v="0"/>
    <x v="0"/>
    <m/>
    <m/>
    <m/>
    <m/>
    <s v="no test"/>
    <s v="no test"/>
    <x v="1"/>
    <n v="1"/>
    <n v="1"/>
    <n v="1"/>
    <n v="1857"/>
    <n v="0"/>
    <n v="0"/>
    <n v="1"/>
    <n v="1857"/>
    <n v="3.714"/>
    <n v="0"/>
    <n v="0"/>
    <n v="0.28600000000000003"/>
    <n v="4"/>
    <n v="64"/>
    <n v="0.20678513731825526"/>
    <n v="384"/>
    <n v="0.79483037156704361"/>
    <n v="246"/>
    <n v="310"/>
    <n v="0"/>
    <s v="N/A"/>
    <n v="500"/>
    <n v="0"/>
    <n v="0"/>
    <n v="0"/>
    <n v="0"/>
    <n v="0"/>
    <n v="1"/>
    <n v="0.26925148088314488"/>
    <n v="0"/>
    <n v="0"/>
    <n v="0"/>
    <n v="0"/>
    <n v="0"/>
    <n v="0"/>
    <n v="0"/>
    <n v="0"/>
    <x v="3"/>
    <x v="2"/>
    <x v="7"/>
    <x v="5"/>
    <n v="20.219509124755898"/>
    <n v="92.811332702636705"/>
    <n v="196145"/>
    <x v="0"/>
    <m/>
  </r>
  <r>
    <x v="2"/>
    <x v="13"/>
    <x v="1"/>
    <x v="18"/>
    <x v="426"/>
    <n v="51"/>
    <n v="256"/>
    <m/>
    <m/>
    <m/>
    <m/>
    <m/>
    <m/>
    <m/>
    <n v="0"/>
    <n v="1"/>
    <m/>
    <m/>
    <m/>
    <m/>
    <m/>
    <m/>
    <m/>
    <m/>
    <m/>
    <m/>
    <n v="0"/>
    <m/>
    <m/>
    <m/>
    <m/>
    <x v="1"/>
    <x v="1"/>
    <m/>
    <m/>
    <m/>
    <m/>
    <m/>
    <m/>
    <m/>
    <m/>
    <m/>
    <m/>
    <x v="0"/>
    <m/>
    <m/>
    <m/>
    <m/>
    <s v="no test"/>
    <s v="no test"/>
    <x v="1"/>
    <n v="1"/>
    <n v="0.9765625"/>
    <n v="0.9765625"/>
    <n v="250"/>
    <n v="0"/>
    <n v="0"/>
    <n v="0.9765625"/>
    <n v="250"/>
    <n v="0.5"/>
    <n v="2.34375E-2"/>
    <n v="6"/>
    <n v="0.5"/>
    <n v="1"/>
    <n v="0"/>
    <n v="0"/>
    <n v="0"/>
    <n v="1"/>
    <n v="43"/>
    <n v="43"/>
    <n v="0"/>
    <s v="N/A"/>
    <n v="0"/>
    <n v="0"/>
    <n v="0"/>
    <n v="0"/>
    <n v="0"/>
    <n v="0"/>
    <n v="1"/>
    <n v="0"/>
    <n v="0"/>
    <n v="0"/>
    <n v="0"/>
    <n v="0"/>
    <n v="0"/>
    <n v="0"/>
    <n v="0"/>
    <n v="0"/>
    <x v="2"/>
    <x v="2"/>
    <x v="6"/>
    <x v="3"/>
    <n v="20.260789871215799"/>
    <n v="92.878593444824205"/>
    <n v="196178"/>
    <x v="0"/>
    <m/>
  </r>
  <r>
    <x v="2"/>
    <x v="30"/>
    <x v="1"/>
    <x v="18"/>
    <x v="344"/>
    <n v="673"/>
    <n v="3095"/>
    <m/>
    <s v="OFDA/UNICEF"/>
    <d v="2018-06-15T00:00:00"/>
    <n v="20"/>
    <s v="Yes"/>
    <n v="0"/>
    <n v="0"/>
    <n v="0"/>
    <n v="24"/>
    <n v="0"/>
    <n v="0"/>
    <m/>
    <m/>
    <n v="24"/>
    <n v="21"/>
    <n v="24"/>
    <n v="16"/>
    <m/>
    <m/>
    <n v="188"/>
    <n v="15"/>
    <n v="3"/>
    <m/>
    <n v="203"/>
    <x v="0"/>
    <x v="0"/>
    <m/>
    <m/>
    <s v="construction of latrines ongoing"/>
    <n v="0"/>
    <s v="Both"/>
    <n v="592"/>
    <n v="0"/>
    <n v="12"/>
    <n v="673"/>
    <n v="673"/>
    <x v="0"/>
    <m/>
    <m/>
    <m/>
    <m/>
    <n v="0.875"/>
    <n v="0.66666666666666663"/>
    <x v="0"/>
    <n v="1"/>
    <n v="1"/>
    <n v="1"/>
    <n v="3095"/>
    <n v="0"/>
    <n v="0"/>
    <n v="1"/>
    <n v="3095"/>
    <n v="6.19"/>
    <n v="0"/>
    <n v="0"/>
    <n v="0"/>
    <n v="6"/>
    <n v="203"/>
    <n v="1"/>
    <n v="3095"/>
    <n v="0"/>
    <n v="0"/>
    <n v="155"/>
    <n v="7.3891625615763554E-2"/>
    <n v="60"/>
    <n v="3095"/>
    <n v="1"/>
    <n v="1"/>
    <n v="1"/>
    <n v="3095"/>
    <n v="1"/>
    <n v="0"/>
    <n v="1"/>
    <n v="1"/>
    <n v="1"/>
    <n v="3365"/>
    <n v="3365"/>
    <n v="3365"/>
    <n v="0"/>
    <s v="Yes"/>
    <n v="0"/>
    <x v="1"/>
    <x v="0"/>
    <x v="9"/>
    <x v="5"/>
    <n v="20.206778"/>
    <n v="92.774193999999994"/>
    <s v="MMR012CMP098"/>
    <x v="0"/>
    <m/>
  </r>
  <r>
    <x v="2"/>
    <x v="17"/>
    <x v="1"/>
    <x v="18"/>
    <x v="353"/>
    <n v="200"/>
    <n v="1065"/>
    <n v="0"/>
    <s v="DFID/HARP"/>
    <d v="2020-09-30T00:00:00"/>
    <n v="0"/>
    <s v="No"/>
    <n v="0"/>
    <n v="0"/>
    <n v="0"/>
    <n v="0"/>
    <n v="0"/>
    <n v="2"/>
    <n v="0"/>
    <m/>
    <n v="0"/>
    <n v="0"/>
    <n v="0"/>
    <n v="0"/>
    <n v="0"/>
    <m/>
    <n v="0"/>
    <n v="0"/>
    <n v="0"/>
    <m/>
    <n v="0"/>
    <x v="0"/>
    <x v="2"/>
    <n v="0"/>
    <n v="0"/>
    <m/>
    <n v="0"/>
    <m/>
    <n v="0"/>
    <n v="0"/>
    <n v="0"/>
    <n v="0"/>
    <n v="0"/>
    <x v="0"/>
    <m/>
    <m/>
    <m/>
    <m/>
    <s v="no test"/>
    <s v="no test"/>
    <x v="1"/>
    <n v="0"/>
    <n v="0"/>
    <n v="0"/>
    <n v="0"/>
    <n v="0.46948356807511737"/>
    <n v="500"/>
    <n v="0.46948356807511737"/>
    <n v="500"/>
    <n v="1"/>
    <n v="0.53051643192488263"/>
    <n v="565"/>
    <n v="1"/>
    <n v="2"/>
    <n v="0"/>
    <n v="0"/>
    <n v="0"/>
    <n v="1"/>
    <n v="178"/>
    <n v="178"/>
    <n v="0"/>
    <s v="N/A"/>
    <n v="0"/>
    <n v="0"/>
    <n v="0"/>
    <n v="0"/>
    <n v="0"/>
    <n v="0"/>
    <n v="1"/>
    <n v="0"/>
    <n v="0"/>
    <n v="0"/>
    <n v="0"/>
    <n v="0"/>
    <n v="0"/>
    <n v="0"/>
    <n v="0"/>
    <n v="0"/>
    <x v="3"/>
    <x v="2"/>
    <x v="7"/>
    <x v="5"/>
    <n v="20.1975498199463"/>
    <n v="92.785682678222699"/>
    <s v="196156"/>
    <x v="0"/>
    <m/>
  </r>
  <r>
    <x v="2"/>
    <x v="17"/>
    <x v="1"/>
    <x v="18"/>
    <x v="347"/>
    <n v="2428"/>
    <n v="13302"/>
    <m/>
    <s v="DFID/HARP"/>
    <d v="2020-09-30T00:00:00"/>
    <n v="0"/>
    <s v="No"/>
    <n v="0"/>
    <n v="0"/>
    <n v="0"/>
    <n v="128"/>
    <m/>
    <n v="0"/>
    <n v="234"/>
    <m/>
    <n v="201"/>
    <n v="182"/>
    <n v="142"/>
    <n v="86"/>
    <n v="9"/>
    <m/>
    <n v="577"/>
    <n v="211"/>
    <n v="0"/>
    <m/>
    <n v="788"/>
    <x v="0"/>
    <x v="2"/>
    <n v="0"/>
    <n v="18"/>
    <m/>
    <n v="1"/>
    <s v="Household"/>
    <n v="2428"/>
    <n v="0"/>
    <n v="24"/>
    <n v="2428"/>
    <n v="2428"/>
    <x v="1"/>
    <m/>
    <m/>
    <m/>
    <m/>
    <n v="0.90547263681592038"/>
    <n v="0.60563380281690138"/>
    <x v="0"/>
    <n v="1"/>
    <n v="1"/>
    <n v="1"/>
    <n v="13302"/>
    <n v="0"/>
    <n v="0"/>
    <n v="1"/>
    <n v="13302"/>
    <n v="26.603999999999999"/>
    <n v="0"/>
    <n v="0"/>
    <n v="0.3960000000000008"/>
    <n v="27"/>
    <n v="788"/>
    <n v="0.86753871598255905"/>
    <n v="11540"/>
    <n v="0"/>
    <n v="0"/>
    <n v="665"/>
    <n v="0.26776649746192893"/>
    <n v="0"/>
    <n v="12000"/>
    <n v="1"/>
    <n v="1"/>
    <n v="1"/>
    <n v="13302"/>
    <n v="1"/>
    <n v="0"/>
    <n v="0.90211998195760035"/>
    <n v="1"/>
    <n v="1"/>
    <n v="12140"/>
    <n v="12140"/>
    <n v="12140"/>
    <n v="2428"/>
    <s v="Yes"/>
    <n v="0"/>
    <x v="1"/>
    <x v="0"/>
    <x v="9"/>
    <x v="5"/>
    <n v="20.18994"/>
    <n v="92.798880999999994"/>
    <s v="MMR012CMP115"/>
    <x v="0"/>
    <m/>
  </r>
  <r>
    <x v="2"/>
    <x v="18"/>
    <x v="1"/>
    <x v="18"/>
    <x v="352"/>
    <n v="2256"/>
    <n v="12121"/>
    <m/>
    <s v="ECHO"/>
    <d v="2018-10-31T00:00:00"/>
    <n v="0"/>
    <s v="No"/>
    <n v="0"/>
    <n v="0"/>
    <n v="0"/>
    <n v="82"/>
    <n v="0"/>
    <n v="0"/>
    <n v="73"/>
    <m/>
    <n v="118"/>
    <n v="85"/>
    <n v="0"/>
    <n v="0"/>
    <n v="0"/>
    <m/>
    <n v="608"/>
    <n v="76"/>
    <n v="109"/>
    <m/>
    <n v="0"/>
    <x v="0"/>
    <x v="0"/>
    <n v="0"/>
    <n v="0"/>
    <m/>
    <n v="0"/>
    <s v="Household"/>
    <n v="0"/>
    <n v="0"/>
    <n v="29"/>
    <n v="2256"/>
    <n v="2256"/>
    <x v="1"/>
    <m/>
    <m/>
    <m/>
    <m/>
    <n v="0.72033898305084743"/>
    <s v="no test"/>
    <x v="0"/>
    <n v="1"/>
    <n v="1"/>
    <n v="1"/>
    <n v="12121"/>
    <n v="0"/>
    <n v="0"/>
    <n v="1"/>
    <n v="12121"/>
    <n v="24.242000000000001"/>
    <n v="0"/>
    <n v="0"/>
    <n v="0"/>
    <n v="24"/>
    <n v="684"/>
    <n v="1"/>
    <n v="12121"/>
    <n v="0"/>
    <n v="0"/>
    <n v="606"/>
    <n v="0.1111111111111111"/>
    <n v="2180"/>
    <n v="12121"/>
    <n v="1"/>
    <n v="1"/>
    <n v="1"/>
    <n v="12121"/>
    <n v="1"/>
    <n v="0"/>
    <n v="1"/>
    <n v="1"/>
    <n v="1"/>
    <n v="11280"/>
    <n v="11280"/>
    <n v="11280"/>
    <n v="0"/>
    <s v="Yes"/>
    <n v="0"/>
    <x v="1"/>
    <x v="0"/>
    <x v="9"/>
    <x v="5"/>
    <n v="20.185092000000001"/>
    <n v="92.802295999999998"/>
    <s v="MMR012CMP116"/>
    <x v="0"/>
    <m/>
  </r>
  <r>
    <x v="2"/>
    <x v="13"/>
    <x v="1"/>
    <x v="18"/>
    <x v="427"/>
    <n v="8"/>
    <n v="49"/>
    <m/>
    <m/>
    <m/>
    <m/>
    <m/>
    <m/>
    <m/>
    <n v="0"/>
    <n v="2"/>
    <m/>
    <m/>
    <m/>
    <m/>
    <m/>
    <m/>
    <m/>
    <m/>
    <m/>
    <m/>
    <n v="0"/>
    <m/>
    <m/>
    <m/>
    <m/>
    <x v="1"/>
    <x v="1"/>
    <m/>
    <m/>
    <m/>
    <m/>
    <m/>
    <m/>
    <m/>
    <m/>
    <m/>
    <m/>
    <x v="0"/>
    <m/>
    <m/>
    <m/>
    <m/>
    <s v="no test"/>
    <s v="no test"/>
    <x v="1"/>
    <n v="1"/>
    <n v="1"/>
    <n v="1"/>
    <n v="49"/>
    <n v="0"/>
    <n v="0"/>
    <n v="1"/>
    <n v="49"/>
    <n v="9.8000000000000004E-2"/>
    <n v="0"/>
    <n v="0"/>
    <n v="0.90200000000000002"/>
    <n v="1"/>
    <n v="0"/>
    <n v="0"/>
    <n v="0"/>
    <n v="0.97959183673469397"/>
    <n v="8"/>
    <n v="8"/>
    <n v="0"/>
    <s v="N/A"/>
    <n v="0"/>
    <n v="0"/>
    <n v="0"/>
    <n v="0"/>
    <n v="0"/>
    <n v="0"/>
    <n v="1"/>
    <n v="0"/>
    <n v="0"/>
    <n v="0"/>
    <n v="0"/>
    <n v="0"/>
    <n v="0"/>
    <n v="0"/>
    <n v="0"/>
    <n v="0"/>
    <x v="2"/>
    <x v="2"/>
    <x v="6"/>
    <x v="5"/>
    <n v="20.204370498657202"/>
    <n v="92.780357360839801"/>
    <n v="196158"/>
    <x v="0"/>
    <m/>
  </r>
  <r>
    <x v="2"/>
    <x v="2"/>
    <x v="1"/>
    <x v="18"/>
    <x v="356"/>
    <n v="87"/>
    <n v="447"/>
    <m/>
    <m/>
    <m/>
    <m/>
    <s v="No"/>
    <n v="0"/>
    <n v="0"/>
    <n v="2"/>
    <n v="4"/>
    <n v="0"/>
    <n v="0"/>
    <n v="0"/>
    <m/>
    <m/>
    <m/>
    <m/>
    <m/>
    <m/>
    <s v="No WASH actor"/>
    <n v="72"/>
    <n v="0"/>
    <m/>
    <m/>
    <n v="0"/>
    <x v="3"/>
    <x v="2"/>
    <m/>
    <m/>
    <m/>
    <n v="0"/>
    <m/>
    <n v="0"/>
    <n v="0"/>
    <n v="0"/>
    <m/>
    <m/>
    <x v="0"/>
    <m/>
    <m/>
    <m/>
    <m/>
    <s v="no test"/>
    <s v="no test"/>
    <x v="1"/>
    <n v="1"/>
    <n v="1"/>
    <n v="1"/>
    <n v="447"/>
    <n v="0"/>
    <n v="0"/>
    <n v="1"/>
    <n v="447"/>
    <n v="0.89400000000000002"/>
    <n v="0"/>
    <n v="0"/>
    <n v="0.10599999999999998"/>
    <n v="1"/>
    <n v="72"/>
    <n v="0.96644295302013428"/>
    <n v="432"/>
    <n v="4.0268456375838924E-2"/>
    <n v="3"/>
    <n v="75"/>
    <n v="0"/>
    <s v="N/A"/>
    <n v="0"/>
    <n v="0"/>
    <n v="0"/>
    <n v="0"/>
    <n v="0"/>
    <n v="0"/>
    <n v="1"/>
    <n v="0"/>
    <n v="0"/>
    <n v="0"/>
    <n v="0"/>
    <n v="0"/>
    <n v="0"/>
    <n v="0"/>
    <n v="0"/>
    <n v="0"/>
    <x v="3"/>
    <x v="2"/>
    <x v="7"/>
    <x v="5"/>
    <n v="0"/>
    <n v="0"/>
    <n v="0"/>
    <x v="1"/>
    <m/>
  </r>
  <r>
    <x v="2"/>
    <x v="18"/>
    <x v="1"/>
    <x v="18"/>
    <x v="354"/>
    <n v="400"/>
    <n v="2187"/>
    <m/>
    <s v="ECHO"/>
    <d v="2018-10-31T00:00:00"/>
    <n v="0"/>
    <s v="No"/>
    <n v="0"/>
    <n v="0"/>
    <n v="0"/>
    <n v="28"/>
    <n v="0"/>
    <n v="0"/>
    <n v="0"/>
    <m/>
    <m/>
    <m/>
    <m/>
    <m/>
    <m/>
    <m/>
    <n v="98"/>
    <n v="0"/>
    <n v="65"/>
    <m/>
    <n v="0"/>
    <x v="0"/>
    <x v="0"/>
    <m/>
    <m/>
    <m/>
    <n v="0"/>
    <s v="Household"/>
    <n v="0"/>
    <n v="0"/>
    <n v="9"/>
    <n v="400"/>
    <n v="400"/>
    <x v="1"/>
    <m/>
    <m/>
    <m/>
    <m/>
    <s v="no test"/>
    <s v="no test"/>
    <x v="1"/>
    <n v="1"/>
    <n v="1"/>
    <n v="1"/>
    <n v="2187"/>
    <n v="0"/>
    <n v="0"/>
    <n v="1"/>
    <n v="2187"/>
    <n v="4.3739999999999997"/>
    <n v="0"/>
    <n v="0"/>
    <n v="0"/>
    <n v="4"/>
    <n v="98"/>
    <n v="0.89620484682213075"/>
    <n v="1960"/>
    <n v="0.1005944215820759"/>
    <n v="11"/>
    <n v="109"/>
    <n v="0"/>
    <n v="1300"/>
    <n v="2187"/>
    <n v="1"/>
    <n v="1"/>
    <n v="1"/>
    <n v="2187"/>
    <n v="1"/>
    <n v="0"/>
    <n v="1"/>
    <n v="1"/>
    <n v="1"/>
    <n v="2000"/>
    <n v="2000"/>
    <n v="2000"/>
    <n v="0"/>
    <n v="0"/>
    <n v="0"/>
    <x v="1"/>
    <x v="0"/>
    <x v="3"/>
    <x v="5"/>
    <n v="20.207284999999999"/>
    <n v="92.788177000000005"/>
    <s v="MMR012CMP044"/>
    <x v="0"/>
    <m/>
  </r>
  <r>
    <x v="2"/>
    <x v="30"/>
    <x v="1"/>
    <x v="18"/>
    <x v="359"/>
    <n v="249"/>
    <n v="1362"/>
    <m/>
    <s v="OFDA/UNICEF"/>
    <d v="2018-06-15T00:00:00"/>
    <n v="20"/>
    <s v="Yes"/>
    <n v="0"/>
    <n v="0"/>
    <n v="0"/>
    <n v="15"/>
    <n v="0"/>
    <n v="1"/>
    <n v="17"/>
    <m/>
    <n v="13"/>
    <n v="11"/>
    <n v="13"/>
    <n v="9"/>
    <m/>
    <m/>
    <n v="249"/>
    <n v="0"/>
    <m/>
    <m/>
    <n v="249"/>
    <x v="4"/>
    <x v="0"/>
    <m/>
    <m/>
    <m/>
    <n v="0"/>
    <s v="Household"/>
    <n v="0"/>
    <n v="0"/>
    <n v="4"/>
    <n v="249"/>
    <n v="249"/>
    <x v="0"/>
    <m/>
    <m/>
    <m/>
    <m/>
    <n v="0.84615384615384615"/>
    <n v="0.69230769230769229"/>
    <x v="0"/>
    <n v="1"/>
    <n v="1"/>
    <n v="1"/>
    <n v="1362"/>
    <n v="0.18355359765051396"/>
    <n v="250.00000000000003"/>
    <n v="1"/>
    <n v="1362"/>
    <n v="2.7240000000000002"/>
    <n v="0"/>
    <n v="0"/>
    <n v="0.2759999999999998"/>
    <n v="3"/>
    <n v="249"/>
    <n v="1"/>
    <n v="1362"/>
    <n v="0"/>
    <n v="0"/>
    <n v="227"/>
    <n v="0"/>
    <s v="N/A"/>
    <n v="1362"/>
    <n v="1"/>
    <n v="1"/>
    <n v="1"/>
    <n v="1362"/>
    <n v="1"/>
    <n v="0"/>
    <n v="1"/>
    <n v="1"/>
    <n v="1"/>
    <n v="1245"/>
    <n v="1245"/>
    <n v="1245"/>
    <n v="0"/>
    <n v="0"/>
    <n v="0"/>
    <x v="3"/>
    <x v="2"/>
    <x v="8"/>
    <x v="3"/>
    <n v="20.151471999999998"/>
    <n v="92.887277999999995"/>
    <s v="MMR012CMP111"/>
    <x v="0"/>
    <m/>
  </r>
  <r>
    <x v="2"/>
    <x v="17"/>
    <x v="1"/>
    <x v="18"/>
    <x v="360"/>
    <n v="420"/>
    <n v="1984"/>
    <n v="0"/>
    <s v="DFID/HARP"/>
    <d v="2020-09-30T00:00:00"/>
    <n v="0"/>
    <s v="No"/>
    <n v="0"/>
    <n v="0"/>
    <n v="0"/>
    <n v="0"/>
    <n v="0"/>
    <n v="1"/>
    <n v="0"/>
    <m/>
    <n v="0"/>
    <n v="0"/>
    <n v="0"/>
    <n v="0"/>
    <n v="0"/>
    <m/>
    <n v="420"/>
    <n v="0"/>
    <n v="0"/>
    <m/>
    <n v="420"/>
    <x v="0"/>
    <x v="2"/>
    <n v="0"/>
    <n v="0"/>
    <m/>
    <n v="1"/>
    <s v="Household"/>
    <n v="420"/>
    <n v="0"/>
    <n v="1"/>
    <n v="0"/>
    <n v="0"/>
    <x v="0"/>
    <m/>
    <m/>
    <m/>
    <m/>
    <s v="no test"/>
    <s v="no test"/>
    <x v="1"/>
    <n v="0"/>
    <n v="0"/>
    <n v="0"/>
    <n v="0"/>
    <n v="0.12600806451612903"/>
    <n v="250"/>
    <n v="0.12600806451612903"/>
    <n v="250"/>
    <n v="0.5"/>
    <n v="0.873991935483871"/>
    <n v="1734"/>
    <n v="3.5"/>
    <n v="4"/>
    <n v="420"/>
    <n v="1"/>
    <n v="1984"/>
    <n v="0"/>
    <n v="0"/>
    <n v="331"/>
    <n v="0"/>
    <s v="N/A"/>
    <n v="500"/>
    <n v="0"/>
    <n v="0"/>
    <n v="0"/>
    <n v="0"/>
    <n v="0"/>
    <n v="1"/>
    <n v="0.25201612903225806"/>
    <n v="0"/>
    <n v="0"/>
    <n v="0"/>
    <n v="0"/>
    <n v="0"/>
    <n v="420"/>
    <n v="0"/>
    <n v="0"/>
    <x v="3"/>
    <x v="2"/>
    <x v="8"/>
    <x v="3"/>
    <n v="20.151471999999998"/>
    <n v="92.887277999999995"/>
    <s v="MMR012CMP112"/>
    <x v="0"/>
    <m/>
  </r>
  <r>
    <x v="2"/>
    <x v="17"/>
    <x v="1"/>
    <x v="18"/>
    <x v="355"/>
    <n v="2280"/>
    <n v="11564"/>
    <n v="0"/>
    <s v="DFID/HARP"/>
    <d v="2020-09-30T00:00:00"/>
    <n v="0"/>
    <s v="No"/>
    <n v="0"/>
    <n v="0"/>
    <n v="0"/>
    <n v="172"/>
    <n v="0"/>
    <n v="0"/>
    <n v="196"/>
    <m/>
    <n v="211"/>
    <n v="198"/>
    <n v="204"/>
    <n v="156"/>
    <n v="13"/>
    <m/>
    <n v="505"/>
    <n v="11"/>
    <n v="0"/>
    <m/>
    <n v="516"/>
    <x v="0"/>
    <x v="2"/>
    <n v="0"/>
    <n v="26"/>
    <m/>
    <n v="1"/>
    <s v="Household"/>
    <n v="2280"/>
    <n v="0"/>
    <n v="26"/>
    <n v="2280"/>
    <n v="2280"/>
    <x v="1"/>
    <m/>
    <m/>
    <m/>
    <m/>
    <n v="0.93838862559241709"/>
    <n v="0.76470588235294112"/>
    <x v="0"/>
    <n v="1"/>
    <n v="1"/>
    <n v="1"/>
    <n v="11564"/>
    <n v="0"/>
    <n v="0"/>
    <n v="1"/>
    <n v="11564"/>
    <n v="23.128"/>
    <n v="0"/>
    <n v="0"/>
    <n v="0"/>
    <n v="23"/>
    <n v="516"/>
    <n v="0.8734002075406434"/>
    <n v="10100"/>
    <n v="0.10722933241093047"/>
    <n v="62"/>
    <n v="578"/>
    <n v="2.1317829457364341E-2"/>
    <n v="0"/>
    <n v="11564"/>
    <n v="1"/>
    <n v="1"/>
    <n v="1"/>
    <n v="11564"/>
    <n v="1"/>
    <n v="0"/>
    <n v="1"/>
    <n v="1"/>
    <n v="1"/>
    <n v="11400"/>
    <n v="11400"/>
    <n v="11400"/>
    <n v="2280"/>
    <s v="Yes"/>
    <n v="0"/>
    <x v="1"/>
    <x v="0"/>
    <x v="9"/>
    <x v="5"/>
    <n v="20.202525000000001"/>
    <n v="92.792479999999998"/>
    <s v="MMR012CMP045"/>
    <x v="0"/>
    <m/>
  </r>
  <r>
    <x v="2"/>
    <x v="17"/>
    <x v="1"/>
    <x v="18"/>
    <x v="362"/>
    <n v="235"/>
    <n v="1390"/>
    <n v="0"/>
    <s v="DFID/HARP"/>
    <d v="2020-09-30T00:00:00"/>
    <n v="0"/>
    <s v="No"/>
    <n v="0"/>
    <n v="0"/>
    <n v="0"/>
    <n v="10"/>
    <n v="0"/>
    <n v="0"/>
    <n v="0"/>
    <m/>
    <n v="0"/>
    <n v="0"/>
    <n v="0"/>
    <n v="0"/>
    <n v="0"/>
    <m/>
    <n v="0"/>
    <n v="0"/>
    <n v="0"/>
    <m/>
    <n v="0"/>
    <x v="0"/>
    <x v="2"/>
    <n v="0"/>
    <n v="0"/>
    <m/>
    <n v="1"/>
    <s v="Household"/>
    <n v="235"/>
    <n v="0"/>
    <n v="1"/>
    <n v="0"/>
    <n v="0"/>
    <x v="0"/>
    <m/>
    <m/>
    <m/>
    <m/>
    <s v="no test"/>
    <s v="no test"/>
    <x v="1"/>
    <n v="1"/>
    <n v="1"/>
    <n v="1"/>
    <n v="1390"/>
    <n v="0"/>
    <n v="0"/>
    <n v="1"/>
    <n v="1390"/>
    <n v="2.78"/>
    <n v="0"/>
    <n v="0"/>
    <n v="0.2200000000000002"/>
    <n v="3"/>
    <n v="0"/>
    <n v="0"/>
    <n v="0"/>
    <n v="1"/>
    <n v="232"/>
    <n v="232"/>
    <n v="0"/>
    <s v="N/A"/>
    <n v="500"/>
    <n v="0"/>
    <n v="0"/>
    <n v="0"/>
    <n v="0"/>
    <n v="0"/>
    <n v="1"/>
    <n v="0.35971223021582732"/>
    <n v="0"/>
    <n v="0"/>
    <n v="0"/>
    <n v="0"/>
    <n v="0"/>
    <n v="235"/>
    <n v="0"/>
    <n v="0"/>
    <x v="3"/>
    <x v="2"/>
    <x v="7"/>
    <x v="5"/>
    <n v="20.201499999999999"/>
    <n v="92.796599999999998"/>
    <n v="196154"/>
    <x v="0"/>
    <m/>
  </r>
  <r>
    <x v="2"/>
    <x v="17"/>
    <x v="1"/>
    <x v="18"/>
    <x v="363"/>
    <n v="92"/>
    <n v="469"/>
    <n v="0"/>
    <s v="DFID/HARP"/>
    <d v="2020-09-30T00:00:00"/>
    <n v="0"/>
    <s v="No"/>
    <n v="0"/>
    <n v="0"/>
    <n v="12"/>
    <n v="7"/>
    <n v="0"/>
    <n v="0"/>
    <n v="0"/>
    <m/>
    <n v="0"/>
    <n v="0"/>
    <n v="0"/>
    <n v="0"/>
    <n v="0"/>
    <m/>
    <n v="0"/>
    <n v="0"/>
    <n v="0"/>
    <m/>
    <n v="0"/>
    <x v="0"/>
    <x v="2"/>
    <n v="0"/>
    <n v="0"/>
    <m/>
    <n v="1"/>
    <s v="Household"/>
    <n v="92"/>
    <n v="0"/>
    <n v="1"/>
    <n v="0"/>
    <n v="0"/>
    <x v="0"/>
    <m/>
    <m/>
    <m/>
    <m/>
    <s v="no test"/>
    <s v="no test"/>
    <x v="1"/>
    <n v="1"/>
    <n v="1"/>
    <n v="1"/>
    <n v="469"/>
    <n v="0"/>
    <n v="0"/>
    <n v="1"/>
    <n v="469"/>
    <n v="0.93799999999999994"/>
    <n v="0"/>
    <n v="0"/>
    <n v="6.2000000000000055E-2"/>
    <n v="1"/>
    <n v="0"/>
    <n v="0"/>
    <n v="0"/>
    <n v="0.99786780383795304"/>
    <n v="78"/>
    <n v="78"/>
    <n v="0"/>
    <s v="N/A"/>
    <n v="469"/>
    <n v="0"/>
    <n v="1"/>
    <n v="0"/>
    <n v="0"/>
    <n v="0"/>
    <n v="1"/>
    <n v="1"/>
    <n v="0"/>
    <n v="0"/>
    <n v="0"/>
    <n v="0"/>
    <n v="0"/>
    <n v="92"/>
    <n v="0"/>
    <n v="0"/>
    <x v="3"/>
    <x v="2"/>
    <x v="7"/>
    <x v="5"/>
    <n v="20.191719055175799"/>
    <n v="92.808166503906307"/>
    <s v="196155"/>
    <x v="0"/>
    <m/>
  </r>
  <r>
    <x v="2"/>
    <x v="17"/>
    <x v="1"/>
    <x v="18"/>
    <x v="364"/>
    <n v="72"/>
    <n v="447"/>
    <n v="0"/>
    <s v="DFID/HARP"/>
    <d v="2020-09-30T00:00:00"/>
    <n v="0"/>
    <s v="No"/>
    <n v="0"/>
    <n v="0"/>
    <n v="0"/>
    <n v="0"/>
    <n v="0"/>
    <n v="1"/>
    <n v="0"/>
    <m/>
    <n v="0"/>
    <n v="0"/>
    <n v="0"/>
    <n v="0"/>
    <n v="0"/>
    <m/>
    <n v="72"/>
    <n v="0"/>
    <n v="0"/>
    <m/>
    <n v="0"/>
    <x v="0"/>
    <x v="2"/>
    <n v="0"/>
    <n v="0"/>
    <m/>
    <n v="1"/>
    <s v="Household"/>
    <n v="72"/>
    <n v="0"/>
    <n v="1"/>
    <n v="0"/>
    <n v="0"/>
    <x v="0"/>
    <m/>
    <m/>
    <m/>
    <m/>
    <s v="no test"/>
    <s v="no test"/>
    <x v="1"/>
    <n v="0"/>
    <n v="0"/>
    <n v="0"/>
    <n v="0"/>
    <n v="0.5592841163310962"/>
    <n v="250"/>
    <n v="0.5592841163310962"/>
    <n v="250"/>
    <n v="0.5"/>
    <n v="0.4407158836689038"/>
    <n v="197"/>
    <n v="0.5"/>
    <n v="1"/>
    <n v="72"/>
    <n v="0.96644295302013428"/>
    <n v="432"/>
    <n v="4.0268456375838924E-2"/>
    <n v="3"/>
    <n v="75"/>
    <n v="0"/>
    <s v="N/A"/>
    <n v="447"/>
    <n v="0"/>
    <n v="1"/>
    <n v="0"/>
    <n v="0"/>
    <n v="0"/>
    <n v="1"/>
    <n v="1"/>
    <n v="0"/>
    <n v="0"/>
    <n v="0"/>
    <n v="0"/>
    <n v="0"/>
    <n v="72"/>
    <n v="0"/>
    <n v="0"/>
    <x v="3"/>
    <x v="2"/>
    <x v="8"/>
    <x v="12"/>
    <n v="20.148584"/>
    <n v="92.880319999999998"/>
    <s v="MMR012CMP056"/>
    <x v="0"/>
    <m/>
  </r>
  <r>
    <x v="2"/>
    <x v="17"/>
    <x v="1"/>
    <x v="18"/>
    <x v="365"/>
    <n v="152"/>
    <n v="614"/>
    <n v="0"/>
    <s v="DFID/HARP"/>
    <d v="2020-09-30T00:00:00"/>
    <n v="0"/>
    <s v="No"/>
    <n v="0"/>
    <n v="0"/>
    <n v="0"/>
    <n v="12"/>
    <n v="0"/>
    <n v="0"/>
    <n v="0"/>
    <m/>
    <n v="0"/>
    <n v="0"/>
    <n v="0"/>
    <n v="0"/>
    <n v="0"/>
    <m/>
    <n v="152"/>
    <n v="0"/>
    <n v="0"/>
    <m/>
    <n v="0"/>
    <x v="0"/>
    <x v="2"/>
    <n v="0"/>
    <n v="0"/>
    <m/>
    <n v="1"/>
    <s v="Household"/>
    <n v="152"/>
    <n v="0"/>
    <n v="1"/>
    <n v="0"/>
    <n v="0"/>
    <x v="0"/>
    <m/>
    <m/>
    <m/>
    <m/>
    <s v="no test"/>
    <s v="no test"/>
    <x v="1"/>
    <n v="1"/>
    <n v="1"/>
    <n v="1"/>
    <n v="614"/>
    <n v="0"/>
    <n v="0"/>
    <n v="1"/>
    <n v="614"/>
    <n v="1.228"/>
    <n v="0"/>
    <n v="0"/>
    <n v="0"/>
    <n v="1"/>
    <n v="152"/>
    <n v="1"/>
    <n v="614"/>
    <n v="0"/>
    <n v="0"/>
    <n v="102"/>
    <n v="0"/>
    <s v="N/A"/>
    <n v="500"/>
    <n v="0"/>
    <n v="1"/>
    <n v="0"/>
    <n v="0"/>
    <n v="0"/>
    <n v="1"/>
    <n v="0.81433224755700329"/>
    <n v="0"/>
    <n v="0"/>
    <n v="0"/>
    <n v="0"/>
    <n v="0"/>
    <n v="152"/>
    <n v="0"/>
    <n v="0"/>
    <x v="3"/>
    <x v="2"/>
    <x v="8"/>
    <x v="3"/>
    <n v="20.155805999999998"/>
    <n v="92.879138999999995"/>
    <s v="MMR012CMP093"/>
    <x v="0"/>
    <m/>
  </r>
  <r>
    <x v="2"/>
    <x v="0"/>
    <x v="1"/>
    <x v="18"/>
    <x v="367"/>
    <n v="2286"/>
    <n v="12202"/>
    <m/>
    <s v="HARP"/>
    <d v="2020-09-30T00:00:00"/>
    <n v="0"/>
    <s v="No"/>
    <n v="0"/>
    <n v="0"/>
    <n v="0"/>
    <n v="48"/>
    <n v="0"/>
    <n v="0"/>
    <n v="48"/>
    <m/>
    <n v="0"/>
    <n v="0"/>
    <n v="0"/>
    <n v="0"/>
    <n v="0"/>
    <m/>
    <n v="243"/>
    <n v="21"/>
    <n v="50"/>
    <m/>
    <n v="240"/>
    <x v="0"/>
    <x v="0"/>
    <n v="0"/>
    <n v="0"/>
    <m/>
    <n v="0"/>
    <s v="Household"/>
    <n v="0"/>
    <n v="0"/>
    <n v="8"/>
    <n v="1135"/>
    <n v="1895"/>
    <x v="0"/>
    <m/>
    <m/>
    <m/>
    <m/>
    <s v="no test"/>
    <s v="no test"/>
    <x v="1"/>
    <n v="1"/>
    <n v="0.98344533683002788"/>
    <n v="1"/>
    <n v="12202"/>
    <n v="0"/>
    <n v="0"/>
    <n v="1"/>
    <n v="12202"/>
    <n v="24.404"/>
    <n v="0"/>
    <n v="0"/>
    <n v="0"/>
    <n v="24"/>
    <n v="264"/>
    <n v="0.39829536141616129"/>
    <n v="4860"/>
    <n v="0.56712014423864943"/>
    <n v="346"/>
    <n v="610"/>
    <n v="7.9545454545454544E-2"/>
    <n v="1000"/>
    <n v="4000"/>
    <n v="0"/>
    <n v="0"/>
    <n v="0"/>
    <n v="0"/>
    <n v="0"/>
    <n v="1"/>
    <n v="0.32781511227667598"/>
    <n v="0.49650043744531935"/>
    <n v="0.82895888013998253"/>
    <n v="5675"/>
    <n v="9475"/>
    <n v="9475"/>
    <n v="0"/>
    <s v="Yes"/>
    <n v="0"/>
    <x v="1"/>
    <x v="0"/>
    <x v="12"/>
    <x v="5"/>
    <n v="20.1585"/>
    <n v="92.839416999999997"/>
    <s v="MMR012CMP046"/>
    <x v="0"/>
    <m/>
  </r>
  <r>
    <x v="2"/>
    <x v="0"/>
    <x v="1"/>
    <x v="18"/>
    <x v="368"/>
    <n v="150"/>
    <n v="745"/>
    <m/>
    <s v="HARP"/>
    <d v="2020-09-30T00:00:00"/>
    <n v="0"/>
    <s v="No"/>
    <n v="0"/>
    <n v="0"/>
    <n v="0"/>
    <n v="10"/>
    <n v="0"/>
    <n v="0"/>
    <n v="10"/>
    <m/>
    <n v="0"/>
    <n v="0"/>
    <n v="0"/>
    <n v="0"/>
    <n v="0"/>
    <m/>
    <n v="0"/>
    <n v="0"/>
    <n v="0"/>
    <m/>
    <n v="0"/>
    <x v="4"/>
    <x v="4"/>
    <n v="0"/>
    <n v="0"/>
    <m/>
    <n v="0"/>
    <s v="Household"/>
    <n v="0"/>
    <n v="0"/>
    <n v="1"/>
    <n v="0"/>
    <n v="0"/>
    <x v="0"/>
    <m/>
    <m/>
    <m/>
    <m/>
    <s v="no test"/>
    <s v="no test"/>
    <x v="1"/>
    <n v="1"/>
    <n v="1"/>
    <n v="1"/>
    <n v="745"/>
    <n v="0"/>
    <n v="0"/>
    <n v="1"/>
    <n v="745"/>
    <n v="1.49"/>
    <n v="0"/>
    <n v="0"/>
    <n v="0"/>
    <n v="1"/>
    <n v="0"/>
    <n v="0"/>
    <n v="0"/>
    <n v="0.99865771812080528"/>
    <n v="124"/>
    <n v="124"/>
    <n v="0"/>
    <s v="N/A"/>
    <n v="500"/>
    <n v="0"/>
    <n v="1"/>
    <n v="0"/>
    <n v="0"/>
    <n v="0"/>
    <n v="1"/>
    <n v="0.67114093959731547"/>
    <n v="0"/>
    <n v="0"/>
    <n v="0"/>
    <n v="0"/>
    <n v="0"/>
    <n v="0"/>
    <n v="0"/>
    <n v="0"/>
    <x v="3"/>
    <x v="2"/>
    <x v="7"/>
    <x v="3"/>
    <n v="20.162599563598601"/>
    <n v="92.834457397460895"/>
    <s v="196210"/>
    <x v="0"/>
    <m/>
  </r>
  <r>
    <x v="2"/>
    <x v="13"/>
    <x v="1"/>
    <x v="18"/>
    <x v="369"/>
    <n v="8"/>
    <n v="44"/>
    <m/>
    <m/>
    <m/>
    <m/>
    <m/>
    <m/>
    <m/>
    <n v="0"/>
    <n v="1"/>
    <m/>
    <m/>
    <m/>
    <m/>
    <m/>
    <m/>
    <m/>
    <m/>
    <m/>
    <m/>
    <n v="0"/>
    <m/>
    <m/>
    <m/>
    <m/>
    <x v="1"/>
    <x v="1"/>
    <m/>
    <m/>
    <m/>
    <m/>
    <m/>
    <m/>
    <m/>
    <m/>
    <m/>
    <m/>
    <x v="0"/>
    <m/>
    <m/>
    <m/>
    <m/>
    <s v="no test"/>
    <s v="no test"/>
    <x v="1"/>
    <n v="1"/>
    <n v="1"/>
    <n v="1"/>
    <n v="44"/>
    <n v="0"/>
    <n v="0"/>
    <n v="1"/>
    <n v="44"/>
    <n v="8.7999999999999995E-2"/>
    <n v="0"/>
    <n v="0"/>
    <n v="0.91200000000000003"/>
    <n v="1"/>
    <n v="0"/>
    <n v="0"/>
    <n v="0"/>
    <n v="0.95454545454545459"/>
    <n v="7"/>
    <n v="7"/>
    <n v="0"/>
    <s v="N/A"/>
    <n v="0"/>
    <n v="0"/>
    <n v="0"/>
    <n v="0"/>
    <n v="0"/>
    <n v="0"/>
    <n v="1"/>
    <n v="0"/>
    <n v="0"/>
    <n v="0"/>
    <n v="0"/>
    <n v="0"/>
    <n v="0"/>
    <n v="0"/>
    <n v="0"/>
    <n v="0"/>
    <x v="2"/>
    <x v="2"/>
    <x v="6"/>
    <x v="5"/>
    <n v="0"/>
    <n v="0"/>
    <n v="0"/>
    <x v="0"/>
    <m/>
  </r>
  <r>
    <x v="2"/>
    <x v="2"/>
    <x v="1"/>
    <x v="18"/>
    <x v="370"/>
    <n v="251"/>
    <n v="1820"/>
    <m/>
    <m/>
    <m/>
    <m/>
    <s v="No"/>
    <n v="0"/>
    <n v="0"/>
    <n v="0"/>
    <n v="33"/>
    <n v="0"/>
    <n v="0"/>
    <n v="0"/>
    <m/>
    <m/>
    <m/>
    <m/>
    <m/>
    <m/>
    <m/>
    <n v="0"/>
    <n v="0"/>
    <m/>
    <m/>
    <n v="0"/>
    <x v="1"/>
    <x v="1"/>
    <m/>
    <m/>
    <m/>
    <n v="0"/>
    <s v="Household"/>
    <n v="0"/>
    <n v="0"/>
    <n v="1"/>
    <m/>
    <m/>
    <x v="0"/>
    <m/>
    <m/>
    <m/>
    <m/>
    <s v="no test"/>
    <s v="no test"/>
    <x v="1"/>
    <n v="1"/>
    <n v="1"/>
    <n v="1"/>
    <n v="1820"/>
    <n v="0"/>
    <n v="0"/>
    <n v="1"/>
    <n v="1820"/>
    <n v="3.64"/>
    <n v="0"/>
    <n v="0"/>
    <n v="0.35999999999999988"/>
    <n v="4"/>
    <n v="0"/>
    <n v="0"/>
    <n v="0"/>
    <n v="0.99890109890109902"/>
    <n v="303"/>
    <n v="303"/>
    <n v="0"/>
    <s v="N/A"/>
    <n v="500"/>
    <n v="0"/>
    <n v="0"/>
    <n v="0"/>
    <n v="0"/>
    <n v="0"/>
    <n v="1"/>
    <n v="0.27472527472527475"/>
    <n v="0"/>
    <n v="0"/>
    <n v="0"/>
    <n v="0"/>
    <n v="0"/>
    <n v="0"/>
    <n v="0"/>
    <n v="0"/>
    <x v="3"/>
    <x v="2"/>
    <x v="7"/>
    <x v="5"/>
    <n v="20.1573600769043"/>
    <n v="92.838653564453097"/>
    <n v="196211"/>
    <x v="1"/>
    <m/>
  </r>
  <r>
    <x v="2"/>
    <x v="0"/>
    <x v="1"/>
    <x v="18"/>
    <x v="371"/>
    <n v="198"/>
    <n v="1131"/>
    <m/>
    <s v="HARP"/>
    <d v="2020-09-30T00:00:00"/>
    <n v="0"/>
    <s v="No"/>
    <n v="0"/>
    <n v="0"/>
    <n v="0"/>
    <n v="18"/>
    <n v="0"/>
    <n v="0"/>
    <n v="18"/>
    <m/>
    <n v="0"/>
    <n v="0"/>
    <n v="0"/>
    <n v="0"/>
    <n v="0"/>
    <m/>
    <n v="0"/>
    <n v="0"/>
    <n v="0"/>
    <m/>
    <n v="0"/>
    <x v="4"/>
    <x v="4"/>
    <n v="0"/>
    <n v="0"/>
    <m/>
    <n v="0"/>
    <s v="Household"/>
    <n v="0"/>
    <n v="0"/>
    <n v="2"/>
    <n v="586"/>
    <n v="586"/>
    <x v="0"/>
    <m/>
    <m/>
    <m/>
    <m/>
    <s v="no test"/>
    <s v="no test"/>
    <x v="1"/>
    <n v="1"/>
    <n v="1"/>
    <n v="1"/>
    <n v="1131"/>
    <n v="0"/>
    <n v="0"/>
    <n v="1"/>
    <n v="1131"/>
    <n v="2.262"/>
    <n v="0"/>
    <n v="0"/>
    <n v="0"/>
    <n v="2"/>
    <n v="0"/>
    <n v="0"/>
    <n v="0"/>
    <n v="1"/>
    <n v="189"/>
    <n v="189"/>
    <n v="0"/>
    <s v="N/A"/>
    <n v="1000"/>
    <n v="1"/>
    <n v="1"/>
    <n v="1"/>
    <n v="1131"/>
    <n v="1"/>
    <n v="0"/>
    <n v="0.88417329796640143"/>
    <n v="1"/>
    <n v="1"/>
    <n v="2930"/>
    <n v="2930"/>
    <n v="2930"/>
    <n v="0"/>
    <n v="0"/>
    <n v="0"/>
    <x v="3"/>
    <x v="2"/>
    <x v="7"/>
    <x v="5"/>
    <n v="20.148910522460898"/>
    <n v="92.846160888671903"/>
    <s v="196209"/>
    <x v="0"/>
    <m/>
  </r>
  <r>
    <x v="2"/>
    <x v="13"/>
    <x v="1"/>
    <x v="18"/>
    <x v="372"/>
    <n v="17"/>
    <n v="86"/>
    <m/>
    <m/>
    <m/>
    <m/>
    <m/>
    <m/>
    <m/>
    <n v="0"/>
    <n v="1"/>
    <m/>
    <m/>
    <m/>
    <m/>
    <m/>
    <m/>
    <m/>
    <m/>
    <m/>
    <m/>
    <n v="0"/>
    <m/>
    <m/>
    <m/>
    <m/>
    <x v="1"/>
    <x v="1"/>
    <m/>
    <m/>
    <m/>
    <m/>
    <m/>
    <m/>
    <m/>
    <m/>
    <m/>
    <m/>
    <x v="0"/>
    <m/>
    <m/>
    <m/>
    <m/>
    <s v="no test"/>
    <s v="no test"/>
    <x v="1"/>
    <n v="1"/>
    <n v="1"/>
    <n v="1"/>
    <n v="86"/>
    <n v="0"/>
    <n v="0"/>
    <n v="1"/>
    <n v="86"/>
    <n v="0.17199999999999999"/>
    <n v="0"/>
    <n v="0"/>
    <n v="0.82800000000000007"/>
    <n v="1"/>
    <n v="0"/>
    <n v="0"/>
    <n v="0"/>
    <n v="0.97674418604651159"/>
    <n v="14"/>
    <n v="14"/>
    <n v="0"/>
    <s v="N/A"/>
    <n v="0"/>
    <n v="0"/>
    <n v="0"/>
    <n v="0"/>
    <n v="0"/>
    <n v="0"/>
    <n v="1"/>
    <n v="0"/>
    <n v="0"/>
    <n v="0"/>
    <n v="0"/>
    <n v="0"/>
    <n v="0"/>
    <n v="0"/>
    <n v="0"/>
    <n v="0"/>
    <x v="3"/>
    <x v="2"/>
    <x v="7"/>
    <x v="3"/>
    <n v="20.229290008544901"/>
    <n v="92.864669799804702"/>
    <n v="196167"/>
    <x v="0"/>
    <m/>
  </r>
  <r>
    <x v="2"/>
    <x v="17"/>
    <x v="1"/>
    <x v="18"/>
    <x v="373"/>
    <n v="1013"/>
    <n v="5950"/>
    <m/>
    <s v="DFID/HARP"/>
    <d v="2020-09-30T00:00:00"/>
    <n v="0"/>
    <s v="No"/>
    <n v="0"/>
    <n v="0"/>
    <n v="0"/>
    <n v="73"/>
    <m/>
    <n v="0"/>
    <n v="93"/>
    <m/>
    <n v="24"/>
    <n v="23"/>
    <n v="26"/>
    <n v="21"/>
    <n v="4"/>
    <m/>
    <n v="245"/>
    <n v="127"/>
    <n v="0"/>
    <m/>
    <n v="372"/>
    <x v="0"/>
    <x v="2"/>
    <n v="0"/>
    <n v="17"/>
    <m/>
    <n v="1"/>
    <s v="Household"/>
    <n v="1013"/>
    <n v="0"/>
    <n v="10"/>
    <n v="1013"/>
    <n v="1013"/>
    <x v="1"/>
    <m/>
    <m/>
    <m/>
    <m/>
    <n v="0.95833333333333337"/>
    <n v="0.80769230769230771"/>
    <x v="0"/>
    <n v="1"/>
    <n v="1"/>
    <n v="1"/>
    <n v="5950"/>
    <n v="0"/>
    <n v="0"/>
    <n v="1"/>
    <n v="5950"/>
    <n v="11.9"/>
    <n v="0"/>
    <n v="0"/>
    <n v="9.9999999999999645E-2"/>
    <n v="12"/>
    <n v="372"/>
    <n v="0.82352941176470584"/>
    <n v="4900"/>
    <n v="0"/>
    <n v="0"/>
    <n v="298"/>
    <n v="0.34139784946236557"/>
    <n v="0"/>
    <n v="5000"/>
    <n v="1"/>
    <n v="1"/>
    <n v="1"/>
    <n v="5950"/>
    <n v="1"/>
    <n v="0"/>
    <n v="0.84033613445378152"/>
    <n v="1"/>
    <n v="1"/>
    <n v="5065"/>
    <n v="5065"/>
    <n v="5065"/>
    <n v="1013"/>
    <s v="Yes"/>
    <n v="0"/>
    <x v="1"/>
    <x v="0"/>
    <x v="9"/>
    <x v="5"/>
    <n v="20.179939999999998"/>
    <n v="92.831879000000001"/>
    <s v="MMR012CMP048"/>
    <x v="0"/>
    <m/>
  </r>
  <r>
    <x v="2"/>
    <x v="17"/>
    <x v="1"/>
    <x v="18"/>
    <x v="374"/>
    <n v="299"/>
    <n v="1670"/>
    <m/>
    <s v="DFID/HARP"/>
    <d v="2020-09-30T00:00:00"/>
    <n v="0"/>
    <s v="No"/>
    <n v="0"/>
    <n v="0"/>
    <n v="0"/>
    <n v="0"/>
    <m/>
    <n v="0"/>
    <n v="79"/>
    <m/>
    <n v="39"/>
    <n v="35"/>
    <n v="42"/>
    <n v="33"/>
    <n v="7"/>
    <m/>
    <n v="192"/>
    <n v="0"/>
    <n v="0"/>
    <m/>
    <n v="192"/>
    <x v="0"/>
    <x v="2"/>
    <n v="0"/>
    <n v="11"/>
    <m/>
    <n v="1"/>
    <s v="Household"/>
    <n v="299"/>
    <n v="0"/>
    <n v="15"/>
    <n v="299"/>
    <n v="299"/>
    <x v="1"/>
    <m/>
    <m/>
    <m/>
    <m/>
    <n v="0.89743589743589747"/>
    <n v="0.7857142857142857"/>
    <x v="0"/>
    <n v="0"/>
    <n v="0"/>
    <n v="0"/>
    <n v="0"/>
    <n v="0"/>
    <n v="0"/>
    <n v="0"/>
    <n v="0"/>
    <n v="0"/>
    <n v="1"/>
    <n v="1670"/>
    <n v="3"/>
    <n v="3"/>
    <n v="192"/>
    <n v="1"/>
    <n v="1670"/>
    <n v="0"/>
    <n v="0"/>
    <n v="84"/>
    <n v="0"/>
    <n v="0"/>
    <n v="1670"/>
    <n v="1"/>
    <n v="1"/>
    <n v="1"/>
    <n v="1670"/>
    <n v="1"/>
    <n v="0"/>
    <n v="1"/>
    <n v="1"/>
    <n v="1"/>
    <n v="1495"/>
    <n v="1495"/>
    <n v="1495"/>
    <n v="299"/>
    <s v="Yes"/>
    <n v="0"/>
    <x v="1"/>
    <x v="0"/>
    <x v="1"/>
    <x v="5"/>
    <n v="20.181742"/>
    <n v="92.842230000000001"/>
    <s v="MMR012CMP091"/>
    <x v="0"/>
    <m/>
  </r>
  <r>
    <x v="2"/>
    <x v="13"/>
    <x v="1"/>
    <x v="18"/>
    <x v="375"/>
    <n v="17"/>
    <n v="74"/>
    <m/>
    <m/>
    <m/>
    <m/>
    <m/>
    <m/>
    <m/>
    <n v="0"/>
    <n v="2"/>
    <m/>
    <m/>
    <m/>
    <m/>
    <m/>
    <m/>
    <m/>
    <m/>
    <m/>
    <m/>
    <n v="0"/>
    <m/>
    <m/>
    <m/>
    <m/>
    <x v="1"/>
    <x v="1"/>
    <m/>
    <m/>
    <m/>
    <m/>
    <m/>
    <m/>
    <m/>
    <m/>
    <m/>
    <m/>
    <x v="0"/>
    <m/>
    <m/>
    <m/>
    <m/>
    <s v="no test"/>
    <s v="no test"/>
    <x v="1"/>
    <n v="1"/>
    <n v="1"/>
    <n v="1"/>
    <n v="74"/>
    <n v="0"/>
    <n v="0"/>
    <n v="1"/>
    <n v="74"/>
    <n v="0.14799999999999999"/>
    <n v="0"/>
    <n v="0"/>
    <n v="0.85199999999999998"/>
    <n v="1"/>
    <n v="0"/>
    <n v="0"/>
    <n v="0"/>
    <n v="0.97297297297297292"/>
    <n v="12"/>
    <n v="12"/>
    <n v="0"/>
    <s v="N/A"/>
    <n v="0"/>
    <n v="0"/>
    <n v="0"/>
    <n v="0"/>
    <n v="0"/>
    <n v="0"/>
    <n v="1"/>
    <n v="0"/>
    <n v="0"/>
    <n v="0"/>
    <n v="0"/>
    <n v="0"/>
    <n v="0"/>
    <n v="0"/>
    <n v="0"/>
    <n v="0"/>
    <x v="2"/>
    <x v="2"/>
    <x v="6"/>
    <x v="5"/>
    <n v="20.1934604644775"/>
    <n v="92.867782592773395"/>
    <n v="196147"/>
    <x v="0"/>
    <m/>
  </r>
  <r>
    <x v="2"/>
    <x v="7"/>
    <x v="1"/>
    <x v="18"/>
    <x v="379"/>
    <n v="80"/>
    <n v="359"/>
    <m/>
    <s v="MHF"/>
    <d v="2018-09-13T00:00:00"/>
    <n v="0"/>
    <s v="No"/>
    <n v="0"/>
    <n v="0"/>
    <n v="7"/>
    <n v="13"/>
    <n v="0"/>
    <n v="0"/>
    <n v="0"/>
    <m/>
    <n v="0"/>
    <n v="0"/>
    <n v="0"/>
    <n v="0"/>
    <n v="0"/>
    <m/>
    <n v="80"/>
    <n v="0"/>
    <n v="0"/>
    <m/>
    <n v="0"/>
    <x v="1"/>
    <x v="1"/>
    <n v="0"/>
    <n v="0"/>
    <m/>
    <n v="0"/>
    <s v="Household"/>
    <n v="0"/>
    <n v="0"/>
    <n v="1"/>
    <n v="0"/>
    <n v="0"/>
    <x v="0"/>
    <m/>
    <m/>
    <m/>
    <m/>
    <s v="no test"/>
    <s v="no test"/>
    <x v="1"/>
    <n v="1"/>
    <n v="1"/>
    <n v="1"/>
    <n v="359"/>
    <n v="0"/>
    <n v="0"/>
    <n v="1"/>
    <n v="359"/>
    <n v="0.71799999999999997"/>
    <n v="0"/>
    <n v="0"/>
    <n v="0.28200000000000003"/>
    <n v="1"/>
    <n v="80"/>
    <n v="1"/>
    <n v="359"/>
    <n v="0"/>
    <n v="0"/>
    <n v="60"/>
    <n v="0"/>
    <s v="N/A"/>
    <n v="359"/>
    <n v="0"/>
    <n v="1"/>
    <n v="0"/>
    <n v="0"/>
    <n v="0"/>
    <n v="1"/>
    <n v="1"/>
    <n v="0"/>
    <n v="0"/>
    <n v="0"/>
    <n v="0"/>
    <n v="0"/>
    <n v="0"/>
    <n v="0"/>
    <n v="0"/>
    <x v="3"/>
    <x v="2"/>
    <x v="7"/>
    <x v="3"/>
    <n v="20.202400000000001"/>
    <n v="92.812799999999996"/>
    <s v="196159"/>
    <x v="0"/>
    <m/>
  </r>
  <r>
    <x v="2"/>
    <x v="1"/>
    <x v="2"/>
    <x v="25"/>
    <x v="380"/>
    <n v="39"/>
    <n v="196"/>
    <m/>
    <s v="WHH(BMZ, AA)"/>
    <s v="30/4/18, 30/6/18"/>
    <n v="0"/>
    <s v="Yes"/>
    <n v="0.71"/>
    <n v="1"/>
    <n v="2"/>
    <m/>
    <n v="9000"/>
    <m/>
    <n v="2"/>
    <m/>
    <n v="0"/>
    <n v="0"/>
    <n v="0"/>
    <n v="0"/>
    <n v="0"/>
    <m/>
    <n v="5"/>
    <n v="3"/>
    <n v="0"/>
    <m/>
    <n v="8"/>
    <x v="0"/>
    <x v="4"/>
    <n v="0"/>
    <n v="0"/>
    <m/>
    <n v="1"/>
    <s v="Communal"/>
    <m/>
    <n v="4"/>
    <n v="2"/>
    <n v="0"/>
    <n v="0"/>
    <x v="0"/>
    <m/>
    <m/>
    <m/>
    <m/>
    <s v="no test"/>
    <s v="no test"/>
    <x v="1"/>
    <n v="1"/>
    <n v="1"/>
    <n v="1"/>
    <n v="196"/>
    <n v="0"/>
    <n v="0"/>
    <n v="1"/>
    <n v="196"/>
    <n v="0.39200000000000002"/>
    <n v="0"/>
    <n v="0"/>
    <n v="0.60799999999999998"/>
    <n v="1"/>
    <n v="8"/>
    <n v="0.51020408163265307"/>
    <n v="100"/>
    <n v="0.2040816326530612"/>
    <n v="2"/>
    <n v="10"/>
    <n v="0.375"/>
    <n v="0"/>
    <n v="196"/>
    <n v="0"/>
    <n v="1"/>
    <n v="0"/>
    <n v="0"/>
    <n v="0"/>
    <n v="1"/>
    <n v="1"/>
    <n v="0"/>
    <n v="0"/>
    <n v="0"/>
    <n v="0"/>
    <n v="0"/>
    <n v="39"/>
    <s v="Yes"/>
    <s v="KBC"/>
    <x v="1"/>
    <x v="0"/>
    <x v="0"/>
    <x v="0"/>
    <n v="23.354268999999999"/>
    <n v="98.218626999999998"/>
    <s v="MMR015CMP218"/>
    <x v="0"/>
    <m/>
  </r>
  <r>
    <x v="2"/>
    <x v="2"/>
    <x v="2"/>
    <x v="25"/>
    <x v="428"/>
    <n v="78"/>
    <n v="392"/>
    <m/>
    <m/>
    <m/>
    <m/>
    <s v="No"/>
    <n v="0"/>
    <n v="0"/>
    <n v="0"/>
    <n v="0"/>
    <m/>
    <m/>
    <n v="0"/>
    <m/>
    <m/>
    <m/>
    <m/>
    <m/>
    <m/>
    <m/>
    <n v="0"/>
    <m/>
    <n v="0"/>
    <m/>
    <n v="0"/>
    <x v="1"/>
    <x v="1"/>
    <m/>
    <m/>
    <m/>
    <n v="0"/>
    <m/>
    <n v="1"/>
    <m/>
    <m/>
    <m/>
    <m/>
    <x v="0"/>
    <m/>
    <m/>
    <m/>
    <m/>
    <s v="no test"/>
    <s v="no test"/>
    <x v="1"/>
    <n v="0"/>
    <n v="0"/>
    <n v="0"/>
    <n v="0"/>
    <n v="0"/>
    <n v="0"/>
    <n v="0"/>
    <n v="0"/>
    <n v="0"/>
    <n v="1"/>
    <n v="392"/>
    <n v="1"/>
    <n v="1"/>
    <n v="0"/>
    <n v="0"/>
    <n v="0"/>
    <n v="0.99489795918367352"/>
    <n v="65"/>
    <n v="65"/>
    <n v="0"/>
    <n v="0"/>
    <n v="0"/>
    <n v="0"/>
    <n v="0"/>
    <n v="0"/>
    <n v="0"/>
    <n v="0"/>
    <n v="1"/>
    <n v="0"/>
    <n v="0"/>
    <n v="0"/>
    <n v="0"/>
    <n v="0"/>
    <n v="0"/>
    <n v="0"/>
    <n v="0"/>
    <s v="uncovered"/>
    <x v="1"/>
    <x v="1"/>
    <x v="3"/>
    <x v="1"/>
    <n v="23.372409999999999"/>
    <n v="98.352670000000003"/>
    <s v="MMR015CMP207"/>
    <x v="1"/>
    <m/>
  </r>
  <r>
    <x v="2"/>
    <x v="3"/>
    <x v="2"/>
    <x v="25"/>
    <x v="381"/>
    <n v="35"/>
    <n v="173"/>
    <m/>
    <s v="SCI"/>
    <d v="2019-11-30T00:00:00"/>
    <n v="0"/>
    <s v="Yes"/>
    <n v="0.4"/>
    <n v="0.8"/>
    <n v="1"/>
    <n v="0"/>
    <m/>
    <m/>
    <n v="0"/>
    <m/>
    <n v="0"/>
    <n v="0"/>
    <n v="0"/>
    <n v="0"/>
    <n v="0"/>
    <m/>
    <n v="37"/>
    <n v="0"/>
    <n v="0"/>
    <m/>
    <n v="0"/>
    <x v="1"/>
    <x v="1"/>
    <m/>
    <m/>
    <m/>
    <m/>
    <m/>
    <n v="0"/>
    <m/>
    <n v="1"/>
    <n v="0"/>
    <n v="0"/>
    <x v="0"/>
    <m/>
    <m/>
    <m/>
    <m/>
    <s v="no test"/>
    <s v="no test"/>
    <x v="1"/>
    <n v="1"/>
    <n v="1"/>
    <n v="1"/>
    <n v="173"/>
    <n v="0"/>
    <n v="0"/>
    <n v="1"/>
    <n v="173"/>
    <n v="0.34599999999999997"/>
    <n v="0"/>
    <n v="0"/>
    <n v="0.65400000000000003"/>
    <n v="1"/>
    <n v="37"/>
    <n v="1"/>
    <n v="173"/>
    <n v="0"/>
    <n v="0"/>
    <n v="9"/>
    <n v="0"/>
    <n v="0"/>
    <n v="173"/>
    <n v="0"/>
    <n v="1"/>
    <n v="0"/>
    <n v="0"/>
    <n v="0"/>
    <n v="1"/>
    <n v="1"/>
    <n v="0"/>
    <n v="0"/>
    <n v="0"/>
    <n v="0"/>
    <n v="0"/>
    <n v="0"/>
    <n v="0"/>
    <n v="0"/>
    <x v="1"/>
    <x v="0"/>
    <x v="3"/>
    <x v="0"/>
    <n v="23.353999999999999"/>
    <n v="98.221000000000004"/>
    <s v="MMR015CMP226"/>
    <x v="0"/>
    <m/>
  </r>
  <r>
    <x v="2"/>
    <x v="2"/>
    <x v="2"/>
    <x v="26"/>
    <x v="382"/>
    <n v="37"/>
    <n v="120"/>
    <m/>
    <m/>
    <m/>
    <m/>
    <s v="No"/>
    <n v="0"/>
    <n v="0"/>
    <m/>
    <m/>
    <m/>
    <m/>
    <m/>
    <m/>
    <m/>
    <m/>
    <m/>
    <m/>
    <m/>
    <m/>
    <n v="0"/>
    <m/>
    <m/>
    <m/>
    <m/>
    <x v="1"/>
    <x v="1"/>
    <m/>
    <m/>
    <m/>
    <m/>
    <m/>
    <m/>
    <m/>
    <m/>
    <m/>
    <m/>
    <x v="0"/>
    <m/>
    <m/>
    <m/>
    <m/>
    <s v="no test"/>
    <s v="no test"/>
    <x v="1"/>
    <n v="0"/>
    <n v="0"/>
    <n v="0"/>
    <n v="0"/>
    <n v="0"/>
    <n v="0"/>
    <n v="0"/>
    <n v="0"/>
    <n v="0"/>
    <n v="1"/>
    <n v="120"/>
    <n v="1"/>
    <n v="1"/>
    <n v="0"/>
    <n v="0"/>
    <n v="0"/>
    <n v="1"/>
    <n v="6"/>
    <n v="6"/>
    <n v="0"/>
    <n v="0"/>
    <n v="0"/>
    <n v="0"/>
    <n v="0"/>
    <n v="0"/>
    <n v="0"/>
    <n v="0"/>
    <n v="1"/>
    <n v="0"/>
    <n v="0"/>
    <n v="0"/>
    <n v="0"/>
    <n v="0"/>
    <n v="0"/>
    <n v="0"/>
    <n v="0"/>
    <s v="uncovered"/>
    <x v="1"/>
    <x v="0"/>
    <x v="2"/>
    <x v="0"/>
    <n v="22.677008000000001"/>
    <n v="97.314762999999999"/>
    <s v="MMR015CMP244"/>
    <x v="1"/>
    <m/>
  </r>
  <r>
    <x v="2"/>
    <x v="26"/>
    <x v="2"/>
    <x v="27"/>
    <x v="383"/>
    <n v="86"/>
    <n v="510"/>
    <n v="40"/>
    <s v="Plan/GFFO,ADRA/CANADA, WHH(BMZ, AA)"/>
    <s v="12/31/2019,30/4/18, 30/6/18"/>
    <n v="0"/>
    <s v="Yes"/>
    <n v="0.11"/>
    <n v="0.5"/>
    <n v="0"/>
    <n v="0"/>
    <n v="21600"/>
    <n v="0"/>
    <n v="8"/>
    <m/>
    <n v="0"/>
    <n v="0"/>
    <n v="0"/>
    <n v="0"/>
    <n v="0"/>
    <m/>
    <n v="89"/>
    <n v="0"/>
    <n v="0"/>
    <m/>
    <n v="89"/>
    <x v="1"/>
    <x v="1"/>
    <n v="0"/>
    <n v="0"/>
    <m/>
    <n v="0"/>
    <m/>
    <n v="2"/>
    <n v="0"/>
    <n v="0"/>
    <n v="77"/>
    <n v="0"/>
    <x v="0"/>
    <m/>
    <m/>
    <m/>
    <m/>
    <s v="no test"/>
    <s v="no test"/>
    <x v="1"/>
    <n v="1"/>
    <n v="1"/>
    <n v="1"/>
    <n v="510"/>
    <n v="0"/>
    <n v="0"/>
    <n v="1"/>
    <n v="510"/>
    <n v="1.02"/>
    <n v="0"/>
    <n v="0"/>
    <n v="0"/>
    <n v="1"/>
    <n v="89"/>
    <n v="1"/>
    <n v="510"/>
    <n v="0"/>
    <n v="0"/>
    <n v="85"/>
    <n v="0"/>
    <n v="0"/>
    <n v="0"/>
    <n v="0"/>
    <n v="0"/>
    <n v="0"/>
    <n v="0"/>
    <n v="0"/>
    <n v="1"/>
    <n v="0"/>
    <n v="0.89534883720930236"/>
    <n v="0"/>
    <n v="385"/>
    <n v="0"/>
    <n v="385"/>
    <n v="0"/>
    <s v="Yes"/>
    <s v="KBC"/>
    <x v="1"/>
    <x v="1"/>
    <x v="3"/>
    <x v="0"/>
    <n v="23.4008"/>
    <n v="97.848529999999997"/>
    <s v="MMR015CMP015"/>
    <x v="0"/>
    <m/>
  </r>
  <r>
    <x v="2"/>
    <x v="1"/>
    <x v="2"/>
    <x v="27"/>
    <x v="384"/>
    <n v="61"/>
    <n v="292"/>
    <m/>
    <s v="WHH(BMZ, AA)"/>
    <s v="30/4/18, 30/6/18"/>
    <n v="0"/>
    <s v="Yes"/>
    <n v="0.7"/>
    <m/>
    <m/>
    <n v="2"/>
    <n v="8100"/>
    <m/>
    <n v="3"/>
    <m/>
    <n v="0"/>
    <n v="0"/>
    <n v="0"/>
    <n v="0"/>
    <n v="0"/>
    <m/>
    <n v="10"/>
    <n v="0"/>
    <n v="0"/>
    <m/>
    <n v="10"/>
    <x v="0"/>
    <x v="0"/>
    <n v="0"/>
    <n v="0"/>
    <m/>
    <n v="0.7"/>
    <s v="Communal"/>
    <m/>
    <n v="2"/>
    <n v="1"/>
    <n v="0"/>
    <n v="0"/>
    <x v="0"/>
    <m/>
    <m/>
    <m/>
    <m/>
    <s v="no test"/>
    <s v="no test"/>
    <x v="1"/>
    <n v="1"/>
    <n v="1"/>
    <n v="1"/>
    <n v="292"/>
    <n v="0"/>
    <n v="0"/>
    <n v="1"/>
    <n v="292"/>
    <n v="0.58399999999999996"/>
    <n v="0"/>
    <n v="0"/>
    <n v="0.41600000000000004"/>
    <n v="1"/>
    <n v="10"/>
    <n v="0.68493150684931503"/>
    <n v="200"/>
    <n v="0.34246575342465752"/>
    <n v="5"/>
    <n v="15"/>
    <n v="0"/>
    <n v="0"/>
    <n v="292"/>
    <n v="0"/>
    <n v="1"/>
    <n v="0"/>
    <n v="0"/>
    <n v="0"/>
    <n v="1"/>
    <n v="1"/>
    <n v="0"/>
    <n v="0"/>
    <n v="0"/>
    <n v="0"/>
    <n v="0"/>
    <n v="42.699999999999996"/>
    <s v="Yes"/>
    <s v="KBC"/>
    <x v="1"/>
    <x v="0"/>
    <x v="0"/>
    <x v="0"/>
    <n v="23.450914000000001"/>
    <n v="97.926813999999993"/>
    <s v="MMR015CMP016"/>
    <x v="0"/>
    <m/>
  </r>
  <r>
    <x v="2"/>
    <x v="24"/>
    <x v="2"/>
    <x v="27"/>
    <x v="385"/>
    <n v="35"/>
    <n v="141"/>
    <m/>
    <s v="Plan/GFFO,ADRA/CANADA , WHH"/>
    <s v="12/31/2019,30/4/18, 30/6/18"/>
    <n v="0"/>
    <s v="Yes"/>
    <n v="0.66"/>
    <n v="1"/>
    <n v="0"/>
    <n v="1"/>
    <n v="4725"/>
    <n v="0"/>
    <n v="7"/>
    <m/>
    <n v="0"/>
    <n v="0"/>
    <n v="0"/>
    <n v="0"/>
    <n v="0"/>
    <m/>
    <n v="12"/>
    <n v="4"/>
    <n v="0"/>
    <m/>
    <n v="12"/>
    <x v="0"/>
    <x v="0"/>
    <n v="0"/>
    <n v="0"/>
    <m/>
    <n v="0"/>
    <m/>
    <n v="2"/>
    <n v="2"/>
    <n v="1"/>
    <n v="38"/>
    <n v="0"/>
    <x v="0"/>
    <m/>
    <m/>
    <m/>
    <m/>
    <s v="no test"/>
    <s v="no test"/>
    <x v="1"/>
    <n v="1"/>
    <n v="1"/>
    <n v="1"/>
    <n v="141"/>
    <n v="0"/>
    <n v="0"/>
    <n v="1"/>
    <n v="141"/>
    <n v="0.28199999999999997"/>
    <n v="0"/>
    <n v="0"/>
    <n v="0.71799999999999997"/>
    <n v="1"/>
    <n v="16"/>
    <n v="1"/>
    <n v="141"/>
    <n v="0"/>
    <n v="0"/>
    <n v="7"/>
    <n v="0.25"/>
    <n v="0"/>
    <n v="141"/>
    <n v="0"/>
    <n v="1"/>
    <n v="1"/>
    <n v="141"/>
    <n v="1"/>
    <n v="0"/>
    <n v="1"/>
    <n v="1"/>
    <n v="0"/>
    <n v="190"/>
    <n v="0"/>
    <n v="190"/>
    <n v="0"/>
    <s v="Yes"/>
    <s v="KBC"/>
    <x v="1"/>
    <x v="0"/>
    <x v="0"/>
    <x v="0"/>
    <n v="23.460349999999998"/>
    <n v="97.947360000000003"/>
    <s v="MMR015CMP245"/>
    <x v="0"/>
    <m/>
  </r>
  <r>
    <x v="2"/>
    <x v="23"/>
    <x v="2"/>
    <x v="27"/>
    <x v="386"/>
    <n v="30"/>
    <n v="138"/>
    <m/>
    <s v="HARP,WHH(BMZ, AA)"/>
    <s v="30/12/2018,30/4/18, 30/6/18"/>
    <n v="0"/>
    <s v="Yes"/>
    <n v="0.5"/>
    <n v="1"/>
    <n v="1"/>
    <m/>
    <n v="6000"/>
    <m/>
    <n v="1"/>
    <m/>
    <n v="2"/>
    <n v="0"/>
    <n v="4"/>
    <n v="4"/>
    <n v="4"/>
    <m/>
    <n v="8"/>
    <n v="4"/>
    <n v="2"/>
    <m/>
    <n v="8"/>
    <x v="0"/>
    <x v="0"/>
    <n v="2"/>
    <n v="0"/>
    <m/>
    <n v="0.7"/>
    <s v="Household"/>
    <n v="2"/>
    <n v="1"/>
    <n v="2"/>
    <n v="29"/>
    <n v="0"/>
    <x v="2"/>
    <m/>
    <m/>
    <m/>
    <m/>
    <n v="0"/>
    <n v="1"/>
    <x v="0"/>
    <n v="1"/>
    <n v="1"/>
    <n v="1"/>
    <n v="138"/>
    <n v="0"/>
    <n v="0"/>
    <n v="1"/>
    <n v="138"/>
    <n v="0.27600000000000002"/>
    <n v="0"/>
    <n v="0"/>
    <n v="0.72399999999999998"/>
    <n v="1"/>
    <n v="12"/>
    <n v="1"/>
    <n v="138"/>
    <n v="0"/>
    <n v="0"/>
    <n v="7"/>
    <n v="0.33333333333333331"/>
    <n v="40"/>
    <n v="138"/>
    <n v="0"/>
    <n v="1"/>
    <n v="0"/>
    <n v="0"/>
    <n v="0"/>
    <n v="1"/>
    <n v="1"/>
    <n v="0.96666666666666667"/>
    <n v="0"/>
    <n v="145"/>
    <n v="0"/>
    <n v="145"/>
    <n v="21"/>
    <s v="Yes"/>
    <s v="KMSS-LSO"/>
    <x v="1"/>
    <x v="0"/>
    <x v="0"/>
    <x v="0"/>
    <n v="23.460349999999998"/>
    <n v="97.947360000000003"/>
    <s v="MMR015CMP017"/>
    <x v="0"/>
    <m/>
  </r>
  <r>
    <x v="2"/>
    <x v="3"/>
    <x v="2"/>
    <x v="27"/>
    <x v="417"/>
    <n v="36"/>
    <n v="145"/>
    <m/>
    <s v="ADRA/CANADA"/>
    <d v="2018-01-31T00:00:00"/>
    <n v="0"/>
    <s v="Yes"/>
    <n v="1"/>
    <n v="1"/>
    <n v="0"/>
    <n v="1"/>
    <m/>
    <m/>
    <n v="0"/>
    <m/>
    <n v="0"/>
    <n v="0"/>
    <n v="0"/>
    <n v="0"/>
    <n v="0"/>
    <m/>
    <n v="12"/>
    <n v="0"/>
    <n v="0"/>
    <m/>
    <n v="0"/>
    <x v="0"/>
    <x v="0"/>
    <m/>
    <m/>
    <m/>
    <n v="1"/>
    <m/>
    <n v="0"/>
    <n v="2"/>
    <n v="1"/>
    <n v="0"/>
    <n v="0"/>
    <x v="0"/>
    <m/>
    <m/>
    <m/>
    <m/>
    <s v="no test"/>
    <s v="no test"/>
    <x v="1"/>
    <n v="1"/>
    <n v="1"/>
    <n v="1"/>
    <n v="145"/>
    <n v="0"/>
    <n v="0"/>
    <n v="1"/>
    <n v="145"/>
    <n v="0.28999999999999998"/>
    <n v="0"/>
    <n v="0"/>
    <n v="0.71"/>
    <n v="1"/>
    <n v="12"/>
    <n v="1"/>
    <n v="145"/>
    <n v="0"/>
    <n v="0"/>
    <n v="7"/>
    <n v="0"/>
    <n v="0"/>
    <n v="145"/>
    <n v="0"/>
    <n v="1"/>
    <n v="0"/>
    <n v="0"/>
    <n v="0"/>
    <n v="1"/>
    <n v="1"/>
    <n v="0"/>
    <n v="0"/>
    <n v="0"/>
    <n v="0"/>
    <n v="0"/>
    <n v="36"/>
    <n v="0"/>
    <n v="0"/>
    <x v="0"/>
    <x v="0"/>
    <x v="0"/>
    <x v="0"/>
    <n v="0"/>
    <n v="0"/>
    <n v="0"/>
    <x v="0"/>
    <m/>
  </r>
  <r>
    <x v="2"/>
    <x v="31"/>
    <x v="2"/>
    <x v="27"/>
    <x v="387"/>
    <n v="145"/>
    <n v="721"/>
    <m/>
    <s v="WHH(BMZ, AA),SCI"/>
    <s v="30/4/18,30/6/18,11/30/2019,"/>
    <n v="0"/>
    <s v="Yes"/>
    <n v="0.6"/>
    <n v="1"/>
    <n v="1"/>
    <m/>
    <n v="7200"/>
    <m/>
    <n v="2"/>
    <m/>
    <n v="0"/>
    <n v="0"/>
    <n v="0"/>
    <n v="0"/>
    <n v="0"/>
    <m/>
    <n v="20"/>
    <m/>
    <m/>
    <m/>
    <n v="20"/>
    <x v="0"/>
    <x v="0"/>
    <m/>
    <m/>
    <m/>
    <n v="0"/>
    <s v="Household"/>
    <n v="1"/>
    <n v="3"/>
    <n v="1"/>
    <n v="0"/>
    <n v="0"/>
    <x v="0"/>
    <m/>
    <m/>
    <m/>
    <m/>
    <s v="no test"/>
    <s v="no test"/>
    <x v="1"/>
    <n v="1"/>
    <n v="1"/>
    <n v="1"/>
    <n v="721"/>
    <n v="0"/>
    <n v="0"/>
    <n v="1"/>
    <n v="721"/>
    <n v="1.4419999999999999"/>
    <n v="0"/>
    <n v="0"/>
    <n v="0"/>
    <n v="1"/>
    <n v="20"/>
    <n v="0.55478502080443826"/>
    <n v="400"/>
    <n v="0.44382801664355065"/>
    <n v="16"/>
    <n v="36"/>
    <n v="0"/>
    <n v="0"/>
    <n v="500"/>
    <n v="0"/>
    <n v="0"/>
    <n v="0"/>
    <n v="0"/>
    <n v="0"/>
    <n v="1"/>
    <n v="0.69348127600554788"/>
    <n v="0"/>
    <n v="0"/>
    <n v="0"/>
    <n v="0"/>
    <n v="0"/>
    <n v="0"/>
    <s v="Yes"/>
    <s v="KBC"/>
    <x v="1"/>
    <x v="0"/>
    <x v="0"/>
    <x v="0"/>
    <n v="23.591999999999999"/>
    <n v="97.796999999999997"/>
    <s v="MMR015CMP220"/>
    <x v="0"/>
    <m/>
  </r>
  <r>
    <x v="2"/>
    <x v="7"/>
    <x v="2"/>
    <x v="27"/>
    <x v="398"/>
    <n v="20"/>
    <n v="82"/>
    <n v="20"/>
    <s v="MHF"/>
    <d v="2018-11-17T00:00:00"/>
    <m/>
    <s v="Yes"/>
    <n v="0.56999999999999995"/>
    <n v="0.43"/>
    <n v="0"/>
    <n v="0"/>
    <n v="7500"/>
    <n v="0"/>
    <n v="0"/>
    <m/>
    <n v="0"/>
    <n v="0"/>
    <n v="0"/>
    <n v="0"/>
    <n v="0"/>
    <m/>
    <n v="6"/>
    <n v="0"/>
    <n v="0"/>
    <m/>
    <n v="6"/>
    <x v="4"/>
    <x v="4"/>
    <n v="0"/>
    <n v="0"/>
    <m/>
    <n v="1"/>
    <s v="Communal"/>
    <n v="0"/>
    <n v="1"/>
    <n v="1"/>
    <n v="20"/>
    <n v="0"/>
    <x v="0"/>
    <m/>
    <m/>
    <m/>
    <m/>
    <s v="no test"/>
    <s v="no test"/>
    <x v="1"/>
    <n v="1"/>
    <n v="1"/>
    <n v="1"/>
    <n v="82"/>
    <n v="0"/>
    <n v="0"/>
    <n v="1"/>
    <n v="82"/>
    <n v="0.16400000000000001"/>
    <n v="0"/>
    <n v="0"/>
    <n v="0.83599999999999997"/>
    <n v="1"/>
    <n v="6"/>
    <n v="1"/>
    <n v="82"/>
    <n v="0"/>
    <n v="0"/>
    <n v="4"/>
    <n v="0"/>
    <n v="0"/>
    <n v="82"/>
    <n v="0"/>
    <n v="1"/>
    <n v="1"/>
    <n v="82"/>
    <n v="1"/>
    <n v="0"/>
    <n v="1"/>
    <n v="1"/>
    <n v="0"/>
    <n v="100"/>
    <n v="0"/>
    <n v="100"/>
    <n v="20"/>
    <n v="0"/>
    <s v="uncovered"/>
    <x v="1"/>
    <x v="0"/>
    <x v="2"/>
    <x v="0"/>
    <n v="0"/>
    <n v="0"/>
    <s v="MMR015CMP246"/>
    <x v="0"/>
    <m/>
  </r>
  <r>
    <x v="2"/>
    <x v="1"/>
    <x v="2"/>
    <x v="27"/>
    <x v="389"/>
    <n v="69"/>
    <n v="305"/>
    <m/>
    <s v="WHH(BMZ, AA)"/>
    <s v="30/4/18, 30/6/18"/>
    <n v="0"/>
    <s v="Yes"/>
    <n v="0.6"/>
    <n v="0"/>
    <n v="0"/>
    <n v="0"/>
    <m/>
    <m/>
    <n v="16"/>
    <m/>
    <n v="0"/>
    <n v="0"/>
    <n v="0"/>
    <n v="0"/>
    <n v="0"/>
    <m/>
    <n v="75"/>
    <n v="0"/>
    <n v="0"/>
    <m/>
    <n v="75"/>
    <x v="0"/>
    <x v="0"/>
    <n v="0"/>
    <n v="0"/>
    <m/>
    <n v="0.3"/>
    <s v="Household"/>
    <n v="4"/>
    <m/>
    <n v="3"/>
    <n v="0"/>
    <n v="0"/>
    <x v="0"/>
    <m/>
    <m/>
    <m/>
    <m/>
    <s v="no test"/>
    <s v="no test"/>
    <x v="1"/>
    <n v="0"/>
    <n v="0"/>
    <n v="0"/>
    <n v="0"/>
    <n v="0"/>
    <n v="0"/>
    <n v="0"/>
    <n v="0"/>
    <n v="0"/>
    <n v="1"/>
    <n v="305"/>
    <n v="1"/>
    <n v="1"/>
    <n v="75"/>
    <n v="1"/>
    <n v="305"/>
    <n v="0"/>
    <n v="0"/>
    <n v="51"/>
    <n v="0"/>
    <n v="0"/>
    <n v="305"/>
    <n v="0"/>
    <n v="1"/>
    <n v="0"/>
    <n v="0"/>
    <n v="0"/>
    <n v="1"/>
    <n v="1"/>
    <n v="0"/>
    <n v="0"/>
    <n v="0"/>
    <n v="0"/>
    <n v="0"/>
    <n v="20.7"/>
    <s v="Yes"/>
    <s v="KBC"/>
    <x v="1"/>
    <x v="1"/>
    <x v="0"/>
    <x v="0"/>
    <n v="23.588920000000002"/>
    <n v="97.793019999999999"/>
    <s v="MMR015CMP018"/>
    <x v="0"/>
    <m/>
  </r>
  <r>
    <x v="2"/>
    <x v="24"/>
    <x v="2"/>
    <x v="27"/>
    <x v="408"/>
    <n v="39"/>
    <n v="179"/>
    <m/>
    <s v="Plan/GFFO,ADRA/CANADA  ,WHH(BMZ, AA)"/>
    <s v="12/31/2019,30/4/18, 30/6/18"/>
    <n v="0"/>
    <s v="Yes"/>
    <n v="0.44"/>
    <n v="1"/>
    <n v="0"/>
    <n v="0"/>
    <n v="7500"/>
    <n v="0"/>
    <n v="0"/>
    <m/>
    <n v="0"/>
    <n v="0"/>
    <n v="0"/>
    <n v="0"/>
    <n v="0"/>
    <m/>
    <n v="20"/>
    <n v="0"/>
    <n v="0"/>
    <m/>
    <n v="20"/>
    <x v="3"/>
    <x v="2"/>
    <n v="0"/>
    <n v="0"/>
    <m/>
    <m/>
    <s v="Household"/>
    <m/>
    <m/>
    <m/>
    <n v="0"/>
    <n v="0"/>
    <x v="0"/>
    <m/>
    <m/>
    <m/>
    <m/>
    <s v="no test"/>
    <s v="no test"/>
    <x v="1"/>
    <n v="1"/>
    <n v="1"/>
    <n v="1"/>
    <n v="179"/>
    <n v="0"/>
    <n v="0"/>
    <n v="1"/>
    <n v="179"/>
    <n v="0.35799999999999998"/>
    <n v="0"/>
    <n v="0"/>
    <n v="0.64200000000000002"/>
    <n v="1"/>
    <n v="20"/>
    <n v="1"/>
    <n v="179"/>
    <n v="0"/>
    <n v="0"/>
    <n v="9"/>
    <n v="0"/>
    <n v="0"/>
    <n v="0"/>
    <n v="0"/>
    <n v="0"/>
    <n v="0"/>
    <n v="0"/>
    <n v="0"/>
    <n v="1"/>
    <n v="0"/>
    <n v="0"/>
    <n v="0"/>
    <n v="0"/>
    <n v="0"/>
    <n v="0"/>
    <n v="0"/>
    <n v="0"/>
    <s v="uncovered"/>
    <x v="1"/>
    <x v="0"/>
    <x v="2"/>
    <x v="0"/>
    <n v="23.850999999999999"/>
    <n v="98.337999999999994"/>
    <s v="MMR015CMP227"/>
    <x v="0"/>
    <m/>
  </r>
  <r>
    <x v="2"/>
    <x v="32"/>
    <x v="2"/>
    <x v="27"/>
    <x v="391"/>
    <n v="44"/>
    <n v="265"/>
    <m/>
    <s v="WHH(BMZ,AA),SCI, ADRA/CANADA"/>
    <s v="30/4/18, 30/6/18,11/30/2019"/>
    <n v="0"/>
    <s v="Yes"/>
    <n v="0.6"/>
    <n v="1"/>
    <n v="0"/>
    <m/>
    <n v="8100"/>
    <m/>
    <n v="12"/>
    <m/>
    <n v="0"/>
    <n v="0"/>
    <n v="0"/>
    <n v="0"/>
    <n v="0"/>
    <m/>
    <n v="49"/>
    <n v="0"/>
    <n v="0"/>
    <m/>
    <n v="49"/>
    <x v="0"/>
    <x v="4"/>
    <m/>
    <m/>
    <m/>
    <n v="0.3"/>
    <s v="Household"/>
    <n v="3"/>
    <n v="2"/>
    <n v="3"/>
    <n v="0"/>
    <n v="0"/>
    <x v="0"/>
    <m/>
    <m/>
    <m/>
    <m/>
    <s v="no test"/>
    <s v="no test"/>
    <x v="1"/>
    <n v="1"/>
    <n v="1"/>
    <n v="1"/>
    <n v="265"/>
    <n v="0"/>
    <n v="0"/>
    <n v="1"/>
    <n v="265"/>
    <n v="0.53"/>
    <n v="0"/>
    <n v="0"/>
    <n v="0.47"/>
    <n v="1"/>
    <n v="49"/>
    <n v="1"/>
    <n v="265"/>
    <n v="0"/>
    <n v="0"/>
    <n v="44"/>
    <n v="0"/>
    <n v="0"/>
    <n v="265"/>
    <n v="0"/>
    <n v="1"/>
    <n v="0"/>
    <n v="0"/>
    <n v="0"/>
    <n v="1"/>
    <n v="1"/>
    <n v="0"/>
    <n v="0"/>
    <n v="0"/>
    <n v="0"/>
    <n v="0"/>
    <n v="13.2"/>
    <s v="Yes"/>
    <s v="KBC"/>
    <x v="1"/>
    <x v="1"/>
    <x v="0"/>
    <x v="0"/>
    <n v="23.400155999999999"/>
    <n v="98.220614999999995"/>
    <s v="MMR015CMP006"/>
    <x v="0"/>
    <m/>
  </r>
  <r>
    <x v="2"/>
    <x v="33"/>
    <x v="2"/>
    <x v="27"/>
    <x v="392"/>
    <n v="22"/>
    <n v="111"/>
    <m/>
    <s v="WHH(BMZ, AA),HARP"/>
    <s v="30/4/18, 30/6/18,12/31/2018"/>
    <n v="0"/>
    <s v="Yes"/>
    <n v="0.5"/>
    <n v="1"/>
    <n v="0"/>
    <n v="0"/>
    <n v="5400"/>
    <m/>
    <n v="6"/>
    <m/>
    <n v="2"/>
    <m/>
    <n v="4"/>
    <n v="4"/>
    <n v="4"/>
    <m/>
    <n v="8"/>
    <n v="4"/>
    <n v="0"/>
    <m/>
    <n v="10"/>
    <x v="0"/>
    <x v="0"/>
    <n v="0"/>
    <n v="0"/>
    <m/>
    <n v="1"/>
    <s v="Communal"/>
    <n v="0"/>
    <n v="2"/>
    <n v="2"/>
    <n v="21"/>
    <n v="0"/>
    <x v="2"/>
    <m/>
    <m/>
    <m/>
    <m/>
    <n v="0"/>
    <n v="1"/>
    <x v="0"/>
    <n v="1"/>
    <n v="1"/>
    <n v="1"/>
    <n v="111"/>
    <n v="0"/>
    <n v="0"/>
    <n v="1"/>
    <n v="111"/>
    <n v="0.222"/>
    <n v="0"/>
    <n v="0"/>
    <n v="0.77800000000000002"/>
    <n v="1"/>
    <n v="12"/>
    <n v="1"/>
    <n v="111"/>
    <n v="0"/>
    <n v="0"/>
    <n v="6"/>
    <n v="0.33333333333333331"/>
    <n v="0"/>
    <n v="111"/>
    <n v="0"/>
    <n v="1"/>
    <n v="0"/>
    <n v="0"/>
    <n v="0"/>
    <n v="1"/>
    <n v="1"/>
    <n v="0.95454545454545459"/>
    <n v="0"/>
    <n v="105"/>
    <n v="0"/>
    <n v="105"/>
    <n v="22"/>
    <s v="Yes"/>
    <s v="KMSS-LSO"/>
    <x v="1"/>
    <x v="0"/>
    <x v="0"/>
    <x v="0"/>
    <n v="23.463000000000001"/>
    <n v="98.248999999999995"/>
    <s v="MMR015CMP217"/>
    <x v="0"/>
    <m/>
  </r>
  <r>
    <x v="2"/>
    <x v="24"/>
    <x v="2"/>
    <x v="27"/>
    <x v="393"/>
    <n v="63"/>
    <n v="279"/>
    <m/>
    <s v="Plan/GFFO,ADRA/CANADA  ,WHH(BMZ,AA)"/>
    <s v="12/31/2019,30/4/18, 30/6/18"/>
    <n v="0"/>
    <s v="Yes"/>
    <n v="0.7"/>
    <n v="1"/>
    <m/>
    <n v="1"/>
    <n v="15000"/>
    <m/>
    <n v="8"/>
    <m/>
    <n v="0"/>
    <n v="0"/>
    <n v="0"/>
    <n v="0"/>
    <n v="0"/>
    <m/>
    <n v="14"/>
    <n v="0"/>
    <n v="0"/>
    <m/>
    <n v="14"/>
    <x v="0"/>
    <x v="0"/>
    <n v="0"/>
    <n v="0"/>
    <m/>
    <n v="1"/>
    <s v="Communal"/>
    <m/>
    <n v="2"/>
    <n v="1"/>
    <n v="57"/>
    <n v="0"/>
    <x v="0"/>
    <m/>
    <m/>
    <m/>
    <m/>
    <s v="no test"/>
    <s v="no test"/>
    <x v="1"/>
    <n v="1"/>
    <n v="1"/>
    <n v="1"/>
    <n v="279"/>
    <n v="0"/>
    <n v="0"/>
    <n v="1"/>
    <n v="279"/>
    <n v="0.55800000000000005"/>
    <n v="0"/>
    <n v="0"/>
    <n v="0.44199999999999995"/>
    <n v="1"/>
    <n v="14"/>
    <n v="1"/>
    <n v="279"/>
    <n v="0"/>
    <n v="0"/>
    <n v="14"/>
    <n v="0"/>
    <n v="0"/>
    <n v="279"/>
    <n v="0"/>
    <n v="1"/>
    <n v="0"/>
    <n v="0"/>
    <n v="0"/>
    <n v="1"/>
    <n v="1"/>
    <n v="0.90476190476190477"/>
    <n v="0"/>
    <n v="285"/>
    <n v="0"/>
    <n v="285"/>
    <n v="63"/>
    <s v="Yes"/>
    <s v="KBC"/>
    <x v="1"/>
    <x v="0"/>
    <x v="0"/>
    <x v="0"/>
    <n v="23.694130000000001"/>
    <n v="97.818979999999996"/>
    <s v="MMR015CMP007"/>
    <x v="0"/>
    <m/>
  </r>
  <r>
    <x v="2"/>
    <x v="24"/>
    <x v="2"/>
    <x v="27"/>
    <x v="394"/>
    <n v="39"/>
    <n v="146"/>
    <n v="23"/>
    <s v="Plan/GFFO,ADRA/CANADA  ,WHH(BMZ, AA)"/>
    <s v="12/31/2019,30/4/18, 30/6/18"/>
    <n v="0"/>
    <s v="Yes"/>
    <n v="0.5"/>
    <n v="1"/>
    <m/>
    <m/>
    <n v="2700"/>
    <m/>
    <n v="3"/>
    <m/>
    <n v="0"/>
    <n v="0"/>
    <n v="0"/>
    <n v="0"/>
    <n v="0"/>
    <s v="Insufficient Drinking Water"/>
    <n v="5"/>
    <n v="0"/>
    <n v="0"/>
    <m/>
    <n v="5"/>
    <x v="1"/>
    <x v="1"/>
    <n v="0"/>
    <n v="0"/>
    <m/>
    <n v="0"/>
    <s v="Household"/>
    <m/>
    <n v="0"/>
    <n v="1"/>
    <n v="32"/>
    <n v="0"/>
    <x v="0"/>
    <m/>
    <m/>
    <m/>
    <m/>
    <s v="no test"/>
    <s v="no test"/>
    <x v="1"/>
    <n v="1"/>
    <n v="1"/>
    <n v="1"/>
    <n v="146"/>
    <n v="0"/>
    <n v="0"/>
    <n v="1"/>
    <n v="146"/>
    <n v="0.29199999999999998"/>
    <n v="0"/>
    <n v="0"/>
    <n v="0.70799999999999996"/>
    <n v="1"/>
    <n v="5"/>
    <n v="0.68493150684931503"/>
    <n v="100"/>
    <n v="0.27397260273972601"/>
    <n v="2"/>
    <n v="7"/>
    <n v="0"/>
    <n v="0"/>
    <n v="146"/>
    <n v="0"/>
    <n v="1"/>
    <n v="0"/>
    <n v="0"/>
    <n v="0"/>
    <n v="1"/>
    <n v="1"/>
    <n v="0.82051282051282048"/>
    <n v="0"/>
    <n v="160"/>
    <n v="0"/>
    <n v="160"/>
    <n v="0"/>
    <n v="0"/>
    <s v="KMSS-LSO"/>
    <x v="1"/>
    <x v="0"/>
    <x v="0"/>
    <x v="0"/>
    <n v="23.682887999999998"/>
    <n v="97.810101000000003"/>
    <s v="MMR015CMP225"/>
    <x v="0"/>
    <m/>
  </r>
  <r>
    <x v="2"/>
    <x v="1"/>
    <x v="2"/>
    <x v="27"/>
    <x v="395"/>
    <n v="106"/>
    <n v="635"/>
    <m/>
    <s v="WHH(BMZ, AA)"/>
    <s v="30/4/18, 30/6/18"/>
    <n v="0"/>
    <s v="Yes"/>
    <n v="0.5"/>
    <n v="1"/>
    <m/>
    <n v="1"/>
    <n v="9600"/>
    <m/>
    <n v="5"/>
    <m/>
    <n v="0"/>
    <n v="0"/>
    <n v="0"/>
    <n v="0"/>
    <n v="0"/>
    <m/>
    <n v="106"/>
    <n v="0"/>
    <n v="0"/>
    <m/>
    <n v="106"/>
    <x v="0"/>
    <x v="4"/>
    <n v="0"/>
    <n v="0"/>
    <m/>
    <n v="0.4"/>
    <s v="Communal"/>
    <m/>
    <m/>
    <n v="1"/>
    <n v="0"/>
    <n v="0"/>
    <x v="0"/>
    <m/>
    <m/>
    <m/>
    <m/>
    <s v="no test"/>
    <s v="no test"/>
    <x v="1"/>
    <n v="1"/>
    <n v="1"/>
    <n v="1"/>
    <n v="635"/>
    <n v="0"/>
    <n v="0"/>
    <n v="1"/>
    <n v="635"/>
    <n v="1.27"/>
    <n v="0"/>
    <n v="0"/>
    <n v="0"/>
    <n v="1"/>
    <n v="106"/>
    <n v="1"/>
    <n v="635"/>
    <n v="0"/>
    <n v="0"/>
    <n v="106"/>
    <n v="0"/>
    <n v="0"/>
    <n v="500"/>
    <n v="0"/>
    <n v="0"/>
    <n v="0"/>
    <n v="0"/>
    <n v="0"/>
    <n v="1"/>
    <n v="0.78740157480314965"/>
    <n v="0"/>
    <n v="0"/>
    <n v="0"/>
    <n v="0"/>
    <n v="0"/>
    <n v="42.400000000000006"/>
    <n v="0"/>
    <s v="uncovered"/>
    <x v="1"/>
    <x v="1"/>
    <x v="2"/>
    <x v="0"/>
    <n v="23.447111"/>
    <n v="97.868876999999998"/>
    <s v="MMR015CMP219"/>
    <x v="0"/>
    <m/>
  </r>
  <r>
    <x v="2"/>
    <x v="2"/>
    <x v="2"/>
    <x v="27"/>
    <x v="396"/>
    <n v="39"/>
    <n v="202"/>
    <m/>
    <m/>
    <m/>
    <m/>
    <s v="No"/>
    <n v="0"/>
    <n v="0"/>
    <m/>
    <m/>
    <m/>
    <m/>
    <m/>
    <m/>
    <m/>
    <m/>
    <m/>
    <m/>
    <m/>
    <m/>
    <n v="0"/>
    <m/>
    <m/>
    <m/>
    <m/>
    <x v="4"/>
    <x v="4"/>
    <m/>
    <m/>
    <m/>
    <m/>
    <m/>
    <m/>
    <m/>
    <m/>
    <m/>
    <m/>
    <x v="0"/>
    <m/>
    <m/>
    <m/>
    <m/>
    <s v="no test"/>
    <s v="no test"/>
    <x v="1"/>
    <n v="0"/>
    <n v="0"/>
    <n v="0"/>
    <n v="0"/>
    <n v="0"/>
    <n v="0"/>
    <n v="0"/>
    <n v="0"/>
    <n v="0"/>
    <n v="1"/>
    <n v="202"/>
    <n v="1"/>
    <n v="1"/>
    <n v="0"/>
    <n v="0"/>
    <n v="0"/>
    <n v="0.99009900990099009"/>
    <n v="10"/>
    <n v="10"/>
    <n v="0"/>
    <n v="0"/>
    <n v="0"/>
    <n v="0"/>
    <n v="0"/>
    <n v="0"/>
    <n v="0"/>
    <n v="0"/>
    <n v="1"/>
    <n v="0"/>
    <n v="0"/>
    <n v="0"/>
    <n v="0"/>
    <n v="0"/>
    <n v="0"/>
    <n v="0"/>
    <n v="0"/>
    <s v="uncovered"/>
    <x v="1"/>
    <x v="0"/>
    <x v="2"/>
    <x v="0"/>
    <n v="0"/>
    <n v="0"/>
    <s v="MMR015CMP249"/>
    <x v="1"/>
    <m/>
  </r>
  <r>
    <x v="2"/>
    <x v="1"/>
    <x v="2"/>
    <x v="27"/>
    <x v="397"/>
    <n v="190"/>
    <n v="917"/>
    <m/>
    <s v="WHH(BMZ, AA)"/>
    <s v="30/4/18, 30/6/18"/>
    <n v="0"/>
    <s v="Yes"/>
    <n v="0.6"/>
    <m/>
    <m/>
    <m/>
    <n v="43200"/>
    <m/>
    <n v="16"/>
    <m/>
    <n v="0"/>
    <n v="0"/>
    <n v="0"/>
    <n v="0"/>
    <n v="0"/>
    <m/>
    <n v="127"/>
    <n v="85"/>
    <n v="0"/>
    <m/>
    <n v="212"/>
    <x v="3"/>
    <x v="4"/>
    <n v="0"/>
    <n v="0"/>
    <m/>
    <n v="0.6"/>
    <s v="Both"/>
    <n v="4"/>
    <m/>
    <n v="1"/>
    <n v="182"/>
    <n v="0"/>
    <x v="0"/>
    <m/>
    <m/>
    <m/>
    <m/>
    <s v="no test"/>
    <s v="no test"/>
    <x v="1"/>
    <n v="1"/>
    <n v="1"/>
    <n v="1"/>
    <n v="917"/>
    <n v="0"/>
    <n v="0"/>
    <n v="1"/>
    <n v="917"/>
    <n v="1.8340000000000001"/>
    <n v="0"/>
    <n v="0"/>
    <n v="0.16599999999999993"/>
    <n v="2"/>
    <n v="212"/>
    <n v="0.83097055616139581"/>
    <n v="762"/>
    <n v="0"/>
    <n v="0"/>
    <n v="153"/>
    <n v="0.40094339622641512"/>
    <n v="0"/>
    <n v="500"/>
    <n v="0"/>
    <n v="0"/>
    <n v="0"/>
    <n v="0"/>
    <n v="0"/>
    <n v="1"/>
    <n v="0.54525627044711011"/>
    <n v="0.95789473684210524"/>
    <n v="0"/>
    <n v="910"/>
    <n v="0"/>
    <n v="910"/>
    <n v="114"/>
    <s v="Yes"/>
    <s v="KBC"/>
    <x v="1"/>
    <x v="1"/>
    <x v="0"/>
    <x v="0"/>
    <n v="23.38503"/>
    <n v="97.837040000000002"/>
    <s v="MMR015CMP020"/>
    <x v="0"/>
    <m/>
  </r>
  <r>
    <x v="2"/>
    <x v="2"/>
    <x v="2"/>
    <x v="29"/>
    <x v="405"/>
    <n v="36"/>
    <n v="188"/>
    <m/>
    <m/>
    <m/>
    <m/>
    <s v="No"/>
    <n v="0"/>
    <n v="0"/>
    <m/>
    <m/>
    <m/>
    <m/>
    <m/>
    <m/>
    <m/>
    <m/>
    <m/>
    <m/>
    <m/>
    <m/>
    <n v="0"/>
    <m/>
    <m/>
    <m/>
    <m/>
    <x v="1"/>
    <x v="1"/>
    <m/>
    <m/>
    <m/>
    <m/>
    <m/>
    <m/>
    <m/>
    <m/>
    <m/>
    <m/>
    <x v="0"/>
    <m/>
    <m/>
    <m/>
    <m/>
    <s v="no test"/>
    <s v="no test"/>
    <x v="1"/>
    <n v="0"/>
    <n v="0"/>
    <n v="0"/>
    <n v="0"/>
    <n v="0"/>
    <n v="0"/>
    <n v="0"/>
    <n v="0"/>
    <n v="0"/>
    <n v="1"/>
    <n v="188"/>
    <n v="1"/>
    <n v="1"/>
    <n v="0"/>
    <n v="0"/>
    <n v="0"/>
    <n v="0.95744680851063824"/>
    <n v="9"/>
    <n v="9"/>
    <n v="0"/>
    <n v="0"/>
    <n v="0"/>
    <n v="0"/>
    <n v="0"/>
    <n v="0"/>
    <n v="0"/>
    <n v="0"/>
    <n v="1"/>
    <n v="0"/>
    <n v="0"/>
    <n v="0"/>
    <n v="0"/>
    <n v="0"/>
    <n v="0"/>
    <n v="0"/>
    <n v="0"/>
    <s v="uncovered"/>
    <x v="1"/>
    <x v="0"/>
    <x v="2"/>
    <x v="0"/>
    <n v="0"/>
    <n v="0"/>
    <s v="MMR015CMP222"/>
    <x v="1"/>
    <m/>
  </r>
  <r>
    <x v="2"/>
    <x v="34"/>
    <x v="2"/>
    <x v="29"/>
    <x v="399"/>
    <n v="33"/>
    <n v="143"/>
    <m/>
    <s v="WHH(BMZ, AA)"/>
    <s v="30/4/18, 30/6/18"/>
    <n v="0"/>
    <s v="Yes"/>
    <n v="0.5"/>
    <n v="1"/>
    <m/>
    <n v="1"/>
    <n v="6750"/>
    <m/>
    <n v="6"/>
    <m/>
    <n v="0"/>
    <n v="0"/>
    <n v="0"/>
    <n v="0"/>
    <n v="0"/>
    <m/>
    <n v="18"/>
    <n v="0"/>
    <n v="0"/>
    <m/>
    <n v="18"/>
    <x v="0"/>
    <x v="0"/>
    <n v="0"/>
    <n v="0"/>
    <m/>
    <n v="0.6"/>
    <s v="Communal"/>
    <m/>
    <n v="5"/>
    <n v="2"/>
    <n v="0"/>
    <n v="0"/>
    <x v="0"/>
    <m/>
    <m/>
    <m/>
    <m/>
    <s v="no test"/>
    <s v="no test"/>
    <x v="1"/>
    <n v="1"/>
    <n v="1"/>
    <n v="1"/>
    <n v="143"/>
    <n v="0"/>
    <n v="0"/>
    <n v="1"/>
    <n v="143"/>
    <n v="0.28599999999999998"/>
    <n v="0"/>
    <n v="0"/>
    <n v="0.71399999999999997"/>
    <n v="1"/>
    <n v="18"/>
    <n v="1"/>
    <n v="143"/>
    <n v="0"/>
    <n v="0"/>
    <n v="7"/>
    <n v="0"/>
    <n v="0"/>
    <n v="143"/>
    <n v="0"/>
    <n v="1"/>
    <n v="0"/>
    <n v="0"/>
    <n v="0"/>
    <n v="1"/>
    <n v="1"/>
    <n v="0"/>
    <n v="0"/>
    <n v="0"/>
    <n v="0"/>
    <n v="0"/>
    <n v="19.8"/>
    <s v="Yes"/>
    <s v="KBC"/>
    <x v="1"/>
    <x v="0"/>
    <x v="0"/>
    <x v="0"/>
    <n v="23.250678000000001"/>
    <n v="97.124403000000001"/>
    <s v="MMR015CMP009"/>
    <x v="0"/>
    <m/>
  </r>
  <r>
    <x v="2"/>
    <x v="5"/>
    <x v="2"/>
    <x v="29"/>
    <x v="400"/>
    <n v="29"/>
    <n v="171"/>
    <m/>
    <s v="HARP"/>
    <d v="2018-12-31T00:00:00"/>
    <n v="0"/>
    <s v="Yes"/>
    <n v="0.5"/>
    <n v="1"/>
    <n v="0"/>
    <n v="1"/>
    <n v="7200"/>
    <m/>
    <n v="2"/>
    <m/>
    <n v="2"/>
    <m/>
    <n v="4"/>
    <n v="4"/>
    <n v="4"/>
    <m/>
    <n v="4"/>
    <n v="4"/>
    <n v="4"/>
    <m/>
    <n v="10"/>
    <x v="0"/>
    <x v="2"/>
    <n v="4"/>
    <n v="0"/>
    <m/>
    <n v="1"/>
    <s v="Communal"/>
    <n v="0"/>
    <n v="2"/>
    <n v="2"/>
    <n v="29"/>
    <n v="0"/>
    <x v="2"/>
    <m/>
    <m/>
    <m/>
    <m/>
    <n v="0"/>
    <n v="1"/>
    <x v="0"/>
    <n v="1"/>
    <n v="1"/>
    <n v="1"/>
    <n v="171"/>
    <n v="0"/>
    <n v="0"/>
    <n v="1"/>
    <n v="171"/>
    <n v="0.34200000000000003"/>
    <n v="0"/>
    <n v="0"/>
    <n v="0.65799999999999992"/>
    <n v="1"/>
    <n v="8"/>
    <n v="0.46783625730994149"/>
    <n v="80"/>
    <n v="0.11695906432748537"/>
    <n v="1"/>
    <n v="9"/>
    <n v="0.5"/>
    <n v="80"/>
    <n v="171"/>
    <n v="0"/>
    <n v="1"/>
    <n v="1"/>
    <n v="171"/>
    <n v="1"/>
    <n v="0"/>
    <n v="1"/>
    <n v="1"/>
    <n v="0"/>
    <n v="145"/>
    <n v="0"/>
    <n v="145"/>
    <n v="29"/>
    <s v="Yes"/>
    <s v="KMSS-LSO"/>
    <x v="1"/>
    <x v="0"/>
    <x v="0"/>
    <x v="0"/>
    <n v="23.24661"/>
    <n v="97.116680000000002"/>
    <s v="MMR015CMP209"/>
    <x v="0"/>
    <m/>
  </r>
  <r>
    <x v="2"/>
    <x v="2"/>
    <x v="2"/>
    <x v="30"/>
    <x v="401"/>
    <n v="152"/>
    <n v="779"/>
    <m/>
    <m/>
    <m/>
    <m/>
    <s v="No"/>
    <n v="0"/>
    <n v="0"/>
    <m/>
    <m/>
    <m/>
    <m/>
    <m/>
    <m/>
    <m/>
    <m/>
    <m/>
    <m/>
    <m/>
    <m/>
    <n v="0"/>
    <m/>
    <m/>
    <m/>
    <m/>
    <x v="1"/>
    <x v="1"/>
    <m/>
    <m/>
    <m/>
    <m/>
    <m/>
    <m/>
    <m/>
    <m/>
    <m/>
    <m/>
    <x v="0"/>
    <m/>
    <m/>
    <m/>
    <m/>
    <s v="no test"/>
    <s v="no test"/>
    <x v="1"/>
    <n v="0"/>
    <n v="0"/>
    <n v="0"/>
    <n v="0"/>
    <n v="0"/>
    <n v="0"/>
    <n v="0"/>
    <n v="0"/>
    <n v="0"/>
    <n v="1"/>
    <n v="779"/>
    <n v="2"/>
    <n v="2"/>
    <n v="0"/>
    <n v="0"/>
    <n v="0"/>
    <n v="1"/>
    <n v="39"/>
    <n v="39"/>
    <n v="0"/>
    <n v="0"/>
    <n v="0"/>
    <n v="0"/>
    <n v="0"/>
    <n v="0"/>
    <n v="0"/>
    <n v="0"/>
    <n v="1"/>
    <n v="0"/>
    <n v="0"/>
    <n v="0"/>
    <n v="0"/>
    <n v="0"/>
    <n v="0"/>
    <n v="0"/>
    <s v="Yes"/>
    <s v="KBC"/>
    <x v="1"/>
    <x v="0"/>
    <x v="0"/>
    <x v="0"/>
    <n v="24.08738"/>
    <n v="98.115809999999996"/>
    <s v="MMR015CMP247"/>
    <x v="1"/>
    <m/>
  </r>
  <r>
    <x v="2"/>
    <x v="3"/>
    <x v="2"/>
    <x v="30"/>
    <x v="402"/>
    <n v="154"/>
    <n v="779"/>
    <m/>
    <s v="SCI, ADRA/CANADA"/>
    <d v="2019-11-30T00:00:00"/>
    <n v="0"/>
    <s v="Yes"/>
    <n v="0.5"/>
    <n v="0.8"/>
    <n v="0"/>
    <n v="1"/>
    <m/>
    <m/>
    <n v="0"/>
    <m/>
    <n v="0"/>
    <n v="0"/>
    <n v="0"/>
    <n v="0"/>
    <n v="0"/>
    <m/>
    <n v="60"/>
    <n v="0"/>
    <n v="0"/>
    <m/>
    <n v="0"/>
    <x v="0"/>
    <x v="0"/>
    <m/>
    <m/>
    <m/>
    <n v="1"/>
    <s v="Communal"/>
    <n v="0"/>
    <n v="11"/>
    <n v="3"/>
    <n v="0"/>
    <n v="0"/>
    <x v="0"/>
    <m/>
    <m/>
    <m/>
    <m/>
    <s v="no test"/>
    <s v="no test"/>
    <x v="1"/>
    <n v="1"/>
    <n v="0.3209242618741977"/>
    <n v="1"/>
    <n v="779"/>
    <n v="0"/>
    <n v="0"/>
    <n v="1"/>
    <n v="779"/>
    <n v="1.5580000000000001"/>
    <n v="0"/>
    <n v="0"/>
    <n v="0.44199999999999995"/>
    <n v="2"/>
    <n v="60"/>
    <n v="1"/>
    <n v="779"/>
    <n v="0"/>
    <n v="0"/>
    <n v="39"/>
    <n v="0"/>
    <n v="0"/>
    <n v="779"/>
    <n v="0"/>
    <n v="1"/>
    <n v="0"/>
    <n v="0"/>
    <n v="0"/>
    <n v="1"/>
    <n v="1"/>
    <n v="0"/>
    <n v="0"/>
    <n v="0"/>
    <n v="0"/>
    <n v="0"/>
    <n v="154"/>
    <n v="0"/>
    <n v="0"/>
    <x v="1"/>
    <x v="0"/>
    <x v="3"/>
    <x v="0"/>
    <n v="24.08738"/>
    <n v="98.115809999999996"/>
    <s v="MMR015CMP022"/>
    <x v="0"/>
    <m/>
  </r>
  <r>
    <x v="2"/>
    <x v="3"/>
    <x v="2"/>
    <x v="30"/>
    <x v="429"/>
    <n v="27"/>
    <n v="134"/>
    <m/>
    <m/>
    <m/>
    <m/>
    <s v="Yes"/>
    <s v="NA"/>
    <s v="NA"/>
    <n v="0"/>
    <n v="0"/>
    <m/>
    <m/>
    <n v="0"/>
    <m/>
    <n v="0"/>
    <n v="0"/>
    <n v="0"/>
    <n v="0"/>
    <n v="0"/>
    <m/>
    <n v="0"/>
    <n v="0"/>
    <n v="0"/>
    <m/>
    <n v="0"/>
    <x v="1"/>
    <x v="1"/>
    <m/>
    <m/>
    <m/>
    <m/>
    <m/>
    <n v="0"/>
    <m/>
    <m/>
    <n v="0"/>
    <n v="0"/>
    <x v="0"/>
    <m/>
    <m/>
    <m/>
    <m/>
    <s v="no test"/>
    <s v="no test"/>
    <x v="1"/>
    <n v="0"/>
    <n v="0"/>
    <n v="0"/>
    <n v="0"/>
    <n v="0"/>
    <n v="0"/>
    <n v="0"/>
    <n v="0"/>
    <n v="0"/>
    <n v="1"/>
    <n v="134"/>
    <n v="1"/>
    <n v="1"/>
    <n v="0"/>
    <n v="0"/>
    <n v="0"/>
    <n v="1"/>
    <n v="7"/>
    <n v="7"/>
    <n v="0"/>
    <n v="0"/>
    <n v="0"/>
    <n v="0"/>
    <n v="0"/>
    <n v="0"/>
    <n v="0"/>
    <n v="0"/>
    <n v="1"/>
    <n v="0"/>
    <n v="0"/>
    <n v="0"/>
    <n v="0"/>
    <n v="0"/>
    <n v="0"/>
    <n v="0"/>
    <n v="0"/>
    <n v="0"/>
    <x v="1"/>
    <x v="0"/>
    <x v="3"/>
    <x v="0"/>
    <n v="0"/>
    <n v="0"/>
    <s v="MMR015CMP236"/>
    <x v="0"/>
    <m/>
  </r>
  <r>
    <x v="2"/>
    <x v="31"/>
    <x v="2"/>
    <x v="30"/>
    <x v="403"/>
    <n v="51"/>
    <n v="207"/>
    <m/>
    <s v="WHH(BMZ, AA),SCI, ADRA/CANADA"/>
    <s v="30/4/18, 30/6/18,11/30/2019"/>
    <n v="0"/>
    <s v="Yes"/>
    <n v="0.5"/>
    <n v="1"/>
    <n v="0"/>
    <n v="1"/>
    <n v="7200"/>
    <m/>
    <n v="8"/>
    <m/>
    <n v="0"/>
    <n v="0"/>
    <n v="0"/>
    <n v="0"/>
    <n v="0"/>
    <m/>
    <n v="12"/>
    <n v="0"/>
    <n v="0"/>
    <m/>
    <n v="9"/>
    <x v="0"/>
    <x v="0"/>
    <m/>
    <m/>
    <m/>
    <n v="0.7"/>
    <s v="Communal"/>
    <n v="0"/>
    <n v="3"/>
    <n v="1"/>
    <n v="0"/>
    <n v="0"/>
    <x v="0"/>
    <m/>
    <m/>
    <m/>
    <m/>
    <s v="no test"/>
    <s v="no test"/>
    <x v="1"/>
    <n v="1"/>
    <n v="1"/>
    <n v="1"/>
    <n v="207"/>
    <n v="0"/>
    <n v="0"/>
    <n v="1"/>
    <n v="207"/>
    <n v="0.41399999999999998"/>
    <n v="0"/>
    <n v="0"/>
    <n v="0.58600000000000008"/>
    <n v="1"/>
    <n v="12"/>
    <n v="1"/>
    <n v="207"/>
    <n v="0"/>
    <n v="0"/>
    <n v="10"/>
    <n v="0"/>
    <n v="0"/>
    <n v="207"/>
    <n v="0"/>
    <n v="1"/>
    <n v="0"/>
    <n v="0"/>
    <n v="0"/>
    <n v="1"/>
    <n v="1"/>
    <n v="0"/>
    <n v="0"/>
    <n v="0"/>
    <n v="0"/>
    <n v="0"/>
    <n v="35.699999999999996"/>
    <s v="Yes"/>
    <s v="KBC"/>
    <x v="1"/>
    <x v="0"/>
    <x v="0"/>
    <x v="0"/>
    <n v="24.006319999999999"/>
    <n v="97.909400000000005"/>
    <s v="MMR015CMP213"/>
    <x v="0"/>
    <m/>
  </r>
  <r>
    <x v="2"/>
    <x v="5"/>
    <x v="2"/>
    <x v="30"/>
    <x v="404"/>
    <n v="22"/>
    <n v="80"/>
    <m/>
    <s v="HARP"/>
    <d v="2018-12-31T00:00:00"/>
    <n v="0"/>
    <s v="Yes"/>
    <n v="0.5"/>
    <n v="1"/>
    <n v="1"/>
    <n v="1"/>
    <n v="7200"/>
    <m/>
    <n v="4"/>
    <m/>
    <n v="2"/>
    <m/>
    <n v="4"/>
    <n v="4"/>
    <n v="4"/>
    <m/>
    <n v="8"/>
    <n v="0"/>
    <n v="0"/>
    <m/>
    <n v="4"/>
    <x v="0"/>
    <x v="2"/>
    <n v="0"/>
    <n v="1"/>
    <m/>
    <n v="1"/>
    <s v="Communal"/>
    <n v="1"/>
    <n v="0"/>
    <n v="2"/>
    <n v="22"/>
    <n v="0"/>
    <x v="2"/>
    <m/>
    <m/>
    <m/>
    <m/>
    <n v="0"/>
    <n v="1"/>
    <x v="0"/>
    <n v="1"/>
    <n v="1"/>
    <n v="1"/>
    <n v="80"/>
    <n v="0"/>
    <n v="0"/>
    <n v="1"/>
    <n v="80"/>
    <n v="0.16"/>
    <n v="0"/>
    <n v="0"/>
    <n v="0.84"/>
    <n v="1"/>
    <n v="8"/>
    <n v="1"/>
    <n v="80"/>
    <n v="0"/>
    <n v="0"/>
    <n v="4"/>
    <n v="0"/>
    <n v="0"/>
    <n v="80"/>
    <n v="0"/>
    <n v="1"/>
    <n v="1"/>
    <n v="80"/>
    <n v="1"/>
    <n v="0"/>
    <n v="1"/>
    <n v="1"/>
    <n v="0"/>
    <n v="110"/>
    <n v="0"/>
    <n v="110"/>
    <n v="22"/>
    <s v="Yes"/>
    <s v="KMSS-LSO"/>
    <x v="1"/>
    <x v="0"/>
    <x v="0"/>
    <x v="0"/>
    <n v="24.006789000000001"/>
    <n v="97.911647000000002"/>
    <s v="MMR015CMP216"/>
    <x v="0"/>
    <m/>
  </r>
  <r>
    <x v="2"/>
    <x v="1"/>
    <x v="2"/>
    <x v="30"/>
    <x v="418"/>
    <n v="7"/>
    <n v="44"/>
    <m/>
    <m/>
    <m/>
    <m/>
    <s v="NA"/>
    <s v="NA"/>
    <s v="NA"/>
    <n v="0"/>
    <n v="0"/>
    <m/>
    <m/>
    <n v="2"/>
    <m/>
    <m/>
    <m/>
    <m/>
    <m/>
    <m/>
    <m/>
    <n v="9"/>
    <m/>
    <m/>
    <m/>
    <n v="9"/>
    <x v="0"/>
    <x v="0"/>
    <m/>
    <m/>
    <m/>
    <n v="0"/>
    <m/>
    <n v="0"/>
    <m/>
    <m/>
    <m/>
    <m/>
    <x v="0"/>
    <m/>
    <m/>
    <m/>
    <m/>
    <s v="no test"/>
    <s v="no test"/>
    <x v="1"/>
    <n v="0"/>
    <n v="0"/>
    <n v="0"/>
    <n v="0"/>
    <n v="0"/>
    <n v="0"/>
    <n v="0"/>
    <n v="0"/>
    <n v="0"/>
    <n v="1"/>
    <n v="44"/>
    <n v="1"/>
    <n v="1"/>
    <n v="9"/>
    <n v="1"/>
    <n v="44"/>
    <n v="0"/>
    <n v="0"/>
    <n v="2"/>
    <n v="0"/>
    <n v="0"/>
    <n v="0"/>
    <n v="0"/>
    <n v="0"/>
    <n v="0"/>
    <n v="0"/>
    <n v="0"/>
    <n v="1"/>
    <n v="0"/>
    <n v="0"/>
    <n v="0"/>
    <n v="0"/>
    <n v="0"/>
    <n v="0"/>
    <n v="0"/>
    <n v="0"/>
    <n v="0"/>
    <x v="1"/>
    <x v="0"/>
    <x v="3"/>
    <x v="1"/>
    <n v="23.933098999999999"/>
    <n v="98.139397000000002"/>
    <s v="MMR015CMP139"/>
    <x v="0"/>
    <m/>
  </r>
  <r>
    <x v="2"/>
    <x v="24"/>
    <x v="2"/>
    <x v="31"/>
    <x v="407"/>
    <n v="62"/>
    <n v="301"/>
    <m/>
    <s v="Plan/GFFO,ADRA/CANADA  "/>
    <d v="2019-12-31T00:00:00"/>
    <n v="0"/>
    <s v="Yes"/>
    <n v="0.67"/>
    <n v="1"/>
    <n v="0"/>
    <n v="0"/>
    <n v="0"/>
    <n v="0"/>
    <n v="0"/>
    <m/>
    <n v="0"/>
    <n v="0"/>
    <n v="0"/>
    <n v="0"/>
    <n v="0"/>
    <m/>
    <n v="10"/>
    <n v="0"/>
    <n v="0"/>
    <m/>
    <n v="10"/>
    <x v="0"/>
    <x v="4"/>
    <n v="0"/>
    <n v="0"/>
    <m/>
    <n v="0"/>
    <s v="Communal"/>
    <n v="0"/>
    <n v="2"/>
    <n v="1"/>
    <n v="0"/>
    <n v="0"/>
    <x v="0"/>
    <m/>
    <m/>
    <m/>
    <m/>
    <s v="no test"/>
    <s v="no test"/>
    <x v="1"/>
    <n v="0"/>
    <n v="0"/>
    <n v="0"/>
    <n v="0"/>
    <n v="0"/>
    <n v="0"/>
    <n v="0"/>
    <n v="0"/>
    <n v="0"/>
    <n v="1"/>
    <n v="301"/>
    <n v="1"/>
    <n v="1"/>
    <n v="10"/>
    <n v="0.66445182724252494"/>
    <n v="200"/>
    <n v="0.33222591362126247"/>
    <n v="5"/>
    <n v="15"/>
    <n v="0"/>
    <n v="0"/>
    <n v="301"/>
    <n v="0"/>
    <n v="1"/>
    <n v="0"/>
    <n v="0"/>
    <n v="0"/>
    <n v="1"/>
    <n v="1"/>
    <n v="0"/>
    <n v="0"/>
    <n v="0"/>
    <n v="0"/>
    <n v="0"/>
    <n v="0"/>
    <n v="0"/>
    <s v="uncovered"/>
    <x v="1"/>
    <x v="0"/>
    <x v="2"/>
    <x v="0"/>
    <n v="23.611999999999998"/>
    <n v="97.506"/>
    <s v="MMR015CMP224"/>
    <x v="0"/>
    <m/>
  </r>
  <r>
    <x v="2"/>
    <x v="35"/>
    <x v="2"/>
    <x v="31"/>
    <x v="406"/>
    <n v="74"/>
    <n v="391"/>
    <m/>
    <s v="MHF,HARP"/>
    <s v="11/17/2018,12/31/2018"/>
    <n v="0"/>
    <s v="Yes"/>
    <n v="0.4"/>
    <n v="0.2"/>
    <n v="0"/>
    <n v="1"/>
    <n v="14400"/>
    <m/>
    <n v="4"/>
    <m/>
    <n v="2"/>
    <m/>
    <n v="4"/>
    <n v="4"/>
    <n v="4"/>
    <m/>
    <n v="17"/>
    <n v="4"/>
    <n v="0"/>
    <m/>
    <n v="5"/>
    <x v="0"/>
    <x v="0"/>
    <m/>
    <m/>
    <m/>
    <n v="1"/>
    <s v="Communal"/>
    <m/>
    <n v="2"/>
    <n v="2"/>
    <n v="74"/>
    <m/>
    <x v="2"/>
    <m/>
    <m/>
    <m/>
    <m/>
    <n v="0"/>
    <n v="1"/>
    <x v="0"/>
    <n v="1"/>
    <n v="1"/>
    <n v="1"/>
    <n v="391"/>
    <n v="0"/>
    <n v="0"/>
    <n v="1"/>
    <n v="391"/>
    <n v="0.78200000000000003"/>
    <n v="0"/>
    <n v="0"/>
    <n v="0.21799999999999997"/>
    <n v="1"/>
    <n v="21"/>
    <n v="0.86956521739130432"/>
    <n v="340"/>
    <n v="0"/>
    <n v="0"/>
    <n v="20"/>
    <n v="0.19047619047619047"/>
    <n v="0"/>
    <n v="391"/>
    <n v="0"/>
    <n v="1"/>
    <n v="1"/>
    <n v="391"/>
    <n v="1"/>
    <n v="0"/>
    <n v="1"/>
    <n v="1"/>
    <n v="0"/>
    <n v="370"/>
    <n v="0"/>
    <n v="370"/>
    <n v="74"/>
    <s v="Yes"/>
    <s v="KBC"/>
    <x v="1"/>
    <x v="0"/>
    <x v="0"/>
    <x v="0"/>
    <n v="23.821380000000001"/>
    <n v="97.681970000000007"/>
    <s v="MMR015CMP004"/>
    <x v="0"/>
    <m/>
  </r>
  <r>
    <x v="2"/>
    <x v="36"/>
    <x v="2"/>
    <x v="31"/>
    <x v="410"/>
    <n v="69"/>
    <n v="359"/>
    <m/>
    <s v="MHF,ADRA/CANADA"/>
    <s v="11/17/2018,1/31/2018"/>
    <n v="0"/>
    <s v="Yes"/>
    <n v="0.4"/>
    <n v="0.2"/>
    <n v="0"/>
    <n v="1"/>
    <n v="29964"/>
    <n v="0"/>
    <n v="0"/>
    <m/>
    <n v="0"/>
    <n v="0"/>
    <n v="0"/>
    <n v="0"/>
    <n v="0"/>
    <m/>
    <n v="10"/>
    <n v="0"/>
    <n v="0"/>
    <m/>
    <n v="10"/>
    <x v="0"/>
    <x v="0"/>
    <m/>
    <m/>
    <m/>
    <n v="1"/>
    <s v="Communal"/>
    <n v="0"/>
    <n v="2"/>
    <n v="1"/>
    <n v="100"/>
    <n v="0"/>
    <x v="0"/>
    <m/>
    <m/>
    <m/>
    <m/>
    <s v="no test"/>
    <s v="no test"/>
    <x v="1"/>
    <n v="1"/>
    <n v="1"/>
    <n v="1"/>
    <n v="359"/>
    <n v="0"/>
    <n v="0"/>
    <n v="1"/>
    <n v="359"/>
    <n v="0.71799999999999997"/>
    <n v="0"/>
    <n v="0"/>
    <n v="0.28200000000000003"/>
    <n v="1"/>
    <n v="10"/>
    <n v="0.55710306406685239"/>
    <n v="200"/>
    <n v="0.44568245125348194"/>
    <n v="8"/>
    <n v="18"/>
    <n v="0"/>
    <n v="0"/>
    <n v="359"/>
    <n v="0"/>
    <n v="1"/>
    <n v="1"/>
    <n v="359"/>
    <n v="1"/>
    <n v="0"/>
    <n v="1"/>
    <n v="1"/>
    <n v="0"/>
    <n v="500"/>
    <n v="0"/>
    <n v="500"/>
    <n v="69"/>
    <s v="Yes"/>
    <s v="KBC"/>
    <x v="1"/>
    <x v="0"/>
    <x v="0"/>
    <x v="0"/>
    <n v="23.828520000000001"/>
    <n v="97.669557999999995"/>
    <s v="MMR015CMP001"/>
    <x v="0"/>
    <m/>
  </r>
  <r>
    <x v="2"/>
    <x v="22"/>
    <x v="2"/>
    <x v="31"/>
    <x v="411"/>
    <n v="36"/>
    <n v="179"/>
    <m/>
    <s v="MHF,WHH(BMZ, AA),ECHO,ADRA/CANADA"/>
    <s v="11/17/2018,30/4/18, 30/6/18,1/31/2018"/>
    <m/>
    <s v="Yes"/>
    <n v="0.56999999999999995"/>
    <n v="0.14000000000000001"/>
    <n v="0"/>
    <n v="2"/>
    <n v="24000"/>
    <n v="0"/>
    <n v="6"/>
    <m/>
    <n v="0"/>
    <n v="0"/>
    <n v="0"/>
    <n v="0"/>
    <n v="0"/>
    <m/>
    <n v="17"/>
    <n v="0"/>
    <n v="0"/>
    <m/>
    <n v="17"/>
    <x v="4"/>
    <x v="0"/>
    <n v="0"/>
    <n v="0"/>
    <m/>
    <n v="1"/>
    <s v="Communal"/>
    <n v="0"/>
    <n v="1"/>
    <n v="2"/>
    <n v="100"/>
    <n v="100"/>
    <x v="0"/>
    <m/>
    <m/>
    <m/>
    <m/>
    <s v="no test"/>
    <s v="no test"/>
    <x v="1"/>
    <n v="1"/>
    <n v="1"/>
    <n v="1"/>
    <n v="179"/>
    <n v="0"/>
    <n v="0"/>
    <n v="1"/>
    <n v="179"/>
    <n v="0.35799999999999998"/>
    <n v="0"/>
    <n v="0"/>
    <n v="0.64200000000000002"/>
    <n v="1"/>
    <n v="17"/>
    <n v="1"/>
    <n v="179"/>
    <n v="0"/>
    <n v="0"/>
    <n v="9"/>
    <n v="0"/>
    <n v="0"/>
    <n v="179"/>
    <n v="1"/>
    <n v="1"/>
    <n v="1"/>
    <n v="179"/>
    <n v="1"/>
    <n v="0"/>
    <n v="1"/>
    <n v="1"/>
    <n v="1"/>
    <n v="500"/>
    <n v="500"/>
    <n v="500"/>
    <n v="36"/>
    <s v="Yes"/>
    <s v="KBC"/>
    <x v="1"/>
    <x v="0"/>
    <x v="0"/>
    <x v="0"/>
    <n v="23.841646999999998"/>
    <n v="97.700940000000003"/>
    <s v="MMR015CMP214"/>
    <x v="0"/>
    <m/>
  </r>
  <r>
    <x v="2"/>
    <x v="35"/>
    <x v="2"/>
    <x v="31"/>
    <x v="409"/>
    <n v="44"/>
    <n v="214"/>
    <n v="115"/>
    <s v="MHF,HARP"/>
    <s v="11/17/2018,12/31/2018"/>
    <n v="0"/>
    <s v="Yes"/>
    <n v="0.4"/>
    <n v="0.4"/>
    <n v="1"/>
    <n v="1"/>
    <n v="10800"/>
    <m/>
    <n v="4"/>
    <m/>
    <n v="2"/>
    <m/>
    <n v="4"/>
    <n v="4"/>
    <n v="4"/>
    <m/>
    <n v="16"/>
    <n v="3"/>
    <n v="1"/>
    <m/>
    <n v="17"/>
    <x v="0"/>
    <x v="0"/>
    <m/>
    <m/>
    <m/>
    <n v="1"/>
    <s v="Communal"/>
    <m/>
    <n v="2"/>
    <n v="4"/>
    <n v="43"/>
    <m/>
    <x v="2"/>
    <m/>
    <m/>
    <m/>
    <m/>
    <n v="0"/>
    <n v="1"/>
    <x v="0"/>
    <n v="1"/>
    <n v="1"/>
    <n v="1"/>
    <n v="214"/>
    <n v="0"/>
    <n v="0"/>
    <n v="1"/>
    <n v="214"/>
    <n v="0.42799999999999999"/>
    <n v="0"/>
    <n v="0"/>
    <n v="0.57200000000000006"/>
    <n v="1"/>
    <n v="19"/>
    <n v="1"/>
    <n v="214"/>
    <n v="0"/>
    <n v="0"/>
    <n v="11"/>
    <n v="0.15789473684210525"/>
    <n v="20"/>
    <n v="214"/>
    <n v="0"/>
    <n v="1"/>
    <n v="0"/>
    <n v="0"/>
    <n v="0"/>
    <n v="1"/>
    <n v="1"/>
    <n v="0.97727272727272729"/>
    <n v="0"/>
    <n v="215"/>
    <n v="0"/>
    <n v="215"/>
    <n v="44"/>
    <s v="Yes"/>
    <s v="KMSS-LSO"/>
    <x v="1"/>
    <x v="0"/>
    <x v="0"/>
    <x v="0"/>
    <n v="23.828150000000001"/>
    <n v="97.670360000000002"/>
    <s v="MMR015CMP003"/>
    <x v="0"/>
    <m/>
  </r>
  <r>
    <x v="2"/>
    <x v="24"/>
    <x v="2"/>
    <x v="31"/>
    <x v="414"/>
    <n v="121"/>
    <n v="504"/>
    <m/>
    <s v="MHF,WHH(BMZ, AA),ECHO"/>
    <s v="11/17/2018,30/4/18, 30/6/18"/>
    <n v="0"/>
    <s v="Yes"/>
    <n v="0.5"/>
    <n v="1"/>
    <m/>
    <n v="1"/>
    <n v="14400"/>
    <m/>
    <n v="2"/>
    <m/>
    <n v="0"/>
    <n v="0"/>
    <n v="0"/>
    <n v="0"/>
    <n v="0"/>
    <m/>
    <n v="13"/>
    <n v="3"/>
    <n v="0"/>
    <m/>
    <n v="16"/>
    <x v="0"/>
    <x v="0"/>
    <n v="0"/>
    <n v="0"/>
    <m/>
    <n v="1"/>
    <s v="Communal"/>
    <m/>
    <n v="4"/>
    <n v="2"/>
    <n v="121"/>
    <n v="0"/>
    <x v="0"/>
    <m/>
    <m/>
    <m/>
    <m/>
    <s v="no test"/>
    <s v="no test"/>
    <x v="1"/>
    <n v="1"/>
    <n v="1"/>
    <n v="1"/>
    <n v="504"/>
    <n v="0"/>
    <n v="0"/>
    <n v="1"/>
    <n v="504"/>
    <n v="1.008"/>
    <n v="0"/>
    <n v="0"/>
    <n v="0"/>
    <n v="1"/>
    <n v="16"/>
    <n v="0.51587301587301593"/>
    <n v="260"/>
    <n v="0.35714285714285715"/>
    <n v="9"/>
    <n v="25"/>
    <n v="0.1875"/>
    <n v="0"/>
    <n v="504"/>
    <n v="0"/>
    <n v="1"/>
    <n v="1"/>
    <n v="504"/>
    <n v="1"/>
    <n v="0"/>
    <n v="1"/>
    <n v="1"/>
    <n v="0"/>
    <n v="605"/>
    <n v="0"/>
    <n v="605"/>
    <n v="121"/>
    <s v="Yes"/>
    <s v="KBC"/>
    <x v="1"/>
    <x v="0"/>
    <x v="0"/>
    <x v="0"/>
    <n v="23.838190000000001"/>
    <n v="97.709879999999998"/>
    <s v="MMR015CMP215"/>
    <x v="0"/>
    <m/>
  </r>
  <r>
    <x v="2"/>
    <x v="24"/>
    <x v="2"/>
    <x v="28"/>
    <x v="388"/>
    <n v="69"/>
    <n v="282"/>
    <n v="72"/>
    <s v="MHF,WHH(BMZ, AA)"/>
    <s v="11/17/2018,30/4/18, 30/6/18"/>
    <m/>
    <s v="Yes"/>
    <n v="0.4"/>
    <n v="0.2"/>
    <n v="2"/>
    <m/>
    <n v="7500"/>
    <m/>
    <n v="1"/>
    <m/>
    <n v="0"/>
    <n v="0"/>
    <n v="0"/>
    <n v="0"/>
    <n v="0"/>
    <m/>
    <n v="16"/>
    <n v="0"/>
    <n v="0"/>
    <m/>
    <n v="16"/>
    <x v="0"/>
    <x v="0"/>
    <n v="0"/>
    <n v="0"/>
    <m/>
    <n v="1"/>
    <s v="Communal"/>
    <m/>
    <n v="2"/>
    <n v="1"/>
    <n v="59"/>
    <n v="0"/>
    <x v="0"/>
    <m/>
    <m/>
    <m/>
    <m/>
    <s v="no test"/>
    <s v="no test"/>
    <x v="1"/>
    <n v="1"/>
    <n v="1"/>
    <n v="1"/>
    <n v="282"/>
    <n v="0"/>
    <n v="0"/>
    <n v="1"/>
    <n v="282"/>
    <n v="0.56399999999999995"/>
    <n v="0"/>
    <n v="0"/>
    <n v="0.43600000000000005"/>
    <n v="1"/>
    <n v="16"/>
    <n v="1"/>
    <n v="282"/>
    <n v="0"/>
    <n v="0"/>
    <n v="14"/>
    <n v="0"/>
    <n v="0"/>
    <n v="282"/>
    <n v="0"/>
    <n v="1"/>
    <n v="0"/>
    <n v="0"/>
    <n v="0"/>
    <n v="1"/>
    <n v="1"/>
    <n v="0.85507246376811596"/>
    <n v="0"/>
    <n v="295"/>
    <n v="0"/>
    <n v="295"/>
    <n v="69"/>
    <s v="Yes"/>
    <s v="KMSS-LSO"/>
    <x v="1"/>
    <x v="0"/>
    <x v="0"/>
    <x v="0"/>
    <n v="23.099304"/>
    <n v="97.400671000000003"/>
    <s v="MMR015CMP248"/>
    <x v="0"/>
    <m/>
  </r>
  <r>
    <x v="2"/>
    <x v="7"/>
    <x v="2"/>
    <x v="28"/>
    <x v="390"/>
    <n v="58"/>
    <n v="257"/>
    <m/>
    <s v="MHF"/>
    <d v="2018-11-17T00:00:00"/>
    <m/>
    <s v="Yes"/>
    <n v="0.28999999999999998"/>
    <n v="0.28999999999999998"/>
    <n v="0"/>
    <n v="1"/>
    <n v="7500"/>
    <n v="0"/>
    <n v="1"/>
    <m/>
    <n v="0"/>
    <n v="0"/>
    <n v="0"/>
    <n v="0"/>
    <n v="0"/>
    <m/>
    <n v="10"/>
    <n v="0"/>
    <n v="0"/>
    <m/>
    <n v="10"/>
    <x v="0"/>
    <x v="4"/>
    <n v="0"/>
    <n v="0"/>
    <m/>
    <n v="0"/>
    <m/>
    <n v="0"/>
    <n v="1"/>
    <n v="1"/>
    <n v="58"/>
    <n v="0"/>
    <x v="0"/>
    <m/>
    <m/>
    <m/>
    <m/>
    <s v="no test"/>
    <s v="no test"/>
    <x v="1"/>
    <n v="1"/>
    <n v="1"/>
    <n v="1"/>
    <n v="257"/>
    <n v="0"/>
    <n v="0"/>
    <n v="1"/>
    <n v="257"/>
    <n v="0.51400000000000001"/>
    <n v="0"/>
    <n v="0"/>
    <n v="0.48599999999999999"/>
    <n v="1"/>
    <n v="10"/>
    <n v="0.77821011673151752"/>
    <n v="200"/>
    <n v="0.23346303501945526"/>
    <n v="3"/>
    <n v="13"/>
    <n v="0"/>
    <n v="0"/>
    <n v="257"/>
    <n v="0"/>
    <n v="1"/>
    <n v="1"/>
    <n v="257"/>
    <n v="1"/>
    <n v="0"/>
    <n v="1"/>
    <n v="1"/>
    <n v="0"/>
    <n v="290"/>
    <n v="0"/>
    <n v="290"/>
    <n v="0"/>
    <n v="0"/>
    <n v="0"/>
    <x v="0"/>
    <x v="0"/>
    <x v="0"/>
    <x v="0"/>
    <n v="0"/>
    <n v="0"/>
    <n v="0"/>
    <x v="0"/>
    <m/>
  </r>
  <r>
    <x v="2"/>
    <x v="1"/>
    <x v="2"/>
    <x v="28"/>
    <x v="413"/>
    <n v="28"/>
    <n v="128"/>
    <m/>
    <s v="WHH(BMZ, AA)"/>
    <s v="30/4/18, 30/6/18"/>
    <n v="0"/>
    <s v="No"/>
    <n v="0"/>
    <n v="0"/>
    <m/>
    <n v="1"/>
    <n v="1800"/>
    <m/>
    <n v="2"/>
    <m/>
    <n v="0"/>
    <n v="0"/>
    <n v="0"/>
    <n v="0"/>
    <n v="0"/>
    <m/>
    <n v="7"/>
    <n v="0"/>
    <n v="0"/>
    <m/>
    <n v="5"/>
    <x v="0"/>
    <x v="0"/>
    <n v="0"/>
    <n v="0"/>
    <m/>
    <n v="0.7"/>
    <s v="Communal"/>
    <m/>
    <n v="2"/>
    <n v="2"/>
    <n v="0"/>
    <n v="0"/>
    <x v="0"/>
    <m/>
    <m/>
    <m/>
    <m/>
    <s v="no test"/>
    <s v="no test"/>
    <x v="1"/>
    <n v="1"/>
    <n v="1"/>
    <n v="1"/>
    <n v="128"/>
    <n v="0"/>
    <n v="0"/>
    <n v="1"/>
    <n v="128"/>
    <n v="0.25600000000000001"/>
    <n v="0"/>
    <n v="0"/>
    <n v="0.74399999999999999"/>
    <n v="1"/>
    <n v="7"/>
    <n v="1"/>
    <n v="128"/>
    <n v="0"/>
    <n v="0"/>
    <n v="6"/>
    <n v="0"/>
    <n v="0"/>
    <n v="128"/>
    <n v="0"/>
    <n v="1"/>
    <n v="0"/>
    <n v="0"/>
    <n v="0"/>
    <n v="1"/>
    <n v="1"/>
    <n v="0"/>
    <n v="0"/>
    <n v="0"/>
    <n v="0"/>
    <n v="0"/>
    <n v="19.599999999999998"/>
    <s v="Yes"/>
    <s v="KMSS-LSO"/>
    <x v="1"/>
    <x v="0"/>
    <x v="0"/>
    <x v="0"/>
    <n v="0"/>
    <n v="0"/>
    <s v="MMR015CMP232"/>
    <x v="0"/>
    <m/>
  </r>
  <r>
    <x v="2"/>
    <x v="37"/>
    <x v="2"/>
    <x v="28"/>
    <x v="412"/>
    <n v="57"/>
    <n v="263"/>
    <m/>
    <s v="MHF,ADRA/CANADA,WHH(BMZ, AA)"/>
    <s v="11/17/2018,1/31/2018,30/4/18, 30/6/18"/>
    <m/>
    <s v="Yes"/>
    <n v="0.8"/>
    <n v="0.5"/>
    <n v="0"/>
    <n v="1"/>
    <n v="7500"/>
    <n v="0"/>
    <n v="7"/>
    <m/>
    <n v="0"/>
    <n v="0"/>
    <n v="0"/>
    <n v="0"/>
    <n v="0"/>
    <m/>
    <n v="16"/>
    <n v="0"/>
    <n v="0"/>
    <m/>
    <n v="16"/>
    <x v="0"/>
    <x v="0"/>
    <n v="0"/>
    <n v="0"/>
    <m/>
    <n v="0.8"/>
    <s v="Communal"/>
    <n v="0"/>
    <n v="4"/>
    <n v="2"/>
    <n v="48"/>
    <n v="0"/>
    <x v="0"/>
    <m/>
    <m/>
    <m/>
    <m/>
    <s v="no test"/>
    <s v="no test"/>
    <x v="1"/>
    <n v="1"/>
    <n v="1"/>
    <n v="1"/>
    <n v="263"/>
    <n v="0"/>
    <n v="0"/>
    <n v="1"/>
    <n v="263"/>
    <n v="0.52600000000000002"/>
    <n v="0"/>
    <n v="0"/>
    <n v="0.47399999999999998"/>
    <n v="1"/>
    <n v="16"/>
    <n v="1"/>
    <n v="263"/>
    <n v="0"/>
    <n v="0"/>
    <n v="13"/>
    <n v="0"/>
    <n v="0"/>
    <n v="263"/>
    <n v="0"/>
    <n v="1"/>
    <n v="0"/>
    <n v="0"/>
    <n v="0"/>
    <n v="1"/>
    <n v="1"/>
    <n v="0.84210526315789469"/>
    <n v="0"/>
    <n v="240"/>
    <n v="0"/>
    <n v="240"/>
    <n v="45.6"/>
    <s v="Yes"/>
    <s v="KBC"/>
    <x v="1"/>
    <x v="0"/>
    <x v="0"/>
    <x v="0"/>
    <n v="23.094290000000001"/>
    <n v="97.404089999999997"/>
    <s v="MMR015CMP014"/>
    <x v="0"/>
    <m/>
  </r>
  <r>
    <x v="2"/>
    <x v="1"/>
    <x v="2"/>
    <x v="28"/>
    <x v="415"/>
    <n v="19"/>
    <n v="82"/>
    <m/>
    <s v="WHH(BMZ, AA)"/>
    <s v="30/4/18, 30/6/18"/>
    <m/>
    <s v="NA"/>
    <s v="NA"/>
    <s v="NA"/>
    <n v="0"/>
    <n v="0"/>
    <n v="17280"/>
    <n v="1"/>
    <m/>
    <m/>
    <n v="0"/>
    <n v="0"/>
    <n v="0"/>
    <n v="0"/>
    <n v="0"/>
    <s v="Solar Pump System (9600 Litre per day)"/>
    <n v="17"/>
    <n v="0"/>
    <n v="0"/>
    <m/>
    <n v="17"/>
    <x v="4"/>
    <x v="4"/>
    <n v="0"/>
    <n v="0"/>
    <m/>
    <n v="0"/>
    <s v="Household"/>
    <m/>
    <m/>
    <n v="1"/>
    <n v="0"/>
    <n v="0"/>
    <x v="0"/>
    <m/>
    <m/>
    <m/>
    <m/>
    <s v="no test"/>
    <s v="no test"/>
    <x v="1"/>
    <n v="1"/>
    <n v="1"/>
    <n v="1"/>
    <n v="82"/>
    <n v="1"/>
    <n v="82"/>
    <n v="1"/>
    <n v="82"/>
    <n v="0.16400000000000001"/>
    <n v="0"/>
    <n v="0"/>
    <n v="0.83599999999999997"/>
    <n v="1"/>
    <n v="17"/>
    <n v="1"/>
    <n v="82"/>
    <n v="0"/>
    <n v="0"/>
    <n v="4"/>
    <n v="0"/>
    <n v="0"/>
    <n v="82"/>
    <n v="0"/>
    <n v="1"/>
    <n v="0"/>
    <n v="0"/>
    <n v="0"/>
    <n v="1"/>
    <n v="1"/>
    <n v="0"/>
    <n v="0"/>
    <n v="0"/>
    <n v="0"/>
    <n v="0"/>
    <n v="0"/>
    <n v="0"/>
    <s v="uncovered"/>
    <x v="1"/>
    <x v="0"/>
    <x v="2"/>
    <x v="0"/>
    <n v="22.765999999999998"/>
    <n v="97.358999999999995"/>
    <s v="MMR015CMP221"/>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Drill="0" useAutoFormatting="1" rowGrandTotals="0" colGrandTotals="0" itemPrintTitles="1" createdVersion="5" indent="0" compact="0" compactData="0" multipleFieldFilters="0">
  <location ref="A6:B22" firstHeaderRow="1" firstDataRow="1" firstDataCol="2" rowPageCount="4" colPageCount="1"/>
  <pivotFields count="97">
    <pivotField axis="axisPage" compact="0" outline="0" showAll="0" defaultSubtotal="0">
      <items count="9">
        <item m="1" x="7"/>
        <item m="1" x="4"/>
        <item m="1" x="5"/>
        <item m="1" x="8"/>
        <item x="2"/>
        <item x="1"/>
        <item m="1" x="6"/>
        <item m="1" x="3"/>
        <item x="0"/>
      </items>
      <extLst>
        <ext xmlns:x14="http://schemas.microsoft.com/office/spreadsheetml/2009/9/main" uri="{2946ED86-A175-432a-8AC1-64E0C546D7DE}">
          <x14:pivotField fillDownLabels="1"/>
        </ext>
      </extLst>
    </pivotField>
    <pivotField axis="axisRow" compact="0" outline="0" showAll="0" defaultSubtotal="0">
      <items count="54">
        <item m="1" x="51"/>
        <item m="1" x="45"/>
        <item x="10"/>
        <item m="1" x="47"/>
        <item m="1" x="39"/>
        <item x="12"/>
        <item x="30"/>
        <item m="1" x="50"/>
        <item x="18"/>
        <item x="3"/>
        <item x="8"/>
        <item x="25"/>
        <item x="5"/>
        <item x="29"/>
        <item x="23"/>
        <item m="1" x="48"/>
        <item x="13"/>
        <item x="15"/>
        <item m="1" x="53"/>
        <item x="1"/>
        <item x="31"/>
        <item m="1" x="49"/>
        <item x="34"/>
        <item x="32"/>
        <item x="33"/>
        <item m="1" x="40"/>
        <item x="11"/>
        <item m="1" x="43"/>
        <item x="2"/>
        <item x="17"/>
        <item m="1" x="41"/>
        <item x="20"/>
        <item x="16"/>
        <item x="7"/>
        <item x="26"/>
        <item m="1" x="52"/>
        <item x="36"/>
        <item x="35"/>
        <item x="19"/>
        <item x="24"/>
        <item x="37"/>
        <item x="22"/>
        <item x="4"/>
        <item x="0"/>
        <item x="9"/>
        <item m="1" x="46"/>
        <item m="1" x="42"/>
        <item m="1" x="44"/>
        <item x="6"/>
        <item m="1" x="38"/>
        <item x="21"/>
        <item x="28"/>
        <item x="27"/>
        <item x="14"/>
      </items>
      <extLst>
        <ext xmlns:x14="http://schemas.microsoft.com/office/spreadsheetml/2009/9/main" uri="{2946ED86-A175-432a-8AC1-64E0C546D7DE}">
          <x14:pivotField fillDownLabels="1"/>
        </ext>
      </extLst>
    </pivotField>
    <pivotField axis="axisPage" compact="0" outline="0" showAll="0" defaultSubtotal="0">
      <items count="4">
        <item x="0"/>
        <item x="1"/>
        <item x="2"/>
        <item m="1" x="3"/>
      </items>
      <extLst>
        <ext xmlns:x14="http://schemas.microsoft.com/office/spreadsheetml/2009/9/main" uri="{2946ED86-A175-432a-8AC1-64E0C546D7DE}">
          <x14:pivotField fillDownLabels="1"/>
        </ext>
      </extLst>
    </pivotField>
    <pivotField axis="axisRow" compact="0" outline="0" showAll="0" defaultSubtotal="0">
      <items count="39">
        <item x="13"/>
        <item x="0"/>
        <item x="14"/>
        <item x="1"/>
        <item x="2"/>
        <item x="25"/>
        <item x="26"/>
        <item x="27"/>
        <item x="15"/>
        <item x="17"/>
        <item m="1" x="35"/>
        <item m="1" x="37"/>
        <item x="3"/>
        <item x="29"/>
        <item x="19"/>
        <item x="20"/>
        <item x="4"/>
        <item x="5"/>
        <item m="1" x="33"/>
        <item x="6"/>
        <item x="21"/>
        <item x="30"/>
        <item x="22"/>
        <item x="7"/>
        <item m="1" x="36"/>
        <item x="31"/>
        <item x="28"/>
        <item m="1" x="34"/>
        <item x="16"/>
        <item x="23"/>
        <item x="8"/>
        <item m="1" x="38"/>
        <item x="24"/>
        <item x="9"/>
        <item x="18"/>
        <item x="10"/>
        <item x="11"/>
        <item x="12"/>
        <item x="3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multipleItemSelectionAllowed="1"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6">
        <item m="1" x="5"/>
        <item h="1" x="1"/>
        <item h="1" x="0"/>
        <item h="1" x="4"/>
        <item x="3"/>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4">
        <item x="0"/>
        <item x="1"/>
        <item m="1" x="3"/>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3"/>
    <field x="1"/>
  </rowFields>
  <rowItems count="16">
    <i>
      <x v="2"/>
      <x v="26"/>
    </i>
    <i>
      <x v="9"/>
      <x v="5"/>
    </i>
    <i r="1">
      <x v="16"/>
    </i>
    <i r="1">
      <x v="53"/>
    </i>
    <i>
      <x v="14"/>
      <x v="17"/>
    </i>
    <i r="1">
      <x v="26"/>
    </i>
    <i>
      <x v="22"/>
      <x v="32"/>
    </i>
    <i>
      <x v="28"/>
      <x v="33"/>
    </i>
    <i r="1">
      <x v="43"/>
    </i>
    <i>
      <x v="32"/>
      <x v="26"/>
    </i>
    <i>
      <x v="34"/>
      <x v="5"/>
    </i>
    <i r="1">
      <x v="16"/>
    </i>
    <i r="1">
      <x v="29"/>
    </i>
    <i r="1">
      <x v="33"/>
    </i>
    <i r="1">
      <x v="38"/>
    </i>
    <i r="1">
      <x v="43"/>
    </i>
  </rowItems>
  <colItems count="1">
    <i/>
  </colItems>
  <pageFields count="4">
    <pageField fld="0" item="8" hier="-1"/>
    <pageField fld="95" item="0" hier="-1"/>
    <pageField fld="88" hier="-1"/>
    <pageField fld="2"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P17:S21" firstHeaderRow="0" firstDataRow="1" firstDataCol="1" rowPageCount="3" colPageCount="1"/>
  <pivotFields count="97">
    <pivotField axis="axisRow" compact="0" outline="0" subtotalTop="0" showAll="0">
      <items count="10">
        <item m="1" x="4"/>
        <item x="2"/>
        <item m="1" x="3"/>
        <item m="1" x="5"/>
        <item m="1" x="8"/>
        <item m="1" x="6"/>
        <item m="1" x="7"/>
        <item x="1"/>
        <item x="0"/>
        <item t="default"/>
      </items>
    </pivotField>
    <pivotField compact="0" outline="0" subtotalTop="0" showAll="0"/>
    <pivotField axis="axisPage" compact="0" outline="0" subtotalTop="0" multipleItemSelectionAllowed="1" showAll="0">
      <items count="5">
        <item h="1" x="0"/>
        <item x="1"/>
        <item h="1"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x="1"/>
        <item x="0"/>
        <item h="1" x="2"/>
        <item h="1" x="3"/>
        <item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4">
    <i>
      <x v="1"/>
    </i>
    <i>
      <x v="7"/>
    </i>
    <i>
      <x v="8"/>
    </i>
    <i t="grand">
      <x/>
    </i>
  </rowItems>
  <colFields count="1">
    <field x="-2"/>
  </colFields>
  <colItems count="3">
    <i>
      <x/>
    </i>
    <i i="1">
      <x v="1"/>
    </i>
    <i i="2">
      <x v="2"/>
    </i>
  </colItems>
  <pageFields count="3">
    <pageField fld="95" item="0" hier="-1"/>
    <pageField fld="88" hier="-1"/>
    <pageField fld="2" hier="-1"/>
  </pageFields>
  <dataFields count="3">
    <dataField name="Total Population reached" fld="6" baseField="2" baseItem="0" numFmtId="3"/>
    <dataField name="Number of people with access to continuous sanitation services_4" fld="71" baseField="2" baseItem="0" numFmtId="164"/>
    <dataField name="Number of People received regular supply of hygiene items_6" fld="84" baseField="0" baseItem="0" numFmtId="164"/>
  </dataFields>
  <formats count="27">
    <format dxfId="983">
      <pivotArea field="2" type="button" dataOnly="0" labelOnly="1" outline="0" axis="axisPage" fieldPosition="2"/>
    </format>
    <format dxfId="982">
      <pivotArea type="all" dataOnly="0" outline="0" fieldPosition="0"/>
    </format>
    <format dxfId="981">
      <pivotArea field="2" type="button" dataOnly="0" labelOnly="1" outline="0" axis="axisPage" fieldPosition="2"/>
    </format>
    <format dxfId="980">
      <pivotArea outline="0" fieldPosition="0">
        <references count="1">
          <reference field="4294967294" count="1">
            <x v="0"/>
          </reference>
        </references>
      </pivotArea>
    </format>
    <format dxfId="979">
      <pivotArea dataOnly="0" labelOnly="1" outline="0" fieldPosition="0">
        <references count="1">
          <reference field="4294967294" count="1">
            <x v="0"/>
          </reference>
        </references>
      </pivotArea>
    </format>
    <format dxfId="978">
      <pivotArea outline="0" collapsedLevelsAreSubtotals="1" fieldPosition="0">
        <references count="1">
          <reference field="4294967294" count="1" selected="0">
            <x v="1"/>
          </reference>
        </references>
      </pivotArea>
    </format>
    <format dxfId="977">
      <pivotArea outline="0" collapsedLevelsAreSubtotals="1" fieldPosition="0">
        <references count="1">
          <reference field="4294967294" count="1" selected="0">
            <x v="1"/>
          </reference>
        </references>
      </pivotArea>
    </format>
    <format dxfId="976">
      <pivotArea dataOnly="0" labelOnly="1" outline="0" fieldPosition="0">
        <references count="1">
          <reference field="4294967294" count="1">
            <x v="1"/>
          </reference>
        </references>
      </pivotArea>
    </format>
    <format dxfId="975">
      <pivotArea outline="0" collapsedLevelsAreSubtotals="1" fieldPosition="0">
        <references count="1">
          <reference field="4294967294" count="1" selected="0">
            <x v="1"/>
          </reference>
        </references>
      </pivotArea>
    </format>
    <format dxfId="974">
      <pivotArea dataOnly="0" labelOnly="1" outline="0" fieldPosition="0">
        <references count="1">
          <reference field="4294967294" count="1">
            <x v="1"/>
          </reference>
        </references>
      </pivotArea>
    </format>
    <format dxfId="973">
      <pivotArea dataOnly="0" labelOnly="1" outline="0" fieldPosition="0">
        <references count="1">
          <reference field="4294967294" count="1">
            <x v="1"/>
          </reference>
        </references>
      </pivotArea>
    </format>
    <format dxfId="972">
      <pivotArea dataOnly="0" labelOnly="1" outline="0" fieldPosition="0">
        <references count="1">
          <reference field="4294967294" count="1">
            <x v="1"/>
          </reference>
        </references>
      </pivotArea>
    </format>
    <format dxfId="971">
      <pivotArea dataOnly="0" labelOnly="1" outline="0" fieldPosition="0">
        <references count="1">
          <reference field="4294967294" count="1">
            <x v="1"/>
          </reference>
        </references>
      </pivotArea>
    </format>
    <format dxfId="970">
      <pivotArea outline="0" collapsedLevelsAreSubtotals="1" fieldPosition="0">
        <references count="1">
          <reference field="4294967294" count="1" selected="0">
            <x v="1"/>
          </reference>
        </references>
      </pivotArea>
    </format>
    <format dxfId="969">
      <pivotArea type="all" dataOnly="0" outline="0" fieldPosition="0"/>
    </format>
    <format dxfId="968">
      <pivotArea outline="0" collapsedLevelsAreSubtotals="1" fieldPosition="0"/>
    </format>
    <format dxfId="967">
      <pivotArea dataOnly="0" labelOnly="1" fieldPosition="0">
        <references count="1">
          <reference field="2" count="0"/>
        </references>
      </pivotArea>
    </format>
    <format dxfId="966">
      <pivotArea dataOnly="0" labelOnly="1" grandRow="1" outline="0" fieldPosition="0"/>
    </format>
    <format dxfId="965">
      <pivotArea dataOnly="0" labelOnly="1" outline="0" fieldPosition="0">
        <references count="1">
          <reference field="4294967294" count="2">
            <x v="0"/>
            <x v="1"/>
          </reference>
        </references>
      </pivotArea>
    </format>
    <format dxfId="964">
      <pivotArea type="all" dataOnly="0" outline="0" fieldPosition="0"/>
    </format>
    <format dxfId="963">
      <pivotArea outline="0" collapsedLevelsAreSubtotals="1" fieldPosition="0"/>
    </format>
    <format dxfId="962">
      <pivotArea dataOnly="0" labelOnly="1" fieldPosition="0">
        <references count="1">
          <reference field="2" count="0"/>
        </references>
      </pivotArea>
    </format>
    <format dxfId="961">
      <pivotArea dataOnly="0" labelOnly="1" grandRow="1" outline="0" fieldPosition="0"/>
    </format>
    <format dxfId="960">
      <pivotArea dataOnly="0" labelOnly="1" outline="0" fieldPosition="0">
        <references count="1">
          <reference field="4294967294" count="2">
            <x v="0"/>
            <x v="1"/>
          </reference>
        </references>
      </pivotArea>
    </format>
    <format dxfId="959">
      <pivotArea outline="0" collapsedLevelsAreSubtotals="1" fieldPosition="0">
        <references count="1">
          <reference field="4294967294" count="1" selected="0">
            <x v="2"/>
          </reference>
        </references>
      </pivotArea>
    </format>
    <format dxfId="958">
      <pivotArea dataOnly="0" labelOnly="1" outline="0" fieldPosition="0">
        <references count="1">
          <reference field="4294967294" count="1">
            <x v="2"/>
          </reference>
        </references>
      </pivotArea>
    </format>
    <format dxfId="957">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HRP_2" cacheId="0" applyNumberFormats="0" applyBorderFormats="0" applyFontFormats="0" applyPatternFormats="0" applyAlignmentFormats="0" applyWidthHeightFormats="1" dataCaption="Values" updatedVersion="5" minRefreshableVersion="3" colGrandTotals="0" itemPrintTitles="1" createdVersion="6" indent="0" outline="1" outlineData="1" multipleFieldFilters="0">
  <location ref="B17:G19" firstHeaderRow="0" firstDataRow="1" firstDataCol="1" rowPageCount="3" colPageCount="1"/>
  <pivotFields count="97">
    <pivotField axis="axisPage" subtotalTop="0" showAll="0">
      <items count="10">
        <item m="1" x="4"/>
        <item x="2"/>
        <item m="1" x="3"/>
        <item m="1" x="5"/>
        <item m="1" x="8"/>
        <item m="1" x="6"/>
        <item m="1" x="7"/>
        <item x="1"/>
        <item x="0"/>
        <item t="default"/>
      </items>
    </pivotField>
    <pivotField subtotalTop="0" showAll="0"/>
    <pivotField axis="axisRow"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Page" subtotalTop="0" multipleItemSelectionAllowed="1" showAll="0">
      <items count="7">
        <item m="1" x="5"/>
        <item h="1" x="1"/>
        <item h="1" x="0"/>
        <item h="1" x="2"/>
        <item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2">
    <i>
      <x v="1"/>
    </i>
    <i t="grand">
      <x/>
    </i>
  </rowItems>
  <colFields count="1">
    <field x="-2"/>
  </colFields>
  <colItems count="5">
    <i>
      <x/>
    </i>
    <i i="1">
      <x v="1"/>
    </i>
    <i i="2">
      <x v="2"/>
    </i>
    <i i="3">
      <x v="3"/>
    </i>
    <i i="4">
      <x v="4"/>
    </i>
  </colItems>
  <pageFields count="3">
    <pageField fld="0" item="8" hier="-1"/>
    <pageField fld="95" item="0" hier="-1"/>
    <pageField fld="88" hier="-1"/>
  </pageFields>
  <dataFields count="5">
    <dataField name="Total Population reached" fld="6" baseField="2" baseItem="0" numFmtId="3"/>
    <dataField name="Number of people with equitable and safe access to sufficient quantity of drinking water_1" fld="54" baseField="2" baseItem="1" numFmtId="3"/>
    <dataField name="Number of people with equitable and safe access to sufficient quantity of domestic water_2" fld="58" baseField="2" baseItem="1" numFmtId="3"/>
    <dataField name="Number of people with access to functional sanitation facilities_3" fld="66" baseField="2" baseItem="1" numFmtId="3"/>
    <dataField name="Number of people reached by regular dedicated hygiene promotion_5" fld="72" baseField="0" baseItem="0" numFmtId="164"/>
  </dataFields>
  <formats count="39">
    <format dxfId="1022">
      <pivotArea field="2" type="button" dataOnly="0" labelOnly="1" outline="0" axis="axisRow" fieldPosition="0"/>
    </format>
    <format dxfId="1021">
      <pivotArea dataOnly="0" labelOnly="1" outline="0" fieldPosition="0">
        <references count="1">
          <reference field="4294967294" count="3">
            <x v="1"/>
            <x v="2"/>
            <x v="3"/>
          </reference>
        </references>
      </pivotArea>
    </format>
    <format dxfId="1020">
      <pivotArea dataOnly="0" labelOnly="1" outline="0" fieldPosition="0">
        <references count="1">
          <reference field="4294967294" count="3">
            <x v="1"/>
            <x v="2"/>
            <x v="3"/>
          </reference>
        </references>
      </pivotArea>
    </format>
    <format dxfId="1019">
      <pivotArea outline="0" fieldPosition="0">
        <references count="1">
          <reference field="4294967294" count="1">
            <x v="1"/>
          </reference>
        </references>
      </pivotArea>
    </format>
    <format dxfId="1018">
      <pivotArea outline="0" fieldPosition="0">
        <references count="1">
          <reference field="4294967294" count="1">
            <x v="2"/>
          </reference>
        </references>
      </pivotArea>
    </format>
    <format dxfId="1017">
      <pivotArea outline="0" fieldPosition="0">
        <references count="1">
          <reference field="4294967294" count="1">
            <x v="3"/>
          </reference>
        </references>
      </pivotArea>
    </format>
    <format dxfId="1016">
      <pivotArea type="all" dataOnly="0" outline="0" fieldPosition="0"/>
    </format>
    <format dxfId="1015">
      <pivotArea dataOnly="0" labelOnly="1" outline="0" fieldPosition="0">
        <references count="1">
          <reference field="4294967294" count="3">
            <x v="1"/>
            <x v="2"/>
            <x v="3"/>
          </reference>
        </references>
      </pivotArea>
    </format>
    <format dxfId="1014">
      <pivotArea outline="0" fieldPosition="0">
        <references count="1">
          <reference field="4294967294" count="1">
            <x v="0"/>
          </reference>
        </references>
      </pivotArea>
    </format>
    <format dxfId="1013">
      <pivotArea dataOnly="0" labelOnly="1" outline="0" fieldPosition="0">
        <references count="1">
          <reference field="4294967294" count="1">
            <x v="0"/>
          </reference>
        </references>
      </pivotArea>
    </format>
    <format dxfId="1012">
      <pivotArea outline="0" collapsedLevelsAreSubtotals="1" fieldPosition="0">
        <references count="1">
          <reference field="4294967294" count="2" selected="0">
            <x v="1"/>
            <x v="2"/>
          </reference>
        </references>
      </pivotArea>
    </format>
    <format dxfId="1011">
      <pivotArea outline="0" collapsedLevelsAreSubtotals="1" fieldPosition="0">
        <references count="1">
          <reference field="4294967294" count="2" selected="0">
            <x v="1"/>
            <x v="2"/>
          </reference>
        </references>
      </pivotArea>
    </format>
    <format dxfId="1010">
      <pivotArea dataOnly="0" labelOnly="1" outline="0" fieldPosition="0">
        <references count="1">
          <reference field="4294967294" count="2">
            <x v="1"/>
            <x v="2"/>
          </reference>
        </references>
      </pivotArea>
    </format>
    <format dxfId="1009">
      <pivotArea outline="0" collapsedLevelsAreSubtotals="1" fieldPosition="0">
        <references count="1">
          <reference field="4294967294" count="1" selected="0">
            <x v="3"/>
          </reference>
        </references>
      </pivotArea>
    </format>
    <format dxfId="1008">
      <pivotArea outline="0" collapsedLevelsAreSubtotals="1" fieldPosition="0">
        <references count="1">
          <reference field="4294967294" count="1" selected="0">
            <x v="3"/>
          </reference>
        </references>
      </pivotArea>
    </format>
    <format dxfId="1007">
      <pivotArea dataOnly="0" labelOnly="1" outline="0" fieldPosition="0">
        <references count="1">
          <reference field="4294967294" count="1">
            <x v="3"/>
          </reference>
        </references>
      </pivotArea>
    </format>
    <format dxfId="1006">
      <pivotArea outline="0" collapsedLevelsAreSubtotals="1" fieldPosition="0">
        <references count="1">
          <reference field="4294967294" count="1" selected="0">
            <x v="4"/>
          </reference>
        </references>
      </pivotArea>
    </format>
    <format dxfId="1005">
      <pivotArea outline="0" collapsedLevelsAreSubtotals="1" fieldPosition="0">
        <references count="1">
          <reference field="4294967294" count="1" selected="0">
            <x v="4"/>
          </reference>
        </references>
      </pivotArea>
    </format>
    <format dxfId="1004">
      <pivotArea dataOnly="0" labelOnly="1" outline="0" fieldPosition="0">
        <references count="1">
          <reference field="4294967294" count="1">
            <x v="4"/>
          </reference>
        </references>
      </pivotArea>
    </format>
    <format dxfId="1003">
      <pivotArea outline="0" collapsedLevelsAreSubtotals="1" fieldPosition="0">
        <references count="1">
          <reference field="4294967294" count="4" selected="0">
            <x v="1"/>
            <x v="2"/>
            <x v="3"/>
            <x v="4"/>
          </reference>
        </references>
      </pivotArea>
    </format>
    <format dxfId="1002">
      <pivotArea dataOnly="0" labelOnly="1" outline="0" fieldPosition="0">
        <references count="1">
          <reference field="4294967294" count="4">
            <x v="1"/>
            <x v="2"/>
            <x v="3"/>
            <x v="4"/>
          </reference>
        </references>
      </pivotArea>
    </format>
    <format dxfId="1001">
      <pivotArea dataOnly="0" labelOnly="1" outline="0" fieldPosition="0">
        <references count="1">
          <reference field="4294967294" count="4">
            <x v="1"/>
            <x v="2"/>
            <x v="3"/>
            <x v="4"/>
          </reference>
        </references>
      </pivotArea>
    </format>
    <format dxfId="1000">
      <pivotArea dataOnly="0" labelOnly="1" outline="0" fieldPosition="0">
        <references count="1">
          <reference field="4294967294" count="4">
            <x v="1"/>
            <x v="2"/>
            <x v="3"/>
            <x v="4"/>
          </reference>
        </references>
      </pivotArea>
    </format>
    <format dxfId="999">
      <pivotArea dataOnly="0" labelOnly="1" outline="0" fieldPosition="0">
        <references count="1">
          <reference field="4294967294" count="4">
            <x v="1"/>
            <x v="2"/>
            <x v="3"/>
            <x v="4"/>
          </reference>
        </references>
      </pivotArea>
    </format>
    <format dxfId="998">
      <pivotArea outline="0" collapsedLevelsAreSubtotals="1" fieldPosition="0">
        <references count="1">
          <reference field="4294967294" count="1" selected="0">
            <x v="4"/>
          </reference>
        </references>
      </pivotArea>
    </format>
    <format dxfId="997">
      <pivotArea type="all" dataOnly="0" outline="0" fieldPosition="0"/>
    </format>
    <format dxfId="996">
      <pivotArea outline="0" collapsedLevelsAreSubtotals="1" fieldPosition="0"/>
    </format>
    <format dxfId="995">
      <pivotArea field="2" type="button" dataOnly="0" labelOnly="1" outline="0" axis="axisRow" fieldPosition="0"/>
    </format>
    <format dxfId="994">
      <pivotArea dataOnly="0" labelOnly="1" fieldPosition="0">
        <references count="1">
          <reference field="2" count="1">
            <x v="1"/>
          </reference>
        </references>
      </pivotArea>
    </format>
    <format dxfId="993">
      <pivotArea dataOnly="0" labelOnly="1" grandRow="1" outline="0" fieldPosition="0"/>
    </format>
    <format dxfId="992">
      <pivotArea dataOnly="0" labelOnly="1" outline="0" fieldPosition="0">
        <references count="1">
          <reference field="4294967294" count="5">
            <x v="0"/>
            <x v="1"/>
            <x v="2"/>
            <x v="3"/>
            <x v="4"/>
          </reference>
        </references>
      </pivotArea>
    </format>
    <format dxfId="991">
      <pivotArea type="all" dataOnly="0" outline="0" fieldPosition="0"/>
    </format>
    <format dxfId="990">
      <pivotArea outline="0" collapsedLevelsAreSubtotals="1" fieldPosition="0"/>
    </format>
    <format dxfId="989">
      <pivotArea field="2" type="button" dataOnly="0" labelOnly="1" outline="0" axis="axisRow" fieldPosition="0"/>
    </format>
    <format dxfId="988">
      <pivotArea dataOnly="0" labelOnly="1" fieldPosition="0">
        <references count="1">
          <reference field="2" count="1">
            <x v="1"/>
          </reference>
        </references>
      </pivotArea>
    </format>
    <format dxfId="987">
      <pivotArea dataOnly="0" labelOnly="1" grandRow="1" outline="0" fieldPosition="0"/>
    </format>
    <format dxfId="986">
      <pivotArea dataOnly="0" labelOnly="1" outline="0" fieldPosition="0">
        <references count="1">
          <reference field="4294967294" count="5">
            <x v="0"/>
            <x v="1"/>
            <x v="2"/>
            <x v="3"/>
            <x v="4"/>
          </reference>
        </references>
      </pivotArea>
    </format>
    <format dxfId="985">
      <pivotArea field="0" type="button" dataOnly="0" labelOnly="1" outline="0" axis="axisPage" fieldPosition="0"/>
    </format>
    <format dxfId="984">
      <pivotArea field="0" type="button" dataOnly="0" labelOnly="1" outline="0" axis="axisPage" fieldPosition="0"/>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C110:D116" firstHeaderRow="0" firstDataRow="0" firstDataCol="1" rowPageCount="4" colPageCount="1"/>
  <pivotFields count="97">
    <pivotField axis="axisPage" subtotalTop="0" showAll="0">
      <items count="10">
        <item m="1" x="4"/>
        <item x="2"/>
        <item m="1" x="3"/>
        <item m="1" x="5"/>
        <item m="1" x="8"/>
        <item m="1" x="6"/>
        <item m="1" x="7"/>
        <item x="1"/>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4">
    <pageField fld="0" item="8" hier="-1"/>
    <pageField fld="95" item="0" hier="-1"/>
    <pageField fld="88" hier="-1"/>
    <pageField fld="2" item="0" hier="-1"/>
  </pageFields>
  <dataFields count="7">
    <dataField name="Total Population reached" fld="6" baseField="2" baseItem="0" numFmtId="3"/>
    <dataField name="Number of people with equitable and safe access to sufficient quantity of drinking water_1" fld="54" baseField="2" baseItem="1" numFmtId="3"/>
    <dataField name="Number of people with equitable and safe access to sufficient quantity of domestic water_2" fld="58" baseField="2" baseItem="1" numFmtId="3"/>
    <dataField name="Number of people with access to functional sanitation facilities_3" fld="66" baseField="2" baseItem="1" numFmtId="3"/>
    <dataField name="Number of people with access to continuous sanitation services_4" fld="71" baseField="2" baseItem="0" numFmtId="164"/>
    <dataField name="Number of people reached by regular dedicated hygiene promotion_5" fld="72" baseField="0" baseItem="0" numFmtId="164"/>
    <dataField name="Number of People received regular supply of hygiene items_6" fld="84" baseField="0" baseItem="0"/>
  </dataFields>
  <formats count="37">
    <format dxfId="1059">
      <pivotArea field="2" type="button" dataOnly="0" labelOnly="1" outline="0" axis="axisPage" fieldPosition="3"/>
    </format>
    <format dxfId="1058">
      <pivotArea dataOnly="0" labelOnly="1" outline="0" fieldPosition="0">
        <references count="1">
          <reference field="4294967294" count="3">
            <x v="1"/>
            <x v="2"/>
            <x v="3"/>
          </reference>
        </references>
      </pivotArea>
    </format>
    <format dxfId="1057">
      <pivotArea dataOnly="0" labelOnly="1" outline="0" fieldPosition="0">
        <references count="1">
          <reference field="4294967294" count="3">
            <x v="1"/>
            <x v="2"/>
            <x v="3"/>
          </reference>
        </references>
      </pivotArea>
    </format>
    <format dxfId="1056">
      <pivotArea outline="0" fieldPosition="0">
        <references count="1">
          <reference field="4294967294" count="1">
            <x v="1"/>
          </reference>
        </references>
      </pivotArea>
    </format>
    <format dxfId="1055">
      <pivotArea outline="0" fieldPosition="0">
        <references count="1">
          <reference field="4294967294" count="1">
            <x v="2"/>
          </reference>
        </references>
      </pivotArea>
    </format>
    <format dxfId="1054">
      <pivotArea outline="0" fieldPosition="0">
        <references count="1">
          <reference field="4294967294" count="1">
            <x v="3"/>
          </reference>
        </references>
      </pivotArea>
    </format>
    <format dxfId="1053">
      <pivotArea type="all" dataOnly="0" outline="0" fieldPosition="0"/>
    </format>
    <format dxfId="1052">
      <pivotArea field="2" type="button" dataOnly="0" labelOnly="1" outline="0" axis="axisPage" fieldPosition="3"/>
    </format>
    <format dxfId="1051">
      <pivotArea dataOnly="0" labelOnly="1" outline="0" fieldPosition="0">
        <references count="1">
          <reference field="4294967294" count="3">
            <x v="1"/>
            <x v="2"/>
            <x v="3"/>
          </reference>
        </references>
      </pivotArea>
    </format>
    <format dxfId="1050">
      <pivotArea outline="0" fieldPosition="0">
        <references count="1">
          <reference field="4294967294" count="1">
            <x v="0"/>
          </reference>
        </references>
      </pivotArea>
    </format>
    <format dxfId="1049">
      <pivotArea dataOnly="0" labelOnly="1" outline="0" fieldPosition="0">
        <references count="1">
          <reference field="4294967294" count="1">
            <x v="0"/>
          </reference>
        </references>
      </pivotArea>
    </format>
    <format dxfId="1048">
      <pivotArea outline="0" collapsedLevelsAreSubtotals="1" fieldPosition="0">
        <references count="1">
          <reference field="4294967294" count="2" selected="0">
            <x v="1"/>
            <x v="2"/>
          </reference>
        </references>
      </pivotArea>
    </format>
    <format dxfId="1047">
      <pivotArea outline="0" collapsedLevelsAreSubtotals="1" fieldPosition="0">
        <references count="1">
          <reference field="4294967294" count="2" selected="0">
            <x v="1"/>
            <x v="2"/>
          </reference>
        </references>
      </pivotArea>
    </format>
    <format dxfId="1046">
      <pivotArea dataOnly="0" labelOnly="1" outline="0" fieldPosition="0">
        <references count="1">
          <reference field="4294967294" count="2">
            <x v="1"/>
            <x v="2"/>
          </reference>
        </references>
      </pivotArea>
    </format>
    <format dxfId="1045">
      <pivotArea outline="0" collapsedLevelsAreSubtotals="1" fieldPosition="0">
        <references count="1">
          <reference field="4294967294" count="2" selected="0">
            <x v="3"/>
            <x v="4"/>
          </reference>
        </references>
      </pivotArea>
    </format>
    <format dxfId="1044">
      <pivotArea outline="0" collapsedLevelsAreSubtotals="1" fieldPosition="0">
        <references count="1">
          <reference field="4294967294" count="2" selected="0">
            <x v="3"/>
            <x v="4"/>
          </reference>
        </references>
      </pivotArea>
    </format>
    <format dxfId="1043">
      <pivotArea dataOnly="0" labelOnly="1" outline="0" fieldPosition="0">
        <references count="1">
          <reference field="4294967294" count="2">
            <x v="3"/>
            <x v="4"/>
          </reference>
        </references>
      </pivotArea>
    </format>
    <format dxfId="1042">
      <pivotArea outline="0" collapsedLevelsAreSubtotals="1" fieldPosition="0">
        <references count="1">
          <reference field="4294967294" count="1" selected="0">
            <x v="5"/>
          </reference>
        </references>
      </pivotArea>
    </format>
    <format dxfId="1041">
      <pivotArea outline="0" collapsedLevelsAreSubtotals="1" fieldPosition="0">
        <references count="1">
          <reference field="4294967294" count="1" selected="0">
            <x v="5"/>
          </reference>
        </references>
      </pivotArea>
    </format>
    <format dxfId="1040">
      <pivotArea dataOnly="0" labelOnly="1" outline="0" fieldPosition="0">
        <references count="1">
          <reference field="4294967294" count="1">
            <x v="5"/>
          </reference>
        </references>
      </pivotArea>
    </format>
    <format dxfId="1039">
      <pivotArea outline="0" collapsedLevelsAreSubtotals="1" fieldPosition="0">
        <references count="1">
          <reference field="4294967294" count="5" selected="0">
            <x v="1"/>
            <x v="2"/>
            <x v="3"/>
            <x v="4"/>
            <x v="5"/>
          </reference>
        </references>
      </pivotArea>
    </format>
    <format dxfId="1038">
      <pivotArea dataOnly="0" labelOnly="1" outline="0" fieldPosition="0">
        <references count="1">
          <reference field="4294967294" count="5">
            <x v="1"/>
            <x v="2"/>
            <x v="3"/>
            <x v="4"/>
            <x v="5"/>
          </reference>
        </references>
      </pivotArea>
    </format>
    <format dxfId="1037">
      <pivotArea dataOnly="0" labelOnly="1" outline="0" fieldPosition="0">
        <references count="1">
          <reference field="4294967294" count="5">
            <x v="1"/>
            <x v="2"/>
            <x v="3"/>
            <x v="4"/>
            <x v="5"/>
          </reference>
        </references>
      </pivotArea>
    </format>
    <format dxfId="1036">
      <pivotArea dataOnly="0" labelOnly="1" outline="0" fieldPosition="0">
        <references count="1">
          <reference field="4294967294" count="5">
            <x v="1"/>
            <x v="2"/>
            <x v="3"/>
            <x v="4"/>
            <x v="5"/>
          </reference>
        </references>
      </pivotArea>
    </format>
    <format dxfId="1035">
      <pivotArea dataOnly="0" labelOnly="1" outline="0" fieldPosition="0">
        <references count="1">
          <reference field="4294967294" count="5">
            <x v="1"/>
            <x v="2"/>
            <x v="3"/>
            <x v="4"/>
            <x v="5"/>
          </reference>
        </references>
      </pivotArea>
    </format>
    <format dxfId="1034">
      <pivotArea outline="0" collapsedLevelsAreSubtotals="1" fieldPosition="0">
        <references count="1">
          <reference field="4294967294" count="2" selected="0">
            <x v="4"/>
            <x v="5"/>
          </reference>
        </references>
      </pivotArea>
    </format>
    <format dxfId="1033">
      <pivotArea type="all" dataOnly="0" outline="0" fieldPosition="0"/>
    </format>
    <format dxfId="1032">
      <pivotArea outline="0" collapsedLevelsAreSubtotals="1" fieldPosition="0"/>
    </format>
    <format dxfId="1031">
      <pivotArea dataOnly="0" labelOnly="1" grandRow="1" outline="0" fieldPosition="0"/>
    </format>
    <format dxfId="1030">
      <pivotArea dataOnly="0" labelOnly="1" outline="0" fieldPosition="0">
        <references count="1">
          <reference field="4294967294" count="6">
            <x v="0"/>
            <x v="1"/>
            <x v="2"/>
            <x v="3"/>
            <x v="4"/>
            <x v="5"/>
          </reference>
        </references>
      </pivotArea>
    </format>
    <format dxfId="1029">
      <pivotArea type="all" dataOnly="0" outline="0" fieldPosition="0"/>
    </format>
    <format dxfId="1028">
      <pivotArea outline="0" collapsedLevelsAreSubtotals="1" fieldPosition="0"/>
    </format>
    <format dxfId="1027">
      <pivotArea dataOnly="0" labelOnly="1" grandRow="1" outline="0" fieldPosition="0"/>
    </format>
    <format dxfId="1026">
      <pivotArea dataOnly="0" labelOnly="1" outline="0" fieldPosition="0">
        <references count="1">
          <reference field="4294967294" count="6">
            <x v="0"/>
            <x v="1"/>
            <x v="2"/>
            <x v="3"/>
            <x v="4"/>
            <x v="5"/>
          </reference>
        </references>
      </pivotArea>
    </format>
    <format dxfId="1025">
      <pivotArea outline="0" collapsedLevelsAreSubtotals="1" fieldPosition="0">
        <references count="1">
          <reference field="4294967294" count="1" selected="0">
            <x v="6"/>
          </reference>
        </references>
      </pivotArea>
    </format>
    <format dxfId="1024">
      <pivotArea dataOnly="0" labelOnly="1" outline="0" fieldPosition="0">
        <references count="1">
          <reference field="4294967294" count="1">
            <x v="6"/>
          </reference>
        </references>
      </pivotArea>
    </format>
    <format dxfId="1023">
      <pivotArea collapsedLevelsAreSubtotals="1" fieldPosition="0">
        <references count="1">
          <reference field="4294967294" count="1">
            <x v="6"/>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6" cacheId="0"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V96:W102" firstHeaderRow="0" firstDataRow="0" firstDataCol="1" rowPageCount="3" colPageCount="1"/>
  <pivotFields count="97">
    <pivotField axis="axisPage" subtotalTop="0" showAll="0">
      <items count="10">
        <item m="1" x="4"/>
        <item x="2"/>
        <item m="1" x="3"/>
        <item m="1" x="5"/>
        <item m="1" x="8"/>
        <item m="1" x="6"/>
        <item m="1" x="7"/>
        <item x="1"/>
        <item x="0"/>
        <item t="default"/>
      </items>
    </pivotField>
    <pivotField subtotalTop="0" showAll="0"/>
    <pivotField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h="1" x="1"/>
        <item h="1" x="0"/>
        <item h="1" x="2"/>
        <item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3">
    <pageField fld="0" item="8" hier="-1"/>
    <pageField fld="95" item="0" hier="-1"/>
    <pageField fld="88" hier="-1"/>
  </pageFields>
  <dataFields count="7">
    <dataField name="Total Population reached" fld="6" baseField="2" baseItem="0" numFmtId="3"/>
    <dataField name="Number of people with equitable and safe access to sufficient quantity of drinking water_1" fld="54" baseField="2" baseItem="1" numFmtId="3"/>
    <dataField name="Number of people with equitable and safe access to sufficient quantity of domestic water_2" fld="58" baseField="2" baseItem="1" numFmtId="3"/>
    <dataField name="Number of people with access to functional sanitation facilities_3" fld="66" baseField="2" baseItem="1" numFmtId="3"/>
    <dataField name="Number of people with access to continuous sanitation services_4" fld="71" baseField="2" baseItem="0" numFmtId="164"/>
    <dataField name="Number of people reached by regular dedicated hygiene promotion_5" fld="72" baseField="0" baseItem="0" numFmtId="164"/>
    <dataField name="Number of People received regular supply of hygiene items_6" fld="84" baseField="0" baseItem="0"/>
  </dataFields>
  <formats count="37">
    <format dxfId="1096">
      <pivotArea field="2" type="button" dataOnly="0" labelOnly="1" outline="0"/>
    </format>
    <format dxfId="1095">
      <pivotArea dataOnly="0" labelOnly="1" outline="0" fieldPosition="0">
        <references count="1">
          <reference field="4294967294" count="3">
            <x v="1"/>
            <x v="2"/>
            <x v="3"/>
          </reference>
        </references>
      </pivotArea>
    </format>
    <format dxfId="1094">
      <pivotArea dataOnly="0" labelOnly="1" outline="0" fieldPosition="0">
        <references count="1">
          <reference field="4294967294" count="3">
            <x v="1"/>
            <x v="2"/>
            <x v="3"/>
          </reference>
        </references>
      </pivotArea>
    </format>
    <format dxfId="1093">
      <pivotArea outline="0" fieldPosition="0">
        <references count="1">
          <reference field="4294967294" count="1">
            <x v="1"/>
          </reference>
        </references>
      </pivotArea>
    </format>
    <format dxfId="1092">
      <pivotArea outline="0" fieldPosition="0">
        <references count="1">
          <reference field="4294967294" count="1">
            <x v="2"/>
          </reference>
        </references>
      </pivotArea>
    </format>
    <format dxfId="1091">
      <pivotArea outline="0" fieldPosition="0">
        <references count="1">
          <reference field="4294967294" count="1">
            <x v="3"/>
          </reference>
        </references>
      </pivotArea>
    </format>
    <format dxfId="1090">
      <pivotArea type="all" dataOnly="0" outline="0" fieldPosition="0"/>
    </format>
    <format dxfId="1089">
      <pivotArea field="2" type="button" dataOnly="0" labelOnly="1" outline="0"/>
    </format>
    <format dxfId="1088">
      <pivotArea dataOnly="0" labelOnly="1" outline="0" fieldPosition="0">
        <references count="1">
          <reference field="4294967294" count="3">
            <x v="1"/>
            <x v="2"/>
            <x v="3"/>
          </reference>
        </references>
      </pivotArea>
    </format>
    <format dxfId="1087">
      <pivotArea outline="0" fieldPosition="0">
        <references count="1">
          <reference field="4294967294" count="1">
            <x v="0"/>
          </reference>
        </references>
      </pivotArea>
    </format>
    <format dxfId="1086">
      <pivotArea dataOnly="0" labelOnly="1" outline="0" fieldPosition="0">
        <references count="1">
          <reference field="4294967294" count="1">
            <x v="0"/>
          </reference>
        </references>
      </pivotArea>
    </format>
    <format dxfId="1085">
      <pivotArea outline="0" collapsedLevelsAreSubtotals="1" fieldPosition="0">
        <references count="1">
          <reference field="4294967294" count="2" selected="0">
            <x v="1"/>
            <x v="2"/>
          </reference>
        </references>
      </pivotArea>
    </format>
    <format dxfId="1084">
      <pivotArea outline="0" collapsedLevelsAreSubtotals="1" fieldPosition="0">
        <references count="1">
          <reference field="4294967294" count="2" selected="0">
            <x v="1"/>
            <x v="2"/>
          </reference>
        </references>
      </pivotArea>
    </format>
    <format dxfId="1083">
      <pivotArea dataOnly="0" labelOnly="1" outline="0" fieldPosition="0">
        <references count="1">
          <reference field="4294967294" count="2">
            <x v="1"/>
            <x v="2"/>
          </reference>
        </references>
      </pivotArea>
    </format>
    <format dxfId="1082">
      <pivotArea outline="0" collapsedLevelsAreSubtotals="1" fieldPosition="0">
        <references count="1">
          <reference field="4294967294" count="2" selected="0">
            <x v="3"/>
            <x v="4"/>
          </reference>
        </references>
      </pivotArea>
    </format>
    <format dxfId="1081">
      <pivotArea outline="0" collapsedLevelsAreSubtotals="1" fieldPosition="0">
        <references count="1">
          <reference field="4294967294" count="2" selected="0">
            <x v="3"/>
            <x v="4"/>
          </reference>
        </references>
      </pivotArea>
    </format>
    <format dxfId="1080">
      <pivotArea dataOnly="0" labelOnly="1" outline="0" fieldPosition="0">
        <references count="1">
          <reference field="4294967294" count="2">
            <x v="3"/>
            <x v="4"/>
          </reference>
        </references>
      </pivotArea>
    </format>
    <format dxfId="1079">
      <pivotArea outline="0" collapsedLevelsAreSubtotals="1" fieldPosition="0">
        <references count="1">
          <reference field="4294967294" count="1" selected="0">
            <x v="5"/>
          </reference>
        </references>
      </pivotArea>
    </format>
    <format dxfId="1078">
      <pivotArea outline="0" collapsedLevelsAreSubtotals="1" fieldPosition="0">
        <references count="1">
          <reference field="4294967294" count="1" selected="0">
            <x v="5"/>
          </reference>
        </references>
      </pivotArea>
    </format>
    <format dxfId="1077">
      <pivotArea dataOnly="0" labelOnly="1" outline="0" fieldPosition="0">
        <references count="1">
          <reference field="4294967294" count="1">
            <x v="5"/>
          </reference>
        </references>
      </pivotArea>
    </format>
    <format dxfId="1076">
      <pivotArea outline="0" collapsedLevelsAreSubtotals="1" fieldPosition="0">
        <references count="1">
          <reference field="4294967294" count="5" selected="0">
            <x v="1"/>
            <x v="2"/>
            <x v="3"/>
            <x v="4"/>
            <x v="5"/>
          </reference>
        </references>
      </pivotArea>
    </format>
    <format dxfId="1075">
      <pivotArea dataOnly="0" labelOnly="1" outline="0" fieldPosition="0">
        <references count="1">
          <reference field="4294967294" count="5">
            <x v="1"/>
            <x v="2"/>
            <x v="3"/>
            <x v="4"/>
            <x v="5"/>
          </reference>
        </references>
      </pivotArea>
    </format>
    <format dxfId="1074">
      <pivotArea dataOnly="0" labelOnly="1" outline="0" fieldPosition="0">
        <references count="1">
          <reference field="4294967294" count="5">
            <x v="1"/>
            <x v="2"/>
            <x v="3"/>
            <x v="4"/>
            <x v="5"/>
          </reference>
        </references>
      </pivotArea>
    </format>
    <format dxfId="1073">
      <pivotArea dataOnly="0" labelOnly="1" outline="0" fieldPosition="0">
        <references count="1">
          <reference field="4294967294" count="5">
            <x v="1"/>
            <x v="2"/>
            <x v="3"/>
            <x v="4"/>
            <x v="5"/>
          </reference>
        </references>
      </pivotArea>
    </format>
    <format dxfId="1072">
      <pivotArea dataOnly="0" labelOnly="1" outline="0" fieldPosition="0">
        <references count="1">
          <reference field="4294967294" count="5">
            <x v="1"/>
            <x v="2"/>
            <x v="3"/>
            <x v="4"/>
            <x v="5"/>
          </reference>
        </references>
      </pivotArea>
    </format>
    <format dxfId="1071">
      <pivotArea outline="0" collapsedLevelsAreSubtotals="1" fieldPosition="0">
        <references count="1">
          <reference field="4294967294" count="2" selected="0">
            <x v="4"/>
            <x v="5"/>
          </reference>
        </references>
      </pivotArea>
    </format>
    <format dxfId="1070">
      <pivotArea type="all" dataOnly="0" outline="0" fieldPosition="0"/>
    </format>
    <format dxfId="1069">
      <pivotArea outline="0" collapsedLevelsAreSubtotals="1" fieldPosition="0"/>
    </format>
    <format dxfId="1068">
      <pivotArea dataOnly="0" labelOnly="1" grandRow="1" outline="0" fieldPosition="0"/>
    </format>
    <format dxfId="1067">
      <pivotArea dataOnly="0" labelOnly="1" outline="0" fieldPosition="0">
        <references count="1">
          <reference field="4294967294" count="6">
            <x v="0"/>
            <x v="1"/>
            <x v="2"/>
            <x v="3"/>
            <x v="4"/>
            <x v="5"/>
          </reference>
        </references>
      </pivotArea>
    </format>
    <format dxfId="1066">
      <pivotArea type="all" dataOnly="0" outline="0" fieldPosition="0"/>
    </format>
    <format dxfId="1065">
      <pivotArea outline="0" collapsedLevelsAreSubtotals="1" fieldPosition="0"/>
    </format>
    <format dxfId="1064">
      <pivotArea dataOnly="0" labelOnly="1" grandRow="1" outline="0" fieldPosition="0"/>
    </format>
    <format dxfId="1063">
      <pivotArea dataOnly="0" labelOnly="1" outline="0" fieldPosition="0">
        <references count="1">
          <reference field="4294967294" count="6">
            <x v="0"/>
            <x v="1"/>
            <x v="2"/>
            <x v="3"/>
            <x v="4"/>
            <x v="5"/>
          </reference>
        </references>
      </pivotArea>
    </format>
    <format dxfId="1062">
      <pivotArea outline="0" collapsedLevelsAreSubtotals="1" fieldPosition="0">
        <references count="1">
          <reference field="4294967294" count="1" selected="0">
            <x v="6"/>
          </reference>
        </references>
      </pivotArea>
    </format>
    <format dxfId="1061">
      <pivotArea dataOnly="0" labelOnly="1" outline="0" fieldPosition="0">
        <references count="1">
          <reference field="4294967294" count="1">
            <x v="6"/>
          </reference>
        </references>
      </pivotArea>
    </format>
    <format dxfId="1060">
      <pivotArea collapsedLevelsAreSubtotals="1" fieldPosition="0">
        <references count="1">
          <reference field="4294967294" count="6">
            <x v="1"/>
            <x v="2"/>
            <x v="3"/>
            <x v="4"/>
            <x v="5"/>
            <x v="6"/>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K17:N21" firstHeaderRow="0" firstDataRow="1" firstDataCol="1" rowPageCount="3" colPageCount="1"/>
  <pivotFields count="97">
    <pivotField axis="axisRow" compact="0" outline="0" subtotalTop="0" showAll="0">
      <items count="10">
        <item m="1" x="4"/>
        <item x="2"/>
        <item m="1" x="3"/>
        <item m="1" x="5"/>
        <item m="1" x="8"/>
        <item m="1" x="6"/>
        <item m="1" x="7"/>
        <item x="1"/>
        <item x="0"/>
        <item t="default"/>
      </items>
    </pivotField>
    <pivotField compact="0" outline="0" subtotalTop="0" showAll="0"/>
    <pivotField axis="axisPage" compact="0" outline="0" subtotalTop="0" multipleItemSelectionAllowed="1" showAll="0">
      <items count="5">
        <item h="1" x="0"/>
        <item x="1"/>
        <item h="1"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x="1"/>
        <item x="0"/>
        <item h="1" x="2"/>
        <item x="3"/>
        <item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4">
    <i>
      <x v="1"/>
    </i>
    <i>
      <x v="7"/>
    </i>
    <i>
      <x v="8"/>
    </i>
    <i t="grand">
      <x/>
    </i>
  </rowItems>
  <colFields count="1">
    <field x="-2"/>
  </colFields>
  <colItems count="3">
    <i>
      <x/>
    </i>
    <i i="1">
      <x v="1"/>
    </i>
    <i i="2">
      <x v="2"/>
    </i>
  </colItems>
  <pageFields count="3">
    <pageField fld="95" item="0" hier="-1"/>
    <pageField fld="88" hier="-1"/>
    <pageField fld="2" hier="-1"/>
  </pageFields>
  <dataFields count="3">
    <dataField name="Total Population reached" fld="6" baseField="2" baseItem="0" numFmtId="3"/>
    <dataField name="Number of people with access to continuous sanitation services_4" fld="71" baseField="2" baseItem="0" numFmtId="164"/>
    <dataField name="Number of People received regular supply of hygiene items_6" fld="84" baseField="0" baseItem="0" numFmtId="164"/>
  </dataFields>
  <formats count="27">
    <format dxfId="1123">
      <pivotArea field="2" type="button" dataOnly="0" labelOnly="1" outline="0" axis="axisPage" fieldPosition="2"/>
    </format>
    <format dxfId="1122">
      <pivotArea type="all" dataOnly="0" outline="0" fieldPosition="0"/>
    </format>
    <format dxfId="1121">
      <pivotArea field="2" type="button" dataOnly="0" labelOnly="1" outline="0" axis="axisPage" fieldPosition="2"/>
    </format>
    <format dxfId="1120">
      <pivotArea outline="0" fieldPosition="0">
        <references count="1">
          <reference field="4294967294" count="1">
            <x v="0"/>
          </reference>
        </references>
      </pivotArea>
    </format>
    <format dxfId="1119">
      <pivotArea dataOnly="0" labelOnly="1" outline="0" fieldPosition="0">
        <references count="1">
          <reference field="4294967294" count="1">
            <x v="0"/>
          </reference>
        </references>
      </pivotArea>
    </format>
    <format dxfId="1118">
      <pivotArea outline="0" collapsedLevelsAreSubtotals="1" fieldPosition="0">
        <references count="1">
          <reference field="4294967294" count="1" selected="0">
            <x v="1"/>
          </reference>
        </references>
      </pivotArea>
    </format>
    <format dxfId="1117">
      <pivotArea outline="0" collapsedLevelsAreSubtotals="1" fieldPosition="0">
        <references count="1">
          <reference field="4294967294" count="1" selected="0">
            <x v="1"/>
          </reference>
        </references>
      </pivotArea>
    </format>
    <format dxfId="1116">
      <pivotArea dataOnly="0" labelOnly="1" outline="0" fieldPosition="0">
        <references count="1">
          <reference field="4294967294" count="1">
            <x v="1"/>
          </reference>
        </references>
      </pivotArea>
    </format>
    <format dxfId="1115">
      <pivotArea outline="0" collapsedLevelsAreSubtotals="1" fieldPosition="0">
        <references count="1">
          <reference field="4294967294" count="1" selected="0">
            <x v="1"/>
          </reference>
        </references>
      </pivotArea>
    </format>
    <format dxfId="1114">
      <pivotArea dataOnly="0" labelOnly="1" outline="0" fieldPosition="0">
        <references count="1">
          <reference field="4294967294" count="1">
            <x v="1"/>
          </reference>
        </references>
      </pivotArea>
    </format>
    <format dxfId="1113">
      <pivotArea dataOnly="0" labelOnly="1" outline="0" fieldPosition="0">
        <references count="1">
          <reference field="4294967294" count="1">
            <x v="1"/>
          </reference>
        </references>
      </pivotArea>
    </format>
    <format dxfId="1112">
      <pivotArea dataOnly="0" labelOnly="1" outline="0" fieldPosition="0">
        <references count="1">
          <reference field="4294967294" count="1">
            <x v="1"/>
          </reference>
        </references>
      </pivotArea>
    </format>
    <format dxfId="1111">
      <pivotArea dataOnly="0" labelOnly="1" outline="0" fieldPosition="0">
        <references count="1">
          <reference field="4294967294" count="1">
            <x v="1"/>
          </reference>
        </references>
      </pivotArea>
    </format>
    <format dxfId="1110">
      <pivotArea outline="0" collapsedLevelsAreSubtotals="1" fieldPosition="0">
        <references count="1">
          <reference field="4294967294" count="1" selected="0">
            <x v="1"/>
          </reference>
        </references>
      </pivotArea>
    </format>
    <format dxfId="1109">
      <pivotArea type="all" dataOnly="0" outline="0" fieldPosition="0"/>
    </format>
    <format dxfId="1108">
      <pivotArea outline="0" collapsedLevelsAreSubtotals="1" fieldPosition="0"/>
    </format>
    <format dxfId="1107">
      <pivotArea dataOnly="0" labelOnly="1" fieldPosition="0">
        <references count="1">
          <reference field="2" count="0"/>
        </references>
      </pivotArea>
    </format>
    <format dxfId="1106">
      <pivotArea dataOnly="0" labelOnly="1" grandRow="1" outline="0" fieldPosition="0"/>
    </format>
    <format dxfId="1105">
      <pivotArea dataOnly="0" labelOnly="1" outline="0" fieldPosition="0">
        <references count="1">
          <reference field="4294967294" count="2">
            <x v="0"/>
            <x v="1"/>
          </reference>
        </references>
      </pivotArea>
    </format>
    <format dxfId="1104">
      <pivotArea type="all" dataOnly="0" outline="0" fieldPosition="0"/>
    </format>
    <format dxfId="1103">
      <pivotArea outline="0" collapsedLevelsAreSubtotals="1" fieldPosition="0"/>
    </format>
    <format dxfId="1102">
      <pivotArea dataOnly="0" labelOnly="1" fieldPosition="0">
        <references count="1">
          <reference field="2" count="0"/>
        </references>
      </pivotArea>
    </format>
    <format dxfId="1101">
      <pivotArea dataOnly="0" labelOnly="1" grandRow="1" outline="0" fieldPosition="0"/>
    </format>
    <format dxfId="1100">
      <pivotArea dataOnly="0" labelOnly="1" outline="0" fieldPosition="0">
        <references count="1">
          <reference field="4294967294" count="2">
            <x v="0"/>
            <x v="1"/>
          </reference>
        </references>
      </pivotArea>
    </format>
    <format dxfId="1099">
      <pivotArea outline="0" collapsedLevelsAreSubtotals="1" fieldPosition="0">
        <references count="1">
          <reference field="4294967294" count="1" selected="0">
            <x v="2"/>
          </reference>
        </references>
      </pivotArea>
    </format>
    <format dxfId="1098">
      <pivotArea dataOnly="0" labelOnly="1" outline="0" fieldPosition="0">
        <references count="1">
          <reference field="4294967294" count="1">
            <x v="2"/>
          </reference>
        </references>
      </pivotArea>
    </format>
    <format dxfId="1097">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C96:D100" firstHeaderRow="0" firstDataRow="0" firstDataCol="1" rowPageCount="3" colPageCount="1"/>
  <pivotFields count="97">
    <pivotField axis="axisPage" subtotalTop="0" showAll="0">
      <items count="10">
        <item m="1" x="4"/>
        <item x="2"/>
        <item m="1" x="3"/>
        <item m="1" x="5"/>
        <item m="1" x="8"/>
        <item m="1" x="6"/>
        <item m="1" x="7"/>
        <item x="1"/>
        <item x="0"/>
        <item t="default"/>
      </items>
    </pivotField>
    <pivotField subtotalTop="0" showAll="0"/>
    <pivotField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5">
    <i>
      <x/>
    </i>
    <i i="1">
      <x v="1"/>
    </i>
    <i i="2">
      <x v="2"/>
    </i>
    <i i="3">
      <x v="3"/>
    </i>
    <i i="4">
      <x v="4"/>
    </i>
  </rowItems>
  <colItems count="1">
    <i/>
  </colItems>
  <pageFields count="3">
    <pageField fld="0" item="8" hier="-1"/>
    <pageField fld="95" item="0" hier="-1"/>
    <pageField fld="88" hier="-1"/>
  </pageFields>
  <dataFields count="5">
    <dataField name="Total Population reached" fld="6" baseField="2" baseItem="0" numFmtId="3"/>
    <dataField name="Number of people with equitable and safe access to sufficient quantity of drinking water_1" fld="54" baseField="2" baseItem="1" numFmtId="3"/>
    <dataField name="Number of people with equitable and safe access to sufficient quantity of domestic water_2" fld="58" baseField="2" baseItem="1" numFmtId="3"/>
    <dataField name="Number of people with access to functional sanitation facilities_3" fld="66" baseField="2" baseItem="1" numFmtId="3"/>
    <dataField name="Number of people reached by regular dedicated hygiene promotion_5" fld="72" baseField="0" baseItem="0" numFmtId="164"/>
  </dataFields>
  <formats count="36">
    <format dxfId="1159">
      <pivotArea field="2" type="button" dataOnly="0" labelOnly="1" outline="0"/>
    </format>
    <format dxfId="1158">
      <pivotArea dataOnly="0" labelOnly="1" outline="0" fieldPosition="0">
        <references count="1">
          <reference field="4294967294" count="3">
            <x v="1"/>
            <x v="2"/>
            <x v="3"/>
          </reference>
        </references>
      </pivotArea>
    </format>
    <format dxfId="1157">
      <pivotArea dataOnly="0" labelOnly="1" outline="0" fieldPosition="0">
        <references count="1">
          <reference field="4294967294" count="3">
            <x v="1"/>
            <x v="2"/>
            <x v="3"/>
          </reference>
        </references>
      </pivotArea>
    </format>
    <format dxfId="1156">
      <pivotArea outline="0" fieldPosition="0">
        <references count="1">
          <reference field="4294967294" count="1">
            <x v="1"/>
          </reference>
        </references>
      </pivotArea>
    </format>
    <format dxfId="1155">
      <pivotArea outline="0" fieldPosition="0">
        <references count="1">
          <reference field="4294967294" count="1">
            <x v="2"/>
          </reference>
        </references>
      </pivotArea>
    </format>
    <format dxfId="1154">
      <pivotArea outline="0" fieldPosition="0">
        <references count="1">
          <reference field="4294967294" count="1">
            <x v="3"/>
          </reference>
        </references>
      </pivotArea>
    </format>
    <format dxfId="1153">
      <pivotArea type="all" dataOnly="0" outline="0" fieldPosition="0"/>
    </format>
    <format dxfId="1152">
      <pivotArea field="2" type="button" dataOnly="0" labelOnly="1" outline="0"/>
    </format>
    <format dxfId="1151">
      <pivotArea dataOnly="0" labelOnly="1" outline="0" fieldPosition="0">
        <references count="1">
          <reference field="4294967294" count="3">
            <x v="1"/>
            <x v="2"/>
            <x v="3"/>
          </reference>
        </references>
      </pivotArea>
    </format>
    <format dxfId="1150">
      <pivotArea outline="0" fieldPosition="0">
        <references count="1">
          <reference field="4294967294" count="1">
            <x v="0"/>
          </reference>
        </references>
      </pivotArea>
    </format>
    <format dxfId="1149">
      <pivotArea dataOnly="0" labelOnly="1" outline="0" fieldPosition="0">
        <references count="1">
          <reference field="4294967294" count="1">
            <x v="0"/>
          </reference>
        </references>
      </pivotArea>
    </format>
    <format dxfId="1148">
      <pivotArea outline="0" collapsedLevelsAreSubtotals="1" fieldPosition="0">
        <references count="1">
          <reference field="4294967294" count="2" selected="0">
            <x v="1"/>
            <x v="2"/>
          </reference>
        </references>
      </pivotArea>
    </format>
    <format dxfId="1147">
      <pivotArea outline="0" collapsedLevelsAreSubtotals="1" fieldPosition="0">
        <references count="1">
          <reference field="4294967294" count="2" selected="0">
            <x v="1"/>
            <x v="2"/>
          </reference>
        </references>
      </pivotArea>
    </format>
    <format dxfId="1146">
      <pivotArea dataOnly="0" labelOnly="1" outline="0" fieldPosition="0">
        <references count="1">
          <reference field="4294967294" count="2">
            <x v="1"/>
            <x v="2"/>
          </reference>
        </references>
      </pivotArea>
    </format>
    <format dxfId="1145">
      <pivotArea outline="0" collapsedLevelsAreSubtotals="1" fieldPosition="0">
        <references count="1">
          <reference field="4294967294" count="1" selected="0">
            <x v="3"/>
          </reference>
        </references>
      </pivotArea>
    </format>
    <format dxfId="1144">
      <pivotArea outline="0" collapsedLevelsAreSubtotals="1" fieldPosition="0">
        <references count="1">
          <reference field="4294967294" count="1" selected="0">
            <x v="3"/>
          </reference>
        </references>
      </pivotArea>
    </format>
    <format dxfId="1143">
      <pivotArea dataOnly="0" labelOnly="1" outline="0" fieldPosition="0">
        <references count="1">
          <reference field="4294967294" count="1">
            <x v="3"/>
          </reference>
        </references>
      </pivotArea>
    </format>
    <format dxfId="1142">
      <pivotArea outline="0" collapsedLevelsAreSubtotals="1" fieldPosition="0">
        <references count="1">
          <reference field="4294967294" count="1" selected="0">
            <x v="4"/>
          </reference>
        </references>
      </pivotArea>
    </format>
    <format dxfId="1141">
      <pivotArea outline="0" collapsedLevelsAreSubtotals="1" fieldPosition="0">
        <references count="1">
          <reference field="4294967294" count="1" selected="0">
            <x v="4"/>
          </reference>
        </references>
      </pivotArea>
    </format>
    <format dxfId="1140">
      <pivotArea dataOnly="0" labelOnly="1" outline="0" fieldPosition="0">
        <references count="1">
          <reference field="4294967294" count="1">
            <x v="4"/>
          </reference>
        </references>
      </pivotArea>
    </format>
    <format dxfId="1139">
      <pivotArea outline="0" collapsedLevelsAreSubtotals="1" fieldPosition="0">
        <references count="1">
          <reference field="4294967294" count="4" selected="0">
            <x v="1"/>
            <x v="2"/>
            <x v="3"/>
            <x v="4"/>
          </reference>
        </references>
      </pivotArea>
    </format>
    <format dxfId="1138">
      <pivotArea dataOnly="0" labelOnly="1" outline="0" fieldPosition="0">
        <references count="1">
          <reference field="4294967294" count="4">
            <x v="1"/>
            <x v="2"/>
            <x v="3"/>
            <x v="4"/>
          </reference>
        </references>
      </pivotArea>
    </format>
    <format dxfId="1137">
      <pivotArea dataOnly="0" labelOnly="1" outline="0" fieldPosition="0">
        <references count="1">
          <reference field="4294967294" count="4">
            <x v="1"/>
            <x v="2"/>
            <x v="3"/>
            <x v="4"/>
          </reference>
        </references>
      </pivotArea>
    </format>
    <format dxfId="1136">
      <pivotArea dataOnly="0" labelOnly="1" outline="0" fieldPosition="0">
        <references count="1">
          <reference field="4294967294" count="4">
            <x v="1"/>
            <x v="2"/>
            <x v="3"/>
            <x v="4"/>
          </reference>
        </references>
      </pivotArea>
    </format>
    <format dxfId="1135">
      <pivotArea dataOnly="0" labelOnly="1" outline="0" fieldPosition="0">
        <references count="1">
          <reference field="4294967294" count="4">
            <x v="1"/>
            <x v="2"/>
            <x v="3"/>
            <x v="4"/>
          </reference>
        </references>
      </pivotArea>
    </format>
    <format dxfId="1134">
      <pivotArea outline="0" collapsedLevelsAreSubtotals="1" fieldPosition="0">
        <references count="1">
          <reference field="4294967294" count="1" selected="0">
            <x v="4"/>
          </reference>
        </references>
      </pivotArea>
    </format>
    <format dxfId="1133">
      <pivotArea type="all" dataOnly="0" outline="0" fieldPosition="0"/>
    </format>
    <format dxfId="1132">
      <pivotArea outline="0" collapsedLevelsAreSubtotals="1" fieldPosition="0"/>
    </format>
    <format dxfId="1131">
      <pivotArea dataOnly="0" labelOnly="1" grandRow="1" outline="0" fieldPosition="0"/>
    </format>
    <format dxfId="1130">
      <pivotArea dataOnly="0" labelOnly="1" outline="0" fieldPosition="0">
        <references count="1">
          <reference field="4294967294" count="5">
            <x v="0"/>
            <x v="1"/>
            <x v="2"/>
            <x v="3"/>
            <x v="4"/>
          </reference>
        </references>
      </pivotArea>
    </format>
    <format dxfId="1129">
      <pivotArea type="all" dataOnly="0" outline="0" fieldPosition="0"/>
    </format>
    <format dxfId="1128">
      <pivotArea outline="0" collapsedLevelsAreSubtotals="1" fieldPosition="0"/>
    </format>
    <format dxfId="1127">
      <pivotArea dataOnly="0" labelOnly="1" grandRow="1" outline="0" fieldPosition="0"/>
    </format>
    <format dxfId="1126">
      <pivotArea dataOnly="0" labelOnly="1" outline="0" fieldPosition="0">
        <references count="1">
          <reference field="4294967294" count="5">
            <x v="0"/>
            <x v="1"/>
            <x v="2"/>
            <x v="3"/>
            <x v="4"/>
          </reference>
        </references>
      </pivotArea>
    </format>
    <format dxfId="1125">
      <pivotArea collapsedLevelsAreSubtotals="1" fieldPosition="0">
        <references count="1">
          <reference field="4294967294" count="4">
            <x v="1"/>
            <x v="2"/>
            <x v="3"/>
            <x v="4"/>
          </reference>
        </references>
      </pivotArea>
    </format>
    <format dxfId="1124">
      <pivotArea collapsedLevelsAreSubtotals="1" fieldPosition="0">
        <references count="1">
          <reference field="4294967294" count="4">
            <x v="1"/>
            <x v="2"/>
            <x v="3"/>
            <x v="4"/>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4" cacheId="0"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C128:D134" firstHeaderRow="0" firstDataRow="0" firstDataCol="1" rowPageCount="4" colPageCount="1"/>
  <pivotFields count="97">
    <pivotField axis="axisPage" subtotalTop="0" showAll="0">
      <items count="10">
        <item m="1" x="4"/>
        <item x="2"/>
        <item m="1" x="3"/>
        <item m="1" x="5"/>
        <item m="1" x="8"/>
        <item m="1" x="6"/>
        <item m="1" x="7"/>
        <item x="1"/>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4">
    <pageField fld="0" item="8" hier="-1"/>
    <pageField fld="95" item="0" hier="-1"/>
    <pageField fld="88" hier="-1"/>
    <pageField fld="2" item="1" hier="-1"/>
  </pageFields>
  <dataFields count="7">
    <dataField name="Total Population reached" fld="6" baseField="2" baseItem="0" numFmtId="3"/>
    <dataField name="Number of people with equitable and safe access to sufficient quantity of drinking water_1" fld="54" baseField="2" baseItem="1" numFmtId="3"/>
    <dataField name="Number of people with equitable and safe access to sufficient quantity of domestic water_2" fld="58" baseField="2" baseItem="1" numFmtId="3"/>
    <dataField name="Number of people with access to functional sanitation facilities_3" fld="66" baseField="2" baseItem="1" numFmtId="3"/>
    <dataField name="Number of people with access to continuous sanitation services_4" fld="71" baseField="2" baseItem="0" numFmtId="164"/>
    <dataField name="Number of people reached by regular dedicated hygiene promotion_5" fld="72" baseField="0" baseItem="0" numFmtId="164"/>
    <dataField name="Number of People received regular supply of hygiene items_6" fld="84" baseField="0" baseItem="0"/>
  </dataFields>
  <formats count="38">
    <format dxfId="1197">
      <pivotArea field="2" type="button" dataOnly="0" labelOnly="1" outline="0" axis="axisPage" fieldPosition="3"/>
    </format>
    <format dxfId="1196">
      <pivotArea dataOnly="0" labelOnly="1" outline="0" fieldPosition="0">
        <references count="1">
          <reference field="4294967294" count="3">
            <x v="1"/>
            <x v="2"/>
            <x v="3"/>
          </reference>
        </references>
      </pivotArea>
    </format>
    <format dxfId="1195">
      <pivotArea dataOnly="0" labelOnly="1" outline="0" fieldPosition="0">
        <references count="1">
          <reference field="4294967294" count="3">
            <x v="1"/>
            <x v="2"/>
            <x v="3"/>
          </reference>
        </references>
      </pivotArea>
    </format>
    <format dxfId="1194">
      <pivotArea outline="0" fieldPosition="0">
        <references count="1">
          <reference field="4294967294" count="1">
            <x v="1"/>
          </reference>
        </references>
      </pivotArea>
    </format>
    <format dxfId="1193">
      <pivotArea outline="0" fieldPosition="0">
        <references count="1">
          <reference field="4294967294" count="1">
            <x v="2"/>
          </reference>
        </references>
      </pivotArea>
    </format>
    <format dxfId="1192">
      <pivotArea outline="0" fieldPosition="0">
        <references count="1">
          <reference field="4294967294" count="1">
            <x v="3"/>
          </reference>
        </references>
      </pivotArea>
    </format>
    <format dxfId="1191">
      <pivotArea type="all" dataOnly="0" outline="0" fieldPosition="0"/>
    </format>
    <format dxfId="1190">
      <pivotArea field="2" type="button" dataOnly="0" labelOnly="1" outline="0" axis="axisPage" fieldPosition="3"/>
    </format>
    <format dxfId="1189">
      <pivotArea dataOnly="0" labelOnly="1" outline="0" fieldPosition="0">
        <references count="1">
          <reference field="4294967294" count="3">
            <x v="1"/>
            <x v="2"/>
            <x v="3"/>
          </reference>
        </references>
      </pivotArea>
    </format>
    <format dxfId="1188">
      <pivotArea outline="0" fieldPosition="0">
        <references count="1">
          <reference field="4294967294" count="1">
            <x v="0"/>
          </reference>
        </references>
      </pivotArea>
    </format>
    <format dxfId="1187">
      <pivotArea dataOnly="0" labelOnly="1" outline="0" fieldPosition="0">
        <references count="1">
          <reference field="4294967294" count="1">
            <x v="0"/>
          </reference>
        </references>
      </pivotArea>
    </format>
    <format dxfId="1186">
      <pivotArea outline="0" collapsedLevelsAreSubtotals="1" fieldPosition="0">
        <references count="1">
          <reference field="4294967294" count="2" selected="0">
            <x v="1"/>
            <x v="2"/>
          </reference>
        </references>
      </pivotArea>
    </format>
    <format dxfId="1185">
      <pivotArea outline="0" collapsedLevelsAreSubtotals="1" fieldPosition="0">
        <references count="1">
          <reference field="4294967294" count="2" selected="0">
            <x v="1"/>
            <x v="2"/>
          </reference>
        </references>
      </pivotArea>
    </format>
    <format dxfId="1184">
      <pivotArea dataOnly="0" labelOnly="1" outline="0" fieldPosition="0">
        <references count="1">
          <reference field="4294967294" count="2">
            <x v="1"/>
            <x v="2"/>
          </reference>
        </references>
      </pivotArea>
    </format>
    <format dxfId="1183">
      <pivotArea outline="0" collapsedLevelsAreSubtotals="1" fieldPosition="0">
        <references count="1">
          <reference field="4294967294" count="2" selected="0">
            <x v="3"/>
            <x v="4"/>
          </reference>
        </references>
      </pivotArea>
    </format>
    <format dxfId="1182">
      <pivotArea outline="0" collapsedLevelsAreSubtotals="1" fieldPosition="0">
        <references count="1">
          <reference field="4294967294" count="2" selected="0">
            <x v="3"/>
            <x v="4"/>
          </reference>
        </references>
      </pivotArea>
    </format>
    <format dxfId="1181">
      <pivotArea dataOnly="0" labelOnly="1" outline="0" fieldPosition="0">
        <references count="1">
          <reference field="4294967294" count="2">
            <x v="3"/>
            <x v="4"/>
          </reference>
        </references>
      </pivotArea>
    </format>
    <format dxfId="1180">
      <pivotArea outline="0" collapsedLevelsAreSubtotals="1" fieldPosition="0">
        <references count="1">
          <reference field="4294967294" count="1" selected="0">
            <x v="5"/>
          </reference>
        </references>
      </pivotArea>
    </format>
    <format dxfId="1179">
      <pivotArea outline="0" collapsedLevelsAreSubtotals="1" fieldPosition="0">
        <references count="1">
          <reference field="4294967294" count="1" selected="0">
            <x v="5"/>
          </reference>
        </references>
      </pivotArea>
    </format>
    <format dxfId="1178">
      <pivotArea dataOnly="0" labelOnly="1" outline="0" fieldPosition="0">
        <references count="1">
          <reference field="4294967294" count="1">
            <x v="5"/>
          </reference>
        </references>
      </pivotArea>
    </format>
    <format dxfId="1177">
      <pivotArea outline="0" collapsedLevelsAreSubtotals="1" fieldPosition="0">
        <references count="1">
          <reference field="4294967294" count="5" selected="0">
            <x v="1"/>
            <x v="2"/>
            <x v="3"/>
            <x v="4"/>
            <x v="5"/>
          </reference>
        </references>
      </pivotArea>
    </format>
    <format dxfId="1176">
      <pivotArea dataOnly="0" labelOnly="1" outline="0" fieldPosition="0">
        <references count="1">
          <reference field="4294967294" count="5">
            <x v="1"/>
            <x v="2"/>
            <x v="3"/>
            <x v="4"/>
            <x v="5"/>
          </reference>
        </references>
      </pivotArea>
    </format>
    <format dxfId="1175">
      <pivotArea dataOnly="0" labelOnly="1" outline="0" fieldPosition="0">
        <references count="1">
          <reference field="4294967294" count="5">
            <x v="1"/>
            <x v="2"/>
            <x v="3"/>
            <x v="4"/>
            <x v="5"/>
          </reference>
        </references>
      </pivotArea>
    </format>
    <format dxfId="1174">
      <pivotArea dataOnly="0" labelOnly="1" outline="0" fieldPosition="0">
        <references count="1">
          <reference field="4294967294" count="5">
            <x v="1"/>
            <x v="2"/>
            <x v="3"/>
            <x v="4"/>
            <x v="5"/>
          </reference>
        </references>
      </pivotArea>
    </format>
    <format dxfId="1173">
      <pivotArea dataOnly="0" labelOnly="1" outline="0" fieldPosition="0">
        <references count="1">
          <reference field="4294967294" count="5">
            <x v="1"/>
            <x v="2"/>
            <x v="3"/>
            <x v="4"/>
            <x v="5"/>
          </reference>
        </references>
      </pivotArea>
    </format>
    <format dxfId="1172">
      <pivotArea outline="0" collapsedLevelsAreSubtotals="1" fieldPosition="0">
        <references count="1">
          <reference field="4294967294" count="2" selected="0">
            <x v="4"/>
            <x v="5"/>
          </reference>
        </references>
      </pivotArea>
    </format>
    <format dxfId="1171">
      <pivotArea type="all" dataOnly="0" outline="0" fieldPosition="0"/>
    </format>
    <format dxfId="1170">
      <pivotArea outline="0" collapsedLevelsAreSubtotals="1" fieldPosition="0"/>
    </format>
    <format dxfId="1169">
      <pivotArea dataOnly="0" labelOnly="1" grandRow="1" outline="0" fieldPosition="0"/>
    </format>
    <format dxfId="1168">
      <pivotArea dataOnly="0" labelOnly="1" outline="0" fieldPosition="0">
        <references count="1">
          <reference field="4294967294" count="6">
            <x v="0"/>
            <x v="1"/>
            <x v="2"/>
            <x v="3"/>
            <x v="4"/>
            <x v="5"/>
          </reference>
        </references>
      </pivotArea>
    </format>
    <format dxfId="1167">
      <pivotArea type="all" dataOnly="0" outline="0" fieldPosition="0"/>
    </format>
    <format dxfId="1166">
      <pivotArea outline="0" collapsedLevelsAreSubtotals="1" fieldPosition="0"/>
    </format>
    <format dxfId="1165">
      <pivotArea dataOnly="0" labelOnly="1" grandRow="1" outline="0" fieldPosition="0"/>
    </format>
    <format dxfId="1164">
      <pivotArea dataOnly="0" labelOnly="1" outline="0" fieldPosition="0">
        <references count="1">
          <reference field="4294967294" count="6">
            <x v="0"/>
            <x v="1"/>
            <x v="2"/>
            <x v="3"/>
            <x v="4"/>
            <x v="5"/>
          </reference>
        </references>
      </pivotArea>
    </format>
    <format dxfId="1163">
      <pivotArea outline="0" collapsedLevelsAreSubtotals="1" fieldPosition="0">
        <references count="1">
          <reference field="4294967294" count="1" selected="0">
            <x v="6"/>
          </reference>
        </references>
      </pivotArea>
    </format>
    <format dxfId="1162">
      <pivotArea dataOnly="0" labelOnly="1" outline="0" fieldPosition="0">
        <references count="1">
          <reference field="4294967294" count="1">
            <x v="6"/>
          </reference>
        </references>
      </pivotArea>
    </format>
    <format dxfId="1161">
      <pivotArea collapsedLevelsAreSubtotals="1" fieldPosition="0">
        <references count="1">
          <reference field="4294967294" count="6">
            <x v="1"/>
            <x v="2"/>
            <x v="3"/>
            <x v="4"/>
            <x v="5"/>
            <x v="6"/>
          </reference>
        </references>
      </pivotArea>
    </format>
    <format dxfId="1160">
      <pivotArea field="2" type="button" dataOnly="0" labelOnly="1" outline="0" axis="axisPage" fieldPosition="3"/>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11" cacheId="0"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AP96:AQ100" firstHeaderRow="0" firstDataRow="0" firstDataCol="1" rowPageCount="3" colPageCount="1"/>
  <pivotFields count="97">
    <pivotField axis="axisPage" subtotalTop="0" showAll="0">
      <items count="10">
        <item m="1" x="4"/>
        <item x="2"/>
        <item m="1" x="3"/>
        <item m="1" x="5"/>
        <item m="1" x="8"/>
        <item m="1" x="6"/>
        <item m="1" x="7"/>
        <item x="1"/>
        <item x="0"/>
        <item t="default"/>
      </items>
    </pivotField>
    <pivotField subtotalTop="0" showAll="0"/>
    <pivotField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Page" subtotalTop="0" multipleItemSelectionAllowed="1" showAll="0">
      <items count="7">
        <item m="1" x="5"/>
        <item x="1"/>
        <item x="0"/>
        <item h="1" x="2"/>
        <item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5">
    <i>
      <x/>
    </i>
    <i i="1">
      <x v="1"/>
    </i>
    <i i="2">
      <x v="2"/>
    </i>
    <i i="3">
      <x v="3"/>
    </i>
    <i i="4">
      <x v="4"/>
    </i>
  </rowItems>
  <colItems count="1">
    <i/>
  </colItems>
  <pageFields count="3">
    <pageField fld="0" item="7" hier="-1"/>
    <pageField fld="95" item="0" hier="-1"/>
    <pageField fld="88" hier="-1"/>
  </pageFields>
  <dataFields count="5">
    <dataField name="Total Population reached" fld="6" baseField="2" baseItem="0" numFmtId="3"/>
    <dataField name="Number of people with equitable and safe access to sufficient quantity of drinking water_1" fld="54" baseField="2" baseItem="1" numFmtId="3"/>
    <dataField name="Number of people with equitable and safe access to sufficient quantity of domestic water_2" fld="58" baseField="2" baseItem="1" numFmtId="3"/>
    <dataField name="Number of people with access to functional sanitation facilities_3" fld="66" baseField="2" baseItem="1" numFmtId="3"/>
    <dataField name="Number of people reached by regular dedicated hygiene promotion_5" fld="72" baseField="0" baseItem="0" numFmtId="164"/>
  </dataFields>
  <formats count="34">
    <format dxfId="1231">
      <pivotArea field="2" type="button" dataOnly="0" labelOnly="1" outline="0"/>
    </format>
    <format dxfId="1230">
      <pivotArea dataOnly="0" labelOnly="1" outline="0" fieldPosition="0">
        <references count="1">
          <reference field="4294967294" count="3">
            <x v="1"/>
            <x v="2"/>
            <x v="3"/>
          </reference>
        </references>
      </pivotArea>
    </format>
    <format dxfId="1229">
      <pivotArea dataOnly="0" labelOnly="1" outline="0" fieldPosition="0">
        <references count="1">
          <reference field="4294967294" count="3">
            <x v="1"/>
            <x v="2"/>
            <x v="3"/>
          </reference>
        </references>
      </pivotArea>
    </format>
    <format dxfId="1228">
      <pivotArea outline="0" fieldPosition="0">
        <references count="1">
          <reference field="4294967294" count="1">
            <x v="1"/>
          </reference>
        </references>
      </pivotArea>
    </format>
    <format dxfId="1227">
      <pivotArea outline="0" fieldPosition="0">
        <references count="1">
          <reference field="4294967294" count="1">
            <x v="2"/>
          </reference>
        </references>
      </pivotArea>
    </format>
    <format dxfId="1226">
      <pivotArea outline="0" fieldPosition="0">
        <references count="1">
          <reference field="4294967294" count="1">
            <x v="3"/>
          </reference>
        </references>
      </pivotArea>
    </format>
    <format dxfId="1225">
      <pivotArea type="all" dataOnly="0" outline="0" fieldPosition="0"/>
    </format>
    <format dxfId="1224">
      <pivotArea field="2" type="button" dataOnly="0" labelOnly="1" outline="0"/>
    </format>
    <format dxfId="1223">
      <pivotArea dataOnly="0" labelOnly="1" outline="0" fieldPosition="0">
        <references count="1">
          <reference field="4294967294" count="3">
            <x v="1"/>
            <x v="2"/>
            <x v="3"/>
          </reference>
        </references>
      </pivotArea>
    </format>
    <format dxfId="1222">
      <pivotArea outline="0" fieldPosition="0">
        <references count="1">
          <reference field="4294967294" count="1">
            <x v="0"/>
          </reference>
        </references>
      </pivotArea>
    </format>
    <format dxfId="1221">
      <pivotArea dataOnly="0" labelOnly="1" outline="0" fieldPosition="0">
        <references count="1">
          <reference field="4294967294" count="1">
            <x v="0"/>
          </reference>
        </references>
      </pivotArea>
    </format>
    <format dxfId="1220">
      <pivotArea outline="0" collapsedLevelsAreSubtotals="1" fieldPosition="0">
        <references count="1">
          <reference field="4294967294" count="2" selected="0">
            <x v="1"/>
            <x v="2"/>
          </reference>
        </references>
      </pivotArea>
    </format>
    <format dxfId="1219">
      <pivotArea outline="0" collapsedLevelsAreSubtotals="1" fieldPosition="0">
        <references count="1">
          <reference field="4294967294" count="2" selected="0">
            <x v="1"/>
            <x v="2"/>
          </reference>
        </references>
      </pivotArea>
    </format>
    <format dxfId="1218">
      <pivotArea dataOnly="0" labelOnly="1" outline="0" fieldPosition="0">
        <references count="1">
          <reference field="4294967294" count="2">
            <x v="1"/>
            <x v="2"/>
          </reference>
        </references>
      </pivotArea>
    </format>
    <format dxfId="1217">
      <pivotArea outline="0" collapsedLevelsAreSubtotals="1" fieldPosition="0">
        <references count="1">
          <reference field="4294967294" count="1" selected="0">
            <x v="3"/>
          </reference>
        </references>
      </pivotArea>
    </format>
    <format dxfId="1216">
      <pivotArea outline="0" collapsedLevelsAreSubtotals="1" fieldPosition="0">
        <references count="1">
          <reference field="4294967294" count="1" selected="0">
            <x v="3"/>
          </reference>
        </references>
      </pivotArea>
    </format>
    <format dxfId="1215">
      <pivotArea dataOnly="0" labelOnly="1" outline="0" fieldPosition="0">
        <references count="1">
          <reference field="4294967294" count="1">
            <x v="3"/>
          </reference>
        </references>
      </pivotArea>
    </format>
    <format dxfId="1214">
      <pivotArea outline="0" collapsedLevelsAreSubtotals="1" fieldPosition="0">
        <references count="1">
          <reference field="4294967294" count="1" selected="0">
            <x v="4"/>
          </reference>
        </references>
      </pivotArea>
    </format>
    <format dxfId="1213">
      <pivotArea outline="0" collapsedLevelsAreSubtotals="1" fieldPosition="0">
        <references count="1">
          <reference field="4294967294" count="1" selected="0">
            <x v="4"/>
          </reference>
        </references>
      </pivotArea>
    </format>
    <format dxfId="1212">
      <pivotArea dataOnly="0" labelOnly="1" outline="0" fieldPosition="0">
        <references count="1">
          <reference field="4294967294" count="1">
            <x v="4"/>
          </reference>
        </references>
      </pivotArea>
    </format>
    <format dxfId="1211">
      <pivotArea outline="0" collapsedLevelsAreSubtotals="1" fieldPosition="0">
        <references count="1">
          <reference field="4294967294" count="4" selected="0">
            <x v="1"/>
            <x v="2"/>
            <x v="3"/>
            <x v="4"/>
          </reference>
        </references>
      </pivotArea>
    </format>
    <format dxfId="1210">
      <pivotArea dataOnly="0" labelOnly="1" outline="0" fieldPosition="0">
        <references count="1">
          <reference field="4294967294" count="4">
            <x v="1"/>
            <x v="2"/>
            <x v="3"/>
            <x v="4"/>
          </reference>
        </references>
      </pivotArea>
    </format>
    <format dxfId="1209">
      <pivotArea dataOnly="0" labelOnly="1" outline="0" fieldPosition="0">
        <references count="1">
          <reference field="4294967294" count="4">
            <x v="1"/>
            <x v="2"/>
            <x v="3"/>
            <x v="4"/>
          </reference>
        </references>
      </pivotArea>
    </format>
    <format dxfId="1208">
      <pivotArea dataOnly="0" labelOnly="1" outline="0" fieldPosition="0">
        <references count="1">
          <reference field="4294967294" count="4">
            <x v="1"/>
            <x v="2"/>
            <x v="3"/>
            <x v="4"/>
          </reference>
        </references>
      </pivotArea>
    </format>
    <format dxfId="1207">
      <pivotArea dataOnly="0" labelOnly="1" outline="0" fieldPosition="0">
        <references count="1">
          <reference field="4294967294" count="4">
            <x v="1"/>
            <x v="2"/>
            <x v="3"/>
            <x v="4"/>
          </reference>
        </references>
      </pivotArea>
    </format>
    <format dxfId="1206">
      <pivotArea outline="0" collapsedLevelsAreSubtotals="1" fieldPosition="0">
        <references count="1">
          <reference field="4294967294" count="1" selected="0">
            <x v="4"/>
          </reference>
        </references>
      </pivotArea>
    </format>
    <format dxfId="1205">
      <pivotArea type="all" dataOnly="0" outline="0" fieldPosition="0"/>
    </format>
    <format dxfId="1204">
      <pivotArea outline="0" collapsedLevelsAreSubtotals="1" fieldPosition="0"/>
    </format>
    <format dxfId="1203">
      <pivotArea dataOnly="0" labelOnly="1" grandRow="1" outline="0" fieldPosition="0"/>
    </format>
    <format dxfId="1202">
      <pivotArea dataOnly="0" labelOnly="1" outline="0" fieldPosition="0">
        <references count="1">
          <reference field="4294967294" count="5">
            <x v="0"/>
            <x v="1"/>
            <x v="2"/>
            <x v="3"/>
            <x v="4"/>
          </reference>
        </references>
      </pivotArea>
    </format>
    <format dxfId="1201">
      <pivotArea type="all" dataOnly="0" outline="0" fieldPosition="0"/>
    </format>
    <format dxfId="1200">
      <pivotArea outline="0" collapsedLevelsAreSubtotals="1" fieldPosition="0"/>
    </format>
    <format dxfId="1199">
      <pivotArea dataOnly="0" labelOnly="1" grandRow="1" outline="0" fieldPosition="0"/>
    </format>
    <format dxfId="1198">
      <pivotArea dataOnly="0" labelOnly="1" outline="0" fieldPosition="0">
        <references count="1">
          <reference field="4294967294" count="5">
            <x v="0"/>
            <x v="1"/>
            <x v="2"/>
            <x v="3"/>
            <x v="4"/>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10" cacheId="0"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V128:W134" firstHeaderRow="0" firstDataRow="0" firstDataCol="1" rowPageCount="4" colPageCount="1"/>
  <pivotFields count="97">
    <pivotField axis="axisPage" subtotalTop="0" showAll="0">
      <items count="10">
        <item m="1" x="4"/>
        <item x="2"/>
        <item m="1" x="3"/>
        <item m="1" x="5"/>
        <item m="1" x="8"/>
        <item m="1" x="6"/>
        <item m="1" x="7"/>
        <item x="1"/>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h="1" x="1"/>
        <item h="1" x="0"/>
        <item h="1" x="2"/>
        <item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4">
    <pageField fld="0" item="8" hier="-1"/>
    <pageField fld="95" item="0" hier="-1"/>
    <pageField fld="88" hier="-1"/>
    <pageField fld="2" item="1" hier="-1"/>
  </pageFields>
  <dataFields count="7">
    <dataField name="Total Population reached" fld="6" baseField="2" baseItem="0" numFmtId="3"/>
    <dataField name="Number of people with equitable and safe access to sufficient quantity of drinking water_1" fld="54" baseField="2" baseItem="1" numFmtId="3"/>
    <dataField name="Number of people with equitable and safe access to sufficient quantity of domestic water_2" fld="58" baseField="2" baseItem="1" numFmtId="3"/>
    <dataField name="Number of people with access to functional sanitation facilities_3" fld="66" baseField="2" baseItem="1" numFmtId="3"/>
    <dataField name="Number of people with access to continuous sanitation services_4" fld="71" baseField="2" baseItem="0" numFmtId="164"/>
    <dataField name="Number of people reached by regular dedicated hygiene promotion_5" fld="72" baseField="0" baseItem="0" numFmtId="164"/>
    <dataField name="Number of People received regular supply of hygiene items_6" fld="84" baseField="0" baseItem="0"/>
  </dataFields>
  <formats count="37">
    <format dxfId="1268">
      <pivotArea field="2" type="button" dataOnly="0" labelOnly="1" outline="0" axis="axisPage" fieldPosition="3"/>
    </format>
    <format dxfId="1267">
      <pivotArea dataOnly="0" labelOnly="1" outline="0" fieldPosition="0">
        <references count="1">
          <reference field="4294967294" count="3">
            <x v="1"/>
            <x v="2"/>
            <x v="3"/>
          </reference>
        </references>
      </pivotArea>
    </format>
    <format dxfId="1266">
      <pivotArea dataOnly="0" labelOnly="1" outline="0" fieldPosition="0">
        <references count="1">
          <reference field="4294967294" count="3">
            <x v="1"/>
            <x v="2"/>
            <x v="3"/>
          </reference>
        </references>
      </pivotArea>
    </format>
    <format dxfId="1265">
      <pivotArea outline="0" fieldPosition="0">
        <references count="1">
          <reference field="4294967294" count="1">
            <x v="1"/>
          </reference>
        </references>
      </pivotArea>
    </format>
    <format dxfId="1264">
      <pivotArea outline="0" fieldPosition="0">
        <references count="1">
          <reference field="4294967294" count="1">
            <x v="2"/>
          </reference>
        </references>
      </pivotArea>
    </format>
    <format dxfId="1263">
      <pivotArea outline="0" fieldPosition="0">
        <references count="1">
          <reference field="4294967294" count="1">
            <x v="3"/>
          </reference>
        </references>
      </pivotArea>
    </format>
    <format dxfId="1262">
      <pivotArea type="all" dataOnly="0" outline="0" fieldPosition="0"/>
    </format>
    <format dxfId="1261">
      <pivotArea field="2" type="button" dataOnly="0" labelOnly="1" outline="0" axis="axisPage" fieldPosition="3"/>
    </format>
    <format dxfId="1260">
      <pivotArea dataOnly="0" labelOnly="1" outline="0" fieldPosition="0">
        <references count="1">
          <reference field="4294967294" count="3">
            <x v="1"/>
            <x v="2"/>
            <x v="3"/>
          </reference>
        </references>
      </pivotArea>
    </format>
    <format dxfId="1259">
      <pivotArea outline="0" fieldPosition="0">
        <references count="1">
          <reference field="4294967294" count="1">
            <x v="0"/>
          </reference>
        </references>
      </pivotArea>
    </format>
    <format dxfId="1258">
      <pivotArea dataOnly="0" labelOnly="1" outline="0" fieldPosition="0">
        <references count="1">
          <reference field="4294967294" count="1">
            <x v="0"/>
          </reference>
        </references>
      </pivotArea>
    </format>
    <format dxfId="1257">
      <pivotArea outline="0" collapsedLevelsAreSubtotals="1" fieldPosition="0">
        <references count="1">
          <reference field="4294967294" count="2" selected="0">
            <x v="1"/>
            <x v="2"/>
          </reference>
        </references>
      </pivotArea>
    </format>
    <format dxfId="1256">
      <pivotArea outline="0" collapsedLevelsAreSubtotals="1" fieldPosition="0">
        <references count="1">
          <reference field="4294967294" count="2" selected="0">
            <x v="1"/>
            <x v="2"/>
          </reference>
        </references>
      </pivotArea>
    </format>
    <format dxfId="1255">
      <pivotArea dataOnly="0" labelOnly="1" outline="0" fieldPosition="0">
        <references count="1">
          <reference field="4294967294" count="2">
            <x v="1"/>
            <x v="2"/>
          </reference>
        </references>
      </pivotArea>
    </format>
    <format dxfId="1254">
      <pivotArea outline="0" collapsedLevelsAreSubtotals="1" fieldPosition="0">
        <references count="1">
          <reference field="4294967294" count="2" selected="0">
            <x v="3"/>
            <x v="4"/>
          </reference>
        </references>
      </pivotArea>
    </format>
    <format dxfId="1253">
      <pivotArea outline="0" collapsedLevelsAreSubtotals="1" fieldPosition="0">
        <references count="1">
          <reference field="4294967294" count="2" selected="0">
            <x v="3"/>
            <x v="4"/>
          </reference>
        </references>
      </pivotArea>
    </format>
    <format dxfId="1252">
      <pivotArea dataOnly="0" labelOnly="1" outline="0" fieldPosition="0">
        <references count="1">
          <reference field="4294967294" count="2">
            <x v="3"/>
            <x v="4"/>
          </reference>
        </references>
      </pivotArea>
    </format>
    <format dxfId="1251">
      <pivotArea outline="0" collapsedLevelsAreSubtotals="1" fieldPosition="0">
        <references count="1">
          <reference field="4294967294" count="1" selected="0">
            <x v="5"/>
          </reference>
        </references>
      </pivotArea>
    </format>
    <format dxfId="1250">
      <pivotArea outline="0" collapsedLevelsAreSubtotals="1" fieldPosition="0">
        <references count="1">
          <reference field="4294967294" count="1" selected="0">
            <x v="5"/>
          </reference>
        </references>
      </pivotArea>
    </format>
    <format dxfId="1249">
      <pivotArea dataOnly="0" labelOnly="1" outline="0" fieldPosition="0">
        <references count="1">
          <reference field="4294967294" count="1">
            <x v="5"/>
          </reference>
        </references>
      </pivotArea>
    </format>
    <format dxfId="1248">
      <pivotArea outline="0" collapsedLevelsAreSubtotals="1" fieldPosition="0">
        <references count="1">
          <reference field="4294967294" count="5" selected="0">
            <x v="1"/>
            <x v="2"/>
            <x v="3"/>
            <x v="4"/>
            <x v="5"/>
          </reference>
        </references>
      </pivotArea>
    </format>
    <format dxfId="1247">
      <pivotArea dataOnly="0" labelOnly="1" outline="0" fieldPosition="0">
        <references count="1">
          <reference field="4294967294" count="5">
            <x v="1"/>
            <x v="2"/>
            <x v="3"/>
            <x v="4"/>
            <x v="5"/>
          </reference>
        </references>
      </pivotArea>
    </format>
    <format dxfId="1246">
      <pivotArea dataOnly="0" labelOnly="1" outline="0" fieldPosition="0">
        <references count="1">
          <reference field="4294967294" count="5">
            <x v="1"/>
            <x v="2"/>
            <x v="3"/>
            <x v="4"/>
            <x v="5"/>
          </reference>
        </references>
      </pivotArea>
    </format>
    <format dxfId="1245">
      <pivotArea dataOnly="0" labelOnly="1" outline="0" fieldPosition="0">
        <references count="1">
          <reference field="4294967294" count="5">
            <x v="1"/>
            <x v="2"/>
            <x v="3"/>
            <x v="4"/>
            <x v="5"/>
          </reference>
        </references>
      </pivotArea>
    </format>
    <format dxfId="1244">
      <pivotArea dataOnly="0" labelOnly="1" outline="0" fieldPosition="0">
        <references count="1">
          <reference field="4294967294" count="5">
            <x v="1"/>
            <x v="2"/>
            <x v="3"/>
            <x v="4"/>
            <x v="5"/>
          </reference>
        </references>
      </pivotArea>
    </format>
    <format dxfId="1243">
      <pivotArea outline="0" collapsedLevelsAreSubtotals="1" fieldPosition="0">
        <references count="1">
          <reference field="4294967294" count="2" selected="0">
            <x v="4"/>
            <x v="5"/>
          </reference>
        </references>
      </pivotArea>
    </format>
    <format dxfId="1242">
      <pivotArea type="all" dataOnly="0" outline="0" fieldPosition="0"/>
    </format>
    <format dxfId="1241">
      <pivotArea outline="0" collapsedLevelsAreSubtotals="1" fieldPosition="0"/>
    </format>
    <format dxfId="1240">
      <pivotArea dataOnly="0" labelOnly="1" grandRow="1" outline="0" fieldPosition="0"/>
    </format>
    <format dxfId="1239">
      <pivotArea dataOnly="0" labelOnly="1" outline="0" fieldPosition="0">
        <references count="1">
          <reference field="4294967294" count="6">
            <x v="0"/>
            <x v="1"/>
            <x v="2"/>
            <x v="3"/>
            <x v="4"/>
            <x v="5"/>
          </reference>
        </references>
      </pivotArea>
    </format>
    <format dxfId="1238">
      <pivotArea type="all" dataOnly="0" outline="0" fieldPosition="0"/>
    </format>
    <format dxfId="1237">
      <pivotArea outline="0" collapsedLevelsAreSubtotals="1" fieldPosition="0"/>
    </format>
    <format dxfId="1236">
      <pivotArea dataOnly="0" labelOnly="1" grandRow="1" outline="0" fieldPosition="0"/>
    </format>
    <format dxfId="1235">
      <pivotArea dataOnly="0" labelOnly="1" outline="0" fieldPosition="0">
        <references count="1">
          <reference field="4294967294" count="6">
            <x v="0"/>
            <x v="1"/>
            <x v="2"/>
            <x v="3"/>
            <x v="4"/>
            <x v="5"/>
          </reference>
        </references>
      </pivotArea>
    </format>
    <format dxfId="1234">
      <pivotArea outline="0" collapsedLevelsAreSubtotals="1" fieldPosition="0">
        <references count="1">
          <reference field="4294967294" count="1" selected="0">
            <x v="6"/>
          </reference>
        </references>
      </pivotArea>
    </format>
    <format dxfId="1233">
      <pivotArea dataOnly="0" labelOnly="1" outline="0" fieldPosition="0">
        <references count="1">
          <reference field="4294967294" count="1">
            <x v="6"/>
          </reference>
        </references>
      </pivotArea>
    </format>
    <format dxfId="1232">
      <pivotArea collapsedLevelsAreSubtotals="1" fieldPosition="0">
        <references count="1">
          <reference field="4294967294" count="6">
            <x v="1"/>
            <x v="2"/>
            <x v="3"/>
            <x v="4"/>
            <x v="5"/>
            <x v="6"/>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HRP_1" cacheId="0"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B6:G10" firstHeaderRow="0" firstDataRow="1" firstDataCol="1" rowPageCount="3" colPageCount="1"/>
  <pivotFields count="97">
    <pivotField axis="axisPage" subtotalTop="0" showAll="0">
      <items count="10">
        <item m="1" x="4"/>
        <item x="2"/>
        <item m="1" x="3"/>
        <item m="1" x="5"/>
        <item m="1" x="8"/>
        <item m="1" x="6"/>
        <item m="1" x="7"/>
        <item x="1"/>
        <item x="0"/>
        <item t="default"/>
      </items>
    </pivotField>
    <pivotField subtotalTop="0" showAll="0"/>
    <pivotField axis="axisRow"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4">
    <i>
      <x/>
    </i>
    <i>
      <x v="1"/>
    </i>
    <i>
      <x v="2"/>
    </i>
    <i t="grand">
      <x/>
    </i>
  </rowItems>
  <colFields count="1">
    <field x="-2"/>
  </colFields>
  <colItems count="5">
    <i>
      <x/>
    </i>
    <i i="1">
      <x v="1"/>
    </i>
    <i i="2">
      <x v="2"/>
    </i>
    <i i="3">
      <x v="3"/>
    </i>
    <i i="4">
      <x v="4"/>
    </i>
  </colItems>
  <pageFields count="3">
    <pageField fld="0" item="8" hier="-1"/>
    <pageField fld="95" item="0" hier="-1"/>
    <pageField fld="88" hier="-1"/>
  </pageFields>
  <dataFields count="5">
    <dataField name="Total Population reached" fld="6" baseField="2" baseItem="0" numFmtId="3"/>
    <dataField name="Number of people with equitable and safe access to sufficient quantity of drinking water_1" fld="54" baseField="2" baseItem="1" numFmtId="3"/>
    <dataField name="Number of people with equitable and safe access to sufficient quantity of domestic water_2" fld="58" baseField="2" baseItem="1" numFmtId="3"/>
    <dataField name="Number of people with access to functional sanitation facilities_3" fld="66" baseField="2" baseItem="1" numFmtId="3"/>
    <dataField name="Number of people reached by regular dedicated hygiene promotion_5" fld="72" baseField="0" baseItem="0" numFmtId="164"/>
  </dataFields>
  <formats count="36">
    <format dxfId="1304">
      <pivotArea field="2" type="button" dataOnly="0" labelOnly="1" outline="0" axis="axisRow" fieldPosition="0"/>
    </format>
    <format dxfId="1303">
      <pivotArea dataOnly="0" labelOnly="1" outline="0" fieldPosition="0">
        <references count="1">
          <reference field="4294967294" count="3">
            <x v="1"/>
            <x v="2"/>
            <x v="3"/>
          </reference>
        </references>
      </pivotArea>
    </format>
    <format dxfId="1302">
      <pivotArea dataOnly="0" labelOnly="1" outline="0" fieldPosition="0">
        <references count="1">
          <reference field="4294967294" count="3">
            <x v="1"/>
            <x v="2"/>
            <x v="3"/>
          </reference>
        </references>
      </pivotArea>
    </format>
    <format dxfId="1301">
      <pivotArea outline="0" fieldPosition="0">
        <references count="1">
          <reference field="4294967294" count="1">
            <x v="1"/>
          </reference>
        </references>
      </pivotArea>
    </format>
    <format dxfId="1300">
      <pivotArea outline="0" fieldPosition="0">
        <references count="1">
          <reference field="4294967294" count="1">
            <x v="2"/>
          </reference>
        </references>
      </pivotArea>
    </format>
    <format dxfId="1299">
      <pivotArea outline="0" fieldPosition="0">
        <references count="1">
          <reference field="4294967294" count="1">
            <x v="3"/>
          </reference>
        </references>
      </pivotArea>
    </format>
    <format dxfId="1298">
      <pivotArea type="all" dataOnly="0" outline="0" fieldPosition="0"/>
    </format>
    <format dxfId="1297">
      <pivotArea field="2" type="button" dataOnly="0" labelOnly="1" outline="0" axis="axisRow" fieldPosition="0"/>
    </format>
    <format dxfId="1296">
      <pivotArea dataOnly="0" labelOnly="1" outline="0" fieldPosition="0">
        <references count="1">
          <reference field="4294967294" count="3">
            <x v="1"/>
            <x v="2"/>
            <x v="3"/>
          </reference>
        </references>
      </pivotArea>
    </format>
    <format dxfId="1295">
      <pivotArea outline="0" fieldPosition="0">
        <references count="1">
          <reference field="4294967294" count="1">
            <x v="0"/>
          </reference>
        </references>
      </pivotArea>
    </format>
    <format dxfId="1294">
      <pivotArea dataOnly="0" labelOnly="1" outline="0" fieldPosition="0">
        <references count="1">
          <reference field="4294967294" count="1">
            <x v="0"/>
          </reference>
        </references>
      </pivotArea>
    </format>
    <format dxfId="1293">
      <pivotArea outline="0" collapsedLevelsAreSubtotals="1" fieldPosition="0">
        <references count="1">
          <reference field="4294967294" count="2" selected="0">
            <x v="1"/>
            <x v="2"/>
          </reference>
        </references>
      </pivotArea>
    </format>
    <format dxfId="1292">
      <pivotArea outline="0" collapsedLevelsAreSubtotals="1" fieldPosition="0">
        <references count="1">
          <reference field="4294967294" count="2" selected="0">
            <x v="1"/>
            <x v="2"/>
          </reference>
        </references>
      </pivotArea>
    </format>
    <format dxfId="1291">
      <pivotArea dataOnly="0" labelOnly="1" outline="0" fieldPosition="0">
        <references count="1">
          <reference field="4294967294" count="2">
            <x v="1"/>
            <x v="2"/>
          </reference>
        </references>
      </pivotArea>
    </format>
    <format dxfId="1290">
      <pivotArea outline="0" collapsedLevelsAreSubtotals="1" fieldPosition="0">
        <references count="1">
          <reference field="4294967294" count="1" selected="0">
            <x v="3"/>
          </reference>
        </references>
      </pivotArea>
    </format>
    <format dxfId="1289">
      <pivotArea outline="0" collapsedLevelsAreSubtotals="1" fieldPosition="0">
        <references count="1">
          <reference field="4294967294" count="1" selected="0">
            <x v="3"/>
          </reference>
        </references>
      </pivotArea>
    </format>
    <format dxfId="1288">
      <pivotArea dataOnly="0" labelOnly="1" outline="0" fieldPosition="0">
        <references count="1">
          <reference field="4294967294" count="1">
            <x v="3"/>
          </reference>
        </references>
      </pivotArea>
    </format>
    <format dxfId="1287">
      <pivotArea outline="0" collapsedLevelsAreSubtotals="1" fieldPosition="0">
        <references count="1">
          <reference field="4294967294" count="1" selected="0">
            <x v="4"/>
          </reference>
        </references>
      </pivotArea>
    </format>
    <format dxfId="1286">
      <pivotArea outline="0" collapsedLevelsAreSubtotals="1" fieldPosition="0">
        <references count="1">
          <reference field="4294967294" count="1" selected="0">
            <x v="4"/>
          </reference>
        </references>
      </pivotArea>
    </format>
    <format dxfId="1285">
      <pivotArea dataOnly="0" labelOnly="1" outline="0" fieldPosition="0">
        <references count="1">
          <reference field="4294967294" count="1">
            <x v="4"/>
          </reference>
        </references>
      </pivotArea>
    </format>
    <format dxfId="1284">
      <pivotArea outline="0" collapsedLevelsAreSubtotals="1" fieldPosition="0">
        <references count="1">
          <reference field="4294967294" count="4" selected="0">
            <x v="1"/>
            <x v="2"/>
            <x v="3"/>
            <x v="4"/>
          </reference>
        </references>
      </pivotArea>
    </format>
    <format dxfId="1283">
      <pivotArea dataOnly="0" labelOnly="1" outline="0" fieldPosition="0">
        <references count="1">
          <reference field="4294967294" count="4">
            <x v="1"/>
            <x v="2"/>
            <x v="3"/>
            <x v="4"/>
          </reference>
        </references>
      </pivotArea>
    </format>
    <format dxfId="1282">
      <pivotArea dataOnly="0" labelOnly="1" outline="0" fieldPosition="0">
        <references count="1">
          <reference field="4294967294" count="4">
            <x v="1"/>
            <x v="2"/>
            <x v="3"/>
            <x v="4"/>
          </reference>
        </references>
      </pivotArea>
    </format>
    <format dxfId="1281">
      <pivotArea dataOnly="0" labelOnly="1" outline="0" fieldPosition="0">
        <references count="1">
          <reference field="4294967294" count="4">
            <x v="1"/>
            <x v="2"/>
            <x v="3"/>
            <x v="4"/>
          </reference>
        </references>
      </pivotArea>
    </format>
    <format dxfId="1280">
      <pivotArea dataOnly="0" labelOnly="1" outline="0" fieldPosition="0">
        <references count="1">
          <reference field="4294967294" count="4">
            <x v="1"/>
            <x v="2"/>
            <x v="3"/>
            <x v="4"/>
          </reference>
        </references>
      </pivotArea>
    </format>
    <format dxfId="1279">
      <pivotArea outline="0" collapsedLevelsAreSubtotals="1" fieldPosition="0">
        <references count="1">
          <reference field="4294967294" count="1" selected="0">
            <x v="4"/>
          </reference>
        </references>
      </pivotArea>
    </format>
    <format dxfId="1278">
      <pivotArea type="all" dataOnly="0" outline="0" fieldPosition="0"/>
    </format>
    <format dxfId="1277">
      <pivotArea outline="0" collapsedLevelsAreSubtotals="1" fieldPosition="0"/>
    </format>
    <format dxfId="1276">
      <pivotArea dataOnly="0" labelOnly="1" fieldPosition="0">
        <references count="1">
          <reference field="2" count="0"/>
        </references>
      </pivotArea>
    </format>
    <format dxfId="1275">
      <pivotArea dataOnly="0" labelOnly="1" grandRow="1" outline="0" fieldPosition="0"/>
    </format>
    <format dxfId="1274">
      <pivotArea dataOnly="0" labelOnly="1" outline="0" fieldPosition="0">
        <references count="1">
          <reference field="4294967294" count="5">
            <x v="0"/>
            <x v="1"/>
            <x v="2"/>
            <x v="3"/>
            <x v="4"/>
          </reference>
        </references>
      </pivotArea>
    </format>
    <format dxfId="1273">
      <pivotArea type="all" dataOnly="0" outline="0" fieldPosition="0"/>
    </format>
    <format dxfId="1272">
      <pivotArea outline="0" collapsedLevelsAreSubtotals="1" fieldPosition="0"/>
    </format>
    <format dxfId="1271">
      <pivotArea dataOnly="0" labelOnly="1" fieldPosition="0">
        <references count="1">
          <reference field="2" count="0"/>
        </references>
      </pivotArea>
    </format>
    <format dxfId="1270">
      <pivotArea dataOnly="0" labelOnly="1" grandRow="1" outline="0" fieldPosition="0"/>
    </format>
    <format dxfId="1269">
      <pivotArea dataOnly="0" labelOnly="1" outline="0" fieldPosition="0">
        <references count="1">
          <reference field="4294967294" count="5">
            <x v="0"/>
            <x v="1"/>
            <x v="2"/>
            <x v="3"/>
            <x v="4"/>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P6:S10" firstHeaderRow="0" firstDataRow="1" firstDataCol="1" rowPageCount="3" colPageCount="1"/>
  <pivotFields count="97">
    <pivotField axis="axisRow" compact="0" outline="0" subtotalTop="0" showAll="0">
      <items count="10">
        <item m="1" x="4"/>
        <item x="2"/>
        <item m="1" x="3"/>
        <item m="1" x="5"/>
        <item m="1" x="8"/>
        <item m="1" x="6"/>
        <item m="1" x="7"/>
        <item x="1"/>
        <item x="0"/>
        <item t="default"/>
      </items>
    </pivotField>
    <pivotField compact="0" outline="0" subtotalTop="0" showAll="0"/>
    <pivotField axis="axisPage" compact="0" outline="0" subtotalTop="0" showAll="0">
      <items count="5">
        <item x="0"/>
        <item x="1"/>
        <item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x="1"/>
        <item x="0"/>
        <item h="1" x="2"/>
        <item h="1" x="3"/>
        <item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4">
    <i>
      <x v="1"/>
    </i>
    <i>
      <x v="7"/>
    </i>
    <i>
      <x v="8"/>
    </i>
    <i t="grand">
      <x/>
    </i>
  </rowItems>
  <colFields count="1">
    <field x="-2"/>
  </colFields>
  <colItems count="3">
    <i>
      <x/>
    </i>
    <i i="1">
      <x v="1"/>
    </i>
    <i i="2">
      <x v="2"/>
    </i>
  </colItems>
  <pageFields count="3">
    <pageField fld="95" item="0" hier="-1"/>
    <pageField fld="88" hier="-1"/>
    <pageField fld="2" item="2" hier="-1"/>
  </pageFields>
  <dataFields count="3">
    <dataField name="Total Population reached" fld="6" baseField="2" baseItem="0" numFmtId="3"/>
    <dataField name="Number of people with access to continuous sanitation services_4" fld="71" baseField="2" baseItem="0" numFmtId="164"/>
    <dataField name="Number of People received regular supply of hygiene items_6" fld="84" baseField="0" baseItem="0" numFmtId="164"/>
  </dataFields>
  <formats count="27">
    <format dxfId="1331">
      <pivotArea field="2" type="button" dataOnly="0" labelOnly="1" outline="0" axis="axisPage" fieldPosition="2"/>
    </format>
    <format dxfId="1330">
      <pivotArea type="all" dataOnly="0" outline="0" fieldPosition="0"/>
    </format>
    <format dxfId="1329">
      <pivotArea field="2" type="button" dataOnly="0" labelOnly="1" outline="0" axis="axisPage" fieldPosition="2"/>
    </format>
    <format dxfId="1328">
      <pivotArea outline="0" fieldPosition="0">
        <references count="1">
          <reference field="4294967294" count="1">
            <x v="0"/>
          </reference>
        </references>
      </pivotArea>
    </format>
    <format dxfId="1327">
      <pivotArea dataOnly="0" labelOnly="1" outline="0" fieldPosition="0">
        <references count="1">
          <reference field="4294967294" count="1">
            <x v="0"/>
          </reference>
        </references>
      </pivotArea>
    </format>
    <format dxfId="1326">
      <pivotArea outline="0" collapsedLevelsAreSubtotals="1" fieldPosition="0">
        <references count="1">
          <reference field="4294967294" count="1" selected="0">
            <x v="1"/>
          </reference>
        </references>
      </pivotArea>
    </format>
    <format dxfId="1325">
      <pivotArea outline="0" collapsedLevelsAreSubtotals="1" fieldPosition="0">
        <references count="1">
          <reference field="4294967294" count="1" selected="0">
            <x v="1"/>
          </reference>
        </references>
      </pivotArea>
    </format>
    <format dxfId="1324">
      <pivotArea dataOnly="0" labelOnly="1" outline="0" fieldPosition="0">
        <references count="1">
          <reference field="4294967294" count="1">
            <x v="1"/>
          </reference>
        </references>
      </pivotArea>
    </format>
    <format dxfId="1323">
      <pivotArea outline="0" collapsedLevelsAreSubtotals="1" fieldPosition="0">
        <references count="1">
          <reference field="4294967294" count="1" selected="0">
            <x v="1"/>
          </reference>
        </references>
      </pivotArea>
    </format>
    <format dxfId="1322">
      <pivotArea dataOnly="0" labelOnly="1" outline="0" fieldPosition="0">
        <references count="1">
          <reference field="4294967294" count="1">
            <x v="1"/>
          </reference>
        </references>
      </pivotArea>
    </format>
    <format dxfId="1321">
      <pivotArea dataOnly="0" labelOnly="1" outline="0" fieldPosition="0">
        <references count="1">
          <reference field="4294967294" count="1">
            <x v="1"/>
          </reference>
        </references>
      </pivotArea>
    </format>
    <format dxfId="1320">
      <pivotArea dataOnly="0" labelOnly="1" outline="0" fieldPosition="0">
        <references count="1">
          <reference field="4294967294" count="1">
            <x v="1"/>
          </reference>
        </references>
      </pivotArea>
    </format>
    <format dxfId="1319">
      <pivotArea dataOnly="0" labelOnly="1" outline="0" fieldPosition="0">
        <references count="1">
          <reference field="4294967294" count="1">
            <x v="1"/>
          </reference>
        </references>
      </pivotArea>
    </format>
    <format dxfId="1318">
      <pivotArea outline="0" collapsedLevelsAreSubtotals="1" fieldPosition="0">
        <references count="1">
          <reference field="4294967294" count="1" selected="0">
            <x v="1"/>
          </reference>
        </references>
      </pivotArea>
    </format>
    <format dxfId="1317">
      <pivotArea type="all" dataOnly="0" outline="0" fieldPosition="0"/>
    </format>
    <format dxfId="1316">
      <pivotArea outline="0" collapsedLevelsAreSubtotals="1" fieldPosition="0"/>
    </format>
    <format dxfId="1315">
      <pivotArea dataOnly="0" labelOnly="1" fieldPosition="0">
        <references count="1">
          <reference field="2" count="0"/>
        </references>
      </pivotArea>
    </format>
    <format dxfId="1314">
      <pivotArea dataOnly="0" labelOnly="1" grandRow="1" outline="0" fieldPosition="0"/>
    </format>
    <format dxfId="1313">
      <pivotArea dataOnly="0" labelOnly="1" outline="0" fieldPosition="0">
        <references count="1">
          <reference field="4294967294" count="2">
            <x v="0"/>
            <x v="1"/>
          </reference>
        </references>
      </pivotArea>
    </format>
    <format dxfId="1312">
      <pivotArea type="all" dataOnly="0" outline="0" fieldPosition="0"/>
    </format>
    <format dxfId="1311">
      <pivotArea outline="0" collapsedLevelsAreSubtotals="1" fieldPosition="0"/>
    </format>
    <format dxfId="1310">
      <pivotArea dataOnly="0" labelOnly="1" fieldPosition="0">
        <references count="1">
          <reference field="2" count="0"/>
        </references>
      </pivotArea>
    </format>
    <format dxfId="1309">
      <pivotArea dataOnly="0" labelOnly="1" grandRow="1" outline="0" fieldPosition="0"/>
    </format>
    <format dxfId="1308">
      <pivotArea dataOnly="0" labelOnly="1" outline="0" fieldPosition="0">
        <references count="1">
          <reference field="4294967294" count="2">
            <x v="0"/>
            <x v="1"/>
          </reference>
        </references>
      </pivotArea>
    </format>
    <format dxfId="1307">
      <pivotArea outline="0" collapsedLevelsAreSubtotals="1" fieldPosition="0">
        <references count="1">
          <reference field="4294967294" count="1" selected="0">
            <x v="2"/>
          </reference>
        </references>
      </pivotArea>
    </format>
    <format dxfId="1306">
      <pivotArea dataOnly="0" labelOnly="1" outline="0" fieldPosition="0">
        <references count="1">
          <reference field="4294967294" count="1">
            <x v="2"/>
          </reference>
        </references>
      </pivotArea>
    </format>
    <format dxfId="1305">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5" cacheId="0"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C145:D151" firstHeaderRow="0" firstDataRow="0" firstDataCol="1" rowPageCount="4" colPageCount="1"/>
  <pivotFields count="97">
    <pivotField axis="axisPage" subtotalTop="0" showAll="0">
      <items count="10">
        <item m="1" x="4"/>
        <item x="2"/>
        <item m="1" x="3"/>
        <item m="1" x="5"/>
        <item m="1" x="8"/>
        <item m="1" x="6"/>
        <item m="1" x="7"/>
        <item x="1"/>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x="1"/>
        <item x="0"/>
        <item h="1" x="2"/>
        <item h="1"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4">
    <pageField fld="0" item="8" hier="-1"/>
    <pageField fld="95" item="0" hier="-1"/>
    <pageField fld="88" hier="-1"/>
    <pageField fld="2" item="2" hier="-1"/>
  </pageFields>
  <dataFields count="7">
    <dataField name="Total Population reached" fld="6" baseField="2" baseItem="0" numFmtId="3"/>
    <dataField name="Number of people with equitable and safe access to sufficient quantity of drinking water_1" fld="54" baseField="2" baseItem="1" numFmtId="3"/>
    <dataField name="Number of people with equitable and safe access to sufficient quantity of domestic water_2" fld="58" baseField="2" baseItem="1" numFmtId="3"/>
    <dataField name="Number of people with access to functional sanitation facilities_3" fld="66" baseField="2" baseItem="1" numFmtId="3"/>
    <dataField name="Number of people with access to continuous sanitation services_4" fld="71" baseField="2" baseItem="0" numFmtId="164"/>
    <dataField name="Number of people reached by regular dedicated hygiene promotion_5" fld="72" baseField="0" baseItem="0" numFmtId="164"/>
    <dataField name="Number of People received regular supply of hygiene items_6" fld="84" baseField="0" baseItem="0"/>
  </dataFields>
  <formats count="38">
    <format dxfId="1369">
      <pivotArea field="2" type="button" dataOnly="0" labelOnly="1" outline="0" axis="axisPage" fieldPosition="3"/>
    </format>
    <format dxfId="1368">
      <pivotArea dataOnly="0" labelOnly="1" outline="0" fieldPosition="0">
        <references count="1">
          <reference field="4294967294" count="3">
            <x v="1"/>
            <x v="2"/>
            <x v="3"/>
          </reference>
        </references>
      </pivotArea>
    </format>
    <format dxfId="1367">
      <pivotArea dataOnly="0" labelOnly="1" outline="0" fieldPosition="0">
        <references count="1">
          <reference field="4294967294" count="3">
            <x v="1"/>
            <x v="2"/>
            <x v="3"/>
          </reference>
        </references>
      </pivotArea>
    </format>
    <format dxfId="1366">
      <pivotArea outline="0" fieldPosition="0">
        <references count="1">
          <reference field="4294967294" count="1">
            <x v="1"/>
          </reference>
        </references>
      </pivotArea>
    </format>
    <format dxfId="1365">
      <pivotArea outline="0" fieldPosition="0">
        <references count="1">
          <reference field="4294967294" count="1">
            <x v="2"/>
          </reference>
        </references>
      </pivotArea>
    </format>
    <format dxfId="1364">
      <pivotArea outline="0" fieldPosition="0">
        <references count="1">
          <reference field="4294967294" count="1">
            <x v="3"/>
          </reference>
        </references>
      </pivotArea>
    </format>
    <format dxfId="1363">
      <pivotArea type="all" dataOnly="0" outline="0" fieldPosition="0"/>
    </format>
    <format dxfId="1362">
      <pivotArea field="2" type="button" dataOnly="0" labelOnly="1" outline="0" axis="axisPage" fieldPosition="3"/>
    </format>
    <format dxfId="1361">
      <pivotArea dataOnly="0" labelOnly="1" outline="0" fieldPosition="0">
        <references count="1">
          <reference field="4294967294" count="3">
            <x v="1"/>
            <x v="2"/>
            <x v="3"/>
          </reference>
        </references>
      </pivotArea>
    </format>
    <format dxfId="1360">
      <pivotArea outline="0" fieldPosition="0">
        <references count="1">
          <reference field="4294967294" count="1">
            <x v="0"/>
          </reference>
        </references>
      </pivotArea>
    </format>
    <format dxfId="1359">
      <pivotArea dataOnly="0" labelOnly="1" outline="0" fieldPosition="0">
        <references count="1">
          <reference field="4294967294" count="1">
            <x v="0"/>
          </reference>
        </references>
      </pivotArea>
    </format>
    <format dxfId="1358">
      <pivotArea outline="0" collapsedLevelsAreSubtotals="1" fieldPosition="0">
        <references count="1">
          <reference field="4294967294" count="2" selected="0">
            <x v="1"/>
            <x v="2"/>
          </reference>
        </references>
      </pivotArea>
    </format>
    <format dxfId="1357">
      <pivotArea outline="0" collapsedLevelsAreSubtotals="1" fieldPosition="0">
        <references count="1">
          <reference field="4294967294" count="2" selected="0">
            <x v="1"/>
            <x v="2"/>
          </reference>
        </references>
      </pivotArea>
    </format>
    <format dxfId="1356">
      <pivotArea dataOnly="0" labelOnly="1" outline="0" fieldPosition="0">
        <references count="1">
          <reference field="4294967294" count="2">
            <x v="1"/>
            <x v="2"/>
          </reference>
        </references>
      </pivotArea>
    </format>
    <format dxfId="1355">
      <pivotArea outline="0" collapsedLevelsAreSubtotals="1" fieldPosition="0">
        <references count="1">
          <reference field="4294967294" count="2" selected="0">
            <x v="3"/>
            <x v="4"/>
          </reference>
        </references>
      </pivotArea>
    </format>
    <format dxfId="1354">
      <pivotArea outline="0" collapsedLevelsAreSubtotals="1" fieldPosition="0">
        <references count="1">
          <reference field="4294967294" count="2" selected="0">
            <x v="3"/>
            <x v="4"/>
          </reference>
        </references>
      </pivotArea>
    </format>
    <format dxfId="1353">
      <pivotArea dataOnly="0" labelOnly="1" outline="0" fieldPosition="0">
        <references count="1">
          <reference field="4294967294" count="2">
            <x v="3"/>
            <x v="4"/>
          </reference>
        </references>
      </pivotArea>
    </format>
    <format dxfId="1352">
      <pivotArea outline="0" collapsedLevelsAreSubtotals="1" fieldPosition="0">
        <references count="1">
          <reference field="4294967294" count="1" selected="0">
            <x v="5"/>
          </reference>
        </references>
      </pivotArea>
    </format>
    <format dxfId="1351">
      <pivotArea outline="0" collapsedLevelsAreSubtotals="1" fieldPosition="0">
        <references count="1">
          <reference field="4294967294" count="1" selected="0">
            <x v="5"/>
          </reference>
        </references>
      </pivotArea>
    </format>
    <format dxfId="1350">
      <pivotArea dataOnly="0" labelOnly="1" outline="0" fieldPosition="0">
        <references count="1">
          <reference field="4294967294" count="1">
            <x v="5"/>
          </reference>
        </references>
      </pivotArea>
    </format>
    <format dxfId="1349">
      <pivotArea outline="0" collapsedLevelsAreSubtotals="1" fieldPosition="0">
        <references count="1">
          <reference field="4294967294" count="5" selected="0">
            <x v="1"/>
            <x v="2"/>
            <x v="3"/>
            <x v="4"/>
            <x v="5"/>
          </reference>
        </references>
      </pivotArea>
    </format>
    <format dxfId="1348">
      <pivotArea dataOnly="0" labelOnly="1" outline="0" fieldPosition="0">
        <references count="1">
          <reference field="4294967294" count="5">
            <x v="1"/>
            <x v="2"/>
            <x v="3"/>
            <x v="4"/>
            <x v="5"/>
          </reference>
        </references>
      </pivotArea>
    </format>
    <format dxfId="1347">
      <pivotArea dataOnly="0" labelOnly="1" outline="0" fieldPosition="0">
        <references count="1">
          <reference field="4294967294" count="5">
            <x v="1"/>
            <x v="2"/>
            <x v="3"/>
            <x v="4"/>
            <x v="5"/>
          </reference>
        </references>
      </pivotArea>
    </format>
    <format dxfId="1346">
      <pivotArea dataOnly="0" labelOnly="1" outline="0" fieldPosition="0">
        <references count="1">
          <reference field="4294967294" count="5">
            <x v="1"/>
            <x v="2"/>
            <x v="3"/>
            <x v="4"/>
            <x v="5"/>
          </reference>
        </references>
      </pivotArea>
    </format>
    <format dxfId="1345">
      <pivotArea dataOnly="0" labelOnly="1" outline="0" fieldPosition="0">
        <references count="1">
          <reference field="4294967294" count="5">
            <x v="1"/>
            <x v="2"/>
            <x v="3"/>
            <x v="4"/>
            <x v="5"/>
          </reference>
        </references>
      </pivotArea>
    </format>
    <format dxfId="1344">
      <pivotArea outline="0" collapsedLevelsAreSubtotals="1" fieldPosition="0">
        <references count="1">
          <reference field="4294967294" count="2" selected="0">
            <x v="4"/>
            <x v="5"/>
          </reference>
        </references>
      </pivotArea>
    </format>
    <format dxfId="1343">
      <pivotArea type="all" dataOnly="0" outline="0" fieldPosition="0"/>
    </format>
    <format dxfId="1342">
      <pivotArea outline="0" collapsedLevelsAreSubtotals="1" fieldPosition="0"/>
    </format>
    <format dxfId="1341">
      <pivotArea dataOnly="0" labelOnly="1" grandRow="1" outline="0" fieldPosition="0"/>
    </format>
    <format dxfId="1340">
      <pivotArea dataOnly="0" labelOnly="1" outline="0" fieldPosition="0">
        <references count="1">
          <reference field="4294967294" count="6">
            <x v="0"/>
            <x v="1"/>
            <x v="2"/>
            <x v="3"/>
            <x v="4"/>
            <x v="5"/>
          </reference>
        </references>
      </pivotArea>
    </format>
    <format dxfId="1339">
      <pivotArea type="all" dataOnly="0" outline="0" fieldPosition="0"/>
    </format>
    <format dxfId="1338">
      <pivotArea outline="0" collapsedLevelsAreSubtotals="1" fieldPosition="0"/>
    </format>
    <format dxfId="1337">
      <pivotArea dataOnly="0" labelOnly="1" grandRow="1" outline="0" fieldPosition="0"/>
    </format>
    <format dxfId="1336">
      <pivotArea dataOnly="0" labelOnly="1" outline="0" fieldPosition="0">
        <references count="1">
          <reference field="4294967294" count="6">
            <x v="0"/>
            <x v="1"/>
            <x v="2"/>
            <x v="3"/>
            <x v="4"/>
            <x v="5"/>
          </reference>
        </references>
      </pivotArea>
    </format>
    <format dxfId="1335">
      <pivotArea outline="0" collapsedLevelsAreSubtotals="1" fieldPosition="0">
        <references count="1">
          <reference field="4294967294" count="1" selected="0">
            <x v="6"/>
          </reference>
        </references>
      </pivotArea>
    </format>
    <format dxfId="1334">
      <pivotArea dataOnly="0" labelOnly="1" outline="0" fieldPosition="0">
        <references count="1">
          <reference field="4294967294" count="1">
            <x v="6"/>
          </reference>
        </references>
      </pivotArea>
    </format>
    <format dxfId="1333">
      <pivotArea collapsedLevelsAreSubtotals="1" fieldPosition="0">
        <references count="1">
          <reference field="4294967294" count="1">
            <x v="6"/>
          </reference>
        </references>
      </pivotArea>
    </format>
    <format dxfId="1332">
      <pivotArea field="2" type="button" dataOnly="0" labelOnly="1" outline="0" axis="axisPage" fieldPosition="3"/>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U17:X21" firstHeaderRow="0" firstDataRow="1" firstDataCol="1" rowPageCount="3" colPageCount="1"/>
  <pivotFields count="97">
    <pivotField axis="axisRow" compact="0" outline="0" subtotalTop="0" showAll="0">
      <items count="10">
        <item m="1" x="4"/>
        <item x="2"/>
        <item m="1" x="3"/>
        <item m="1" x="5"/>
        <item m="1" x="8"/>
        <item m="1" x="6"/>
        <item m="1" x="7"/>
        <item x="1"/>
        <item x="0"/>
        <item t="default"/>
      </items>
    </pivotField>
    <pivotField compact="0" outline="0" subtotalTop="0" showAll="0"/>
    <pivotField axis="axisPage" compact="0" outline="0" subtotalTop="0" multipleItemSelectionAllowed="1" showAll="0">
      <items count="5">
        <item h="1" x="0"/>
        <item x="1"/>
        <item h="1"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h="1" x="1"/>
        <item h="1" x="0"/>
        <item h="1" x="2"/>
        <item x="3"/>
        <item h="1"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4">
    <i>
      <x v="1"/>
    </i>
    <i>
      <x v="7"/>
    </i>
    <i>
      <x v="8"/>
    </i>
    <i t="grand">
      <x/>
    </i>
  </rowItems>
  <colFields count="1">
    <field x="-2"/>
  </colFields>
  <colItems count="3">
    <i>
      <x/>
    </i>
    <i i="1">
      <x v="1"/>
    </i>
    <i i="2">
      <x v="2"/>
    </i>
  </colItems>
  <pageFields count="3">
    <pageField fld="95" item="0" hier="-1"/>
    <pageField fld="88" hier="-1"/>
    <pageField fld="2" hier="-1"/>
  </pageFields>
  <dataFields count="3">
    <dataField name="Total Population reached" fld="6" baseField="2" baseItem="0" numFmtId="3"/>
    <dataField name="Number of people with access to continuous sanitation services_4" fld="71" baseField="2" baseItem="0" numFmtId="164"/>
    <dataField name="Number of People received regular supply of hygiene items_6" fld="84" baseField="0" baseItem="0" numFmtId="164"/>
  </dataFields>
  <formats count="27">
    <format dxfId="1396">
      <pivotArea field="2" type="button" dataOnly="0" labelOnly="1" outline="0" axis="axisPage" fieldPosition="2"/>
    </format>
    <format dxfId="1395">
      <pivotArea type="all" dataOnly="0" outline="0" fieldPosition="0"/>
    </format>
    <format dxfId="1394">
      <pivotArea field="2" type="button" dataOnly="0" labelOnly="1" outline="0" axis="axisPage" fieldPosition="2"/>
    </format>
    <format dxfId="1393">
      <pivotArea outline="0" fieldPosition="0">
        <references count="1">
          <reference field="4294967294" count="1">
            <x v="0"/>
          </reference>
        </references>
      </pivotArea>
    </format>
    <format dxfId="1392">
      <pivotArea dataOnly="0" labelOnly="1" outline="0" fieldPosition="0">
        <references count="1">
          <reference field="4294967294" count="1">
            <x v="0"/>
          </reference>
        </references>
      </pivotArea>
    </format>
    <format dxfId="1391">
      <pivotArea outline="0" collapsedLevelsAreSubtotals="1" fieldPosition="0">
        <references count="1">
          <reference field="4294967294" count="1" selected="0">
            <x v="1"/>
          </reference>
        </references>
      </pivotArea>
    </format>
    <format dxfId="1390">
      <pivotArea outline="0" collapsedLevelsAreSubtotals="1" fieldPosition="0">
        <references count="1">
          <reference field="4294967294" count="1" selected="0">
            <x v="1"/>
          </reference>
        </references>
      </pivotArea>
    </format>
    <format dxfId="1389">
      <pivotArea dataOnly="0" labelOnly="1" outline="0" fieldPosition="0">
        <references count="1">
          <reference field="4294967294" count="1">
            <x v="1"/>
          </reference>
        </references>
      </pivotArea>
    </format>
    <format dxfId="1388">
      <pivotArea outline="0" collapsedLevelsAreSubtotals="1" fieldPosition="0">
        <references count="1">
          <reference field="4294967294" count="1" selected="0">
            <x v="1"/>
          </reference>
        </references>
      </pivotArea>
    </format>
    <format dxfId="1387">
      <pivotArea dataOnly="0" labelOnly="1" outline="0" fieldPosition="0">
        <references count="1">
          <reference field="4294967294" count="1">
            <x v="1"/>
          </reference>
        </references>
      </pivotArea>
    </format>
    <format dxfId="1386">
      <pivotArea dataOnly="0" labelOnly="1" outline="0" fieldPosition="0">
        <references count="1">
          <reference field="4294967294" count="1">
            <x v="1"/>
          </reference>
        </references>
      </pivotArea>
    </format>
    <format dxfId="1385">
      <pivotArea dataOnly="0" labelOnly="1" outline="0" fieldPosition="0">
        <references count="1">
          <reference field="4294967294" count="1">
            <x v="1"/>
          </reference>
        </references>
      </pivotArea>
    </format>
    <format dxfId="1384">
      <pivotArea dataOnly="0" labelOnly="1" outline="0" fieldPosition="0">
        <references count="1">
          <reference field="4294967294" count="1">
            <x v="1"/>
          </reference>
        </references>
      </pivotArea>
    </format>
    <format dxfId="1383">
      <pivotArea outline="0" collapsedLevelsAreSubtotals="1" fieldPosition="0">
        <references count="1">
          <reference field="4294967294" count="1" selected="0">
            <x v="1"/>
          </reference>
        </references>
      </pivotArea>
    </format>
    <format dxfId="1382">
      <pivotArea type="all" dataOnly="0" outline="0" fieldPosition="0"/>
    </format>
    <format dxfId="1381">
      <pivotArea outline="0" collapsedLevelsAreSubtotals="1" fieldPosition="0"/>
    </format>
    <format dxfId="1380">
      <pivotArea dataOnly="0" labelOnly="1" fieldPosition="0">
        <references count="1">
          <reference field="2" count="0"/>
        </references>
      </pivotArea>
    </format>
    <format dxfId="1379">
      <pivotArea dataOnly="0" labelOnly="1" grandRow="1" outline="0" fieldPosition="0"/>
    </format>
    <format dxfId="1378">
      <pivotArea dataOnly="0" labelOnly="1" outline="0" fieldPosition="0">
        <references count="1">
          <reference field="4294967294" count="2">
            <x v="0"/>
            <x v="1"/>
          </reference>
        </references>
      </pivotArea>
    </format>
    <format dxfId="1377">
      <pivotArea type="all" dataOnly="0" outline="0" fieldPosition="0"/>
    </format>
    <format dxfId="1376">
      <pivotArea outline="0" collapsedLevelsAreSubtotals="1" fieldPosition="0"/>
    </format>
    <format dxfId="1375">
      <pivotArea dataOnly="0" labelOnly="1" fieldPosition="0">
        <references count="1">
          <reference field="2" count="0"/>
        </references>
      </pivotArea>
    </format>
    <format dxfId="1374">
      <pivotArea dataOnly="0" labelOnly="1" grandRow="1" outline="0" fieldPosition="0"/>
    </format>
    <format dxfId="1373">
      <pivotArea dataOnly="0" labelOnly="1" outline="0" fieldPosition="0">
        <references count="1">
          <reference field="4294967294" count="2">
            <x v="0"/>
            <x v="1"/>
          </reference>
        </references>
      </pivotArea>
    </format>
    <format dxfId="1372">
      <pivotArea outline="0" collapsedLevelsAreSubtotals="1" fieldPosition="0">
        <references count="1">
          <reference field="4294967294" count="1" selected="0">
            <x v="2"/>
          </reference>
        </references>
      </pivotArea>
    </format>
    <format dxfId="1371">
      <pivotArea dataOnly="0" labelOnly="1" outline="0" fieldPosition="0">
        <references count="1">
          <reference field="4294967294" count="1">
            <x v="2"/>
          </reference>
        </references>
      </pivotArea>
    </format>
    <format dxfId="1370">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K6:N10" firstHeaderRow="0" firstDataRow="1" firstDataCol="1" rowPageCount="3" colPageCount="1"/>
  <pivotFields count="97">
    <pivotField axis="axisRow" compact="0" outline="0" subtotalTop="0" showAll="0">
      <items count="10">
        <item m="1" x="4"/>
        <item x="2"/>
        <item m="1" x="3"/>
        <item m="1" x="5"/>
        <item m="1" x="8"/>
        <item m="1" x="6"/>
        <item m="1" x="7"/>
        <item x="1"/>
        <item x="0"/>
        <item t="default"/>
      </items>
    </pivotField>
    <pivotField compact="0" outline="0" subtotalTop="0" showAll="0"/>
    <pivotField axis="axisPage" compact="0" outline="0" subtotalTop="0" multipleItemSelectionAllowed="1" showAll="0">
      <items count="5">
        <item x="0"/>
        <item h="1" x="1"/>
        <item h="1"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x="1"/>
        <item x="0"/>
        <item h="1" x="2"/>
        <item h="1" x="3"/>
        <item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4">
    <i>
      <x v="1"/>
    </i>
    <i>
      <x v="7"/>
    </i>
    <i>
      <x v="8"/>
    </i>
    <i t="grand">
      <x/>
    </i>
  </rowItems>
  <colFields count="1">
    <field x="-2"/>
  </colFields>
  <colItems count="3">
    <i>
      <x/>
    </i>
    <i i="1">
      <x v="1"/>
    </i>
    <i i="2">
      <x v="2"/>
    </i>
  </colItems>
  <pageFields count="3">
    <pageField fld="95" item="0" hier="-1"/>
    <pageField fld="88" hier="-1"/>
    <pageField fld="2" hier="-1"/>
  </pageFields>
  <dataFields count="3">
    <dataField name="Total Population reached" fld="6" baseField="2" baseItem="0" numFmtId="3"/>
    <dataField name="Number of people with access to continuous sanitation services_4" fld="71" baseField="2" baseItem="0" numFmtId="164"/>
    <dataField name="Number of People received regular supply of hygiene items_6" fld="84" baseField="0" baseItem="0" numFmtId="164"/>
  </dataFields>
  <formats count="27">
    <format dxfId="1423">
      <pivotArea field="2" type="button" dataOnly="0" labelOnly="1" outline="0" axis="axisPage" fieldPosition="2"/>
    </format>
    <format dxfId="1422">
      <pivotArea type="all" dataOnly="0" outline="0" fieldPosition="0"/>
    </format>
    <format dxfId="1421">
      <pivotArea field="2" type="button" dataOnly="0" labelOnly="1" outline="0" axis="axisPage" fieldPosition="2"/>
    </format>
    <format dxfId="1420">
      <pivotArea outline="0" fieldPosition="0">
        <references count="1">
          <reference field="4294967294" count="1">
            <x v="0"/>
          </reference>
        </references>
      </pivotArea>
    </format>
    <format dxfId="1419">
      <pivotArea dataOnly="0" labelOnly="1" outline="0" fieldPosition="0">
        <references count="1">
          <reference field="4294967294" count="1">
            <x v="0"/>
          </reference>
        </references>
      </pivotArea>
    </format>
    <format dxfId="1418">
      <pivotArea outline="0" collapsedLevelsAreSubtotals="1" fieldPosition="0">
        <references count="1">
          <reference field="4294967294" count="1" selected="0">
            <x v="1"/>
          </reference>
        </references>
      </pivotArea>
    </format>
    <format dxfId="1417">
      <pivotArea outline="0" collapsedLevelsAreSubtotals="1" fieldPosition="0">
        <references count="1">
          <reference field="4294967294" count="1" selected="0">
            <x v="1"/>
          </reference>
        </references>
      </pivotArea>
    </format>
    <format dxfId="1416">
      <pivotArea dataOnly="0" labelOnly="1" outline="0" fieldPosition="0">
        <references count="1">
          <reference field="4294967294" count="1">
            <x v="1"/>
          </reference>
        </references>
      </pivotArea>
    </format>
    <format dxfId="1415">
      <pivotArea outline="0" collapsedLevelsAreSubtotals="1" fieldPosition="0">
        <references count="1">
          <reference field="4294967294" count="1" selected="0">
            <x v="1"/>
          </reference>
        </references>
      </pivotArea>
    </format>
    <format dxfId="1414">
      <pivotArea dataOnly="0" labelOnly="1" outline="0" fieldPosition="0">
        <references count="1">
          <reference field="4294967294" count="1">
            <x v="1"/>
          </reference>
        </references>
      </pivotArea>
    </format>
    <format dxfId="1413">
      <pivotArea dataOnly="0" labelOnly="1" outline="0" fieldPosition="0">
        <references count="1">
          <reference field="4294967294" count="1">
            <x v="1"/>
          </reference>
        </references>
      </pivotArea>
    </format>
    <format dxfId="1412">
      <pivotArea dataOnly="0" labelOnly="1" outline="0" fieldPosition="0">
        <references count="1">
          <reference field="4294967294" count="1">
            <x v="1"/>
          </reference>
        </references>
      </pivotArea>
    </format>
    <format dxfId="1411">
      <pivotArea dataOnly="0" labelOnly="1" outline="0" fieldPosition="0">
        <references count="1">
          <reference field="4294967294" count="1">
            <x v="1"/>
          </reference>
        </references>
      </pivotArea>
    </format>
    <format dxfId="1410">
      <pivotArea outline="0" collapsedLevelsAreSubtotals="1" fieldPosition="0">
        <references count="1">
          <reference field="4294967294" count="1" selected="0">
            <x v="1"/>
          </reference>
        </references>
      </pivotArea>
    </format>
    <format dxfId="1409">
      <pivotArea type="all" dataOnly="0" outline="0" fieldPosition="0"/>
    </format>
    <format dxfId="1408">
      <pivotArea outline="0" collapsedLevelsAreSubtotals="1" fieldPosition="0"/>
    </format>
    <format dxfId="1407">
      <pivotArea dataOnly="0" labelOnly="1" fieldPosition="0">
        <references count="1">
          <reference field="2" count="0"/>
        </references>
      </pivotArea>
    </format>
    <format dxfId="1406">
      <pivotArea dataOnly="0" labelOnly="1" grandRow="1" outline="0" fieldPosition="0"/>
    </format>
    <format dxfId="1405">
      <pivotArea dataOnly="0" labelOnly="1" outline="0" fieldPosition="0">
        <references count="1">
          <reference field="4294967294" count="2">
            <x v="0"/>
            <x v="1"/>
          </reference>
        </references>
      </pivotArea>
    </format>
    <format dxfId="1404">
      <pivotArea type="all" dataOnly="0" outline="0" fieldPosition="0"/>
    </format>
    <format dxfId="1403">
      <pivotArea outline="0" collapsedLevelsAreSubtotals="1" fieldPosition="0"/>
    </format>
    <format dxfId="1402">
      <pivotArea dataOnly="0" labelOnly="1" fieldPosition="0">
        <references count="1">
          <reference field="2" count="0"/>
        </references>
      </pivotArea>
    </format>
    <format dxfId="1401">
      <pivotArea dataOnly="0" labelOnly="1" grandRow="1" outline="0" fieldPosition="0"/>
    </format>
    <format dxfId="1400">
      <pivotArea dataOnly="0" labelOnly="1" outline="0" fieldPosition="0">
        <references count="1">
          <reference field="4294967294" count="2">
            <x v="0"/>
            <x v="1"/>
          </reference>
        </references>
      </pivotArea>
    </format>
    <format dxfId="1399">
      <pivotArea outline="0" collapsedLevelsAreSubtotals="1" fieldPosition="0">
        <references count="1">
          <reference field="4294967294" count="1" selected="0">
            <x v="2"/>
          </reference>
        </references>
      </pivotArea>
    </format>
    <format dxfId="1398">
      <pivotArea dataOnly="0" labelOnly="1" outline="0" fieldPosition="0">
        <references count="1">
          <reference field="4294967294" count="1">
            <x v="2"/>
          </reference>
        </references>
      </pivotArea>
    </format>
    <format dxfId="1397">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K_H_CG_C"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3" rowHeaderCaption="State" colHeaderCaption=" ">
  <location ref="B246:D259"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13">
    <i>
      <x v="1"/>
    </i>
    <i>
      <x v="3"/>
    </i>
    <i>
      <x v="4"/>
    </i>
    <i>
      <x v="12"/>
    </i>
    <i>
      <x v="16"/>
    </i>
    <i>
      <x v="17"/>
    </i>
    <i>
      <x v="18"/>
    </i>
    <i>
      <x v="22"/>
    </i>
    <i>
      <x v="29"/>
    </i>
    <i>
      <x v="32"/>
    </i>
    <i>
      <x v="34"/>
    </i>
    <i>
      <x v="35"/>
    </i>
    <i>
      <x v="36"/>
    </i>
  </rowItems>
  <colFields count="1">
    <field x="-2"/>
  </colFields>
  <colItems count="2">
    <i>
      <x/>
    </i>
    <i i="1">
      <x v="1"/>
    </i>
  </colItems>
  <pageFields count="4">
    <pageField fld="0" hier="-1"/>
    <pageField fld="95" item="0" hier="-1"/>
    <pageField fld="88" hier="-1"/>
    <pageField fld="2" item="0" hier="-1"/>
  </pageFields>
  <dataFields count="2">
    <dataField name="% Hygiene Coverage" fld="77" subtotal="average" baseField="3" baseItem="1"/>
    <dataField name="% Hygiene Gap" fld="78" subtotal="average" baseField="3" baseItem="1"/>
  </dataFields>
  <formats count="11">
    <format dxfId="183">
      <pivotArea type="all" dataOnly="0" outline="0" fieldPosition="0"/>
    </format>
    <format dxfId="182">
      <pivotArea outline="0" collapsedLevelsAreSubtotals="1" fieldPosition="0"/>
    </format>
    <format dxfId="181">
      <pivotArea field="2" type="button" dataOnly="0" labelOnly="1" outline="0" axis="axisPage" fieldPosition="3"/>
    </format>
    <format dxfId="180">
      <pivotArea type="all" dataOnly="0" outline="0" fieldPosition="0"/>
    </format>
    <format dxfId="179">
      <pivotArea outline="0" collapsedLevelsAreSubtotals="1" fieldPosition="0"/>
    </format>
    <format dxfId="178">
      <pivotArea outline="0" collapsedLevelsAreSubtotals="1" fieldPosition="0"/>
    </format>
    <format dxfId="177">
      <pivotArea field="3" type="button" dataOnly="0" labelOnly="1" outline="0" axis="axisRow" fieldPosition="0"/>
    </format>
    <format dxfId="176">
      <pivotArea field="3" type="button" dataOnly="0" labelOnly="1" outline="0" axis="axisRow" fieldPosition="0"/>
    </format>
    <format dxfId="175">
      <pivotArea field="3" type="button" dataOnly="0" labelOnly="1" outline="0" axis="axisRow" fieldPosition="0"/>
    </format>
    <format dxfId="174">
      <pivotArea field="2" type="button" dataOnly="0" labelOnly="1" outline="0" axis="axisPage" fieldPosition="3"/>
    </format>
    <format dxfId="173">
      <pivotArea dataOnly="0" labelOnly="1" outline="0" fieldPosition="0">
        <references count="2">
          <reference field="2" count="1">
            <x v="0"/>
          </reference>
          <reference field="95" count="1" selected="0">
            <x v="0"/>
          </reference>
        </references>
      </pivotArea>
    </format>
  </formats>
  <chartFormats count="2">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latrine_Rak" cacheId="0"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16">
  <location ref="K122:M130" firstHeaderRow="1" firstDataRow="2" firstDataCol="1" rowPageCount="3" colPageCount="1"/>
  <pivotFields count="97">
    <pivotField axis="axisPage" subtotalTop="0" multipleItemSelectionAllowed="1" showAll="0">
      <items count="10">
        <item m="1" x="4"/>
        <item m="1" x="5"/>
        <item m="1" x="8"/>
        <item h="1" x="2"/>
        <item m="1" x="6"/>
        <item h="1" m="1" x="3"/>
        <item h="1" m="1" x="7"/>
        <item h="1" x="1"/>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showAll="0" defaultSubtota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dataField="1" subtotalTop="0" showAll="0"/>
    <pivotField subtotalTop="0" showAll="0"/>
    <pivotField subtotalTop="0" showAll="0"/>
    <pivotField numFmtId="9" subtotalTop="0" showAll="0"/>
    <pivotField dataField="1" numFmtId="1" subtotalTop="0" showAll="0"/>
    <pivotField dataField="1"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Col" subtotalTop="0" showAll="0">
      <items count="7">
        <item m="1" x="5"/>
        <item n="# in active camps (20:1)" x="1"/>
        <item x="0"/>
        <item h="1" x="2"/>
        <item n="# in villages (6:1)"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2"/>
  </rowFields>
  <rowItems count="7">
    <i>
      <x/>
    </i>
    <i i="1">
      <x v="1"/>
    </i>
    <i i="2">
      <x v="2"/>
    </i>
    <i i="3">
      <x v="3"/>
    </i>
    <i i="4">
      <x v="4"/>
    </i>
    <i i="5">
      <x v="5"/>
    </i>
    <i i="6">
      <x v="6"/>
    </i>
  </rowItems>
  <colFields count="1">
    <field x="88"/>
  </colFields>
  <colItems count="2">
    <i>
      <x v="1"/>
    </i>
    <i>
      <x v="4"/>
    </i>
  </colItems>
  <pageFields count="3">
    <pageField fld="0" hier="-1"/>
    <pageField fld="2" item="1" hier="-1"/>
    <pageField fld="95" hier="-1"/>
  </pageFields>
  <dataFields count="7">
    <dataField name="# latrines (target)" fld="69" baseField="0" baseItem="0"/>
    <dataField name="# latrines (gap)" fld="68" baseField="0" baseItem="0"/>
    <dataField name="# latrines dysfunctional" fld="27" baseField="87" baseItem="1"/>
    <dataField name="# latrines desludged" fld="28" baseField="87" baseItem="1"/>
    <dataField name="# handed over" fld="30" baseField="87" baseItem="1"/>
    <dataField name=" Total # of latrine" fld="64" baseField="83" baseItem="1"/>
    <dataField name="Sum of # Existing functional latrines" fld="26" baseField="83" baseItem="1"/>
  </dataFields>
  <formats count="17">
    <format dxfId="200">
      <pivotArea field="2" type="button" dataOnly="0" labelOnly="1" outline="0" axis="axisPage" fieldPosition="1"/>
    </format>
    <format dxfId="199">
      <pivotArea field="88" type="button" dataOnly="0" labelOnly="1" outline="0" axis="axisCol" fieldPosition="0"/>
    </format>
    <format dxfId="198">
      <pivotArea dataOnly="0" labelOnly="1" outline="0" fieldPosition="0">
        <references count="1">
          <reference field="4294967294" count="4">
            <x v="1"/>
            <x v="2"/>
            <x v="3"/>
            <x v="4"/>
          </reference>
        </references>
      </pivotArea>
    </format>
    <format dxfId="197">
      <pivotArea type="all" dataOnly="0" outline="0" fieldPosition="0"/>
    </format>
    <format dxfId="196">
      <pivotArea outline="0" collapsedLevelsAreSubtotals="1" fieldPosition="0"/>
    </format>
    <format dxfId="195">
      <pivotArea type="origin" dataOnly="0" labelOnly="1" outline="0" fieldPosition="0"/>
    </format>
    <format dxfId="194">
      <pivotArea field="88" type="button" dataOnly="0" labelOnly="1" outline="0" axis="axisCol" fieldPosition="0"/>
    </format>
    <format dxfId="193">
      <pivotArea type="topRight" dataOnly="0" labelOnly="1" outline="0" fieldPosition="0"/>
    </format>
    <format dxfId="192">
      <pivotArea field="-2" type="button" dataOnly="0" labelOnly="1" outline="0" axis="axisRow" fieldPosition="0"/>
    </format>
    <format dxfId="191">
      <pivotArea dataOnly="0" labelOnly="1" outline="0" fieldPosition="0">
        <references count="1">
          <reference field="4294967294" count="4">
            <x v="1"/>
            <x v="2"/>
            <x v="3"/>
            <x v="4"/>
          </reference>
        </references>
      </pivotArea>
    </format>
    <format dxfId="190">
      <pivotArea dataOnly="0" labelOnly="1" fieldPosition="0">
        <references count="1">
          <reference field="88" count="0"/>
        </references>
      </pivotArea>
    </format>
    <format dxfId="189">
      <pivotArea type="all" dataOnly="0" outline="0" fieldPosition="0"/>
    </format>
    <format dxfId="188">
      <pivotArea outline="0" collapsedLevelsAreSubtotals="1" fieldPosition="0"/>
    </format>
    <format dxfId="187">
      <pivotArea dataOnly="0" labelOnly="1" outline="0" fieldPosition="0">
        <references count="1">
          <reference field="4294967294" count="7">
            <x v="0"/>
            <x v="1"/>
            <x v="2"/>
            <x v="3"/>
            <x v="4"/>
            <x v="5"/>
            <x v="6"/>
          </reference>
        </references>
      </pivotArea>
    </format>
    <format dxfId="186">
      <pivotArea dataOnly="0" labelOnly="1" fieldPosition="0">
        <references count="1">
          <reference field="88" count="2">
            <x v="1"/>
            <x v="4"/>
          </reference>
        </references>
      </pivotArea>
    </format>
    <format dxfId="185">
      <pivotArea field="2" type="button" dataOnly="0" labelOnly="1" outline="0" axis="axisPage" fieldPosition="1"/>
    </format>
    <format dxfId="184">
      <pivotArea dataOnly="0" labelOnly="1" outline="0" fieldPosition="0">
        <references count="1">
          <reference field="2" count="1">
            <x v="1"/>
          </reference>
        </references>
      </pivotArea>
    </format>
  </formats>
  <chartFormats count="8">
    <chartFormat chart="5" format="2" series="1">
      <pivotArea type="data" outline="0" fieldPosition="0">
        <references count="1">
          <reference field="4294967294" count="1" selected="0">
            <x v="3"/>
          </reference>
        </references>
      </pivotArea>
    </chartFormat>
    <chartFormat chart="5" format="4" series="1">
      <pivotArea type="data" outline="0" fieldPosition="0">
        <references count="1">
          <reference field="4294967294" count="1" selected="0">
            <x v="4"/>
          </reference>
        </references>
      </pivotArea>
    </chartFormat>
    <chartFormat chart="5" format="5"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2"/>
          </reference>
        </references>
      </pivotArea>
    </chartFormat>
    <chartFormat chart="7" format="0" series="1">
      <pivotArea type="data" outline="0" fieldPosition="0">
        <references count="1">
          <reference field="4294967294" count="1" selected="0">
            <x v="1"/>
          </reference>
        </references>
      </pivotArea>
    </chartFormat>
    <chartFormat chart="7" format="1" series="1">
      <pivotArea type="data" outline="0" fieldPosition="0">
        <references count="1">
          <reference field="4294967294" count="1" selected="0">
            <x v="2"/>
          </reference>
        </references>
      </pivotArea>
    </chartFormat>
    <chartFormat chart="7" format="2" series="1">
      <pivotArea type="data" outline="0" fieldPosition="0">
        <references count="1">
          <reference field="4294967294" count="1" selected="0">
            <x v="3"/>
          </reference>
        </references>
      </pivotArea>
    </chartFormat>
    <chartFormat chart="7" format="4" series="1">
      <pivotArea type="data" outline="0" fieldPosition="0">
        <references count="1">
          <reference field="4294967294" count="1" selected="0">
            <x v="4"/>
          </reference>
        </references>
      </pivotArea>
    </chartFormat>
  </chartFormats>
  <pivotTableStyleInfo name="PivotStyleLight10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S_H_CG_C"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7" rowHeaderCaption="State" colHeaderCaption=" ">
  <location ref="T268:V275"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5"/>
    </i>
    <i>
      <x v="7"/>
    </i>
    <i>
      <x v="13"/>
    </i>
    <i>
      <x v="20"/>
    </i>
    <i>
      <x v="24"/>
    </i>
    <i>
      <x v="25"/>
    </i>
    <i>
      <x v="38"/>
    </i>
  </rowItems>
  <colFields count="1">
    <field x="-2"/>
  </colFields>
  <colItems count="2">
    <i>
      <x/>
    </i>
    <i i="1">
      <x v="1"/>
    </i>
  </colItems>
  <pageFields count="4">
    <pageField fld="0" hier="-1"/>
    <pageField fld="95" item="0" hier="-1"/>
    <pageField fld="88" hier="-1"/>
    <pageField fld="2" item="2" hier="-1"/>
  </pageFields>
  <dataFields count="2">
    <dataField name="% Hygiene Coverage" fld="77" subtotal="average" baseField="3" baseItem="1"/>
    <dataField name="% Hygiene Gap" fld="78" subtotal="average" baseField="3" baseItem="1"/>
  </dataFields>
  <formats count="13">
    <format dxfId="213">
      <pivotArea type="all" dataOnly="0" outline="0" fieldPosition="0"/>
    </format>
    <format dxfId="212">
      <pivotArea outline="0" collapsedLevelsAreSubtotals="1" fieldPosition="0"/>
    </format>
    <format dxfId="211">
      <pivotArea field="2" type="button" dataOnly="0" labelOnly="1" outline="0" axis="axisPage" fieldPosition="3"/>
    </format>
    <format dxfId="210">
      <pivotArea type="all" dataOnly="0" outline="0" fieldPosition="0"/>
    </format>
    <format dxfId="209">
      <pivotArea outline="0" collapsedLevelsAreSubtotals="1" fieldPosition="0"/>
    </format>
    <format dxfId="208">
      <pivotArea outline="0" collapsedLevelsAreSubtotals="1" fieldPosition="0"/>
    </format>
    <format dxfId="207">
      <pivotArea field="3" type="button" dataOnly="0" labelOnly="1" outline="0" axis="axisRow" fieldPosition="0"/>
    </format>
    <format dxfId="206">
      <pivotArea field="3" type="button" dataOnly="0" labelOnly="1" outline="0" axis="axisRow" fieldPosition="0"/>
    </format>
    <format dxfId="205">
      <pivotArea field="3" type="button" dataOnly="0" labelOnly="1" outline="0" axis="axisRow" fieldPosition="0"/>
    </format>
    <format dxfId="204">
      <pivotArea field="2" type="button" dataOnly="0" labelOnly="1" outline="0" axis="axisPage" fieldPosition="3"/>
    </format>
    <format dxfId="203">
      <pivotArea dataOnly="0" labelOnly="1" outline="0" fieldPosition="0">
        <references count="2">
          <reference field="2" count="1">
            <x v="0"/>
          </reference>
          <reference field="95" count="1" selected="0">
            <x v="0"/>
          </reference>
        </references>
      </pivotArea>
    </format>
    <format dxfId="202">
      <pivotArea dataOnly="0" labelOnly="1" outline="0" fieldPosition="0">
        <references count="2">
          <reference field="2" count="1">
            <x v="1"/>
          </reference>
          <reference field="95" count="1" selected="0">
            <x v="0"/>
          </reference>
        </references>
      </pivotArea>
    </format>
    <format dxfId="201">
      <pivotArea dataOnly="0" labelOnly="1" outline="0" fieldPosition="0">
        <references count="2">
          <reference field="2" count="1">
            <x v="2"/>
          </reference>
          <reference field="95" count="1" selected="0">
            <x v="0"/>
          </reference>
        </references>
      </pivotArea>
    </format>
  </formats>
  <chartFormats count="8">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5" format="0" series="1">
      <pivotArea type="data" outline="0" fieldPosition="0">
        <references count="1">
          <reference field="4294967294" count="1" selected="0">
            <x v="0"/>
          </reference>
        </references>
      </pivotArea>
    </chartFormat>
    <chartFormat chart="45" format="1" series="1">
      <pivotArea type="data" outline="0" fieldPosition="0">
        <references count="1">
          <reference field="4294967294" count="1" selected="0">
            <x v="1"/>
          </reference>
        </references>
      </pivotArea>
    </chartFormat>
    <chartFormat chart="49" format="0" series="1">
      <pivotArea type="data" outline="0" fieldPosition="0">
        <references count="1">
          <reference field="4294967294" count="1" selected="0">
            <x v="0"/>
          </reference>
        </references>
      </pivotArea>
    </chartFormat>
    <chartFormat chart="49" format="1" series="1">
      <pivotArea type="data" outline="0" fieldPosition="0">
        <references count="1">
          <reference field="4294967294" count="1" selected="0">
            <x v="1"/>
          </reference>
        </references>
      </pivotArea>
    </chartFormat>
    <chartFormat chart="54" format="0" series="1">
      <pivotArea type="data" outline="0" fieldPosition="0">
        <references count="1">
          <reference field="4294967294" count="1" selected="0">
            <x v="0"/>
          </reference>
        </references>
      </pivotArea>
    </chartFormat>
    <chartFormat chart="54"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W_Shan_C_G_C"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4" rowHeaderCaption="State" colHeaderCaption=" ">
  <location ref="T102:V109"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5"/>
    </i>
    <i>
      <x v="7"/>
    </i>
    <i>
      <x v="13"/>
    </i>
    <i>
      <x v="20"/>
    </i>
    <i>
      <x v="24"/>
    </i>
    <i>
      <x v="25"/>
    </i>
    <i>
      <x v="38"/>
    </i>
  </rowItems>
  <colFields count="1">
    <field x="-2"/>
  </colFields>
  <colItems count="2">
    <i>
      <x/>
    </i>
    <i i="1">
      <x v="1"/>
    </i>
  </colItems>
  <pageFields count="4">
    <pageField fld="0" hier="-1"/>
    <pageField fld="95" item="0" hier="-1"/>
    <pageField fld="88" hier="-1"/>
    <pageField fld="2" item="2" hier="-1"/>
  </pageFields>
  <dataFields count="2">
    <dataField name="% WATER Coverage" fld="57" subtotal="average" baseField="3" baseItem="9"/>
    <dataField name="% WATER GAP" fld="60" subtotal="average" baseField="3" baseItem="1"/>
  </dataFields>
  <formats count="17">
    <format dxfId="230">
      <pivotArea field="2" type="button" dataOnly="0" labelOnly="1" outline="0" axis="axisPage" fieldPosition="3"/>
    </format>
    <format dxfId="229">
      <pivotArea type="all" dataOnly="0" outline="0" fieldPosition="0"/>
    </format>
    <format dxfId="228">
      <pivotArea outline="0" collapsedLevelsAreSubtotals="1" fieldPosition="0"/>
    </format>
    <format dxfId="227">
      <pivotArea field="2" type="button" dataOnly="0" labelOnly="1" outline="0" axis="axisPage" fieldPosition="3"/>
    </format>
    <format dxfId="226">
      <pivotArea type="all" dataOnly="0" outline="0" fieldPosition="0"/>
    </format>
    <format dxfId="225">
      <pivotArea outline="0" collapsedLevelsAreSubtotals="1" fieldPosition="0"/>
    </format>
    <format dxfId="224">
      <pivotArea outline="0" collapsedLevelsAreSubtotals="1" fieldPosition="0"/>
    </format>
    <format dxfId="223">
      <pivotArea field="3" type="button" dataOnly="0" labelOnly="1" outline="0" axis="axisRow" fieldPosition="0"/>
    </format>
    <format dxfId="222">
      <pivotArea dataOnly="0" labelOnly="1" outline="0" fieldPosition="0">
        <references count="1">
          <reference field="4294967294" count="1">
            <x v="1"/>
          </reference>
        </references>
      </pivotArea>
    </format>
    <format dxfId="221">
      <pivotArea field="3" type="button" dataOnly="0" labelOnly="1" outline="0" axis="axisRow" fieldPosition="0"/>
    </format>
    <format dxfId="220">
      <pivotArea dataOnly="0" labelOnly="1" outline="0" fieldPosition="0">
        <references count="1">
          <reference field="4294967294" count="1">
            <x v="1"/>
          </reference>
        </references>
      </pivotArea>
    </format>
    <format dxfId="219">
      <pivotArea field="3" type="button" dataOnly="0" labelOnly="1" outline="0" axis="axisRow" fieldPosition="0"/>
    </format>
    <format dxfId="218">
      <pivotArea dataOnly="0" labelOnly="1" outline="0" fieldPosition="0">
        <references count="1">
          <reference field="4294967294" count="1">
            <x v="1"/>
          </reference>
        </references>
      </pivotArea>
    </format>
    <format dxfId="217">
      <pivotArea dataOnly="0" labelOnly="1" outline="0" fieldPosition="0">
        <references count="1">
          <reference field="4294967294" count="1">
            <x v="0"/>
          </reference>
        </references>
      </pivotArea>
    </format>
    <format dxfId="216">
      <pivotArea dataOnly="0" labelOnly="1" outline="0" fieldPosition="0">
        <references count="1">
          <reference field="4294967294" count="1">
            <x v="0"/>
          </reference>
        </references>
      </pivotArea>
    </format>
    <format dxfId="215">
      <pivotArea field="2" type="button" dataOnly="0" labelOnly="1" outline="0" axis="axisPage" fieldPosition="3"/>
    </format>
    <format dxfId="214">
      <pivotArea dataOnly="0" labelOnly="1" outline="0" fieldPosition="0">
        <references count="2">
          <reference field="2" count="1">
            <x v="2"/>
          </reference>
          <reference field="95" count="1" selected="0">
            <x v="0"/>
          </reference>
        </references>
      </pivotArea>
    </format>
  </formats>
  <chartFormats count="9">
    <chartFormat chart="28" format="1" series="1">
      <pivotArea type="data" outline="0" fieldPosition="0">
        <references count="1">
          <reference field="4294967294" count="1" selected="0">
            <x v="1"/>
          </reference>
        </references>
      </pivotArea>
    </chartFormat>
    <chartFormat chart="33" format="1" series="1">
      <pivotArea type="data" outline="0" fieldPosition="0">
        <references count="1">
          <reference field="4294967294" count="1" selected="0">
            <x v="1"/>
          </reference>
        </references>
      </pivotArea>
    </chartFormat>
    <chartFormat chart="33" format="2" series="1">
      <pivotArea type="data" outline="0" fieldPosition="0">
        <references count="1">
          <reference field="4294967294" count="1" selected="0">
            <x v="0"/>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4" format="0" series="1">
      <pivotArea type="data" outline="0" fieldPosition="0">
        <references count="1">
          <reference field="4294967294" count="1" selected="0">
            <x v="0"/>
          </reference>
        </references>
      </pivotArea>
    </chartFormat>
    <chartFormat chart="44" format="1" series="1">
      <pivotArea type="data" outline="0" fieldPosition="0">
        <references count="1">
          <reference field="4294967294" count="1" selected="0">
            <x v="1"/>
          </reference>
        </references>
      </pivotArea>
    </chartFormat>
    <chartFormat chart="51" format="0" series="1">
      <pivotArea type="data" outline="0" fieldPosition="0">
        <references count="1">
          <reference field="4294967294" count="1" selected="0">
            <x v="0"/>
          </reference>
        </references>
      </pivotArea>
    </chartFormat>
    <chartFormat chart="51" format="1"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Geo_Gap" cacheId="0" applyNumberFormats="0" applyBorderFormats="0" applyFontFormats="0" applyPatternFormats="0" applyAlignmentFormats="0" applyWidthHeightFormats="1" dataCaption="Values" updatedVersion="5" minRefreshableVersion="3" rowGrandTotals="0" colGrandTotals="0" itemPrintTitles="1" createdVersion="6" indent="0" compact="0" compactData="0" multipleFieldFilters="0" chartFormat="8">
  <location ref="C308:L392" firstHeaderRow="0" firstDataRow="1" firstDataCol="4" rowPageCount="2" colPageCount="1"/>
  <pivotFields count="97">
    <pivotField axis="axisPage" compact="0" outline="0" subtotalTop="0" showAll="0" defaultSubtotal="0">
      <items count="9">
        <item m="1" x="4"/>
        <item m="1" x="5"/>
        <item m="1" x="8"/>
        <item x="2"/>
        <item m="1" x="6"/>
        <item m="1" x="3"/>
        <item m="1" x="7"/>
        <item x="1"/>
        <item x="0"/>
      </items>
    </pivotField>
    <pivotField compact="0" outline="0" subtotalTop="0" showAll="0" defaultSubtotal="0"/>
    <pivotField axis="axisRow" compact="0" outline="0" subtotalTop="0" multipleItemSelectionAllowed="1" showAll="0">
      <items count="5">
        <item x="0"/>
        <item x="1"/>
        <item x="2"/>
        <item m="1" x="3"/>
        <item t="default"/>
      </items>
    </pivotField>
    <pivotField axis="axisRow" compact="0" outline="0" subtotalTop="0" showAll="0" defaultSubtotal="0">
      <items count="39">
        <item x="13"/>
        <item x="0"/>
        <item x="14"/>
        <item x="1"/>
        <item x="2"/>
        <item x="25"/>
        <item x="26"/>
        <item x="27"/>
        <item x="15"/>
        <item x="17"/>
        <item m="1" x="35"/>
        <item m="1" x="37"/>
        <item x="3"/>
        <item x="29"/>
        <item x="19"/>
        <item x="20"/>
        <item x="4"/>
        <item x="5"/>
        <item x="6"/>
        <item x="21"/>
        <item x="30"/>
        <item x="22"/>
        <item x="7"/>
        <item x="31"/>
        <item x="28"/>
        <item m="1" x="34"/>
        <item x="16"/>
        <item x="23"/>
        <item x="8"/>
        <item m="1" x="38"/>
        <item x="24"/>
        <item x="9"/>
        <item x="18"/>
        <item x="10"/>
        <item x="11"/>
        <item x="12"/>
        <item m="1" x="36"/>
        <item m="1" x="33"/>
        <item x="32"/>
      </items>
    </pivotField>
    <pivotField axis="axisRow" dataField="1" compact="0" outline="0" subtotalTop="0" showAll="0" defaultSubtotal="0">
      <items count="713">
        <item x="18"/>
        <item x="0"/>
        <item x="1"/>
        <item x="19"/>
        <item x="20"/>
        <item x="72"/>
        <item m="1" x="480"/>
        <item x="420"/>
        <item x="206"/>
        <item m="1" x="465"/>
        <item x="311"/>
        <item m="1" x="589"/>
        <item x="281"/>
        <item x="331"/>
        <item x="207"/>
        <item m="1" x="679"/>
        <item m="1" x="651"/>
        <item m="1" x="467"/>
        <item m="1" x="606"/>
        <item x="312"/>
        <item x="288"/>
        <item x="205"/>
        <item x="208"/>
        <item x="209"/>
        <item m="1" x="493"/>
        <item m="1" x="631"/>
        <item m="1" x="506"/>
        <item m="1" x="512"/>
        <item x="332"/>
        <item m="1" x="478"/>
        <item x="2"/>
        <item x="313"/>
        <item x="258"/>
        <item m="1" x="608"/>
        <item m="1" x="530"/>
        <item m="1" x="486"/>
        <item x="21"/>
        <item x="333"/>
        <item x="230"/>
        <item x="259"/>
        <item x="335"/>
        <item x="287"/>
        <item x="289"/>
        <item x="338"/>
        <item m="1" x="627"/>
        <item m="1" x="628"/>
        <item m="1" x="555"/>
        <item x="3"/>
        <item m="1" x="504"/>
        <item x="142"/>
        <item m="1" x="705"/>
        <item x="282"/>
        <item x="421"/>
        <item x="44"/>
        <item x="273"/>
        <item m="1" x="605"/>
        <item m="1" x="615"/>
        <item x="274"/>
        <item x="422"/>
        <item x="22"/>
        <item x="169"/>
        <item m="1" x="519"/>
        <item x="314"/>
        <item m="1" x="518"/>
        <item x="13"/>
        <item x="315"/>
        <item x="170"/>
        <item x="171"/>
        <item x="172"/>
        <item x="290"/>
        <item x="291"/>
        <item x="341"/>
        <item x="297"/>
        <item x="342"/>
        <item x="23"/>
        <item m="1" x="647"/>
        <item m="1" x="556"/>
        <item x="210"/>
        <item x="423"/>
        <item m="1" x="576"/>
        <item m="1" x="500"/>
        <item x="95"/>
        <item m="1" x="633"/>
        <item x="73"/>
        <item m="1" x="683"/>
        <item m="1" x="479"/>
        <item m="1" x="690"/>
        <item x="211"/>
        <item m="1" x="559"/>
        <item x="212"/>
        <item m="1" x="655"/>
        <item m="1" x="446"/>
        <item x="213"/>
        <item x="214"/>
        <item m="1" x="682"/>
        <item m="1" x="664"/>
        <item m="1" x="614"/>
        <item m="1" x="569"/>
        <item m="1" x="581"/>
        <item m="1" x="436"/>
        <item x="143"/>
        <item x="144"/>
        <item x="145"/>
        <item x="424"/>
        <item x="215"/>
        <item m="1" x="566"/>
        <item x="24"/>
        <item x="292"/>
        <item x="25"/>
        <item m="1" x="526"/>
        <item x="67"/>
        <item x="401"/>
        <item x="402"/>
        <item x="26"/>
        <item x="260"/>
        <item m="1" x="603"/>
        <item x="14"/>
        <item m="1" x="440"/>
        <item x="74"/>
        <item x="4"/>
        <item x="146"/>
        <item x="216"/>
        <item m="1" x="515"/>
        <item m="1" x="456"/>
        <item x="197"/>
        <item x="124"/>
        <item x="96"/>
        <item x="97"/>
        <item x="75"/>
        <item x="429"/>
        <item m="1" x="695"/>
        <item x="261"/>
        <item x="204"/>
        <item x="76"/>
        <item x="275"/>
        <item m="1" x="577"/>
        <item m="1" x="648"/>
        <item x="276"/>
        <item m="1" x="481"/>
        <item x="316"/>
        <item m="1" x="571"/>
        <item m="1" x="619"/>
        <item x="286"/>
        <item x="173"/>
        <item x="298"/>
        <item m="1" x="657"/>
        <item m="1" x="536"/>
        <item x="174"/>
        <item m="1" x="508"/>
        <item m="1" x="549"/>
        <item x="77"/>
        <item m="1" x="538"/>
        <item x="294"/>
        <item x="219"/>
        <item x="78"/>
        <item x="198"/>
        <item x="199"/>
        <item m="1" x="539"/>
        <item m="1" x="460"/>
        <item m="1" x="487"/>
        <item x="383"/>
        <item x="317"/>
        <item m="1" x="689"/>
        <item x="384"/>
        <item x="385"/>
        <item x="386"/>
        <item x="417"/>
        <item x="175"/>
        <item x="220"/>
        <item m="1" x="474"/>
        <item m="1" x="630"/>
        <item m="1" x="473"/>
        <item m="1" x="490"/>
        <item m="1" x="572"/>
        <item m="1" x="703"/>
        <item x="318"/>
        <item x="221"/>
        <item x="334"/>
        <item m="1" x="484"/>
        <item m="1" x="617"/>
        <item m="1" x="499"/>
        <item m="1" x="524"/>
        <item x="222"/>
        <item m="1" x="468"/>
        <item x="176"/>
        <item x="200"/>
        <item x="336"/>
        <item m="1" x="557"/>
        <item m="1" x="670"/>
        <item x="346"/>
        <item x="319"/>
        <item x="388"/>
        <item m="1" x="595"/>
        <item x="100"/>
        <item x="57"/>
        <item x="299"/>
        <item m="1" x="573"/>
        <item x="425"/>
        <item x="223"/>
        <item x="79"/>
        <item m="1" x="666"/>
        <item x="45"/>
        <item m="1" x="454"/>
        <item m="1" x="588"/>
        <item x="177"/>
        <item x="101"/>
        <item x="29"/>
        <item x="103"/>
        <item x="104"/>
        <item x="224"/>
        <item x="283"/>
        <item x="284"/>
        <item m="1" x="654"/>
        <item m="1" x="545"/>
        <item m="1" x="445"/>
        <item m="1" x="600"/>
        <item m="1" x="528"/>
        <item x="15"/>
        <item m="1" x="541"/>
        <item x="390"/>
        <item x="30"/>
        <item x="31"/>
        <item x="5"/>
        <item x="413"/>
        <item x="80"/>
        <item x="81"/>
        <item x="82"/>
        <item x="320"/>
        <item m="1" x="450"/>
        <item x="178"/>
        <item x="125"/>
        <item x="83"/>
        <item m="1" x="656"/>
        <item x="61"/>
        <item x="147"/>
        <item x="148"/>
        <item m="1" x="502"/>
        <item x="149"/>
        <item x="150"/>
        <item x="151"/>
        <item x="152"/>
        <item x="46"/>
        <item x="47"/>
        <item m="1" x="661"/>
        <item x="105"/>
        <item x="84"/>
        <item x="85"/>
        <item x="106"/>
        <item x="382"/>
        <item x="398"/>
        <item x="405"/>
        <item x="48"/>
        <item x="49"/>
        <item x="50"/>
        <item x="51"/>
        <item m="1" x="593"/>
        <item x="52"/>
        <item x="86"/>
        <item x="399"/>
        <item x="400"/>
        <item m="1" x="434"/>
        <item x="53"/>
        <item x="54"/>
        <item m="1" x="449"/>
        <item m="1" x="669"/>
        <item x="300"/>
        <item x="107"/>
        <item x="108"/>
        <item m="1" x="441"/>
        <item m="1" x="463"/>
        <item x="337"/>
        <item x="33"/>
        <item x="348"/>
        <item m="1" x="537"/>
        <item x="179"/>
        <item x="321"/>
        <item x="322"/>
        <item x="323"/>
        <item x="263"/>
        <item x="225"/>
        <item m="1" x="604"/>
        <item x="180"/>
        <item x="69"/>
        <item x="87"/>
        <item x="88"/>
        <item x="407"/>
        <item x="408"/>
        <item x="391"/>
        <item x="392"/>
        <item x="403"/>
        <item x="404"/>
        <item m="1" x="452"/>
        <item m="1" x="646"/>
        <item x="7"/>
        <item x="34"/>
        <item m="1" x="523"/>
        <item m="1" x="580"/>
        <item m="1" x="686"/>
        <item x="301"/>
        <item x="89"/>
        <item m="1" x="535"/>
        <item x="406"/>
        <item x="410"/>
        <item x="411"/>
        <item x="409"/>
        <item x="418"/>
        <item x="393"/>
        <item m="1" x="495"/>
        <item x="35"/>
        <item x="380"/>
        <item x="412"/>
        <item x="414"/>
        <item m="1" x="642"/>
        <item x="109"/>
        <item m="1" x="625"/>
        <item x="8"/>
        <item x="36"/>
        <item m="1" x="457"/>
        <item x="428"/>
        <item m="1" x="649"/>
        <item x="65"/>
        <item x="181"/>
        <item m="1" x="673"/>
        <item x="324"/>
        <item x="153"/>
        <item x="70"/>
        <item x="226"/>
        <item x="133"/>
        <item x="395"/>
        <item m="1" x="550"/>
        <item x="201"/>
        <item x="182"/>
        <item m="1" x="475"/>
        <item x="227"/>
        <item m="1" x="668"/>
        <item x="350"/>
        <item x="426"/>
        <item x="264"/>
        <item x="229"/>
        <item x="339"/>
        <item x="340"/>
        <item m="1" x="678"/>
        <item x="90"/>
        <item m="1" x="476"/>
        <item x="343"/>
        <item x="110"/>
        <item m="1" x="483"/>
        <item m="1" x="558"/>
        <item m="1" x="552"/>
        <item x="183"/>
        <item x="91"/>
        <item x="325"/>
        <item x="326"/>
        <item x="327"/>
        <item m="1" x="567"/>
        <item x="184"/>
        <item m="1" x="453"/>
        <item x="344"/>
        <item x="353"/>
        <item x="347"/>
        <item x="352"/>
        <item x="427"/>
        <item m="1" x="659"/>
        <item x="285"/>
        <item x="231"/>
        <item x="111"/>
        <item x="92"/>
        <item x="232"/>
        <item x="154"/>
        <item x="233"/>
        <item m="1" x="492"/>
        <item x="202"/>
        <item x="396"/>
        <item x="415"/>
        <item x="16"/>
        <item m="1" x="696"/>
        <item m="1" x="622"/>
        <item x="265"/>
        <item m="1" x="531"/>
        <item x="302"/>
        <item x="9"/>
        <item m="1" x="543"/>
        <item m="1" x="583"/>
        <item x="356"/>
        <item x="354"/>
        <item m="1" x="496"/>
        <item x="235"/>
        <item m="1" x="592"/>
        <item x="155"/>
        <item x="237"/>
        <item m="1" x="522"/>
        <item m="1" x="634"/>
        <item x="185"/>
        <item x="239"/>
        <item x="240"/>
        <item m="1" x="529"/>
        <item m="1" x="570"/>
        <item x="303"/>
        <item m="1" x="435"/>
        <item x="156"/>
        <item x="157"/>
        <item x="158"/>
        <item x="159"/>
        <item m="1" x="594"/>
        <item m="1" x="687"/>
        <item m="1" x="477"/>
        <item m="1" x="513"/>
        <item m="1" x="430"/>
        <item m="1" x="471"/>
        <item x="37"/>
        <item m="1" x="618"/>
        <item x="10"/>
        <item x="11"/>
        <item x="186"/>
        <item m="1" x="433"/>
        <item x="38"/>
        <item x="134"/>
        <item m="1" x="564"/>
        <item x="277"/>
        <item m="1" x="684"/>
        <item x="243"/>
        <item x="66"/>
        <item x="359"/>
        <item x="360"/>
        <item m="1" x="582"/>
        <item x="17"/>
        <item m="1" x="644"/>
        <item m="1" x="546"/>
        <item x="355"/>
        <item x="362"/>
        <item x="363"/>
        <item x="203"/>
        <item x="93"/>
        <item x="364"/>
        <item m="1" x="458"/>
        <item x="365"/>
        <item x="161"/>
        <item x="187"/>
        <item x="39"/>
        <item x="40"/>
        <item x="41"/>
        <item m="1" x="702"/>
        <item x="113"/>
        <item x="114"/>
        <item x="244"/>
        <item x="162"/>
        <item x="129"/>
        <item x="130"/>
        <item x="245"/>
        <item x="246"/>
        <item x="278"/>
        <item m="1" x="575"/>
        <item x="115"/>
        <item x="279"/>
        <item m="1" x="662"/>
        <item x="293"/>
        <item x="55"/>
        <item m="1" x="663"/>
        <item m="1" x="632"/>
        <item m="1" x="525"/>
        <item x="357"/>
        <item x="295"/>
        <item x="296"/>
        <item m="1" x="638"/>
        <item x="188"/>
        <item x="71"/>
        <item x="135"/>
        <item x="189"/>
        <item x="419"/>
        <item x="190"/>
        <item x="191"/>
        <item x="304"/>
        <item x="305"/>
        <item m="1" x="641"/>
        <item x="139"/>
        <item m="1" x="431"/>
        <item x="141"/>
        <item x="117"/>
        <item x="118"/>
        <item x="119"/>
        <item x="120"/>
        <item x="121"/>
        <item m="1" x="469"/>
        <item x="306"/>
        <item m="1" x="584"/>
        <item x="192"/>
        <item m="1" x="607"/>
        <item x="247"/>
        <item x="248"/>
        <item m="1" x="701"/>
        <item x="250"/>
        <item x="361"/>
        <item m="1" x="623"/>
        <item m="1" x="667"/>
        <item x="280"/>
        <item m="1" x="710"/>
        <item x="267"/>
        <item x="251"/>
        <item x="252"/>
        <item m="1" x="491"/>
        <item m="1" x="438"/>
        <item x="367"/>
        <item x="368"/>
        <item m="1" x="548"/>
        <item m="1" x="609"/>
        <item m="1" x="712"/>
        <item x="307"/>
        <item x="268"/>
        <item x="369"/>
        <item x="163"/>
        <item m="1" x="587"/>
        <item m="1" x="688"/>
        <item x="370"/>
        <item x="371"/>
        <item x="372"/>
        <item m="1" x="507"/>
        <item m="1" x="489"/>
        <item m="1" x="437"/>
        <item m="1" x="488"/>
        <item x="373"/>
        <item x="374"/>
        <item m="1" x="637"/>
        <item x="375"/>
        <item x="328"/>
        <item m="1" x="611"/>
        <item m="1" x="677"/>
        <item m="1" x="470"/>
        <item m="1" x="708"/>
        <item x="254"/>
        <item x="126"/>
        <item x="381"/>
        <item x="308"/>
        <item m="1" x="635"/>
        <item m="1" x="472"/>
        <item m="1" x="629"/>
        <item m="1" x="562"/>
        <item m="1" x="640"/>
        <item m="1" x="509"/>
        <item x="165"/>
        <item m="1" x="620"/>
        <item x="42"/>
        <item m="1" x="694"/>
        <item m="1" x="674"/>
        <item x="193"/>
        <item x="166"/>
        <item x="167"/>
        <item x="168"/>
        <item m="1" x="613"/>
        <item m="1" x="527"/>
        <item x="270"/>
        <item x="329"/>
        <item m="1" x="596"/>
        <item x="309"/>
        <item x="12"/>
        <item x="310"/>
        <item x="43"/>
        <item x="256"/>
        <item m="1" x="439"/>
        <item m="1" x="645"/>
        <item m="1" x="652"/>
        <item m="1" x="653"/>
        <item m="1" x="676"/>
        <item m="1" x="464"/>
        <item m="1" x="561"/>
        <item m="1" x="503"/>
        <item x="194"/>
        <item m="1" x="697"/>
        <item x="257"/>
        <item x="271"/>
        <item x="195"/>
        <item m="1" x="691"/>
        <item x="379"/>
        <item m="1" x="598"/>
        <item m="1" x="658"/>
        <item m="1" x="442"/>
        <item x="330"/>
        <item m="1" x="448"/>
        <item x="272"/>
        <item m="1" x="579"/>
        <item x="196"/>
        <item x="397"/>
        <item x="138"/>
        <item x="62"/>
        <item x="59"/>
        <item m="1" x="554"/>
        <item x="56"/>
        <item m="1" x="461"/>
        <item x="116"/>
        <item m="1" x="578"/>
        <item x="122"/>
        <item m="1" x="602"/>
        <item x="160"/>
        <item x="28"/>
        <item x="27"/>
        <item x="99"/>
        <item x="351"/>
        <item x="58"/>
        <item m="1" x="443"/>
        <item m="1" x="704"/>
        <item x="136"/>
        <item x="137"/>
        <item x="234"/>
        <item x="249"/>
        <item x="266"/>
        <item x="262"/>
        <item x="269"/>
        <item x="255"/>
        <item x="349"/>
        <item x="376"/>
        <item x="377"/>
        <item x="358"/>
        <item x="345"/>
        <item x="366"/>
        <item x="378"/>
        <item x="128"/>
        <item x="32"/>
        <item x="132"/>
        <item x="102"/>
        <item x="94"/>
        <item x="131"/>
        <item x="127"/>
        <item x="68"/>
        <item x="63"/>
        <item x="6"/>
        <item m="1" x="599"/>
        <item m="1" x="551"/>
        <item m="1" x="639"/>
        <item m="1" x="626"/>
        <item m="1" x="521"/>
        <item m="1" x="672"/>
        <item m="1" x="553"/>
        <item m="1" x="591"/>
        <item m="1" x="621"/>
        <item m="1" x="501"/>
        <item m="1" x="462"/>
        <item m="1" x="711"/>
        <item m="1" x="451"/>
        <item m="1" x="624"/>
        <item m="1" x="707"/>
        <item m="1" x="681"/>
        <item m="1" x="706"/>
        <item m="1" x="693"/>
        <item m="1" x="514"/>
        <item m="1" x="494"/>
        <item m="1" x="563"/>
        <item m="1" x="532"/>
        <item m="1" x="709"/>
        <item m="1" x="636"/>
        <item m="1" x="680"/>
        <item m="1" x="444"/>
        <item m="1" x="542"/>
        <item m="1" x="511"/>
        <item m="1" x="447"/>
        <item m="1" x="597"/>
        <item m="1" x="574"/>
        <item m="1" x="665"/>
        <item m="1" x="498"/>
        <item m="1" x="533"/>
        <item m="1" x="585"/>
        <item m="1" x="560"/>
        <item m="1" x="671"/>
        <item m="1" x="568"/>
        <item m="1" x="517"/>
        <item m="1" x="700"/>
        <item m="1" x="643"/>
        <item m="1" x="699"/>
        <item m="1" x="698"/>
        <item m="1" x="466"/>
        <item m="1" x="586"/>
        <item m="1" x="482"/>
        <item m="1" x="650"/>
        <item m="1" x="675"/>
        <item m="1" x="534"/>
        <item m="1" x="459"/>
        <item m="1" x="432"/>
        <item m="1" x="505"/>
        <item m="1" x="685"/>
        <item m="1" x="497"/>
        <item m="1" x="544"/>
        <item m="1" x="692"/>
        <item m="1" x="590"/>
        <item m="1" x="616"/>
        <item m="1" x="516"/>
        <item m="1" x="601"/>
        <item m="1" x="455"/>
        <item m="1" x="565"/>
        <item m="1" x="520"/>
        <item m="1" x="612"/>
        <item m="1" x="540"/>
        <item m="1" x="547"/>
        <item m="1" x="510"/>
        <item m="1" x="485"/>
        <item m="1" x="610"/>
        <item m="1" x="660"/>
        <item x="60"/>
        <item x="140"/>
        <item x="394"/>
        <item x="387"/>
        <item x="389"/>
        <item x="64"/>
        <item x="123"/>
        <item x="98"/>
        <item x="164"/>
        <item x="112"/>
        <item x="217"/>
        <item x="238"/>
        <item x="218"/>
        <item x="228"/>
        <item x="241"/>
        <item x="242"/>
        <item x="253"/>
        <item x="236"/>
        <item x="416"/>
      </items>
    </pivotField>
    <pivotField dataField="1"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numFmtId="9"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numFmtId="1" outline="0" subtotalTop="0" showAll="0" defaultSubtotal="0"/>
    <pivotField compact="0" numFmtId="1" outline="0" subtotalTop="0" showAll="0" defaultSubtotal="0"/>
    <pivotField compact="0" numFmtId="1"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numFmtId="9"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numFmtId="9" outline="0" subtotalTop="0" showAll="0" defaultSubtotal="0"/>
    <pivotField compact="0" numFmtId="1" outline="0" showAll="0" defaultSubtotal="0"/>
    <pivotField compact="0" numFmtId="1" outline="0" showAll="0" defaultSubtotal="0"/>
    <pivotField compact="0" numFmtId="1"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items count="6">
        <item m="1" x="5"/>
        <item x="1"/>
        <item x="0"/>
        <item x="2"/>
        <item x="3"/>
        <item x="4"/>
      </items>
    </pivotField>
    <pivotField compact="0" outline="0" subtotalTop="0" showAll="0" defaultSubtotal="0">
      <items count="3">
        <item x="0"/>
        <item x="2"/>
        <item x="1"/>
      </items>
    </pivotField>
    <pivotField axis="axisRow" compact="0" outline="0" subtotalTop="0" showAll="0" defaultSubtotal="0">
      <items count="14">
        <item m="1" x="13"/>
        <item x="0"/>
        <item x="5"/>
        <item x="2"/>
        <item x="1"/>
        <item x="3"/>
        <item x="4"/>
        <item x="6"/>
        <item x="7"/>
        <item x="9"/>
        <item x="8"/>
        <item x="10"/>
        <item x="12"/>
        <item x="1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4">
        <item x="0"/>
        <item n="Gap" x="1"/>
        <item h="1" m="1" x="3"/>
        <item h="1" m="1" x="2"/>
      </items>
    </pivotField>
    <pivotField compact="0" outline="0" subtotalTop="0" showAll="0" defaultSubtotal="0"/>
  </pivotFields>
  <rowFields count="4">
    <field x="2"/>
    <field x="3"/>
    <field x="4"/>
    <field x="90"/>
  </rowFields>
  <rowItems count="84">
    <i>
      <x/>
      <x v="1"/>
      <x v="47"/>
      <x v="4"/>
    </i>
    <i r="1">
      <x v="4"/>
      <x v="592"/>
      <x v="3"/>
    </i>
    <i r="2">
      <x v="593"/>
      <x v="3"/>
    </i>
    <i r="1">
      <x v="12"/>
      <x v="256"/>
      <x v="4"/>
    </i>
    <i r="2">
      <x v="262"/>
      <x v="4"/>
    </i>
    <i r="1">
      <x v="16"/>
      <x v="596"/>
      <x v="3"/>
    </i>
    <i r="1">
      <x v="17"/>
      <x v="110"/>
      <x v="4"/>
    </i>
    <i r="2">
      <x v="282"/>
      <x v="4"/>
    </i>
    <i r="1">
      <x v="18"/>
      <x v="154"/>
      <x v="4"/>
    </i>
    <i r="2">
      <x v="284"/>
      <x v="4"/>
    </i>
    <i r="2">
      <x v="299"/>
      <x v="4"/>
    </i>
    <i r="1">
      <x v="22"/>
      <x v="205"/>
      <x v="4"/>
    </i>
    <i r="2">
      <x v="587"/>
      <x v="3"/>
    </i>
    <i r="2">
      <x v="594"/>
      <x v="3"/>
    </i>
    <i r="2">
      <x v="703"/>
      <x v="3"/>
    </i>
    <i r="1">
      <x v="28"/>
      <x v="125"/>
      <x v="4"/>
    </i>
    <i r="2">
      <x v="529"/>
      <x v="4"/>
    </i>
    <i r="1">
      <x v="33"/>
      <x v="466"/>
      <x v="3"/>
    </i>
    <i r="1">
      <x v="34"/>
      <x v="599"/>
      <x v="3"/>
    </i>
    <i r="2">
      <x v="600"/>
      <x v="3"/>
    </i>
    <i r="1">
      <x v="35"/>
      <x v="100"/>
      <x v="3"/>
    </i>
    <i r="2">
      <x v="591"/>
      <x v="3"/>
    </i>
    <i t="default">
      <x/>
    </i>
    <i>
      <x v="1"/>
      <x v="2"/>
      <x v="371"/>
      <x v="8"/>
    </i>
    <i r="1">
      <x v="8"/>
      <x v="132"/>
      <x v="10"/>
    </i>
    <i r="1">
      <x v="9"/>
      <x v="14"/>
      <x v="8"/>
    </i>
    <i r="2">
      <x v="22"/>
      <x v="11"/>
    </i>
    <i r="2">
      <x v="23"/>
      <x v="8"/>
    </i>
    <i r="2">
      <x v="89"/>
      <x v="8"/>
    </i>
    <i r="2">
      <x v="92"/>
      <x v="11"/>
    </i>
    <i r="2">
      <x v="93"/>
      <x v="8"/>
    </i>
    <i r="2">
      <x v="153"/>
      <x v="10"/>
    </i>
    <i r="2">
      <x v="182"/>
      <x v="8"/>
    </i>
    <i r="2">
      <x v="198"/>
      <x v="8"/>
    </i>
    <i r="2">
      <x v="209"/>
      <x v="11"/>
    </i>
    <i r="2">
      <x v="367"/>
      <x v="8"/>
    </i>
    <i r="2">
      <x v="394"/>
      <x v="8"/>
    </i>
    <i r="2">
      <x v="420"/>
      <x v="8"/>
    </i>
    <i r="2">
      <x v="448"/>
      <x v="11"/>
    </i>
    <i r="2">
      <x v="490"/>
      <x v="8"/>
    </i>
    <i r="2">
      <x v="567"/>
      <x v="8"/>
    </i>
    <i r="1">
      <x v="14"/>
      <x v="577"/>
      <x v="8"/>
    </i>
    <i r="1">
      <x v="15"/>
      <x v="54"/>
      <x v="8"/>
    </i>
    <i r="2">
      <x v="57"/>
      <x v="8"/>
    </i>
    <i r="2">
      <x v="134"/>
      <x v="8"/>
    </i>
    <i r="2">
      <x v="137"/>
      <x v="8"/>
    </i>
    <i r="2">
      <x v="418"/>
      <x v="11"/>
    </i>
    <i r="2">
      <x v="450"/>
      <x v="8"/>
    </i>
    <i r="2">
      <x v="453"/>
      <x v="8"/>
    </i>
    <i r="2">
      <x v="494"/>
      <x v="11"/>
    </i>
    <i r="1">
      <x v="19"/>
      <x v="12"/>
      <x v="8"/>
    </i>
    <i r="2">
      <x v="51"/>
      <x v="8"/>
    </i>
    <i r="2">
      <x v="210"/>
      <x v="8"/>
    </i>
    <i r="2">
      <x v="211"/>
      <x v="8"/>
    </i>
    <i r="2">
      <x v="363"/>
      <x v="8"/>
    </i>
    <i r="1">
      <x v="27"/>
      <x v="72"/>
      <x v="8"/>
    </i>
    <i r="2">
      <x v="144"/>
      <x v="8"/>
    </i>
    <i r="2">
      <x v="195"/>
      <x v="8"/>
    </i>
    <i r="2">
      <x v="265"/>
      <x v="8"/>
    </i>
    <i r="2">
      <x v="298"/>
      <x v="8"/>
    </i>
    <i r="2">
      <x v="379"/>
      <x v="8"/>
    </i>
    <i r="2">
      <x v="397"/>
      <x v="8"/>
    </i>
    <i r="2">
      <x v="471"/>
      <x v="8"/>
    </i>
    <i r="2">
      <x v="472"/>
      <x v="8"/>
    </i>
    <i r="2">
      <x v="483"/>
      <x v="8"/>
    </i>
    <i r="2">
      <x v="506"/>
      <x v="8"/>
    </i>
    <i r="2">
      <x v="531"/>
      <x v="8"/>
    </i>
    <i r="2">
      <x v="552"/>
      <x v="8"/>
    </i>
    <i r="2">
      <x v="554"/>
      <x v="8"/>
    </i>
    <i r="1">
      <x v="30"/>
      <x v="10"/>
      <x v="8"/>
    </i>
    <i r="2">
      <x v="19"/>
      <x v="11"/>
    </i>
    <i r="2">
      <x v="62"/>
      <x v="8"/>
    </i>
    <i r="2">
      <x v="65"/>
      <x v="8"/>
    </i>
    <i r="2">
      <x v="351"/>
      <x v="11"/>
    </i>
    <i r="2">
      <x v="352"/>
      <x v="8"/>
    </i>
    <i r="1">
      <x v="32"/>
      <x v="40"/>
      <x v="4"/>
    </i>
    <i r="2">
      <x v="43"/>
      <x v="8"/>
    </i>
    <i r="2">
      <x v="71"/>
      <x v="8"/>
    </i>
    <i r="2">
      <x v="189"/>
      <x v="8"/>
    </i>
    <i r="2">
      <x v="383"/>
      <x v="8"/>
    </i>
    <i r="2">
      <x v="512"/>
      <x v="8"/>
    </i>
    <i t="default">
      <x v="1"/>
    </i>
    <i>
      <x v="2"/>
      <x v="6"/>
      <x v="248"/>
      <x v="3"/>
    </i>
    <i t="default">
      <x v="2"/>
    </i>
  </rowItems>
  <colFields count="1">
    <field x="-2"/>
  </colFields>
  <colItems count="6">
    <i>
      <x/>
    </i>
    <i i="1">
      <x v="1"/>
    </i>
    <i i="2">
      <x v="2"/>
    </i>
    <i i="3">
      <x v="3"/>
    </i>
    <i i="4">
      <x v="4"/>
    </i>
    <i i="5">
      <x v="5"/>
    </i>
  </colItems>
  <pageFields count="2">
    <pageField fld="0" item="8" hier="-1"/>
    <pageField fld="95" item="1" hier="-1"/>
  </pageFields>
  <dataFields count="6">
    <dataField name="Count of Site Name" fld="4" subtotal="count" baseField="0" baseItem="0"/>
    <dataField name="HHs" fld="5" baseField="0" baseItem="0" numFmtId="164"/>
    <dataField name="Pops" fld="6" baseField="0" baseItem="0" numFmtId="164"/>
    <dataField name="% WATER GAP" fld="60" subtotal="average" baseField="85" baseItem="1" numFmtId="9"/>
    <dataField name="% LATRINE GAP" fld="67" subtotal="average" baseField="85" baseItem="1" numFmtId="9"/>
    <dataField name="% HYGIENE GAP" fld="78" subtotal="average" baseField="85" baseItem="1" numFmtId="9"/>
  </dataFields>
  <formats count="123">
    <format dxfId="353">
      <pivotArea type="all" dataOnly="0" outline="0" fieldPosition="0"/>
    </format>
    <format dxfId="352">
      <pivotArea outline="0" collapsedLevelsAreSubtotals="1" fieldPosition="0"/>
    </format>
    <format dxfId="351">
      <pivotArea field="2" type="button" dataOnly="0" labelOnly="1" outline="0" axis="axisRow" fieldPosition="0"/>
    </format>
    <format dxfId="350">
      <pivotArea dataOnly="0" labelOnly="1" grandRow="1" outline="0" fieldPosition="0"/>
    </format>
    <format dxfId="349">
      <pivotArea type="all" dataOnly="0" outline="0" fieldPosition="0"/>
    </format>
    <format dxfId="348">
      <pivotArea dataOnly="0" labelOnly="1" grandRow="1" outline="0" fieldPosition="0"/>
    </format>
    <format dxfId="347">
      <pivotArea type="all" dataOnly="0" outline="0" fieldPosition="0"/>
    </format>
    <format dxfId="346">
      <pivotArea type="origin" dataOnly="0" labelOnly="1" outline="0" fieldPosition="0"/>
    </format>
    <format dxfId="345">
      <pivotArea field="95" type="button" dataOnly="0" labelOnly="1" outline="0" axis="axisPage" fieldPosition="1"/>
    </format>
    <format dxfId="344">
      <pivotArea type="topRight" dataOnly="0" labelOnly="1" outline="0" fieldPosition="0"/>
    </format>
    <format dxfId="343">
      <pivotArea field="88" type="button" dataOnly="0" labelOnly="1" outline="0"/>
    </format>
    <format dxfId="342">
      <pivotArea type="all" dataOnly="0" outline="0" fieldPosition="0"/>
    </format>
    <format dxfId="341">
      <pivotArea outline="0" collapsedLevelsAreSubtotals="1" fieldPosition="0"/>
    </format>
    <format dxfId="340">
      <pivotArea type="origin" dataOnly="0" labelOnly="1" outline="0" fieldPosition="0"/>
    </format>
    <format dxfId="339">
      <pivotArea field="95" type="button" dataOnly="0" labelOnly="1" outline="0" axis="axisPage" fieldPosition="1"/>
    </format>
    <format dxfId="338">
      <pivotArea type="topRight" dataOnly="0" labelOnly="1" outline="0" fieldPosition="0"/>
    </format>
    <format dxfId="337">
      <pivotArea field="88" type="button" dataOnly="0" labelOnly="1" outline="0"/>
    </format>
    <format dxfId="336">
      <pivotArea outline="0" fieldPosition="0">
        <references count="1">
          <reference field="4294967294" count="3" selected="0">
            <x v="3"/>
            <x v="4"/>
            <x v="5"/>
          </reference>
        </references>
      </pivotArea>
    </format>
    <format dxfId="335">
      <pivotArea outline="0" fieldPosition="0">
        <references count="1">
          <reference field="4294967294" count="2" selected="0">
            <x v="1"/>
            <x v="2"/>
          </reference>
        </references>
      </pivotArea>
    </format>
    <format dxfId="334">
      <pivotArea type="all" dataOnly="0" outline="0" fieldPosition="0"/>
    </format>
    <format dxfId="333">
      <pivotArea outline="0" collapsedLevelsAreSubtotals="1" fieldPosition="0"/>
    </format>
    <format dxfId="332">
      <pivotArea field="2" type="button" dataOnly="0" labelOnly="1" outline="0" axis="axisRow" fieldPosition="0"/>
    </format>
    <format dxfId="331">
      <pivotArea field="3" type="button" dataOnly="0" labelOnly="1" outline="0" axis="axisRow" fieldPosition="1"/>
    </format>
    <format dxfId="330">
      <pivotArea field="4" type="button" dataOnly="0" labelOnly="1" outline="0" axis="axisRow" fieldPosition="2"/>
    </format>
    <format dxfId="329">
      <pivotArea field="90" type="button" dataOnly="0" labelOnly="1" outline="0" axis="axisRow" fieldPosition="3"/>
    </format>
    <format dxfId="328">
      <pivotArea dataOnly="0" labelOnly="1" outline="0" fieldPosition="0">
        <references count="1">
          <reference field="2" count="0"/>
        </references>
      </pivotArea>
    </format>
    <format dxfId="327">
      <pivotArea dataOnly="0" labelOnly="1" outline="0" fieldPosition="0">
        <references count="1">
          <reference field="2" count="0" defaultSubtotal="1"/>
        </references>
      </pivotArea>
    </format>
    <format dxfId="326">
      <pivotArea dataOnly="0" labelOnly="1" outline="0" fieldPosition="0">
        <references count="2">
          <reference field="2" count="1" selected="0">
            <x v="0"/>
          </reference>
          <reference field="3" count="8">
            <x v="1"/>
            <x v="12"/>
            <x v="17"/>
            <x v="18"/>
            <x v="28"/>
            <x v="31"/>
            <x v="33"/>
            <x v="35"/>
          </reference>
        </references>
      </pivotArea>
    </format>
    <format dxfId="325">
      <pivotArea dataOnly="0" labelOnly="1" outline="0" fieldPosition="0">
        <references count="2">
          <reference field="2" count="1" selected="0">
            <x v="1"/>
          </reference>
          <reference field="3" count="7">
            <x v="8"/>
            <x v="9"/>
            <x v="15"/>
            <x v="19"/>
            <x v="27"/>
            <x v="30"/>
            <x v="32"/>
          </reference>
        </references>
      </pivotArea>
    </format>
    <format dxfId="324">
      <pivotArea dataOnly="0" labelOnly="1" outline="0" fieldPosition="0">
        <references count="2">
          <reference field="2" count="1" selected="0">
            <x v="2"/>
          </reference>
          <reference field="3" count="4">
            <x v="6"/>
            <x v="7"/>
            <x v="13"/>
            <x v="20"/>
          </reference>
        </references>
      </pivotArea>
    </format>
    <format dxfId="323">
      <pivotArea dataOnly="0" labelOnly="1" outline="0" fieldPosition="0">
        <references count="3">
          <reference field="2" count="1" selected="0">
            <x v="0"/>
          </reference>
          <reference field="3" count="1" selected="0">
            <x v="1"/>
          </reference>
          <reference field="4" count="1">
            <x v="47"/>
          </reference>
        </references>
      </pivotArea>
    </format>
    <format dxfId="322">
      <pivotArea dataOnly="0" labelOnly="1" outline="0" fieldPosition="0">
        <references count="3">
          <reference field="2" count="1" selected="0">
            <x v="0"/>
          </reference>
          <reference field="3" count="1" selected="0">
            <x v="12"/>
          </reference>
          <reference field="4" count="2">
            <x v="256"/>
            <x v="262"/>
          </reference>
        </references>
      </pivotArea>
    </format>
    <format dxfId="321">
      <pivotArea dataOnly="0" labelOnly="1" outline="0" fieldPosition="0">
        <references count="3">
          <reference field="2" count="1" selected="0">
            <x v="0"/>
          </reference>
          <reference field="3" count="1" selected="0">
            <x v="17"/>
          </reference>
          <reference field="4" count="2">
            <x v="110"/>
            <x v="282"/>
          </reference>
        </references>
      </pivotArea>
    </format>
    <format dxfId="320">
      <pivotArea dataOnly="0" labelOnly="1" outline="0" fieldPosition="0">
        <references count="3">
          <reference field="2" count="1" selected="0">
            <x v="0"/>
          </reference>
          <reference field="3" count="1" selected="0">
            <x v="18"/>
          </reference>
          <reference field="4" count="3">
            <x v="154"/>
            <x v="284"/>
            <x v="299"/>
          </reference>
        </references>
      </pivotArea>
    </format>
    <format dxfId="319">
      <pivotArea dataOnly="0" labelOnly="1" outline="0" fieldPosition="0">
        <references count="3">
          <reference field="2" count="1" selected="0">
            <x v="0"/>
          </reference>
          <reference field="3" count="1" selected="0">
            <x v="28"/>
          </reference>
          <reference field="4" count="2">
            <x v="125"/>
            <x v="529"/>
          </reference>
        </references>
      </pivotArea>
    </format>
    <format dxfId="318">
      <pivotArea dataOnly="0" labelOnly="1" outline="0" fieldPosition="0">
        <references count="3">
          <reference field="2" count="1" selected="0">
            <x v="0"/>
          </reference>
          <reference field="3" count="1" selected="0">
            <x v="31"/>
          </reference>
          <reference field="4" count="1">
            <x v="205"/>
          </reference>
        </references>
      </pivotArea>
    </format>
    <format dxfId="317">
      <pivotArea dataOnly="0" labelOnly="1" outline="0" fieldPosition="0">
        <references count="3">
          <reference field="2" count="1" selected="0">
            <x v="0"/>
          </reference>
          <reference field="3" count="1" selected="0">
            <x v="33"/>
          </reference>
          <reference field="4" count="1">
            <x v="466"/>
          </reference>
        </references>
      </pivotArea>
    </format>
    <format dxfId="316">
      <pivotArea dataOnly="0" labelOnly="1" outline="0" fieldPosition="0">
        <references count="3">
          <reference field="2" count="1" selected="0">
            <x v="0"/>
          </reference>
          <reference field="3" count="1" selected="0">
            <x v="35"/>
          </reference>
          <reference field="4" count="1">
            <x v="100"/>
          </reference>
        </references>
      </pivotArea>
    </format>
    <format dxfId="315">
      <pivotArea dataOnly="0" labelOnly="1" outline="0" fieldPosition="0">
        <references count="3">
          <reference field="2" count="1" selected="0">
            <x v="1"/>
          </reference>
          <reference field="3" count="1" selected="0">
            <x v="8"/>
          </reference>
          <reference field="4" count="1">
            <x v="132"/>
          </reference>
        </references>
      </pivotArea>
    </format>
    <format dxfId="314">
      <pivotArea dataOnly="0" labelOnly="1" outline="0" fieldPosition="0">
        <references count="3">
          <reference field="2" count="1" selected="0">
            <x v="1"/>
          </reference>
          <reference field="3" count="1" selected="0">
            <x v="9"/>
          </reference>
          <reference field="4" count="18">
            <x v="14"/>
            <x v="22"/>
            <x v="23"/>
            <x v="89"/>
            <x v="92"/>
            <x v="93"/>
            <x v="153"/>
            <x v="182"/>
            <x v="198"/>
            <x v="209"/>
            <x v="367"/>
            <x v="394"/>
            <x v="420"/>
            <x v="448"/>
            <x v="449"/>
            <x v="490"/>
            <x v="556"/>
            <x v="567"/>
          </reference>
        </references>
      </pivotArea>
    </format>
    <format dxfId="313">
      <pivotArea dataOnly="0" labelOnly="1" outline="0" fieldPosition="0">
        <references count="3">
          <reference field="2" count="1" selected="0">
            <x v="1"/>
          </reference>
          <reference field="3" count="1" selected="0">
            <x v="15"/>
          </reference>
          <reference field="4" count="8">
            <x v="54"/>
            <x v="57"/>
            <x v="134"/>
            <x v="137"/>
            <x v="418"/>
            <x v="450"/>
            <x v="453"/>
            <x v="494"/>
          </reference>
        </references>
      </pivotArea>
    </format>
    <format dxfId="312">
      <pivotArea dataOnly="0" labelOnly="1" outline="0" fieldPosition="0">
        <references count="3">
          <reference field="2" count="1" selected="0">
            <x v="1"/>
          </reference>
          <reference field="3" count="1" selected="0">
            <x v="19"/>
          </reference>
          <reference field="4" count="5">
            <x v="12"/>
            <x v="51"/>
            <x v="210"/>
            <x v="211"/>
            <x v="363"/>
          </reference>
        </references>
      </pivotArea>
    </format>
    <format dxfId="311">
      <pivotArea dataOnly="0" labelOnly="1" outline="0" fieldPosition="0">
        <references count="3">
          <reference field="2" count="1" selected="0">
            <x v="1"/>
          </reference>
          <reference field="3" count="1" selected="0">
            <x v="27"/>
          </reference>
          <reference field="4" count="14">
            <x v="72"/>
            <x v="144"/>
            <x v="195"/>
            <x v="265"/>
            <x v="298"/>
            <x v="379"/>
            <x v="397"/>
            <x v="471"/>
            <x v="472"/>
            <x v="483"/>
            <x v="506"/>
            <x v="531"/>
            <x v="552"/>
            <x v="554"/>
          </reference>
        </references>
      </pivotArea>
    </format>
    <format dxfId="310">
      <pivotArea dataOnly="0" labelOnly="1" outline="0" fieldPosition="0">
        <references count="3">
          <reference field="2" count="1" selected="0">
            <x v="1"/>
          </reference>
          <reference field="3" count="1" selected="0">
            <x v="30"/>
          </reference>
          <reference field="4" count="3">
            <x v="19"/>
            <x v="351"/>
            <x v="352"/>
          </reference>
        </references>
      </pivotArea>
    </format>
    <format dxfId="309">
      <pivotArea dataOnly="0" labelOnly="1" outline="0" fieldPosition="0">
        <references count="3">
          <reference field="2" count="1" selected="0">
            <x v="1"/>
          </reference>
          <reference field="3" count="1" selected="0">
            <x v="32"/>
          </reference>
          <reference field="4" count="7">
            <x v="13"/>
            <x v="40"/>
            <x v="43"/>
            <x v="71"/>
            <x v="189"/>
            <x v="383"/>
            <x v="512"/>
          </reference>
        </references>
      </pivotArea>
    </format>
    <format dxfId="308">
      <pivotArea dataOnly="0" labelOnly="1" outline="0" fieldPosition="0">
        <references count="3">
          <reference field="2" count="1" selected="0">
            <x v="2"/>
          </reference>
          <reference field="3" count="1" selected="0">
            <x v="6"/>
          </reference>
          <reference field="4" count="1">
            <x v="248"/>
          </reference>
        </references>
      </pivotArea>
    </format>
    <format dxfId="307">
      <pivotArea dataOnly="0" labelOnly="1" outline="0" fieldPosition="0">
        <references count="3">
          <reference field="2" count="1" selected="0">
            <x v="2"/>
          </reference>
          <reference field="3" count="1" selected="0">
            <x v="7"/>
          </reference>
          <reference field="4" count="1">
            <x v="372"/>
          </reference>
        </references>
      </pivotArea>
    </format>
    <format dxfId="306">
      <pivotArea dataOnly="0" labelOnly="1" outline="0" fieldPosition="0">
        <references count="3">
          <reference field="2" count="1" selected="0">
            <x v="2"/>
          </reference>
          <reference field="3" count="1" selected="0">
            <x v="13"/>
          </reference>
          <reference field="4" count="1">
            <x v="250"/>
          </reference>
        </references>
      </pivotArea>
    </format>
    <format dxfId="305">
      <pivotArea dataOnly="0" labelOnly="1" outline="0" fieldPosition="0">
        <references count="3">
          <reference field="2" count="1" selected="0">
            <x v="2"/>
          </reference>
          <reference field="3" count="1" selected="0">
            <x v="20"/>
          </reference>
          <reference field="4" count="1">
            <x v="111"/>
          </reference>
        </references>
      </pivotArea>
    </format>
    <format dxfId="304">
      <pivotArea dataOnly="0" labelOnly="1" outline="0" fieldPosition="0">
        <references count="4">
          <reference field="2" count="1" selected="0">
            <x v="0"/>
          </reference>
          <reference field="3" count="1" selected="0">
            <x v="1"/>
          </reference>
          <reference field="4" count="1" selected="0">
            <x v="47"/>
          </reference>
          <reference field="90" count="1">
            <x v="4"/>
          </reference>
        </references>
      </pivotArea>
    </format>
    <format dxfId="303">
      <pivotArea dataOnly="0" labelOnly="1" outline="0" fieldPosition="0">
        <references count="4">
          <reference field="2" count="1" selected="0">
            <x v="0"/>
          </reference>
          <reference field="3" count="1" selected="0">
            <x v="12"/>
          </reference>
          <reference field="4" count="1" selected="0">
            <x v="256"/>
          </reference>
          <reference field="90" count="1">
            <x v="4"/>
          </reference>
        </references>
      </pivotArea>
    </format>
    <format dxfId="302">
      <pivotArea dataOnly="0" labelOnly="1" outline="0" fieldPosition="0">
        <references count="4">
          <reference field="2" count="1" selected="0">
            <x v="0"/>
          </reference>
          <reference field="3" count="1" selected="0">
            <x v="12"/>
          </reference>
          <reference field="4" count="1" selected="0">
            <x v="262"/>
          </reference>
          <reference field="90" count="1">
            <x v="4"/>
          </reference>
        </references>
      </pivotArea>
    </format>
    <format dxfId="301">
      <pivotArea dataOnly="0" labelOnly="1" outline="0" fieldPosition="0">
        <references count="4">
          <reference field="2" count="1" selected="0">
            <x v="0"/>
          </reference>
          <reference field="3" count="1" selected="0">
            <x v="17"/>
          </reference>
          <reference field="4" count="1" selected="0">
            <x v="110"/>
          </reference>
          <reference field="90" count="1">
            <x v="4"/>
          </reference>
        </references>
      </pivotArea>
    </format>
    <format dxfId="300">
      <pivotArea dataOnly="0" labelOnly="1" outline="0" fieldPosition="0">
        <references count="4">
          <reference field="2" count="1" selected="0">
            <x v="0"/>
          </reference>
          <reference field="3" count="1" selected="0">
            <x v="17"/>
          </reference>
          <reference field="4" count="1" selected="0">
            <x v="282"/>
          </reference>
          <reference field="90" count="1">
            <x v="4"/>
          </reference>
        </references>
      </pivotArea>
    </format>
    <format dxfId="299">
      <pivotArea dataOnly="0" labelOnly="1" outline="0" fieldPosition="0">
        <references count="4">
          <reference field="2" count="1" selected="0">
            <x v="0"/>
          </reference>
          <reference field="3" count="1" selected="0">
            <x v="18"/>
          </reference>
          <reference field="4" count="1" selected="0">
            <x v="154"/>
          </reference>
          <reference field="90" count="1">
            <x v="4"/>
          </reference>
        </references>
      </pivotArea>
    </format>
    <format dxfId="298">
      <pivotArea dataOnly="0" labelOnly="1" outline="0" fieldPosition="0">
        <references count="4">
          <reference field="2" count="1" selected="0">
            <x v="0"/>
          </reference>
          <reference field="3" count="1" selected="0">
            <x v="18"/>
          </reference>
          <reference field="4" count="1" selected="0">
            <x v="284"/>
          </reference>
          <reference field="90" count="1">
            <x v="4"/>
          </reference>
        </references>
      </pivotArea>
    </format>
    <format dxfId="297">
      <pivotArea dataOnly="0" labelOnly="1" outline="0" fieldPosition="0">
        <references count="4">
          <reference field="2" count="1" selected="0">
            <x v="0"/>
          </reference>
          <reference field="3" count="1" selected="0">
            <x v="18"/>
          </reference>
          <reference field="4" count="1" selected="0">
            <x v="299"/>
          </reference>
          <reference field="90" count="1">
            <x v="4"/>
          </reference>
        </references>
      </pivotArea>
    </format>
    <format dxfId="296">
      <pivotArea dataOnly="0" labelOnly="1" outline="0" fieldPosition="0">
        <references count="4">
          <reference field="2" count="1" selected="0">
            <x v="0"/>
          </reference>
          <reference field="3" count="1" selected="0">
            <x v="28"/>
          </reference>
          <reference field="4" count="1" selected="0">
            <x v="125"/>
          </reference>
          <reference field="90" count="1">
            <x v="4"/>
          </reference>
        </references>
      </pivotArea>
    </format>
    <format dxfId="295">
      <pivotArea dataOnly="0" labelOnly="1" outline="0" fieldPosition="0">
        <references count="4">
          <reference field="2" count="1" selected="0">
            <x v="0"/>
          </reference>
          <reference field="3" count="1" selected="0">
            <x v="28"/>
          </reference>
          <reference field="4" count="1" selected="0">
            <x v="529"/>
          </reference>
          <reference field="90" count="1">
            <x v="4"/>
          </reference>
        </references>
      </pivotArea>
    </format>
    <format dxfId="294">
      <pivotArea dataOnly="0" labelOnly="1" outline="0" fieldPosition="0">
        <references count="4">
          <reference field="2" count="1" selected="0">
            <x v="0"/>
          </reference>
          <reference field="3" count="1" selected="0">
            <x v="31"/>
          </reference>
          <reference field="4" count="1" selected="0">
            <x v="205"/>
          </reference>
          <reference field="90" count="1">
            <x v="4"/>
          </reference>
        </references>
      </pivotArea>
    </format>
    <format dxfId="293">
      <pivotArea dataOnly="0" labelOnly="1" outline="0" fieldPosition="0">
        <references count="4">
          <reference field="2" count="1" selected="0">
            <x v="0"/>
          </reference>
          <reference field="3" count="1" selected="0">
            <x v="33"/>
          </reference>
          <reference field="4" count="1" selected="0">
            <x v="466"/>
          </reference>
          <reference field="90" count="1">
            <x v="3"/>
          </reference>
        </references>
      </pivotArea>
    </format>
    <format dxfId="292">
      <pivotArea dataOnly="0" labelOnly="1" outline="0" fieldPosition="0">
        <references count="4">
          <reference field="2" count="1" selected="0">
            <x v="0"/>
          </reference>
          <reference field="3" count="1" selected="0">
            <x v="35"/>
          </reference>
          <reference field="4" count="1" selected="0">
            <x v="100"/>
          </reference>
          <reference field="90" count="1">
            <x v="3"/>
          </reference>
        </references>
      </pivotArea>
    </format>
    <format dxfId="291">
      <pivotArea dataOnly="0" labelOnly="1" outline="0" fieldPosition="0">
        <references count="4">
          <reference field="2" count="1" selected="0">
            <x v="1"/>
          </reference>
          <reference field="3" count="1" selected="0">
            <x v="8"/>
          </reference>
          <reference field="4" count="1" selected="0">
            <x v="132"/>
          </reference>
          <reference field="90" count="1">
            <x v="10"/>
          </reference>
        </references>
      </pivotArea>
    </format>
    <format dxfId="290">
      <pivotArea dataOnly="0" labelOnly="1" outline="0" fieldPosition="0">
        <references count="4">
          <reference field="2" count="1" selected="0">
            <x v="1"/>
          </reference>
          <reference field="3" count="1" selected="0">
            <x v="9"/>
          </reference>
          <reference field="4" count="1" selected="0">
            <x v="14"/>
          </reference>
          <reference field="90" count="1">
            <x v="8"/>
          </reference>
        </references>
      </pivotArea>
    </format>
    <format dxfId="289">
      <pivotArea dataOnly="0" labelOnly="1" outline="0" fieldPosition="0">
        <references count="4">
          <reference field="2" count="1" selected="0">
            <x v="1"/>
          </reference>
          <reference field="3" count="1" selected="0">
            <x v="9"/>
          </reference>
          <reference field="4" count="1" selected="0">
            <x v="22"/>
          </reference>
          <reference field="90" count="1">
            <x v="11"/>
          </reference>
        </references>
      </pivotArea>
    </format>
    <format dxfId="288">
      <pivotArea dataOnly="0" labelOnly="1" outline="0" fieldPosition="0">
        <references count="4">
          <reference field="2" count="1" selected="0">
            <x v="1"/>
          </reference>
          <reference field="3" count="1" selected="0">
            <x v="9"/>
          </reference>
          <reference field="4" count="1" selected="0">
            <x v="23"/>
          </reference>
          <reference field="90" count="1">
            <x v="8"/>
          </reference>
        </references>
      </pivotArea>
    </format>
    <format dxfId="287">
      <pivotArea dataOnly="0" labelOnly="1" outline="0" fieldPosition="0">
        <references count="4">
          <reference field="2" count="1" selected="0">
            <x v="1"/>
          </reference>
          <reference field="3" count="1" selected="0">
            <x v="9"/>
          </reference>
          <reference field="4" count="1" selected="0">
            <x v="89"/>
          </reference>
          <reference field="90" count="1">
            <x v="8"/>
          </reference>
        </references>
      </pivotArea>
    </format>
    <format dxfId="286">
      <pivotArea dataOnly="0" labelOnly="1" outline="0" fieldPosition="0">
        <references count="4">
          <reference field="2" count="1" selected="0">
            <x v="1"/>
          </reference>
          <reference field="3" count="1" selected="0">
            <x v="9"/>
          </reference>
          <reference field="4" count="1" selected="0">
            <x v="92"/>
          </reference>
          <reference field="90" count="1">
            <x v="11"/>
          </reference>
        </references>
      </pivotArea>
    </format>
    <format dxfId="285">
      <pivotArea dataOnly="0" labelOnly="1" outline="0" fieldPosition="0">
        <references count="4">
          <reference field="2" count="1" selected="0">
            <x v="1"/>
          </reference>
          <reference field="3" count="1" selected="0">
            <x v="9"/>
          </reference>
          <reference field="4" count="1" selected="0">
            <x v="93"/>
          </reference>
          <reference field="90" count="1">
            <x v="8"/>
          </reference>
        </references>
      </pivotArea>
    </format>
    <format dxfId="284">
      <pivotArea dataOnly="0" labelOnly="1" outline="0" fieldPosition="0">
        <references count="4">
          <reference field="2" count="1" selected="0">
            <x v="1"/>
          </reference>
          <reference field="3" count="1" selected="0">
            <x v="9"/>
          </reference>
          <reference field="4" count="1" selected="0">
            <x v="153"/>
          </reference>
          <reference field="90" count="1">
            <x v="10"/>
          </reference>
        </references>
      </pivotArea>
    </format>
    <format dxfId="283">
      <pivotArea dataOnly="0" labelOnly="1" outline="0" fieldPosition="0">
        <references count="4">
          <reference field="2" count="1" selected="0">
            <x v="1"/>
          </reference>
          <reference field="3" count="1" selected="0">
            <x v="9"/>
          </reference>
          <reference field="4" count="1" selected="0">
            <x v="182"/>
          </reference>
          <reference field="90" count="1">
            <x v="8"/>
          </reference>
        </references>
      </pivotArea>
    </format>
    <format dxfId="282">
      <pivotArea dataOnly="0" labelOnly="1" outline="0" fieldPosition="0">
        <references count="4">
          <reference field="2" count="1" selected="0">
            <x v="1"/>
          </reference>
          <reference field="3" count="1" selected="0">
            <x v="9"/>
          </reference>
          <reference field="4" count="1" selected="0">
            <x v="198"/>
          </reference>
          <reference field="90" count="1">
            <x v="8"/>
          </reference>
        </references>
      </pivotArea>
    </format>
    <format dxfId="281">
      <pivotArea dataOnly="0" labelOnly="1" outline="0" fieldPosition="0">
        <references count="4">
          <reference field="2" count="1" selected="0">
            <x v="1"/>
          </reference>
          <reference field="3" count="1" selected="0">
            <x v="9"/>
          </reference>
          <reference field="4" count="1" selected="0">
            <x v="209"/>
          </reference>
          <reference field="90" count="1">
            <x v="11"/>
          </reference>
        </references>
      </pivotArea>
    </format>
    <format dxfId="280">
      <pivotArea dataOnly="0" labelOnly="1" outline="0" fieldPosition="0">
        <references count="4">
          <reference field="2" count="1" selected="0">
            <x v="1"/>
          </reference>
          <reference field="3" count="1" selected="0">
            <x v="9"/>
          </reference>
          <reference field="4" count="1" selected="0">
            <x v="367"/>
          </reference>
          <reference field="90" count="1">
            <x v="8"/>
          </reference>
        </references>
      </pivotArea>
    </format>
    <format dxfId="279">
      <pivotArea dataOnly="0" labelOnly="1" outline="0" fieldPosition="0">
        <references count="4">
          <reference field="2" count="1" selected="0">
            <x v="1"/>
          </reference>
          <reference field="3" count="1" selected="0">
            <x v="9"/>
          </reference>
          <reference field="4" count="1" selected="0">
            <x v="394"/>
          </reference>
          <reference field="90" count="1">
            <x v="8"/>
          </reference>
        </references>
      </pivotArea>
    </format>
    <format dxfId="278">
      <pivotArea dataOnly="0" labelOnly="1" outline="0" fieldPosition="0">
        <references count="4">
          <reference field="2" count="1" selected="0">
            <x v="1"/>
          </reference>
          <reference field="3" count="1" selected="0">
            <x v="9"/>
          </reference>
          <reference field="4" count="1" selected="0">
            <x v="420"/>
          </reference>
          <reference field="90" count="1">
            <x v="8"/>
          </reference>
        </references>
      </pivotArea>
    </format>
    <format dxfId="277">
      <pivotArea dataOnly="0" labelOnly="1" outline="0" fieldPosition="0">
        <references count="4">
          <reference field="2" count="1" selected="0">
            <x v="1"/>
          </reference>
          <reference field="3" count="1" selected="0">
            <x v="9"/>
          </reference>
          <reference field="4" count="1" selected="0">
            <x v="448"/>
          </reference>
          <reference field="90" count="1">
            <x v="11"/>
          </reference>
        </references>
      </pivotArea>
    </format>
    <format dxfId="276">
      <pivotArea dataOnly="0" labelOnly="1" outline="0" fieldPosition="0">
        <references count="4">
          <reference field="2" count="1" selected="0">
            <x v="1"/>
          </reference>
          <reference field="3" count="1" selected="0">
            <x v="9"/>
          </reference>
          <reference field="4" count="1" selected="0">
            <x v="449"/>
          </reference>
          <reference field="90" count="1">
            <x v="8"/>
          </reference>
        </references>
      </pivotArea>
    </format>
    <format dxfId="275">
      <pivotArea dataOnly="0" labelOnly="1" outline="0" fieldPosition="0">
        <references count="4">
          <reference field="2" count="1" selected="0">
            <x v="1"/>
          </reference>
          <reference field="3" count="1" selected="0">
            <x v="9"/>
          </reference>
          <reference field="4" count="1" selected="0">
            <x v="490"/>
          </reference>
          <reference field="90" count="1">
            <x v="8"/>
          </reference>
        </references>
      </pivotArea>
    </format>
    <format dxfId="274">
      <pivotArea dataOnly="0" labelOnly="1" outline="0" fieldPosition="0">
        <references count="4">
          <reference field="2" count="1" selected="0">
            <x v="1"/>
          </reference>
          <reference field="3" count="1" selected="0">
            <x v="9"/>
          </reference>
          <reference field="4" count="1" selected="0">
            <x v="556"/>
          </reference>
          <reference field="90" count="1">
            <x v="11"/>
          </reference>
        </references>
      </pivotArea>
    </format>
    <format dxfId="273">
      <pivotArea dataOnly="0" labelOnly="1" outline="0" fieldPosition="0">
        <references count="4">
          <reference field="2" count="1" selected="0">
            <x v="1"/>
          </reference>
          <reference field="3" count="1" selected="0">
            <x v="9"/>
          </reference>
          <reference field="4" count="1" selected="0">
            <x v="567"/>
          </reference>
          <reference field="90" count="1">
            <x v="8"/>
          </reference>
        </references>
      </pivotArea>
    </format>
    <format dxfId="272">
      <pivotArea dataOnly="0" labelOnly="1" outline="0" fieldPosition="0">
        <references count="4">
          <reference field="2" count="1" selected="0">
            <x v="1"/>
          </reference>
          <reference field="3" count="1" selected="0">
            <x v="15"/>
          </reference>
          <reference field="4" count="1" selected="0">
            <x v="54"/>
          </reference>
          <reference field="90" count="1">
            <x v="8"/>
          </reference>
        </references>
      </pivotArea>
    </format>
    <format dxfId="271">
      <pivotArea dataOnly="0" labelOnly="1" outline="0" fieldPosition="0">
        <references count="4">
          <reference field="2" count="1" selected="0">
            <x v="1"/>
          </reference>
          <reference field="3" count="1" selected="0">
            <x v="15"/>
          </reference>
          <reference field="4" count="1" selected="0">
            <x v="57"/>
          </reference>
          <reference field="90" count="1">
            <x v="8"/>
          </reference>
        </references>
      </pivotArea>
    </format>
    <format dxfId="270">
      <pivotArea dataOnly="0" labelOnly="1" outline="0" fieldPosition="0">
        <references count="4">
          <reference field="2" count="1" selected="0">
            <x v="1"/>
          </reference>
          <reference field="3" count="1" selected="0">
            <x v="15"/>
          </reference>
          <reference field="4" count="1" selected="0">
            <x v="134"/>
          </reference>
          <reference field="90" count="1">
            <x v="8"/>
          </reference>
        </references>
      </pivotArea>
    </format>
    <format dxfId="269">
      <pivotArea dataOnly="0" labelOnly="1" outline="0" fieldPosition="0">
        <references count="4">
          <reference field="2" count="1" selected="0">
            <x v="1"/>
          </reference>
          <reference field="3" count="1" selected="0">
            <x v="15"/>
          </reference>
          <reference field="4" count="1" selected="0">
            <x v="137"/>
          </reference>
          <reference field="90" count="1">
            <x v="8"/>
          </reference>
        </references>
      </pivotArea>
    </format>
    <format dxfId="268">
      <pivotArea dataOnly="0" labelOnly="1" outline="0" fieldPosition="0">
        <references count="4">
          <reference field="2" count="1" selected="0">
            <x v="1"/>
          </reference>
          <reference field="3" count="1" selected="0">
            <x v="15"/>
          </reference>
          <reference field="4" count="1" selected="0">
            <x v="418"/>
          </reference>
          <reference field="90" count="1">
            <x v="11"/>
          </reference>
        </references>
      </pivotArea>
    </format>
    <format dxfId="267">
      <pivotArea dataOnly="0" labelOnly="1" outline="0" fieldPosition="0">
        <references count="4">
          <reference field="2" count="1" selected="0">
            <x v="1"/>
          </reference>
          <reference field="3" count="1" selected="0">
            <x v="15"/>
          </reference>
          <reference field="4" count="1" selected="0">
            <x v="450"/>
          </reference>
          <reference field="90" count="1">
            <x v="8"/>
          </reference>
        </references>
      </pivotArea>
    </format>
    <format dxfId="266">
      <pivotArea dataOnly="0" labelOnly="1" outline="0" fieldPosition="0">
        <references count="4">
          <reference field="2" count="1" selected="0">
            <x v="1"/>
          </reference>
          <reference field="3" count="1" selected="0">
            <x v="15"/>
          </reference>
          <reference field="4" count="1" selected="0">
            <x v="453"/>
          </reference>
          <reference field="90" count="1">
            <x v="8"/>
          </reference>
        </references>
      </pivotArea>
    </format>
    <format dxfId="265">
      <pivotArea dataOnly="0" labelOnly="1" outline="0" fieldPosition="0">
        <references count="4">
          <reference field="2" count="1" selected="0">
            <x v="1"/>
          </reference>
          <reference field="3" count="1" selected="0">
            <x v="15"/>
          </reference>
          <reference field="4" count="1" selected="0">
            <x v="494"/>
          </reference>
          <reference field="90" count="1">
            <x v="11"/>
          </reference>
        </references>
      </pivotArea>
    </format>
    <format dxfId="264">
      <pivotArea dataOnly="0" labelOnly="1" outline="0" fieldPosition="0">
        <references count="4">
          <reference field="2" count="1" selected="0">
            <x v="1"/>
          </reference>
          <reference field="3" count="1" selected="0">
            <x v="19"/>
          </reference>
          <reference field="4" count="1" selected="0">
            <x v="12"/>
          </reference>
          <reference field="90" count="1">
            <x v="8"/>
          </reference>
        </references>
      </pivotArea>
    </format>
    <format dxfId="263">
      <pivotArea dataOnly="0" labelOnly="1" outline="0" fieldPosition="0">
        <references count="4">
          <reference field="2" count="1" selected="0">
            <x v="1"/>
          </reference>
          <reference field="3" count="1" selected="0">
            <x v="19"/>
          </reference>
          <reference field="4" count="1" selected="0">
            <x v="51"/>
          </reference>
          <reference field="90" count="1">
            <x v="8"/>
          </reference>
        </references>
      </pivotArea>
    </format>
    <format dxfId="262">
      <pivotArea dataOnly="0" labelOnly="1" outline="0" fieldPosition="0">
        <references count="4">
          <reference field="2" count="1" selected="0">
            <x v="1"/>
          </reference>
          <reference field="3" count="1" selected="0">
            <x v="19"/>
          </reference>
          <reference field="4" count="1" selected="0">
            <x v="210"/>
          </reference>
          <reference field="90" count="1">
            <x v="8"/>
          </reference>
        </references>
      </pivotArea>
    </format>
    <format dxfId="261">
      <pivotArea dataOnly="0" labelOnly="1" outline="0" fieldPosition="0">
        <references count="4">
          <reference field="2" count="1" selected="0">
            <x v="1"/>
          </reference>
          <reference field="3" count="1" selected="0">
            <x v="19"/>
          </reference>
          <reference field="4" count="1" selected="0">
            <x v="211"/>
          </reference>
          <reference field="90" count="1">
            <x v="8"/>
          </reference>
        </references>
      </pivotArea>
    </format>
    <format dxfId="260">
      <pivotArea dataOnly="0" labelOnly="1" outline="0" fieldPosition="0">
        <references count="4">
          <reference field="2" count="1" selected="0">
            <x v="1"/>
          </reference>
          <reference field="3" count="1" selected="0">
            <x v="19"/>
          </reference>
          <reference field="4" count="1" selected="0">
            <x v="363"/>
          </reference>
          <reference field="90" count="1">
            <x v="8"/>
          </reference>
        </references>
      </pivotArea>
    </format>
    <format dxfId="259">
      <pivotArea dataOnly="0" labelOnly="1" outline="0" fieldPosition="0">
        <references count="4">
          <reference field="2" count="1" selected="0">
            <x v="1"/>
          </reference>
          <reference field="3" count="1" selected="0">
            <x v="27"/>
          </reference>
          <reference field="4" count="1" selected="0">
            <x v="72"/>
          </reference>
          <reference field="90" count="1">
            <x v="8"/>
          </reference>
        </references>
      </pivotArea>
    </format>
    <format dxfId="258">
      <pivotArea dataOnly="0" labelOnly="1" outline="0" fieldPosition="0">
        <references count="4">
          <reference field="2" count="1" selected="0">
            <x v="1"/>
          </reference>
          <reference field="3" count="1" selected="0">
            <x v="27"/>
          </reference>
          <reference field="4" count="1" selected="0">
            <x v="144"/>
          </reference>
          <reference field="90" count="1">
            <x v="8"/>
          </reference>
        </references>
      </pivotArea>
    </format>
    <format dxfId="257">
      <pivotArea dataOnly="0" labelOnly="1" outline="0" fieldPosition="0">
        <references count="4">
          <reference field="2" count="1" selected="0">
            <x v="1"/>
          </reference>
          <reference field="3" count="1" selected="0">
            <x v="27"/>
          </reference>
          <reference field="4" count="1" selected="0">
            <x v="195"/>
          </reference>
          <reference field="90" count="1">
            <x v="8"/>
          </reference>
        </references>
      </pivotArea>
    </format>
    <format dxfId="256">
      <pivotArea dataOnly="0" labelOnly="1" outline="0" fieldPosition="0">
        <references count="4">
          <reference field="2" count="1" selected="0">
            <x v="1"/>
          </reference>
          <reference field="3" count="1" selected="0">
            <x v="27"/>
          </reference>
          <reference field="4" count="1" selected="0">
            <x v="265"/>
          </reference>
          <reference field="90" count="1">
            <x v="8"/>
          </reference>
        </references>
      </pivotArea>
    </format>
    <format dxfId="255">
      <pivotArea dataOnly="0" labelOnly="1" outline="0" fieldPosition="0">
        <references count="4">
          <reference field="2" count="1" selected="0">
            <x v="1"/>
          </reference>
          <reference field="3" count="1" selected="0">
            <x v="27"/>
          </reference>
          <reference field="4" count="1" selected="0">
            <x v="298"/>
          </reference>
          <reference field="90" count="1">
            <x v="8"/>
          </reference>
        </references>
      </pivotArea>
    </format>
    <format dxfId="254">
      <pivotArea dataOnly="0" labelOnly="1" outline="0" fieldPosition="0">
        <references count="4">
          <reference field="2" count="1" selected="0">
            <x v="1"/>
          </reference>
          <reference field="3" count="1" selected="0">
            <x v="27"/>
          </reference>
          <reference field="4" count="1" selected="0">
            <x v="379"/>
          </reference>
          <reference field="90" count="1">
            <x v="8"/>
          </reference>
        </references>
      </pivotArea>
    </format>
    <format dxfId="253">
      <pivotArea dataOnly="0" labelOnly="1" outline="0" fieldPosition="0">
        <references count="4">
          <reference field="2" count="1" selected="0">
            <x v="1"/>
          </reference>
          <reference field="3" count="1" selected="0">
            <x v="27"/>
          </reference>
          <reference field="4" count="1" selected="0">
            <x v="397"/>
          </reference>
          <reference field="90" count="1">
            <x v="8"/>
          </reference>
        </references>
      </pivotArea>
    </format>
    <format dxfId="252">
      <pivotArea dataOnly="0" labelOnly="1" outline="0" fieldPosition="0">
        <references count="4">
          <reference field="2" count="1" selected="0">
            <x v="1"/>
          </reference>
          <reference field="3" count="1" selected="0">
            <x v="27"/>
          </reference>
          <reference field="4" count="1" selected="0">
            <x v="471"/>
          </reference>
          <reference field="90" count="1">
            <x v="8"/>
          </reference>
        </references>
      </pivotArea>
    </format>
    <format dxfId="251">
      <pivotArea dataOnly="0" labelOnly="1" outline="0" fieldPosition="0">
        <references count="4">
          <reference field="2" count="1" selected="0">
            <x v="1"/>
          </reference>
          <reference field="3" count="1" selected="0">
            <x v="27"/>
          </reference>
          <reference field="4" count="1" selected="0">
            <x v="472"/>
          </reference>
          <reference field="90" count="1">
            <x v="8"/>
          </reference>
        </references>
      </pivotArea>
    </format>
    <format dxfId="250">
      <pivotArea dataOnly="0" labelOnly="1" outline="0" fieldPosition="0">
        <references count="4">
          <reference field="2" count="1" selected="0">
            <x v="1"/>
          </reference>
          <reference field="3" count="1" selected="0">
            <x v="27"/>
          </reference>
          <reference field="4" count="1" selected="0">
            <x v="483"/>
          </reference>
          <reference field="90" count="1">
            <x v="8"/>
          </reference>
        </references>
      </pivotArea>
    </format>
    <format dxfId="249">
      <pivotArea dataOnly="0" labelOnly="1" outline="0" fieldPosition="0">
        <references count="4">
          <reference field="2" count="1" selected="0">
            <x v="1"/>
          </reference>
          <reference field="3" count="1" selected="0">
            <x v="27"/>
          </reference>
          <reference field="4" count="1" selected="0">
            <x v="506"/>
          </reference>
          <reference field="90" count="1">
            <x v="8"/>
          </reference>
        </references>
      </pivotArea>
    </format>
    <format dxfId="248">
      <pivotArea dataOnly="0" labelOnly="1" outline="0" fieldPosition="0">
        <references count="4">
          <reference field="2" count="1" selected="0">
            <x v="1"/>
          </reference>
          <reference field="3" count="1" selected="0">
            <x v="27"/>
          </reference>
          <reference field="4" count="1" selected="0">
            <x v="531"/>
          </reference>
          <reference field="90" count="1">
            <x v="8"/>
          </reference>
        </references>
      </pivotArea>
    </format>
    <format dxfId="247">
      <pivotArea dataOnly="0" labelOnly="1" outline="0" fieldPosition="0">
        <references count="4">
          <reference field="2" count="1" selected="0">
            <x v="1"/>
          </reference>
          <reference field="3" count="1" selected="0">
            <x v="27"/>
          </reference>
          <reference field="4" count="1" selected="0">
            <x v="552"/>
          </reference>
          <reference field="90" count="1">
            <x v="8"/>
          </reference>
        </references>
      </pivotArea>
    </format>
    <format dxfId="246">
      <pivotArea dataOnly="0" labelOnly="1" outline="0" fieldPosition="0">
        <references count="4">
          <reference field="2" count="1" selected="0">
            <x v="1"/>
          </reference>
          <reference field="3" count="1" selected="0">
            <x v="27"/>
          </reference>
          <reference field="4" count="1" selected="0">
            <x v="554"/>
          </reference>
          <reference field="90" count="1">
            <x v="8"/>
          </reference>
        </references>
      </pivotArea>
    </format>
    <format dxfId="245">
      <pivotArea dataOnly="0" labelOnly="1" outline="0" fieldPosition="0">
        <references count="4">
          <reference field="2" count="1" selected="0">
            <x v="1"/>
          </reference>
          <reference field="3" count="1" selected="0">
            <x v="30"/>
          </reference>
          <reference field="4" count="1" selected="0">
            <x v="19"/>
          </reference>
          <reference field="90" count="1">
            <x v="11"/>
          </reference>
        </references>
      </pivotArea>
    </format>
    <format dxfId="244">
      <pivotArea dataOnly="0" labelOnly="1" outline="0" fieldPosition="0">
        <references count="4">
          <reference field="2" count="1" selected="0">
            <x v="1"/>
          </reference>
          <reference field="3" count="1" selected="0">
            <x v="30"/>
          </reference>
          <reference field="4" count="1" selected="0">
            <x v="351"/>
          </reference>
          <reference field="90" count="1">
            <x v="11"/>
          </reference>
        </references>
      </pivotArea>
    </format>
    <format dxfId="243">
      <pivotArea dataOnly="0" labelOnly="1" outline="0" fieldPosition="0">
        <references count="4">
          <reference field="2" count="1" selected="0">
            <x v="1"/>
          </reference>
          <reference field="3" count="1" selected="0">
            <x v="30"/>
          </reference>
          <reference field="4" count="1" selected="0">
            <x v="352"/>
          </reference>
          <reference field="90" count="1">
            <x v="8"/>
          </reference>
        </references>
      </pivotArea>
    </format>
    <format dxfId="242">
      <pivotArea dataOnly="0" labelOnly="1" outline="0" fieldPosition="0">
        <references count="4">
          <reference field="2" count="1" selected="0">
            <x v="1"/>
          </reference>
          <reference field="3" count="1" selected="0">
            <x v="32"/>
          </reference>
          <reference field="4" count="1" selected="0">
            <x v="13"/>
          </reference>
          <reference field="90" count="1">
            <x v="8"/>
          </reference>
        </references>
      </pivotArea>
    </format>
    <format dxfId="241">
      <pivotArea dataOnly="0" labelOnly="1" outline="0" fieldPosition="0">
        <references count="4">
          <reference field="2" count="1" selected="0">
            <x v="1"/>
          </reference>
          <reference field="3" count="1" selected="0">
            <x v="32"/>
          </reference>
          <reference field="4" count="1" selected="0">
            <x v="40"/>
          </reference>
          <reference field="90" count="1">
            <x v="4"/>
          </reference>
        </references>
      </pivotArea>
    </format>
    <format dxfId="240">
      <pivotArea dataOnly="0" labelOnly="1" outline="0" fieldPosition="0">
        <references count="4">
          <reference field="2" count="1" selected="0">
            <x v="1"/>
          </reference>
          <reference field="3" count="1" selected="0">
            <x v="32"/>
          </reference>
          <reference field="4" count="1" selected="0">
            <x v="43"/>
          </reference>
          <reference field="90" count="1">
            <x v="8"/>
          </reference>
        </references>
      </pivotArea>
    </format>
    <format dxfId="239">
      <pivotArea dataOnly="0" labelOnly="1" outline="0" fieldPosition="0">
        <references count="4">
          <reference field="2" count="1" selected="0">
            <x v="1"/>
          </reference>
          <reference field="3" count="1" selected="0">
            <x v="32"/>
          </reference>
          <reference field="4" count="1" selected="0">
            <x v="71"/>
          </reference>
          <reference field="90" count="1">
            <x v="8"/>
          </reference>
        </references>
      </pivotArea>
    </format>
    <format dxfId="238">
      <pivotArea dataOnly="0" labelOnly="1" outline="0" fieldPosition="0">
        <references count="4">
          <reference field="2" count="1" selected="0">
            <x v="1"/>
          </reference>
          <reference field="3" count="1" selected="0">
            <x v="32"/>
          </reference>
          <reference field="4" count="1" selected="0">
            <x v="189"/>
          </reference>
          <reference field="90" count="1">
            <x v="8"/>
          </reference>
        </references>
      </pivotArea>
    </format>
    <format dxfId="237">
      <pivotArea dataOnly="0" labelOnly="1" outline="0" fieldPosition="0">
        <references count="4">
          <reference field="2" count="1" selected="0">
            <x v="1"/>
          </reference>
          <reference field="3" count="1" selected="0">
            <x v="32"/>
          </reference>
          <reference field="4" count="1" selected="0">
            <x v="383"/>
          </reference>
          <reference field="90" count="1">
            <x v="8"/>
          </reference>
        </references>
      </pivotArea>
    </format>
    <format dxfId="236">
      <pivotArea dataOnly="0" labelOnly="1" outline="0" fieldPosition="0">
        <references count="4">
          <reference field="2" count="1" selected="0">
            <x v="1"/>
          </reference>
          <reference field="3" count="1" selected="0">
            <x v="32"/>
          </reference>
          <reference field="4" count="1" selected="0">
            <x v="512"/>
          </reference>
          <reference field="90" count="1">
            <x v="8"/>
          </reference>
        </references>
      </pivotArea>
    </format>
    <format dxfId="235">
      <pivotArea dataOnly="0" labelOnly="1" outline="0" fieldPosition="0">
        <references count="4">
          <reference field="2" count="1" selected="0">
            <x v="2"/>
          </reference>
          <reference field="3" count="1" selected="0">
            <x v="6"/>
          </reference>
          <reference field="4" count="1" selected="0">
            <x v="248"/>
          </reference>
          <reference field="90" count="1">
            <x v="3"/>
          </reference>
        </references>
      </pivotArea>
    </format>
    <format dxfId="234">
      <pivotArea dataOnly="0" labelOnly="1" outline="0" fieldPosition="0">
        <references count="4">
          <reference field="2" count="1" selected="0">
            <x v="2"/>
          </reference>
          <reference field="3" count="1" selected="0">
            <x v="7"/>
          </reference>
          <reference field="4" count="1" selected="0">
            <x v="372"/>
          </reference>
          <reference field="90" count="1">
            <x v="3"/>
          </reference>
        </references>
      </pivotArea>
    </format>
    <format dxfId="233">
      <pivotArea dataOnly="0" labelOnly="1" outline="0" fieldPosition="0">
        <references count="4">
          <reference field="2" count="1" selected="0">
            <x v="2"/>
          </reference>
          <reference field="3" count="1" selected="0">
            <x v="13"/>
          </reference>
          <reference field="4" count="1" selected="0">
            <x v="250"/>
          </reference>
          <reference field="90" count="1">
            <x v="3"/>
          </reference>
        </references>
      </pivotArea>
    </format>
    <format dxfId="232">
      <pivotArea dataOnly="0" labelOnly="1" outline="0" fieldPosition="0">
        <references count="4">
          <reference field="2" count="1" selected="0">
            <x v="2"/>
          </reference>
          <reference field="3" count="1" selected="0">
            <x v="20"/>
          </reference>
          <reference field="4" count="1" selected="0">
            <x v="111"/>
          </reference>
          <reference field="90" count="1">
            <x v="3"/>
          </reference>
        </references>
      </pivotArea>
    </format>
    <format dxfId="231">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name="K_L_CG_C"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7" rowHeaderCaption="State" colHeaderCaption=" ">
  <location ref="B189:D202"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13">
    <i>
      <x v="1"/>
    </i>
    <i>
      <x v="3"/>
    </i>
    <i>
      <x v="4"/>
    </i>
    <i>
      <x v="12"/>
    </i>
    <i>
      <x v="16"/>
    </i>
    <i>
      <x v="17"/>
    </i>
    <i>
      <x v="18"/>
    </i>
    <i>
      <x v="22"/>
    </i>
    <i>
      <x v="29"/>
    </i>
    <i>
      <x v="32"/>
    </i>
    <i>
      <x v="34"/>
    </i>
    <i>
      <x v="35"/>
    </i>
    <i>
      <x v="36"/>
    </i>
  </rowItems>
  <colFields count="1">
    <field x="-2"/>
  </colFields>
  <colItems count="2">
    <i>
      <x/>
    </i>
    <i i="1">
      <x v="1"/>
    </i>
  </colItems>
  <pageFields count="4">
    <pageField fld="0" hier="-1"/>
    <pageField fld="95" item="0" hier="-1"/>
    <pageField fld="88" hier="-1"/>
    <pageField fld="2" item="0" hier="-1"/>
  </pageFields>
  <dataFields count="2">
    <dataField name="% Latrine Coverage" fld="65" subtotal="average" baseField="3" baseItem="1"/>
    <dataField name="% Latrine GAP" fld="67" subtotal="average" baseField="3" baseItem="1"/>
  </dataFields>
  <formats count="11">
    <format dxfId="364">
      <pivotArea type="all" dataOnly="0" outline="0" fieldPosition="0"/>
    </format>
    <format dxfId="363">
      <pivotArea outline="0" collapsedLevelsAreSubtotals="1" fieldPosition="0"/>
    </format>
    <format dxfId="362">
      <pivotArea field="2" type="button" dataOnly="0" labelOnly="1" outline="0" axis="axisPage" fieldPosition="3"/>
    </format>
    <format dxfId="361">
      <pivotArea type="all" dataOnly="0" outline="0" fieldPosition="0"/>
    </format>
    <format dxfId="360">
      <pivotArea outline="0" collapsedLevelsAreSubtotals="1" fieldPosition="0"/>
    </format>
    <format dxfId="359">
      <pivotArea outline="0" collapsedLevelsAreSubtotals="1" fieldPosition="0"/>
    </format>
    <format dxfId="358">
      <pivotArea field="3" type="button" dataOnly="0" labelOnly="1" outline="0" axis="axisRow" fieldPosition="0"/>
    </format>
    <format dxfId="357">
      <pivotArea field="3" type="button" dataOnly="0" labelOnly="1" outline="0" axis="axisRow" fieldPosition="0"/>
    </format>
    <format dxfId="356">
      <pivotArea field="3" type="button" dataOnly="0" labelOnly="1" outline="0" axis="axisRow" fieldPosition="0"/>
    </format>
    <format dxfId="355">
      <pivotArea field="2" type="button" dataOnly="0" labelOnly="1" outline="0" axis="axisPage" fieldPosition="3"/>
    </format>
    <format dxfId="354">
      <pivotArea dataOnly="0" labelOnly="1" outline="0" fieldPosition="0">
        <references count="2">
          <reference field="2" count="1">
            <x v="0"/>
          </reference>
          <reference field="95" count="1" selected="0">
            <x v="0"/>
          </reference>
        </references>
      </pivotArea>
    </format>
  </formats>
  <chartFormats count="2">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R_S_CG_V"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6" rowHeaderCaption="State" colHeaderCaption=" ">
  <location ref="J212:L219"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1"/>
        <item h="1" x="0"/>
        <item h="1" x="2"/>
        <item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2"/>
    </i>
    <i>
      <x v="9"/>
    </i>
    <i>
      <x v="14"/>
    </i>
    <i>
      <x v="21"/>
    </i>
    <i>
      <x v="27"/>
    </i>
    <i>
      <x v="31"/>
    </i>
    <i>
      <x v="33"/>
    </i>
  </rowItems>
  <colFields count="1">
    <field x="-2"/>
  </colFields>
  <colItems count="2">
    <i>
      <x/>
    </i>
    <i i="1">
      <x v="1"/>
    </i>
  </colItems>
  <pageFields count="4">
    <pageField fld="0" hier="-1"/>
    <pageField fld="95" item="0" hier="-1"/>
    <pageField fld="88" hier="-1"/>
    <pageField fld="2" item="1" hier="-1"/>
  </pageFields>
  <dataFields count="2">
    <dataField name="% Latrine Coverage" fld="65" subtotal="average" baseField="3" baseItem="1"/>
    <dataField name="% Latrine GAP" fld="67" subtotal="average" baseField="3" baseItem="1"/>
  </dataFields>
  <formats count="12">
    <format dxfId="376">
      <pivotArea field="2" type="button" dataOnly="0" labelOnly="1" outline="0" axis="axisPage" fieldPosition="3"/>
    </format>
    <format dxfId="375">
      <pivotArea type="all" dataOnly="0" outline="0" fieldPosition="0"/>
    </format>
    <format dxfId="374">
      <pivotArea outline="0" collapsedLevelsAreSubtotals="1" fieldPosition="0"/>
    </format>
    <format dxfId="373">
      <pivotArea field="2" type="button" dataOnly="0" labelOnly="1" outline="0" axis="axisPage" fieldPosition="3"/>
    </format>
    <format dxfId="372">
      <pivotArea type="all" dataOnly="0" outline="0" fieldPosition="0"/>
    </format>
    <format dxfId="371">
      <pivotArea outline="0" collapsedLevelsAreSubtotals="1" fieldPosition="0"/>
    </format>
    <format dxfId="370">
      <pivotArea outline="0" collapsedLevelsAreSubtotals="1" fieldPosition="0"/>
    </format>
    <format dxfId="369">
      <pivotArea field="3" type="button" dataOnly="0" labelOnly="1" outline="0" axis="axisRow" fieldPosition="0"/>
    </format>
    <format dxfId="368">
      <pivotArea field="3" type="button" dataOnly="0" labelOnly="1" outline="0" axis="axisRow" fieldPosition="0"/>
    </format>
    <format dxfId="367">
      <pivotArea field="3" type="button" dataOnly="0" labelOnly="1" outline="0" axis="axisRow" fieldPosition="0"/>
    </format>
    <format dxfId="366">
      <pivotArea field="2" type="button" dataOnly="0" labelOnly="1" outline="0" axis="axisPage" fieldPosition="3"/>
    </format>
    <format dxfId="365">
      <pivotArea dataOnly="0" labelOnly="1" outline="0" fieldPosition="0">
        <references count="2">
          <reference field="2" count="1">
            <x v="1"/>
          </reference>
          <reference field="95" count="1" selected="0">
            <x v="0"/>
          </reference>
        </references>
      </pivotArea>
    </format>
  </formats>
  <chartFormats count="6">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3" format="0" series="1">
      <pivotArea type="data" outline="0" fieldPosition="0">
        <references count="1">
          <reference field="4294967294" count="1" selected="0">
            <x v="0"/>
          </reference>
        </references>
      </pivotArea>
    </chartFormat>
    <chartFormat chart="43"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K_H_CG_N"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7" rowHeaderCaption="State" colHeaderCaption=" ">
  <location ref="K246:M246"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1"/>
        <item h="1"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colFields count="1">
    <field x="-2"/>
  </colFields>
  <colItems count="2">
    <i>
      <x/>
    </i>
    <i i="1">
      <x v="1"/>
    </i>
  </colItems>
  <pageFields count="4">
    <pageField fld="0" hier="-1"/>
    <pageField fld="95" item="0" hier="-1"/>
    <pageField fld="88" hier="-1"/>
    <pageField fld="2" item="0" hier="-1"/>
  </pageFields>
  <dataFields count="2">
    <dataField name="% Hygiene Coverage" fld="77" subtotal="average" baseField="3" baseItem="1"/>
    <dataField name="% Hygiene Gap" fld="78" subtotal="average" baseField="3" baseItem="1"/>
  </dataFields>
  <formats count="11">
    <format dxfId="387">
      <pivotArea type="all" dataOnly="0" outline="0" fieldPosition="0"/>
    </format>
    <format dxfId="386">
      <pivotArea outline="0" collapsedLevelsAreSubtotals="1" fieldPosition="0"/>
    </format>
    <format dxfId="385">
      <pivotArea field="2" type="button" dataOnly="0" labelOnly="1" outline="0" axis="axisPage" fieldPosition="3"/>
    </format>
    <format dxfId="384">
      <pivotArea type="all" dataOnly="0" outline="0" fieldPosition="0"/>
    </format>
    <format dxfId="383">
      <pivotArea outline="0" collapsedLevelsAreSubtotals="1" fieldPosition="0"/>
    </format>
    <format dxfId="382">
      <pivotArea outline="0" collapsedLevelsAreSubtotals="1" fieldPosition="0"/>
    </format>
    <format dxfId="381">
      <pivotArea field="3" type="button" dataOnly="0" labelOnly="1" outline="0" axis="axisRow" fieldPosition="0"/>
    </format>
    <format dxfId="380">
      <pivotArea field="3" type="button" dataOnly="0" labelOnly="1" outline="0" axis="axisRow" fieldPosition="0"/>
    </format>
    <format dxfId="379">
      <pivotArea field="3" type="button" dataOnly="0" labelOnly="1" outline="0" axis="axisRow" fieldPosition="0"/>
    </format>
    <format dxfId="378">
      <pivotArea field="2" type="button" dataOnly="0" labelOnly="1" outline="0" axis="axisPage" fieldPosition="3"/>
    </format>
    <format dxfId="377">
      <pivotArea dataOnly="0" labelOnly="1" outline="0" fieldPosition="0">
        <references count="2">
          <reference field="2" count="1">
            <x v="0"/>
          </reference>
          <reference field="95" count="1" selected="0">
            <x v="0"/>
          </reference>
        </references>
      </pivotArea>
    </format>
  </formats>
  <chartFormats count="4">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4" format="0" series="1">
      <pivotArea type="data" outline="0" fieldPosition="0">
        <references count="1">
          <reference field="4294967294" count="1" selected="0">
            <x v="0"/>
          </reference>
        </references>
      </pivotArea>
    </chartFormat>
    <chartFormat chart="44"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K_Geo" cacheId="0"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3">
  <location ref="C286:E289" firstHeaderRow="1" firstDataRow="2" firstDataCol="1" rowPageCount="2" colPageCount="1"/>
  <pivotFields count="97">
    <pivotField axis="axisPage" subtotalTop="0" showAll="0">
      <items count="10">
        <item m="1" x="4"/>
        <item m="1" x="5"/>
        <item m="1" x="8"/>
        <item x="2"/>
        <item m="1" x="6"/>
        <item m="1" x="3"/>
        <item m="1" x="7"/>
        <item x="1"/>
        <item x="0"/>
        <item t="default"/>
      </items>
    </pivotField>
    <pivotField subtotalTop="0" showAll="0"/>
    <pivotField axis="axisPage" subtotalTop="0" multipleItemSelectionAllowed="1" showAll="0">
      <items count="5">
        <item x="0"/>
        <item h="1" x="1"/>
        <item h="1" x="2"/>
        <item m="1" x="3"/>
        <item t="default"/>
      </items>
    </pivotField>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Row" subtotalTop="0" showAll="0">
      <items count="7">
        <item m="1" x="5"/>
        <item x="1"/>
        <item x="0"/>
        <item x="2"/>
        <item x="3"/>
        <item x="4"/>
        <item t="default"/>
      </items>
    </pivotField>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ubtotalTop="0" showAll="0"/>
  </pivotFields>
  <rowFields count="1">
    <field x="88"/>
  </rowFields>
  <rowItems count="2">
    <i>
      <x v="1"/>
    </i>
    <i>
      <x v="2"/>
    </i>
  </rowItems>
  <colFields count="1">
    <field x="95"/>
  </colFields>
  <colItems count="2">
    <i>
      <x/>
    </i>
    <i>
      <x v="1"/>
    </i>
  </colItems>
  <pageFields count="2">
    <pageField fld="0" item="8" hier="-1"/>
    <pageField fld="2" hier="-1"/>
  </pageFields>
  <dataFields count="1">
    <dataField name="Count of Site Name" fld="4" subtotal="count" baseField="0" baseItem="0"/>
  </dataFields>
  <formats count="19">
    <format dxfId="406">
      <pivotArea type="all" dataOnly="0" outline="0" fieldPosition="0"/>
    </format>
    <format dxfId="405">
      <pivotArea outline="0" collapsedLevelsAreSubtotals="1" fieldPosition="0"/>
    </format>
    <format dxfId="404">
      <pivotArea field="2" type="button" dataOnly="0" labelOnly="1" outline="0" axis="axisPage" fieldPosition="1"/>
    </format>
    <format dxfId="403">
      <pivotArea dataOnly="0" labelOnly="1" fieldPosition="0">
        <references count="1">
          <reference field="2" count="0"/>
        </references>
      </pivotArea>
    </format>
    <format dxfId="402">
      <pivotArea dataOnly="0" labelOnly="1" grandRow="1" outline="0" fieldPosition="0"/>
    </format>
    <format dxfId="401">
      <pivotArea dataOnly="0" labelOnly="1" outline="0" fieldPosition="0">
        <references count="1">
          <reference field="4294967294" count="1">
            <x v="0"/>
          </reference>
        </references>
      </pivotArea>
    </format>
    <format dxfId="400">
      <pivotArea type="all" dataOnly="0" outline="0" fieldPosition="0"/>
    </format>
    <format dxfId="399">
      <pivotArea outline="0" collapsedLevelsAreSubtotals="1" fieldPosition="0"/>
    </format>
    <format dxfId="398">
      <pivotArea type="origin" dataOnly="0" labelOnly="1" outline="0" fieldPosition="0"/>
    </format>
    <format dxfId="397">
      <pivotArea field="95" type="button" dataOnly="0" labelOnly="1" outline="0" axis="axisCol" fieldPosition="0"/>
    </format>
    <format dxfId="396">
      <pivotArea type="topRight" dataOnly="0" labelOnly="1" outline="0" fieldPosition="0"/>
    </format>
    <format dxfId="395">
      <pivotArea field="88" type="button" dataOnly="0" labelOnly="1" outline="0" axis="axisRow" fieldPosition="0"/>
    </format>
    <format dxfId="394">
      <pivotArea dataOnly="0" labelOnly="1" fieldPosition="0">
        <references count="1">
          <reference field="95" count="0"/>
        </references>
      </pivotArea>
    </format>
    <format dxfId="393">
      <pivotArea type="all" dataOnly="0" outline="0" fieldPosition="0"/>
    </format>
    <format dxfId="392">
      <pivotArea outline="0" collapsedLevelsAreSubtotals="1" fieldPosition="0"/>
    </format>
    <format dxfId="391">
      <pivotArea dataOnly="0" labelOnly="1" fieldPosition="0">
        <references count="1">
          <reference field="88" count="2">
            <x v="1"/>
            <x v="2"/>
          </reference>
        </references>
      </pivotArea>
    </format>
    <format dxfId="390">
      <pivotArea dataOnly="0" labelOnly="1" fieldPosition="0">
        <references count="1">
          <reference field="95" count="0"/>
        </references>
      </pivotArea>
    </format>
    <format dxfId="389">
      <pivotArea field="2" type="button" dataOnly="0" labelOnly="1" outline="0" axis="axisPage" fieldPosition="1"/>
    </format>
    <format dxfId="388">
      <pivotArea dataOnly="0" labelOnly="1" outline="0" fieldPosition="0">
        <references count="2">
          <reference field="0" count="1" selected="0">
            <x v="8"/>
          </reference>
          <reference field="2" count="0"/>
        </references>
      </pivotArea>
    </format>
  </formats>
  <chartFormats count="8">
    <chartFormat chart="7" format="8" series="1">
      <pivotArea type="data" outline="0" fieldPosition="0">
        <references count="2">
          <reference field="4294967294" count="1" selected="0">
            <x v="0"/>
          </reference>
          <reference field="95" count="1" selected="0">
            <x v="0"/>
          </reference>
        </references>
      </pivotArea>
    </chartFormat>
    <chartFormat chart="7" format="9" series="1">
      <pivotArea type="data" outline="0" fieldPosition="0">
        <references count="2">
          <reference field="4294967294" count="1" selected="0">
            <x v="0"/>
          </reference>
          <reference field="95" count="1" selected="0">
            <x v="1"/>
          </reference>
        </references>
      </pivotArea>
    </chartFormat>
    <chartFormat chart="10" format="8" series="1">
      <pivotArea type="data" outline="0" fieldPosition="0">
        <references count="2">
          <reference field="4294967294" count="1" selected="0">
            <x v="0"/>
          </reference>
          <reference field="95" count="1" selected="0">
            <x v="0"/>
          </reference>
        </references>
      </pivotArea>
    </chartFormat>
    <chartFormat chart="10" format="9" series="1">
      <pivotArea type="data" outline="0" fieldPosition="0">
        <references count="2">
          <reference field="4294967294" count="1" selected="0">
            <x v="0"/>
          </reference>
          <reference field="95" count="1" selected="0">
            <x v="1"/>
          </reference>
        </references>
      </pivotArea>
    </chartFormat>
    <chartFormat chart="40" format="8" series="1">
      <pivotArea type="data" outline="0" fieldPosition="0">
        <references count="2">
          <reference field="4294967294" count="1" selected="0">
            <x v="0"/>
          </reference>
          <reference field="95" count="1" selected="0">
            <x v="0"/>
          </reference>
        </references>
      </pivotArea>
    </chartFormat>
    <chartFormat chart="40" format="9" series="1">
      <pivotArea type="data" outline="0" fieldPosition="0">
        <references count="2">
          <reference field="4294967294" count="1" selected="0">
            <x v="0"/>
          </reference>
          <reference field="95" count="1" selected="0">
            <x v="1"/>
          </reference>
        </references>
      </pivotArea>
    </chartFormat>
    <chartFormat chart="42" format="12" series="1">
      <pivotArea type="data" outline="0" fieldPosition="0">
        <references count="2">
          <reference field="4294967294" count="1" selected="0">
            <x v="0"/>
          </reference>
          <reference field="95" count="1" selected="0">
            <x v="0"/>
          </reference>
        </references>
      </pivotArea>
    </chartFormat>
    <chartFormat chart="42" format="13" series="1">
      <pivotArea type="data" outline="0" fieldPosition="0">
        <references count="2">
          <reference field="4294967294" count="1" selected="0">
            <x v="0"/>
          </reference>
          <reference field="95"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name="Hygiene_1" cacheId="0" applyNumberFormats="0" applyBorderFormats="0" applyFontFormats="0" applyPatternFormats="0" applyAlignmentFormats="0" applyWidthHeightFormats="1" dataCaption="Values" updatedVersion="5" minRefreshableVersion="3" itemPrintTitles="1" createdVersion="6" indent="0" outline="1" outlineData="1" multipleFieldFilters="0">
  <location ref="B231:G235" firstHeaderRow="0" firstDataRow="1" firstDataCol="1" rowPageCount="3" colPageCount="1"/>
  <pivotFields count="97">
    <pivotField axis="axisPage" subtotalTop="0" multipleItemSelectionAllowed="1" showAll="0">
      <items count="10">
        <item h="1" m="1" x="4"/>
        <item m="1" x="5"/>
        <item m="1" x="8"/>
        <item h="1" x="2"/>
        <item m="1" x="6"/>
        <item h="1" m="1" x="3"/>
        <item h="1" m="1" x="7"/>
        <item h="1" x="1"/>
        <item x="0"/>
        <item t="default"/>
      </items>
    </pivotField>
    <pivotField subtotalTop="0" showAll="0"/>
    <pivotField axis="axisRow" subtotalTop="0" showAll="0">
      <items count="5">
        <item x="0"/>
        <item x="1"/>
        <item x="2"/>
        <item m="1" x="3"/>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dataField="1" numFmtId="1"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4">
    <i>
      <x/>
    </i>
    <i>
      <x v="1"/>
    </i>
    <i>
      <x v="2"/>
    </i>
    <i t="grand">
      <x/>
    </i>
  </rowItems>
  <colFields count="1">
    <field x="-2"/>
  </colFields>
  <colItems count="5">
    <i>
      <x/>
    </i>
    <i i="1">
      <x v="1"/>
    </i>
    <i i="2">
      <x v="2"/>
    </i>
    <i i="3">
      <x v="3"/>
    </i>
    <i i="4">
      <x v="4"/>
    </i>
  </colItems>
  <pageFields count="3">
    <pageField fld="0" hier="-1"/>
    <pageField fld="95" item="0" hier="-1"/>
    <pageField fld="88" hier="-1"/>
  </pageFields>
  <dataFields count="5">
    <dataField name="Sum of Total HH" fld="5" baseField="2" baseItem="0" numFmtId="3"/>
    <dataField name="Sum of # people reached by regular dedicated hygiene promotion_5" fld="72" baseField="0" baseItem="0"/>
    <dataField name="Sum of #HH with access to Hand Washing Station" fld="85" baseField="2" baseItem="0" numFmtId="3"/>
    <dataField name="Sum of # HH received soaps" fld="41" baseField="2" baseItem="0" numFmtId="3"/>
    <dataField name="Sum of # HH received Sanitary Pads" fld="42" baseField="2" baseItem="0" numFmtId="3"/>
  </dataFields>
  <formats count="17">
    <format dxfId="423">
      <pivotArea type="all" dataOnly="0" outline="0" fieldPosition="0"/>
    </format>
    <format dxfId="422">
      <pivotArea type="all" dataOnly="0" outline="0" fieldPosition="0"/>
    </format>
    <format dxfId="421">
      <pivotArea outline="0" collapsedLevelsAreSubtotals="1" fieldPosition="0"/>
    </format>
    <format dxfId="420">
      <pivotArea field="2" type="button" dataOnly="0" labelOnly="1" outline="0" axis="axisRow" fieldPosition="0"/>
    </format>
    <format dxfId="419">
      <pivotArea dataOnly="0" labelOnly="1" fieldPosition="0">
        <references count="1">
          <reference field="2" count="0"/>
        </references>
      </pivotArea>
    </format>
    <format dxfId="418">
      <pivotArea dataOnly="0" labelOnly="1" grandRow="1" outline="0" fieldPosition="0"/>
    </format>
    <format dxfId="417">
      <pivotArea dataOnly="0" labelOnly="1" outline="0" fieldPosition="0">
        <references count="1">
          <reference field="4294967294" count="2">
            <x v="0"/>
            <x v="2"/>
          </reference>
        </references>
      </pivotArea>
    </format>
    <format dxfId="416">
      <pivotArea outline="0" fieldPosition="0">
        <references count="1">
          <reference field="4294967294" count="1">
            <x v="0"/>
          </reference>
        </references>
      </pivotArea>
    </format>
    <format dxfId="415">
      <pivotArea outline="0" fieldPosition="0">
        <references count="1">
          <reference field="4294967294" count="1">
            <x v="2"/>
          </reference>
        </references>
      </pivotArea>
    </format>
    <format dxfId="414">
      <pivotArea outline="0" fieldPosition="0">
        <references count="1">
          <reference field="4294967294" count="1">
            <x v="3"/>
          </reference>
        </references>
      </pivotArea>
    </format>
    <format dxfId="413">
      <pivotArea outline="0" fieldPosition="0">
        <references count="1">
          <reference field="4294967294" count="1">
            <x v="4"/>
          </reference>
        </references>
      </pivotArea>
    </format>
    <format dxfId="412">
      <pivotArea type="all" dataOnly="0" outline="0" fieldPosition="0"/>
    </format>
    <format dxfId="411">
      <pivotArea outline="0" collapsedLevelsAreSubtotals="1" fieldPosition="0"/>
    </format>
    <format dxfId="410">
      <pivotArea field="2" type="button" dataOnly="0" labelOnly="1" outline="0" axis="axisRow" fieldPosition="0"/>
    </format>
    <format dxfId="409">
      <pivotArea dataOnly="0" labelOnly="1" fieldPosition="0">
        <references count="1">
          <reference field="2" count="0"/>
        </references>
      </pivotArea>
    </format>
    <format dxfId="408">
      <pivotArea dataOnly="0" labelOnly="1" grandRow="1" outline="0" fieldPosition="0"/>
    </format>
    <format dxfId="407">
      <pivotArea dataOnly="0" labelOnly="1" outline="0" fieldPosition="0">
        <references count="1">
          <reference field="4294967294" count="5">
            <x v="0"/>
            <x v="1"/>
            <x v="2"/>
            <x v="3"/>
            <x v="4"/>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name="S_SWM"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rowHeaderCaption="State">
  <location ref="B171:G175" firstHeaderRow="1" firstDataRow="2" firstDataCol="1" rowPageCount="3" colPageCount="1"/>
  <pivotFields count="97">
    <pivotField axis="axisPage" subtotalTop="0" multipleItemSelectionAllowed="1" showAll="0">
      <items count="10">
        <item m="1" x="4"/>
        <item m="1" x="5"/>
        <item m="1" x="8"/>
        <item h="1" x="2"/>
        <item m="1" x="6"/>
        <item h="1" m="1" x="3"/>
        <item h="1" m="1" x="7"/>
        <item h="1" x="1"/>
        <item x="0"/>
        <item t="default"/>
      </items>
    </pivotField>
    <pivotField subtotalTop="0" showAll="0"/>
    <pivotField axis="axisRow" subtotalTop="0" showAll="0">
      <items count="5">
        <item x="0"/>
        <item x="1"/>
        <item x="2"/>
        <item h="1"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axis="axisCol" dataField="1" subtotalTop="0" showAll="0">
      <items count="7">
        <item x="0"/>
        <item x="1"/>
        <item x="3"/>
        <item x="4"/>
        <item m="1" x="5"/>
        <item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numFmtId="9"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x="4"/>
        <item h="1" x="3"/>
        <item h="1" x="2"/>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3">
    <i>
      <x/>
    </i>
    <i>
      <x v="1"/>
    </i>
    <i>
      <x v="2"/>
    </i>
  </rowItems>
  <colFields count="1">
    <field x="31"/>
  </colFields>
  <colItems count="5">
    <i>
      <x/>
    </i>
    <i>
      <x v="1"/>
    </i>
    <i>
      <x v="2"/>
    </i>
    <i>
      <x v="3"/>
    </i>
    <i>
      <x v="5"/>
    </i>
  </colItems>
  <pageFields count="3">
    <pageField fld="0" hier="-1"/>
    <pageField fld="88" hier="-1"/>
    <pageField fld="95" item="0" hier="-1"/>
  </pageFields>
  <dataFields count="1">
    <dataField name="Count of effective solid waste management system" fld="31" subtotal="count" baseField="0" baseItem="0"/>
  </dataFields>
  <formats count="14">
    <format dxfId="437">
      <pivotArea type="all" dataOnly="0" outline="0" fieldPosition="0"/>
    </format>
    <format dxfId="436">
      <pivotArea outline="0" collapsedLevelsAreSubtotals="1" fieldPosition="0"/>
    </format>
    <format dxfId="435">
      <pivotArea type="origin" dataOnly="0" labelOnly="1" outline="0" fieldPosition="0"/>
    </format>
    <format dxfId="434">
      <pivotArea field="31" type="button" dataOnly="0" labelOnly="1" outline="0" axis="axisCol" fieldPosition="0"/>
    </format>
    <format dxfId="433">
      <pivotArea type="topRight" dataOnly="0" labelOnly="1" outline="0" fieldPosition="0"/>
    </format>
    <format dxfId="432">
      <pivotArea field="2" type="button" dataOnly="0" labelOnly="1" outline="0" axis="axisRow" fieldPosition="0"/>
    </format>
    <format dxfId="431">
      <pivotArea dataOnly="0" labelOnly="1" fieldPosition="0">
        <references count="1">
          <reference field="2" count="0"/>
        </references>
      </pivotArea>
    </format>
    <format dxfId="430">
      <pivotArea dataOnly="0" labelOnly="1" grandRow="1" outline="0" fieldPosition="0"/>
    </format>
    <format dxfId="429">
      <pivotArea dataOnly="0" labelOnly="1" fieldPosition="0">
        <references count="1">
          <reference field="31" count="0"/>
        </references>
      </pivotArea>
    </format>
    <format dxfId="428">
      <pivotArea dataOnly="0" labelOnly="1" grandCol="1" outline="0" fieldPosition="0"/>
    </format>
    <format dxfId="427">
      <pivotArea type="all" dataOnly="0" outline="0" fieldPosition="0"/>
    </format>
    <format dxfId="426">
      <pivotArea outline="0" collapsedLevelsAreSubtotals="1" fieldPosition="0"/>
    </format>
    <format dxfId="425">
      <pivotArea dataOnly="0" labelOnly="1" fieldPosition="0">
        <references count="1">
          <reference field="2" count="0"/>
        </references>
      </pivotArea>
    </format>
    <format dxfId="424">
      <pivotArea dataOnly="0" labelOnly="1" fieldPosition="0">
        <references count="1">
          <reference field="31" count="0"/>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name="Latrine_shan" cacheId="0"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19">
  <location ref="S122:T130" firstHeaderRow="1" firstDataRow="2" firstDataCol="1" rowPageCount="3" colPageCount="1"/>
  <pivotFields count="97">
    <pivotField axis="axisPage" subtotalTop="0" multipleItemSelectionAllowed="1" showAll="0">
      <items count="10">
        <item m="1" x="4"/>
        <item m="1" x="5"/>
        <item m="1" x="8"/>
        <item h="1" x="2"/>
        <item m="1" x="6"/>
        <item h="1" m="1" x="3"/>
        <item h="1" m="1" x="7"/>
        <item h="1" x="1"/>
        <item x="0"/>
        <item t="default"/>
      </items>
    </pivotField>
    <pivotField subtotalTop="0" showAll="0"/>
    <pivotField axis="axisPage" subtotalTop="0" multipleItemSelectionAllowed="1" showAll="0">
      <items count="5">
        <item h="1" x="0"/>
        <item h="1"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showAll="0" defaultSubtota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dataField="1" subtotalTop="0" showAll="0"/>
    <pivotField subtotalTop="0" showAll="0"/>
    <pivotField subtotalTop="0" showAll="0"/>
    <pivotField numFmtId="9" subtotalTop="0" showAll="0"/>
    <pivotField dataField="1" numFmtId="1" subtotalTop="0" showAll="0"/>
    <pivotField dataField="1"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subtotalTop="0" showAll="0">
      <items count="7">
        <item m="1" x="5"/>
        <item h="1" x="1"/>
        <item h="1" x="0"/>
        <item h="1" x="2"/>
        <item h="1" x="3"/>
        <item h="1" x="4"/>
        <item t="default"/>
      </items>
    </pivotField>
    <pivotField subtotalTop="0" showAll="0"/>
    <pivotField subtotalTop="0" showAll="0"/>
    <pivotField axis="axisCol" subtotalTop="0" showAll="0">
      <items count="352">
        <item h="1" x="8"/>
        <item h="1" m="1" x="298"/>
        <item h="1" m="1" x="115"/>
        <item h="1" m="1" x="14"/>
        <item h="1" m="1" x="104"/>
        <item h="1" m="1" x="187"/>
        <item h="1" m="1" x="196"/>
        <item h="1" m="1" x="22"/>
        <item h="1" m="1" x="72"/>
        <item h="1" m="1" x="180"/>
        <item h="1" m="1" x="100"/>
        <item h="1" m="1" x="148"/>
        <item h="1" m="1" x="121"/>
        <item h="1" m="1" x="108"/>
        <item h="1" m="1" x="40"/>
        <item h="1" m="1" x="103"/>
        <item h="1" m="1" x="111"/>
        <item h="1" m="1" x="74"/>
        <item h="1" m="1" x="142"/>
        <item h="1" m="1" x="29"/>
        <item h="1" m="1" x="333"/>
        <item h="1" m="1" x="94"/>
        <item h="1" m="1" x="305"/>
        <item h="1" m="1" x="99"/>
        <item h="1" m="1" x="325"/>
        <item h="1" m="1" x="182"/>
        <item h="1" m="1" x="199"/>
        <item h="1" m="1" x="129"/>
        <item h="1" m="1" x="216"/>
        <item h="1" m="1" x="157"/>
        <item h="1" m="1" x="201"/>
        <item h="1" m="1" x="193"/>
        <item h="1" m="1" x="197"/>
        <item h="1" m="1" x="77"/>
        <item h="1" m="1" x="170"/>
        <item h="1" m="1" x="178"/>
        <item h="1" m="1" x="160"/>
        <item h="1" m="1" x="324"/>
        <item h="1" m="1" x="308"/>
        <item h="1" m="1" x="175"/>
        <item h="1" m="1" x="335"/>
        <item h="1" m="1" x="17"/>
        <item h="1" m="1" x="299"/>
        <item h="1" m="1" x="259"/>
        <item h="1" m="1" x="287"/>
        <item h="1" m="1" x="222"/>
        <item h="1" m="1" x="297"/>
        <item h="1" m="1" x="341"/>
        <item h="1" m="1" x="345"/>
        <item h="1" m="1" x="302"/>
        <item h="1" m="1" x="169"/>
        <item h="1" m="1" x="348"/>
        <item h="1" m="1" x="326"/>
        <item h="1" m="1" x="179"/>
        <item h="1" m="1" x="295"/>
        <item h="1" m="1" x="261"/>
        <item h="1" m="1" x="101"/>
        <item h="1" m="1" x="314"/>
        <item h="1" m="1" x="275"/>
        <item h="1" m="1" x="95"/>
        <item h="1" m="1" x="143"/>
        <item h="1" m="1" x="296"/>
        <item h="1" m="1" x="249"/>
        <item h="1" m="1" x="132"/>
        <item h="1" m="1" x="310"/>
        <item h="1" m="1" x="63"/>
        <item h="1" m="1" x="214"/>
        <item h="1" m="1" x="107"/>
        <item h="1" m="1" x="224"/>
        <item h="1" m="1" x="344"/>
        <item h="1" m="1" x="69"/>
        <item h="1" m="1" x="211"/>
        <item h="1" m="1" x="253"/>
        <item h="1" m="1" x="266"/>
        <item h="1" m="1" x="306"/>
        <item h="1" m="1" x="152"/>
        <item h="1" m="1" x="342"/>
        <item h="1" m="1" x="280"/>
        <item h="1" m="1" x="250"/>
        <item h="1" m="1" x="312"/>
        <item h="1" m="1" x="149"/>
        <item h="1" m="1" x="125"/>
        <item h="1" m="1" x="165"/>
        <item h="1" m="1" x="219"/>
        <item h="1" m="1" x="273"/>
        <item h="1" m="1" x="331"/>
        <item h="1" m="1" x="338"/>
        <item h="1" m="1" x="205"/>
        <item h="1" m="1" x="128"/>
        <item h="1" m="1" x="54"/>
        <item h="1" m="1" x="265"/>
        <item h="1" m="1" x="138"/>
        <item h="1" m="1" x="52"/>
        <item h="1" m="1" x="44"/>
        <item h="1" m="1" x="163"/>
        <item h="1" m="1" x="80"/>
        <item h="1" m="1" x="172"/>
        <item h="1" m="1" x="139"/>
        <item h="1" m="1" x="330"/>
        <item h="1" m="1" x="39"/>
        <item h="1" m="1" x="36"/>
        <item h="1" m="1" x="243"/>
        <item h="1" m="1" x="238"/>
        <item h="1" m="1" x="304"/>
        <item h="1" m="1" x="21"/>
        <item h="1" m="1" x="301"/>
        <item h="1" m="1" x="156"/>
        <item h="1" m="1" x="346"/>
        <item h="1" m="1" x="251"/>
        <item h="1" m="1" x="176"/>
        <item h="1" m="1" x="126"/>
        <item h="1" m="1" x="277"/>
        <item h="1" m="1" x="288"/>
        <item h="1" m="1" x="20"/>
        <item h="1" m="1" x="185"/>
        <item h="1" m="1" x="133"/>
        <item h="1" m="1" x="225"/>
        <item h="1" m="1" x="329"/>
        <item h="1" m="1" x="192"/>
        <item h="1" m="1" x="263"/>
        <item h="1" m="1" x="343"/>
        <item h="1" m="1" x="162"/>
        <item h="1" m="1" x="281"/>
        <item h="1" m="1" x="87"/>
        <item h="1" m="1" x="321"/>
        <item h="1" m="1" x="320"/>
        <item h="1" m="1" x="34"/>
        <item h="1" m="1" x="83"/>
        <item h="1" m="1" x="153"/>
        <item h="1" m="1" x="289"/>
        <item h="1" m="1" x="27"/>
        <item h="1" m="1" x="144"/>
        <item h="1" m="1" x="30"/>
        <item h="1" m="1" x="173"/>
        <item h="1" m="1" x="241"/>
        <item h="1" m="1" x="237"/>
        <item h="1" m="1" x="43"/>
        <item h="1" m="1" x="167"/>
        <item h="1" m="1" x="50"/>
        <item h="1" m="1" x="117"/>
        <item h="1" m="1" x="46"/>
        <item h="1" m="1" x="106"/>
        <item h="1" m="1" x="23"/>
        <item h="1" m="1" x="75"/>
        <item h="1" m="1" x="79"/>
        <item h="1" m="1" x="93"/>
        <item h="1" m="1" x="112"/>
        <item h="1" m="1" x="124"/>
        <item h="1" m="1" x="313"/>
        <item h="1" m="1" x="327"/>
        <item h="1" m="1" x="247"/>
        <item h="1" m="1" x="220"/>
        <item h="1" m="1" x="323"/>
        <item h="1" m="1" x="71"/>
        <item h="1" m="1" x="60"/>
        <item h="1" m="1" x="328"/>
        <item h="1" m="1" x="347"/>
        <item h="1" m="1" x="78"/>
        <item h="1" m="1" x="119"/>
        <item h="1" m="1" x="257"/>
        <item h="1" m="1" x="279"/>
        <item h="1" m="1" x="177"/>
        <item h="1" m="1" x="245"/>
        <item h="1" m="1" x="35"/>
        <item h="1" m="1" x="235"/>
        <item h="1" m="1" x="285"/>
        <item h="1" m="1" x="286"/>
        <item h="1" m="1" x="194"/>
        <item h="1" m="1" x="81"/>
        <item h="1" m="1" x="122"/>
        <item h="1" m="1" x="230"/>
        <item h="1" m="1" x="226"/>
        <item h="1" m="1" x="198"/>
        <item h="1" m="1" x="174"/>
        <item h="1" m="1" x="56"/>
        <item h="1" m="1" x="244"/>
        <item h="1" m="1" x="208"/>
        <item h="1" m="1" x="82"/>
        <item h="1" m="1" x="150"/>
        <item h="1" m="1" x="223"/>
        <item h="1" m="1" x="276"/>
        <item h="1" m="1" x="92"/>
        <item h="1" m="1" x="42"/>
        <item h="1" m="1" x="349"/>
        <item h="1" m="1" x="97"/>
        <item h="1" m="1" x="16"/>
        <item h="1" m="1" x="141"/>
        <item h="1" m="1" x="264"/>
        <item h="1" m="1" x="215"/>
        <item h="1" m="1" x="309"/>
        <item h="1" m="1" x="91"/>
        <item h="1" m="1" x="274"/>
        <item h="1" m="1" x="334"/>
        <item h="1" m="1" x="102"/>
        <item h="1" m="1" x="45"/>
        <item h="1" m="1" x="209"/>
        <item h="1" m="1" x="350"/>
        <item h="1" m="1" x="85"/>
        <item h="1" m="1" x="114"/>
        <item h="1" m="1" x="319"/>
        <item h="1" m="1" x="110"/>
        <item h="1" m="1" x="260"/>
        <item h="1" m="1" x="315"/>
        <item h="1" m="1" x="300"/>
        <item h="1" m="1" x="118"/>
        <item h="1" m="1" x="248"/>
        <item h="1" m="1" x="28"/>
        <item h="1" m="1" x="96"/>
        <item h="1" m="1" x="53"/>
        <item h="1" m="1" x="232"/>
        <item h="1" m="1" x="164"/>
        <item h="1" m="1" x="146"/>
        <item h="1" m="1" x="207"/>
        <item h="1" m="1" x="213"/>
        <item h="1" m="1" x="158"/>
        <item h="1" m="1" x="55"/>
        <item h="1" m="1" x="155"/>
        <item h="1" m="1" x="86"/>
        <item h="1" m="1" x="217"/>
        <item h="1" m="1" x="292"/>
        <item h="1" m="1" x="212"/>
        <item h="1" m="1" x="18"/>
        <item h="1" m="1" x="227"/>
        <item h="1" m="1" x="188"/>
        <item h="1" m="1" x="202"/>
        <item h="1" m="1" x="258"/>
        <item h="1" m="1" x="181"/>
        <item h="1" m="1" x="90"/>
        <item h="1" m="1" x="171"/>
        <item h="1" m="1" x="278"/>
        <item h="1" m="1" x="317"/>
        <item h="1" m="1" x="131"/>
        <item h="1" m="1" x="33"/>
        <item h="1" m="1" x="31"/>
        <item h="1" m="1" x="183"/>
        <item h="1" m="1" x="61"/>
        <item h="1" m="1" x="98"/>
        <item h="1" m="1" x="236"/>
        <item h="1" m="1" x="269"/>
        <item h="1" m="1" x="311"/>
        <item h="1" m="1" x="58"/>
        <item h="1" m="1" x="67"/>
        <item h="1" m="1" x="120"/>
        <item h="1" m="1" x="303"/>
        <item h="1" m="1" x="195"/>
        <item h="1" m="1" x="47"/>
        <item h="1" m="1" x="154"/>
        <item h="1" m="1" x="246"/>
        <item h="1" m="1" x="228"/>
        <item h="1" m="1" x="337"/>
        <item h="1" m="1" x="255"/>
        <item h="1" m="1" x="109"/>
        <item h="1" m="1" x="68"/>
        <item h="1" m="1" x="204"/>
        <item h="1" m="1" x="210"/>
        <item h="1" m="1" x="233"/>
        <item h="1" m="1" x="15"/>
        <item h="1" m="1" x="62"/>
        <item h="1" m="1" x="41"/>
        <item h="1" m="1" x="168"/>
        <item h="1" m="1" x="88"/>
        <item h="1" m="1" x="189"/>
        <item h="1" m="1" x="272"/>
        <item h="1" m="1" x="307"/>
        <item h="1" m="1" x="51"/>
        <item h="1" m="1" x="24"/>
        <item h="1" m="1" x="13"/>
        <item h="1" m="1" x="140"/>
        <item h="1" m="1" x="290"/>
        <item h="1" m="1" x="267"/>
        <item h="1" m="1" x="283"/>
        <item h="1" m="1" x="191"/>
        <item h="1" m="1" x="49"/>
        <item h="1" m="1" x="322"/>
        <item h="1" m="1" x="254"/>
        <item h="1" m="1" x="64"/>
        <item h="1" m="1" x="206"/>
        <item h="1" m="1" x="262"/>
        <item h="1" m="1" x="76"/>
        <item h="1" m="1" x="37"/>
        <item h="1" m="1" x="38"/>
        <item h="1" m="1" x="151"/>
        <item h="1" m="1" x="332"/>
        <item h="1" m="1" x="66"/>
        <item h="1" m="1" x="166"/>
        <item h="1" m="1" x="340"/>
        <item h="1" m="1" x="159"/>
        <item h="1" m="1" x="89"/>
        <item h="1" m="1" x="116"/>
        <item h="1" m="1" x="229"/>
        <item h="1" m="1" x="32"/>
        <item h="1" m="1" x="113"/>
        <item h="1" m="1" x="336"/>
        <item h="1" m="1" x="123"/>
        <item h="1" m="1" x="291"/>
        <item h="1" m="1" x="270"/>
        <item h="1" m="1" x="294"/>
        <item h="1" m="1" x="137"/>
        <item h="1" m="1" x="161"/>
        <item h="1" m="1" x="136"/>
        <item h="1" m="1" x="134"/>
        <item h="1" m="1" x="65"/>
        <item h="1" m="1" x="252"/>
        <item h="1" m="1" x="268"/>
        <item h="1" m="1" x="256"/>
        <item h="1" m="1" x="293"/>
        <item h="1" m="1" x="239"/>
        <item h="1" m="1" x="184"/>
        <item h="1" m="1" x="234"/>
        <item h="1" m="1" x="147"/>
        <item h="1" m="1" x="19"/>
        <item h="1" m="1" x="25"/>
        <item h="1" m="1" x="70"/>
        <item h="1" m="1" x="271"/>
        <item h="1" m="1" x="242"/>
        <item h="1" m="1" x="73"/>
        <item h="1" m="1" x="316"/>
        <item h="1" m="1" x="318"/>
        <item h="1" m="1" x="200"/>
        <item h="1" m="1" x="282"/>
        <item h="1" m="1" x="59"/>
        <item h="1" m="1" x="339"/>
        <item h="1" m="1" x="127"/>
        <item h="1" m="1" x="284"/>
        <item h="1" m="1" x="218"/>
        <item h="1" m="1" x="240"/>
        <item h="1" m="1" x="84"/>
        <item h="1" m="1" x="186"/>
        <item h="1" m="1" x="130"/>
        <item h="1" m="1" x="203"/>
        <item h="1" m="1" x="105"/>
        <item h="1" m="1" x="190"/>
        <item h="1" m="1" x="57"/>
        <item h="1" m="1" x="26"/>
        <item h="1" m="1" x="145"/>
        <item h="1" m="1" x="135"/>
        <item h="1" m="1" x="221"/>
        <item h="1" m="1" x="231"/>
        <item h="1" m="1" x="48"/>
        <item n="# in GCA (20:1)" x="0"/>
        <item n="# in NGCA (20:1)" x="1"/>
        <item h="1" x="4"/>
        <item h="1" x="3"/>
        <item h="1" x="2"/>
        <item h="1" x="5"/>
        <item h="1" x="6"/>
        <item h="1" x="11"/>
        <item h="1" x="12"/>
        <item h="1" x="7"/>
        <item h="1" x="10"/>
        <item h="1" x="9"/>
        <item t="default"/>
      </items>
    </pivotField>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2"/>
  </rowFields>
  <rowItems count="7">
    <i>
      <x/>
    </i>
    <i i="1">
      <x v="1"/>
    </i>
    <i i="2">
      <x v="2"/>
    </i>
    <i i="3">
      <x v="3"/>
    </i>
    <i i="4">
      <x v="4"/>
    </i>
    <i i="5">
      <x v="5"/>
    </i>
    <i i="6">
      <x v="6"/>
    </i>
  </rowItems>
  <colFields count="1">
    <field x="91"/>
  </colFields>
  <colItems count="1">
    <i>
      <x v="339"/>
    </i>
  </colItems>
  <pageFields count="3">
    <pageField fld="0" hier="-1"/>
    <pageField fld="2" hier="-1"/>
    <pageField fld="95" hier="-1"/>
  </pageFields>
  <dataFields count="7">
    <dataField name="# latrines (target)" fld="69" baseField="0" baseItem="0"/>
    <dataField name="# latrines (gap)" fld="68" baseField="0" baseItem="0"/>
    <dataField name="#latrines dysfunctional" fld="27" baseField="87" baseItem="1"/>
    <dataField name="# latrines desludged." fld="28" baseField="87" baseItem="1"/>
    <dataField name="# handed over" fld="30" baseField="87" baseItem="1"/>
    <dataField name=" Total # of latrine" fld="64" baseField="86" baseItem="1"/>
    <dataField name="Sum of # Existing functional latrines" fld="26" baseField="86" baseItem="1"/>
  </dataFields>
  <formats count="14">
    <format dxfId="451">
      <pivotArea field="2" type="button" dataOnly="0" labelOnly="1" outline="0" axis="axisPage" fieldPosition="1"/>
    </format>
    <format dxfId="450">
      <pivotArea field="88" type="button" dataOnly="0" labelOnly="1" outline="0"/>
    </format>
    <format dxfId="449">
      <pivotArea dataOnly="0" labelOnly="1" outline="0" fieldPosition="0">
        <references count="1">
          <reference field="4294967294" count="4">
            <x v="1"/>
            <x v="2"/>
            <x v="3"/>
            <x v="4"/>
          </reference>
        </references>
      </pivotArea>
    </format>
    <format dxfId="448">
      <pivotArea type="all" dataOnly="0" outline="0" fieldPosition="0"/>
    </format>
    <format dxfId="447">
      <pivotArea outline="0" collapsedLevelsAreSubtotals="1" fieldPosition="0"/>
    </format>
    <format dxfId="446">
      <pivotArea type="origin" dataOnly="0" labelOnly="1" outline="0" fieldPosition="0"/>
    </format>
    <format dxfId="445">
      <pivotArea field="88" type="button" dataOnly="0" labelOnly="1" outline="0"/>
    </format>
    <format dxfId="444">
      <pivotArea type="topRight" dataOnly="0" labelOnly="1" outline="0" fieldPosition="0"/>
    </format>
    <format dxfId="443">
      <pivotArea field="-2" type="button" dataOnly="0" labelOnly="1" outline="0" axis="axisRow" fieldPosition="0"/>
    </format>
    <format dxfId="442">
      <pivotArea dataOnly="0" labelOnly="1" outline="0" fieldPosition="0">
        <references count="1">
          <reference field="4294967294" count="4">
            <x v="1"/>
            <x v="2"/>
            <x v="3"/>
            <x v="4"/>
          </reference>
        </references>
      </pivotArea>
    </format>
    <format dxfId="441">
      <pivotArea type="all" dataOnly="0" outline="0" fieldPosition="0"/>
    </format>
    <format dxfId="440">
      <pivotArea dataOnly="0" labelOnly="1" outline="0" fieldPosition="0">
        <references count="1">
          <reference field="4294967294" count="7">
            <x v="0"/>
            <x v="1"/>
            <x v="2"/>
            <x v="3"/>
            <x v="4"/>
            <x v="5"/>
            <x v="6"/>
          </reference>
        </references>
      </pivotArea>
    </format>
    <format dxfId="439">
      <pivotArea field="2" type="button" dataOnly="0" labelOnly="1" outline="0" axis="axisPage" fieldPosition="1"/>
    </format>
    <format dxfId="438">
      <pivotArea dataOnly="0" labelOnly="1" outline="0" fieldPosition="0">
        <references count="1">
          <reference field="2" count="0"/>
        </references>
      </pivotArea>
    </format>
  </formats>
  <chartFormats count="8">
    <chartFormat chart="5" format="2" series="1">
      <pivotArea type="data" outline="0" fieldPosition="0">
        <references count="1">
          <reference field="4294967294" count="1" selected="0">
            <x v="3"/>
          </reference>
        </references>
      </pivotArea>
    </chartFormat>
    <chartFormat chart="5" format="4" series="1">
      <pivotArea type="data" outline="0" fieldPosition="0">
        <references count="1">
          <reference field="4294967294" count="1" selected="0">
            <x v="4"/>
          </reference>
        </references>
      </pivotArea>
    </chartFormat>
    <chartFormat chart="5" format="5"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2"/>
          </reference>
        </references>
      </pivotArea>
    </chartFormat>
    <chartFormat chart="7" format="0" series="1">
      <pivotArea type="data" outline="0" fieldPosition="0">
        <references count="1">
          <reference field="4294967294" count="1" selected="0">
            <x v="1"/>
          </reference>
        </references>
      </pivotArea>
    </chartFormat>
    <chartFormat chart="7" format="1" series="1">
      <pivotArea type="data" outline="0" fieldPosition="0">
        <references count="1">
          <reference field="4294967294" count="1" selected="0">
            <x v="2"/>
          </reference>
        </references>
      </pivotArea>
    </chartFormat>
    <chartFormat chart="7" format="2" series="1">
      <pivotArea type="data" outline="0" fieldPosition="0">
        <references count="1">
          <reference field="4294967294" count="1" selected="0">
            <x v="3"/>
          </reference>
        </references>
      </pivotArea>
    </chartFormat>
    <chartFormat chart="7" format="4" series="1">
      <pivotArea type="data" outline="0" fieldPosition="0">
        <references count="1">
          <reference field="4294967294" count="1" selected="0">
            <x v="4"/>
          </reference>
        </references>
      </pivotArea>
    </chartFormat>
  </chartFormats>
  <pivotTableStyleInfo name="PivotStyleLight10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name="latrine_kachin" cacheId="0"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3">
  <location ref="C122:E130" firstHeaderRow="1" firstDataRow="2" firstDataCol="1" rowPageCount="3" colPageCount="1"/>
  <pivotFields count="97">
    <pivotField axis="axisPage" subtotalTop="0" showAll="0">
      <items count="10">
        <item m="1" x="4"/>
        <item m="1" x="5"/>
        <item m="1" x="8"/>
        <item x="2"/>
        <item m="1" x="6"/>
        <item m="1" x="3"/>
        <item m="1" x="7"/>
        <item x="1"/>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showAll="0" defaultSubtota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dataField="1" subtotalTop="0" showAll="0"/>
    <pivotField subtotalTop="0" showAll="0"/>
    <pivotField subtotalTop="0" showAll="0"/>
    <pivotField numFmtId="9" subtotalTop="0" showAll="0"/>
    <pivotField dataField="1" numFmtId="1" subtotalTop="0" showAll="0"/>
    <pivotField dataField="1"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subtotalTop="0" showAll="0">
      <items count="7">
        <item m="1" x="5"/>
        <item h="1" x="1"/>
        <item h="1" x="0"/>
        <item h="1" x="2"/>
        <item h="1" x="3"/>
        <item h="1" x="4"/>
        <item t="default"/>
      </items>
    </pivotField>
    <pivotField subtotalTop="0" showAll="0"/>
    <pivotField subtotalTop="0" showAll="0"/>
    <pivotField axis="axisCol" subtotalTop="0" showAll="0">
      <items count="352">
        <item x="8"/>
        <item m="1" x="298"/>
        <item m="1" x="115"/>
        <item m="1" x="14"/>
        <item m="1" x="104"/>
        <item m="1" x="187"/>
        <item m="1" x="196"/>
        <item m="1" x="22"/>
        <item m="1" x="72"/>
        <item m="1" x="180"/>
        <item m="1" x="100"/>
        <item m="1" x="148"/>
        <item m="1" x="121"/>
        <item m="1" x="108"/>
        <item m="1" x="40"/>
        <item m="1" x="103"/>
        <item m="1" x="111"/>
        <item m="1" x="74"/>
        <item m="1" x="142"/>
        <item m="1" x="29"/>
        <item m="1" x="333"/>
        <item m="1" x="94"/>
        <item m="1" x="305"/>
        <item m="1" x="99"/>
        <item m="1" x="325"/>
        <item m="1" x="182"/>
        <item m="1" x="199"/>
        <item m="1" x="129"/>
        <item m="1" x="216"/>
        <item m="1" x="157"/>
        <item m="1" x="201"/>
        <item m="1" x="193"/>
        <item m="1" x="197"/>
        <item m="1" x="77"/>
        <item m="1" x="170"/>
        <item m="1" x="178"/>
        <item m="1" x="160"/>
        <item m="1" x="324"/>
        <item m="1" x="308"/>
        <item m="1" x="175"/>
        <item m="1" x="335"/>
        <item m="1" x="17"/>
        <item m="1" x="299"/>
        <item m="1" x="259"/>
        <item m="1" x="287"/>
        <item m="1" x="222"/>
        <item m="1" x="297"/>
        <item m="1" x="341"/>
        <item m="1" x="345"/>
        <item m="1" x="302"/>
        <item m="1" x="169"/>
        <item m="1" x="348"/>
        <item m="1" x="326"/>
        <item m="1" x="179"/>
        <item m="1" x="295"/>
        <item m="1" x="261"/>
        <item m="1" x="101"/>
        <item m="1" x="314"/>
        <item m="1" x="275"/>
        <item m="1" x="95"/>
        <item m="1" x="143"/>
        <item m="1" x="296"/>
        <item m="1" x="249"/>
        <item m="1" x="132"/>
        <item m="1" x="310"/>
        <item m="1" x="63"/>
        <item m="1" x="214"/>
        <item m="1" x="107"/>
        <item m="1" x="224"/>
        <item m="1" x="344"/>
        <item m="1" x="69"/>
        <item m="1" x="211"/>
        <item m="1" x="253"/>
        <item m="1" x="266"/>
        <item m="1" x="306"/>
        <item m="1" x="152"/>
        <item m="1" x="342"/>
        <item m="1" x="280"/>
        <item m="1" x="250"/>
        <item m="1" x="312"/>
        <item m="1" x="149"/>
        <item m="1" x="125"/>
        <item m="1" x="165"/>
        <item m="1" x="219"/>
        <item m="1" x="273"/>
        <item m="1" x="331"/>
        <item m="1" x="338"/>
        <item m="1" x="205"/>
        <item m="1" x="128"/>
        <item m="1" x="54"/>
        <item m="1" x="265"/>
        <item m="1" x="138"/>
        <item m="1" x="52"/>
        <item m="1" x="44"/>
        <item m="1" x="163"/>
        <item m="1" x="80"/>
        <item m="1" x="172"/>
        <item m="1" x="139"/>
        <item m="1" x="330"/>
        <item m="1" x="39"/>
        <item m="1" x="36"/>
        <item m="1" x="243"/>
        <item m="1" x="238"/>
        <item m="1" x="304"/>
        <item m="1" x="21"/>
        <item m="1" x="301"/>
        <item m="1" x="156"/>
        <item m="1" x="346"/>
        <item m="1" x="251"/>
        <item m="1" x="176"/>
        <item m="1" x="126"/>
        <item m="1" x="277"/>
        <item m="1" x="288"/>
        <item m="1" x="20"/>
        <item m="1" x="185"/>
        <item m="1" x="133"/>
        <item m="1" x="225"/>
        <item m="1" x="329"/>
        <item m="1" x="192"/>
        <item m="1" x="263"/>
        <item m="1" x="343"/>
        <item m="1" x="162"/>
        <item m="1" x="281"/>
        <item m="1" x="87"/>
        <item m="1" x="321"/>
        <item m="1" x="320"/>
        <item m="1" x="34"/>
        <item m="1" x="83"/>
        <item m="1" x="153"/>
        <item m="1" x="289"/>
        <item m="1" x="27"/>
        <item m="1" x="144"/>
        <item m="1" x="30"/>
        <item m="1" x="173"/>
        <item m="1" x="241"/>
        <item m="1" x="237"/>
        <item m="1" x="43"/>
        <item m="1" x="167"/>
        <item m="1" x="50"/>
        <item m="1" x="117"/>
        <item m="1" x="46"/>
        <item m="1" x="106"/>
        <item m="1" x="23"/>
        <item m="1" x="75"/>
        <item m="1" x="79"/>
        <item m="1" x="93"/>
        <item m="1" x="112"/>
        <item m="1" x="124"/>
        <item m="1" x="313"/>
        <item m="1" x="327"/>
        <item m="1" x="247"/>
        <item m="1" x="220"/>
        <item m="1" x="323"/>
        <item m="1" x="71"/>
        <item m="1" x="60"/>
        <item m="1" x="328"/>
        <item m="1" x="347"/>
        <item m="1" x="78"/>
        <item m="1" x="119"/>
        <item m="1" x="257"/>
        <item m="1" x="279"/>
        <item m="1" x="177"/>
        <item m="1" x="245"/>
        <item m="1" x="35"/>
        <item m="1" x="235"/>
        <item m="1" x="285"/>
        <item m="1" x="286"/>
        <item m="1" x="194"/>
        <item m="1" x="81"/>
        <item m="1" x="122"/>
        <item m="1" x="230"/>
        <item m="1" x="226"/>
        <item m="1" x="198"/>
        <item m="1" x="174"/>
        <item m="1" x="56"/>
        <item m="1" x="244"/>
        <item m="1" x="208"/>
        <item m="1" x="82"/>
        <item m="1" x="150"/>
        <item m="1" x="223"/>
        <item m="1" x="276"/>
        <item m="1" x="92"/>
        <item m="1" x="42"/>
        <item m="1" x="349"/>
        <item m="1" x="97"/>
        <item m="1" x="16"/>
        <item m="1" x="141"/>
        <item m="1" x="264"/>
        <item m="1" x="215"/>
        <item m="1" x="309"/>
        <item m="1" x="91"/>
        <item m="1" x="274"/>
        <item m="1" x="334"/>
        <item m="1" x="102"/>
        <item m="1" x="45"/>
        <item m="1" x="209"/>
        <item m="1" x="350"/>
        <item m="1" x="85"/>
        <item m="1" x="114"/>
        <item m="1" x="319"/>
        <item m="1" x="110"/>
        <item m="1" x="260"/>
        <item m="1" x="315"/>
        <item m="1" x="300"/>
        <item m="1" x="118"/>
        <item m="1" x="248"/>
        <item m="1" x="28"/>
        <item m="1" x="96"/>
        <item m="1" x="53"/>
        <item m="1" x="232"/>
        <item m="1" x="164"/>
        <item m="1" x="146"/>
        <item m="1" x="207"/>
        <item m="1" x="213"/>
        <item m="1" x="158"/>
        <item m="1" x="55"/>
        <item m="1" x="155"/>
        <item m="1" x="86"/>
        <item m="1" x="217"/>
        <item m="1" x="292"/>
        <item m="1" x="212"/>
        <item m="1" x="18"/>
        <item m="1" x="227"/>
        <item m="1" x="188"/>
        <item m="1" x="202"/>
        <item m="1" x="258"/>
        <item m="1" x="181"/>
        <item m="1" x="90"/>
        <item m="1" x="171"/>
        <item m="1" x="278"/>
        <item m="1" x="317"/>
        <item m="1" x="131"/>
        <item m="1" x="33"/>
        <item m="1" x="31"/>
        <item m="1" x="183"/>
        <item m="1" x="61"/>
        <item m="1" x="98"/>
        <item m="1" x="236"/>
        <item m="1" x="269"/>
        <item m="1" x="311"/>
        <item m="1" x="58"/>
        <item m="1" x="67"/>
        <item m="1" x="120"/>
        <item m="1" x="303"/>
        <item m="1" x="195"/>
        <item m="1" x="47"/>
        <item m="1" x="154"/>
        <item m="1" x="246"/>
        <item m="1" x="228"/>
        <item m="1" x="337"/>
        <item m="1" x="255"/>
        <item m="1" x="109"/>
        <item m="1" x="68"/>
        <item m="1" x="204"/>
        <item m="1" x="210"/>
        <item m="1" x="233"/>
        <item m="1" x="15"/>
        <item m="1" x="62"/>
        <item m="1" x="41"/>
        <item m="1" x="168"/>
        <item m="1" x="88"/>
        <item m="1" x="189"/>
        <item m="1" x="272"/>
        <item m="1" x="307"/>
        <item m="1" x="51"/>
        <item m="1" x="24"/>
        <item m="1" x="13"/>
        <item m="1" x="140"/>
        <item m="1" x="290"/>
        <item m="1" x="267"/>
        <item m="1" x="283"/>
        <item m="1" x="191"/>
        <item m="1" x="49"/>
        <item m="1" x="322"/>
        <item m="1" x="254"/>
        <item m="1" x="64"/>
        <item m="1" x="206"/>
        <item m="1" x="262"/>
        <item m="1" x="76"/>
        <item m="1" x="37"/>
        <item m="1" x="38"/>
        <item m="1" x="151"/>
        <item m="1" x="332"/>
        <item m="1" x="66"/>
        <item m="1" x="166"/>
        <item m="1" x="340"/>
        <item m="1" x="159"/>
        <item m="1" x="89"/>
        <item m="1" x="116"/>
        <item m="1" x="229"/>
        <item m="1" x="32"/>
        <item m="1" x="113"/>
        <item m="1" x="336"/>
        <item m="1" x="123"/>
        <item m="1" x="291"/>
        <item m="1" x="270"/>
        <item m="1" x="294"/>
        <item m="1" x="137"/>
        <item m="1" x="161"/>
        <item m="1" x="136"/>
        <item m="1" x="134"/>
        <item m="1" x="65"/>
        <item m="1" x="252"/>
        <item m="1" x="268"/>
        <item m="1" x="256"/>
        <item m="1" x="293"/>
        <item m="1" x="239"/>
        <item m="1" x="184"/>
        <item m="1" x="234"/>
        <item m="1" x="147"/>
        <item m="1" x="19"/>
        <item m="1" x="25"/>
        <item m="1" x="70"/>
        <item m="1" x="271"/>
        <item m="1" x="242"/>
        <item m="1" x="73"/>
        <item m="1" x="316"/>
        <item m="1" x="318"/>
        <item m="1" x="200"/>
        <item m="1" x="282"/>
        <item m="1" x="59"/>
        <item m="1" x="339"/>
        <item m="1" x="127"/>
        <item m="1" x="284"/>
        <item m="1" x="218"/>
        <item m="1" x="240"/>
        <item m="1" x="84"/>
        <item m="1" x="186"/>
        <item m="1" x="130"/>
        <item m="1" x="203"/>
        <item m="1" x="105"/>
        <item m="1" x="190"/>
        <item m="1" x="57"/>
        <item m="1" x="26"/>
        <item m="1" x="145"/>
        <item m="1" x="135"/>
        <item m="1" x="221"/>
        <item m="1" x="231"/>
        <item m="1" x="48"/>
        <item n="# in GCA (20:1)" x="0"/>
        <item n="# in NGCA (20:1)" x="1"/>
        <item x="4"/>
        <item x="3"/>
        <item x="2"/>
        <item x="5"/>
        <item x="6"/>
        <item x="11"/>
        <item x="12"/>
        <item x="7"/>
        <item x="10"/>
        <item x="9"/>
        <item t="default"/>
      </items>
    </pivotField>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7">
    <i>
      <x/>
    </i>
    <i i="1">
      <x v="1"/>
    </i>
    <i i="2">
      <x v="2"/>
    </i>
    <i i="3">
      <x v="3"/>
    </i>
    <i i="4">
      <x v="4"/>
    </i>
    <i i="5">
      <x v="5"/>
    </i>
    <i i="6">
      <x v="6"/>
    </i>
  </rowItems>
  <colFields count="1">
    <field x="91"/>
  </colFields>
  <colItems count="2">
    <i>
      <x v="339"/>
    </i>
    <i>
      <x v="340"/>
    </i>
  </colItems>
  <pageFields count="3">
    <pageField fld="0" item="8" hier="-1"/>
    <pageField fld="2" item="0" hier="-1"/>
    <pageField fld="95" item="0" hier="-1"/>
  </pageFields>
  <dataFields count="7">
    <dataField name="# latrines (target)" fld="69" baseField="0" baseItem="0"/>
    <dataField name="# latrines (gap)" fld="68" baseField="0" baseItem="0"/>
    <dataField name="# latrines repairs" fld="27" baseField="86" baseItem="1"/>
    <dataField name="# latrines desludged" fld="28" baseField="87" baseItem="1"/>
    <dataField name="# handed over" fld="30" baseField="87" baseItem="1"/>
    <dataField name="  Total # of latrine" fld="64" baseField="86" baseItem="1"/>
    <dataField name="Sum of # Existing functional latrines" fld="26" baseField="86" baseItem="1"/>
  </dataFields>
  <formats count="20">
    <format dxfId="471">
      <pivotArea field="2" type="button" dataOnly="0" labelOnly="1" outline="0" axis="axisPage" fieldPosition="1"/>
    </format>
    <format dxfId="470">
      <pivotArea field="88" type="button" dataOnly="0" labelOnly="1" outline="0"/>
    </format>
    <format dxfId="469">
      <pivotArea dataOnly="0" labelOnly="1" outline="0" fieldPosition="0">
        <references count="1">
          <reference field="4294967294" count="4">
            <x v="1"/>
            <x v="2"/>
            <x v="3"/>
            <x v="4"/>
          </reference>
        </references>
      </pivotArea>
    </format>
    <format dxfId="468">
      <pivotArea type="all" dataOnly="0" outline="0" fieldPosition="0"/>
    </format>
    <format dxfId="467">
      <pivotArea type="origin" dataOnly="0" labelOnly="1" outline="0" fieldPosition="0"/>
    </format>
    <format dxfId="466">
      <pivotArea field="88" type="button" dataOnly="0" labelOnly="1" outline="0"/>
    </format>
    <format dxfId="465">
      <pivotArea type="topRight" dataOnly="0" labelOnly="1" outline="0" fieldPosition="0"/>
    </format>
    <format dxfId="464">
      <pivotArea field="-2" type="button" dataOnly="0" labelOnly="1" outline="0" axis="axisRow" fieldPosition="0"/>
    </format>
    <format dxfId="463">
      <pivotArea type="all" dataOnly="0" outline="0" fieldPosition="0"/>
    </format>
    <format dxfId="462">
      <pivotArea outline="0" collapsedLevelsAreSubtotals="1" fieldPosition="0"/>
    </format>
    <format dxfId="461">
      <pivotArea type="origin" dataOnly="0" labelOnly="1" outline="0" fieldPosition="0"/>
    </format>
    <format dxfId="460">
      <pivotArea field="88" type="button" dataOnly="0" labelOnly="1" outline="0"/>
    </format>
    <format dxfId="459">
      <pivotArea type="topRight" dataOnly="0" labelOnly="1" outline="0" fieldPosition="0"/>
    </format>
    <format dxfId="458">
      <pivotArea field="-2" type="button" dataOnly="0" labelOnly="1" outline="0" axis="axisRow" fieldPosition="0"/>
    </format>
    <format dxfId="457">
      <pivotArea dataOnly="0" labelOnly="1" outline="0" fieldPosition="0">
        <references count="1">
          <reference field="4294967294" count="4">
            <x v="1"/>
            <x v="2"/>
            <x v="3"/>
            <x v="4"/>
          </reference>
        </references>
      </pivotArea>
    </format>
    <format dxfId="456">
      <pivotArea dataOnly="0" labelOnly="1" outline="0" fieldPosition="0">
        <references count="3">
          <reference field="0" count="1" selected="0">
            <x v="7"/>
          </reference>
          <reference field="2" count="1">
            <x v="0"/>
          </reference>
          <reference field="95" count="1" selected="0">
            <x v="0"/>
          </reference>
        </references>
      </pivotArea>
    </format>
    <format dxfId="455">
      <pivotArea type="all" dataOnly="0" outline="0" fieldPosition="0"/>
    </format>
    <format dxfId="454">
      <pivotArea outline="0" collapsedLevelsAreSubtotals="1" fieldPosition="0"/>
    </format>
    <format dxfId="453">
      <pivotArea dataOnly="0" labelOnly="1" outline="0" fieldPosition="0">
        <references count="1">
          <reference field="4294967294" count="7">
            <x v="0"/>
            <x v="1"/>
            <x v="2"/>
            <x v="3"/>
            <x v="4"/>
            <x v="5"/>
            <x v="6"/>
          </reference>
        </references>
      </pivotArea>
    </format>
    <format dxfId="452">
      <pivotArea dataOnly="0" labelOnly="1" fieldPosition="0">
        <references count="1">
          <reference field="91" count="2">
            <x v="339"/>
            <x v="340"/>
          </reference>
        </references>
      </pivotArea>
    </format>
  </formats>
  <chartFormats count="5">
    <chartFormat chart="5" format="2" series="1">
      <pivotArea type="data" outline="0" fieldPosition="0">
        <references count="1">
          <reference field="4294967294" count="1" selected="0">
            <x v="3"/>
          </reference>
        </references>
      </pivotArea>
    </chartFormat>
    <chartFormat chart="5" format="4" series="1">
      <pivotArea type="data" outline="0" fieldPosition="0">
        <references count="1">
          <reference field="4294967294" count="1" selected="0">
            <x v="4"/>
          </reference>
        </references>
      </pivotArea>
    </chartFormat>
    <chartFormat chart="5" format="5"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2"/>
          </reference>
        </references>
      </pivotArea>
    </chartFormat>
    <chartFormat chart="9" format="11"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name="S_Geo" cacheId="0"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0">
  <location ref="N286:P290" firstHeaderRow="1" firstDataRow="2" firstDataCol="1" rowPageCount="2" colPageCount="1"/>
  <pivotFields count="97">
    <pivotField axis="axisPage" subtotalTop="0" multipleItemSelectionAllowed="1" showAll="0">
      <items count="10">
        <item m="1" x="4"/>
        <item m="1" x="5"/>
        <item m="1" x="8"/>
        <item h="1" x="2"/>
        <item m="1" x="6"/>
        <item m="1" x="3"/>
        <item m="1" x="7"/>
        <item h="1" x="1"/>
        <item x="0"/>
        <item t="default"/>
      </items>
    </pivotField>
    <pivotField subtotalTop="0" showAll="0"/>
    <pivotField axis="axisPage" subtotalTop="0" multipleItemSelectionAllowed="1" showAll="0">
      <items count="5">
        <item h="1" x="0"/>
        <item h="1" x="1"/>
        <item x="2"/>
        <item m="1" x="3"/>
        <item t="default"/>
      </items>
    </pivotField>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Row" subtotalTop="0" showAll="0">
      <items count="7">
        <item m="1" x="5"/>
        <item x="1"/>
        <item x="0"/>
        <item x="2"/>
        <item x="3"/>
        <item x="4"/>
        <item t="default"/>
      </items>
    </pivotField>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m="1" x="2"/>
        <item t="default"/>
      </items>
    </pivotField>
    <pivotField subtotalTop="0" showAll="0"/>
  </pivotFields>
  <rowFields count="1">
    <field x="88"/>
  </rowFields>
  <rowItems count="3">
    <i>
      <x v="1"/>
    </i>
    <i>
      <x v="2"/>
    </i>
    <i>
      <x v="5"/>
    </i>
  </rowItems>
  <colFields count="1">
    <field x="95"/>
  </colFields>
  <colItems count="2">
    <i>
      <x/>
    </i>
    <i>
      <x v="1"/>
    </i>
  </colItems>
  <pageFields count="2">
    <pageField fld="0" hier="-1"/>
    <pageField fld="2" hier="-1"/>
  </pageFields>
  <dataFields count="1">
    <dataField name="Count of Site Name" fld="4" subtotal="count" baseField="0" baseItem="0"/>
  </dataFields>
  <formats count="19">
    <format dxfId="490">
      <pivotArea type="all" dataOnly="0" outline="0" fieldPosition="0"/>
    </format>
    <format dxfId="489">
      <pivotArea outline="0" collapsedLevelsAreSubtotals="1" fieldPosition="0"/>
    </format>
    <format dxfId="488">
      <pivotArea field="2" type="button" dataOnly="0" labelOnly="1" outline="0" axis="axisPage" fieldPosition="1"/>
    </format>
    <format dxfId="487">
      <pivotArea dataOnly="0" labelOnly="1" fieldPosition="0">
        <references count="1">
          <reference field="2" count="0"/>
        </references>
      </pivotArea>
    </format>
    <format dxfId="486">
      <pivotArea dataOnly="0" labelOnly="1" grandRow="1" outline="0" fieldPosition="0"/>
    </format>
    <format dxfId="485">
      <pivotArea dataOnly="0" labelOnly="1" outline="0" fieldPosition="0">
        <references count="1">
          <reference field="4294967294" count="1">
            <x v="0"/>
          </reference>
        </references>
      </pivotArea>
    </format>
    <format dxfId="484">
      <pivotArea type="all" dataOnly="0" outline="0" fieldPosition="0"/>
    </format>
    <format dxfId="483">
      <pivotArea outline="0" collapsedLevelsAreSubtotals="1" fieldPosition="0"/>
    </format>
    <format dxfId="482">
      <pivotArea type="origin" dataOnly="0" labelOnly="1" outline="0" fieldPosition="0"/>
    </format>
    <format dxfId="481">
      <pivotArea field="95" type="button" dataOnly="0" labelOnly="1" outline="0" axis="axisCol" fieldPosition="0"/>
    </format>
    <format dxfId="480">
      <pivotArea type="topRight" dataOnly="0" labelOnly="1" outline="0" fieldPosition="0"/>
    </format>
    <format dxfId="479">
      <pivotArea field="88" type="button" dataOnly="0" labelOnly="1" outline="0" axis="axisRow" fieldPosition="0"/>
    </format>
    <format dxfId="478">
      <pivotArea dataOnly="0" labelOnly="1" fieldPosition="0">
        <references count="1">
          <reference field="95" count="0"/>
        </references>
      </pivotArea>
    </format>
    <format dxfId="477">
      <pivotArea type="all" dataOnly="0" outline="0" fieldPosition="0"/>
    </format>
    <format dxfId="476">
      <pivotArea outline="0" collapsedLevelsAreSubtotals="1" fieldPosition="0"/>
    </format>
    <format dxfId="475">
      <pivotArea dataOnly="0" labelOnly="1" fieldPosition="0">
        <references count="1">
          <reference field="88" count="2">
            <x v="1"/>
            <x v="2"/>
          </reference>
        </references>
      </pivotArea>
    </format>
    <format dxfId="474">
      <pivotArea dataOnly="0" labelOnly="1" fieldPosition="0">
        <references count="1">
          <reference field="95" count="0"/>
        </references>
      </pivotArea>
    </format>
    <format dxfId="473">
      <pivotArea field="2" type="button" dataOnly="0" labelOnly="1" outline="0" axis="axisPage" fieldPosition="1"/>
    </format>
    <format dxfId="472">
      <pivotArea dataOnly="0" labelOnly="1" outline="0" fieldPosition="0">
        <references count="1">
          <reference field="2" count="0"/>
        </references>
      </pivotArea>
    </format>
  </formats>
  <chartFormats count="8">
    <chartFormat chart="1" format="0" series="1">
      <pivotArea type="data" outline="0" fieldPosition="0">
        <references count="2">
          <reference field="4294967294" count="1" selected="0">
            <x v="0"/>
          </reference>
          <reference field="95" count="1" selected="0">
            <x v="0"/>
          </reference>
        </references>
      </pivotArea>
    </chartFormat>
    <chartFormat chart="1" format="1" series="1">
      <pivotArea type="data" outline="0" fieldPosition="0">
        <references count="2">
          <reference field="4294967294" count="1" selected="0">
            <x v="0"/>
          </reference>
          <reference field="95" count="1" selected="0">
            <x v="1"/>
          </reference>
        </references>
      </pivotArea>
    </chartFormat>
    <chartFormat chart="6" format="4" series="1">
      <pivotArea type="data" outline="0" fieldPosition="0">
        <references count="2">
          <reference field="4294967294" count="1" selected="0">
            <x v="0"/>
          </reference>
          <reference field="95" count="1" selected="0">
            <x v="0"/>
          </reference>
        </references>
      </pivotArea>
    </chartFormat>
    <chartFormat chart="6" format="5" series="1">
      <pivotArea type="data" outline="0" fieldPosition="0">
        <references count="2">
          <reference field="4294967294" count="1" selected="0">
            <x v="0"/>
          </reference>
          <reference field="95" count="1" selected="0">
            <x v="1"/>
          </reference>
        </references>
      </pivotArea>
    </chartFormat>
    <chartFormat chart="16" format="8" series="1">
      <pivotArea type="data" outline="0" fieldPosition="0">
        <references count="2">
          <reference field="4294967294" count="1" selected="0">
            <x v="0"/>
          </reference>
          <reference field="95" count="1" selected="0">
            <x v="0"/>
          </reference>
        </references>
      </pivotArea>
    </chartFormat>
    <chartFormat chart="16" format="9" series="1">
      <pivotArea type="data" outline="0" fieldPosition="0">
        <references count="2">
          <reference field="4294967294" count="1" selected="0">
            <x v="0"/>
          </reference>
          <reference field="95" count="1" selected="0">
            <x v="1"/>
          </reference>
        </references>
      </pivotArea>
    </chartFormat>
    <chartFormat chart="19" format="8" series="1">
      <pivotArea type="data" outline="0" fieldPosition="0">
        <references count="2">
          <reference field="4294967294" count="1" selected="0">
            <x v="0"/>
          </reference>
          <reference field="95" count="1" selected="0">
            <x v="0"/>
          </reference>
        </references>
      </pivotArea>
    </chartFormat>
    <chartFormat chart="19" format="9" series="1">
      <pivotArea type="data" outline="0" fieldPosition="0">
        <references count="2">
          <reference field="4294967294" count="1" selected="0">
            <x v="0"/>
          </reference>
          <reference field="95"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name="K_water1"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6">
  <location ref="B40:D42" firstHeaderRow="0" firstDataRow="1" firstDataCol="1" rowPageCount="4" colPageCount="1"/>
  <pivotFields count="97">
    <pivotField axis="axisPage" subtotalTop="0" multipleItemSelectionAllowed="1" showAll="0">
      <items count="10">
        <item h="1" m="1" x="4"/>
        <item m="1" x="5"/>
        <item h="1" x="2"/>
        <item h="1" m="1" x="3"/>
        <item m="1" x="8"/>
        <item m="1" x="6"/>
        <item h="1" m="1" x="7"/>
        <item h="1" x="1"/>
        <item x="0"/>
        <item t="default"/>
      </items>
    </pivotField>
    <pivotField subtotalTop="0" showAll="0"/>
    <pivotField axis="axisPage" subtotalTop="0" multipleItemSelectionAllowed="1" showAll="0">
      <items count="5">
        <item x="0"/>
        <item h="1" x="1"/>
        <item h="1" x="2"/>
        <item h="1"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numFmtId="9" subtotalTop="0" showAll="0"/>
    <pivotField subtotalTop="0" showAll="0"/>
    <pivotField dataField="1"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axis="axisRow" subtotalTop="0" showAll="0">
      <items count="352">
        <item x="8"/>
        <item m="1" x="298"/>
        <item m="1" x="115"/>
        <item m="1" x="14"/>
        <item m="1" x="104"/>
        <item m="1" x="187"/>
        <item m="1" x="196"/>
        <item m="1" x="22"/>
        <item m="1" x="72"/>
        <item m="1" x="180"/>
        <item m="1" x="100"/>
        <item m="1" x="148"/>
        <item m="1" x="121"/>
        <item m="1" x="108"/>
        <item m="1" x="40"/>
        <item m="1" x="103"/>
        <item m="1" x="111"/>
        <item m="1" x="74"/>
        <item m="1" x="142"/>
        <item m="1" x="29"/>
        <item m="1" x="333"/>
        <item m="1" x="94"/>
        <item m="1" x="305"/>
        <item m="1" x="99"/>
        <item m="1" x="325"/>
        <item m="1" x="182"/>
        <item m="1" x="199"/>
        <item m="1" x="129"/>
        <item m="1" x="216"/>
        <item m="1" x="157"/>
        <item m="1" x="201"/>
        <item m="1" x="193"/>
        <item m="1" x="197"/>
        <item m="1" x="77"/>
        <item m="1" x="170"/>
        <item m="1" x="178"/>
        <item m="1" x="160"/>
        <item m="1" x="324"/>
        <item m="1" x="308"/>
        <item m="1" x="175"/>
        <item m="1" x="335"/>
        <item m="1" x="17"/>
        <item m="1" x="299"/>
        <item m="1" x="259"/>
        <item m="1" x="287"/>
        <item m="1" x="222"/>
        <item m="1" x="297"/>
        <item m="1" x="341"/>
        <item m="1" x="345"/>
        <item m="1" x="302"/>
        <item m="1" x="169"/>
        <item m="1" x="348"/>
        <item m="1" x="326"/>
        <item m="1" x="179"/>
        <item m="1" x="295"/>
        <item m="1" x="261"/>
        <item m="1" x="101"/>
        <item m="1" x="314"/>
        <item m="1" x="275"/>
        <item m="1" x="95"/>
        <item m="1" x="143"/>
        <item m="1" x="296"/>
        <item m="1" x="249"/>
        <item m="1" x="132"/>
        <item m="1" x="310"/>
        <item m="1" x="63"/>
        <item m="1" x="214"/>
        <item m="1" x="107"/>
        <item m="1" x="224"/>
        <item m="1" x="344"/>
        <item m="1" x="69"/>
        <item m="1" x="211"/>
        <item m="1" x="253"/>
        <item m="1" x="266"/>
        <item m="1" x="306"/>
        <item m="1" x="152"/>
        <item m="1" x="342"/>
        <item m="1" x="280"/>
        <item m="1" x="250"/>
        <item m="1" x="312"/>
        <item m="1" x="149"/>
        <item m="1" x="125"/>
        <item m="1" x="165"/>
        <item m="1" x="219"/>
        <item m="1" x="273"/>
        <item m="1" x="331"/>
        <item m="1" x="338"/>
        <item m="1" x="205"/>
        <item m="1" x="128"/>
        <item m="1" x="54"/>
        <item m="1" x="265"/>
        <item m="1" x="138"/>
        <item m="1" x="52"/>
        <item m="1" x="44"/>
        <item m="1" x="163"/>
        <item m="1" x="80"/>
        <item m="1" x="172"/>
        <item m="1" x="139"/>
        <item m="1" x="330"/>
        <item m="1" x="39"/>
        <item m="1" x="36"/>
        <item m="1" x="243"/>
        <item m="1" x="238"/>
        <item m="1" x="304"/>
        <item m="1" x="21"/>
        <item m="1" x="301"/>
        <item m="1" x="156"/>
        <item m="1" x="346"/>
        <item m="1" x="251"/>
        <item m="1" x="176"/>
        <item m="1" x="126"/>
        <item m="1" x="277"/>
        <item m="1" x="288"/>
        <item m="1" x="20"/>
        <item m="1" x="185"/>
        <item m="1" x="133"/>
        <item m="1" x="225"/>
        <item m="1" x="329"/>
        <item m="1" x="192"/>
        <item m="1" x="263"/>
        <item m="1" x="343"/>
        <item m="1" x="162"/>
        <item m="1" x="281"/>
        <item m="1" x="87"/>
        <item m="1" x="321"/>
        <item m="1" x="320"/>
        <item m="1" x="34"/>
        <item m="1" x="83"/>
        <item m="1" x="153"/>
        <item m="1" x="289"/>
        <item m="1" x="27"/>
        <item m="1" x="144"/>
        <item m="1" x="30"/>
        <item m="1" x="173"/>
        <item m="1" x="241"/>
        <item m="1" x="237"/>
        <item m="1" x="43"/>
        <item m="1" x="167"/>
        <item m="1" x="50"/>
        <item m="1" x="117"/>
        <item m="1" x="46"/>
        <item m="1" x="106"/>
        <item m="1" x="23"/>
        <item m="1" x="75"/>
        <item m="1" x="79"/>
        <item m="1" x="93"/>
        <item m="1" x="112"/>
        <item m="1" x="124"/>
        <item m="1" x="313"/>
        <item m="1" x="327"/>
        <item m="1" x="247"/>
        <item m="1" x="220"/>
        <item m="1" x="323"/>
        <item m="1" x="71"/>
        <item m="1" x="60"/>
        <item m="1" x="328"/>
        <item m="1" x="347"/>
        <item m="1" x="78"/>
        <item m="1" x="119"/>
        <item m="1" x="257"/>
        <item m="1" x="279"/>
        <item m="1" x="177"/>
        <item m="1" x="245"/>
        <item m="1" x="35"/>
        <item m="1" x="235"/>
        <item m="1" x="285"/>
        <item m="1" x="286"/>
        <item m="1" x="194"/>
        <item m="1" x="81"/>
        <item m="1" x="122"/>
        <item m="1" x="230"/>
        <item m="1" x="226"/>
        <item m="1" x="198"/>
        <item m="1" x="174"/>
        <item m="1" x="56"/>
        <item m="1" x="244"/>
        <item m="1" x="208"/>
        <item m="1" x="82"/>
        <item m="1" x="150"/>
        <item m="1" x="223"/>
        <item m="1" x="276"/>
        <item m="1" x="92"/>
        <item m="1" x="42"/>
        <item m="1" x="349"/>
        <item m="1" x="97"/>
        <item m="1" x="16"/>
        <item m="1" x="141"/>
        <item m="1" x="264"/>
        <item m="1" x="215"/>
        <item m="1" x="309"/>
        <item m="1" x="91"/>
        <item m="1" x="274"/>
        <item m="1" x="334"/>
        <item m="1" x="102"/>
        <item m="1" x="45"/>
        <item m="1" x="209"/>
        <item m="1" x="350"/>
        <item m="1" x="85"/>
        <item m="1" x="114"/>
        <item m="1" x="319"/>
        <item m="1" x="110"/>
        <item m="1" x="260"/>
        <item m="1" x="315"/>
        <item m="1" x="300"/>
        <item m="1" x="118"/>
        <item m="1" x="248"/>
        <item m="1" x="28"/>
        <item m="1" x="96"/>
        <item m="1" x="53"/>
        <item m="1" x="232"/>
        <item m="1" x="164"/>
        <item m="1" x="146"/>
        <item m="1" x="207"/>
        <item m="1" x="213"/>
        <item m="1" x="158"/>
        <item m="1" x="55"/>
        <item m="1" x="155"/>
        <item m="1" x="86"/>
        <item m="1" x="217"/>
        <item m="1" x="292"/>
        <item m="1" x="212"/>
        <item m="1" x="18"/>
        <item m="1" x="227"/>
        <item m="1" x="188"/>
        <item m="1" x="202"/>
        <item m="1" x="258"/>
        <item m="1" x="181"/>
        <item m="1" x="90"/>
        <item m="1" x="171"/>
        <item m="1" x="278"/>
        <item m="1" x="317"/>
        <item m="1" x="131"/>
        <item m="1" x="33"/>
        <item m="1" x="31"/>
        <item m="1" x="183"/>
        <item m="1" x="61"/>
        <item m="1" x="98"/>
        <item m="1" x="236"/>
        <item m="1" x="269"/>
        <item m="1" x="311"/>
        <item m="1" x="58"/>
        <item m="1" x="67"/>
        <item m="1" x="120"/>
        <item m="1" x="303"/>
        <item m="1" x="195"/>
        <item m="1" x="47"/>
        <item m="1" x="154"/>
        <item m="1" x="246"/>
        <item m="1" x="228"/>
        <item m="1" x="337"/>
        <item m="1" x="255"/>
        <item m="1" x="109"/>
        <item m="1" x="68"/>
        <item m="1" x="204"/>
        <item m="1" x="210"/>
        <item m="1" x="233"/>
        <item m="1" x="15"/>
        <item m="1" x="62"/>
        <item m="1" x="41"/>
        <item m="1" x="168"/>
        <item m="1" x="88"/>
        <item m="1" x="189"/>
        <item m="1" x="272"/>
        <item m="1" x="307"/>
        <item m="1" x="51"/>
        <item m="1" x="24"/>
        <item m="1" x="13"/>
        <item m="1" x="140"/>
        <item m="1" x="290"/>
        <item m="1" x="267"/>
        <item m="1" x="283"/>
        <item m="1" x="191"/>
        <item m="1" x="49"/>
        <item m="1" x="322"/>
        <item m="1" x="254"/>
        <item m="1" x="64"/>
        <item m="1" x="206"/>
        <item m="1" x="262"/>
        <item m="1" x="76"/>
        <item m="1" x="37"/>
        <item m="1" x="38"/>
        <item m="1" x="151"/>
        <item m="1" x="332"/>
        <item m="1" x="66"/>
        <item m="1" x="166"/>
        <item m="1" x="340"/>
        <item m="1" x="159"/>
        <item m="1" x="89"/>
        <item m="1" x="116"/>
        <item m="1" x="229"/>
        <item m="1" x="32"/>
        <item m="1" x="113"/>
        <item m="1" x="336"/>
        <item m="1" x="123"/>
        <item m="1" x="291"/>
        <item m="1" x="270"/>
        <item m="1" x="294"/>
        <item m="1" x="137"/>
        <item m="1" x="161"/>
        <item m="1" x="136"/>
        <item m="1" x="134"/>
        <item m="1" x="65"/>
        <item m="1" x="252"/>
        <item m="1" x="268"/>
        <item m="1" x="256"/>
        <item m="1" x="293"/>
        <item m="1" x="239"/>
        <item m="1" x="184"/>
        <item m="1" x="234"/>
        <item m="1" x="147"/>
        <item m="1" x="19"/>
        <item m="1" x="25"/>
        <item m="1" x="70"/>
        <item m="1" x="271"/>
        <item m="1" x="242"/>
        <item m="1" x="73"/>
        <item m="1" x="316"/>
        <item m="1" x="318"/>
        <item m="1" x="200"/>
        <item m="1" x="282"/>
        <item m="1" x="59"/>
        <item m="1" x="339"/>
        <item m="1" x="127"/>
        <item m="1" x="284"/>
        <item m="1" x="218"/>
        <item m="1" x="240"/>
        <item m="1" x="84"/>
        <item m="1" x="186"/>
        <item m="1" x="130"/>
        <item m="1" x="203"/>
        <item m="1" x="105"/>
        <item m="1" x="190"/>
        <item m="1" x="57"/>
        <item m="1" x="26"/>
        <item m="1" x="145"/>
        <item m="1" x="135"/>
        <item m="1" x="221"/>
        <item m="1" x="231"/>
        <item m="1" x="48"/>
        <item n="GCA (500:1)" x="0"/>
        <item n="NGCA (500:1)" x="1"/>
        <item x="4"/>
        <item x="3"/>
        <item x="2"/>
        <item x="5"/>
        <item x="6"/>
        <item x="11"/>
        <item x="12"/>
        <item x="7"/>
        <item x="10"/>
        <item x="9"/>
        <item t="default"/>
      </items>
    </pivotField>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91"/>
  </rowFields>
  <rowItems count="2">
    <i>
      <x v="339"/>
    </i>
    <i>
      <x v="340"/>
    </i>
  </rowItems>
  <colFields count="1">
    <field x="-2"/>
  </colFields>
  <colItems count="2">
    <i>
      <x/>
    </i>
    <i i="1">
      <x v="1"/>
    </i>
  </colItems>
  <pageFields count="4">
    <pageField fld="0" hier="-1"/>
    <pageField fld="88" hier="-1"/>
    <pageField fld="2" hier="-1"/>
    <pageField fld="95" item="0" hier="-1"/>
  </pageFields>
  <dataFields count="2">
    <dataField name="Coverage" fld="59" baseField="80" baseItem="1" numFmtId="1"/>
    <dataField name="Gap" fld="62" baseField="80" baseItem="1" numFmtId="1"/>
  </dataFields>
  <formats count="18">
    <format dxfId="508">
      <pivotArea type="all" dataOnly="0" outline="0" fieldPosition="0"/>
    </format>
    <format dxfId="507">
      <pivotArea outline="0" collapsedLevelsAreSubtotals="1" fieldPosition="0"/>
    </format>
    <format dxfId="506">
      <pivotArea field="91" type="button" dataOnly="0" labelOnly="1" outline="0" axis="axisRow" fieldPosition="0"/>
    </format>
    <format dxfId="505">
      <pivotArea dataOnly="0" labelOnly="1" fieldPosition="0">
        <references count="1">
          <reference field="91" count="0"/>
        </references>
      </pivotArea>
    </format>
    <format dxfId="504">
      <pivotArea type="all" dataOnly="0" outline="0" fieldPosition="0"/>
    </format>
    <format dxfId="503">
      <pivotArea field="91" type="button" dataOnly="0" labelOnly="1" outline="0" axis="axisRow" fieldPosition="0"/>
    </format>
    <format dxfId="502">
      <pivotArea dataOnly="0" labelOnly="1" fieldPosition="0">
        <references count="1">
          <reference field="91" count="0"/>
        </references>
      </pivotArea>
    </format>
    <format dxfId="501">
      <pivotArea field="91" type="button" dataOnly="0" labelOnly="1" outline="0" axis="axisRow" fieldPosition="0"/>
    </format>
    <format dxfId="500">
      <pivotArea dataOnly="0" labelOnly="1" outline="0" fieldPosition="0">
        <references count="1">
          <reference field="4294967294" count="2">
            <x v="0"/>
            <x v="1"/>
          </reference>
        </references>
      </pivotArea>
    </format>
    <format dxfId="499">
      <pivotArea outline="0" fieldPosition="0">
        <references count="1">
          <reference field="4294967294" count="1">
            <x v="0"/>
          </reference>
        </references>
      </pivotArea>
    </format>
    <format dxfId="498">
      <pivotArea outline="0" fieldPosition="0">
        <references count="1">
          <reference field="4294967294" count="1">
            <x v="1"/>
          </reference>
        </references>
      </pivotArea>
    </format>
    <format dxfId="497">
      <pivotArea type="all" dataOnly="0" outline="0" fieldPosition="0"/>
    </format>
    <format dxfId="496">
      <pivotArea outline="0" collapsedLevelsAreSubtotals="1" fieldPosition="0"/>
    </format>
    <format dxfId="495">
      <pivotArea field="91" type="button" dataOnly="0" labelOnly="1" outline="0" axis="axisRow" fieldPosition="0"/>
    </format>
    <format dxfId="494">
      <pivotArea dataOnly="0" labelOnly="1" fieldPosition="0">
        <references count="1">
          <reference field="91" count="2">
            <x v="339"/>
            <x v="340"/>
          </reference>
        </references>
      </pivotArea>
    </format>
    <format dxfId="493">
      <pivotArea dataOnly="0" labelOnly="1" outline="0" fieldPosition="0">
        <references count="1">
          <reference field="4294967294" count="2">
            <x v="0"/>
            <x v="1"/>
          </reference>
        </references>
      </pivotArea>
    </format>
    <format dxfId="492">
      <pivotArea field="2" type="button" dataOnly="0" labelOnly="1" outline="0" axis="axisPage" fieldPosition="2"/>
    </format>
    <format dxfId="491">
      <pivotArea dataOnly="0" labelOnly="1" outline="0" fieldPosition="0">
        <references count="2">
          <reference field="2" count="0"/>
          <reference field="95" count="1" selected="0">
            <x v="0"/>
          </reference>
        </references>
      </pivotArea>
    </format>
  </formats>
  <chartFormats count="6">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16" format="5" series="1">
      <pivotArea type="data" outline="0" fieldPosition="0">
        <references count="1">
          <reference field="4294967294" count="1" selected="0">
            <x v="0"/>
          </reference>
        </references>
      </pivotArea>
    </chartFormat>
    <chartFormat chart="16" format="6" series="1">
      <pivotArea type="data" outline="0" fieldPosition="0">
        <references count="1">
          <reference field="4294967294" count="1" selected="0">
            <x v="1"/>
          </reference>
        </references>
      </pivotArea>
    </chartFormat>
    <chartFormat chart="18" format="9" series="1">
      <pivotArea type="data" outline="0" fieldPosition="0">
        <references count="1">
          <reference field="4294967294" count="1" selected="0">
            <x v="0"/>
          </reference>
        </references>
      </pivotArea>
    </chartFormat>
    <chartFormat chart="18" format="10"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name="R_H_CG_V"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2" rowHeaderCaption="State" colHeaderCaption=" ">
  <location ref="K268:M275"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1"/>
        <item h="1" x="0"/>
        <item h="1" x="2"/>
        <item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2"/>
    </i>
    <i>
      <x v="9"/>
    </i>
    <i>
      <x v="14"/>
    </i>
    <i>
      <x v="21"/>
    </i>
    <i>
      <x v="27"/>
    </i>
    <i>
      <x v="31"/>
    </i>
    <i>
      <x v="33"/>
    </i>
  </rowItems>
  <colFields count="1">
    <field x="-2"/>
  </colFields>
  <colItems count="2">
    <i>
      <x/>
    </i>
    <i i="1">
      <x v="1"/>
    </i>
  </colItems>
  <pageFields count="4">
    <pageField fld="0" hier="-1"/>
    <pageField fld="95" item="0" hier="-1"/>
    <pageField fld="88" hier="-1"/>
    <pageField fld="2" item="1" hier="-1"/>
  </pageFields>
  <dataFields count="2">
    <dataField name="% Hygiene Coverage" fld="77" subtotal="average" baseField="3" baseItem="1"/>
    <dataField name="% Hygiene Gap" fld="78" subtotal="average" baseField="3" baseItem="1"/>
  </dataFields>
  <formats count="12">
    <format dxfId="520">
      <pivotArea type="all" dataOnly="0" outline="0" fieldPosition="0"/>
    </format>
    <format dxfId="519">
      <pivotArea outline="0" collapsedLevelsAreSubtotals="1" fieldPosition="0"/>
    </format>
    <format dxfId="518">
      <pivotArea field="2" type="button" dataOnly="0" labelOnly="1" outline="0" axis="axisPage" fieldPosition="3"/>
    </format>
    <format dxfId="517">
      <pivotArea type="all" dataOnly="0" outline="0" fieldPosition="0"/>
    </format>
    <format dxfId="516">
      <pivotArea outline="0" collapsedLevelsAreSubtotals="1" fieldPosition="0"/>
    </format>
    <format dxfId="515">
      <pivotArea outline="0" collapsedLevelsAreSubtotals="1" fieldPosition="0"/>
    </format>
    <format dxfId="514">
      <pivotArea field="3" type="button" dataOnly="0" labelOnly="1" outline="0" axis="axisRow" fieldPosition="0"/>
    </format>
    <format dxfId="513">
      <pivotArea field="3" type="button" dataOnly="0" labelOnly="1" outline="0" axis="axisRow" fieldPosition="0"/>
    </format>
    <format dxfId="512">
      <pivotArea field="3" type="button" dataOnly="0" labelOnly="1" outline="0" axis="axisRow" fieldPosition="0"/>
    </format>
    <format dxfId="511">
      <pivotArea field="2" type="button" dataOnly="0" labelOnly="1" outline="0" axis="axisPage" fieldPosition="3"/>
    </format>
    <format dxfId="510">
      <pivotArea dataOnly="0" labelOnly="1" outline="0" fieldPosition="0">
        <references count="2">
          <reference field="2" count="1">
            <x v="0"/>
          </reference>
          <reference field="95" count="1" selected="0">
            <x v="0"/>
          </reference>
        </references>
      </pivotArea>
    </format>
    <format dxfId="509">
      <pivotArea dataOnly="0" labelOnly="1" outline="0" fieldPosition="0">
        <references count="2">
          <reference field="2" count="1">
            <x v="1"/>
          </reference>
          <reference field="95" count="1" selected="0">
            <x v="0"/>
          </reference>
        </references>
      </pivotArea>
    </format>
  </formats>
  <chartFormats count="6">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5" format="0" series="1">
      <pivotArea type="data" outline="0" fieldPosition="0">
        <references count="1">
          <reference field="4294967294" count="1" selected="0">
            <x v="0"/>
          </reference>
        </references>
      </pivotArea>
    </chartFormat>
    <chartFormat chart="45" format="1" series="1">
      <pivotArea type="data" outline="0" fieldPosition="0">
        <references count="1">
          <reference field="4294967294" count="1" selected="0">
            <x v="1"/>
          </reference>
        </references>
      </pivotArea>
    </chartFormat>
    <chartFormat chart="49" format="0" series="1">
      <pivotArea type="data" outline="0" fieldPosition="0">
        <references count="1">
          <reference field="4294967294" count="1" selected="0">
            <x v="0"/>
          </reference>
        </references>
      </pivotArea>
    </chartFormat>
    <chartFormat chart="49"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8" rowHeaderCaption="State">
  <location ref="C433:E437" firstHeaderRow="1" firstDataRow="2" firstDataCol="1" rowPageCount="2" colPageCount="1"/>
  <pivotFields count="97">
    <pivotField axis="axisPage" subtotalTop="0" showAll="0">
      <items count="10">
        <item m="1" x="4"/>
        <item m="1" x="5"/>
        <item m="1" x="8"/>
        <item x="2"/>
        <item m="1" x="6"/>
        <item m="1" x="3"/>
        <item m="1" x="7"/>
        <item x="1"/>
        <item x="0"/>
        <item t="default"/>
      </items>
    </pivotField>
    <pivotField subtotalTop="0" showAll="0"/>
    <pivotField axis="axisRow" subtotalTop="0" multipleItemSelectionAllowed="1" showAll="0">
      <items count="5">
        <item x="0"/>
        <item x="1"/>
        <item x="2"/>
        <item h="1"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dataField="1" subtotalTop="0" showAll="0">
      <items count="4">
        <item x="1"/>
        <item x="2"/>
        <item x="0"/>
        <item t="default"/>
      </items>
    </pivotField>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subtotalTop="0" showAll="0">
      <items count="7">
        <item m="1" x="5"/>
        <item h="1" x="1"/>
        <item h="1" x="0"/>
        <item h="1" x="2"/>
        <item h="1"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ubtotalTop="0" showAll="0"/>
  </pivotFields>
  <rowFields count="1">
    <field x="2"/>
  </rowFields>
  <rowItems count="3">
    <i>
      <x/>
    </i>
    <i>
      <x v="1"/>
    </i>
    <i>
      <x v="2"/>
    </i>
  </rowItems>
  <colFields count="1">
    <field x="43"/>
  </colFields>
  <colItems count="2">
    <i>
      <x/>
    </i>
    <i>
      <x v="2"/>
    </i>
  </colItems>
  <pageFields count="2">
    <pageField fld="0" item="8" hier="-1"/>
    <pageField fld="95" hier="-1"/>
  </pageFields>
  <dataFields count="1">
    <dataField name="Count of Is sufficient soap available for TLS?" fld="43" subtotal="count" baseField="0" baseItem="0"/>
  </dataFields>
  <formats count="16">
    <format dxfId="536">
      <pivotArea type="all" dataOnly="0" outline="0" fieldPosition="0"/>
    </format>
    <format dxfId="535">
      <pivotArea outline="0" collapsedLevelsAreSubtotals="1" fieldPosition="0"/>
    </format>
    <format dxfId="534">
      <pivotArea field="2" type="button" dataOnly="0" labelOnly="1" outline="0" axis="axisRow" fieldPosition="0"/>
    </format>
    <format dxfId="533">
      <pivotArea dataOnly="0" labelOnly="1" grandRow="1" outline="0" fieldPosition="0"/>
    </format>
    <format dxfId="532">
      <pivotArea type="all" dataOnly="0" outline="0" fieldPosition="0"/>
    </format>
    <format dxfId="531">
      <pivotArea outline="0" collapsedLevelsAreSubtotals="1" fieldPosition="0"/>
    </format>
    <format dxfId="530">
      <pivotArea type="origin" dataOnly="0" labelOnly="1" outline="0" fieldPosition="0"/>
    </format>
    <format dxfId="529">
      <pivotArea field="95" type="button" dataOnly="0" labelOnly="1" outline="0" axis="axisPage" fieldPosition="1"/>
    </format>
    <format dxfId="528">
      <pivotArea type="topRight" dataOnly="0" labelOnly="1" outline="0" fieldPosition="0"/>
    </format>
    <format dxfId="527">
      <pivotArea field="88" type="button" dataOnly="0" labelOnly="1" outline="0"/>
    </format>
    <format dxfId="526">
      <pivotArea dataOnly="0" labelOnly="1" fieldPosition="0">
        <references count="1">
          <reference field="95" count="0"/>
        </references>
      </pivotArea>
    </format>
    <format dxfId="525">
      <pivotArea type="all" dataOnly="0" outline="0" fieldPosition="0"/>
    </format>
    <format dxfId="524">
      <pivotArea outline="0" collapsedLevelsAreSubtotals="1" fieldPosition="0"/>
    </format>
    <format dxfId="523">
      <pivotArea field="2" type="button" dataOnly="0" labelOnly="1" outline="0" axis="axisRow" fieldPosition="0"/>
    </format>
    <format dxfId="522">
      <pivotArea dataOnly="0" labelOnly="1" fieldPosition="0">
        <references count="1">
          <reference field="2" count="0"/>
        </references>
      </pivotArea>
    </format>
    <format dxfId="521">
      <pivotArea outline="0" collapsedLevelsAreSubtotals="1" fieldPosition="0"/>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W_R_C_G_V"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7" rowHeaderCaption="State" colHeaderCaption=" ">
  <location ref="K102:M109"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1"/>
        <item h="1" x="0"/>
        <item h="1" x="2"/>
        <item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2"/>
    </i>
    <i>
      <x v="9"/>
    </i>
    <i>
      <x v="14"/>
    </i>
    <i>
      <x v="21"/>
    </i>
    <i>
      <x v="27"/>
    </i>
    <i>
      <x v="31"/>
    </i>
    <i>
      <x v="33"/>
    </i>
  </rowItems>
  <colFields count="1">
    <field x="-2"/>
  </colFields>
  <colItems count="2">
    <i>
      <x/>
    </i>
    <i i="1">
      <x v="1"/>
    </i>
  </colItems>
  <pageFields count="4">
    <pageField fld="0" hier="-1"/>
    <pageField fld="95" item="0" hier="-1"/>
    <pageField fld="88" hier="-1"/>
    <pageField fld="2" item="1" hier="-1"/>
  </pageFields>
  <dataFields count="2">
    <dataField name="% WATER Coverage" fld="57" subtotal="average" baseField="3" baseItem="9"/>
    <dataField name="% WATER GAP" fld="60" subtotal="average" baseField="3" baseItem="1"/>
  </dataFields>
  <formats count="17">
    <format dxfId="553">
      <pivotArea field="2" type="button" dataOnly="0" labelOnly="1" outline="0" axis="axisPage" fieldPosition="3"/>
    </format>
    <format dxfId="552">
      <pivotArea type="all" dataOnly="0" outline="0" fieldPosition="0"/>
    </format>
    <format dxfId="551">
      <pivotArea outline="0" collapsedLevelsAreSubtotals="1" fieldPosition="0"/>
    </format>
    <format dxfId="550">
      <pivotArea field="2" type="button" dataOnly="0" labelOnly="1" outline="0" axis="axisPage" fieldPosition="3"/>
    </format>
    <format dxfId="549">
      <pivotArea type="all" dataOnly="0" outline="0" fieldPosition="0"/>
    </format>
    <format dxfId="548">
      <pivotArea outline="0" collapsedLevelsAreSubtotals="1" fieldPosition="0"/>
    </format>
    <format dxfId="547">
      <pivotArea outline="0" collapsedLevelsAreSubtotals="1" fieldPosition="0"/>
    </format>
    <format dxfId="546">
      <pivotArea field="3" type="button" dataOnly="0" labelOnly="1" outline="0" axis="axisRow" fieldPosition="0"/>
    </format>
    <format dxfId="545">
      <pivotArea dataOnly="0" labelOnly="1" outline="0" fieldPosition="0">
        <references count="1">
          <reference field="4294967294" count="1">
            <x v="1"/>
          </reference>
        </references>
      </pivotArea>
    </format>
    <format dxfId="544">
      <pivotArea field="3" type="button" dataOnly="0" labelOnly="1" outline="0" axis="axisRow" fieldPosition="0"/>
    </format>
    <format dxfId="543">
      <pivotArea dataOnly="0" labelOnly="1" outline="0" fieldPosition="0">
        <references count="1">
          <reference field="4294967294" count="1">
            <x v="1"/>
          </reference>
        </references>
      </pivotArea>
    </format>
    <format dxfId="542">
      <pivotArea field="3" type="button" dataOnly="0" labelOnly="1" outline="0" axis="axisRow" fieldPosition="0"/>
    </format>
    <format dxfId="541">
      <pivotArea dataOnly="0" labelOnly="1" outline="0" fieldPosition="0">
        <references count="1">
          <reference field="4294967294" count="1">
            <x v="1"/>
          </reference>
        </references>
      </pivotArea>
    </format>
    <format dxfId="540">
      <pivotArea dataOnly="0" labelOnly="1" outline="0" fieldPosition="0">
        <references count="1">
          <reference field="4294967294" count="1">
            <x v="0"/>
          </reference>
        </references>
      </pivotArea>
    </format>
    <format dxfId="539">
      <pivotArea dataOnly="0" labelOnly="1" outline="0" fieldPosition="0">
        <references count="1">
          <reference field="4294967294" count="1">
            <x v="0"/>
          </reference>
        </references>
      </pivotArea>
    </format>
    <format dxfId="538">
      <pivotArea field="2" type="button" dataOnly="0" labelOnly="1" outline="0" axis="axisPage" fieldPosition="3"/>
    </format>
    <format dxfId="537">
      <pivotArea dataOnly="0" labelOnly="1" outline="0" fieldPosition="0">
        <references count="2">
          <reference field="2" count="1">
            <x v="1"/>
          </reference>
          <reference field="95" count="1" selected="0">
            <x v="0"/>
          </reference>
        </references>
      </pivotArea>
    </format>
  </formats>
  <chartFormats count="5">
    <chartFormat chart="28" format="1" series="1">
      <pivotArea type="data" outline="0" fieldPosition="0">
        <references count="1">
          <reference field="4294967294" count="1" selected="0">
            <x v="1"/>
          </reference>
        </references>
      </pivotArea>
    </chartFormat>
    <chartFormat chart="33" format="1" series="1">
      <pivotArea type="data" outline="0" fieldPosition="0">
        <references count="1">
          <reference field="4294967294" count="1" selected="0">
            <x v="1"/>
          </reference>
        </references>
      </pivotArea>
    </chartFormat>
    <chartFormat chart="33" format="2" series="1">
      <pivotArea type="data" outline="0" fieldPosition="0">
        <references count="1">
          <reference field="4294967294" count="1" selected="0">
            <x v="0"/>
          </reference>
        </references>
      </pivotArea>
    </chartFormat>
    <chartFormat chart="44" format="0" series="1">
      <pivotArea type="data" outline="0" fieldPosition="0">
        <references count="1">
          <reference field="4294967294" count="1" selected="0">
            <x v="0"/>
          </reference>
        </references>
      </pivotArea>
    </chartFormat>
    <chartFormat chart="44" format="1"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R_Traffic" cacheId="0" applyNumberFormats="0" applyBorderFormats="0" applyFontFormats="0" applyPatternFormats="0" applyAlignmentFormats="0" applyWidthHeightFormats="1" dataCaption="Values" updatedVersion="5" minRefreshableVersion="3" itemPrintTitles="1" createdVersion="6" indent="0" outline="1" outlineData="1" multipleFieldFilters="0" rowHeaderCaption="Township">
  <location ref="I10:M16" firstHeaderRow="0" firstDataRow="1" firstDataCol="1" rowPageCount="4" colPageCount="1"/>
  <pivotFields count="97">
    <pivotField axis="axisPage" subtotalTop="0" showAll="0">
      <items count="10">
        <item m="1" x="4"/>
        <item m="1" x="5"/>
        <item x="2"/>
        <item m="1" x="3"/>
        <item m="1" x="8"/>
        <item m="1" x="6"/>
        <item m="1" x="7"/>
        <item x="1"/>
        <item x="0"/>
        <item t="default"/>
      </items>
    </pivotField>
    <pivotField subtotalTop="0" showAll="0"/>
    <pivotField axis="axisPage" subtotalTop="0" showAll="0">
      <items count="5">
        <item x="0"/>
        <item x="1"/>
        <item x="2"/>
        <item m="1" x="3"/>
        <item t="default"/>
      </items>
    </pivotField>
    <pivotField axis="axisRow" subtotalTop="0" showAll="0" sortType="ascending">
      <items count="40">
        <item x="13"/>
        <item x="0"/>
        <item x="14"/>
        <item x="1"/>
        <item x="2"/>
        <item x="25"/>
        <item x="26"/>
        <item x="27"/>
        <item x="15"/>
        <item x="17"/>
        <item m="1" x="35"/>
        <item m="1" x="37"/>
        <item x="3"/>
        <item x="29"/>
        <item x="19"/>
        <item x="20"/>
        <item x="4"/>
        <item x="5"/>
        <item m="1" x="33"/>
        <item x="6"/>
        <item x="21"/>
        <item x="30"/>
        <item x="22"/>
        <item x="7"/>
        <item m="1" x="36"/>
        <item x="31"/>
        <item x="28"/>
        <item x="32"/>
        <item m="1" x="34"/>
        <item x="16"/>
        <item x="23"/>
        <item x="8"/>
        <item m="1" x="38"/>
        <item x="24"/>
        <item x="9"/>
        <item x="18"/>
        <item x="10"/>
        <item x="11"/>
        <item x="12"/>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dataField="1"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3"/>
  </rowFields>
  <rowItems count="6">
    <i>
      <x v="8"/>
    </i>
    <i>
      <x v="9"/>
    </i>
    <i>
      <x v="22"/>
    </i>
    <i>
      <x v="29"/>
    </i>
    <i>
      <x v="35"/>
    </i>
    <i t="grand">
      <x/>
    </i>
  </rowItems>
  <colFields count="1">
    <field x="-2"/>
  </colFields>
  <colItems count="4">
    <i>
      <x/>
    </i>
    <i i="1">
      <x v="1"/>
    </i>
    <i i="2">
      <x v="2"/>
    </i>
    <i i="3">
      <x v="3"/>
    </i>
  </colItems>
  <pageFields count="4">
    <pageField fld="0" item="8" hier="-1"/>
    <pageField fld="95" hier="-1"/>
    <pageField fld="88" hier="-1"/>
    <pageField fld="2" item="1" hier="-1"/>
  </pageFields>
  <dataFields count="4">
    <dataField name="PoP " fld="6" baseField="0" baseItem="0" numFmtId="164"/>
    <dataField name="Water GAP" fld="60" subtotal="average" baseField="3" baseItem="0" numFmtId="9"/>
    <dataField name="Sanitation Gap " fld="67" subtotal="average" baseField="3" baseItem="11" numFmtId="9"/>
    <dataField name="Hygiene Gap" fld="78" subtotal="average" baseField="3" baseItem="14" numFmtId="9"/>
  </dataFields>
  <formats count="38">
    <format dxfId="591">
      <pivotArea type="all" dataOnly="0" outline="0" fieldPosition="0"/>
    </format>
    <format dxfId="590">
      <pivotArea outline="0" collapsedLevelsAreSubtotals="1" fieldPosition="0"/>
    </format>
    <format dxfId="589">
      <pivotArea field="3" type="button" dataOnly="0" labelOnly="1" outline="0" axis="axisRow" fieldPosition="0"/>
    </format>
    <format dxfId="588">
      <pivotArea dataOnly="0" labelOnly="1" outline="0" axis="axisValues" fieldPosition="0"/>
    </format>
    <format dxfId="587">
      <pivotArea dataOnly="0" labelOnly="1" fieldPosition="0">
        <references count="1">
          <reference field="3" count="0"/>
        </references>
      </pivotArea>
    </format>
    <format dxfId="586">
      <pivotArea dataOnly="0" labelOnly="1" grandRow="1" outline="0" fieldPosition="0"/>
    </format>
    <format dxfId="585">
      <pivotArea dataOnly="0" labelOnly="1" outline="0" axis="axisValues" fieldPosition="0"/>
    </format>
    <format dxfId="584">
      <pivotArea type="all" dataOnly="0" outline="0" fieldPosition="0"/>
    </format>
    <format dxfId="583">
      <pivotArea field="3" type="button" dataOnly="0" labelOnly="1" outline="0" axis="axisRow" fieldPosition="0"/>
    </format>
    <format dxfId="582">
      <pivotArea dataOnly="0" labelOnly="1" outline="0" axis="axisValues" fieldPosition="0"/>
    </format>
    <format dxfId="581">
      <pivotArea dataOnly="0" labelOnly="1" fieldPosition="0">
        <references count="1">
          <reference field="3" count="0"/>
        </references>
      </pivotArea>
    </format>
    <format dxfId="580">
      <pivotArea dataOnly="0" labelOnly="1" outline="0" axis="axisValues" fieldPosition="0"/>
    </format>
    <format dxfId="579">
      <pivotArea outline="0" fieldPosition="0">
        <references count="1">
          <reference field="4294967294" count="1">
            <x v="2"/>
          </reference>
        </references>
      </pivotArea>
    </format>
    <format dxfId="578">
      <pivotArea field="3" type="button" dataOnly="0" labelOnly="1" outline="0" axis="axisRow" fieldPosition="0"/>
    </format>
    <format dxfId="577">
      <pivotArea dataOnly="0" labelOnly="1" outline="0" fieldPosition="0">
        <references count="1">
          <reference field="4294967294" count="2">
            <x v="1"/>
            <x v="2"/>
          </reference>
        </references>
      </pivotArea>
    </format>
    <format dxfId="576">
      <pivotArea outline="0" fieldPosition="0">
        <references count="1">
          <reference field="4294967294" count="1">
            <x v="1"/>
          </reference>
        </references>
      </pivotArea>
    </format>
    <format dxfId="575">
      <pivotArea outline="0" fieldPosition="0">
        <references count="1">
          <reference field="4294967294" count="1">
            <x v="1"/>
          </reference>
        </references>
      </pivotArea>
    </format>
    <format dxfId="574">
      <pivotArea outline="0" fieldPosition="0">
        <references count="1">
          <reference field="4294967294" count="1">
            <x v="3"/>
          </reference>
        </references>
      </pivotArea>
    </format>
    <format dxfId="573">
      <pivotArea type="all" dataOnly="0" outline="0" fieldPosition="0"/>
    </format>
    <format dxfId="572">
      <pivotArea field="3" type="button" dataOnly="0" labelOnly="1" outline="0" axis="axisRow" fieldPosition="0"/>
    </format>
    <format dxfId="571">
      <pivotArea dataOnly="0" labelOnly="1" outline="0" fieldPosition="0">
        <references count="1">
          <reference field="4294967294" count="4">
            <x v="0"/>
            <x v="1"/>
            <x v="2"/>
            <x v="3"/>
          </reference>
        </references>
      </pivotArea>
    </format>
    <format dxfId="570">
      <pivotArea type="all" dataOnly="0" outline="0" fieldPosition="0"/>
    </format>
    <format dxfId="569">
      <pivotArea outline="0" collapsedLevelsAreSubtotals="1" fieldPosition="0"/>
    </format>
    <format dxfId="568">
      <pivotArea field="3" type="button" dataOnly="0" labelOnly="1" outline="0" axis="axisRow" fieldPosition="0"/>
    </format>
    <format dxfId="567">
      <pivotArea dataOnly="0" labelOnly="1" fieldPosition="0">
        <references count="1">
          <reference field="3" count="2">
            <x v="29"/>
            <x v="35"/>
          </reference>
        </references>
      </pivotArea>
    </format>
    <format dxfId="566">
      <pivotArea dataOnly="0" labelOnly="1" outline="0" fieldPosition="0">
        <references count="1">
          <reference field="4294967294" count="4">
            <x v="0"/>
            <x v="1"/>
            <x v="2"/>
            <x v="3"/>
          </reference>
        </references>
      </pivotArea>
    </format>
    <format dxfId="565">
      <pivotArea field="3" type="button" dataOnly="0" labelOnly="1" outline="0" axis="axisRow" fieldPosition="0"/>
    </format>
    <format dxfId="564">
      <pivotArea dataOnly="0" labelOnly="1" outline="0" fieldPosition="0">
        <references count="1">
          <reference field="4294967294" count="4">
            <x v="0"/>
            <x v="1"/>
            <x v="2"/>
            <x v="3"/>
          </reference>
        </references>
      </pivotArea>
    </format>
    <format dxfId="563">
      <pivotArea type="all" dataOnly="0" outline="0" fieldPosition="0"/>
    </format>
    <format dxfId="562">
      <pivotArea outline="0" collapsedLevelsAreSubtotals="1" fieldPosition="0"/>
    </format>
    <format dxfId="561">
      <pivotArea field="3" type="button" dataOnly="0" labelOnly="1" outline="0" axis="axisRow" fieldPosition="0"/>
    </format>
    <format dxfId="560">
      <pivotArea dataOnly="0" labelOnly="1" fieldPosition="0">
        <references count="1">
          <reference field="3" count="5">
            <x v="8"/>
            <x v="9"/>
            <x v="22"/>
            <x v="29"/>
            <x v="35"/>
          </reference>
        </references>
      </pivotArea>
    </format>
    <format dxfId="559">
      <pivotArea dataOnly="0" labelOnly="1" grandRow="1" outline="0" fieldPosition="0"/>
    </format>
    <format dxfId="558">
      <pivotArea dataOnly="0" labelOnly="1" outline="0" fieldPosition="0">
        <references count="1">
          <reference field="4294967294" count="4">
            <x v="0"/>
            <x v="1"/>
            <x v="2"/>
            <x v="3"/>
          </reference>
        </references>
      </pivotArea>
    </format>
    <format dxfId="557">
      <pivotArea field="2" type="button" dataOnly="0" labelOnly="1" outline="0" axis="axisPage" fieldPosition="3"/>
    </format>
    <format dxfId="556">
      <pivotArea dataOnly="0" labelOnly="1" outline="0" fieldPosition="0">
        <references count="2">
          <reference field="0" count="1" selected="0">
            <x v="7"/>
          </reference>
          <reference field="2" count="1">
            <x v="1"/>
          </reference>
        </references>
      </pivotArea>
    </format>
    <format dxfId="555">
      <pivotArea outline="0" collapsedLevelsAreSubtotals="1" fieldPosition="0">
        <references count="1">
          <reference field="4294967294" count="1" selected="0">
            <x v="0"/>
          </reference>
        </references>
      </pivotArea>
    </format>
    <format dxfId="554">
      <pivotArea dataOnly="0" labelOnly="1" outline="0" fieldPosition="0">
        <references count="2">
          <reference field="0" count="1" selected="0">
            <x v="8"/>
          </reference>
          <reference field="2" count="1">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x14:conditionalFormats count="1">
          <x14:conditionalFormat priority="6" id="{62FCEF5E-C4F1-43C9-9887-07FC91D69403}">
            <x14:pivotAreas count="1">
              <pivotArea type="data" outline="0" collapsedLevelsAreSubtotals="1" fieldPosition="0">
                <references count="1">
                  <reference field="4294967294" count="3" selected="0">
                    <x v="1"/>
                    <x v="2"/>
                    <x v="3"/>
                  </reference>
                </references>
              </pivotArea>
            </x14:pivotAreas>
          </x14:conditionalFormat>
        </x14:conditionalFormats>
      </x14:pivotTableDefinition>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5" rowHeaderCaption="State" colHeaderCaption=" ">
  <location ref="B64:D68" firstHeaderRow="1" firstDataRow="2" firstDataCol="1" rowPageCount="3"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Row"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axis="axisCol" dataField="1" showAll="0" defaultSubtotal="0">
      <items count="2">
        <item x="1"/>
        <item x="0"/>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3">
    <i>
      <x/>
    </i>
    <i>
      <x v="1"/>
    </i>
    <i>
      <x v="2"/>
    </i>
  </rowItems>
  <colFields count="1">
    <field x="50"/>
  </colFields>
  <colItems count="2">
    <i>
      <x/>
    </i>
    <i>
      <x v="1"/>
    </i>
  </colItems>
  <pageFields count="3">
    <pageField fld="0" hier="-1"/>
    <pageField fld="95" item="0" hier="-1"/>
    <pageField fld="88" hier="-1"/>
  </pageFields>
  <dataFields count="1">
    <dataField name=" " fld="50" subtotal="count" baseField="0" baseItem="0"/>
  </dataFields>
  <formats count="9">
    <format dxfId="600">
      <pivotArea field="2" type="button" dataOnly="0" labelOnly="1" outline="0" axis="axisRow" fieldPosition="0"/>
    </format>
    <format dxfId="599">
      <pivotArea type="all" dataOnly="0" outline="0" fieldPosition="0"/>
    </format>
    <format dxfId="598">
      <pivotArea outline="0" collapsedLevelsAreSubtotals="1" fieldPosition="0"/>
    </format>
    <format dxfId="597">
      <pivotArea field="2" type="button" dataOnly="0" labelOnly="1" outline="0" axis="axisRow" fieldPosition="0"/>
    </format>
    <format dxfId="596">
      <pivotArea dataOnly="0" labelOnly="1" fieldPosition="0">
        <references count="1">
          <reference field="2" count="0"/>
        </references>
      </pivotArea>
    </format>
    <format dxfId="595">
      <pivotArea type="all" dataOnly="0" outline="0" fieldPosition="0"/>
    </format>
    <format dxfId="594">
      <pivotArea outline="0" collapsedLevelsAreSubtotals="1" fieldPosition="0"/>
    </format>
    <format dxfId="593">
      <pivotArea dataOnly="0" labelOnly="1" fieldPosition="0">
        <references count="1">
          <reference field="2" count="0"/>
        </references>
      </pivotArea>
    </format>
    <format dxfId="592">
      <pivotArea dataOnly="0" labelOnly="1" fieldPosition="0">
        <references count="1">
          <reference field="50" count="0"/>
        </references>
      </pivotArea>
    </format>
  </formats>
  <chartFormats count="6">
    <chartFormat chart="1" format="4" series="1">
      <pivotArea type="data" outline="0" fieldPosition="0">
        <references count="1">
          <reference field="50" count="1" selected="0">
            <x v="0"/>
          </reference>
        </references>
      </pivotArea>
    </chartFormat>
    <chartFormat chart="1" format="5" series="1">
      <pivotArea type="data" outline="0" fieldPosition="0">
        <references count="1">
          <reference field="50" count="1" selected="0">
            <x v="1"/>
          </reference>
        </references>
      </pivotArea>
    </chartFormat>
    <chartFormat chart="22" format="0" series="1">
      <pivotArea type="data" outline="0" fieldPosition="0">
        <references count="2">
          <reference field="4294967294" count="1" selected="0">
            <x v="0"/>
          </reference>
          <reference field="50" count="1" selected="0">
            <x v="0"/>
          </reference>
        </references>
      </pivotArea>
    </chartFormat>
    <chartFormat chart="22" format="1" series="1">
      <pivotArea type="data" outline="0" fieldPosition="0">
        <references count="2">
          <reference field="4294967294" count="1" selected="0">
            <x v="0"/>
          </reference>
          <reference field="50" count="1" selected="0">
            <x v="1"/>
          </reference>
        </references>
      </pivotArea>
    </chartFormat>
    <chartFormat chart="24" format="0" series="1">
      <pivotArea type="data" outline="0" fieldPosition="0">
        <references count="2">
          <reference field="4294967294" count="1" selected="0">
            <x v="0"/>
          </reference>
          <reference field="50" count="1" selected="0">
            <x v="0"/>
          </reference>
        </references>
      </pivotArea>
    </chartFormat>
    <chartFormat chart="24" format="1" series="1">
      <pivotArea type="data" outline="0" fieldPosition="0">
        <references count="2">
          <reference field="4294967294" count="1" selected="0">
            <x v="0"/>
          </reference>
          <reference field="50"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name="R_S_CG_C"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2" rowHeaderCaption="State" colHeaderCaption=" ">
  <location ref="B212:D217"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5">
    <i>
      <x v="8"/>
    </i>
    <i>
      <x v="9"/>
    </i>
    <i>
      <x v="21"/>
    </i>
    <i>
      <x v="27"/>
    </i>
    <i>
      <x v="33"/>
    </i>
  </rowItems>
  <colFields count="1">
    <field x="-2"/>
  </colFields>
  <colItems count="2">
    <i>
      <x/>
    </i>
    <i i="1">
      <x v="1"/>
    </i>
  </colItems>
  <pageFields count="4">
    <pageField fld="0" hier="-1"/>
    <pageField fld="95" item="0" hier="-1"/>
    <pageField fld="88" hier="-1"/>
    <pageField fld="2" item="1" hier="-1"/>
  </pageFields>
  <dataFields count="2">
    <dataField name="% Latrine Coverage" fld="65" subtotal="average" baseField="3" baseItem="1"/>
    <dataField name="% Latrine GAP" fld="67" subtotal="average" baseField="3" baseItem="1"/>
  </dataFields>
  <formats count="11">
    <format dxfId="611">
      <pivotArea field="2" type="button" dataOnly="0" labelOnly="1" outline="0" axis="axisPage" fieldPosition="3"/>
    </format>
    <format dxfId="610">
      <pivotArea type="all" dataOnly="0" outline="0" fieldPosition="0"/>
    </format>
    <format dxfId="609">
      <pivotArea outline="0" collapsedLevelsAreSubtotals="1" fieldPosition="0"/>
    </format>
    <format dxfId="608">
      <pivotArea field="2" type="button" dataOnly="0" labelOnly="1" outline="0" axis="axisPage" fieldPosition="3"/>
    </format>
    <format dxfId="607">
      <pivotArea type="all" dataOnly="0" outline="0" fieldPosition="0"/>
    </format>
    <format dxfId="606">
      <pivotArea outline="0" collapsedLevelsAreSubtotals="1" fieldPosition="0"/>
    </format>
    <format dxfId="605">
      <pivotArea outline="0" collapsedLevelsAreSubtotals="1" fieldPosition="0"/>
    </format>
    <format dxfId="604">
      <pivotArea field="3" type="button" dataOnly="0" labelOnly="1" outline="0" axis="axisRow" fieldPosition="0"/>
    </format>
    <format dxfId="603">
      <pivotArea field="3" type="button" dataOnly="0" labelOnly="1" outline="0" axis="axisRow" fieldPosition="0"/>
    </format>
    <format dxfId="602">
      <pivotArea field="3" type="button" dataOnly="0" labelOnly="1" outline="0" axis="axisRow" fieldPosition="0"/>
    </format>
    <format dxfId="601">
      <pivotArea field="2" type="button" dataOnly="0" labelOnly="1" outline="0" axis="axisPage" fieldPosition="3"/>
    </format>
  </formats>
  <chartFormats count="4">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S_drainage"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 rowHeaderCaption="State">
  <location ref="B155:F159" firstHeaderRow="1" firstDataRow="2" firstDataCol="1" rowPageCount="3" colPageCount="1"/>
  <pivotFields count="97">
    <pivotField axis="axisPage" subtotalTop="0" multipleItemSelectionAllowed="1" showAll="0">
      <items count="10">
        <item m="1" x="4"/>
        <item m="1" x="5"/>
        <item m="1" x="8"/>
        <item h="1" x="2"/>
        <item m="1" x="6"/>
        <item h="1" m="1" x="3"/>
        <item h="1" m="1" x="7"/>
        <item h="1" x="1"/>
        <item x="0"/>
        <item t="default"/>
      </items>
    </pivotField>
    <pivotField subtotalTop="0" showAll="0"/>
    <pivotField axis="axisRow" subtotalTop="0" showAll="0">
      <items count="5">
        <item x="0"/>
        <item x="1"/>
        <item x="2"/>
        <item h="1"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axis="axisCol" dataField="1" subtotalTop="0" multipleItemSelectionAllowed="1" showAll="0">
      <items count="8">
        <item x="0"/>
        <item x="1"/>
        <item x="2"/>
        <item x="4"/>
        <item h="1" m="1" x="5"/>
        <item h="1" x="3"/>
        <item h="1" m="1" x="6"/>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numFmtId="9"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x="4"/>
        <item h="1" x="3"/>
        <item h="1" x="2"/>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3">
    <i>
      <x/>
    </i>
    <i>
      <x v="1"/>
    </i>
    <i>
      <x v="2"/>
    </i>
  </rowItems>
  <colFields count="1">
    <field x="32"/>
  </colFields>
  <colItems count="4">
    <i>
      <x/>
    </i>
    <i>
      <x v="1"/>
    </i>
    <i>
      <x v="2"/>
    </i>
    <i>
      <x v="3"/>
    </i>
  </colItems>
  <pageFields count="3">
    <pageField fld="0" hier="-1"/>
    <pageField fld="88" hier="-1"/>
    <pageField fld="95" item="0" hier="-1"/>
  </pageFields>
  <dataFields count="1">
    <dataField name="Count of Does the camp have surface water drainage" fld="32" subtotal="count" baseField="0" baseItem="0"/>
  </dataFields>
  <formats count="12">
    <format dxfId="623">
      <pivotArea type="all" dataOnly="0" outline="0" fieldPosition="0"/>
    </format>
    <format dxfId="622">
      <pivotArea outline="0" collapsedLevelsAreSubtotals="1" fieldPosition="0"/>
    </format>
    <format dxfId="621">
      <pivotArea type="origin" dataOnly="0" labelOnly="1" outline="0" fieldPosition="0"/>
    </format>
    <format dxfId="620">
      <pivotArea field="32" type="button" dataOnly="0" labelOnly="1" outline="0" axis="axisCol" fieldPosition="0"/>
    </format>
    <format dxfId="619">
      <pivotArea type="topRight" dataOnly="0" labelOnly="1" outline="0" fieldPosition="0"/>
    </format>
    <format dxfId="618">
      <pivotArea field="2" type="button" dataOnly="0" labelOnly="1" outline="0" axis="axisRow" fieldPosition="0"/>
    </format>
    <format dxfId="617">
      <pivotArea dataOnly="0" labelOnly="1" fieldPosition="0">
        <references count="1">
          <reference field="2" count="0"/>
        </references>
      </pivotArea>
    </format>
    <format dxfId="616">
      <pivotArea dataOnly="0" labelOnly="1" fieldPosition="0">
        <references count="1">
          <reference field="32" count="0"/>
        </references>
      </pivotArea>
    </format>
    <format dxfId="615">
      <pivotArea type="all" dataOnly="0" outline="0" fieldPosition="0"/>
    </format>
    <format dxfId="614">
      <pivotArea outline="0" collapsedLevelsAreSubtotals="1" fieldPosition="0"/>
    </format>
    <format dxfId="613">
      <pivotArea dataOnly="0" labelOnly="1" fieldPosition="0">
        <references count="1">
          <reference field="2" count="0"/>
        </references>
      </pivotArea>
    </format>
    <format dxfId="612">
      <pivotArea dataOnly="0" labelOnly="1" fieldPosition="0">
        <references count="1">
          <reference field="32" count="0"/>
        </references>
      </pivotArea>
    </format>
  </formats>
  <chartFormats count="4">
    <chartFormat chart="1" format="0" series="1">
      <pivotArea type="data" outline="0" fieldPosition="0">
        <references count="2">
          <reference field="4294967294" count="1" selected="0">
            <x v="0"/>
          </reference>
          <reference field="32" count="1" selected="0">
            <x v="0"/>
          </reference>
        </references>
      </pivotArea>
    </chartFormat>
    <chartFormat chart="1" format="1" series="1">
      <pivotArea type="data" outline="0" fieldPosition="0">
        <references count="2">
          <reference field="4294967294" count="1" selected="0">
            <x v="0"/>
          </reference>
          <reference field="32" count="1" selected="0">
            <x v="1"/>
          </reference>
        </references>
      </pivotArea>
    </chartFormat>
    <chartFormat chart="1" format="2" series="1">
      <pivotArea type="data" outline="0" fieldPosition="0">
        <references count="2">
          <reference field="4294967294" count="1" selected="0">
            <x v="0"/>
          </reference>
          <reference field="32" count="1" selected="0">
            <x v="2"/>
          </reference>
        </references>
      </pivotArea>
    </chartFormat>
    <chartFormat chart="1" format="3" series="1">
      <pivotArea type="data" outline="0" fieldPosition="0">
        <references count="2">
          <reference field="4294967294" count="1" selected="0">
            <x v="0"/>
          </reference>
          <reference field="32" count="1" selected="0">
            <x v="3"/>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name="W_K_C_G_N"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7" rowHeaderCaption="State" colHeaderCaption=" ">
  <location ref="M82:O82" firstHeaderRow="0" firstDataRow="1" firstDataCol="1" rowPageCount="4" colPageCount="1"/>
  <pivotFields count="97">
    <pivotField axis="axisPage" subtotalTop="0" showAll="0">
      <items count="10">
        <item m="1" x="4"/>
        <item m="1" x="5"/>
        <item x="2"/>
        <item m="1" x="3"/>
        <item m="1" x="8"/>
        <item m="1" x="6"/>
        <item m="1" x="7"/>
        <item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1"/>
        <item h="1"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colFields count="1">
    <field x="-2"/>
  </colFields>
  <colItems count="2">
    <i>
      <x/>
    </i>
    <i i="1">
      <x v="1"/>
    </i>
  </colItems>
  <pageFields count="4">
    <pageField fld="0" item="8" hier="-1"/>
    <pageField fld="95" item="0" hier="-1"/>
    <pageField fld="88" hier="-1"/>
    <pageField fld="2" item="0" hier="-1"/>
  </pageFields>
  <dataFields count="2">
    <dataField name="% WATER Coverage" fld="53" subtotal="average" baseField="3" baseItem="1"/>
    <dataField name="% WATER GAP" fld="60" subtotal="average" baseField="3" baseItem="1"/>
  </dataFields>
  <formats count="15">
    <format dxfId="638">
      <pivotArea field="2" type="button" dataOnly="0" labelOnly="1" outline="0" axis="axisPage" fieldPosition="3"/>
    </format>
    <format dxfId="637">
      <pivotArea type="all" dataOnly="0" outline="0" fieldPosition="0"/>
    </format>
    <format dxfId="636">
      <pivotArea outline="0" collapsedLevelsAreSubtotals="1" fieldPosition="0"/>
    </format>
    <format dxfId="635">
      <pivotArea field="2" type="button" dataOnly="0" labelOnly="1" outline="0" axis="axisPage" fieldPosition="3"/>
    </format>
    <format dxfId="634">
      <pivotArea type="all" dataOnly="0" outline="0" fieldPosition="0"/>
    </format>
    <format dxfId="633">
      <pivotArea outline="0" collapsedLevelsAreSubtotals="1" fieldPosition="0"/>
    </format>
    <format dxfId="632">
      <pivotArea outline="0" collapsedLevelsAreSubtotals="1" fieldPosition="0"/>
    </format>
    <format dxfId="631">
      <pivotArea field="3" type="button" dataOnly="0" labelOnly="1" outline="0" axis="axisRow" fieldPosition="0"/>
    </format>
    <format dxfId="630">
      <pivotArea dataOnly="0" labelOnly="1" outline="0" fieldPosition="0">
        <references count="1">
          <reference field="4294967294" count="2">
            <x v="0"/>
            <x v="1"/>
          </reference>
        </references>
      </pivotArea>
    </format>
    <format dxfId="629">
      <pivotArea field="3" type="button" dataOnly="0" labelOnly="1" outline="0" axis="axisRow" fieldPosition="0"/>
    </format>
    <format dxfId="628">
      <pivotArea dataOnly="0" labelOnly="1" outline="0" fieldPosition="0">
        <references count="1">
          <reference field="4294967294" count="2">
            <x v="0"/>
            <x v="1"/>
          </reference>
        </references>
      </pivotArea>
    </format>
    <format dxfId="627">
      <pivotArea field="3" type="button" dataOnly="0" labelOnly="1" outline="0" axis="axisRow" fieldPosition="0"/>
    </format>
    <format dxfId="626">
      <pivotArea dataOnly="0" labelOnly="1" outline="0" fieldPosition="0">
        <references count="1">
          <reference field="4294967294" count="2">
            <x v="0"/>
            <x v="1"/>
          </reference>
        </references>
      </pivotArea>
    </format>
    <format dxfId="625">
      <pivotArea field="2" type="button" dataOnly="0" labelOnly="1" outline="0" axis="axisPage" fieldPosition="3"/>
    </format>
    <format dxfId="624">
      <pivotArea dataOnly="0" labelOnly="1" outline="0" fieldPosition="0">
        <references count="3">
          <reference field="0" count="1" selected="0">
            <x v="8"/>
          </reference>
          <reference field="2" count="1">
            <x v="0"/>
          </reference>
          <reference field="95" count="1" selected="0">
            <x v="0"/>
          </reference>
        </references>
      </pivotArea>
    </format>
  </formats>
  <chartFormats count="4">
    <chartFormat chart="28" format="0" series="1">
      <pivotArea type="data" outline="0" fieldPosition="0">
        <references count="1">
          <reference field="4294967294" count="1" selected="0">
            <x v="0"/>
          </reference>
        </references>
      </pivotArea>
    </chartFormat>
    <chartFormat chart="28" format="1" series="1">
      <pivotArea type="data" outline="0" fieldPosition="0">
        <references count="1">
          <reference field="4294967294" count="1" selected="0">
            <x v="1"/>
          </reference>
        </references>
      </pivotArea>
    </chartFormat>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itemPrintTitles="1" createdVersion="6" indent="0" outline="1" outlineData="1" multipleFieldFilters="0" rowHeaderCaption="Township">
  <location ref="O10:S18" firstHeaderRow="0" firstDataRow="1" firstDataCol="1" rowPageCount="4" colPageCount="1"/>
  <pivotFields count="97">
    <pivotField axis="axisPage" subtotalTop="0" showAll="0">
      <items count="10">
        <item m="1" x="4"/>
        <item m="1" x="5"/>
        <item x="2"/>
        <item m="1" x="3"/>
        <item m="1" x="8"/>
        <item m="1" x="6"/>
        <item m="1" x="7"/>
        <item x="1"/>
        <item x="0"/>
        <item t="default"/>
      </items>
    </pivotField>
    <pivotField subtotalTop="0" showAll="0"/>
    <pivotField axis="axisPage" subtotalTop="0" showAll="0">
      <items count="5">
        <item x="0"/>
        <item x="1"/>
        <item x="2"/>
        <item m="1" x="3"/>
        <item t="default"/>
      </items>
    </pivotField>
    <pivotField axis="axisRow" subtotalTop="0" showAll="0" sortType="ascending">
      <items count="40">
        <item x="13"/>
        <item x="0"/>
        <item x="14"/>
        <item x="1"/>
        <item x="2"/>
        <item x="25"/>
        <item x="26"/>
        <item x="27"/>
        <item x="15"/>
        <item x="17"/>
        <item m="1" x="35"/>
        <item m="1" x="37"/>
        <item x="3"/>
        <item x="29"/>
        <item x="19"/>
        <item x="20"/>
        <item x="4"/>
        <item x="5"/>
        <item m="1" x="33"/>
        <item x="6"/>
        <item x="21"/>
        <item x="30"/>
        <item x="22"/>
        <item x="7"/>
        <item m="1" x="36"/>
        <item x="31"/>
        <item x="28"/>
        <item x="32"/>
        <item m="1" x="34"/>
        <item x="16"/>
        <item x="23"/>
        <item x="8"/>
        <item m="1" x="38"/>
        <item x="24"/>
        <item x="9"/>
        <item x="18"/>
        <item x="10"/>
        <item x="11"/>
        <item x="12"/>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dataField="1"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1"/>
        <item h="1" x="0"/>
        <item h="1" x="2"/>
        <item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3"/>
  </rowFields>
  <rowItems count="8">
    <i>
      <x v="2"/>
    </i>
    <i>
      <x v="9"/>
    </i>
    <i>
      <x v="14"/>
    </i>
    <i>
      <x v="22"/>
    </i>
    <i>
      <x v="29"/>
    </i>
    <i>
      <x v="33"/>
    </i>
    <i>
      <x v="35"/>
    </i>
    <i t="grand">
      <x/>
    </i>
  </rowItems>
  <colFields count="1">
    <field x="-2"/>
  </colFields>
  <colItems count="4">
    <i>
      <x/>
    </i>
    <i i="1">
      <x v="1"/>
    </i>
    <i i="2">
      <x v="2"/>
    </i>
    <i i="3">
      <x v="3"/>
    </i>
  </colItems>
  <pageFields count="4">
    <pageField fld="0" item="8" hier="-1"/>
    <pageField fld="95" hier="-1"/>
    <pageField fld="88" hier="-1"/>
    <pageField fld="2" item="1" hier="-1"/>
  </pageFields>
  <dataFields count="4">
    <dataField name="PoP " fld="6" baseField="0" baseItem="0" numFmtId="164"/>
    <dataField name="Water GAP" fld="60" subtotal="average" baseField="3" baseItem="0" numFmtId="9"/>
    <dataField name="Sanitation Gap " fld="67" subtotal="average" baseField="3" baseItem="11" numFmtId="9"/>
    <dataField name="Hygiene Gap" fld="78" subtotal="average" baseField="3" baseItem="14" numFmtId="9"/>
  </dataFields>
  <formats count="38">
    <format dxfId="676">
      <pivotArea type="all" dataOnly="0" outline="0" fieldPosition="0"/>
    </format>
    <format dxfId="675">
      <pivotArea outline="0" collapsedLevelsAreSubtotals="1" fieldPosition="0"/>
    </format>
    <format dxfId="674">
      <pivotArea field="3" type="button" dataOnly="0" labelOnly="1" outline="0" axis="axisRow" fieldPosition="0"/>
    </format>
    <format dxfId="673">
      <pivotArea dataOnly="0" labelOnly="1" outline="0" axis="axisValues" fieldPosition="0"/>
    </format>
    <format dxfId="672">
      <pivotArea dataOnly="0" labelOnly="1" fieldPosition="0">
        <references count="1">
          <reference field="3" count="0"/>
        </references>
      </pivotArea>
    </format>
    <format dxfId="671">
      <pivotArea dataOnly="0" labelOnly="1" grandRow="1" outline="0" fieldPosition="0"/>
    </format>
    <format dxfId="670">
      <pivotArea dataOnly="0" labelOnly="1" outline="0" axis="axisValues" fieldPosition="0"/>
    </format>
    <format dxfId="669">
      <pivotArea type="all" dataOnly="0" outline="0" fieldPosition="0"/>
    </format>
    <format dxfId="668">
      <pivotArea field="3" type="button" dataOnly="0" labelOnly="1" outline="0" axis="axisRow" fieldPosition="0"/>
    </format>
    <format dxfId="667">
      <pivotArea dataOnly="0" labelOnly="1" outline="0" axis="axisValues" fieldPosition="0"/>
    </format>
    <format dxfId="666">
      <pivotArea dataOnly="0" labelOnly="1" fieldPosition="0">
        <references count="1">
          <reference field="3" count="0"/>
        </references>
      </pivotArea>
    </format>
    <format dxfId="665">
      <pivotArea dataOnly="0" labelOnly="1" outline="0" axis="axisValues" fieldPosition="0"/>
    </format>
    <format dxfId="664">
      <pivotArea outline="0" fieldPosition="0">
        <references count="1">
          <reference field="4294967294" count="1">
            <x v="2"/>
          </reference>
        </references>
      </pivotArea>
    </format>
    <format dxfId="663">
      <pivotArea field="3" type="button" dataOnly="0" labelOnly="1" outline="0" axis="axisRow" fieldPosition="0"/>
    </format>
    <format dxfId="662">
      <pivotArea dataOnly="0" labelOnly="1" outline="0" fieldPosition="0">
        <references count="1">
          <reference field="4294967294" count="2">
            <x v="1"/>
            <x v="2"/>
          </reference>
        </references>
      </pivotArea>
    </format>
    <format dxfId="661">
      <pivotArea outline="0" fieldPosition="0">
        <references count="1">
          <reference field="4294967294" count="1">
            <x v="1"/>
          </reference>
        </references>
      </pivotArea>
    </format>
    <format dxfId="660">
      <pivotArea outline="0" fieldPosition="0">
        <references count="1">
          <reference field="4294967294" count="1">
            <x v="1"/>
          </reference>
        </references>
      </pivotArea>
    </format>
    <format dxfId="659">
      <pivotArea outline="0" fieldPosition="0">
        <references count="1">
          <reference field="4294967294" count="1">
            <x v="3"/>
          </reference>
        </references>
      </pivotArea>
    </format>
    <format dxfId="658">
      <pivotArea type="all" dataOnly="0" outline="0" fieldPosition="0"/>
    </format>
    <format dxfId="657">
      <pivotArea field="3" type="button" dataOnly="0" labelOnly="1" outline="0" axis="axisRow" fieldPosition="0"/>
    </format>
    <format dxfId="656">
      <pivotArea dataOnly="0" labelOnly="1" outline="0" fieldPosition="0">
        <references count="1">
          <reference field="4294967294" count="4">
            <x v="0"/>
            <x v="1"/>
            <x v="2"/>
            <x v="3"/>
          </reference>
        </references>
      </pivotArea>
    </format>
    <format dxfId="655">
      <pivotArea type="all" dataOnly="0" outline="0" fieldPosition="0"/>
    </format>
    <format dxfId="654">
      <pivotArea outline="0" collapsedLevelsAreSubtotals="1" fieldPosition="0"/>
    </format>
    <format dxfId="653">
      <pivotArea field="3" type="button" dataOnly="0" labelOnly="1" outline="0" axis="axisRow" fieldPosition="0"/>
    </format>
    <format dxfId="652">
      <pivotArea dataOnly="0" labelOnly="1" fieldPosition="0">
        <references count="1">
          <reference field="3" count="2">
            <x v="29"/>
            <x v="35"/>
          </reference>
        </references>
      </pivotArea>
    </format>
    <format dxfId="651">
      <pivotArea dataOnly="0" labelOnly="1" outline="0" fieldPosition="0">
        <references count="1">
          <reference field="4294967294" count="4">
            <x v="0"/>
            <x v="1"/>
            <x v="2"/>
            <x v="3"/>
          </reference>
        </references>
      </pivotArea>
    </format>
    <format dxfId="650">
      <pivotArea field="3" type="button" dataOnly="0" labelOnly="1" outline="0" axis="axisRow" fieldPosition="0"/>
    </format>
    <format dxfId="649">
      <pivotArea dataOnly="0" labelOnly="1" outline="0" fieldPosition="0">
        <references count="1">
          <reference field="4294967294" count="4">
            <x v="0"/>
            <x v="1"/>
            <x v="2"/>
            <x v="3"/>
          </reference>
        </references>
      </pivotArea>
    </format>
    <format dxfId="648">
      <pivotArea type="all" dataOnly="0" outline="0" fieldPosition="0"/>
    </format>
    <format dxfId="647">
      <pivotArea outline="0" collapsedLevelsAreSubtotals="1" fieldPosition="0"/>
    </format>
    <format dxfId="646">
      <pivotArea field="3" type="button" dataOnly="0" labelOnly="1" outline="0" axis="axisRow" fieldPosition="0"/>
    </format>
    <format dxfId="645">
      <pivotArea dataOnly="0" labelOnly="1" fieldPosition="0">
        <references count="1">
          <reference field="3" count="5">
            <x v="8"/>
            <x v="9"/>
            <x v="22"/>
            <x v="29"/>
            <x v="35"/>
          </reference>
        </references>
      </pivotArea>
    </format>
    <format dxfId="644">
      <pivotArea dataOnly="0" labelOnly="1" grandRow="1" outline="0" fieldPosition="0"/>
    </format>
    <format dxfId="643">
      <pivotArea dataOnly="0" labelOnly="1" outline="0" fieldPosition="0">
        <references count="1">
          <reference field="4294967294" count="4">
            <x v="0"/>
            <x v="1"/>
            <x v="2"/>
            <x v="3"/>
          </reference>
        </references>
      </pivotArea>
    </format>
    <format dxfId="642">
      <pivotArea field="2" type="button" dataOnly="0" labelOnly="1" outline="0" axis="axisPage" fieldPosition="3"/>
    </format>
    <format dxfId="641">
      <pivotArea dataOnly="0" labelOnly="1" outline="0" fieldPosition="0">
        <references count="2">
          <reference field="0" count="1" selected="0">
            <x v="7"/>
          </reference>
          <reference field="2" count="1">
            <x v="1"/>
          </reference>
        </references>
      </pivotArea>
    </format>
    <format dxfId="640">
      <pivotArea outline="0" collapsedLevelsAreSubtotals="1" fieldPosition="0">
        <references count="1">
          <reference field="4294967294" count="1" selected="0">
            <x v="0"/>
          </reference>
        </references>
      </pivotArea>
    </format>
    <format dxfId="639">
      <pivotArea dataOnly="0" labelOnly="1" outline="0" fieldPosition="0">
        <references count="2">
          <reference field="0" count="1" selected="0">
            <x v="8"/>
          </reference>
          <reference field="2" count="1">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x14:conditionalFormats count="1">
          <x14:conditionalFormat priority="4" id="{6DF16CC4-01C2-4B39-A998-34B06FD6D488}">
            <x14:pivotAreas count="1">
              <pivotArea type="data" outline="0" collapsedLevelsAreSubtotals="1" fieldPosition="0">
                <references count="1">
                  <reference field="4294967294" count="3" selected="0">
                    <x v="1"/>
                    <x v="2"/>
                    <x v="3"/>
                  </reference>
                </references>
              </pivotArea>
            </x14:pivotAreas>
          </x14:conditionalFormat>
        </x14:conditionalFormats>
      </x14:pivotTableDefinition>
    </ext>
  </extLst>
</pivotTableDefinition>
</file>

<file path=xl/pivotTables/pivotTable40.xml><?xml version="1.0" encoding="utf-8"?>
<pivotTableDefinition xmlns="http://schemas.openxmlformats.org/spreadsheetml/2006/main" name="K_L_CG_N"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2" rowHeaderCaption="State" colHeaderCaption=" ">
  <location ref="L190:N190"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1"/>
        <item h="1"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colFields count="1">
    <field x="-2"/>
  </colFields>
  <colItems count="2">
    <i>
      <x/>
    </i>
    <i i="1">
      <x v="1"/>
    </i>
  </colItems>
  <pageFields count="4">
    <pageField fld="0" hier="-1"/>
    <pageField fld="95" item="0" hier="-1"/>
    <pageField fld="88" hier="-1"/>
    <pageField fld="2" item="0" hier="-1"/>
  </pageFields>
  <dataFields count="2">
    <dataField name="% Latrine Coverage" fld="65" subtotal="average" baseField="3" baseItem="1"/>
    <dataField name="Average of % of Latrine Gap" fld="67" subtotal="average" baseField="3" baseItem="4"/>
  </dataFields>
  <formats count="11">
    <format dxfId="687">
      <pivotArea type="all" dataOnly="0" outline="0" fieldPosition="0"/>
    </format>
    <format dxfId="686">
      <pivotArea outline="0" collapsedLevelsAreSubtotals="1" fieldPosition="0"/>
    </format>
    <format dxfId="685">
      <pivotArea field="2" type="button" dataOnly="0" labelOnly="1" outline="0" axis="axisPage" fieldPosition="3"/>
    </format>
    <format dxfId="684">
      <pivotArea type="all" dataOnly="0" outline="0" fieldPosition="0"/>
    </format>
    <format dxfId="683">
      <pivotArea outline="0" collapsedLevelsAreSubtotals="1" fieldPosition="0"/>
    </format>
    <format dxfId="682">
      <pivotArea outline="0" collapsedLevelsAreSubtotals="1" fieldPosition="0"/>
    </format>
    <format dxfId="681">
      <pivotArea field="3" type="button" dataOnly="0" labelOnly="1" outline="0" axis="axisRow" fieldPosition="0"/>
    </format>
    <format dxfId="680">
      <pivotArea field="3" type="button" dataOnly="0" labelOnly="1" outline="0" axis="axisRow" fieldPosition="0"/>
    </format>
    <format dxfId="679">
      <pivotArea field="3" type="button" dataOnly="0" labelOnly="1" outline="0" axis="axisRow" fieldPosition="0"/>
    </format>
    <format dxfId="678">
      <pivotArea field="2" type="button" dataOnly="0" labelOnly="1" outline="0" axis="axisPage" fieldPosition="3"/>
    </format>
    <format dxfId="677">
      <pivotArea dataOnly="0" labelOnly="1" outline="0" fieldPosition="0">
        <references count="2">
          <reference field="2" count="1">
            <x v="0"/>
          </reference>
          <reference field="95" count="1" selected="0">
            <x v="0"/>
          </reference>
        </references>
      </pivotArea>
    </format>
  </formats>
  <chartFormats count="3">
    <chartFormat chart="34" format="0" series="1">
      <pivotArea type="data" outline="0" fieldPosition="0">
        <references count="1">
          <reference field="4294967294" count="1" selected="0">
            <x v="0"/>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W_R_C_G_C"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9" rowHeaderCaption="State" colHeaderCaption=" ">
  <location ref="B103:D108"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5">
    <i>
      <x v="8"/>
    </i>
    <i>
      <x v="9"/>
    </i>
    <i>
      <x v="21"/>
    </i>
    <i>
      <x v="27"/>
    </i>
    <i>
      <x v="33"/>
    </i>
  </rowItems>
  <colFields count="1">
    <field x="-2"/>
  </colFields>
  <colItems count="2">
    <i>
      <x/>
    </i>
    <i i="1">
      <x v="1"/>
    </i>
  </colItems>
  <pageFields count="4">
    <pageField fld="0" hier="-1"/>
    <pageField fld="95" item="0" hier="-1"/>
    <pageField fld="88" hier="-1"/>
    <pageField fld="2" item="1" hier="-1"/>
  </pageFields>
  <dataFields count="2">
    <dataField name="% WATER Coverage" fld="57" subtotal="average" baseField="3" baseItem="9"/>
    <dataField name="% WATER GAP" fld="60" subtotal="average" baseField="3" baseItem="1"/>
  </dataFields>
  <formats count="17">
    <format dxfId="704">
      <pivotArea field="2" type="button" dataOnly="0" labelOnly="1" outline="0" axis="axisPage" fieldPosition="3"/>
    </format>
    <format dxfId="703">
      <pivotArea type="all" dataOnly="0" outline="0" fieldPosition="0"/>
    </format>
    <format dxfId="702">
      <pivotArea outline="0" collapsedLevelsAreSubtotals="1" fieldPosition="0"/>
    </format>
    <format dxfId="701">
      <pivotArea field="2" type="button" dataOnly="0" labelOnly="1" outline="0" axis="axisPage" fieldPosition="3"/>
    </format>
    <format dxfId="700">
      <pivotArea type="all" dataOnly="0" outline="0" fieldPosition="0"/>
    </format>
    <format dxfId="699">
      <pivotArea outline="0" collapsedLevelsAreSubtotals="1" fieldPosition="0"/>
    </format>
    <format dxfId="698">
      <pivotArea outline="0" collapsedLevelsAreSubtotals="1" fieldPosition="0"/>
    </format>
    <format dxfId="697">
      <pivotArea field="3" type="button" dataOnly="0" labelOnly="1" outline="0" axis="axisRow" fieldPosition="0"/>
    </format>
    <format dxfId="696">
      <pivotArea dataOnly="0" labelOnly="1" outline="0" fieldPosition="0">
        <references count="1">
          <reference field="4294967294" count="1">
            <x v="1"/>
          </reference>
        </references>
      </pivotArea>
    </format>
    <format dxfId="695">
      <pivotArea field="3" type="button" dataOnly="0" labelOnly="1" outline="0" axis="axisRow" fieldPosition="0"/>
    </format>
    <format dxfId="694">
      <pivotArea dataOnly="0" labelOnly="1" outline="0" fieldPosition="0">
        <references count="1">
          <reference field="4294967294" count="1">
            <x v="1"/>
          </reference>
        </references>
      </pivotArea>
    </format>
    <format dxfId="693">
      <pivotArea field="3" type="button" dataOnly="0" labelOnly="1" outline="0" axis="axisRow" fieldPosition="0"/>
    </format>
    <format dxfId="692">
      <pivotArea dataOnly="0" labelOnly="1" outline="0" fieldPosition="0">
        <references count="1">
          <reference field="4294967294" count="1">
            <x v="1"/>
          </reference>
        </references>
      </pivotArea>
    </format>
    <format dxfId="691">
      <pivotArea dataOnly="0" labelOnly="1" outline="0" fieldPosition="0">
        <references count="1">
          <reference field="4294967294" count="1">
            <x v="0"/>
          </reference>
        </references>
      </pivotArea>
    </format>
    <format dxfId="690">
      <pivotArea dataOnly="0" labelOnly="1" outline="0" fieldPosition="0">
        <references count="1">
          <reference field="4294967294" count="1">
            <x v="0"/>
          </reference>
        </references>
      </pivotArea>
    </format>
    <format dxfId="689">
      <pivotArea field="2" type="button" dataOnly="0" labelOnly="1" outline="0" axis="axisPage" fieldPosition="3"/>
    </format>
    <format dxfId="688">
      <pivotArea dataOnly="0" labelOnly="1" outline="0" fieldPosition="0">
        <references count="2">
          <reference field="2" count="1">
            <x v="1"/>
          </reference>
          <reference field="95" count="1" selected="0">
            <x v="0"/>
          </reference>
        </references>
      </pivotArea>
    </format>
  </formats>
  <chartFormats count="3">
    <chartFormat chart="28" format="1" series="1">
      <pivotArea type="data" outline="0" fieldPosition="0">
        <references count="1">
          <reference field="4294967294" count="1" selected="0">
            <x v="1"/>
          </reference>
        </references>
      </pivotArea>
    </chartFormat>
    <chartFormat chart="33" format="1" series="1">
      <pivotArea type="data" outline="0" fieldPosition="0">
        <references count="1">
          <reference field="4294967294" count="1" selected="0">
            <x v="1"/>
          </reference>
        </references>
      </pivotArea>
    </chartFormat>
    <chartFormat chart="33" format="2" series="1">
      <pivotArea type="data" outline="0" fieldPosition="0">
        <references count="1">
          <reference field="4294967294" count="1" selected="0">
            <x v="0"/>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R_H_CG_C"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8" rowHeaderCaption="State" colHeaderCaption=" ">
  <location ref="B268:D273"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5">
    <i>
      <x v="8"/>
    </i>
    <i>
      <x v="9"/>
    </i>
    <i>
      <x v="21"/>
    </i>
    <i>
      <x v="27"/>
    </i>
    <i>
      <x v="33"/>
    </i>
  </rowItems>
  <colFields count="1">
    <field x="-2"/>
  </colFields>
  <colItems count="2">
    <i>
      <x/>
    </i>
    <i i="1">
      <x v="1"/>
    </i>
  </colItems>
  <pageFields count="4">
    <pageField fld="0" hier="-1"/>
    <pageField fld="95" item="0" hier="-1"/>
    <pageField fld="88" hier="-1"/>
    <pageField fld="2" item="1" hier="-1"/>
  </pageFields>
  <dataFields count="2">
    <dataField name="% Hygiene Coverage" fld="77" subtotal="average" baseField="3" baseItem="1"/>
    <dataField name="% Hygiene Gap" fld="78" subtotal="average" baseField="3" baseItem="1"/>
  </dataFields>
  <formats count="12">
    <format dxfId="716">
      <pivotArea type="all" dataOnly="0" outline="0" fieldPosition="0"/>
    </format>
    <format dxfId="715">
      <pivotArea outline="0" collapsedLevelsAreSubtotals="1" fieldPosition="0"/>
    </format>
    <format dxfId="714">
      <pivotArea field="2" type="button" dataOnly="0" labelOnly="1" outline="0" axis="axisPage" fieldPosition="3"/>
    </format>
    <format dxfId="713">
      <pivotArea type="all" dataOnly="0" outline="0" fieldPosition="0"/>
    </format>
    <format dxfId="712">
      <pivotArea outline="0" collapsedLevelsAreSubtotals="1" fieldPosition="0"/>
    </format>
    <format dxfId="711">
      <pivotArea outline="0" collapsedLevelsAreSubtotals="1" fieldPosition="0"/>
    </format>
    <format dxfId="710">
      <pivotArea field="3" type="button" dataOnly="0" labelOnly="1" outline="0" axis="axisRow" fieldPosition="0"/>
    </format>
    <format dxfId="709">
      <pivotArea field="3" type="button" dataOnly="0" labelOnly="1" outline="0" axis="axisRow" fieldPosition="0"/>
    </format>
    <format dxfId="708">
      <pivotArea field="3" type="button" dataOnly="0" labelOnly="1" outline="0" axis="axisRow" fieldPosition="0"/>
    </format>
    <format dxfId="707">
      <pivotArea field="2" type="button" dataOnly="0" labelOnly="1" outline="0" axis="axisPage" fieldPosition="3"/>
    </format>
    <format dxfId="706">
      <pivotArea dataOnly="0" labelOnly="1" outline="0" fieldPosition="0">
        <references count="2">
          <reference field="2" count="1">
            <x v="0"/>
          </reference>
          <reference field="95" count="1" selected="0">
            <x v="0"/>
          </reference>
        </references>
      </pivotArea>
    </format>
    <format dxfId="705">
      <pivotArea dataOnly="0" labelOnly="1" outline="0" fieldPosition="0">
        <references count="2">
          <reference field="2" count="1">
            <x v="1"/>
          </reference>
          <reference field="95" count="1" selected="0">
            <x v="0"/>
          </reference>
        </references>
      </pivotArea>
    </format>
  </formats>
  <chartFormats count="4">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5" format="0" series="1">
      <pivotArea type="data" outline="0" fieldPosition="0">
        <references count="1">
          <reference field="4294967294" count="1" selected="0">
            <x v="0"/>
          </reference>
        </references>
      </pivotArea>
    </chartFormat>
    <chartFormat chart="45"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W_K_C_G_C"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2" rowHeaderCaption="State" colHeaderCaption=" ">
  <location ref="B82:D95"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13">
    <i>
      <x v="1"/>
    </i>
    <i>
      <x v="3"/>
    </i>
    <i>
      <x v="4"/>
    </i>
    <i>
      <x v="12"/>
    </i>
    <i>
      <x v="16"/>
    </i>
    <i>
      <x v="17"/>
    </i>
    <i>
      <x v="18"/>
    </i>
    <i>
      <x v="22"/>
    </i>
    <i>
      <x v="29"/>
    </i>
    <i>
      <x v="32"/>
    </i>
    <i>
      <x v="34"/>
    </i>
    <i>
      <x v="35"/>
    </i>
    <i>
      <x v="36"/>
    </i>
  </rowItems>
  <colFields count="1">
    <field x="-2"/>
  </colFields>
  <colItems count="2">
    <i>
      <x/>
    </i>
    <i i="1">
      <x v="1"/>
    </i>
  </colItems>
  <pageFields count="4">
    <pageField fld="0" hier="-1"/>
    <pageField fld="95" item="0" hier="-1"/>
    <pageField fld="88" hier="-1"/>
    <pageField fld="2" item="0" hier="-1"/>
  </pageFields>
  <dataFields count="2">
    <dataField name="% WATER Coverage" fld="53" subtotal="average" baseField="3" baseItem="1"/>
    <dataField name="% WATER GAP" fld="60" subtotal="average" baseField="3" baseItem="1"/>
  </dataFields>
  <formats count="13">
    <format dxfId="729">
      <pivotArea field="2" type="button" dataOnly="0" labelOnly="1" outline="0" axis="axisPage" fieldPosition="3"/>
    </format>
    <format dxfId="728">
      <pivotArea type="all" dataOnly="0" outline="0" fieldPosition="0"/>
    </format>
    <format dxfId="727">
      <pivotArea outline="0" collapsedLevelsAreSubtotals="1" fieldPosition="0"/>
    </format>
    <format dxfId="726">
      <pivotArea field="2" type="button" dataOnly="0" labelOnly="1" outline="0" axis="axisPage" fieldPosition="3"/>
    </format>
    <format dxfId="725">
      <pivotArea type="all" dataOnly="0" outline="0" fieldPosition="0"/>
    </format>
    <format dxfId="724">
      <pivotArea outline="0" collapsedLevelsAreSubtotals="1" fieldPosition="0"/>
    </format>
    <format dxfId="723">
      <pivotArea outline="0" collapsedLevelsAreSubtotals="1" fieldPosition="0"/>
    </format>
    <format dxfId="722">
      <pivotArea field="3" type="button" dataOnly="0" labelOnly="1" outline="0" axis="axisRow" fieldPosition="0"/>
    </format>
    <format dxfId="721">
      <pivotArea dataOnly="0" labelOnly="1" outline="0" fieldPosition="0">
        <references count="1">
          <reference field="4294967294" count="2">
            <x v="0"/>
            <x v="1"/>
          </reference>
        </references>
      </pivotArea>
    </format>
    <format dxfId="720">
      <pivotArea field="3" type="button" dataOnly="0" labelOnly="1" outline="0" axis="axisRow" fieldPosition="0"/>
    </format>
    <format dxfId="719">
      <pivotArea dataOnly="0" labelOnly="1" outline="0" fieldPosition="0">
        <references count="1">
          <reference field="4294967294" count="2">
            <x v="0"/>
            <x v="1"/>
          </reference>
        </references>
      </pivotArea>
    </format>
    <format dxfId="718">
      <pivotArea field="3" type="button" dataOnly="0" labelOnly="1" outline="0" axis="axisRow" fieldPosition="0"/>
    </format>
    <format dxfId="717">
      <pivotArea dataOnly="0" labelOnly="1" outline="0" fieldPosition="0">
        <references count="1">
          <reference field="4294967294" count="2">
            <x v="0"/>
            <x v="1"/>
          </reference>
        </references>
      </pivotArea>
    </format>
  </formats>
  <chartFormats count="5">
    <chartFormat chart="28" format="0" series="1">
      <pivotArea type="data" outline="0" fieldPosition="0">
        <references count="1">
          <reference field="4294967294" count="1" selected="0">
            <x v="0"/>
          </reference>
        </references>
      </pivotArea>
    </chartFormat>
    <chartFormat chart="28" format="1" series="1">
      <pivotArea type="data" outline="0" fieldPosition="0">
        <references count="1">
          <reference field="4294967294" count="1" selected="0">
            <x v="1"/>
          </reference>
        </references>
      </pivotArea>
    </chartFormat>
    <chartFormat chart="28" format="2">
      <pivotArea type="data" outline="0" fieldPosition="0">
        <references count="2">
          <reference field="4294967294" count="1" selected="0">
            <x v="1"/>
          </reference>
          <reference field="3" count="1" selected="0">
            <x v="17"/>
          </reference>
        </references>
      </pivotArea>
    </chartFormat>
    <chartFormat chart="28" format="3">
      <pivotArea type="data" outline="0" fieldPosition="0">
        <references count="2">
          <reference field="4294967294" count="1" selected="0">
            <x v="1"/>
          </reference>
          <reference field="3" count="1" selected="0">
            <x v="16"/>
          </reference>
        </references>
      </pivotArea>
    </chartFormat>
    <chartFormat chart="28" format="4">
      <pivotArea type="data" outline="0" fieldPosition="0">
        <references count="2">
          <reference field="4294967294" count="1" selected="0">
            <x v="1"/>
          </reference>
          <reference field="3" count="1" selected="0">
            <x v="12"/>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S_Traffic" cacheId="0" applyNumberFormats="0" applyBorderFormats="0" applyFontFormats="0" applyPatternFormats="0" applyAlignmentFormats="0" applyWidthHeightFormats="1" dataCaption="Values" updatedVersion="5" minRefreshableVersion="3" itemPrintTitles="1" createdVersion="6" indent="0" outline="1" outlineData="1" multipleFieldFilters="0">
  <location ref="V10:Z18" firstHeaderRow="0" firstDataRow="1" firstDataCol="1" rowPageCount="4" colPageCount="1"/>
  <pivotFields count="97">
    <pivotField axis="axisPage" subtotalTop="0" showAll="0">
      <items count="10">
        <item m="1" x="4"/>
        <item m="1" x="5"/>
        <item x="2"/>
        <item m="1" x="3"/>
        <item m="1" x="8"/>
        <item m="1" x="6"/>
        <item m="1" x="7"/>
        <item x="1"/>
        <item x="0"/>
        <item t="default"/>
      </items>
    </pivotField>
    <pivotField subtotalTop="0" showAll="0"/>
    <pivotField axis="axisPage" subtotalTop="0" showAll="0">
      <items count="5">
        <item x="0"/>
        <item x="1"/>
        <item x="2"/>
        <item m="1" x="3"/>
        <item t="default"/>
      </items>
    </pivotField>
    <pivotField axis="axisRow" subtotalTop="0" showAll="0">
      <items count="40">
        <item x="0"/>
        <item x="1"/>
        <item x="2"/>
        <item x="25"/>
        <item x="27"/>
        <item m="1" x="37"/>
        <item x="3"/>
        <item x="29"/>
        <item x="4"/>
        <item x="5"/>
        <item x="6"/>
        <item x="30"/>
        <item x="7"/>
        <item x="31"/>
        <item x="28"/>
        <item x="16"/>
        <item x="8"/>
        <item x="18"/>
        <item x="10"/>
        <item x="11"/>
        <item x="12"/>
        <item m="1" x="35"/>
        <item x="9"/>
        <item x="24"/>
        <item x="17"/>
        <item x="21"/>
        <item x="14"/>
        <item x="19"/>
        <item x="20"/>
        <item x="15"/>
        <item x="13"/>
        <item x="23"/>
        <item x="22"/>
        <item m="1" x="38"/>
        <item x="26"/>
        <item m="1" x="34"/>
        <item m="1" x="36"/>
        <item m="1" x="33"/>
        <item x="32"/>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dataField="1"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8">
    <i>
      <x v="3"/>
    </i>
    <i>
      <x v="4"/>
    </i>
    <i>
      <x v="7"/>
    </i>
    <i>
      <x v="11"/>
    </i>
    <i>
      <x v="13"/>
    </i>
    <i>
      <x v="14"/>
    </i>
    <i>
      <x v="38"/>
    </i>
    <i t="grand">
      <x/>
    </i>
  </rowItems>
  <colFields count="1">
    <field x="-2"/>
  </colFields>
  <colItems count="4">
    <i>
      <x/>
    </i>
    <i i="1">
      <x v="1"/>
    </i>
    <i i="2">
      <x v="2"/>
    </i>
    <i i="3">
      <x v="3"/>
    </i>
  </colItems>
  <pageFields count="4">
    <pageField fld="0" item="8" hier="-1"/>
    <pageField fld="95" item="0" hier="-1"/>
    <pageField fld="88" hier="-1"/>
    <pageField fld="2" item="2" hier="-1"/>
  </pageFields>
  <dataFields count="4">
    <dataField name="PoP " fld="6" baseField="0" baseItem="0"/>
    <dataField name="Water GAP " fld="60" subtotal="average" baseField="3" baseItem="0" numFmtId="9"/>
    <dataField name="sanitation Gap " fld="67" subtotal="average" baseField="3" baseItem="11" numFmtId="9"/>
    <dataField name="Hygiene Gap" fld="78" subtotal="average" baseField="3" baseItem="14" numFmtId="9"/>
  </dataFields>
  <formats count="38">
    <format dxfId="767">
      <pivotArea type="all" dataOnly="0" outline="0" fieldPosition="0"/>
    </format>
    <format dxfId="766">
      <pivotArea outline="0" collapsedLevelsAreSubtotals="1" fieldPosition="0"/>
    </format>
    <format dxfId="765">
      <pivotArea field="3" type="button" dataOnly="0" labelOnly="1" outline="0" axis="axisRow" fieldPosition="0"/>
    </format>
    <format dxfId="764">
      <pivotArea dataOnly="0" labelOnly="1" outline="0" axis="axisValues" fieldPosition="0"/>
    </format>
    <format dxfId="763">
      <pivotArea dataOnly="0" labelOnly="1" fieldPosition="0">
        <references count="1">
          <reference field="3" count="0"/>
        </references>
      </pivotArea>
    </format>
    <format dxfId="762">
      <pivotArea dataOnly="0" labelOnly="1" grandRow="1" outline="0" fieldPosition="0"/>
    </format>
    <format dxfId="761">
      <pivotArea dataOnly="0" labelOnly="1" outline="0" axis="axisValues" fieldPosition="0"/>
    </format>
    <format dxfId="760">
      <pivotArea type="all" dataOnly="0" outline="0" fieldPosition="0"/>
    </format>
    <format dxfId="759">
      <pivotArea field="3" type="button" dataOnly="0" labelOnly="1" outline="0" axis="axisRow" fieldPosition="0"/>
    </format>
    <format dxfId="758">
      <pivotArea dataOnly="0" labelOnly="1" outline="0" axis="axisValues" fieldPosition="0"/>
    </format>
    <format dxfId="757">
      <pivotArea dataOnly="0" labelOnly="1" fieldPosition="0">
        <references count="1">
          <reference field="3" count="0"/>
        </references>
      </pivotArea>
    </format>
    <format dxfId="756">
      <pivotArea dataOnly="0" labelOnly="1" outline="0" axis="axisValues" fieldPosition="0"/>
    </format>
    <format dxfId="755">
      <pivotArea outline="0" fieldPosition="0">
        <references count="1">
          <reference field="4294967294" count="1">
            <x v="2"/>
          </reference>
        </references>
      </pivotArea>
    </format>
    <format dxfId="754">
      <pivotArea field="3" type="button" dataOnly="0" labelOnly="1" outline="0" axis="axisRow" fieldPosition="0"/>
    </format>
    <format dxfId="753">
      <pivotArea dataOnly="0" labelOnly="1" outline="0" fieldPosition="0">
        <references count="1">
          <reference field="4294967294" count="2">
            <x v="1"/>
            <x v="2"/>
          </reference>
        </references>
      </pivotArea>
    </format>
    <format dxfId="752">
      <pivotArea outline="0" fieldPosition="0">
        <references count="1">
          <reference field="4294967294" count="1">
            <x v="1"/>
          </reference>
        </references>
      </pivotArea>
    </format>
    <format dxfId="751">
      <pivotArea outline="0" fieldPosition="0">
        <references count="1">
          <reference field="4294967294" count="1">
            <x v="1"/>
          </reference>
        </references>
      </pivotArea>
    </format>
    <format dxfId="750">
      <pivotArea outline="0" fieldPosition="0">
        <references count="1">
          <reference field="4294967294" count="1">
            <x v="3"/>
          </reference>
        </references>
      </pivotArea>
    </format>
    <format dxfId="749">
      <pivotArea type="all" dataOnly="0" outline="0" fieldPosition="0"/>
    </format>
    <format dxfId="748">
      <pivotArea field="3" type="button" dataOnly="0" labelOnly="1" outline="0" axis="axisRow" fieldPosition="0"/>
    </format>
    <format dxfId="747">
      <pivotArea dataOnly="0" labelOnly="1" fieldPosition="0">
        <references count="1">
          <reference field="3" count="7">
            <x v="3"/>
            <x v="4"/>
            <x v="7"/>
            <x v="11"/>
            <x v="13"/>
            <x v="14"/>
            <x v="21"/>
          </reference>
        </references>
      </pivotArea>
    </format>
    <format dxfId="746">
      <pivotArea dataOnly="0" labelOnly="1" outline="0" fieldPosition="0">
        <references count="1">
          <reference field="4294967294" count="4">
            <x v="0"/>
            <x v="1"/>
            <x v="2"/>
            <x v="3"/>
          </reference>
        </references>
      </pivotArea>
    </format>
    <format dxfId="745">
      <pivotArea type="all" dataOnly="0" outline="0" fieldPosition="0"/>
    </format>
    <format dxfId="744">
      <pivotArea outline="0" collapsedLevelsAreSubtotals="1" fieldPosition="0"/>
    </format>
    <format dxfId="743">
      <pivotArea field="3" type="button" dataOnly="0" labelOnly="1" outline="0" axis="axisRow" fieldPosition="0"/>
    </format>
    <format dxfId="742">
      <pivotArea dataOnly="0" labelOnly="1" fieldPosition="0">
        <references count="1">
          <reference field="3" count="7">
            <x v="3"/>
            <x v="4"/>
            <x v="7"/>
            <x v="11"/>
            <x v="13"/>
            <x v="14"/>
            <x v="21"/>
          </reference>
        </references>
      </pivotArea>
    </format>
    <format dxfId="741">
      <pivotArea dataOnly="0" labelOnly="1" outline="0" fieldPosition="0">
        <references count="1">
          <reference field="4294967294" count="4">
            <x v="0"/>
            <x v="1"/>
            <x v="2"/>
            <x v="3"/>
          </reference>
        </references>
      </pivotArea>
    </format>
    <format dxfId="740">
      <pivotArea field="3" type="button" dataOnly="0" labelOnly="1" outline="0" axis="axisRow" fieldPosition="0"/>
    </format>
    <format dxfId="739">
      <pivotArea dataOnly="0" labelOnly="1" outline="0" fieldPosition="0">
        <references count="1">
          <reference field="4294967294" count="4">
            <x v="0"/>
            <x v="1"/>
            <x v="2"/>
            <x v="3"/>
          </reference>
        </references>
      </pivotArea>
    </format>
    <format dxfId="738">
      <pivotArea type="all" dataOnly="0" outline="0" fieldPosition="0"/>
    </format>
    <format dxfId="737">
      <pivotArea outline="0" collapsedLevelsAreSubtotals="1" fieldPosition="0"/>
    </format>
    <format dxfId="736">
      <pivotArea field="3" type="button" dataOnly="0" labelOnly="1" outline="0" axis="axisRow" fieldPosition="0"/>
    </format>
    <format dxfId="735">
      <pivotArea dataOnly="0" labelOnly="1" fieldPosition="0">
        <references count="1">
          <reference field="3" count="6">
            <x v="3"/>
            <x v="4"/>
            <x v="7"/>
            <x v="11"/>
            <x v="13"/>
            <x v="14"/>
          </reference>
        </references>
      </pivotArea>
    </format>
    <format dxfId="734">
      <pivotArea dataOnly="0" labelOnly="1" grandRow="1" outline="0" fieldPosition="0"/>
    </format>
    <format dxfId="733">
      <pivotArea dataOnly="0" labelOnly="1" outline="0" fieldPosition="0">
        <references count="1">
          <reference field="4294967294" count="4">
            <x v="0"/>
            <x v="1"/>
            <x v="2"/>
            <x v="3"/>
          </reference>
        </references>
      </pivotArea>
    </format>
    <format dxfId="732">
      <pivotArea field="2" type="button" dataOnly="0" labelOnly="1" outline="0" axis="axisPage" fieldPosition="3"/>
    </format>
    <format dxfId="731">
      <pivotArea dataOnly="0" labelOnly="1" outline="0" fieldPosition="0">
        <references count="3">
          <reference field="0" count="1" selected="0">
            <x v="7"/>
          </reference>
          <reference field="2" count="1">
            <x v="2"/>
          </reference>
          <reference field="95" count="1" selected="0">
            <x v="0"/>
          </reference>
        </references>
      </pivotArea>
    </format>
    <format dxfId="730">
      <pivotArea dataOnly="0" labelOnly="1" outline="0" fieldPosition="0">
        <references count="3">
          <reference field="0" count="1" selected="0">
            <x v="8"/>
          </reference>
          <reference field="2" count="1">
            <x v="2"/>
          </reference>
          <reference field="95" count="1" selected="0">
            <x v="0"/>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x14:conditionalFormats count="1">
          <x14:conditionalFormat priority="5" id="{27AA8C6B-5E0A-424B-B531-2098B9D4C445}">
            <x14:pivotAreas count="1">
              <pivotArea type="data" outline="0" collapsedLevelsAreSubtotals="1" fieldPosition="0">
                <references count="1">
                  <reference field="4294967294" count="3" selected="0">
                    <x v="1"/>
                    <x v="2"/>
                    <x v="3"/>
                  </reference>
                </references>
              </pivotArea>
            </x14:pivotAreas>
          </x14:conditionalFormat>
        </x14:conditionalFormats>
      </x14:pivotTableDefinition>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name="S_water1"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0">
  <location ref="P40:R41"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numFmtId="9" subtotalTop="0" showAll="0"/>
    <pivotField subtotalTop="0" showAll="0"/>
    <pivotField dataField="1"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axis="axisRow" subtotalTop="0" showAll="0">
      <items count="352">
        <item x="8"/>
        <item m="1" x="298"/>
        <item m="1" x="115"/>
        <item m="1" x="14"/>
        <item m="1" x="104"/>
        <item m="1" x="187"/>
        <item m="1" x="196"/>
        <item m="1" x="22"/>
        <item m="1" x="72"/>
        <item m="1" x="180"/>
        <item m="1" x="100"/>
        <item m="1" x="148"/>
        <item m="1" x="121"/>
        <item m="1" x="108"/>
        <item m="1" x="40"/>
        <item m="1" x="103"/>
        <item m="1" x="111"/>
        <item m="1" x="74"/>
        <item m="1" x="142"/>
        <item m="1" x="29"/>
        <item m="1" x="333"/>
        <item m="1" x="94"/>
        <item m="1" x="305"/>
        <item m="1" x="99"/>
        <item m="1" x="325"/>
        <item m="1" x="182"/>
        <item m="1" x="199"/>
        <item m="1" x="129"/>
        <item m="1" x="216"/>
        <item m="1" x="157"/>
        <item m="1" x="201"/>
        <item m="1" x="193"/>
        <item m="1" x="197"/>
        <item m="1" x="77"/>
        <item m="1" x="170"/>
        <item m="1" x="178"/>
        <item m="1" x="160"/>
        <item m="1" x="324"/>
        <item m="1" x="308"/>
        <item m="1" x="175"/>
        <item m="1" x="335"/>
        <item m="1" x="17"/>
        <item m="1" x="299"/>
        <item m="1" x="259"/>
        <item m="1" x="287"/>
        <item m="1" x="222"/>
        <item m="1" x="297"/>
        <item m="1" x="341"/>
        <item m="1" x="345"/>
        <item m="1" x="302"/>
        <item m="1" x="169"/>
        <item m="1" x="348"/>
        <item m="1" x="326"/>
        <item m="1" x="179"/>
        <item m="1" x="295"/>
        <item m="1" x="261"/>
        <item m="1" x="101"/>
        <item m="1" x="314"/>
        <item m="1" x="275"/>
        <item m="1" x="95"/>
        <item m="1" x="143"/>
        <item m="1" x="296"/>
        <item m="1" x="249"/>
        <item m="1" x="132"/>
        <item m="1" x="310"/>
        <item m="1" x="63"/>
        <item m="1" x="214"/>
        <item m="1" x="107"/>
        <item m="1" x="224"/>
        <item m="1" x="344"/>
        <item m="1" x="69"/>
        <item m="1" x="211"/>
        <item m="1" x="253"/>
        <item m="1" x="266"/>
        <item m="1" x="306"/>
        <item m="1" x="152"/>
        <item m="1" x="342"/>
        <item m="1" x="280"/>
        <item m="1" x="250"/>
        <item m="1" x="312"/>
        <item m="1" x="149"/>
        <item m="1" x="125"/>
        <item m="1" x="165"/>
        <item m="1" x="219"/>
        <item m="1" x="273"/>
        <item m="1" x="331"/>
        <item m="1" x="338"/>
        <item m="1" x="205"/>
        <item m="1" x="128"/>
        <item m="1" x="54"/>
        <item m="1" x="265"/>
        <item m="1" x="138"/>
        <item m="1" x="52"/>
        <item m="1" x="44"/>
        <item m="1" x="163"/>
        <item m="1" x="80"/>
        <item m="1" x="172"/>
        <item m="1" x="139"/>
        <item m="1" x="330"/>
        <item m="1" x="39"/>
        <item m="1" x="36"/>
        <item m="1" x="243"/>
        <item m="1" x="238"/>
        <item m="1" x="304"/>
        <item m="1" x="21"/>
        <item m="1" x="301"/>
        <item m="1" x="156"/>
        <item m="1" x="346"/>
        <item m="1" x="251"/>
        <item m="1" x="176"/>
        <item m="1" x="126"/>
        <item m="1" x="277"/>
        <item m="1" x="288"/>
        <item m="1" x="20"/>
        <item m="1" x="185"/>
        <item m="1" x="133"/>
        <item m="1" x="225"/>
        <item m="1" x="329"/>
        <item m="1" x="192"/>
        <item m="1" x="263"/>
        <item m="1" x="343"/>
        <item m="1" x="162"/>
        <item m="1" x="281"/>
        <item m="1" x="87"/>
        <item m="1" x="321"/>
        <item m="1" x="320"/>
        <item m="1" x="34"/>
        <item m="1" x="83"/>
        <item m="1" x="153"/>
        <item m="1" x="289"/>
        <item m="1" x="27"/>
        <item m="1" x="144"/>
        <item m="1" x="30"/>
        <item m="1" x="173"/>
        <item m="1" x="241"/>
        <item m="1" x="237"/>
        <item m="1" x="43"/>
        <item m="1" x="167"/>
        <item m="1" x="50"/>
        <item m="1" x="117"/>
        <item m="1" x="46"/>
        <item m="1" x="106"/>
        <item m="1" x="23"/>
        <item m="1" x="75"/>
        <item m="1" x="79"/>
        <item m="1" x="93"/>
        <item m="1" x="112"/>
        <item m="1" x="124"/>
        <item m="1" x="313"/>
        <item m="1" x="327"/>
        <item m="1" x="247"/>
        <item m="1" x="220"/>
        <item m="1" x="323"/>
        <item m="1" x="71"/>
        <item m="1" x="60"/>
        <item m="1" x="328"/>
        <item m="1" x="347"/>
        <item m="1" x="78"/>
        <item m="1" x="119"/>
        <item m="1" x="257"/>
        <item m="1" x="279"/>
        <item m="1" x="177"/>
        <item m="1" x="245"/>
        <item m="1" x="35"/>
        <item m="1" x="235"/>
        <item m="1" x="285"/>
        <item m="1" x="286"/>
        <item m="1" x="194"/>
        <item m="1" x="81"/>
        <item m="1" x="122"/>
        <item m="1" x="230"/>
        <item m="1" x="226"/>
        <item m="1" x="198"/>
        <item m="1" x="174"/>
        <item m="1" x="56"/>
        <item m="1" x="244"/>
        <item m="1" x="208"/>
        <item m="1" x="82"/>
        <item m="1" x="150"/>
        <item m="1" x="223"/>
        <item m="1" x="276"/>
        <item m="1" x="92"/>
        <item m="1" x="42"/>
        <item m="1" x="349"/>
        <item m="1" x="97"/>
        <item m="1" x="16"/>
        <item m="1" x="141"/>
        <item m="1" x="264"/>
        <item m="1" x="215"/>
        <item m="1" x="309"/>
        <item m="1" x="91"/>
        <item m="1" x="274"/>
        <item m="1" x="334"/>
        <item m="1" x="102"/>
        <item m="1" x="45"/>
        <item m="1" x="209"/>
        <item m="1" x="350"/>
        <item m="1" x="85"/>
        <item m="1" x="114"/>
        <item m="1" x="319"/>
        <item m="1" x="110"/>
        <item m="1" x="260"/>
        <item m="1" x="315"/>
        <item m="1" x="300"/>
        <item m="1" x="118"/>
        <item m="1" x="248"/>
        <item m="1" x="28"/>
        <item m="1" x="96"/>
        <item m="1" x="53"/>
        <item m="1" x="232"/>
        <item m="1" x="164"/>
        <item m="1" x="146"/>
        <item m="1" x="207"/>
        <item m="1" x="213"/>
        <item m="1" x="158"/>
        <item m="1" x="55"/>
        <item m="1" x="155"/>
        <item m="1" x="86"/>
        <item m="1" x="217"/>
        <item m="1" x="292"/>
        <item m="1" x="212"/>
        <item m="1" x="18"/>
        <item m="1" x="227"/>
        <item m="1" x="188"/>
        <item m="1" x="202"/>
        <item m="1" x="258"/>
        <item m="1" x="181"/>
        <item m="1" x="90"/>
        <item m="1" x="171"/>
        <item m="1" x="278"/>
        <item m="1" x="317"/>
        <item m="1" x="131"/>
        <item m="1" x="33"/>
        <item m="1" x="31"/>
        <item m="1" x="183"/>
        <item m="1" x="61"/>
        <item m="1" x="98"/>
        <item m="1" x="236"/>
        <item m="1" x="269"/>
        <item m="1" x="311"/>
        <item m="1" x="58"/>
        <item m="1" x="67"/>
        <item m="1" x="120"/>
        <item m="1" x="303"/>
        <item m="1" x="195"/>
        <item m="1" x="47"/>
        <item m="1" x="154"/>
        <item m="1" x="246"/>
        <item m="1" x="228"/>
        <item m="1" x="337"/>
        <item m="1" x="255"/>
        <item m="1" x="109"/>
        <item m="1" x="68"/>
        <item m="1" x="204"/>
        <item m="1" x="210"/>
        <item m="1" x="233"/>
        <item m="1" x="15"/>
        <item m="1" x="62"/>
        <item m="1" x="41"/>
        <item m="1" x="168"/>
        <item m="1" x="88"/>
        <item m="1" x="189"/>
        <item m="1" x="272"/>
        <item m="1" x="307"/>
        <item m="1" x="51"/>
        <item m="1" x="24"/>
        <item m="1" x="13"/>
        <item m="1" x="140"/>
        <item m="1" x="290"/>
        <item m="1" x="267"/>
        <item m="1" x="283"/>
        <item m="1" x="191"/>
        <item m="1" x="49"/>
        <item m="1" x="322"/>
        <item m="1" x="254"/>
        <item m="1" x="64"/>
        <item m="1" x="206"/>
        <item m="1" x="262"/>
        <item m="1" x="76"/>
        <item m="1" x="37"/>
        <item m="1" x="38"/>
        <item m="1" x="151"/>
        <item m="1" x="332"/>
        <item m="1" x="66"/>
        <item m="1" x="166"/>
        <item m="1" x="340"/>
        <item m="1" x="159"/>
        <item m="1" x="89"/>
        <item m="1" x="116"/>
        <item m="1" x="229"/>
        <item m="1" x="32"/>
        <item m="1" x="113"/>
        <item m="1" x="336"/>
        <item m="1" x="123"/>
        <item m="1" x="291"/>
        <item m="1" x="270"/>
        <item m="1" x="294"/>
        <item m="1" x="137"/>
        <item m="1" x="161"/>
        <item m="1" x="136"/>
        <item m="1" x="134"/>
        <item m="1" x="65"/>
        <item m="1" x="252"/>
        <item m="1" x="268"/>
        <item m="1" x="256"/>
        <item m="1" x="293"/>
        <item m="1" x="239"/>
        <item m="1" x="184"/>
        <item m="1" x="234"/>
        <item m="1" x="147"/>
        <item m="1" x="19"/>
        <item m="1" x="25"/>
        <item m="1" x="70"/>
        <item m="1" x="271"/>
        <item m="1" x="242"/>
        <item m="1" x="73"/>
        <item m="1" x="316"/>
        <item m="1" x="318"/>
        <item m="1" x="200"/>
        <item m="1" x="282"/>
        <item m="1" x="59"/>
        <item m="1" x="339"/>
        <item m="1" x="127"/>
        <item m="1" x="284"/>
        <item m="1" x="218"/>
        <item m="1" x="240"/>
        <item m="1" x="84"/>
        <item m="1" x="186"/>
        <item m="1" x="130"/>
        <item m="1" x="203"/>
        <item m="1" x="105"/>
        <item m="1" x="190"/>
        <item m="1" x="57"/>
        <item m="1" x="26"/>
        <item m="1" x="145"/>
        <item m="1" x="135"/>
        <item m="1" x="221"/>
        <item m="1" x="231"/>
        <item m="1" x="48"/>
        <item n="GCA (500:1)" x="0"/>
        <item n="NGCA (500:1)" x="1"/>
        <item x="4"/>
        <item x="3"/>
        <item x="2"/>
        <item x="5"/>
        <item x="6"/>
        <item x="11"/>
        <item x="12"/>
        <item x="7"/>
        <item x="10"/>
        <item x="9"/>
        <item t="default"/>
      </items>
    </pivotField>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91"/>
  </rowFields>
  <rowItems count="1">
    <i>
      <x v="339"/>
    </i>
  </rowItems>
  <colFields count="1">
    <field x="-2"/>
  </colFields>
  <colItems count="2">
    <i>
      <x/>
    </i>
    <i i="1">
      <x v="1"/>
    </i>
  </colItems>
  <pageFields count="4">
    <pageField fld="0" hier="-1"/>
    <pageField fld="88" hier="-1"/>
    <pageField fld="2" item="2" hier="-1"/>
    <pageField fld="95" hier="-1"/>
  </pageFields>
  <dataFields count="2">
    <dataField name="Coverage" fld="59" baseField="80" baseItem="1" numFmtId="1"/>
    <dataField name="Gap" fld="62" baseField="80" baseItem="1" numFmtId="1"/>
  </dataFields>
  <formats count="16">
    <format dxfId="783">
      <pivotArea type="all" dataOnly="0" outline="0" fieldPosition="0"/>
    </format>
    <format dxfId="782">
      <pivotArea outline="0" collapsedLevelsAreSubtotals="1" fieldPosition="0"/>
    </format>
    <format dxfId="781">
      <pivotArea field="91" type="button" dataOnly="0" labelOnly="1" outline="0" axis="axisRow" fieldPosition="0"/>
    </format>
    <format dxfId="780">
      <pivotArea type="all" dataOnly="0" outline="0" fieldPosition="0"/>
    </format>
    <format dxfId="779">
      <pivotArea field="91" type="button" dataOnly="0" labelOnly="1" outline="0" axis="axisRow" fieldPosition="0"/>
    </format>
    <format dxfId="778">
      <pivotArea field="91" type="button" dataOnly="0" labelOnly="1" outline="0" axis="axisRow" fieldPosition="0"/>
    </format>
    <format dxfId="777">
      <pivotArea dataOnly="0" labelOnly="1" outline="0" fieldPosition="0">
        <references count="1">
          <reference field="4294967294" count="2">
            <x v="0"/>
            <x v="1"/>
          </reference>
        </references>
      </pivotArea>
    </format>
    <format dxfId="776">
      <pivotArea outline="0" fieldPosition="0">
        <references count="1">
          <reference field="4294967294" count="1">
            <x v="0"/>
          </reference>
        </references>
      </pivotArea>
    </format>
    <format dxfId="775">
      <pivotArea outline="0" fieldPosition="0">
        <references count="1">
          <reference field="4294967294" count="1">
            <x v="1"/>
          </reference>
        </references>
      </pivotArea>
    </format>
    <format dxfId="774">
      <pivotArea type="all" dataOnly="0" outline="0" fieldPosition="0"/>
    </format>
    <format dxfId="773">
      <pivotArea outline="0" collapsedLevelsAreSubtotals="1" fieldPosition="0"/>
    </format>
    <format dxfId="772">
      <pivotArea field="91" type="button" dataOnly="0" labelOnly="1" outline="0" axis="axisRow" fieldPosition="0"/>
    </format>
    <format dxfId="771">
      <pivotArea dataOnly="0" labelOnly="1" fieldPosition="0">
        <references count="1">
          <reference field="91" count="2">
            <x v="339"/>
            <x v="340"/>
          </reference>
        </references>
      </pivotArea>
    </format>
    <format dxfId="770">
      <pivotArea dataOnly="0" labelOnly="1" outline="0" fieldPosition="0">
        <references count="1">
          <reference field="4294967294" count="2">
            <x v="0"/>
            <x v="1"/>
          </reference>
        </references>
      </pivotArea>
    </format>
    <format dxfId="769">
      <pivotArea field="2" type="button" dataOnly="0" labelOnly="1" outline="0" axis="axisPage" fieldPosition="2"/>
    </format>
    <format dxfId="768">
      <pivotArea dataOnly="0" labelOnly="1" outline="0" fieldPosition="0">
        <references count="1">
          <reference field="2" count="1">
            <x v="2"/>
          </reference>
        </references>
      </pivotArea>
    </format>
  </formats>
  <chartFormats count="4">
    <chartFormat chart="6"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1"/>
          </reference>
        </references>
      </pivotArea>
    </chartFormat>
    <chartFormat chart="14" format="14" series="1">
      <pivotArea type="data" outline="0" fieldPosition="0">
        <references count="1">
          <reference field="4294967294" count="1" selected="0">
            <x v="0"/>
          </reference>
        </references>
      </pivotArea>
    </chartFormat>
    <chartFormat chart="14" format="15"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8" rowHeaderCaption="State">
  <location ref="C402:I405" firstHeaderRow="0" firstDataRow="1" firstDataCol="1" rowPageCount="2" colPageCount="1"/>
  <pivotFields count="97">
    <pivotField axis="axisPage" subtotalTop="0" showAll="0">
      <items count="10">
        <item m="1" x="4"/>
        <item m="1" x="5"/>
        <item m="1" x="8"/>
        <item x="2"/>
        <item m="1" x="6"/>
        <item m="1" x="3"/>
        <item m="1" x="7"/>
        <item x="1"/>
        <item x="0"/>
        <item t="default"/>
      </items>
    </pivotField>
    <pivotField subtotalTop="0" showAll="0"/>
    <pivotField axis="axisRow" subtotalTop="0" multipleItemSelectionAllowed="1" showAll="0">
      <items count="5">
        <item x="0"/>
        <item x="1"/>
        <item x="2"/>
        <item h="1"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howAll="0" defaultSubtota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subtotalTop="0" showAll="0">
      <items count="7">
        <item m="1" x="5"/>
        <item h="1" x="1"/>
        <item h="1" x="0"/>
        <item h="1" x="2"/>
        <item h="1"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ubtotalTop="0" showAll="0"/>
  </pivotFields>
  <rowFields count="1">
    <field x="2"/>
  </rowFields>
  <rowItems count="3">
    <i>
      <x/>
    </i>
    <i>
      <x v="1"/>
    </i>
    <i>
      <x v="2"/>
    </i>
  </rowItems>
  <colFields count="1">
    <field x="-2"/>
  </colFields>
  <colItems count="6">
    <i>
      <x/>
    </i>
    <i i="1">
      <x v="1"/>
    </i>
    <i i="2">
      <x v="2"/>
    </i>
    <i i="3">
      <x v="3"/>
    </i>
    <i i="4">
      <x v="4"/>
    </i>
    <i i="5">
      <x v="5"/>
    </i>
  </colItems>
  <pageFields count="2">
    <pageField fld="0" item="8" hier="-1"/>
    <pageField fld="95" hier="-1"/>
  </pageFields>
  <dataFields count="6">
    <dataField name="Sum of # Water points in TLS" fld="19" baseField="2" baseItem="0"/>
    <dataField name=" # of children Latrine s" fld="33" baseField="2" baseItem="0"/>
    <dataField name=" # of latrines in TLS (schools)" fld="34" baseField="2" baseItem="0"/>
    <dataField name=" # of hand washing stations for TLS" fld="24" baseField="2" baseItem="0"/>
    <dataField name="Sum of # HP activities in TLS" fld="44" baseField="2" baseItem="0"/>
    <dataField name="Count of Is sufficient soap available for TLS?" fld="43" subtotal="count" baseField="0" baseItem="0"/>
  </dataFields>
  <formats count="17">
    <format dxfId="800">
      <pivotArea type="all" dataOnly="0" outline="0" fieldPosition="0"/>
    </format>
    <format dxfId="799">
      <pivotArea outline="0" collapsedLevelsAreSubtotals="1" fieldPosition="0"/>
    </format>
    <format dxfId="798">
      <pivotArea field="2" type="button" dataOnly="0" labelOnly="1" outline="0" axis="axisRow" fieldPosition="0"/>
    </format>
    <format dxfId="797">
      <pivotArea dataOnly="0" labelOnly="1" grandRow="1" outline="0" fieldPosition="0"/>
    </format>
    <format dxfId="796">
      <pivotArea type="all" dataOnly="0" outline="0" fieldPosition="0"/>
    </format>
    <format dxfId="795">
      <pivotArea outline="0" collapsedLevelsAreSubtotals="1" fieldPosition="0"/>
    </format>
    <format dxfId="794">
      <pivotArea type="origin" dataOnly="0" labelOnly="1" outline="0" fieldPosition="0"/>
    </format>
    <format dxfId="793">
      <pivotArea field="95" type="button" dataOnly="0" labelOnly="1" outline="0" axis="axisPage" fieldPosition="1"/>
    </format>
    <format dxfId="792">
      <pivotArea type="topRight" dataOnly="0" labelOnly="1" outline="0" fieldPosition="0"/>
    </format>
    <format dxfId="791">
      <pivotArea field="88" type="button" dataOnly="0" labelOnly="1" outline="0"/>
    </format>
    <format dxfId="790">
      <pivotArea dataOnly="0" labelOnly="1" fieldPosition="0">
        <references count="1">
          <reference field="95" count="0"/>
        </references>
      </pivotArea>
    </format>
    <format dxfId="789">
      <pivotArea type="all" dataOnly="0" outline="0" fieldPosition="0"/>
    </format>
    <format dxfId="788">
      <pivotArea outline="0" collapsedLevelsAreSubtotals="1" fieldPosition="0"/>
    </format>
    <format dxfId="787">
      <pivotArea field="2" type="button" dataOnly="0" labelOnly="1" outline="0" axis="axisRow" fieldPosition="0"/>
    </format>
    <format dxfId="786">
      <pivotArea dataOnly="0" labelOnly="1" fieldPosition="0">
        <references count="1">
          <reference field="2" count="0"/>
        </references>
      </pivotArea>
    </format>
    <format dxfId="785">
      <pivotArea dataOnly="0" labelOnly="1" outline="0" fieldPosition="0">
        <references count="1">
          <reference field="4294967294" count="3">
            <x v="1"/>
            <x v="2"/>
            <x v="3"/>
          </reference>
        </references>
      </pivotArea>
    </format>
    <format dxfId="784">
      <pivotArea outline="0" collapsedLevelsAreSubtotals="1" fieldPosition="0"/>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name="R_water1"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9">
  <location ref="I40:K42" firstHeaderRow="0" firstDataRow="1" firstDataCol="1" rowPageCount="3"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numFmtId="9" subtotalTop="0" showAll="0"/>
    <pivotField subtotalTop="0" showAll="0"/>
    <pivotField dataField="1"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Row" subtotalTop="0" showAll="0">
      <items count="7">
        <item m="1" x="5"/>
        <item n="Camp (500:1)" x="1"/>
        <item x="0"/>
        <item h="1" x="2"/>
        <item n="Village (500:1)" x="3"/>
        <item h="1"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88"/>
  </rowFields>
  <rowItems count="2">
    <i>
      <x v="1"/>
    </i>
    <i>
      <x v="4"/>
    </i>
  </rowItems>
  <colFields count="1">
    <field x="-2"/>
  </colFields>
  <colItems count="2">
    <i>
      <x/>
    </i>
    <i i="1">
      <x v="1"/>
    </i>
  </colItems>
  <pageFields count="3">
    <pageField fld="0" hier="-1"/>
    <pageField fld="2" item="1" hier="-1"/>
    <pageField fld="95" hier="-1"/>
  </pageFields>
  <dataFields count="2">
    <dataField name="Coverage" fld="59" baseField="77" baseItem="1" numFmtId="1"/>
    <dataField name="Gap" fld="62" baseField="77" baseItem="1" numFmtId="1"/>
  </dataFields>
  <formats count="16">
    <format dxfId="816">
      <pivotArea type="all" dataOnly="0" outline="0" fieldPosition="0"/>
    </format>
    <format dxfId="815">
      <pivotArea outline="0" collapsedLevelsAreSubtotals="1" fieldPosition="0"/>
    </format>
    <format dxfId="814">
      <pivotArea field="88" type="button" dataOnly="0" labelOnly="1" outline="0" axis="axisRow" fieldPosition="0"/>
    </format>
    <format dxfId="813">
      <pivotArea type="all" dataOnly="0" outline="0" fieldPosition="0"/>
    </format>
    <format dxfId="812">
      <pivotArea field="88" type="button" dataOnly="0" labelOnly="1" outline="0" axis="axisRow" fieldPosition="0"/>
    </format>
    <format dxfId="811">
      <pivotArea field="88" type="button" dataOnly="0" labelOnly="1" outline="0" axis="axisRow" fieldPosition="0"/>
    </format>
    <format dxfId="810">
      <pivotArea dataOnly="0" labelOnly="1" outline="0" fieldPosition="0">
        <references count="1">
          <reference field="4294967294" count="2">
            <x v="0"/>
            <x v="1"/>
          </reference>
        </references>
      </pivotArea>
    </format>
    <format dxfId="809">
      <pivotArea outline="0" fieldPosition="0">
        <references count="1">
          <reference field="4294967294" count="1">
            <x v="0"/>
          </reference>
        </references>
      </pivotArea>
    </format>
    <format dxfId="808">
      <pivotArea outline="0" fieldPosition="0">
        <references count="1">
          <reference field="4294967294" count="1">
            <x v="1"/>
          </reference>
        </references>
      </pivotArea>
    </format>
    <format dxfId="807">
      <pivotArea type="all" dataOnly="0" outline="0" fieldPosition="0"/>
    </format>
    <format dxfId="806">
      <pivotArea outline="0" collapsedLevelsAreSubtotals="1" fieldPosition="0"/>
    </format>
    <format dxfId="805">
      <pivotArea field="88" type="button" dataOnly="0" labelOnly="1" outline="0" axis="axisRow" fieldPosition="0"/>
    </format>
    <format dxfId="804">
      <pivotArea dataOnly="0" labelOnly="1" fieldPosition="0">
        <references count="1">
          <reference field="88" count="2">
            <x v="1"/>
            <x v="4"/>
          </reference>
        </references>
      </pivotArea>
    </format>
    <format dxfId="803">
      <pivotArea dataOnly="0" labelOnly="1" outline="0" fieldPosition="0">
        <references count="1">
          <reference field="4294967294" count="2">
            <x v="0"/>
            <x v="1"/>
          </reference>
        </references>
      </pivotArea>
    </format>
    <format dxfId="802">
      <pivotArea field="2" type="button" dataOnly="0" labelOnly="1" outline="0" axis="axisPage" fieldPosition="1"/>
    </format>
    <format dxfId="801">
      <pivotArea dataOnly="0" labelOnly="1" outline="0" fieldPosition="0">
        <references count="1">
          <reference field="2" count="1">
            <x v="1"/>
          </reference>
        </references>
      </pivotArea>
    </format>
  </formats>
  <chartFormats count="6">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3" format="8" series="1">
      <pivotArea type="data" outline="0" fieldPosition="0">
        <references count="1">
          <reference field="4294967294" count="1" selected="0">
            <x v="0"/>
          </reference>
        </references>
      </pivotArea>
    </chartFormat>
    <chartFormat chart="13" format="9"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name="S_S_CG_C"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1" rowHeaderCaption="State" colHeaderCaption=" ">
  <location ref="S212:U219" firstHeaderRow="0" firstDataRow="1" firstDataCol="1" rowPageCount="4"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Page" subtotalTop="0" showAll="0">
      <items count="5">
        <item x="0"/>
        <item x="1"/>
        <item x="2"/>
        <item m="1" x="3"/>
        <item t="default"/>
      </items>
    </pivotField>
    <pivotField axis="axisRow" subtotalTop="0" showAll="0">
      <items count="40">
        <item x="13"/>
        <item x="0"/>
        <item x="14"/>
        <item x="1"/>
        <item x="2"/>
        <item x="25"/>
        <item x="26"/>
        <item x="27"/>
        <item x="15"/>
        <item x="17"/>
        <item m="1" x="35"/>
        <item m="1" x="37"/>
        <item x="3"/>
        <item x="29"/>
        <item x="19"/>
        <item x="20"/>
        <item x="4"/>
        <item x="5"/>
        <item x="6"/>
        <item x="21"/>
        <item x="30"/>
        <item x="22"/>
        <item x="7"/>
        <item m="1" x="36"/>
        <item x="31"/>
        <item x="28"/>
        <item m="1" x="34"/>
        <item x="16"/>
        <item x="23"/>
        <item x="8"/>
        <item m="1" x="38"/>
        <item x="24"/>
        <item x="9"/>
        <item x="18"/>
        <item x="10"/>
        <item x="11"/>
        <item x="12"/>
        <item m="1" x="33"/>
        <item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5"/>
    </i>
    <i>
      <x v="7"/>
    </i>
    <i>
      <x v="13"/>
    </i>
    <i>
      <x v="20"/>
    </i>
    <i>
      <x v="24"/>
    </i>
    <i>
      <x v="25"/>
    </i>
    <i>
      <x v="38"/>
    </i>
  </rowItems>
  <colFields count="1">
    <field x="-2"/>
  </colFields>
  <colItems count="2">
    <i>
      <x/>
    </i>
    <i i="1">
      <x v="1"/>
    </i>
  </colItems>
  <pageFields count="4">
    <pageField fld="0" hier="-1"/>
    <pageField fld="95" item="0" hier="-1"/>
    <pageField fld="88" hier="-1"/>
    <pageField fld="2" item="2" hier="-1"/>
  </pageFields>
  <dataFields count="2">
    <dataField name="% Latrine Coverage" fld="65" subtotal="average" baseField="3" baseItem="1"/>
    <dataField name="% Latrine GAP" fld="67" subtotal="average" baseField="3" baseItem="1"/>
  </dataFields>
  <formats count="12">
    <format dxfId="828">
      <pivotArea field="2" type="button" dataOnly="0" labelOnly="1" outline="0" axis="axisPage" fieldPosition="3"/>
    </format>
    <format dxfId="827">
      <pivotArea type="all" dataOnly="0" outline="0" fieldPosition="0"/>
    </format>
    <format dxfId="826">
      <pivotArea outline="0" collapsedLevelsAreSubtotals="1" fieldPosition="0"/>
    </format>
    <format dxfId="825">
      <pivotArea field="2" type="button" dataOnly="0" labelOnly="1" outline="0" axis="axisPage" fieldPosition="3"/>
    </format>
    <format dxfId="824">
      <pivotArea type="all" dataOnly="0" outline="0" fieldPosition="0"/>
    </format>
    <format dxfId="823">
      <pivotArea outline="0" collapsedLevelsAreSubtotals="1" fieldPosition="0"/>
    </format>
    <format dxfId="822">
      <pivotArea outline="0" collapsedLevelsAreSubtotals="1" fieldPosition="0"/>
    </format>
    <format dxfId="821">
      <pivotArea field="3" type="button" dataOnly="0" labelOnly="1" outline="0" axis="axisRow" fieldPosition="0"/>
    </format>
    <format dxfId="820">
      <pivotArea field="3" type="button" dataOnly="0" labelOnly="1" outline="0" axis="axisRow" fieldPosition="0"/>
    </format>
    <format dxfId="819">
      <pivotArea field="3" type="button" dataOnly="0" labelOnly="1" outline="0" axis="axisRow" fieldPosition="0"/>
    </format>
    <format dxfId="818">
      <pivotArea field="2" type="button" dataOnly="0" labelOnly="1" outline="0" axis="axisPage" fieldPosition="3"/>
    </format>
    <format dxfId="817">
      <pivotArea dataOnly="0" labelOnly="1" outline="0" fieldPosition="0">
        <references count="2">
          <reference field="2" count="1">
            <x v="2"/>
          </reference>
          <reference field="95" count="1" selected="0">
            <x v="0"/>
          </reference>
        </references>
      </pivotArea>
    </format>
  </formats>
  <chartFormats count="8">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3" format="0" series="1">
      <pivotArea type="data" outline="0" fieldPosition="0">
        <references count="1">
          <reference field="4294967294" count="1" selected="0">
            <x v="0"/>
          </reference>
        </references>
      </pivotArea>
    </chartFormat>
    <chartFormat chart="43" format="1" series="1">
      <pivotArea type="data" outline="0" fieldPosition="0">
        <references count="1">
          <reference field="4294967294" count="1" selected="0">
            <x v="1"/>
          </reference>
        </references>
      </pivotArea>
    </chartFormat>
    <chartFormat chart="48" format="0" series="1">
      <pivotArea type="data" outline="0" fieldPosition="0">
        <references count="1">
          <reference field="4294967294" count="1" selected="0">
            <x v="0"/>
          </reference>
        </references>
      </pivotArea>
    </chartFormat>
    <chartFormat chart="48"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K_Traffic" cacheId="0" applyNumberFormats="0" applyBorderFormats="0" applyFontFormats="0" applyPatternFormats="0" applyAlignmentFormats="0" applyWidthHeightFormats="1" dataCaption="Values" updatedVersion="5" minRefreshableVersion="3" itemPrintTitles="1" createdVersion="6" indent="0" outline="1" outlineData="1" multipleFieldFilters="0" rowHeaderCaption="Township">
  <location ref="C10:G24" firstHeaderRow="0" firstDataRow="1" firstDataCol="1" rowPageCount="4" colPageCount="1"/>
  <pivotFields count="97">
    <pivotField axis="axisPage" subtotalTop="0" multipleItemSelectionAllowed="1" showAll="0">
      <items count="10">
        <item m="1" x="4"/>
        <item m="1" x="5"/>
        <item h="1" x="2"/>
        <item m="1" x="3"/>
        <item m="1" x="8"/>
        <item m="1" x="6"/>
        <item m="1" x="7"/>
        <item h="1" x="1"/>
        <item x="0"/>
        <item t="default"/>
      </items>
    </pivotField>
    <pivotField subtotalTop="0" showAll="0"/>
    <pivotField axis="axisPage" subtotalTop="0" showAll="0">
      <items count="5">
        <item x="0"/>
        <item x="1"/>
        <item x="2"/>
        <item m="1" x="3"/>
        <item t="default"/>
      </items>
    </pivotField>
    <pivotField axis="axisRow" subtotalTop="0" showAll="0" sortType="ascending">
      <items count="40">
        <item x="13"/>
        <item x="0"/>
        <item x="14"/>
        <item x="1"/>
        <item x="2"/>
        <item x="25"/>
        <item x="26"/>
        <item x="27"/>
        <item x="15"/>
        <item x="17"/>
        <item m="1" x="35"/>
        <item m="1" x="37"/>
        <item x="3"/>
        <item x="29"/>
        <item x="19"/>
        <item x="20"/>
        <item x="4"/>
        <item x="5"/>
        <item m="1" x="33"/>
        <item x="6"/>
        <item x="21"/>
        <item x="30"/>
        <item x="22"/>
        <item x="7"/>
        <item m="1" x="36"/>
        <item x="31"/>
        <item x="28"/>
        <item x="32"/>
        <item m="1" x="34"/>
        <item x="16"/>
        <item x="23"/>
        <item x="8"/>
        <item m="1" x="38"/>
        <item x="24"/>
        <item x="9"/>
        <item x="18"/>
        <item x="10"/>
        <item x="11"/>
        <item x="12"/>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dataField="1"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14">
    <i>
      <x v="1"/>
    </i>
    <i>
      <x v="3"/>
    </i>
    <i>
      <x v="4"/>
    </i>
    <i>
      <x v="12"/>
    </i>
    <i>
      <x v="16"/>
    </i>
    <i>
      <x v="17"/>
    </i>
    <i>
      <x v="19"/>
    </i>
    <i>
      <x v="23"/>
    </i>
    <i>
      <x v="31"/>
    </i>
    <i>
      <x v="34"/>
    </i>
    <i>
      <x v="36"/>
    </i>
    <i>
      <x v="37"/>
    </i>
    <i>
      <x v="38"/>
    </i>
    <i t="grand">
      <x/>
    </i>
  </rowItems>
  <colFields count="1">
    <field x="-2"/>
  </colFields>
  <colItems count="4">
    <i>
      <x/>
    </i>
    <i i="1">
      <x v="1"/>
    </i>
    <i i="2">
      <x v="2"/>
    </i>
    <i i="3">
      <x v="3"/>
    </i>
  </colItems>
  <pageFields count="4">
    <pageField fld="0" hier="-1"/>
    <pageField fld="95" item="0" hier="-1"/>
    <pageField fld="88" hier="-1"/>
    <pageField fld="2" item="0" hier="-1"/>
  </pageFields>
  <dataFields count="4">
    <dataField name="PoP " fld="6" baseField="0" baseItem="0" numFmtId="164"/>
    <dataField name="Waters GAP" fld="60" subtotal="average" baseField="3" baseItem="1" numFmtId="9"/>
    <dataField name="Sanitation Gap" fld="67" subtotal="average" baseField="3" baseItem="1" numFmtId="9"/>
    <dataField name="Hygiene Gap" fld="78" subtotal="average" baseField="3" baseItem="1" numFmtId="9"/>
  </dataFields>
  <formats count="37">
    <format dxfId="865">
      <pivotArea type="all" dataOnly="0" outline="0" fieldPosition="0"/>
    </format>
    <format dxfId="864">
      <pivotArea outline="0" collapsedLevelsAreSubtotals="1" fieldPosition="0"/>
    </format>
    <format dxfId="863">
      <pivotArea field="3" type="button" dataOnly="0" labelOnly="1" outline="0" axis="axisRow" fieldPosition="0"/>
    </format>
    <format dxfId="862">
      <pivotArea dataOnly="0" labelOnly="1" outline="0" axis="axisValues" fieldPosition="0"/>
    </format>
    <format dxfId="861">
      <pivotArea dataOnly="0" labelOnly="1" fieldPosition="0">
        <references count="1">
          <reference field="3" count="0"/>
        </references>
      </pivotArea>
    </format>
    <format dxfId="860">
      <pivotArea dataOnly="0" labelOnly="1" grandRow="1" outline="0" fieldPosition="0"/>
    </format>
    <format dxfId="859">
      <pivotArea dataOnly="0" labelOnly="1" outline="0" axis="axisValues" fieldPosition="0"/>
    </format>
    <format dxfId="858">
      <pivotArea type="all" dataOnly="0" outline="0" fieldPosition="0"/>
    </format>
    <format dxfId="857">
      <pivotArea field="3" type="button" dataOnly="0" labelOnly="1" outline="0" axis="axisRow" fieldPosition="0"/>
    </format>
    <format dxfId="856">
      <pivotArea dataOnly="0" labelOnly="1" outline="0" axis="axisValues" fieldPosition="0"/>
    </format>
    <format dxfId="855">
      <pivotArea dataOnly="0" labelOnly="1" fieldPosition="0">
        <references count="1">
          <reference field="3" count="0"/>
        </references>
      </pivotArea>
    </format>
    <format dxfId="854">
      <pivotArea dataOnly="0" labelOnly="1" outline="0" axis="axisValues" fieldPosition="0"/>
    </format>
    <format dxfId="853">
      <pivotArea outline="0" fieldPosition="0">
        <references count="1">
          <reference field="4294967294" count="1">
            <x v="2"/>
          </reference>
        </references>
      </pivotArea>
    </format>
    <format dxfId="852">
      <pivotArea field="3" type="button" dataOnly="0" labelOnly="1" outline="0" axis="axisRow" fieldPosition="0"/>
    </format>
    <format dxfId="851">
      <pivotArea dataOnly="0" labelOnly="1" outline="0" fieldPosition="0">
        <references count="1">
          <reference field="4294967294" count="2">
            <x v="1"/>
            <x v="2"/>
          </reference>
        </references>
      </pivotArea>
    </format>
    <format dxfId="850">
      <pivotArea outline="0" fieldPosition="0">
        <references count="1">
          <reference field="4294967294" count="1">
            <x v="1"/>
          </reference>
        </references>
      </pivotArea>
    </format>
    <format dxfId="849">
      <pivotArea outline="0" fieldPosition="0">
        <references count="1">
          <reference field="4294967294" count="1">
            <x v="1"/>
          </reference>
        </references>
      </pivotArea>
    </format>
    <format dxfId="848">
      <pivotArea outline="0" fieldPosition="0">
        <references count="1">
          <reference field="4294967294" count="1">
            <x v="3"/>
          </reference>
        </references>
      </pivotArea>
    </format>
    <format dxfId="847">
      <pivotArea type="all" dataOnly="0" outline="0" fieldPosition="0"/>
    </format>
    <format dxfId="846">
      <pivotArea field="3" type="button" dataOnly="0" labelOnly="1" outline="0" axis="axisRow" fieldPosition="0"/>
    </format>
    <format dxfId="845">
      <pivotArea dataOnly="0" labelOnly="1" fieldPosition="0">
        <references count="1">
          <reference field="3" count="0"/>
        </references>
      </pivotArea>
    </format>
    <format dxfId="844">
      <pivotArea dataOnly="0" labelOnly="1" outline="0" fieldPosition="0">
        <references count="1">
          <reference field="4294967294" count="4">
            <x v="0"/>
            <x v="1"/>
            <x v="2"/>
            <x v="3"/>
          </reference>
        </references>
      </pivotArea>
    </format>
    <format dxfId="843">
      <pivotArea type="all" dataOnly="0" outline="0" fieldPosition="0"/>
    </format>
    <format dxfId="842">
      <pivotArea outline="0" collapsedLevelsAreSubtotals="1" fieldPosition="0"/>
    </format>
    <format dxfId="841">
      <pivotArea field="3" type="button" dataOnly="0" labelOnly="1" outline="0" axis="axisRow" fieldPosition="0"/>
    </format>
    <format dxfId="840">
      <pivotArea dataOnly="0" labelOnly="1" fieldPosition="0">
        <references count="1">
          <reference field="3" count="0"/>
        </references>
      </pivotArea>
    </format>
    <format dxfId="839">
      <pivotArea dataOnly="0" labelOnly="1" outline="0" fieldPosition="0">
        <references count="1">
          <reference field="4294967294" count="4">
            <x v="0"/>
            <x v="1"/>
            <x v="2"/>
            <x v="3"/>
          </reference>
        </references>
      </pivotArea>
    </format>
    <format dxfId="838">
      <pivotArea field="3" type="button" dataOnly="0" labelOnly="1" outline="0" axis="axisRow" fieldPosition="0"/>
    </format>
    <format dxfId="837">
      <pivotArea dataOnly="0" labelOnly="1" outline="0" fieldPosition="0">
        <references count="1">
          <reference field="4294967294" count="4">
            <x v="0"/>
            <x v="1"/>
            <x v="2"/>
            <x v="3"/>
          </reference>
        </references>
      </pivotArea>
    </format>
    <format dxfId="836">
      <pivotArea outline="0" collapsedLevelsAreSubtotals="1" fieldPosition="0">
        <references count="1">
          <reference field="4294967294" count="1" selected="0">
            <x v="0"/>
          </reference>
        </references>
      </pivotArea>
    </format>
    <format dxfId="835">
      <pivotArea type="all" dataOnly="0" outline="0" fieldPosition="0"/>
    </format>
    <format dxfId="834">
      <pivotArea outline="0" collapsedLevelsAreSubtotals="1" fieldPosition="0"/>
    </format>
    <format dxfId="833">
      <pivotArea field="3" type="button" dataOnly="0" labelOnly="1" outline="0" axis="axisRow" fieldPosition="0"/>
    </format>
    <format dxfId="832">
      <pivotArea dataOnly="0" labelOnly="1" fieldPosition="0">
        <references count="1">
          <reference field="3" count="13">
            <x v="1"/>
            <x v="3"/>
            <x v="4"/>
            <x v="12"/>
            <x v="16"/>
            <x v="17"/>
            <x v="19"/>
            <x v="23"/>
            <x v="31"/>
            <x v="34"/>
            <x v="36"/>
            <x v="37"/>
            <x v="38"/>
          </reference>
        </references>
      </pivotArea>
    </format>
    <format dxfId="831">
      <pivotArea dataOnly="0" labelOnly="1" grandRow="1" outline="0" fieldPosition="0"/>
    </format>
    <format dxfId="830">
      <pivotArea dataOnly="0" labelOnly="1" outline="0" fieldPosition="0">
        <references count="1">
          <reference field="4294967294" count="4">
            <x v="0"/>
            <x v="1"/>
            <x v="2"/>
            <x v="3"/>
          </reference>
        </references>
      </pivotArea>
    </format>
    <format dxfId="829">
      <pivotArea field="2" type="button" dataOnly="0" labelOnly="1" outline="0" axis="axisPage" fieldPosition="3"/>
    </format>
  </formats>
  <chartFormats count="4">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0"/>
          </reference>
        </references>
      </pivotArea>
    </chartFormat>
    <chartFormat chart="1" format="8" series="1">
      <pivotArea type="data" outline="0" fieldPosition="0">
        <references count="1">
          <reference field="4294967294" count="1" selected="0">
            <x v="1"/>
          </reference>
        </references>
      </pivotArea>
    </chartFormat>
    <chartFormat chart="1" format="9" series="1">
      <pivotArea type="data" outline="0" fieldPosition="0">
        <references count="1">
          <reference field="4294967294" count="1" selected="0">
            <x v="2"/>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x14:conditionalFormats count="1">
          <x14:conditionalFormat priority="7" id="{CD7AF3A7-7200-4B7F-8062-7CC225B14868}">
            <x14:pivotAreas count="1">
              <pivotArea type="data" outline="0" collapsedLevelsAreSubtotals="1" fieldPosition="0">
                <references count="1">
                  <reference field="4294967294" count="3" selected="0">
                    <x v="1"/>
                    <x v="2"/>
                    <x v="3"/>
                  </reference>
                </references>
              </pivotArea>
            </x14:pivotAreas>
          </x14:conditionalFormat>
        </x14:conditionalFormats>
      </x14:pivotTableDefinition>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name="R_Geo" cacheId="0"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17">
  <location ref="H286:J290" firstHeaderRow="1" firstDataRow="2" firstDataCol="1" rowPageCount="2" colPageCount="1"/>
  <pivotFields count="97">
    <pivotField axis="axisPage" subtotalTop="0" showAll="0">
      <items count="10">
        <item m="1" x="4"/>
        <item m="1" x="5"/>
        <item m="1" x="8"/>
        <item x="2"/>
        <item m="1" x="6"/>
        <item m="1" x="3"/>
        <item m="1" x="7"/>
        <item x="1"/>
        <item x="0"/>
        <item t="default"/>
      </items>
    </pivotField>
    <pivotField subtotalTop="0" showAll="0"/>
    <pivotField axis="axisPage" subtotalTop="0" multipleItemSelectionAllowed="1" showAll="0">
      <items count="5">
        <item h="1" x="0"/>
        <item x="1"/>
        <item h="1" x="2"/>
        <item m="1" x="3"/>
        <item t="default"/>
      </items>
    </pivotField>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Row" subtotalTop="0" showAll="0">
      <items count="7">
        <item m="1" x="5"/>
        <item x="1"/>
        <item x="0"/>
        <item x="2"/>
        <item x="3"/>
        <item x="4"/>
        <item t="default"/>
      </items>
    </pivotField>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ubtotalTop="0" showAll="0"/>
  </pivotFields>
  <rowFields count="1">
    <field x="88"/>
  </rowFields>
  <rowItems count="3">
    <i>
      <x v="1"/>
    </i>
    <i>
      <x v="3"/>
    </i>
    <i>
      <x v="4"/>
    </i>
  </rowItems>
  <colFields count="1">
    <field x="95"/>
  </colFields>
  <colItems count="2">
    <i>
      <x/>
    </i>
    <i>
      <x v="1"/>
    </i>
  </colItems>
  <pageFields count="2">
    <pageField fld="0" item="8" hier="-1"/>
    <pageField fld="2" hier="-1"/>
  </pageFields>
  <dataFields count="1">
    <dataField name="Count of Site Name" fld="4" subtotal="count" baseField="0" baseItem="0"/>
  </dataFields>
  <formats count="20">
    <format dxfId="885">
      <pivotArea type="all" dataOnly="0" outline="0" fieldPosition="0"/>
    </format>
    <format dxfId="884">
      <pivotArea outline="0" collapsedLevelsAreSubtotals="1" fieldPosition="0"/>
    </format>
    <format dxfId="883">
      <pivotArea field="2" type="button" dataOnly="0" labelOnly="1" outline="0" axis="axisPage" fieldPosition="1"/>
    </format>
    <format dxfId="882">
      <pivotArea dataOnly="0" labelOnly="1" fieldPosition="0">
        <references count="1">
          <reference field="2" count="0"/>
        </references>
      </pivotArea>
    </format>
    <format dxfId="881">
      <pivotArea dataOnly="0" labelOnly="1" grandRow="1" outline="0" fieldPosition="0"/>
    </format>
    <format dxfId="880">
      <pivotArea dataOnly="0" labelOnly="1" outline="0" fieldPosition="0">
        <references count="1">
          <reference field="4294967294" count="1">
            <x v="0"/>
          </reference>
        </references>
      </pivotArea>
    </format>
    <format dxfId="879">
      <pivotArea type="all" dataOnly="0" outline="0" fieldPosition="0"/>
    </format>
    <format dxfId="878">
      <pivotArea outline="0" collapsedLevelsAreSubtotals="1" fieldPosition="0"/>
    </format>
    <format dxfId="877">
      <pivotArea type="origin" dataOnly="0" labelOnly="1" outline="0" fieldPosition="0"/>
    </format>
    <format dxfId="876">
      <pivotArea field="95" type="button" dataOnly="0" labelOnly="1" outline="0" axis="axisCol" fieldPosition="0"/>
    </format>
    <format dxfId="875">
      <pivotArea type="topRight" dataOnly="0" labelOnly="1" outline="0" fieldPosition="0"/>
    </format>
    <format dxfId="874">
      <pivotArea field="88" type="button" dataOnly="0" labelOnly="1" outline="0" axis="axisRow" fieldPosition="0"/>
    </format>
    <format dxfId="873">
      <pivotArea dataOnly="0" labelOnly="1" fieldPosition="0">
        <references count="1">
          <reference field="95" count="0"/>
        </references>
      </pivotArea>
    </format>
    <format dxfId="872">
      <pivotArea type="all" dataOnly="0" outline="0" fieldPosition="0"/>
    </format>
    <format dxfId="871">
      <pivotArea outline="0" collapsedLevelsAreSubtotals="1" fieldPosition="0"/>
    </format>
    <format dxfId="870">
      <pivotArea dataOnly="0" labelOnly="1" fieldPosition="0">
        <references count="1">
          <reference field="88" count="3">
            <x v="1"/>
            <x v="3"/>
            <x v="4"/>
          </reference>
        </references>
      </pivotArea>
    </format>
    <format dxfId="869">
      <pivotArea dataOnly="0" labelOnly="1" fieldPosition="0">
        <references count="1">
          <reference field="95" count="0"/>
        </references>
      </pivotArea>
    </format>
    <format dxfId="868">
      <pivotArea field="2" type="button" dataOnly="0" labelOnly="1" outline="0" axis="axisPage" fieldPosition="1"/>
    </format>
    <format dxfId="867">
      <pivotArea dataOnly="0" labelOnly="1" outline="0" fieldPosition="0">
        <references count="2">
          <reference field="0" count="1" selected="0">
            <x v="7"/>
          </reference>
          <reference field="2" count="0"/>
        </references>
      </pivotArea>
    </format>
    <format dxfId="866">
      <pivotArea dataOnly="0" labelOnly="1" outline="0" fieldPosition="0">
        <references count="2">
          <reference field="0" count="1" selected="0">
            <x v="8"/>
          </reference>
          <reference field="2" count="0"/>
        </references>
      </pivotArea>
    </format>
  </formats>
  <chartFormats count="8">
    <chartFormat chart="1" format="0" series="1">
      <pivotArea type="data" outline="0" fieldPosition="0">
        <references count="2">
          <reference field="4294967294" count="1" selected="0">
            <x v="0"/>
          </reference>
          <reference field="95" count="1" selected="0">
            <x v="0"/>
          </reference>
        </references>
      </pivotArea>
    </chartFormat>
    <chartFormat chart="1" format="1" series="1">
      <pivotArea type="data" outline="0" fieldPosition="0">
        <references count="2">
          <reference field="4294967294" count="1" selected="0">
            <x v="0"/>
          </reference>
          <reference field="95" count="1" selected="0">
            <x v="1"/>
          </reference>
        </references>
      </pivotArea>
    </chartFormat>
    <chartFormat chart="9" format="8" series="1">
      <pivotArea type="data" outline="0" fieldPosition="0">
        <references count="2">
          <reference field="4294967294" count="1" selected="0">
            <x v="0"/>
          </reference>
          <reference field="95" count="1" selected="0">
            <x v="0"/>
          </reference>
        </references>
      </pivotArea>
    </chartFormat>
    <chartFormat chart="9" format="9" series="1">
      <pivotArea type="data" outline="0" fieldPosition="0">
        <references count="2">
          <reference field="4294967294" count="1" selected="0">
            <x v="0"/>
          </reference>
          <reference field="95" count="1" selected="0">
            <x v="1"/>
          </reference>
        </references>
      </pivotArea>
    </chartFormat>
    <chartFormat chart="14" format="8" series="1">
      <pivotArea type="data" outline="0" fieldPosition="0">
        <references count="2">
          <reference field="4294967294" count="1" selected="0">
            <x v="0"/>
          </reference>
          <reference field="95" count="1" selected="0">
            <x v="0"/>
          </reference>
        </references>
      </pivotArea>
    </chartFormat>
    <chartFormat chart="14" format="9" series="1">
      <pivotArea type="data" outline="0" fieldPosition="0">
        <references count="2">
          <reference field="4294967294" count="1" selected="0">
            <x v="0"/>
          </reference>
          <reference field="95" count="1" selected="0">
            <x v="1"/>
          </reference>
        </references>
      </pivotArea>
    </chartFormat>
    <chartFormat chart="16" format="8" series="1">
      <pivotArea type="data" outline="0" fieldPosition="0">
        <references count="2">
          <reference field="4294967294" count="1" selected="0">
            <x v="0"/>
          </reference>
          <reference field="95" count="1" selected="0">
            <x v="0"/>
          </reference>
        </references>
      </pivotArea>
    </chartFormat>
    <chartFormat chart="16" format="9" series="1">
      <pivotArea type="data" outline="0" fieldPosition="0">
        <references count="2">
          <reference field="4294967294" count="1" selected="0">
            <x v="0"/>
          </reference>
          <reference field="95"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name="water_test" cacheId="0"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1" rowHeaderCaption="State">
  <location ref="B54:E57" firstHeaderRow="0" firstDataRow="1" firstDataCol="1" rowPageCount="3" colPageCount="1"/>
  <pivotFields count="97">
    <pivotField axis="axisPage" subtotalTop="0" multipleItemSelectionAllowed="1" showAll="0">
      <items count="10">
        <item m="1" x="4"/>
        <item m="1" x="5"/>
        <item h="1" x="2"/>
        <item h="1" m="1" x="3"/>
        <item m="1" x="8"/>
        <item m="1" x="6"/>
        <item h="1" m="1" x="7"/>
        <item h="1" x="1"/>
        <item x="0"/>
        <item t="default"/>
      </items>
    </pivotField>
    <pivotField subtotalTop="0" showAll="0"/>
    <pivotField axis="axisRow" subtotalTop="0" showAll="0">
      <items count="5">
        <item x="0"/>
        <item x="1"/>
        <item x="2"/>
        <item m="1" x="3"/>
        <item t="default"/>
      </items>
    </pivotField>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dataField="1" showAll="0" defaultSubtotal="0"/>
    <pivotField dataField="1"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1"/>
        <item x="0"/>
        <item h="1" x="2"/>
        <item h="1" x="3"/>
        <item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2"/>
  </rowFields>
  <rowItems count="3">
    <i>
      <x/>
    </i>
    <i>
      <x v="1"/>
    </i>
    <i>
      <x v="2"/>
    </i>
  </rowItems>
  <colFields count="1">
    <field x="-2"/>
  </colFields>
  <colItems count="3">
    <i>
      <x/>
    </i>
    <i i="1">
      <x v="1"/>
    </i>
    <i i="2">
      <x v="2"/>
    </i>
  </colItems>
  <pageFields count="3">
    <pageField fld="0" hier="-1"/>
    <pageField fld="95" hier="-1"/>
    <pageField fld="88" hier="-1"/>
  </pageFields>
  <dataFields count="3">
    <dataField name="Average of %Water samples which passed at HH" fld="49" subtotal="average" baseField="2" baseItem="0" numFmtId="9"/>
    <dataField name="Average of %of Water samples which passed at water source" fld="48" subtotal="average" baseField="2" baseItem="1"/>
    <dataField name="Count of Site Name" fld="4" subtotal="count" baseField="0" baseItem="0"/>
  </dataFields>
  <formats count="16">
    <format dxfId="901">
      <pivotArea field="2" type="button" dataOnly="0" labelOnly="1" outline="0" axis="axisRow" fieldPosition="0"/>
    </format>
    <format dxfId="900">
      <pivotArea dataOnly="0" labelOnly="1" outline="0" fieldPosition="0">
        <references count="1">
          <reference field="4294967294" count="2">
            <x v="0"/>
            <x v="2"/>
          </reference>
        </references>
      </pivotArea>
    </format>
    <format dxfId="899">
      <pivotArea type="all" dataOnly="0" outline="0" fieldPosition="0"/>
    </format>
    <format dxfId="898">
      <pivotArea outline="0" collapsedLevelsAreSubtotals="1" fieldPosition="0"/>
    </format>
    <format dxfId="897">
      <pivotArea field="2" type="button" dataOnly="0" labelOnly="1" outline="0" axis="axisRow" fieldPosition="0"/>
    </format>
    <format dxfId="896">
      <pivotArea dataOnly="0" labelOnly="1" fieldPosition="0">
        <references count="1">
          <reference field="2" count="0"/>
        </references>
      </pivotArea>
    </format>
    <format dxfId="895">
      <pivotArea dataOnly="0" labelOnly="1" outline="0" fieldPosition="0">
        <references count="1">
          <reference field="4294967294" count="2">
            <x v="0"/>
            <x v="2"/>
          </reference>
        </references>
      </pivotArea>
    </format>
    <format dxfId="894">
      <pivotArea type="all" dataOnly="0" outline="0" fieldPosition="0"/>
    </format>
    <format dxfId="893">
      <pivotArea collapsedLevelsAreSubtotals="1" fieldPosition="0">
        <references count="2">
          <reference field="4294967294" count="1" selected="0">
            <x v="1"/>
          </reference>
          <reference field="2" count="2">
            <x v="0"/>
            <x v="1"/>
          </reference>
        </references>
      </pivotArea>
    </format>
    <format dxfId="892">
      <pivotArea type="all" dataOnly="0" outline="0" fieldPosition="0"/>
    </format>
    <format dxfId="891">
      <pivotArea outline="0" collapsedLevelsAreSubtotals="1" fieldPosition="0"/>
    </format>
    <format dxfId="890">
      <pivotArea field="2" type="button" dataOnly="0" labelOnly="1" outline="0" axis="axisRow" fieldPosition="0"/>
    </format>
    <format dxfId="889">
      <pivotArea dataOnly="0" labelOnly="1" fieldPosition="0">
        <references count="1">
          <reference field="2" count="0"/>
        </references>
      </pivotArea>
    </format>
    <format dxfId="888">
      <pivotArea dataOnly="0" labelOnly="1" outline="0" fieldPosition="0">
        <references count="1">
          <reference field="4294967294" count="3">
            <x v="0"/>
            <x v="1"/>
            <x v="2"/>
          </reference>
        </references>
      </pivotArea>
    </format>
    <format dxfId="887">
      <pivotArea collapsedLevelsAreSubtotals="1" fieldPosition="0">
        <references count="2">
          <reference field="4294967294" count="1" selected="0">
            <x v="1"/>
          </reference>
          <reference field="2" count="1">
            <x v="2"/>
          </reference>
        </references>
      </pivotArea>
    </format>
    <format dxfId="886">
      <pivotArea dataOnly="0" labelOnly="1" outline="0" fieldPosition="0">
        <references count="1">
          <reference field="4294967294" count="1">
            <x v="1"/>
          </reference>
        </references>
      </pivotArea>
    </format>
  </formats>
  <chartFormats count="4">
    <chartFormat chart="11" format="1"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2"/>
          </reference>
        </references>
      </pivotArea>
    </chartFormat>
    <chartFormat chart="20" format="1"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2"/>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5" minRefreshableVersion="3" rowGrandTotals="0" colGrandTotals="0" itemPrintTitles="1" createdVersion="6" indent="0" compact="0" compactData="0" multipleFieldFilters="0" rowHeaderCaption="Township">
  <location ref="AF10:AG21" firstHeaderRow="1" firstDataRow="1" firstDataCol="2" rowPageCount="4" colPageCount="1"/>
  <pivotFields count="97">
    <pivotField axis="axisPage" compact="0" outline="0" subtotalTop="0" showAll="0" defaultSubtotal="0">
      <items count="9">
        <item m="1" x="4"/>
        <item m="1" x="5"/>
        <item x="2"/>
        <item m="1" x="3"/>
        <item m="1" x="8"/>
        <item m="1" x="6"/>
        <item m="1" x="7"/>
        <item x="1"/>
        <item x="0"/>
      </items>
    </pivotField>
    <pivotField axis="axisRow" compact="0" outline="0" subtotalTop="0" showAll="0" defaultSubtotal="0">
      <items count="54">
        <item m="1" x="51"/>
        <item m="1" x="45"/>
        <item x="10"/>
        <item m="1" x="47"/>
        <item m="1" x="39"/>
        <item x="12"/>
        <item x="30"/>
        <item m="1" x="50"/>
        <item x="18"/>
        <item x="3"/>
        <item x="8"/>
        <item x="25"/>
        <item x="28"/>
        <item x="21"/>
        <item x="5"/>
        <item x="29"/>
        <item x="23"/>
        <item m="1" x="48"/>
        <item x="13"/>
        <item x="15"/>
        <item m="1" x="53"/>
        <item x="1"/>
        <item x="31"/>
        <item m="1" x="49"/>
        <item x="34"/>
        <item x="32"/>
        <item x="33"/>
        <item m="1" x="40"/>
        <item x="11"/>
        <item m="1" x="43"/>
        <item x="2"/>
        <item x="17"/>
        <item m="1" x="41"/>
        <item x="20"/>
        <item x="16"/>
        <item x="7"/>
        <item x="26"/>
        <item m="1" x="52"/>
        <item x="36"/>
        <item x="27"/>
        <item x="35"/>
        <item x="19"/>
        <item x="24"/>
        <item x="37"/>
        <item x="22"/>
        <item x="4"/>
        <item x="0"/>
        <item x="9"/>
        <item m="1" x="46"/>
        <item m="1" x="42"/>
        <item m="1" x="44"/>
        <item x="6"/>
        <item m="1" x="38"/>
        <item x="14"/>
      </items>
    </pivotField>
    <pivotField axis="axisPage" compact="0" outline="0" subtotalTop="0" showAll="0" defaultSubtotal="0">
      <items count="4">
        <item x="0"/>
        <item x="1"/>
        <item x="2"/>
        <item m="1" x="3"/>
      </items>
    </pivotField>
    <pivotField axis="axisRow" compact="0" outline="0" subtotalTop="0" showAll="0" sortType="ascending" defaultSubtotal="0">
      <items count="39">
        <item x="13"/>
        <item x="0"/>
        <item x="14"/>
        <item x="1"/>
        <item x="2"/>
        <item x="25"/>
        <item x="26"/>
        <item x="27"/>
        <item x="15"/>
        <item x="17"/>
        <item m="1" x="35"/>
        <item m="1" x="37"/>
        <item x="3"/>
        <item x="29"/>
        <item x="19"/>
        <item x="20"/>
        <item x="4"/>
        <item x="5"/>
        <item m="1" x="33"/>
        <item x="6"/>
        <item x="21"/>
        <item x="30"/>
        <item x="22"/>
        <item x="7"/>
        <item m="1" x="36"/>
        <item x="31"/>
        <item x="28"/>
        <item x="32"/>
        <item m="1" x="34"/>
        <item x="16"/>
        <item x="23"/>
        <item x="8"/>
        <item m="1" x="38"/>
        <item x="24"/>
        <item x="9"/>
        <item x="18"/>
        <item x="10"/>
        <item x="11"/>
        <item x="1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6">
        <item m="1" x="5"/>
        <item x="1"/>
        <item x="0"/>
        <item h="1" x="2"/>
        <item h="1" x="3"/>
        <item x="4"/>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x="1"/>
        <item m="1" x="3"/>
        <item m="1" x="2"/>
      </items>
    </pivotField>
    <pivotField compact="0" outline="0" subtotalTop="0" showAll="0" defaultSubtotal="0"/>
  </pivotFields>
  <rowFields count="2">
    <field x="3"/>
    <field x="1"/>
  </rowFields>
  <rowItems count="11">
    <i>
      <x v="8"/>
      <x v="31"/>
    </i>
    <i>
      <x v="9"/>
      <x v="18"/>
    </i>
    <i>
      <x v="22"/>
      <x v="34"/>
    </i>
    <i>
      <x v="29"/>
      <x v="8"/>
    </i>
    <i r="1">
      <x v="35"/>
    </i>
    <i r="1">
      <x v="46"/>
    </i>
    <i>
      <x v="35"/>
      <x v="5"/>
    </i>
    <i r="1">
      <x v="8"/>
    </i>
    <i r="1">
      <x v="31"/>
    </i>
    <i r="1">
      <x v="33"/>
    </i>
    <i r="1">
      <x v="46"/>
    </i>
  </rowItems>
  <colItems count="1">
    <i/>
  </colItems>
  <pageFields count="4">
    <pageField fld="0" item="8" hier="-1"/>
    <pageField fld="95" hier="-1"/>
    <pageField fld="88" hier="-1"/>
    <pageField fld="2" item="1" hier="-1"/>
  </pageFields>
  <formats count="28">
    <format dxfId="929">
      <pivotArea type="all" dataOnly="0" outline="0" fieldPosition="0"/>
    </format>
    <format dxfId="928">
      <pivotArea outline="0" collapsedLevelsAreSubtotals="1" fieldPosition="0"/>
    </format>
    <format dxfId="927">
      <pivotArea field="3" type="button" dataOnly="0" labelOnly="1" outline="0" axis="axisRow" fieldPosition="0"/>
    </format>
    <format dxfId="926">
      <pivotArea dataOnly="0" labelOnly="1" outline="0" axis="axisValues" fieldPosition="0"/>
    </format>
    <format dxfId="925">
      <pivotArea dataOnly="0" labelOnly="1" fieldPosition="0">
        <references count="1">
          <reference field="3" count="0"/>
        </references>
      </pivotArea>
    </format>
    <format dxfId="924">
      <pivotArea dataOnly="0" labelOnly="1" grandRow="1" outline="0" fieldPosition="0"/>
    </format>
    <format dxfId="923">
      <pivotArea dataOnly="0" labelOnly="1" outline="0" axis="axisValues" fieldPosition="0"/>
    </format>
    <format dxfId="922">
      <pivotArea type="all" dataOnly="0" outline="0" fieldPosition="0"/>
    </format>
    <format dxfId="921">
      <pivotArea field="3" type="button" dataOnly="0" labelOnly="1" outline="0" axis="axisRow" fieldPosition="0"/>
    </format>
    <format dxfId="920">
      <pivotArea dataOnly="0" labelOnly="1" outline="0" axis="axisValues" fieldPosition="0"/>
    </format>
    <format dxfId="919">
      <pivotArea dataOnly="0" labelOnly="1" fieldPosition="0">
        <references count="1">
          <reference field="3" count="0"/>
        </references>
      </pivotArea>
    </format>
    <format dxfId="918">
      <pivotArea dataOnly="0" labelOnly="1" outline="0" axis="axisValues" fieldPosition="0"/>
    </format>
    <format dxfId="917">
      <pivotArea field="3" type="button" dataOnly="0" labelOnly="1" outline="0" axis="axisRow" fieldPosition="0"/>
    </format>
    <format dxfId="916">
      <pivotArea type="all" dataOnly="0" outline="0" fieldPosition="0"/>
    </format>
    <format dxfId="915">
      <pivotArea field="3" type="button" dataOnly="0" labelOnly="1" outline="0" axis="axisRow" fieldPosition="0"/>
    </format>
    <format dxfId="914">
      <pivotArea type="all" dataOnly="0" outline="0" fieldPosition="0"/>
    </format>
    <format dxfId="913">
      <pivotArea outline="0" collapsedLevelsAreSubtotals="1" fieldPosition="0"/>
    </format>
    <format dxfId="912">
      <pivotArea field="3" type="button" dataOnly="0" labelOnly="1" outline="0" axis="axisRow" fieldPosition="0"/>
    </format>
    <format dxfId="911">
      <pivotArea dataOnly="0" labelOnly="1" fieldPosition="0">
        <references count="1">
          <reference field="3" count="2">
            <x v="29"/>
            <x v="35"/>
          </reference>
        </references>
      </pivotArea>
    </format>
    <format dxfId="910">
      <pivotArea field="3" type="button" dataOnly="0" labelOnly="1" outline="0" axis="axisRow" fieldPosition="0"/>
    </format>
    <format dxfId="909">
      <pivotArea type="all" dataOnly="0" outline="0" fieldPosition="0"/>
    </format>
    <format dxfId="908">
      <pivotArea outline="0" collapsedLevelsAreSubtotals="1" fieldPosition="0"/>
    </format>
    <format dxfId="907">
      <pivotArea field="3" type="button" dataOnly="0" labelOnly="1" outline="0" axis="axisRow" fieldPosition="0"/>
    </format>
    <format dxfId="906">
      <pivotArea dataOnly="0" labelOnly="1" fieldPosition="0">
        <references count="1">
          <reference field="3" count="5">
            <x v="8"/>
            <x v="9"/>
            <x v="22"/>
            <x v="29"/>
            <x v="35"/>
          </reference>
        </references>
      </pivotArea>
    </format>
    <format dxfId="905">
      <pivotArea dataOnly="0" labelOnly="1" grandRow="1" outline="0" fieldPosition="0"/>
    </format>
    <format dxfId="904">
      <pivotArea field="2" type="button" dataOnly="0" labelOnly="1" outline="0" axis="axisPage" fieldPosition="3"/>
    </format>
    <format dxfId="903">
      <pivotArea dataOnly="0" labelOnly="1" outline="0" fieldPosition="0">
        <references count="2">
          <reference field="0" count="1" selected="0">
            <x v="7"/>
          </reference>
          <reference field="2" count="1">
            <x v="1"/>
          </reference>
        </references>
      </pivotArea>
    </format>
    <format dxfId="902">
      <pivotArea dataOnly="0" labelOnly="1" outline="0" fieldPosition="0">
        <references count="2">
          <reference field="0" count="1" selected="0">
            <x v="8"/>
          </reference>
          <reference field="2" count="1">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rowGrandTotals="0" colGrandTotals="0" itemPrintTitles="1" createdVersion="6" indent="0" compact="0" compactData="0" multipleFieldFilters="0" rowHeaderCaption="Township">
  <location ref="AL10:AM26" firstHeaderRow="1" firstDataRow="1" firstDataCol="2" rowPageCount="4" colPageCount="1"/>
  <pivotFields count="97">
    <pivotField axis="axisPage" compact="0" outline="0" subtotalTop="0" showAll="0" defaultSubtotal="0">
      <items count="9">
        <item m="1" x="4"/>
        <item m="1" x="5"/>
        <item x="2"/>
        <item m="1" x="3"/>
        <item m="1" x="8"/>
        <item m="1" x="6"/>
        <item m="1" x="7"/>
        <item x="1"/>
        <item x="0"/>
      </items>
    </pivotField>
    <pivotField axis="axisRow" compact="0" outline="0" subtotalTop="0" showAll="0" defaultSubtotal="0">
      <items count="54">
        <item m="1" x="51"/>
        <item m="1" x="45"/>
        <item x="10"/>
        <item m="1" x="47"/>
        <item m="1" x="39"/>
        <item x="12"/>
        <item x="30"/>
        <item m="1" x="50"/>
        <item x="18"/>
        <item x="3"/>
        <item x="8"/>
        <item x="25"/>
        <item x="28"/>
        <item x="21"/>
        <item x="5"/>
        <item x="29"/>
        <item x="23"/>
        <item m="1" x="48"/>
        <item x="13"/>
        <item x="15"/>
        <item m="1" x="53"/>
        <item x="1"/>
        <item x="31"/>
        <item m="1" x="49"/>
        <item x="34"/>
        <item x="32"/>
        <item x="33"/>
        <item m="1" x="40"/>
        <item x="11"/>
        <item m="1" x="43"/>
        <item x="2"/>
        <item x="17"/>
        <item m="1" x="41"/>
        <item x="20"/>
        <item x="16"/>
        <item x="7"/>
        <item x="26"/>
        <item m="1" x="52"/>
        <item x="36"/>
        <item x="27"/>
        <item x="35"/>
        <item x="19"/>
        <item x="24"/>
        <item x="37"/>
        <item x="22"/>
        <item x="4"/>
        <item x="0"/>
        <item x="9"/>
        <item m="1" x="46"/>
        <item m="1" x="42"/>
        <item m="1" x="44"/>
        <item x="6"/>
        <item m="1" x="38"/>
        <item x="14"/>
      </items>
    </pivotField>
    <pivotField axis="axisPage" compact="0" outline="0" subtotalTop="0" showAll="0" defaultSubtotal="0">
      <items count="4">
        <item x="0"/>
        <item x="1"/>
        <item x="2"/>
        <item m="1" x="3"/>
      </items>
    </pivotField>
    <pivotField axis="axisRow" compact="0" outline="0" subtotalTop="0" showAll="0" sortType="ascending" defaultSubtotal="0">
      <items count="39">
        <item x="13"/>
        <item x="0"/>
        <item x="14"/>
        <item x="1"/>
        <item x="2"/>
        <item x="25"/>
        <item x="26"/>
        <item x="27"/>
        <item x="15"/>
        <item x="17"/>
        <item m="1" x="35"/>
        <item m="1" x="37"/>
        <item x="3"/>
        <item x="29"/>
        <item x="19"/>
        <item x="20"/>
        <item x="4"/>
        <item x="5"/>
        <item m="1" x="33"/>
        <item x="6"/>
        <item x="21"/>
        <item x="30"/>
        <item x="22"/>
        <item x="7"/>
        <item m="1" x="36"/>
        <item x="31"/>
        <item x="28"/>
        <item x="32"/>
        <item m="1" x="34"/>
        <item x="16"/>
        <item x="23"/>
        <item x="8"/>
        <item m="1" x="38"/>
        <item x="24"/>
        <item x="9"/>
        <item x="18"/>
        <item x="10"/>
        <item x="11"/>
        <item x="1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6">
        <item m="1" x="5"/>
        <item h="1" x="1"/>
        <item h="1" x="0"/>
        <item h="1" x="2"/>
        <item x="3"/>
        <item h="1" x="4"/>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x="1"/>
        <item m="1" x="3"/>
        <item m="1" x="2"/>
      </items>
    </pivotField>
    <pivotField compact="0" outline="0" subtotalTop="0" showAll="0" defaultSubtotal="0"/>
  </pivotFields>
  <rowFields count="2">
    <field x="3"/>
    <field x="1"/>
  </rowFields>
  <rowItems count="16">
    <i>
      <x v="2"/>
      <x v="28"/>
    </i>
    <i>
      <x v="9"/>
      <x v="5"/>
    </i>
    <i r="1">
      <x v="18"/>
    </i>
    <i r="1">
      <x v="53"/>
    </i>
    <i>
      <x v="14"/>
      <x v="19"/>
    </i>
    <i r="1">
      <x v="28"/>
    </i>
    <i>
      <x v="22"/>
      <x v="34"/>
    </i>
    <i>
      <x v="29"/>
      <x v="35"/>
    </i>
    <i r="1">
      <x v="46"/>
    </i>
    <i>
      <x v="33"/>
      <x v="28"/>
    </i>
    <i>
      <x v="35"/>
      <x v="5"/>
    </i>
    <i r="1">
      <x v="18"/>
    </i>
    <i r="1">
      <x v="31"/>
    </i>
    <i r="1">
      <x v="35"/>
    </i>
    <i r="1">
      <x v="41"/>
    </i>
    <i r="1">
      <x v="46"/>
    </i>
  </rowItems>
  <colItems count="1">
    <i/>
  </colItems>
  <pageFields count="4">
    <pageField fld="0" item="8" hier="-1"/>
    <pageField fld="95" hier="-1"/>
    <pageField fld="88" hier="-1"/>
    <pageField fld="2" item="1" hier="-1"/>
  </pageFields>
  <formats count="27">
    <format dxfId="956">
      <pivotArea type="all" dataOnly="0" outline="0" fieldPosition="0"/>
    </format>
    <format dxfId="955">
      <pivotArea outline="0" collapsedLevelsAreSubtotals="1" fieldPosition="0"/>
    </format>
    <format dxfId="954">
      <pivotArea field="3" type="button" dataOnly="0" labelOnly="1" outline="0" axis="axisRow" fieldPosition="0"/>
    </format>
    <format dxfId="953">
      <pivotArea dataOnly="0" labelOnly="1" outline="0" axis="axisValues" fieldPosition="0"/>
    </format>
    <format dxfId="952">
      <pivotArea dataOnly="0" labelOnly="1" fieldPosition="0">
        <references count="1">
          <reference field="3" count="0"/>
        </references>
      </pivotArea>
    </format>
    <format dxfId="951">
      <pivotArea dataOnly="0" labelOnly="1" grandRow="1" outline="0" fieldPosition="0"/>
    </format>
    <format dxfId="950">
      <pivotArea dataOnly="0" labelOnly="1" outline="0" axis="axisValues" fieldPosition="0"/>
    </format>
    <format dxfId="949">
      <pivotArea type="all" dataOnly="0" outline="0" fieldPosition="0"/>
    </format>
    <format dxfId="948">
      <pivotArea field="3" type="button" dataOnly="0" labelOnly="1" outline="0" axis="axisRow" fieldPosition="0"/>
    </format>
    <format dxfId="947">
      <pivotArea dataOnly="0" labelOnly="1" outline="0" axis="axisValues" fieldPosition="0"/>
    </format>
    <format dxfId="946">
      <pivotArea dataOnly="0" labelOnly="1" fieldPosition="0">
        <references count="1">
          <reference field="3" count="0"/>
        </references>
      </pivotArea>
    </format>
    <format dxfId="945">
      <pivotArea dataOnly="0" labelOnly="1" outline="0" axis="axisValues" fieldPosition="0"/>
    </format>
    <format dxfId="944">
      <pivotArea field="3" type="button" dataOnly="0" labelOnly="1" outline="0" axis="axisRow" fieldPosition="0"/>
    </format>
    <format dxfId="943">
      <pivotArea type="all" dataOnly="0" outline="0" fieldPosition="0"/>
    </format>
    <format dxfId="942">
      <pivotArea field="3" type="button" dataOnly="0" labelOnly="1" outline="0" axis="axisRow" fieldPosition="0"/>
    </format>
    <format dxfId="941">
      <pivotArea type="all" dataOnly="0" outline="0" fieldPosition="0"/>
    </format>
    <format dxfId="940">
      <pivotArea outline="0" collapsedLevelsAreSubtotals="1" fieldPosition="0"/>
    </format>
    <format dxfId="939">
      <pivotArea field="3" type="button" dataOnly="0" labelOnly="1" outline="0" axis="axisRow" fieldPosition="0"/>
    </format>
    <format dxfId="938">
      <pivotArea dataOnly="0" labelOnly="1" fieldPosition="0">
        <references count="1">
          <reference field="3" count="2">
            <x v="29"/>
            <x v="35"/>
          </reference>
        </references>
      </pivotArea>
    </format>
    <format dxfId="937">
      <pivotArea field="3" type="button" dataOnly="0" labelOnly="1" outline="0" axis="axisRow" fieldPosition="0"/>
    </format>
    <format dxfId="936">
      <pivotArea type="all" dataOnly="0" outline="0" fieldPosition="0"/>
    </format>
    <format dxfId="935">
      <pivotArea outline="0" collapsedLevelsAreSubtotals="1" fieldPosition="0"/>
    </format>
    <format dxfId="934">
      <pivotArea field="3" type="button" dataOnly="0" labelOnly="1" outline="0" axis="axisRow" fieldPosition="0"/>
    </format>
    <format dxfId="933">
      <pivotArea dataOnly="0" labelOnly="1" fieldPosition="0">
        <references count="1">
          <reference field="3" count="5">
            <x v="8"/>
            <x v="9"/>
            <x v="22"/>
            <x v="29"/>
            <x v="35"/>
          </reference>
        </references>
      </pivotArea>
    </format>
    <format dxfId="932">
      <pivotArea dataOnly="0" labelOnly="1" grandRow="1" outline="0" fieldPosition="0"/>
    </format>
    <format dxfId="931">
      <pivotArea field="2" type="button" dataOnly="0" labelOnly="1" outline="0" axis="axisPage" fieldPosition="3"/>
    </format>
    <format dxfId="930">
      <pivotArea dataOnly="0" labelOnly="1" outline="0" fieldPosition="0">
        <references count="2">
          <reference field="0" count="1" selected="0">
            <x v="7"/>
          </reference>
          <reference field="2" count="1">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chartFormat="5">
  <location ref="A29:G190" firstHeaderRow="0" firstDataRow="1" firstDataCol="3" rowPageCount="1" colPageCount="1"/>
  <pivotFields count="97">
    <pivotField axis="axisPage" compact="0" outline="0" multipleItemSelectionAllowed="1" showAll="0">
      <items count="10">
        <item m="1" x="7"/>
        <item m="1" x="4"/>
        <item m="1" x="5"/>
        <item m="1" x="8"/>
        <item x="2"/>
        <item m="1" x="6"/>
        <item m="1" x="3"/>
        <item x="1"/>
        <item x="0"/>
        <item t="default"/>
      </items>
    </pivotField>
    <pivotField axis="axisRow" compact="0" outline="0" showAll="0">
      <items count="55">
        <item m="1" x="51"/>
        <item m="1" x="45"/>
        <item x="10"/>
        <item m="1" x="47"/>
        <item m="1" x="39"/>
        <item x="12"/>
        <item x="30"/>
        <item x="18"/>
        <item x="3"/>
        <item x="5"/>
        <item x="29"/>
        <item x="23"/>
        <item m="1" x="48"/>
        <item x="13"/>
        <item x="15"/>
        <item x="1"/>
        <item x="31"/>
        <item m="1" x="49"/>
        <item x="34"/>
        <item x="32"/>
        <item x="33"/>
        <item m="1" x="40"/>
        <item x="11"/>
        <item x="2"/>
        <item x="17"/>
        <item m="1" x="41"/>
        <item x="16"/>
        <item x="7"/>
        <item x="26"/>
        <item m="1" x="52"/>
        <item x="36"/>
        <item x="35"/>
        <item x="24"/>
        <item x="37"/>
        <item x="22"/>
        <item x="4"/>
        <item x="0"/>
        <item x="9"/>
        <item m="1" x="46"/>
        <item m="1" x="42"/>
        <item x="6"/>
        <item m="1" x="38"/>
        <item x="8"/>
        <item m="1" x="50"/>
        <item x="20"/>
        <item x="19"/>
        <item x="25"/>
        <item m="1" x="44"/>
        <item m="1" x="43"/>
        <item m="1" x="53"/>
        <item x="21"/>
        <item x="28"/>
        <item x="27"/>
        <item x="14"/>
        <item t="default"/>
      </items>
    </pivotField>
    <pivotField axis="axisRow" compact="0" outline="0" showAll="0">
      <items count="5">
        <item x="0"/>
        <item x="1"/>
        <item x="2"/>
        <item m="1" x="3"/>
        <item t="default"/>
      </items>
    </pivotField>
    <pivotField axis="axisRow" compact="0" outline="0" showAll="0">
      <items count="40">
        <item x="13"/>
        <item x="0"/>
        <item x="14"/>
        <item x="1"/>
        <item x="2"/>
        <item x="25"/>
        <item x="26"/>
        <item x="27"/>
        <item x="15"/>
        <item x="17"/>
        <item m="1" x="35"/>
        <item m="1" x="37"/>
        <item x="3"/>
        <item x="29"/>
        <item x="19"/>
        <item x="20"/>
        <item x="4"/>
        <item x="5"/>
        <item x="6"/>
        <item x="21"/>
        <item x="30"/>
        <item x="22"/>
        <item x="7"/>
        <item x="31"/>
        <item x="28"/>
        <item m="1" x="34"/>
        <item x="16"/>
        <item x="23"/>
        <item x="8"/>
        <item m="1" x="38"/>
        <item x="24"/>
        <item x="9"/>
        <item x="18"/>
        <item x="10"/>
        <item x="11"/>
        <item x="12"/>
        <item m="1" x="36"/>
        <item m="1" x="33"/>
        <item x="32"/>
        <item t="default"/>
      </items>
    </pivotField>
    <pivotField compact="0" outline="0" showAll="0"/>
    <pivotField compact="0" outline="0" showAll="0"/>
    <pivotField dataField="1"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9" outline="0" showAll="0"/>
    <pivotField compact="0" numFmtId="9" outline="0" showAll="0"/>
    <pivotField compact="0" numFmtId="9" outline="0" showAll="0"/>
    <pivotField compact="0" numFmtId="1" outline="0" showAll="0"/>
    <pivotField compact="0" numFmtId="9" outline="0" showAll="0"/>
    <pivotField compact="0" numFmtId="1" outline="0" showAll="0"/>
    <pivotField compact="0" numFmtId="9" outline="0" showAll="0"/>
    <pivotField dataField="1" compact="0" numFmtId="1" outline="0" showAll="0"/>
    <pivotField compact="0" outline="0" showAll="0"/>
    <pivotField compact="0" numFmtId="9" outline="0" showAll="0"/>
    <pivotField compact="0" numFmtId="1" outline="0" showAll="0"/>
    <pivotField compact="0" numFmtId="1" outline="0" showAll="0"/>
    <pivotField compact="0" numFmtId="1" outline="0" showAll="0"/>
    <pivotField compact="0" numFmtId="1" outline="0" showAll="0"/>
    <pivotField compact="0" numFmtId="9" outline="0" showAll="0"/>
    <pivotField dataField="1" compact="0" numFmtId="1" outline="0" showAll="0"/>
    <pivotField compact="0" numFmtId="9" outline="0" showAll="0"/>
    <pivotField compact="0" numFmtId="1" outline="0" showAll="0"/>
    <pivotField compact="0" numFmtId="1" outline="0" showAll="0"/>
    <pivotField compact="0" numFmtId="9" outline="0" showAll="0"/>
    <pivotField compact="0" outline="0" showAll="0"/>
    <pivotField compact="0" numFmtId="1" outline="0" showAll="0"/>
    <pivotField compact="0" numFmtId="1" outline="0" showAll="0"/>
    <pivotField compact="0" numFmtId="1" outline="0" showAll="0"/>
    <pivotField compact="0" numFmtId="1" outline="0" showAll="0"/>
    <pivotField dataField="1" compact="0" numFmtId="1" outline="0" showAl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compact="0" outline="0" showAll="0">
      <items count="7">
        <item m="1" x="5"/>
        <item x="1"/>
        <item x="0"/>
        <item x="4"/>
        <item x="3"/>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2"/>
    <field x="3"/>
    <field x="1"/>
  </rowFields>
  <rowItems count="161">
    <i>
      <x/>
      <x v="1"/>
      <x v="8"/>
    </i>
    <i r="2">
      <x v="15"/>
    </i>
    <i r="2">
      <x v="23"/>
    </i>
    <i r="2">
      <x v="36"/>
    </i>
    <i t="default" r="1">
      <x v="1"/>
    </i>
    <i r="1">
      <x v="3"/>
      <x v="8"/>
    </i>
    <i r="2">
      <x v="9"/>
    </i>
    <i r="2">
      <x v="35"/>
    </i>
    <i t="default" r="1">
      <x v="3"/>
    </i>
    <i r="1">
      <x v="4"/>
      <x v="8"/>
    </i>
    <i r="2">
      <x v="9"/>
    </i>
    <i r="2">
      <x v="10"/>
    </i>
    <i r="2">
      <x v="23"/>
    </i>
    <i r="2">
      <x v="35"/>
    </i>
    <i t="default" r="1">
      <x v="4"/>
    </i>
    <i r="1">
      <x v="12"/>
      <x v="8"/>
    </i>
    <i r="2">
      <x v="9"/>
    </i>
    <i r="2">
      <x v="15"/>
    </i>
    <i r="2">
      <x v="23"/>
    </i>
    <i r="2">
      <x v="27"/>
    </i>
    <i r="2">
      <x v="40"/>
    </i>
    <i t="default" r="1">
      <x v="12"/>
    </i>
    <i r="1">
      <x v="16"/>
      <x v="8"/>
    </i>
    <i r="2">
      <x v="9"/>
    </i>
    <i r="2">
      <x v="23"/>
    </i>
    <i r="2">
      <x v="42"/>
    </i>
    <i t="default" r="1">
      <x v="16"/>
    </i>
    <i r="1">
      <x v="17"/>
      <x v="8"/>
    </i>
    <i r="2">
      <x v="9"/>
    </i>
    <i r="2">
      <x v="23"/>
    </i>
    <i t="default" r="1">
      <x v="17"/>
    </i>
    <i r="1">
      <x v="18"/>
      <x v="9"/>
    </i>
    <i r="2">
      <x v="15"/>
    </i>
    <i r="2">
      <x v="23"/>
    </i>
    <i r="2">
      <x v="36"/>
    </i>
    <i r="2">
      <x v="37"/>
    </i>
    <i r="2">
      <x v="40"/>
    </i>
    <i t="default" r="1">
      <x v="18"/>
    </i>
    <i r="1">
      <x v="22"/>
      <x v="8"/>
    </i>
    <i r="2">
      <x v="9"/>
    </i>
    <i r="2">
      <x v="23"/>
    </i>
    <i r="2">
      <x v="35"/>
    </i>
    <i t="default" r="1">
      <x v="22"/>
    </i>
    <i r="1">
      <x v="28"/>
      <x v="8"/>
    </i>
    <i r="2">
      <x v="23"/>
    </i>
    <i t="default" r="1">
      <x v="28"/>
    </i>
    <i r="1">
      <x v="31"/>
      <x v="8"/>
    </i>
    <i r="2">
      <x v="15"/>
    </i>
    <i r="2">
      <x v="23"/>
    </i>
    <i t="default" r="1">
      <x v="31"/>
    </i>
    <i r="1">
      <x v="33"/>
      <x v="8"/>
    </i>
    <i r="2">
      <x v="23"/>
    </i>
    <i t="default" r="1">
      <x v="33"/>
    </i>
    <i r="1">
      <x v="34"/>
      <x v="9"/>
    </i>
    <i r="2">
      <x v="23"/>
    </i>
    <i t="default" r="1">
      <x v="34"/>
    </i>
    <i r="1">
      <x v="35"/>
      <x v="8"/>
    </i>
    <i r="2">
      <x v="9"/>
    </i>
    <i r="2">
      <x v="15"/>
    </i>
    <i r="2">
      <x v="23"/>
    </i>
    <i r="2">
      <x v="35"/>
    </i>
    <i t="default" r="1">
      <x v="35"/>
    </i>
    <i t="default">
      <x/>
    </i>
    <i>
      <x v="1"/>
      <x/>
      <x v="2"/>
    </i>
    <i t="default" r="1">
      <x/>
    </i>
    <i r="1">
      <x v="2"/>
      <x v="22"/>
    </i>
    <i r="2">
      <x v="23"/>
    </i>
    <i t="default" r="1">
      <x v="2"/>
    </i>
    <i r="1">
      <x v="8"/>
      <x v="23"/>
    </i>
    <i r="2">
      <x v="24"/>
    </i>
    <i t="default" r="1">
      <x v="8"/>
    </i>
    <i r="1">
      <x v="9"/>
      <x v="5"/>
    </i>
    <i r="2">
      <x v="13"/>
    </i>
    <i r="2">
      <x v="23"/>
    </i>
    <i r="2">
      <x v="53"/>
    </i>
    <i t="default" r="1">
      <x v="9"/>
    </i>
    <i r="1">
      <x v="14"/>
      <x v="14"/>
    </i>
    <i r="2">
      <x v="22"/>
    </i>
    <i r="2">
      <x v="23"/>
    </i>
    <i t="default" r="1">
      <x v="14"/>
    </i>
    <i r="1">
      <x v="15"/>
      <x v="23"/>
    </i>
    <i t="default" r="1">
      <x v="15"/>
    </i>
    <i r="1">
      <x v="19"/>
      <x v="23"/>
    </i>
    <i t="default" r="1">
      <x v="19"/>
    </i>
    <i r="1">
      <x v="21"/>
      <x v="26"/>
    </i>
    <i t="default" r="1">
      <x v="21"/>
    </i>
    <i r="1">
      <x v="26"/>
      <x v="7"/>
    </i>
    <i r="2">
      <x v="27"/>
    </i>
    <i r="2">
      <x v="36"/>
    </i>
    <i t="default" r="1">
      <x v="26"/>
    </i>
    <i r="1">
      <x v="27"/>
      <x v="23"/>
    </i>
    <i t="default" r="1">
      <x v="27"/>
    </i>
    <i r="1">
      <x v="30"/>
      <x v="22"/>
    </i>
    <i r="2">
      <x v="23"/>
    </i>
    <i t="default" r="1">
      <x v="30"/>
    </i>
    <i r="1">
      <x v="32"/>
      <x v="5"/>
    </i>
    <i r="2">
      <x v="6"/>
    </i>
    <i r="2">
      <x v="7"/>
    </i>
    <i r="2">
      <x v="13"/>
    </i>
    <i r="2">
      <x v="23"/>
    </i>
    <i r="2">
      <x v="24"/>
    </i>
    <i r="2">
      <x v="27"/>
    </i>
    <i r="2">
      <x v="36"/>
    </i>
    <i r="2">
      <x v="44"/>
    </i>
    <i r="2">
      <x v="45"/>
    </i>
    <i t="default" r="1">
      <x v="32"/>
    </i>
    <i t="default">
      <x v="1"/>
    </i>
    <i>
      <x v="2"/>
      <x v="5"/>
      <x v="8"/>
    </i>
    <i r="2">
      <x v="15"/>
    </i>
    <i r="2">
      <x v="23"/>
    </i>
    <i r="2">
      <x v="50"/>
    </i>
    <i t="default" r="1">
      <x v="5"/>
    </i>
    <i r="1">
      <x v="6"/>
      <x v="23"/>
    </i>
    <i t="default" r="1">
      <x v="6"/>
    </i>
    <i r="1">
      <x v="7"/>
      <x v="8"/>
    </i>
    <i r="2">
      <x v="9"/>
    </i>
    <i r="2">
      <x v="11"/>
    </i>
    <i r="2">
      <x v="15"/>
    </i>
    <i r="2">
      <x v="16"/>
    </i>
    <i r="2">
      <x v="19"/>
    </i>
    <i r="2">
      <x v="20"/>
    </i>
    <i r="2">
      <x v="23"/>
    </i>
    <i r="2">
      <x v="27"/>
    </i>
    <i r="2">
      <x v="28"/>
    </i>
    <i r="2">
      <x v="32"/>
    </i>
    <i r="2">
      <x v="34"/>
    </i>
    <i r="2">
      <x v="46"/>
    </i>
    <i r="2">
      <x v="50"/>
    </i>
    <i r="2">
      <x v="51"/>
    </i>
    <i t="default" r="1">
      <x v="7"/>
    </i>
    <i r="1">
      <x v="13"/>
      <x v="9"/>
    </i>
    <i r="2">
      <x v="18"/>
    </i>
    <i r="2">
      <x v="23"/>
    </i>
    <i r="2">
      <x v="28"/>
    </i>
    <i r="2">
      <x v="50"/>
    </i>
    <i t="default" r="1">
      <x v="13"/>
    </i>
    <i r="1">
      <x v="20"/>
      <x v="8"/>
    </i>
    <i r="2">
      <x v="9"/>
    </i>
    <i r="2">
      <x v="15"/>
    </i>
    <i r="2">
      <x v="16"/>
    </i>
    <i r="2">
      <x v="23"/>
    </i>
    <i r="2">
      <x v="46"/>
    </i>
    <i r="2">
      <x v="50"/>
    </i>
    <i t="default" r="1">
      <x v="20"/>
    </i>
    <i r="1">
      <x v="23"/>
      <x v="9"/>
    </i>
    <i r="2">
      <x v="27"/>
    </i>
    <i r="2">
      <x v="30"/>
    </i>
    <i r="2">
      <x v="31"/>
    </i>
    <i r="2">
      <x v="32"/>
    </i>
    <i r="2">
      <x v="34"/>
    </i>
    <i t="default" r="1">
      <x v="23"/>
    </i>
    <i r="1">
      <x v="24"/>
      <x v="15"/>
    </i>
    <i r="2">
      <x v="27"/>
    </i>
    <i r="2">
      <x v="32"/>
    </i>
    <i r="2">
      <x v="33"/>
    </i>
    <i r="2">
      <x v="52"/>
    </i>
    <i t="default" r="1">
      <x v="24"/>
    </i>
    <i r="1">
      <x v="38"/>
      <x v="15"/>
    </i>
    <i t="default" r="1">
      <x v="38"/>
    </i>
    <i t="default">
      <x v="2"/>
    </i>
    <i t="grand">
      <x/>
    </i>
  </rowItems>
  <colFields count="1">
    <field x="-2"/>
  </colFields>
  <colItems count="4">
    <i>
      <x/>
    </i>
    <i i="1">
      <x v="1"/>
    </i>
    <i i="2">
      <x v="2"/>
    </i>
    <i i="3">
      <x v="3"/>
    </i>
  </colItems>
  <pageFields count="1">
    <pageField fld="0" hier="-1"/>
  </pageFields>
  <dataFields count="4">
    <dataField name="Total Population" fld="6" baseField="0" baseItem="0"/>
    <dataField name="Number of People adopt basic personal and community hygiene practices" fld="76" baseField="0" baseItem="0"/>
    <dataField name="Number of people with equitable and continuous access to safe sanitation facilities" fld="66" baseField="0" baseItem="0"/>
    <dataField name="Number of people with equitable and continuous access to sufficient quantity of domestic water" fld="58" baseField="0" baseItem="0"/>
  </dataFields>
  <formats count="67">
    <format dxfId="172">
      <pivotArea field="2" type="button" dataOnly="0" labelOnly="1" outline="0" axis="axisRow" fieldPosition="0"/>
    </format>
    <format dxfId="171">
      <pivotArea field="3" type="button" dataOnly="0" labelOnly="1" outline="0" axis="axisRow" fieldPosition="1"/>
    </format>
    <format dxfId="170">
      <pivotArea field="1" type="button" dataOnly="0" labelOnly="1" outline="0" axis="axisRow" fieldPosition="2"/>
    </format>
    <format dxfId="169">
      <pivotArea dataOnly="0" labelOnly="1" outline="0" fieldPosition="0">
        <references count="1">
          <reference field="4294967294" count="4">
            <x v="0"/>
            <x v="1"/>
            <x v="2"/>
            <x v="3"/>
          </reference>
        </references>
      </pivotArea>
    </format>
    <format dxfId="168">
      <pivotArea field="2" type="button" dataOnly="0" labelOnly="1" outline="0" axis="axisRow" fieldPosition="0"/>
    </format>
    <format dxfId="167">
      <pivotArea field="3" type="button" dataOnly="0" labelOnly="1" outline="0" axis="axisRow" fieldPosition="1"/>
    </format>
    <format dxfId="166">
      <pivotArea field="1" type="button" dataOnly="0" labelOnly="1" outline="0" axis="axisRow" fieldPosition="2"/>
    </format>
    <format dxfId="165">
      <pivotArea dataOnly="0" labelOnly="1" outline="0" fieldPosition="0">
        <references count="1">
          <reference field="4294967294" count="4">
            <x v="0"/>
            <x v="1"/>
            <x v="2"/>
            <x v="3"/>
          </reference>
        </references>
      </pivotArea>
    </format>
    <format dxfId="164">
      <pivotArea field="2" type="button" dataOnly="0" labelOnly="1" outline="0" axis="axisRow" fieldPosition="0"/>
    </format>
    <format dxfId="163">
      <pivotArea field="3" type="button" dataOnly="0" labelOnly="1" outline="0" axis="axisRow" fieldPosition="1"/>
    </format>
    <format dxfId="162">
      <pivotArea field="1" type="button" dataOnly="0" labelOnly="1" outline="0" axis="axisRow" fieldPosition="2"/>
    </format>
    <format dxfId="161">
      <pivotArea dataOnly="0" labelOnly="1" outline="0" fieldPosition="0">
        <references count="1">
          <reference field="4294967294" count="4">
            <x v="0"/>
            <x v="1"/>
            <x v="2"/>
            <x v="3"/>
          </reference>
        </references>
      </pivotArea>
    </format>
    <format dxfId="160">
      <pivotArea dataOnly="0" labelOnly="1" outline="0" fieldPosition="0">
        <references count="1">
          <reference field="4294967294" count="1">
            <x v="3"/>
          </reference>
        </references>
      </pivotArea>
    </format>
    <format dxfId="159">
      <pivotArea dataOnly="0" labelOnly="1" outline="0" fieldPosition="0">
        <references count="1">
          <reference field="4294967294" count="1">
            <x v="3"/>
          </reference>
        </references>
      </pivotArea>
    </format>
    <format dxfId="158">
      <pivotArea dataOnly="0" labelOnly="1" outline="0" fieldPosition="0">
        <references count="1">
          <reference field="4294967294" count="1">
            <x v="2"/>
          </reference>
        </references>
      </pivotArea>
    </format>
    <format dxfId="157">
      <pivotArea dataOnly="0" labelOnly="1" outline="0" fieldPosition="0">
        <references count="1">
          <reference field="4294967294" count="1">
            <x v="2"/>
          </reference>
        </references>
      </pivotArea>
    </format>
    <format dxfId="156">
      <pivotArea dataOnly="0" labelOnly="1" outline="0" fieldPosition="0">
        <references count="1">
          <reference field="4294967294" count="1">
            <x v="1"/>
          </reference>
        </references>
      </pivotArea>
    </format>
    <format dxfId="155">
      <pivotArea dataOnly="0" labelOnly="1" outline="0" fieldPosition="0">
        <references count="1">
          <reference field="4294967294" count="1">
            <x v="1"/>
          </reference>
        </references>
      </pivotArea>
    </format>
    <format dxfId="154">
      <pivotArea dataOnly="0" labelOnly="1" outline="0" fieldPosition="0">
        <references count="1">
          <reference field="4294967294" count="1">
            <x v="0"/>
          </reference>
        </references>
      </pivotArea>
    </format>
    <format dxfId="153">
      <pivotArea dataOnly="0" labelOnly="1" outline="0" fieldPosition="0">
        <references count="1">
          <reference field="4294967294" count="1">
            <x v="0"/>
          </reference>
        </references>
      </pivotArea>
    </format>
    <format dxfId="152">
      <pivotArea type="all" dataOnly="0" outline="0" fieldPosition="0"/>
    </format>
    <format dxfId="151">
      <pivotArea outline="0" collapsedLevelsAreSubtotals="1" fieldPosition="0"/>
    </format>
    <format dxfId="150">
      <pivotArea field="2" type="button" dataOnly="0" labelOnly="1" outline="0" axis="axisRow" fieldPosition="0"/>
    </format>
    <format dxfId="149">
      <pivotArea field="3" type="button" dataOnly="0" labelOnly="1" outline="0" axis="axisRow" fieldPosition="1"/>
    </format>
    <format dxfId="148">
      <pivotArea field="1" type="button" dataOnly="0" labelOnly="1" outline="0" axis="axisRow" fieldPosition="2"/>
    </format>
    <format dxfId="147">
      <pivotArea dataOnly="0" labelOnly="1" outline="0" fieldPosition="0">
        <references count="1">
          <reference field="2" count="0"/>
        </references>
      </pivotArea>
    </format>
    <format dxfId="146">
      <pivotArea dataOnly="0" labelOnly="1" outline="0" fieldPosition="0">
        <references count="1">
          <reference field="2" count="0" defaultSubtotal="1"/>
        </references>
      </pivotArea>
    </format>
    <format dxfId="145">
      <pivotArea dataOnly="0" labelOnly="1" grandRow="1" outline="0" fieldPosition="0"/>
    </format>
    <format dxfId="144">
      <pivotArea dataOnly="0" labelOnly="1" outline="0" fieldPosition="0">
        <references count="2">
          <reference field="2" count="1" selected="0">
            <x v="0"/>
          </reference>
          <reference field="3" count="13">
            <x v="1"/>
            <x v="3"/>
            <x v="4"/>
            <x v="12"/>
            <x v="16"/>
            <x v="17"/>
            <x v="18"/>
            <x v="22"/>
            <x v="28"/>
            <x v="31"/>
            <x v="33"/>
            <x v="34"/>
            <x v="35"/>
          </reference>
        </references>
      </pivotArea>
    </format>
    <format dxfId="143">
      <pivotArea dataOnly="0" labelOnly="1" outline="0" fieldPosition="0">
        <references count="2">
          <reference field="2" count="1" selected="0">
            <x v="0"/>
          </reference>
          <reference field="3" count="13" defaultSubtotal="1">
            <x v="1"/>
            <x v="3"/>
            <x v="4"/>
            <x v="12"/>
            <x v="16"/>
            <x v="17"/>
            <x v="18"/>
            <x v="22"/>
            <x v="28"/>
            <x v="31"/>
            <x v="33"/>
            <x v="34"/>
            <x v="35"/>
          </reference>
        </references>
      </pivotArea>
    </format>
    <format dxfId="142">
      <pivotArea dataOnly="0" labelOnly="1" outline="0" fieldPosition="0">
        <references count="2">
          <reference field="2" count="1" selected="0">
            <x v="1"/>
          </reference>
          <reference field="3" count="12">
            <x v="0"/>
            <x v="2"/>
            <x v="8"/>
            <x v="9"/>
            <x v="14"/>
            <x v="15"/>
            <x v="19"/>
            <x v="21"/>
            <x v="26"/>
            <x v="27"/>
            <x v="30"/>
            <x v="32"/>
          </reference>
        </references>
      </pivotArea>
    </format>
    <format dxfId="141">
      <pivotArea dataOnly="0" labelOnly="1" outline="0" fieldPosition="0">
        <references count="2">
          <reference field="2" count="1" selected="0">
            <x v="1"/>
          </reference>
          <reference field="3" count="12" defaultSubtotal="1">
            <x v="0"/>
            <x v="2"/>
            <x v="8"/>
            <x v="9"/>
            <x v="14"/>
            <x v="15"/>
            <x v="19"/>
            <x v="21"/>
            <x v="26"/>
            <x v="27"/>
            <x v="30"/>
            <x v="32"/>
          </reference>
        </references>
      </pivotArea>
    </format>
    <format dxfId="140">
      <pivotArea dataOnly="0" labelOnly="1" outline="0" fieldPosition="0">
        <references count="2">
          <reference field="2" count="1" selected="0">
            <x v="2"/>
          </reference>
          <reference field="3" count="7">
            <x v="5"/>
            <x v="6"/>
            <x v="7"/>
            <x v="13"/>
            <x v="20"/>
            <x v="23"/>
            <x v="24"/>
          </reference>
        </references>
      </pivotArea>
    </format>
    <format dxfId="139">
      <pivotArea dataOnly="0" labelOnly="1" outline="0" fieldPosition="0">
        <references count="2">
          <reference field="2" count="1" selected="0">
            <x v="2"/>
          </reference>
          <reference field="3" count="7" defaultSubtotal="1">
            <x v="5"/>
            <x v="6"/>
            <x v="7"/>
            <x v="13"/>
            <x v="20"/>
            <x v="23"/>
            <x v="24"/>
          </reference>
        </references>
      </pivotArea>
    </format>
    <format dxfId="138">
      <pivotArea dataOnly="0" labelOnly="1" outline="0" fieldPosition="0">
        <references count="3">
          <reference field="1" count="3">
            <x v="15"/>
            <x v="23"/>
            <x v="36"/>
          </reference>
          <reference field="2" count="1" selected="0">
            <x v="0"/>
          </reference>
          <reference field="3" count="1" selected="0">
            <x v="1"/>
          </reference>
        </references>
      </pivotArea>
    </format>
    <format dxfId="137">
      <pivotArea dataOnly="0" labelOnly="1" outline="0" fieldPosition="0">
        <references count="3">
          <reference field="1" count="3">
            <x v="8"/>
            <x v="9"/>
            <x v="35"/>
          </reference>
          <reference field="2" count="1" selected="0">
            <x v="0"/>
          </reference>
          <reference field="3" count="1" selected="0">
            <x v="3"/>
          </reference>
        </references>
      </pivotArea>
    </format>
    <format dxfId="136">
      <pivotArea dataOnly="0" labelOnly="1" outline="0" fieldPosition="0">
        <references count="3">
          <reference field="1" count="4">
            <x v="8"/>
            <x v="9"/>
            <x v="10"/>
            <x v="35"/>
          </reference>
          <reference field="2" count="1" selected="0">
            <x v="0"/>
          </reference>
          <reference field="3" count="1" selected="0">
            <x v="4"/>
          </reference>
        </references>
      </pivotArea>
    </format>
    <format dxfId="135">
      <pivotArea dataOnly="0" labelOnly="1" outline="0" fieldPosition="0">
        <references count="3">
          <reference field="1" count="6">
            <x v="8"/>
            <x v="9"/>
            <x v="15"/>
            <x v="23"/>
            <x v="27"/>
            <x v="40"/>
          </reference>
          <reference field="2" count="1" selected="0">
            <x v="0"/>
          </reference>
          <reference field="3" count="1" selected="0">
            <x v="12"/>
          </reference>
        </references>
      </pivotArea>
    </format>
    <format dxfId="134">
      <pivotArea dataOnly="0" labelOnly="1" outline="0" fieldPosition="0">
        <references count="3">
          <reference field="1" count="2">
            <x v="8"/>
            <x v="9"/>
          </reference>
          <reference field="2" count="1" selected="0">
            <x v="0"/>
          </reference>
          <reference field="3" count="1" selected="0">
            <x v="16"/>
          </reference>
        </references>
      </pivotArea>
    </format>
    <format dxfId="133">
      <pivotArea dataOnly="0" labelOnly="1" outline="0" fieldPosition="0">
        <references count="3">
          <reference field="1" count="3">
            <x v="8"/>
            <x v="9"/>
            <x v="23"/>
          </reference>
          <reference field="2" count="1" selected="0">
            <x v="0"/>
          </reference>
          <reference field="3" count="1" selected="0">
            <x v="17"/>
          </reference>
        </references>
      </pivotArea>
    </format>
    <format dxfId="132">
      <pivotArea dataOnly="0" labelOnly="1" outline="0" fieldPosition="0">
        <references count="3">
          <reference field="1" count="6">
            <x v="9"/>
            <x v="15"/>
            <x v="23"/>
            <x v="36"/>
            <x v="37"/>
            <x v="40"/>
          </reference>
          <reference field="2" count="1" selected="0">
            <x v="0"/>
          </reference>
          <reference field="3" count="1" selected="0">
            <x v="18"/>
          </reference>
        </references>
      </pivotArea>
    </format>
    <format dxfId="131">
      <pivotArea dataOnly="0" labelOnly="1" outline="0" fieldPosition="0">
        <references count="3">
          <reference field="1" count="3">
            <x v="8"/>
            <x v="9"/>
            <x v="35"/>
          </reference>
          <reference field="2" count="1" selected="0">
            <x v="0"/>
          </reference>
          <reference field="3" count="1" selected="0">
            <x v="22"/>
          </reference>
        </references>
      </pivotArea>
    </format>
    <format dxfId="130">
      <pivotArea dataOnly="0" labelOnly="1" outline="0" fieldPosition="0">
        <references count="3">
          <reference field="1" count="2">
            <x v="8"/>
            <x v="23"/>
          </reference>
          <reference field="2" count="1" selected="0">
            <x v="0"/>
          </reference>
          <reference field="3" count="1" selected="0">
            <x v="28"/>
          </reference>
        </references>
      </pivotArea>
    </format>
    <format dxfId="129">
      <pivotArea dataOnly="0" labelOnly="1" outline="0" fieldPosition="0">
        <references count="3">
          <reference field="1" count="2">
            <x v="15"/>
            <x v="23"/>
          </reference>
          <reference field="2" count="1" selected="0">
            <x v="0"/>
          </reference>
          <reference field="3" count="1" selected="0">
            <x v="31"/>
          </reference>
        </references>
      </pivotArea>
    </format>
    <format dxfId="128">
      <pivotArea dataOnly="0" labelOnly="1" outline="0" fieldPosition="0">
        <references count="3">
          <reference field="1" count="2">
            <x v="8"/>
            <x v="23"/>
          </reference>
          <reference field="2" count="1" selected="0">
            <x v="0"/>
          </reference>
          <reference field="3" count="1" selected="0">
            <x v="33"/>
          </reference>
        </references>
      </pivotArea>
    </format>
    <format dxfId="127">
      <pivotArea dataOnly="0" labelOnly="1" outline="0" fieldPosition="0">
        <references count="3">
          <reference field="1" count="1">
            <x v="9"/>
          </reference>
          <reference field="2" count="1" selected="0">
            <x v="0"/>
          </reference>
          <reference field="3" count="1" selected="0">
            <x v="34"/>
          </reference>
        </references>
      </pivotArea>
    </format>
    <format dxfId="126">
      <pivotArea dataOnly="0" labelOnly="1" outline="0" fieldPosition="0">
        <references count="3">
          <reference field="1" count="5">
            <x v="8"/>
            <x v="9"/>
            <x v="15"/>
            <x v="23"/>
            <x v="35"/>
          </reference>
          <reference field="2" count="1" selected="0">
            <x v="0"/>
          </reference>
          <reference field="3" count="1" selected="0">
            <x v="35"/>
          </reference>
        </references>
      </pivotArea>
    </format>
    <format dxfId="125">
      <pivotArea dataOnly="0" labelOnly="1" outline="0" fieldPosition="0">
        <references count="3">
          <reference field="1" count="1">
            <x v="2"/>
          </reference>
          <reference field="2" count="1" selected="0">
            <x v="1"/>
          </reference>
          <reference field="3" count="1" selected="0">
            <x v="0"/>
          </reference>
        </references>
      </pivotArea>
    </format>
    <format dxfId="124">
      <pivotArea dataOnly="0" labelOnly="1" outline="0" fieldPosition="0">
        <references count="3">
          <reference field="1" count="1">
            <x v="22"/>
          </reference>
          <reference field="2" count="1" selected="0">
            <x v="1"/>
          </reference>
          <reference field="3" count="1" selected="0">
            <x v="2"/>
          </reference>
        </references>
      </pivotArea>
    </format>
    <format dxfId="123">
      <pivotArea dataOnly="0" labelOnly="1" outline="0" fieldPosition="0">
        <references count="3">
          <reference field="1" count="2">
            <x v="23"/>
            <x v="24"/>
          </reference>
          <reference field="2" count="1" selected="0">
            <x v="1"/>
          </reference>
          <reference field="3" count="1" selected="0">
            <x v="8"/>
          </reference>
        </references>
      </pivotArea>
    </format>
    <format dxfId="122">
      <pivotArea dataOnly="0" labelOnly="1" outline="0" fieldPosition="0">
        <references count="3">
          <reference field="1" count="3">
            <x v="5"/>
            <x v="13"/>
            <x v="23"/>
          </reference>
          <reference field="2" count="1" selected="0">
            <x v="1"/>
          </reference>
          <reference field="3" count="1" selected="0">
            <x v="9"/>
          </reference>
        </references>
      </pivotArea>
    </format>
    <format dxfId="121">
      <pivotArea dataOnly="0" labelOnly="1" outline="0" fieldPosition="0">
        <references count="3">
          <reference field="1" count="1">
            <x v="22"/>
          </reference>
          <reference field="2" count="1" selected="0">
            <x v="1"/>
          </reference>
          <reference field="3" count="1" selected="0">
            <x v="14"/>
          </reference>
        </references>
      </pivotArea>
    </format>
    <format dxfId="120">
      <pivotArea dataOnly="0" labelOnly="1" outline="0" fieldPosition="0">
        <references count="3">
          <reference field="1" count="1">
            <x v="23"/>
          </reference>
          <reference field="2" count="1" selected="0">
            <x v="1"/>
          </reference>
          <reference field="3" count="1" selected="0">
            <x v="15"/>
          </reference>
        </references>
      </pivotArea>
    </format>
    <format dxfId="119">
      <pivotArea dataOnly="0" labelOnly="1" outline="0" fieldPosition="0">
        <references count="3">
          <reference field="1" count="1">
            <x v="23"/>
          </reference>
          <reference field="2" count="1" selected="0">
            <x v="1"/>
          </reference>
          <reference field="3" count="1" selected="0">
            <x v="19"/>
          </reference>
        </references>
      </pivotArea>
    </format>
    <format dxfId="118">
      <pivotArea dataOnly="0" labelOnly="1" outline="0" fieldPosition="0">
        <references count="3">
          <reference field="1" count="1">
            <x v="26"/>
          </reference>
          <reference field="2" count="1" selected="0">
            <x v="1"/>
          </reference>
          <reference field="3" count="1" selected="0">
            <x v="21"/>
          </reference>
        </references>
      </pivotArea>
    </format>
    <format dxfId="117">
      <pivotArea dataOnly="0" labelOnly="1" outline="0" fieldPosition="0">
        <references count="3">
          <reference field="1" count="3">
            <x v="7"/>
            <x v="27"/>
            <x v="36"/>
          </reference>
          <reference field="2" count="1" selected="0">
            <x v="1"/>
          </reference>
          <reference field="3" count="1" selected="0">
            <x v="26"/>
          </reference>
        </references>
      </pivotArea>
    </format>
    <format dxfId="116">
      <pivotArea dataOnly="0" labelOnly="1" outline="0" fieldPosition="0">
        <references count="3">
          <reference field="1" count="1">
            <x v="23"/>
          </reference>
          <reference field="2" count="1" selected="0">
            <x v="1"/>
          </reference>
          <reference field="3" count="1" selected="0">
            <x v="27"/>
          </reference>
        </references>
      </pivotArea>
    </format>
    <format dxfId="115">
      <pivotArea dataOnly="0" labelOnly="1" outline="0" fieldPosition="0">
        <references count="3">
          <reference field="1" count="2">
            <x v="22"/>
            <x v="23"/>
          </reference>
          <reference field="2" count="1" selected="0">
            <x v="1"/>
          </reference>
          <reference field="3" count="1" selected="0">
            <x v="30"/>
          </reference>
        </references>
      </pivotArea>
    </format>
    <format dxfId="114">
      <pivotArea dataOnly="0" labelOnly="1" outline="0" fieldPosition="0">
        <references count="3">
          <reference field="1" count="8">
            <x v="5"/>
            <x v="6"/>
            <x v="7"/>
            <x v="13"/>
            <x v="23"/>
            <x v="24"/>
            <x v="27"/>
            <x v="36"/>
          </reference>
          <reference field="2" count="1" selected="0">
            <x v="1"/>
          </reference>
          <reference field="3" count="1" selected="0">
            <x v="32"/>
          </reference>
        </references>
      </pivotArea>
    </format>
    <format dxfId="113">
      <pivotArea dataOnly="0" labelOnly="1" outline="0" fieldPosition="0">
        <references count="3">
          <reference field="1" count="3">
            <x v="8"/>
            <x v="15"/>
            <x v="23"/>
          </reference>
          <reference field="2" count="1" selected="0">
            <x v="2"/>
          </reference>
          <reference field="3" count="1" selected="0">
            <x v="5"/>
          </reference>
        </references>
      </pivotArea>
    </format>
    <format dxfId="112">
      <pivotArea dataOnly="0" labelOnly="1" outline="0" fieldPosition="0">
        <references count="3">
          <reference field="1" count="1">
            <x v="23"/>
          </reference>
          <reference field="2" count="1" selected="0">
            <x v="2"/>
          </reference>
          <reference field="3" count="1" selected="0">
            <x v="6"/>
          </reference>
        </references>
      </pivotArea>
    </format>
    <format dxfId="111">
      <pivotArea dataOnly="0" labelOnly="1" outline="0" fieldPosition="0">
        <references count="3">
          <reference field="1" count="10">
            <x v="8"/>
            <x v="11"/>
            <x v="15"/>
            <x v="16"/>
            <x v="19"/>
            <x v="20"/>
            <x v="23"/>
            <x v="27"/>
            <x v="28"/>
            <x v="32"/>
          </reference>
          <reference field="2" count="1" selected="0">
            <x v="2"/>
          </reference>
          <reference field="3" count="1" selected="0">
            <x v="7"/>
          </reference>
        </references>
      </pivotArea>
    </format>
    <format dxfId="110">
      <pivotArea dataOnly="0" labelOnly="1" outline="0" fieldPosition="0">
        <references count="3">
          <reference field="1" count="3">
            <x v="9"/>
            <x v="18"/>
            <x v="23"/>
          </reference>
          <reference field="2" count="1" selected="0">
            <x v="2"/>
          </reference>
          <reference field="3" count="1" selected="0">
            <x v="13"/>
          </reference>
        </references>
      </pivotArea>
    </format>
    <format dxfId="109">
      <pivotArea dataOnly="0" labelOnly="1" outline="0" fieldPosition="0">
        <references count="3">
          <reference field="1" count="5">
            <x v="8"/>
            <x v="9"/>
            <x v="15"/>
            <x v="16"/>
            <x v="23"/>
          </reference>
          <reference field="2" count="1" selected="0">
            <x v="2"/>
          </reference>
          <reference field="3" count="1" selected="0">
            <x v="20"/>
          </reference>
        </references>
      </pivotArea>
    </format>
    <format dxfId="108">
      <pivotArea dataOnly="0" labelOnly="1" outline="0" fieldPosition="0">
        <references count="3">
          <reference field="1" count="4">
            <x v="30"/>
            <x v="31"/>
            <x v="32"/>
            <x v="34"/>
          </reference>
          <reference field="2" count="1" selected="0">
            <x v="2"/>
          </reference>
          <reference field="3" count="1" selected="0">
            <x v="23"/>
          </reference>
        </references>
      </pivotArea>
    </format>
    <format dxfId="107">
      <pivotArea dataOnly="0" labelOnly="1" outline="0" fieldPosition="0">
        <references count="3">
          <reference field="1" count="4">
            <x v="15"/>
            <x v="27"/>
            <x v="32"/>
            <x v="33"/>
          </reference>
          <reference field="2" count="1" selected="0">
            <x v="2"/>
          </reference>
          <reference field="3" count="1" selected="0">
            <x v="24"/>
          </reference>
        </references>
      </pivotArea>
    </format>
    <format dxfId="106">
      <pivotArea dataOnly="0" labelOnly="1" outline="0" fieldPosition="0">
        <references count="1">
          <reference field="4294967294" count="4">
            <x v="0"/>
            <x v="1"/>
            <x v="2"/>
            <x v="3"/>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3"/>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chartFormat="7">
  <location ref="A38:E208" firstHeaderRow="0" firstDataRow="1" firstDataCol="1" rowPageCount="4" colPageCount="1"/>
  <pivotFields count="97">
    <pivotField axis="axisPage" compact="0" outline="0" showAll="0">
      <items count="10">
        <item m="1" x="7"/>
        <item m="1" x="4"/>
        <item m="1" x="5"/>
        <item m="1" x="8"/>
        <item x="2"/>
        <item m="1" x="6"/>
        <item m="1" x="3"/>
        <item x="1"/>
        <item x="0"/>
        <item t="default"/>
      </items>
    </pivotField>
    <pivotField compact="0" outline="0" showAll="0">
      <items count="55">
        <item m="1" x="51"/>
        <item m="1" x="45"/>
        <item x="10"/>
        <item m="1" x="47"/>
        <item m="1" x="39"/>
        <item x="12"/>
        <item x="30"/>
        <item x="18"/>
        <item x="3"/>
        <item x="5"/>
        <item x="29"/>
        <item x="23"/>
        <item m="1" x="48"/>
        <item x="13"/>
        <item x="15"/>
        <item x="1"/>
        <item x="31"/>
        <item m="1" x="49"/>
        <item x="34"/>
        <item x="32"/>
        <item x="33"/>
        <item m="1" x="40"/>
        <item x="11"/>
        <item x="2"/>
        <item x="17"/>
        <item m="1" x="41"/>
        <item x="16"/>
        <item x="7"/>
        <item x="26"/>
        <item m="1" x="52"/>
        <item x="36"/>
        <item x="35"/>
        <item x="24"/>
        <item x="37"/>
        <item x="22"/>
        <item x="4"/>
        <item x="0"/>
        <item x="9"/>
        <item m="1" x="46"/>
        <item m="1" x="42"/>
        <item x="6"/>
        <item m="1" x="38"/>
        <item x="8"/>
        <item m="1" x="50"/>
        <item x="20"/>
        <item x="19"/>
        <item x="25"/>
        <item m="1" x="44"/>
        <item m="1" x="43"/>
        <item m="1" x="53"/>
        <item x="21"/>
        <item x="28"/>
        <item x="27"/>
        <item x="14"/>
        <item t="default"/>
      </items>
    </pivotField>
    <pivotField axis="axisPage" compact="0" outline="0" showAll="0">
      <items count="5">
        <item x="0"/>
        <item x="1"/>
        <item x="2"/>
        <item m="1" x="3"/>
        <item t="default"/>
      </items>
    </pivotField>
    <pivotField axis="axisPage" compact="0" outline="0" showAll="0">
      <items count="40">
        <item x="13"/>
        <item x="0"/>
        <item x="14"/>
        <item x="1"/>
        <item x="2"/>
        <item x="25"/>
        <item x="26"/>
        <item x="27"/>
        <item x="15"/>
        <item x="17"/>
        <item m="1" x="35"/>
        <item m="1" x="37"/>
        <item x="3"/>
        <item x="29"/>
        <item x="19"/>
        <item x="20"/>
        <item x="4"/>
        <item x="5"/>
        <item x="6"/>
        <item x="21"/>
        <item x="30"/>
        <item x="22"/>
        <item x="7"/>
        <item x="31"/>
        <item x="28"/>
        <item m="1" x="34"/>
        <item x="16"/>
        <item x="23"/>
        <item x="8"/>
        <item m="1" x="38"/>
        <item x="24"/>
        <item x="9"/>
        <item x="18"/>
        <item x="10"/>
        <item x="11"/>
        <item x="12"/>
        <item m="1" x="36"/>
        <item m="1" x="33"/>
        <item x="32"/>
        <item t="default"/>
      </items>
    </pivotField>
    <pivotField axis="axisRow" compact="0" outline="0" showAll="0">
      <items count="714">
        <item x="18"/>
        <item x="0"/>
        <item x="1"/>
        <item x="19"/>
        <item x="20"/>
        <item x="72"/>
        <item m="1" x="480"/>
        <item x="420"/>
        <item x="206"/>
        <item m="1" x="465"/>
        <item x="311"/>
        <item m="1" x="589"/>
        <item x="281"/>
        <item x="331"/>
        <item x="207"/>
        <item m="1" x="679"/>
        <item m="1" x="651"/>
        <item m="1" x="467"/>
        <item m="1" x="606"/>
        <item x="312"/>
        <item x="288"/>
        <item x="205"/>
        <item x="208"/>
        <item x="209"/>
        <item m="1" x="493"/>
        <item m="1" x="631"/>
        <item m="1" x="506"/>
        <item m="1" x="512"/>
        <item x="332"/>
        <item m="1" x="478"/>
        <item x="2"/>
        <item x="313"/>
        <item x="258"/>
        <item m="1" x="608"/>
        <item m="1" x="530"/>
        <item m="1" x="486"/>
        <item x="21"/>
        <item x="333"/>
        <item x="230"/>
        <item x="259"/>
        <item x="335"/>
        <item x="287"/>
        <item x="289"/>
        <item x="338"/>
        <item m="1" x="627"/>
        <item m="1" x="628"/>
        <item m="1" x="555"/>
        <item x="3"/>
        <item m="1" x="504"/>
        <item x="142"/>
        <item m="1" x="705"/>
        <item x="282"/>
        <item x="421"/>
        <item x="44"/>
        <item x="273"/>
        <item m="1" x="605"/>
        <item m="1" x="615"/>
        <item x="274"/>
        <item x="422"/>
        <item x="22"/>
        <item x="169"/>
        <item m="1" x="519"/>
        <item x="314"/>
        <item m="1" x="518"/>
        <item x="13"/>
        <item x="315"/>
        <item x="170"/>
        <item x="171"/>
        <item x="172"/>
        <item x="290"/>
        <item x="291"/>
        <item x="341"/>
        <item x="297"/>
        <item x="342"/>
        <item x="23"/>
        <item m="1" x="647"/>
        <item m="1" x="556"/>
        <item x="210"/>
        <item x="423"/>
        <item m="1" x="576"/>
        <item m="1" x="500"/>
        <item x="95"/>
        <item m="1" x="633"/>
        <item x="73"/>
        <item m="1" x="683"/>
        <item m="1" x="479"/>
        <item m="1" x="690"/>
        <item x="211"/>
        <item m="1" x="559"/>
        <item x="212"/>
        <item m="1" x="655"/>
        <item m="1" x="446"/>
        <item x="213"/>
        <item x="214"/>
        <item m="1" x="682"/>
        <item m="1" x="664"/>
        <item m="1" x="614"/>
        <item m="1" x="569"/>
        <item m="1" x="581"/>
        <item m="1" x="436"/>
        <item x="143"/>
        <item x="144"/>
        <item x="145"/>
        <item x="424"/>
        <item x="215"/>
        <item m="1" x="566"/>
        <item x="24"/>
        <item x="292"/>
        <item x="25"/>
        <item m="1" x="526"/>
        <item x="67"/>
        <item x="401"/>
        <item x="402"/>
        <item x="26"/>
        <item x="260"/>
        <item m="1" x="603"/>
        <item x="14"/>
        <item m="1" x="440"/>
        <item x="74"/>
        <item x="4"/>
        <item x="146"/>
        <item x="216"/>
        <item m="1" x="515"/>
        <item m="1" x="456"/>
        <item x="197"/>
        <item x="124"/>
        <item x="96"/>
        <item x="97"/>
        <item x="75"/>
        <item x="429"/>
        <item m="1" x="695"/>
        <item x="261"/>
        <item x="204"/>
        <item x="76"/>
        <item x="275"/>
        <item m="1" x="577"/>
        <item m="1" x="648"/>
        <item x="276"/>
        <item m="1" x="481"/>
        <item x="316"/>
        <item m="1" x="571"/>
        <item m="1" x="619"/>
        <item x="286"/>
        <item x="173"/>
        <item x="298"/>
        <item m="1" x="657"/>
        <item m="1" x="536"/>
        <item x="174"/>
        <item m="1" x="508"/>
        <item m="1" x="549"/>
        <item x="77"/>
        <item m="1" x="538"/>
        <item x="294"/>
        <item x="219"/>
        <item x="78"/>
        <item x="198"/>
        <item x="199"/>
        <item m="1" x="539"/>
        <item m="1" x="460"/>
        <item m="1" x="487"/>
        <item x="383"/>
        <item x="317"/>
        <item m="1" x="689"/>
        <item x="384"/>
        <item x="385"/>
        <item x="386"/>
        <item x="417"/>
        <item x="175"/>
        <item x="220"/>
        <item m="1" x="474"/>
        <item m="1" x="630"/>
        <item m="1" x="473"/>
        <item m="1" x="490"/>
        <item m="1" x="572"/>
        <item m="1" x="703"/>
        <item x="318"/>
        <item x="221"/>
        <item x="334"/>
        <item m="1" x="484"/>
        <item m="1" x="617"/>
        <item m="1" x="499"/>
        <item m="1" x="524"/>
        <item x="222"/>
        <item m="1" x="468"/>
        <item x="176"/>
        <item x="200"/>
        <item x="336"/>
        <item m="1" x="557"/>
        <item m="1" x="670"/>
        <item x="346"/>
        <item x="319"/>
        <item x="388"/>
        <item m="1" x="595"/>
        <item x="100"/>
        <item x="57"/>
        <item x="299"/>
        <item m="1" x="573"/>
        <item x="425"/>
        <item x="223"/>
        <item x="79"/>
        <item m="1" x="666"/>
        <item x="45"/>
        <item m="1" x="454"/>
        <item m="1" x="588"/>
        <item x="177"/>
        <item x="101"/>
        <item x="29"/>
        <item x="103"/>
        <item x="104"/>
        <item x="224"/>
        <item x="283"/>
        <item x="284"/>
        <item m="1" x="654"/>
        <item m="1" x="545"/>
        <item m="1" x="445"/>
        <item m="1" x="600"/>
        <item m="1" x="528"/>
        <item x="15"/>
        <item m="1" x="541"/>
        <item x="390"/>
        <item x="30"/>
        <item x="31"/>
        <item x="5"/>
        <item x="413"/>
        <item x="80"/>
        <item x="81"/>
        <item x="82"/>
        <item x="320"/>
        <item m="1" x="450"/>
        <item x="178"/>
        <item x="125"/>
        <item x="83"/>
        <item m="1" x="656"/>
        <item x="61"/>
        <item x="147"/>
        <item x="148"/>
        <item m="1" x="502"/>
        <item x="149"/>
        <item x="150"/>
        <item x="151"/>
        <item x="152"/>
        <item x="46"/>
        <item x="47"/>
        <item m="1" x="661"/>
        <item x="105"/>
        <item x="84"/>
        <item x="85"/>
        <item x="106"/>
        <item x="382"/>
        <item x="398"/>
        <item x="405"/>
        <item x="48"/>
        <item x="49"/>
        <item x="50"/>
        <item x="51"/>
        <item m="1" x="593"/>
        <item x="52"/>
        <item x="86"/>
        <item x="399"/>
        <item x="400"/>
        <item m="1" x="434"/>
        <item x="53"/>
        <item x="54"/>
        <item m="1" x="449"/>
        <item m="1" x="669"/>
        <item x="300"/>
        <item x="107"/>
        <item x="108"/>
        <item m="1" x="441"/>
        <item m="1" x="463"/>
        <item x="337"/>
        <item x="33"/>
        <item x="348"/>
        <item m="1" x="537"/>
        <item x="179"/>
        <item x="321"/>
        <item x="322"/>
        <item x="323"/>
        <item x="263"/>
        <item x="225"/>
        <item m="1" x="604"/>
        <item x="180"/>
        <item x="69"/>
        <item x="87"/>
        <item x="88"/>
        <item x="407"/>
        <item x="408"/>
        <item x="391"/>
        <item x="392"/>
        <item x="403"/>
        <item x="404"/>
        <item m="1" x="452"/>
        <item m="1" x="646"/>
        <item x="7"/>
        <item x="34"/>
        <item m="1" x="523"/>
        <item m="1" x="580"/>
        <item m="1" x="686"/>
        <item x="301"/>
        <item x="89"/>
        <item m="1" x="535"/>
        <item x="406"/>
        <item x="410"/>
        <item x="411"/>
        <item x="409"/>
        <item x="418"/>
        <item x="393"/>
        <item m="1" x="495"/>
        <item x="35"/>
        <item x="380"/>
        <item x="412"/>
        <item x="414"/>
        <item m="1" x="642"/>
        <item x="109"/>
        <item m="1" x="625"/>
        <item x="8"/>
        <item x="36"/>
        <item m="1" x="457"/>
        <item x="428"/>
        <item m="1" x="649"/>
        <item x="65"/>
        <item x="181"/>
        <item m="1" x="673"/>
        <item x="324"/>
        <item x="153"/>
        <item x="70"/>
        <item x="226"/>
        <item x="133"/>
        <item x="395"/>
        <item m="1" x="550"/>
        <item x="201"/>
        <item x="182"/>
        <item m="1" x="475"/>
        <item x="227"/>
        <item m="1" x="668"/>
        <item x="350"/>
        <item x="426"/>
        <item x="264"/>
        <item x="229"/>
        <item x="339"/>
        <item x="340"/>
        <item m="1" x="678"/>
        <item x="90"/>
        <item m="1" x="476"/>
        <item x="343"/>
        <item x="110"/>
        <item m="1" x="483"/>
        <item m="1" x="558"/>
        <item m="1" x="552"/>
        <item x="183"/>
        <item x="91"/>
        <item x="325"/>
        <item x="326"/>
        <item x="327"/>
        <item m="1" x="567"/>
        <item x="184"/>
        <item m="1" x="453"/>
        <item x="344"/>
        <item x="353"/>
        <item x="347"/>
        <item x="352"/>
        <item x="427"/>
        <item m="1" x="659"/>
        <item x="285"/>
        <item x="231"/>
        <item x="111"/>
        <item x="92"/>
        <item x="232"/>
        <item x="154"/>
        <item x="233"/>
        <item m="1" x="492"/>
        <item x="202"/>
        <item x="396"/>
        <item x="415"/>
        <item x="16"/>
        <item m="1" x="696"/>
        <item m="1" x="622"/>
        <item x="265"/>
        <item m="1" x="531"/>
        <item x="302"/>
        <item x="9"/>
        <item m="1" x="543"/>
        <item m="1" x="583"/>
        <item x="356"/>
        <item x="354"/>
        <item m="1" x="496"/>
        <item x="235"/>
        <item m="1" x="592"/>
        <item x="155"/>
        <item x="237"/>
        <item m="1" x="522"/>
        <item m="1" x="634"/>
        <item x="185"/>
        <item x="239"/>
        <item x="240"/>
        <item m="1" x="529"/>
        <item m="1" x="570"/>
        <item x="303"/>
        <item m="1" x="435"/>
        <item x="156"/>
        <item x="157"/>
        <item x="158"/>
        <item x="159"/>
        <item m="1" x="594"/>
        <item m="1" x="687"/>
        <item m="1" x="477"/>
        <item m="1" x="513"/>
        <item m="1" x="430"/>
        <item m="1" x="471"/>
        <item x="37"/>
        <item m="1" x="618"/>
        <item x="10"/>
        <item x="11"/>
        <item x="186"/>
        <item m="1" x="433"/>
        <item x="38"/>
        <item x="134"/>
        <item m="1" x="564"/>
        <item x="277"/>
        <item m="1" x="684"/>
        <item x="243"/>
        <item x="66"/>
        <item x="359"/>
        <item x="360"/>
        <item m="1" x="582"/>
        <item x="17"/>
        <item m="1" x="644"/>
        <item m="1" x="546"/>
        <item x="355"/>
        <item x="362"/>
        <item x="363"/>
        <item x="203"/>
        <item x="93"/>
        <item x="364"/>
        <item m="1" x="458"/>
        <item x="365"/>
        <item x="161"/>
        <item x="187"/>
        <item x="39"/>
        <item x="40"/>
        <item x="41"/>
        <item m="1" x="702"/>
        <item x="113"/>
        <item x="114"/>
        <item x="244"/>
        <item x="162"/>
        <item x="129"/>
        <item x="130"/>
        <item x="245"/>
        <item x="246"/>
        <item x="278"/>
        <item m="1" x="575"/>
        <item x="115"/>
        <item x="279"/>
        <item m="1" x="662"/>
        <item x="293"/>
        <item x="55"/>
        <item m="1" x="663"/>
        <item m="1" x="632"/>
        <item m="1" x="525"/>
        <item x="357"/>
        <item x="295"/>
        <item x="296"/>
        <item m="1" x="638"/>
        <item x="188"/>
        <item x="71"/>
        <item x="135"/>
        <item x="189"/>
        <item x="419"/>
        <item x="190"/>
        <item x="191"/>
        <item x="304"/>
        <item x="305"/>
        <item m="1" x="641"/>
        <item x="139"/>
        <item m="1" x="431"/>
        <item x="141"/>
        <item x="117"/>
        <item x="118"/>
        <item x="119"/>
        <item x="120"/>
        <item x="121"/>
        <item m="1" x="469"/>
        <item x="306"/>
        <item m="1" x="584"/>
        <item x="192"/>
        <item m="1" x="607"/>
        <item x="247"/>
        <item x="248"/>
        <item m="1" x="701"/>
        <item x="250"/>
        <item x="361"/>
        <item m="1" x="623"/>
        <item m="1" x="667"/>
        <item x="280"/>
        <item m="1" x="710"/>
        <item x="267"/>
        <item x="251"/>
        <item x="252"/>
        <item m="1" x="491"/>
        <item m="1" x="438"/>
        <item x="367"/>
        <item x="368"/>
        <item m="1" x="548"/>
        <item m="1" x="609"/>
        <item m="1" x="712"/>
        <item x="307"/>
        <item x="268"/>
        <item x="369"/>
        <item x="163"/>
        <item m="1" x="587"/>
        <item m="1" x="688"/>
        <item x="370"/>
        <item x="371"/>
        <item x="372"/>
        <item m="1" x="507"/>
        <item m="1" x="489"/>
        <item m="1" x="437"/>
        <item m="1" x="488"/>
        <item x="373"/>
        <item x="374"/>
        <item m="1" x="637"/>
        <item x="375"/>
        <item x="328"/>
        <item m="1" x="611"/>
        <item m="1" x="677"/>
        <item m="1" x="470"/>
        <item m="1" x="708"/>
        <item x="254"/>
        <item x="126"/>
        <item x="381"/>
        <item x="308"/>
        <item m="1" x="635"/>
        <item m="1" x="472"/>
        <item m="1" x="629"/>
        <item m="1" x="562"/>
        <item m="1" x="640"/>
        <item m="1" x="509"/>
        <item x="165"/>
        <item m="1" x="620"/>
        <item x="42"/>
        <item m="1" x="694"/>
        <item m="1" x="674"/>
        <item x="193"/>
        <item x="166"/>
        <item x="167"/>
        <item x="168"/>
        <item m="1" x="613"/>
        <item m="1" x="527"/>
        <item x="270"/>
        <item x="329"/>
        <item m="1" x="596"/>
        <item x="309"/>
        <item x="12"/>
        <item x="310"/>
        <item x="43"/>
        <item x="256"/>
        <item m="1" x="439"/>
        <item m="1" x="645"/>
        <item m="1" x="652"/>
        <item m="1" x="653"/>
        <item m="1" x="676"/>
        <item m="1" x="464"/>
        <item m="1" x="561"/>
        <item m="1" x="503"/>
        <item x="194"/>
        <item m="1" x="697"/>
        <item x="257"/>
        <item x="271"/>
        <item x="195"/>
        <item m="1" x="691"/>
        <item x="379"/>
        <item m="1" x="598"/>
        <item m="1" x="658"/>
        <item m="1" x="442"/>
        <item x="330"/>
        <item m="1" x="448"/>
        <item x="272"/>
        <item m="1" x="579"/>
        <item x="196"/>
        <item x="397"/>
        <item x="138"/>
        <item x="62"/>
        <item x="59"/>
        <item m="1" x="554"/>
        <item x="56"/>
        <item m="1" x="461"/>
        <item x="116"/>
        <item m="1" x="578"/>
        <item x="122"/>
        <item m="1" x="602"/>
        <item x="160"/>
        <item x="28"/>
        <item x="27"/>
        <item x="99"/>
        <item x="351"/>
        <item x="58"/>
        <item m="1" x="443"/>
        <item m="1" x="704"/>
        <item x="136"/>
        <item x="137"/>
        <item x="234"/>
        <item x="249"/>
        <item x="266"/>
        <item x="262"/>
        <item x="269"/>
        <item x="255"/>
        <item x="349"/>
        <item x="376"/>
        <item x="377"/>
        <item x="358"/>
        <item x="345"/>
        <item x="366"/>
        <item x="378"/>
        <item x="128"/>
        <item x="32"/>
        <item x="132"/>
        <item x="102"/>
        <item x="94"/>
        <item x="131"/>
        <item x="127"/>
        <item x="68"/>
        <item x="63"/>
        <item x="6"/>
        <item m="1" x="599"/>
        <item m="1" x="551"/>
        <item m="1" x="639"/>
        <item m="1" x="626"/>
        <item m="1" x="521"/>
        <item m="1" x="672"/>
        <item m="1" x="553"/>
        <item m="1" x="591"/>
        <item m="1" x="621"/>
        <item m="1" x="501"/>
        <item m="1" x="462"/>
        <item m="1" x="711"/>
        <item m="1" x="451"/>
        <item m="1" x="624"/>
        <item m="1" x="707"/>
        <item m="1" x="681"/>
        <item m="1" x="706"/>
        <item m="1" x="693"/>
        <item m="1" x="514"/>
        <item m="1" x="494"/>
        <item m="1" x="563"/>
        <item m="1" x="532"/>
        <item m="1" x="709"/>
        <item m="1" x="636"/>
        <item m="1" x="680"/>
        <item m="1" x="444"/>
        <item m="1" x="542"/>
        <item m="1" x="511"/>
        <item m="1" x="447"/>
        <item m="1" x="597"/>
        <item m="1" x="574"/>
        <item m="1" x="665"/>
        <item m="1" x="498"/>
        <item m="1" x="533"/>
        <item m="1" x="585"/>
        <item m="1" x="560"/>
        <item m="1" x="671"/>
        <item m="1" x="568"/>
        <item m="1" x="517"/>
        <item m="1" x="700"/>
        <item m="1" x="643"/>
        <item m="1" x="699"/>
        <item m="1" x="698"/>
        <item m="1" x="466"/>
        <item m="1" x="586"/>
        <item m="1" x="482"/>
        <item m="1" x="650"/>
        <item m="1" x="675"/>
        <item m="1" x="534"/>
        <item m="1" x="459"/>
        <item m="1" x="432"/>
        <item m="1" x="505"/>
        <item m="1" x="685"/>
        <item m="1" x="497"/>
        <item m="1" x="544"/>
        <item m="1" x="692"/>
        <item m="1" x="590"/>
        <item m="1" x="616"/>
        <item m="1" x="516"/>
        <item m="1" x="601"/>
        <item m="1" x="455"/>
        <item m="1" x="565"/>
        <item m="1" x="520"/>
        <item m="1" x="612"/>
        <item m="1" x="540"/>
        <item m="1" x="547"/>
        <item m="1" x="510"/>
        <item m="1" x="485"/>
        <item m="1" x="610"/>
        <item m="1" x="660"/>
        <item x="60"/>
        <item x="140"/>
        <item x="394"/>
        <item x="387"/>
        <item x="389"/>
        <item x="64"/>
        <item x="123"/>
        <item x="98"/>
        <item x="164"/>
        <item x="112"/>
        <item x="217"/>
        <item x="238"/>
        <item x="218"/>
        <item x="228"/>
        <item x="241"/>
        <item x="242"/>
        <item x="253"/>
        <item x="236"/>
        <item x="416"/>
        <item t="default"/>
      </items>
    </pivotField>
    <pivotField compact="0" outline="0" showAll="0"/>
    <pivotField dataField="1"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9" outline="0" showAll="0"/>
    <pivotField compact="0" numFmtId="9" outline="0" showAll="0"/>
    <pivotField compact="0" numFmtId="9" outline="0" showAll="0"/>
    <pivotField compact="0" numFmtId="1" outline="0" showAll="0"/>
    <pivotField compact="0" numFmtId="9" outline="0" showAll="0"/>
    <pivotField compact="0" numFmtId="1" outline="0" showAll="0"/>
    <pivotField compact="0" numFmtId="9" outline="0" showAll="0"/>
    <pivotField dataField="1" compact="0" numFmtId="1" outline="0" showAll="0"/>
    <pivotField compact="0" outline="0" showAll="0"/>
    <pivotField compact="0" numFmtId="9" outline="0" showAll="0"/>
    <pivotField compact="0" numFmtId="1" outline="0" showAll="0"/>
    <pivotField compact="0" numFmtId="1" outline="0" showAll="0"/>
    <pivotField compact="0" numFmtId="1" outline="0" showAll="0"/>
    <pivotField compact="0" numFmtId="1" outline="0" showAll="0"/>
    <pivotField compact="0" numFmtId="9" outline="0" showAll="0"/>
    <pivotField dataField="1" compact="0" numFmtId="1" outline="0" showAll="0"/>
    <pivotField compact="0" numFmtId="9" outline="0" showAll="0"/>
    <pivotField compact="0" numFmtId="1" outline="0" showAll="0"/>
    <pivotField compact="0" numFmtId="1" outline="0" showAll="0"/>
    <pivotField compact="0" numFmtId="9" outline="0" showAll="0"/>
    <pivotField compact="0" outline="0" showAll="0"/>
    <pivotField compact="0" numFmtId="1" outline="0" showAll="0"/>
    <pivotField compact="0" numFmtId="1" outline="0" showAll="0"/>
    <pivotField compact="0" numFmtId="1" outline="0" showAll="0"/>
    <pivotField compact="0" numFmtId="1" outline="0" showAll="0"/>
    <pivotField dataField="1" compact="0" numFmtId="1" outline="0" showAl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axis="axisPage" compact="0" outline="0" multipleItemSelectionAllowed="1" showAll="0">
      <items count="7">
        <item m="1" x="5"/>
        <item x="1"/>
        <item x="0"/>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4"/>
  </rowFields>
  <rowItems count="170">
    <i>
      <x/>
    </i>
    <i>
      <x v="1"/>
    </i>
    <i>
      <x v="2"/>
    </i>
    <i>
      <x v="3"/>
    </i>
    <i>
      <x v="4"/>
    </i>
    <i>
      <x v="5"/>
    </i>
    <i>
      <x v="30"/>
    </i>
    <i>
      <x v="36"/>
    </i>
    <i>
      <x v="47"/>
    </i>
    <i>
      <x v="49"/>
    </i>
    <i>
      <x v="53"/>
    </i>
    <i>
      <x v="59"/>
    </i>
    <i>
      <x v="64"/>
    </i>
    <i>
      <x v="74"/>
    </i>
    <i>
      <x v="81"/>
    </i>
    <i>
      <x v="83"/>
    </i>
    <i>
      <x v="100"/>
    </i>
    <i>
      <x v="101"/>
    </i>
    <i>
      <x v="102"/>
    </i>
    <i>
      <x v="106"/>
    </i>
    <i>
      <x v="108"/>
    </i>
    <i>
      <x v="110"/>
    </i>
    <i>
      <x v="113"/>
    </i>
    <i>
      <x v="116"/>
    </i>
    <i>
      <x v="118"/>
    </i>
    <i>
      <x v="119"/>
    </i>
    <i>
      <x v="120"/>
    </i>
    <i>
      <x v="125"/>
    </i>
    <i>
      <x v="126"/>
    </i>
    <i>
      <x v="127"/>
    </i>
    <i>
      <x v="128"/>
    </i>
    <i>
      <x v="133"/>
    </i>
    <i>
      <x v="150"/>
    </i>
    <i>
      <x v="154"/>
    </i>
    <i>
      <x v="193"/>
    </i>
    <i>
      <x v="194"/>
    </i>
    <i>
      <x v="199"/>
    </i>
    <i>
      <x v="201"/>
    </i>
    <i>
      <x v="205"/>
    </i>
    <i>
      <x v="206"/>
    </i>
    <i>
      <x v="207"/>
    </i>
    <i>
      <x v="208"/>
    </i>
    <i>
      <x v="217"/>
    </i>
    <i>
      <x v="220"/>
    </i>
    <i>
      <x v="221"/>
    </i>
    <i>
      <x v="222"/>
    </i>
    <i>
      <x v="224"/>
    </i>
    <i>
      <x v="225"/>
    </i>
    <i>
      <x v="226"/>
    </i>
    <i>
      <x v="230"/>
    </i>
    <i>
      <x v="231"/>
    </i>
    <i>
      <x v="233"/>
    </i>
    <i>
      <x v="234"/>
    </i>
    <i>
      <x v="235"/>
    </i>
    <i>
      <x v="237"/>
    </i>
    <i>
      <x v="238"/>
    </i>
    <i>
      <x v="239"/>
    </i>
    <i>
      <x v="240"/>
    </i>
    <i>
      <x v="241"/>
    </i>
    <i>
      <x v="242"/>
    </i>
    <i>
      <x v="244"/>
    </i>
    <i>
      <x v="245"/>
    </i>
    <i>
      <x v="246"/>
    </i>
    <i>
      <x v="247"/>
    </i>
    <i>
      <x v="251"/>
    </i>
    <i>
      <x v="252"/>
    </i>
    <i>
      <x v="253"/>
    </i>
    <i>
      <x v="254"/>
    </i>
    <i>
      <x v="256"/>
    </i>
    <i>
      <x v="257"/>
    </i>
    <i>
      <x v="261"/>
    </i>
    <i>
      <x v="262"/>
    </i>
    <i>
      <x v="266"/>
    </i>
    <i>
      <x v="267"/>
    </i>
    <i>
      <x v="271"/>
    </i>
    <i>
      <x v="282"/>
    </i>
    <i>
      <x v="283"/>
    </i>
    <i>
      <x v="284"/>
    </i>
    <i>
      <x v="293"/>
    </i>
    <i>
      <x v="294"/>
    </i>
    <i>
      <x v="299"/>
    </i>
    <i>
      <x v="308"/>
    </i>
    <i>
      <x v="313"/>
    </i>
    <i>
      <x v="315"/>
    </i>
    <i>
      <x v="316"/>
    </i>
    <i>
      <x v="320"/>
    </i>
    <i>
      <x v="324"/>
    </i>
    <i>
      <x v="325"/>
    </i>
    <i>
      <x v="327"/>
    </i>
    <i>
      <x v="342"/>
    </i>
    <i>
      <x v="345"/>
    </i>
    <i>
      <x v="350"/>
    </i>
    <i>
      <x v="365"/>
    </i>
    <i>
      <x v="366"/>
    </i>
    <i>
      <x v="368"/>
    </i>
    <i>
      <x v="374"/>
    </i>
    <i>
      <x v="380"/>
    </i>
    <i>
      <x v="388"/>
    </i>
    <i>
      <x v="399"/>
    </i>
    <i>
      <x v="400"/>
    </i>
    <i>
      <x v="401"/>
    </i>
    <i>
      <x v="402"/>
    </i>
    <i>
      <x v="409"/>
    </i>
    <i>
      <x v="411"/>
    </i>
    <i>
      <x v="412"/>
    </i>
    <i>
      <x v="415"/>
    </i>
    <i>
      <x v="416"/>
    </i>
    <i>
      <x v="421"/>
    </i>
    <i>
      <x v="425"/>
    </i>
    <i>
      <x v="432"/>
    </i>
    <i>
      <x v="436"/>
    </i>
    <i>
      <x v="438"/>
    </i>
    <i>
      <x v="439"/>
    </i>
    <i>
      <x v="440"/>
    </i>
    <i>
      <x v="442"/>
    </i>
    <i>
      <x v="443"/>
    </i>
    <i>
      <x v="445"/>
    </i>
    <i>
      <x v="446"/>
    </i>
    <i>
      <x v="447"/>
    </i>
    <i>
      <x v="452"/>
    </i>
    <i>
      <x v="456"/>
    </i>
    <i>
      <x v="465"/>
    </i>
    <i>
      <x v="466"/>
    </i>
    <i>
      <x v="474"/>
    </i>
    <i>
      <x v="476"/>
    </i>
    <i>
      <x v="477"/>
    </i>
    <i>
      <x v="478"/>
    </i>
    <i>
      <x v="479"/>
    </i>
    <i>
      <x v="480"/>
    </i>
    <i>
      <x v="481"/>
    </i>
    <i>
      <x v="509"/>
    </i>
    <i>
      <x v="529"/>
    </i>
    <i>
      <x v="538"/>
    </i>
    <i>
      <x v="540"/>
    </i>
    <i>
      <x v="544"/>
    </i>
    <i>
      <x v="545"/>
    </i>
    <i>
      <x v="546"/>
    </i>
    <i>
      <x v="553"/>
    </i>
    <i>
      <x v="555"/>
    </i>
    <i>
      <x v="581"/>
    </i>
    <i>
      <x v="582"/>
    </i>
    <i>
      <x v="583"/>
    </i>
    <i>
      <x v="585"/>
    </i>
    <i>
      <x v="587"/>
    </i>
    <i>
      <x v="589"/>
    </i>
    <i>
      <x v="591"/>
    </i>
    <i>
      <x v="592"/>
    </i>
    <i>
      <x v="593"/>
    </i>
    <i>
      <x v="594"/>
    </i>
    <i>
      <x v="596"/>
    </i>
    <i>
      <x v="599"/>
    </i>
    <i>
      <x v="600"/>
    </i>
    <i>
      <x v="614"/>
    </i>
    <i>
      <x v="615"/>
    </i>
    <i>
      <x v="616"/>
    </i>
    <i>
      <x v="617"/>
    </i>
    <i>
      <x v="618"/>
    </i>
    <i>
      <x v="619"/>
    </i>
    <i>
      <x v="620"/>
    </i>
    <i>
      <x v="621"/>
    </i>
    <i>
      <x v="622"/>
    </i>
    <i>
      <x v="623"/>
    </i>
    <i>
      <x v="694"/>
    </i>
    <i>
      <x v="695"/>
    </i>
    <i>
      <x v="699"/>
    </i>
    <i>
      <x v="700"/>
    </i>
    <i>
      <x v="701"/>
    </i>
    <i>
      <x v="702"/>
    </i>
    <i>
      <x v="703"/>
    </i>
    <i t="grand">
      <x/>
    </i>
  </rowItems>
  <colFields count="1">
    <field x="-2"/>
  </colFields>
  <colItems count="4">
    <i>
      <x/>
    </i>
    <i i="1">
      <x v="1"/>
    </i>
    <i i="2">
      <x v="2"/>
    </i>
    <i i="3">
      <x v="3"/>
    </i>
  </colItems>
  <pageFields count="4">
    <pageField fld="0" item="8" hier="-1"/>
    <pageField fld="3" hier="-1"/>
    <pageField fld="2" item="0" hier="-1"/>
    <pageField fld="88" hier="-1"/>
  </pageFields>
  <dataFields count="4">
    <dataField name="Total Population" fld="6" baseField="0" baseItem="0"/>
    <dataField name="Number of People adopt basic personal and community hygiene practices" fld="76" baseField="0" baseItem="0"/>
    <dataField name="Number of people with equitable and continuous access to safe sanitation facilities" fld="66" baseField="0" baseItem="0"/>
    <dataField name="Number of people with equitable and continuous access to sufficient quantity of domestic water" fld="58" baseField="0" baseItem="0"/>
  </dataFields>
  <formats count="35">
    <format dxfId="40">
      <pivotArea field="2" type="button" dataOnly="0" labelOnly="1" outline="0" axis="axisPage" fieldPosition="2"/>
    </format>
    <format dxfId="39">
      <pivotArea field="3" type="button" dataOnly="0" labelOnly="1" outline="0" axis="axisPage" fieldPosition="1"/>
    </format>
    <format dxfId="38">
      <pivotArea field="1" type="button" dataOnly="0" labelOnly="1" outline="0"/>
    </format>
    <format dxfId="37">
      <pivotArea dataOnly="0" labelOnly="1" outline="0" fieldPosition="0">
        <references count="1">
          <reference field="4294967294" count="4">
            <x v="0"/>
            <x v="1"/>
            <x v="2"/>
            <x v="3"/>
          </reference>
        </references>
      </pivotArea>
    </format>
    <format dxfId="36">
      <pivotArea field="2" type="button" dataOnly="0" labelOnly="1" outline="0" axis="axisPage" fieldPosition="2"/>
    </format>
    <format dxfId="35">
      <pivotArea field="3" type="button" dataOnly="0" labelOnly="1" outline="0" axis="axisPage" fieldPosition="1"/>
    </format>
    <format dxfId="34">
      <pivotArea field="1" type="button" dataOnly="0" labelOnly="1" outline="0"/>
    </format>
    <format dxfId="33">
      <pivotArea dataOnly="0" labelOnly="1" outline="0" fieldPosition="0">
        <references count="1">
          <reference field="4294967294" count="4">
            <x v="0"/>
            <x v="1"/>
            <x v="2"/>
            <x v="3"/>
          </reference>
        </references>
      </pivotArea>
    </format>
    <format dxfId="32">
      <pivotArea field="2" type="button" dataOnly="0" labelOnly="1" outline="0" axis="axisPage" fieldPosition="2"/>
    </format>
    <format dxfId="31">
      <pivotArea field="3" type="button" dataOnly="0" labelOnly="1" outline="0" axis="axisPage" fieldPosition="1"/>
    </format>
    <format dxfId="30">
      <pivotArea field="1" type="button" dataOnly="0" labelOnly="1" outline="0"/>
    </format>
    <format dxfId="29">
      <pivotArea dataOnly="0" labelOnly="1" outline="0" fieldPosition="0">
        <references count="1">
          <reference field="4294967294" count="4">
            <x v="0"/>
            <x v="1"/>
            <x v="2"/>
            <x v="3"/>
          </reference>
        </references>
      </pivotArea>
    </format>
    <format dxfId="28">
      <pivotArea dataOnly="0" labelOnly="1" outline="0" fieldPosition="0">
        <references count="1">
          <reference field="4294967294" count="1">
            <x v="3"/>
          </reference>
        </references>
      </pivotArea>
    </format>
    <format dxfId="27">
      <pivotArea dataOnly="0" labelOnly="1" outline="0" fieldPosition="0">
        <references count="1">
          <reference field="4294967294" count="1">
            <x v="3"/>
          </reference>
        </references>
      </pivotArea>
    </format>
    <format dxfId="26">
      <pivotArea dataOnly="0" labelOnly="1" outline="0" fieldPosition="0">
        <references count="1">
          <reference field="4294967294" count="1">
            <x v="2"/>
          </reference>
        </references>
      </pivotArea>
    </format>
    <format dxfId="25">
      <pivotArea dataOnly="0" labelOnly="1" outline="0" fieldPosition="0">
        <references count="1">
          <reference field="4294967294" count="1">
            <x v="2"/>
          </reference>
        </references>
      </pivotArea>
    </format>
    <format dxfId="24">
      <pivotArea dataOnly="0" labelOnly="1" outline="0" fieldPosition="0">
        <references count="1">
          <reference field="4294967294" count="1">
            <x v="1"/>
          </reference>
        </references>
      </pivotArea>
    </format>
    <format dxfId="23">
      <pivotArea dataOnly="0" labelOnly="1" outline="0" fieldPosition="0">
        <references count="1">
          <reference field="4294967294" count="1">
            <x v="1"/>
          </reference>
        </references>
      </pivotArea>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type="all" dataOnly="0" outline="0" fieldPosition="0"/>
    </format>
    <format dxfId="19">
      <pivotArea outline="0" collapsedLevelsAreSubtotals="1" fieldPosition="0"/>
    </format>
    <format dxfId="18">
      <pivotArea field="2" type="button" dataOnly="0" labelOnly="1" outline="0" axis="axisPage" fieldPosition="2"/>
    </format>
    <format dxfId="17">
      <pivotArea field="3" type="button" dataOnly="0" labelOnly="1" outline="0" axis="axisPage" fieldPosition="1"/>
    </format>
    <format dxfId="16">
      <pivotArea field="1" type="button" dataOnly="0" labelOnly="1" outline="0"/>
    </format>
    <format dxfId="15">
      <pivotArea dataOnly="0" labelOnly="1" outline="0" fieldPosition="0">
        <references count="1">
          <reference field="2" count="0"/>
        </references>
      </pivotArea>
    </format>
    <format dxfId="14">
      <pivotArea dataOnly="0" labelOnly="1" outline="0" fieldPosition="0">
        <references count="1">
          <reference field="2" count="0" defaultSubtotal="1"/>
        </references>
      </pivotArea>
    </format>
    <format dxfId="13">
      <pivotArea dataOnly="0" labelOnly="1" grandRow="1" outline="0" fieldPosition="0"/>
    </format>
    <format dxfId="12">
      <pivotArea dataOnly="0" labelOnly="1" outline="0" fieldPosition="0">
        <references count="2">
          <reference field="2" count="1" selected="0">
            <x v="0"/>
          </reference>
          <reference field="3" count="13">
            <x v="1"/>
            <x v="3"/>
            <x v="4"/>
            <x v="12"/>
            <x v="16"/>
            <x v="17"/>
            <x v="18"/>
            <x v="22"/>
            <x v="28"/>
            <x v="31"/>
            <x v="33"/>
            <x v="34"/>
            <x v="35"/>
          </reference>
        </references>
      </pivotArea>
    </format>
    <format dxfId="11">
      <pivotArea dataOnly="0" labelOnly="1" outline="0" fieldPosition="0">
        <references count="2">
          <reference field="2" count="1" selected="0">
            <x v="0"/>
          </reference>
          <reference field="3" count="13" defaultSubtotal="1">
            <x v="1"/>
            <x v="3"/>
            <x v="4"/>
            <x v="12"/>
            <x v="16"/>
            <x v="17"/>
            <x v="18"/>
            <x v="22"/>
            <x v="28"/>
            <x v="31"/>
            <x v="33"/>
            <x v="34"/>
            <x v="35"/>
          </reference>
        </references>
      </pivotArea>
    </format>
    <format dxfId="10">
      <pivotArea dataOnly="0" labelOnly="1" outline="0" fieldPosition="0">
        <references count="2">
          <reference field="2" count="1" selected="0">
            <x v="1"/>
          </reference>
          <reference field="3" count="12">
            <x v="0"/>
            <x v="2"/>
            <x v="8"/>
            <x v="9"/>
            <x v="14"/>
            <x v="15"/>
            <x v="19"/>
            <x v="21"/>
            <x v="26"/>
            <x v="27"/>
            <x v="30"/>
            <x v="32"/>
          </reference>
        </references>
      </pivotArea>
    </format>
    <format dxfId="9">
      <pivotArea dataOnly="0" labelOnly="1" outline="0" fieldPosition="0">
        <references count="2">
          <reference field="2" count="1" selected="0">
            <x v="1"/>
          </reference>
          <reference field="3" count="12" defaultSubtotal="1">
            <x v="0"/>
            <x v="2"/>
            <x v="8"/>
            <x v="9"/>
            <x v="14"/>
            <x v="15"/>
            <x v="19"/>
            <x v="21"/>
            <x v="26"/>
            <x v="27"/>
            <x v="30"/>
            <x v="32"/>
          </reference>
        </references>
      </pivotArea>
    </format>
    <format dxfId="8">
      <pivotArea dataOnly="0" labelOnly="1" outline="0" fieldPosition="0">
        <references count="2">
          <reference field="2" count="1" selected="0">
            <x v="2"/>
          </reference>
          <reference field="3" count="7">
            <x v="5"/>
            <x v="6"/>
            <x v="7"/>
            <x v="13"/>
            <x v="20"/>
            <x v="23"/>
            <x v="24"/>
          </reference>
        </references>
      </pivotArea>
    </format>
    <format dxfId="7">
      <pivotArea dataOnly="0" labelOnly="1" outline="0" fieldPosition="0">
        <references count="2">
          <reference field="2" count="1" selected="0">
            <x v="2"/>
          </reference>
          <reference field="3" count="7" defaultSubtotal="1">
            <x v="5"/>
            <x v="6"/>
            <x v="7"/>
            <x v="13"/>
            <x v="20"/>
            <x v="23"/>
            <x v="24"/>
          </reference>
        </references>
      </pivotArea>
    </format>
    <format dxfId="6">
      <pivotArea dataOnly="0" labelOnly="1" outline="0" fieldPosition="0">
        <references count="1">
          <reference field="4294967294" count="4">
            <x v="0"/>
            <x v="1"/>
            <x v="2"/>
            <x v="3"/>
          </reference>
        </references>
      </pivotArea>
    </format>
  </formats>
  <chartFormats count="8">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3"/>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0"/>
          </reference>
        </references>
      </pivotArea>
    </chartFormat>
    <chartFormat chart="4" format="3"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2"/>
          </reference>
        </references>
      </pivotArea>
    </chartFormat>
    <chartFormat chart="4" format="5"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tate" sourceName="State">
  <pivotTables>
    <pivotTable tabId="92" name="Geo_Gap"/>
  </pivotTables>
  <data>
    <tabular pivotCacheId="1">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ocation_Type" sourceName="Location Type">
  <pivotTables>
    <pivotTable tabId="92" name="Geo_Gap"/>
  </pivotTables>
  <data>
    <tabular pivotCacheId="1">
      <items count="6">
        <i x="1" s="1"/>
        <i x="0" s="1"/>
        <i x="3" s="1"/>
        <i x="5" s="1" nd="1"/>
        <i x="4" s="1" nd="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WASH_focal_Agency" sourceName="WASH focal Agency">
  <pivotTables>
    <pivotTable tabId="100" name="PivotTable1"/>
  </pivotTables>
  <data>
    <tabular pivotCacheId="1">
      <items count="54">
        <i x="10" s="1"/>
        <i x="12" s="1"/>
        <i x="14" s="1"/>
        <i x="30" s="1"/>
        <i x="18" s="1"/>
        <i x="3" s="1"/>
        <i x="8" s="1"/>
        <i x="25" s="1"/>
        <i x="28" s="1"/>
        <i x="21" s="1"/>
        <i x="5" s="1"/>
        <i x="29" s="1"/>
        <i x="23" s="1"/>
        <i x="13" s="1"/>
        <i x="15" s="1"/>
        <i x="1" s="1"/>
        <i x="31" s="1"/>
        <i x="34" s="1"/>
        <i x="32" s="1"/>
        <i x="33" s="1"/>
        <i x="11" s="1"/>
        <i x="2" s="1"/>
        <i x="17" s="1"/>
        <i x="20" s="1"/>
        <i x="16" s="1"/>
        <i x="7" s="1"/>
        <i x="26" s="1"/>
        <i x="36" s="1"/>
        <i x="27" s="1"/>
        <i x="35" s="1"/>
        <i x="19" s="1"/>
        <i x="24" s="1"/>
        <i x="37" s="1"/>
        <i x="22" s="1"/>
        <i x="4" s="1"/>
        <i x="0" s="1"/>
        <i x="9" s="1"/>
        <i x="6" s="1"/>
        <i x="51" s="1" nd="1"/>
        <i x="45" s="1" nd="1"/>
        <i x="47" s="1" nd="1"/>
        <i x="39" s="1" nd="1"/>
        <i x="50" s="1" nd="1"/>
        <i x="48" s="1" nd="1"/>
        <i x="53" s="1" nd="1"/>
        <i x="49" s="1" nd="1"/>
        <i x="40" s="1" nd="1"/>
        <i x="43" s="1" nd="1"/>
        <i x="41" s="1" nd="1"/>
        <i x="52" s="1" nd="1"/>
        <i x="46" s="1" nd="1"/>
        <i x="42" s="1" nd="1"/>
        <i x="44" s="1" nd="1"/>
        <i x="38"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tate1" sourceName="State">
  <pivotTables>
    <pivotTable tabId="100" name="PivotTable1"/>
  </pivotTables>
  <data>
    <tabular pivotCacheId="1">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Township" sourceName="Township">
  <pivotTables>
    <pivotTable tabId="100" name="PivotTable1"/>
  </pivotTables>
  <data>
    <tabular pivotCacheId="1">
      <items count="39">
        <i x="13" s="1"/>
        <i x="0" s="1"/>
        <i x="14" s="1"/>
        <i x="1" s="1"/>
        <i x="2" s="1"/>
        <i x="25" s="1"/>
        <i x="26" s="1"/>
        <i x="27" s="1"/>
        <i x="15" s="1"/>
        <i x="17" s="1"/>
        <i x="3" s="1"/>
        <i x="29" s="1"/>
        <i x="19" s="1"/>
        <i x="20" s="1"/>
        <i x="4" s="1"/>
        <i x="5" s="1"/>
        <i x="6" s="1"/>
        <i x="21" s="1"/>
        <i x="30" s="1"/>
        <i x="22" s="1"/>
        <i x="7" s="1"/>
        <i x="31" s="1"/>
        <i x="28" s="1"/>
        <i x="32" s="1"/>
        <i x="16" s="1"/>
        <i x="23" s="1"/>
        <i x="8" s="1"/>
        <i x="24" s="1"/>
        <i x="9" s="1"/>
        <i x="18" s="1"/>
        <i x="10" s="1"/>
        <i x="11" s="1"/>
        <i x="12" s="1"/>
        <i x="35" s="1" nd="1"/>
        <i x="37" s="1" nd="1"/>
        <i x="33" s="1" nd="1"/>
        <i x="36" s="1" nd="1"/>
        <i x="34" s="1" nd="1"/>
        <i x="38"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Location_Type1" sourceName="Location Type">
  <pivotTables>
    <pivotTable tabId="100" name="PivotTable1"/>
  </pivotTables>
  <data>
    <tabular pivotCacheId="1">
      <items count="6">
        <i x="1" s="1"/>
        <i x="0" s="1"/>
        <i x="4" s="1"/>
        <i x="3" s="1"/>
        <i x="2" s="1"/>
        <i x="5"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WASH_focal_Agency1" sourceName="WASH focal Agency">
  <pivotTables>
    <pivotTable tabId="102" name="PivotTable1"/>
  </pivotTables>
  <data>
    <tabular pivotCacheId="1">
      <items count="54">
        <i x="3" s="1"/>
        <i x="8" s="1"/>
        <i x="5" s="1"/>
        <i x="1" s="1"/>
        <i x="2" s="1"/>
        <i x="7" s="1"/>
        <i x="4" s="1"/>
        <i x="0" s="1"/>
        <i x="9" s="1"/>
        <i x="6" s="1"/>
        <i x="51" s="1" nd="1"/>
        <i x="45" s="1" nd="1"/>
        <i x="10" s="1" nd="1"/>
        <i x="47" s="1" nd="1"/>
        <i x="39" s="1" nd="1"/>
        <i x="12" s="1" nd="1"/>
        <i x="14" s="1" nd="1"/>
        <i x="30" s="1" nd="1"/>
        <i x="50" s="1" nd="1"/>
        <i x="18" s="1" nd="1"/>
        <i x="25" s="1" nd="1"/>
        <i x="28" s="1" nd="1"/>
        <i x="21" s="1" nd="1"/>
        <i x="29" s="1" nd="1"/>
        <i x="23" s="1" nd="1"/>
        <i x="48" s="1" nd="1"/>
        <i x="13" s="1" nd="1"/>
        <i x="15" s="1" nd="1"/>
        <i x="53" s="1" nd="1"/>
        <i x="31" s="1" nd="1"/>
        <i x="49" s="1" nd="1"/>
        <i x="34" s="1" nd="1"/>
        <i x="32" s="1" nd="1"/>
        <i x="33" s="1" nd="1"/>
        <i x="40" s="1" nd="1"/>
        <i x="11" s="1" nd="1"/>
        <i x="43" s="1" nd="1"/>
        <i x="17" s="1" nd="1"/>
        <i x="41" s="1" nd="1"/>
        <i x="20" s="1" nd="1"/>
        <i x="16" s="1" nd="1"/>
        <i x="26" s="1" nd="1"/>
        <i x="52" s="1" nd="1"/>
        <i x="36" s="1" nd="1"/>
        <i x="27" s="1" nd="1"/>
        <i x="35" s="1" nd="1"/>
        <i x="19" s="1" nd="1"/>
        <i x="24" s="1" nd="1"/>
        <i x="37" s="1" nd="1"/>
        <i x="22" s="1" nd="1"/>
        <i x="46" s="1" nd="1"/>
        <i x="42" s="1" nd="1"/>
        <i x="44" s="1" nd="1"/>
        <i x="38"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State11" sourceName="State">
  <pivotTables>
    <pivotTable tabId="102" name="PivotTable1"/>
  </pivotTables>
  <data>
    <tabular pivotCacheId="1">
      <items count="4">
        <i x="0" s="1"/>
        <i x="1"/>
        <i x="2"/>
        <i x="3"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Township1" sourceName="Township">
  <pivotTables>
    <pivotTable tabId="102" name="PivotTable1"/>
  </pivotTables>
  <data>
    <tabular pivotCacheId="1">
      <items count="39">
        <i x="0" s="1"/>
        <i x="1" s="1"/>
        <i x="2" s="1"/>
        <i x="3" s="1"/>
        <i x="4" s="1"/>
        <i x="5" s="1"/>
        <i x="6" s="1"/>
        <i x="7" s="1"/>
        <i x="8" s="1"/>
        <i x="9" s="1"/>
        <i x="10" s="1"/>
        <i x="11" s="1"/>
        <i x="12" s="1"/>
        <i x="13" s="1" nd="1"/>
        <i x="14" s="1" nd="1"/>
        <i x="25" s="1" nd="1"/>
        <i x="26" s="1" nd="1"/>
        <i x="27" s="1" nd="1"/>
        <i x="15" s="1" nd="1"/>
        <i x="17" s="1" nd="1"/>
        <i x="35" s="1" nd="1"/>
        <i x="37" s="1" nd="1"/>
        <i x="29" s="1" nd="1"/>
        <i x="19" s="1" nd="1"/>
        <i x="20" s="1" nd="1"/>
        <i x="33" s="1" nd="1"/>
        <i x="21" s="1" nd="1"/>
        <i x="30" s="1" nd="1"/>
        <i x="22" s="1" nd="1"/>
        <i x="36" s="1" nd="1"/>
        <i x="31" s="1" nd="1"/>
        <i x="28" s="1" nd="1"/>
        <i x="32" s="1" nd="1"/>
        <i x="34" s="1" nd="1"/>
        <i x="16" s="1" nd="1"/>
        <i x="23" s="1" nd="1"/>
        <i x="38" s="1" nd="1"/>
        <i x="24" s="1" nd="1"/>
        <i x="18"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Location_Type11" sourceName="Location Type">
  <pivotTables>
    <pivotTable tabId="102" name="PivotTable1"/>
  </pivotTables>
  <data>
    <tabular pivotCacheId="1">
      <items count="6">
        <i x="1" s="1"/>
        <i x="0" s="1"/>
        <i x="5" s="1" nd="1"/>
        <i x="4" s="1" nd="1"/>
        <i x="3" s="1" nd="1"/>
        <i x="2"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Type_of_accommodation" sourceName="Type of accommodation">
  <pivotTables>
    <pivotTable tabId="92" name="Geo_Gap"/>
  </pivotTables>
  <data>
    <tabular pivotCacheId="1">
      <items count="14">
        <i x="2" s="1"/>
        <i x="1" s="1"/>
        <i x="8" s="1"/>
        <i x="10" s="1"/>
        <i x="7" s="1"/>
        <i x="13" s="1" nd="1"/>
        <i x="5" s="1" nd="1"/>
        <i x="0" s="1" nd="1"/>
        <i x="3" s="1" nd="1"/>
        <i x="11" s="1" nd="1"/>
        <i x="9" s="1" nd="1"/>
        <i x="4" s="1" nd="1"/>
        <i x="12" s="1" nd="1"/>
        <i x="6"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Reporting_Period" sourceName="Reporting Period">
  <pivotTables>
    <pivotTable tabId="100" name="PivotTable1"/>
  </pivotTables>
  <data>
    <tabular pivotCacheId="1">
      <items count="9">
        <i x="2" s="1"/>
        <i x="1" s="1"/>
        <i x="0" s="1"/>
        <i x="7" s="1" nd="1"/>
        <i x="4" s="1" nd="1"/>
        <i x="5" s="1" nd="1"/>
        <i x="8" s="1" nd="1"/>
        <i x="6" s="1" nd="1"/>
        <i x="3" s="1"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Location_Type_1" sourceName="Location Type 1">
  <pivotTables>
    <pivotTable tabId="92" name="Geo_Gap"/>
  </pivotTables>
  <data>
    <tabular pivotCacheId="1">
      <items count="3">
        <i x="0" s="1"/>
        <i x="2" s="1"/>
        <i x="1"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ate" cache="Slicer_State" caption="State" style="SlicerStyleLight1" rowHeight="304800"/>
  <slicer name="Location Type" cache="Slicer_Location_Type" caption="Location Type" style="SlicerStyleLight5" rowHeight="304800"/>
  <slicer name="Type of accommodation" cache="Slicer_Type_of_accommodation" caption="Type of accommodation" style="SlicerStyleLight5" rowHeight="304800"/>
  <slicer name="Location Type 1 1" cache="Slicer_Location_Type_1" caption="Location Type 1" style="SlicerStyleLight5" rowHeight="304800"/>
</slicers>
</file>

<file path=xl/slicers/slicer2.xml><?xml version="1.0" encoding="utf-8"?>
<slicers xmlns="http://schemas.microsoft.com/office/spreadsheetml/2009/9/main" xmlns:mc="http://schemas.openxmlformats.org/markup-compatibility/2006" xmlns:x="http://schemas.openxmlformats.org/spreadsheetml/2006/main" mc:Ignorable="x">
  <slicer name="WASH focal Agency" cache="Slicer_WASH_focal_Agency" caption="WASH focal Agency" columnCount="3" style="SlicerStyleOther2" rowHeight="304800"/>
  <slicer name="State 1" cache="Slicer_State1" caption="State" style="SlicerStyleLight6" rowHeight="304800"/>
  <slicer name="Township" cache="Slicer_Township" caption="Township" style="SlicerStyleOther2" rowHeight="304800"/>
  <slicer name="Location Type 1" cache="Slicer_Location_Type1" caption="Location Type" style="SlicerStyleLight6" rowHeight="304800"/>
  <slicer name="Reporting Period" cache="Slicer_Reporting_Period" caption="Reporting Period" style="SlicerStyleDark2" rowHeight="304800"/>
</slicers>
</file>

<file path=xl/slicers/slicer3.xml><?xml version="1.0" encoding="utf-8"?>
<slicers xmlns="http://schemas.microsoft.com/office/spreadsheetml/2009/9/main" xmlns:mc="http://schemas.openxmlformats.org/markup-compatibility/2006" xmlns:x="http://schemas.openxmlformats.org/spreadsheetml/2006/main" mc:Ignorable="x">
  <slicer name="WASH focal Agency 1" cache="Slicer_WASH_focal_Agency1" caption="WASH focal Agency" columnCount="3" style="SlicerStyleDark6" rowHeight="304800"/>
  <slicer name="State 2" cache="Slicer_State11" caption="State" style="SlicerStyleDark6" rowHeight="304800"/>
  <slicer name="Township 1" cache="Slicer_Township1" caption="Township" style="SlicerStyleLight1" rowHeight="304800"/>
  <slicer name="Location Type 2" cache="Slicer_Location_Type11" caption="Location Type" style="SlicerStyleLight6" rowHeight="304800"/>
</slicers>
</file>

<file path=xl/tables/table1.xml><?xml version="1.0" encoding="utf-8"?>
<table xmlns="http://schemas.openxmlformats.org/spreadsheetml/2006/main" id="2" name="WWWW" displayName="WWWW" ref="A6:CS1218" totalsRowShown="0" headerRowDxfId="1652" dataDxfId="1650" headerRowBorderDxfId="1651" tableBorderDxfId="1649">
  <sortState ref="A391:CS422">
    <sortCondition ref="E393"/>
  </sortState>
  <tableColumns count="97">
    <tableColumn id="1" name="Reporting Period" dataDxfId="1648" totalsRowDxfId="1647"/>
    <tableColumn id="2" name="WASH focal Agency" dataDxfId="1646" totalsRowDxfId="1645"/>
    <tableColumn id="3" name="State" dataDxfId="1644" totalsRowDxfId="1643"/>
    <tableColumn id="4" name="Township" dataDxfId="1642" totalsRowDxfId="1641"/>
    <tableColumn id="5" name="Site Name" dataDxfId="1640" totalsRowDxfId="1639"/>
    <tableColumn id="6" name="Total HH" dataDxfId="1638" totalsRowDxfId="1637"/>
    <tableColumn id="7" name="Total PoP " dataDxfId="1636" totalsRowDxfId="1635"/>
    <tableColumn id="104" name="#of students at TLS" dataDxfId="1634" totalsRowDxfId="1633"/>
    <tableColumn id="8" name="Primary Donor covering WASH activities at site " dataDxfId="1632" totalsRowDxfId="1631"/>
    <tableColumn id="9" name="Expected end of funding for WASH activties at site" dataDxfId="1630" totalsRowDxfId="1629"/>
    <tableColumn id="10" name="# Work days (approx) lost in this site due to access restrictions" dataDxfId="1628" totalsRowDxfId="1627"/>
    <tableColumn id="11" name="WASH Committee part of camp management structures " dataDxfId="1626" totalsRowDxfId="1625"/>
    <tableColumn id="12" name="% Women on camp WASH committee" dataDxfId="1624" totalsRowDxfId="1623"/>
    <tableColumn id="13" name="%Women in leadership positions in wash committees" dataDxfId="1622" totalsRowDxfId="1621"/>
    <tableColumn id="14" name="# Functioning protected hand dug well" dataDxfId="1620" totalsRowDxfId="1619"/>
    <tableColumn id="15" name="# Functioning Tube wells/boreholes " dataDxfId="1618" totalsRowDxfId="1617"/>
    <tableColumn id="17" name="# Litres/Day provided" dataDxfId="1616" totalsRowDxfId="1615"/>
    <tableColumn id="18" name="# Existing protected/fenced ponds " dataDxfId="1614" totalsRowDxfId="1613" dataCellStyle="Percent"/>
    <tableColumn id="20" name="# Water points fully handed over" dataDxfId="1612" totalsRowDxfId="1611" dataCellStyle="Percent"/>
    <tableColumn id="38" name="# Water points in TLS" dataDxfId="1610" totalsRowDxfId="1609" dataCellStyle="Percent"/>
    <tableColumn id="93" name="# of Water tested at source" dataDxfId="1608" totalsRowDxfId="1607" dataCellStyle="Percent"/>
    <tableColumn id="92" name="# of Water passed at source" dataDxfId="1606" totalsRowDxfId="1605" dataCellStyle="Percent"/>
    <tableColumn id="91" name="# of Water tested at HH" dataDxfId="1604" totalsRowDxfId="1603" dataCellStyle="Percent"/>
    <tableColumn id="90" name="# of Water passed at HH" dataDxfId="1602" totalsRowDxfId="1601" dataCellStyle="Percent"/>
    <tableColumn id="94" name="# of hand washing station for TLS" dataDxfId="1600" totalsRowDxfId="1599" dataCellStyle="Percent"/>
    <tableColumn id="67" name="WATER Comments" dataDxfId="1598" totalsRowDxfId="1597" dataCellStyle="Percent"/>
    <tableColumn id="59" name="# Existing functional latrines" dataDxfId="1596" totalsRowDxfId="1595"/>
    <tableColumn id="87" name="# Existing latrines dysfunctional" dataDxfId="1594" totalsRowDxfId="1593"/>
    <tableColumn id="65" name="# of latrines desludged" dataDxfId="1592" totalsRowDxfId="1591"/>
    <tableColumn id="39" name="How often desludged the latrines in a year?" dataDxfId="1590" totalsRowDxfId="1589"/>
    <tableColumn id="23" name="# Latrines fully handed over" dataDxfId="1588" totalsRowDxfId="1587"/>
    <tableColumn id="24" name="effective solid waste management system" dataDxfId="1586" totalsRowDxfId="1585"/>
    <tableColumn id="25" name="Does the camp have surface water drainage" dataDxfId="1584" totalsRowDxfId="1583" dataCellStyle="Percent"/>
    <tableColumn id="105" name="# of children Latrine " dataDxfId="1582" totalsRowDxfId="1581"/>
    <tableColumn id="100" name="# of latrines in TLS (schools)" dataDxfId="1580" totalsRowDxfId="1579"/>
    <tableColumn id="26" name="Sanitation Comments" dataDxfId="1578" totalsRowDxfId="1577"/>
    <tableColumn id="27" name="%HHs with access to functional hand washing stations" dataDxfId="1576" totalsRowDxfId="1575" dataCellStyle="Percent"/>
    <tableColumn id="28" name="Type of handwashing approach" dataDxfId="1574" totalsRowDxfId="1573"/>
    <tableColumn id="88" name="# Individual functioning bathing spaces " dataDxfId="1572" totalsRowDxfId="1571"/>
    <tableColumn id="29" name="# Communal functioning bathing spaces " dataDxfId="1570" totalsRowDxfId="1569"/>
    <tableColumn id="30" name="# Hygiene Promoters " dataDxfId="1568" totalsRowDxfId="1567" dataCellStyle="Percent"/>
    <tableColumn id="84" name="# HH received soaps" dataDxfId="1566" totalsRowDxfId="1565"/>
    <tableColumn id="69" name="# HH received Sanitary Pads" dataDxfId="1564" totalsRowDxfId="1563"/>
    <tableColumn id="99" name="Is sufficient soap available for TLS?" dataDxfId="1562" totalsRowDxfId="1561"/>
    <tableColumn id="52" name="# HP activities in TLS" dataDxfId="1560" totalsRowDxfId="1559"/>
    <tableColumn id="50" name="# paid camp based WASH skilled labor" dataDxfId="1558" totalsRowDxfId="1557"/>
    <tableColumn id="51" name="Number of paid camp based unskilled WASH unskilled labor" dataDxfId="1556" totalsRowDxfId="1555"/>
    <tableColumn id="33" name="Hygiene Comments" dataDxfId="1554" totalsRowDxfId="1553"/>
    <tableColumn id="97" name="%of Water samples which passed at water source" dataDxfId="1552" totalsRowDxfId="1551">
      <calculatedColumnFormula>IFERROR(WWWW[[#This Row],['# of Water passed at source]]/WWWW[[#This Row],['# of Water tested at source]],"no test")</calculatedColumnFormula>
    </tableColumn>
    <tableColumn id="98" name="%Water samples which passed at HH" dataDxfId="1550" totalsRowDxfId="1549" dataCellStyle="Percent">
      <calculatedColumnFormula>IFERROR(WWWW[[#This Row],['# of Water passed at HH]]/WWWW[[#This Row],['# of Water tested at HH]],"no test")</calculatedColumnFormula>
    </tableColumn>
    <tableColumn id="19" name="Warter quality test made" dataDxfId="1548" totalsRowDxfId="1547" dataCellStyle="Percent">
      <calculatedColumnFormula>IF(AND(WWWW[[#This Row],[%of Water samples which passed at water source]]="no test",WWWW[[#This Row],[%Water samples which passed at HH]]="no test"),"No Test","Tested")</calculatedColumnFormula>
    </tableColumn>
    <tableColumn id="34" name="Access to safe drinking water for Camp" dataDxfId="1546" totalsRowDxfId="1545" dataCellStyle="Percent">
      <calculatedColumnFormula>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calculatedColumnFormula>
    </tableColumn>
    <tableColumn id="35" name="Access to safe drinking water for Village" dataDxfId="1544" totalsRowDxfId="1543" dataCellStyle="Percent">
      <calculatedColumnFormula>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calculatedColumnFormula>
    </tableColumn>
    <tableColumn id="36" name="%Equitable and continuous access to sufficient quantity of safe drinking water" dataDxfId="1542" totalsRowDxfId="1541" dataCellStyle="Percent">
      <calculatedColumnFormula>IF(WWWW[[#This Row],[Location Type 1]]="Village",WWWW[[#This Row],[Access to safe drinking water for Village]],WWWW[[#This Row],[Access to safe drinking water for Camp]])</calculatedColumnFormula>
    </tableColumn>
    <tableColumn id="89" name="#ppl Equitable and continuous access to sufficient quantity of safe drinking water_1" dataDxfId="1540" totalsRowDxfId="1539">
      <calculatedColumnFormula>WWWW[[#This Row],[%Equitable and continuous access to sufficient quantity of safe drinking water]]*WWWW[[#This Row],[Total PoP ]]</calculatedColumnFormula>
    </tableColumn>
    <tableColumn id="37" name="Access to unimproved water points" dataDxfId="1538" totalsRowDxfId="1537" dataCellStyle="Percent">
      <calculatedColumnFormula>IF((WWWW[[#This Row],['# Existing protected/fenced ponds ]]*250)/WWWW[[#This Row],[Total PoP ]]&gt;1,1,WWWW[[#This Row],['# Existing protected/fenced ponds ]]*250/WWWW[[#This Row],[Total PoP ]])</calculatedColumnFormula>
    </tableColumn>
    <tableColumn id="16" name="#People access to unimproved water sources" dataDxfId="1536" totalsRowDxfId="1535">
      <calculatedColumnFormula>WWWW[[#This Row],[Access to unimproved water points]]*WWWW[[#This Row],[Total PoP ]]</calculatedColumnFormula>
    </tableColumn>
    <tableColumn id="41" name="%Equitable and continuous access to sufficient quantity of domestic water borehole n ponds" dataDxfId="1534" totalsRowDxfId="1533" dataCellStyle="Percent">
      <calculatedColumnFormula>IF(WWWW[[#This Row],[Access to unimproved water points]]+WWWW[[#This Row],[%Equitable and continuous access to sufficient quantity of safe drinking water]]&gt;1,1,WWWW[[#This Row],[Access to unimproved water points]]+WWWW[[#This Row],[%Equitable and continuous access to sufficient quantity of safe drinking water]])</calculatedColumnFormula>
    </tableColumn>
    <tableColumn id="42" name="#people Equitable and continuous access to sufficient quantity of domestic water borehole n ponds_2" dataDxfId="1532" totalsRowDxfId="1531">
      <calculatedColumnFormula>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calculatedColumnFormula>
    </tableColumn>
    <tableColumn id="86" name="#Water points coverage" dataDxfId="1530" totalsRowDxfId="1529">
      <calculatedColumnFormula>WWWW[[#This Row],['#people Equitable and continuous access to sufficient quantity of domestic water borehole n ponds_2]]/500</calculatedColumnFormula>
    </tableColumn>
    <tableColumn id="85" name="%equitable and continuous access to sufficient quantity of safe drinking and domestic water's GAP" dataDxfId="1528" totalsRowDxfId="1527">
      <calculatedColumnFormula>1-WWWW[[#This Row],[%Equitable and continuous access to sufficient quantity of domestic water borehole n ponds]]</calculatedColumnFormula>
    </tableColumn>
    <tableColumn id="43" name="#people needs equitable and continuous access to sufficient quantity of safe drinking and domestic water GAP" dataDxfId="1526" totalsRowDxfId="1525">
      <calculatedColumnFormula>WWWW[[#This Row],[%equitable and continuous access to sufficient quantity of safe drinking and domestic water''s GAP]]*WWWW[[#This Row],[Total PoP ]]</calculatedColumnFormula>
    </tableColumn>
    <tableColumn id="44" name="#Potential required new water points" dataDxfId="1524" totalsRowDxfId="1523" dataCellStyle="Percent">
      <calculatedColumnFormula>IF(WWWW[[#This Row],[Total required water points]]-WWWW[[#This Row],['#Water points coverage]]&lt;0,0,WWWW[[#This Row],[Total required water points]]-WWWW[[#This Row],['#Water points coverage]])</calculatedColumnFormula>
    </tableColumn>
    <tableColumn id="78" name="Total required water points" dataDxfId="1522" totalsRowDxfId="1521" dataCellStyle="Percent">
      <calculatedColumnFormula>ROUND(IF(WWWW[[#This Row],[Total PoP ]]&lt;500,1,WWWW[[#This Row],[Total PoP ]]/500),0)</calculatedColumnFormula>
    </tableColumn>
    <tableColumn id="66" name="Total # of latrine" dataDxfId="1520" totalsRowDxfId="1519" dataCellStyle="Percent">
      <calculatedColumnFormula>WWWW[[#This Row],['# Existing functional latrines]]+WWWW[[#This Row],['# Existing latrines dysfunctional]]</calculatedColumnFormula>
    </tableColumn>
    <tableColumn id="79" name="% people access to functioning Latrine" dataDxfId="1518" totalsRowDxfId="1517">
      <calculatedColumnFormula>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calculatedColumnFormula>
    </tableColumn>
    <tableColumn id="68" name="#people access to functioning Latrine_3" dataDxfId="1516" totalsRowDxfId="1515" dataCellStyle="Comma">
      <calculatedColumnFormula>WWWW[[#This Row],[% people access to functioning Latrine]]*WWWW[[#This Row],[Total PoP ]]</calculatedColumnFormula>
    </tableColumn>
    <tableColumn id="48" name="% of Latrine Gap" dataDxfId="1514" totalsRowDxfId="1513">
      <calculatedColumnFormula>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calculatedColumnFormula>
    </tableColumn>
    <tableColumn id="49" name="# potential required new latrines" dataDxfId="1512" totalsRowDxfId="1511">
      <calculatedColumnFormula>IF(WWWW[[#This Row],[Total required Latrines]]-WWWW[[#This Row],[Total '# of latrine]]&lt;0,0,WWWW[[#This Row],[Total required Latrines]]-WWWW[[#This Row],[Total '# of latrine]])</calculatedColumnFormula>
    </tableColumn>
    <tableColumn id="73" name="Total required Latrines" dataDxfId="1510" totalsRowDxfId="1509" dataCellStyle="Percent">
      <calculatedColumnFormula>ROUND(IF(WWWW[[#This Row],[Location Type 1]]="camp",WWWW[[#This Row],[Total PoP ]]/20,WWWW[[#This Row],[Total PoP ]]/6),0)</calculatedColumnFormula>
    </tableColumn>
    <tableColumn id="76" name="% Latrines requiring  repairs" dataDxfId="1508" totalsRowDxfId="1507" dataCellStyle="Percent">
      <calculatedColumnFormula>IF(OR(WWWW[[#This Row],['# Existing latrines dysfunctional]]="",WWWW[[#This Row],['# Existing latrines dysfunctional]]=0),0,WWWW[[#This Row],['# Existing latrines dysfunctional]]/WWWW[[#This Row],[Total '# of latrine]])</calculatedColumnFormula>
    </tableColumn>
    <tableColumn id="70" name="# people with access to continuous sanitation services desluding_4" dataDxfId="1506" totalsRowDxfId="1505" dataCellStyle="Comma">
      <calculatedColumnFormula>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calculatedColumnFormula>
    </tableColumn>
    <tableColumn id="54" name="# people reached by regular dedicated hygiene promotion_5" dataDxfId="1504" totalsRowDxfId="1503">
      <calculatedColumnFormula>IF(500*WWWW[[#This Row],['# Hygiene Promoters ]]&gt;WWWW[[#This Row],[Total PoP ]],WWWW[[#This Row],[Total PoP ]],500*WWWW[[#This Row],['# Hygiene Promoters ]])</calculatedColumnFormula>
    </tableColumn>
    <tableColumn id="21" name="% of HHs with access to Sanitary pad more than #%" dataDxfId="1502" totalsRowDxfId="1501">
      <calculatedColumnFormula>IF(WWWW[[#This Row],[% of HH with access to Sanitary Pad]]&gt;=100%,1,0)</calculatedColumnFormula>
    </tableColumn>
    <tableColumn id="22" name="Ratio of Hyiene promoters to people less than #" dataDxfId="1500" totalsRowDxfId="1499">
      <calculatedColumnFormula>IF(WWWW[[#This Row],[Total PoP ]]=0,0,IF(WWWW[[#This Row],['# Hygiene Promoters ]]=0,0,IF(WWWW[[#This Row],[Location Type 1]]="Village",IF(WWWW[[#This Row],[Total PoP ]]/WWWW[[#This Row],['# Hygiene Promoters ]]&lt;1000,1,0),IF(WWWW[[#This Row],[Total PoP ]]/WWWW[[#This Row],['# Hygiene Promoters ]]&lt;600,1,0))))</calculatedColumnFormula>
    </tableColumn>
    <tableColumn id="31" name="% of HHs with access to soap more than #%" dataDxfId="1498" totalsRowDxfId="1497">
      <calculatedColumnFormula>IF(WWWW[[#This Row],[%HH with access to soap]]&gt;=100%,1,0)</calculatedColumnFormula>
    </tableColumn>
    <tableColumn id="32" name="People adopt basic personal and community hygiene practices" dataDxfId="1496" totalsRowDxfId="1495">
      <calculatedColumnFormula>IF(WWWW[[#This Row],[% of HHs with access to Sanitary pad more than '#%]]+WWWW[[#This Row],[Ratio of Hyiene promoters to people less than '#]]+WWWW[[#This Row],[% of HHs with access to soap more than '#%]]&gt;=2,WWWW[[#This Row],[Total PoP ]],0)</calculatedColumnFormula>
    </tableColumn>
    <tableColumn id="53" name="Hygiene Coverage%" dataDxfId="1494" totalsRowDxfId="1493">
      <calculatedColumnFormula>WWWW[[#This Row],[People adopt basic personal and community hygiene practices]]/WWWW[[#This Row],[Total PoP ]]</calculatedColumnFormula>
    </tableColumn>
    <tableColumn id="72" name="Hygiene Gap%" dataDxfId="1492" totalsRowDxfId="1491" dataCellStyle="Percent">
      <calculatedColumnFormula>1-WWWW[[#This Row],[Hygiene Coverage%]]</calculatedColumnFormula>
    </tableColumn>
    <tableColumn id="96" name="%people reached by regular dedicated hygiene promotion" dataDxfId="1490" totalsRowDxfId="1489" dataCellStyle="Percent">
      <calculatedColumnFormula>WWWW[[#This Row],['# people reached by regular dedicated hygiene promotion_5]]/WWWW[[#This Row],[Total PoP ]]</calculatedColumnFormula>
    </tableColumn>
    <tableColumn id="55" name="%HH with access to soap" dataDxfId="1488" totalsRowDxfId="1487" dataCellStyle="Percent">
      <calculatedColumnFormula>IF(WWWW[[#This Row],['# HH received soaps]]/WWWW[[#This Row],[Total HH]]&gt;1,1,WWWW[[#This Row],['# HH received soaps]]/WWWW[[#This Row],[Total HH]])</calculatedColumnFormula>
    </tableColumn>
    <tableColumn id="56" name="% of HH with access to Sanitary Pad" dataDxfId="1486" totalsRowDxfId="1485" dataCellStyle="Percent">
      <calculatedColumnFormula>IF(WWWW[[#This Row],['# HH received Sanitary Pads]]/WWWW[[#This Row],[Total HH]]&gt;1,1,WWWW[[#This Row],['# HH received Sanitary Pads]]/WWWW[[#This Row],[Total HH]])</calculatedColumnFormula>
    </tableColumn>
    <tableColumn id="40" name="# People with access to soap" dataDxfId="1484" totalsRowDxfId="1483" dataCellStyle="Percent">
      <calculatedColumnFormula>WWWW[[#This Row],['# HH received soaps]]*5</calculatedColumnFormula>
    </tableColumn>
    <tableColumn id="47" name="# People with access to Sanity Pads" dataDxfId="1482" totalsRowDxfId="1481" dataCellStyle="Percent">
      <calculatedColumnFormula>WWWW[[#This Row],['# HH received Sanitary Pads]]*5</calculatedColumnFormula>
    </tableColumn>
    <tableColumn id="95" name="# People received regular supply of hygiene items_6" dataDxfId="1480" totalsRowDxfId="1479" dataCellStyle="Percent">
      <calculatedColumnFormula>IF(WWWW[[#This Row],['# People with access to soap]]&gt;WWWW[[#This Row],['# People with access to Sanity Pads]],WWWW[[#This Row],['# People with access to soap]],WWWW[[#This Row],['# People with access to Sanity Pads]])</calculatedColumnFormula>
    </tableColumn>
    <tableColumn id="57" name="#HH with access to Hand Washing Station" dataDxfId="1478" totalsRowDxfId="1477">
      <calculatedColumnFormula>WWWW[[#This Row],[Total HH]]*WWWW[[#This Row],[%HHs with access to functional hand washing stations]]</calculatedColumnFormula>
    </tableColumn>
    <tableColumn id="58" name="CCCM Management" dataDxfId="1476" totalsRowDxfId="1475" dataCellStyle="Percent">
      <calculatedColumnFormula>VLOOKUP(WWWW[[#This Row],[Site Name]],SiteDB6[[Site Name]:[CCCM Management]],6,FALSE)</calculatedColumnFormula>
    </tableColumn>
    <tableColumn id="81" name="CCCM Focal Agency" dataDxfId="1474" totalsRowDxfId="1473" dataCellStyle="Percent">
      <calculatedColumnFormula>VLOOKUP(WWWW[[#This Row],[Site Name]],SiteDB6[[Site Name]:[CCCM Focal Agency]],7,FALSE)</calculatedColumnFormula>
    </tableColumn>
    <tableColumn id="82" name="Location Type" dataDxfId="1472" totalsRowDxfId="1471" dataCellStyle="Percent">
      <calculatedColumnFormula>VLOOKUP(WWWW[[#This Row],[Site Name]],SiteDB6[[Site Name]:[Location Type]],8,FALSE)</calculatedColumnFormula>
    </tableColumn>
    <tableColumn id="80" name="Location Type 1" dataDxfId="1470" totalsRowDxfId="1469" dataCellStyle="Percent">
      <calculatedColumnFormula>VLOOKUP(WWWW[[#This Row],[Site Name]],SiteDB6[[Site Name]:[Location Type 1]],9,FALSE)</calculatedColumnFormula>
    </tableColumn>
    <tableColumn id="45" name="Type of accommodation" dataDxfId="1468" totalsRowDxfId="1467" dataCellStyle="Percent">
      <calculatedColumnFormula>VLOOKUP(WWWW[[#This Row],[Site Name]],SiteDB6[[Site Name]:[Type of Accommodation]],10,FALSE)</calculatedColumnFormula>
    </tableColumn>
    <tableColumn id="46" name="Ethnic or GCA/NGCA" dataDxfId="1466" totalsRowDxfId="1465" dataCellStyle="Percent">
      <calculatedColumnFormula>VLOOKUP(WWWW[[#This Row],[Site Name]],SiteDB6[[Site Name]:[Ethnic or GCA/NGCA]],11,FALSE)</calculatedColumnFormula>
    </tableColumn>
    <tableColumn id="60" name="Lat" dataDxfId="1464" totalsRowDxfId="1463" dataCellStyle="Percent">
      <calculatedColumnFormula>VLOOKUP(WWWW[[#This Row],[Site Name]],SiteDB6[[Site Name]:[Lat]],12,FALSE)</calculatedColumnFormula>
    </tableColumn>
    <tableColumn id="61" name="Long" dataDxfId="1462" totalsRowDxfId="1461" dataCellStyle="Percent">
      <calculatedColumnFormula>VLOOKUP(WWWW[[#This Row],[Site Name]],SiteDB6[[Site Name]:[Long]],13,FALSE)</calculatedColumnFormula>
    </tableColumn>
    <tableColumn id="62" name="Pcode" dataDxfId="1460" totalsRowDxfId="1459" dataCellStyle="Percent">
      <calculatedColumnFormula>VLOOKUP(WWWW[[#This Row],[Site Name]],SiteDB6[[Site Name]:[Pcode]],3,FALSE)</calculatedColumnFormula>
    </tableColumn>
    <tableColumn id="63" name="Covered" dataDxfId="1458" totalsRowDxfId="1457">
      <calculatedColumnFormula>IF(B7="none","Notcovered","Covered")</calculatedColumnFormula>
    </tableColumn>
    <tableColumn id="64" name="Remark" dataDxfId="1456" totalsRowDxfId="1455"/>
  </tableColumns>
  <tableStyleInfo name="TableStyleMedium27" showFirstColumn="1" showLastColumn="0" showRowStripes="1" showColumnStripes="0"/>
</table>
</file>

<file path=xl/tables/table2.xml><?xml version="1.0" encoding="utf-8"?>
<table xmlns="http://schemas.openxmlformats.org/spreadsheetml/2006/main" id="5" name="SiteDB6" displayName="SiteDB6" ref="A2:W907" totalsRowShown="0" headerRowDxfId="1448" dataDxfId="1447">
  <autoFilter ref="A2:W907">
    <filterColumn colId="2">
      <filters>
        <filter val="Baw Du Pha (IDP in host families)"/>
      </filters>
    </filterColumn>
  </autoFilter>
  <sortState ref="A2:W905">
    <sortCondition ref="A2:A905"/>
    <sortCondition ref="B2:B905"/>
    <sortCondition ref="C2:C905"/>
  </sortState>
  <tableColumns count="23">
    <tableColumn id="13" name="State" dataDxfId="1446"/>
    <tableColumn id="12" name="Township" dataDxfId="1445"/>
    <tableColumn id="1" name="Site Name" dataDxfId="1444"/>
    <tableColumn id="26" name="open in cccm?" dataDxfId="1443"/>
    <tableColumn id="2" name="Pcode" dataDxfId="1442"/>
    <tableColumn id="20" name="Vtract" dataDxfId="1441"/>
    <tableColumn id="21" name="VillageWard" dataDxfId="1440"/>
    <tableColumn id="3" name="CCCM Management" dataDxfId="1439"/>
    <tableColumn id="4" name="CCCM Focal Agency" dataDxfId="1438"/>
    <tableColumn id="5" name="Location Type" dataDxfId="1437"/>
    <tableColumn id="6" name="Location Type 1" dataDxfId="1436"/>
    <tableColumn id="7" name="Type of Accommodation" dataDxfId="1435"/>
    <tableColumn id="8" name="Ethnic or GCA/NGCA" dataDxfId="1434"/>
    <tableColumn id="10" name="Lat" dataDxfId="1433"/>
    <tableColumn id="9" name="Long" dataDxfId="1432"/>
    <tableColumn id="11" name="HRP categories" dataDxfId="1431"/>
    <tableColumn id="14" name="Current 4 W reported list" dataDxfId="1430"/>
    <tableColumn id="15" name="HH_x000a_(Rakhine-CCCM as of 1st May 2017)_x000a_" dataDxfId="1429"/>
    <tableColumn id="16" name="Pop_x000a_(Rakhine-CCCM as of 1st May 2017)" dataDxfId="1428"/>
    <tableColumn id="17" name="Updated Date" dataDxfId="1427"/>
    <tableColumn id="18" name="Remark" dataDxfId="1426"/>
    <tableColumn id="19" name="Site Name_(Old)" dataDxfId="1425"/>
    <tableColumn id="24" name="Comments form CCCM" dataDxfId="1424"/>
  </tableColumns>
  <tableStyleInfo name="TableStyleMedium2" showFirstColumn="0" showLastColumn="0" showRowStripes="1" showColumnStripes="0"/>
</table>
</file>

<file path=xl/tables/table3.xml><?xml version="1.0" encoding="utf-8"?>
<table xmlns="http://schemas.openxmlformats.org/spreadsheetml/2006/main" id="10" name="Table711" displayName="Table711" ref="B48:G62" totalsRowCount="1" headerRowDxfId="105" dataDxfId="104" totalsRowDxfId="103">
  <autoFilter ref="B48:G61">
    <filterColumn colId="0" hiddenButton="1"/>
    <filterColumn colId="1" hiddenButton="1"/>
    <filterColumn colId="2" hiddenButton="1"/>
    <filterColumn colId="3" hiddenButton="1"/>
    <filterColumn colId="4" hiddenButton="1"/>
    <filterColumn colId="5" hiddenButton="1"/>
  </autoFilter>
  <tableColumns count="6">
    <tableColumn id="1" name="Gap in active camps / township" totalsRowLabel="Total" dataDxfId="102" totalsRowDxfId="101"/>
    <tableColumn id="2" name="Partners " totalsRowLabel="(in active camps)" dataDxfId="100" totalsRowDxfId="99"/>
    <tableColumn id="3" name="Total population" totalsRowFunction="sum" dataDxfId="98" totalsRowDxfId="97" dataCellStyle="Comma"/>
    <tableColumn id="4" name=" % _x000a_Water Gap" totalsRowLabel="12%" dataDxfId="96" totalsRowDxfId="95"/>
    <tableColumn id="5" name=" %_x000a_ Sanitation Gap" totalsRowLabel="23%" dataDxfId="94" totalsRowDxfId="93"/>
    <tableColumn id="6" name="%  _x000a_Hygiene Gap" totalsRowLabel="88%" dataDxfId="92" totalsRowDxfId="91"/>
  </tableColumns>
  <tableStyleInfo name="TableStyleLight20" showFirstColumn="0" showLastColumn="0" showRowStripes="1" showColumnStripes="0"/>
</table>
</file>

<file path=xl/tables/table4.xml><?xml version="1.0" encoding="utf-8"?>
<table xmlns="http://schemas.openxmlformats.org/spreadsheetml/2006/main" id="3" name="Table7124" displayName="Table7124" ref="B45:G53" totalsRowCount="1" headerRowDxfId="90" dataDxfId="89" totalsRowDxfId="88">
  <autoFilter ref="B45:G52">
    <filterColumn colId="0" hiddenButton="1"/>
    <filterColumn colId="1" hiddenButton="1"/>
    <filterColumn colId="2" hiddenButton="1"/>
    <filterColumn colId="3" hiddenButton="1"/>
    <filterColumn colId="4" hiddenButton="1"/>
    <filterColumn colId="5" hiddenButton="1"/>
  </autoFilter>
  <tableColumns count="6">
    <tableColumn id="1" name="Gap in villages / township" totalsRowLabel="Total" dataDxfId="87" totalsRowDxfId="86"/>
    <tableColumn id="2" name="Partners " dataDxfId="85" totalsRowDxfId="84"/>
    <tableColumn id="3" name="Total population" totalsRowFunction="sum" dataDxfId="83" totalsRowDxfId="82" dataCellStyle="Comma"/>
    <tableColumn id="4" name=" % _x000a_Water Gap" totalsRowLabel="36%" dataDxfId="81" totalsRowDxfId="80">
      <calculatedColumnFormula>GETPIVOTDATA("Water GAP",Analysis!$O$10,"Township","Buthidaung")</calculatedColumnFormula>
    </tableColumn>
    <tableColumn id="5" name=" %_x000a_ Sanitation Gap" totalsRowLabel="75%" dataDxfId="79" totalsRowDxfId="78">
      <calculatedColumnFormula>GETPIVOTDATA("Sanitation Gap ",Analysis!$O$10,"Township","Buthidaung")</calculatedColumnFormula>
    </tableColumn>
    <tableColumn id="6" name="%  _x000a_Hygiene Gap" totalsRowLabel="97%" dataDxfId="77" totalsRowDxfId="76">
      <calculatedColumnFormula>GETPIVOTDATA("Hygiene Gap",Analysis!$O$10,"Township","Buthidaung")</calculatedColumnFormula>
    </tableColumn>
  </tableColumns>
  <tableStyleInfo name="TableStyleLight20" showFirstColumn="0" showLastColumn="0" showRowStripes="1" showColumnStripes="0"/>
</table>
</file>

<file path=xl/tables/table5.xml><?xml version="1.0" encoding="utf-8"?>
<table xmlns="http://schemas.openxmlformats.org/spreadsheetml/2006/main" id="11" name="Table412" displayName="Table412" ref="B49:G56" totalsRowShown="0" headerRowDxfId="75" dataDxfId="73" headerRowBorderDxfId="74" tableBorderDxfId="72" totalsRowBorderDxfId="71">
  <tableColumns count="6">
    <tableColumn id="1" name="Gap in active camps / Township" dataDxfId="70"/>
    <tableColumn id="6" name="Partners " dataDxfId="69"/>
    <tableColumn id="2" name="Total population" dataDxfId="68" dataCellStyle="Comma"/>
    <tableColumn id="3" name=" % _x000a_Water Gap" dataDxfId="67"/>
    <tableColumn id="4" name=" %_x000a_ Sanitation Gap" dataDxfId="66"/>
    <tableColumn id="5" name="%  _x000a_Hygiene Gap" dataDxfId="65"/>
  </tableColumns>
  <tableStyleInfo name="TableStyleMedium2" showFirstColumn="0" showLastColumn="0" showRowStripes="1" showColumnStripes="0"/>
</table>
</file>

<file path=xl/tables/table6.xml><?xml version="1.0" encoding="utf-8"?>
<table xmlns="http://schemas.openxmlformats.org/spreadsheetml/2006/main" id="12" name="Table613" displayName="Table613" ref="B57:G65" totalsRowShown="0" headerRowDxfId="64" headerRowBorderDxfId="63" tableBorderDxfId="62" totalsRowBorderDxfId="61">
  <tableColumns count="6">
    <tableColumn id="1" name="Gap in active villages/ Township" dataDxfId="60"/>
    <tableColumn id="2" name="Partners " dataDxfId="59"/>
    <tableColumn id="3" name="Total population" dataDxfId="58"/>
    <tableColumn id="4" name=" % _x000a_Water Gap" dataDxfId="57"/>
    <tableColumn id="5" name=" %_x000a_ Sanitation Gap" dataDxfId="56"/>
    <tableColumn id="6" name="%  _x000a_Hygiene Gap" dataDxfId="55"/>
  </tableColumns>
  <tableStyleInfo name="TableStyleMedium2" showFirstColumn="0" showLastColumn="0" showRowStripes="1" showColumnStripes="0"/>
</table>
</file>

<file path=xl/tables/table7.xml><?xml version="1.0" encoding="utf-8"?>
<table xmlns="http://schemas.openxmlformats.org/spreadsheetml/2006/main" id="8" name="Table712109" displayName="Table712109" ref="B48:G56" totalsRowCount="1" headerRowDxfId="54" dataDxfId="53">
  <tableColumns count="6">
    <tableColumn id="1" name="Gap in active camps / township" totalsRowLabel="Total" dataDxfId="52" totalsRowDxfId="51"/>
    <tableColumn id="2" name="Partners " totalsRowLabel="(in active camps)" dataDxfId="50" totalsRowDxfId="49"/>
    <tableColumn id="3" name="Total population" totalsRowFunction="sum" dataDxfId="48" totalsRowDxfId="47" dataCellStyle="Comma"/>
    <tableColumn id="4" name=" % _x000a_Water Gap" totalsRowLabel="8%" dataDxfId="46" totalsRowDxfId="45"/>
    <tableColumn id="5" name=" %_x000a_ Sanitation Gap" totalsRowLabel="13%" dataDxfId="44" totalsRowDxfId="43"/>
    <tableColumn id="6" name="%  _x000a_Hygiene Gap" totalsRowLabel="89%" dataDxfId="42" totalsRowDxfId="41"/>
  </tableColumns>
  <tableStyleInfo name="TableStyleLight20" showFirstColumn="0" showLastColumn="0" showRowStripes="1" showColumnStripes="0"/>
</table>
</file>

<file path=xl/tables/table8.xml><?xml version="1.0" encoding="utf-8"?>
<table xmlns="http://schemas.openxmlformats.org/spreadsheetml/2006/main" id="1" name="Table1" displayName="Table1" ref="AB3:AC83" totalsRowShown="0" headerRowDxfId="5" dataDxfId="3" headerRowBorderDxfId="4" tableBorderDxfId="2" dataCellStyle="Normal_Township">
  <autoFilter ref="AB3:AC83"/>
  <sortState ref="AB4:AC83">
    <sortCondition ref="AB4:AB83"/>
    <sortCondition ref="AC4:AC83"/>
  </sortState>
  <tableColumns count="2">
    <tableColumn id="1" name="State_list" dataDxfId="1" dataCellStyle="Normal_Township"/>
    <tableColumn id="2"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3" Type="http://schemas.openxmlformats.org/officeDocument/2006/relationships/pivotTable" Target="../pivotTables/pivotTable4.xml"/><Relationship Id="rId7" Type="http://schemas.openxmlformats.org/officeDocument/2006/relationships/pivotTable" Target="../pivotTables/pivotTable8.xml"/><Relationship Id="rId12" Type="http://schemas.openxmlformats.org/officeDocument/2006/relationships/pivotTable" Target="../pivotTables/pivotTable13.xml"/><Relationship Id="rId2" Type="http://schemas.openxmlformats.org/officeDocument/2006/relationships/pivotTable" Target="../pivotTables/pivotTable3.xml"/><Relationship Id="rId16" Type="http://schemas.openxmlformats.org/officeDocument/2006/relationships/drawing" Target="../drawings/drawing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5" Type="http://schemas.openxmlformats.org/officeDocument/2006/relationships/printerSettings" Target="../printerSettings/printerSettings7.bin"/><Relationship Id="rId10" Type="http://schemas.openxmlformats.org/officeDocument/2006/relationships/pivotTable" Target="../pivotTables/pivotTable11.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23.xml"/><Relationship Id="rId13" Type="http://schemas.openxmlformats.org/officeDocument/2006/relationships/pivotTable" Target="../pivotTables/pivotTable28.xml"/><Relationship Id="rId18" Type="http://schemas.openxmlformats.org/officeDocument/2006/relationships/pivotTable" Target="../pivotTables/pivotTable33.xml"/><Relationship Id="rId26" Type="http://schemas.openxmlformats.org/officeDocument/2006/relationships/pivotTable" Target="../pivotTables/pivotTable41.xml"/><Relationship Id="rId39" Type="http://schemas.openxmlformats.org/officeDocument/2006/relationships/printerSettings" Target="../printerSettings/printerSettings8.bin"/><Relationship Id="rId3" Type="http://schemas.openxmlformats.org/officeDocument/2006/relationships/pivotTable" Target="../pivotTables/pivotTable18.xml"/><Relationship Id="rId21" Type="http://schemas.openxmlformats.org/officeDocument/2006/relationships/pivotTable" Target="../pivotTables/pivotTable36.xml"/><Relationship Id="rId34" Type="http://schemas.openxmlformats.org/officeDocument/2006/relationships/pivotTable" Target="../pivotTables/pivotTable49.xml"/><Relationship Id="rId7" Type="http://schemas.openxmlformats.org/officeDocument/2006/relationships/pivotTable" Target="../pivotTables/pivotTable22.xml"/><Relationship Id="rId12" Type="http://schemas.openxmlformats.org/officeDocument/2006/relationships/pivotTable" Target="../pivotTables/pivotTable27.xml"/><Relationship Id="rId17" Type="http://schemas.openxmlformats.org/officeDocument/2006/relationships/pivotTable" Target="../pivotTables/pivotTable32.xml"/><Relationship Id="rId25" Type="http://schemas.openxmlformats.org/officeDocument/2006/relationships/pivotTable" Target="../pivotTables/pivotTable40.xml"/><Relationship Id="rId33" Type="http://schemas.openxmlformats.org/officeDocument/2006/relationships/pivotTable" Target="../pivotTables/pivotTable48.xml"/><Relationship Id="rId38" Type="http://schemas.openxmlformats.org/officeDocument/2006/relationships/pivotTable" Target="../pivotTables/pivotTable53.xml"/><Relationship Id="rId2" Type="http://schemas.openxmlformats.org/officeDocument/2006/relationships/pivotTable" Target="../pivotTables/pivotTable17.xml"/><Relationship Id="rId16" Type="http://schemas.openxmlformats.org/officeDocument/2006/relationships/pivotTable" Target="../pivotTables/pivotTable31.xml"/><Relationship Id="rId20" Type="http://schemas.openxmlformats.org/officeDocument/2006/relationships/pivotTable" Target="../pivotTables/pivotTable35.xml"/><Relationship Id="rId29" Type="http://schemas.openxmlformats.org/officeDocument/2006/relationships/pivotTable" Target="../pivotTables/pivotTable44.xml"/><Relationship Id="rId41" Type="http://schemas.microsoft.com/office/2007/relationships/slicer" Target="../slicers/slicer1.xml"/><Relationship Id="rId1" Type="http://schemas.openxmlformats.org/officeDocument/2006/relationships/pivotTable" Target="../pivotTables/pivotTable16.xml"/><Relationship Id="rId6" Type="http://schemas.openxmlformats.org/officeDocument/2006/relationships/pivotTable" Target="../pivotTables/pivotTable21.xml"/><Relationship Id="rId11" Type="http://schemas.openxmlformats.org/officeDocument/2006/relationships/pivotTable" Target="../pivotTables/pivotTable26.xml"/><Relationship Id="rId24" Type="http://schemas.openxmlformats.org/officeDocument/2006/relationships/pivotTable" Target="../pivotTables/pivotTable39.xml"/><Relationship Id="rId32" Type="http://schemas.openxmlformats.org/officeDocument/2006/relationships/pivotTable" Target="../pivotTables/pivotTable47.xml"/><Relationship Id="rId37" Type="http://schemas.openxmlformats.org/officeDocument/2006/relationships/pivotTable" Target="../pivotTables/pivotTable52.xml"/><Relationship Id="rId40" Type="http://schemas.openxmlformats.org/officeDocument/2006/relationships/drawing" Target="../drawings/drawing4.xml"/><Relationship Id="rId5" Type="http://schemas.openxmlformats.org/officeDocument/2006/relationships/pivotTable" Target="../pivotTables/pivotTable20.xml"/><Relationship Id="rId15" Type="http://schemas.openxmlformats.org/officeDocument/2006/relationships/pivotTable" Target="../pivotTables/pivotTable30.xml"/><Relationship Id="rId23" Type="http://schemas.openxmlformats.org/officeDocument/2006/relationships/pivotTable" Target="../pivotTables/pivotTable38.xml"/><Relationship Id="rId28" Type="http://schemas.openxmlformats.org/officeDocument/2006/relationships/pivotTable" Target="../pivotTables/pivotTable43.xml"/><Relationship Id="rId36" Type="http://schemas.openxmlformats.org/officeDocument/2006/relationships/pivotTable" Target="../pivotTables/pivotTable51.xml"/><Relationship Id="rId10" Type="http://schemas.openxmlformats.org/officeDocument/2006/relationships/pivotTable" Target="../pivotTables/pivotTable25.xml"/><Relationship Id="rId19" Type="http://schemas.openxmlformats.org/officeDocument/2006/relationships/pivotTable" Target="../pivotTables/pivotTable34.xml"/><Relationship Id="rId31" Type="http://schemas.openxmlformats.org/officeDocument/2006/relationships/pivotTable" Target="../pivotTables/pivotTable46.xml"/><Relationship Id="rId4" Type="http://schemas.openxmlformats.org/officeDocument/2006/relationships/pivotTable" Target="../pivotTables/pivotTable19.xml"/><Relationship Id="rId9" Type="http://schemas.openxmlformats.org/officeDocument/2006/relationships/pivotTable" Target="../pivotTables/pivotTable24.xml"/><Relationship Id="rId14" Type="http://schemas.openxmlformats.org/officeDocument/2006/relationships/pivotTable" Target="../pivotTables/pivotTable29.xml"/><Relationship Id="rId22" Type="http://schemas.openxmlformats.org/officeDocument/2006/relationships/pivotTable" Target="../pivotTables/pivotTable37.xml"/><Relationship Id="rId27" Type="http://schemas.openxmlformats.org/officeDocument/2006/relationships/pivotTable" Target="../pivotTables/pivotTable42.xml"/><Relationship Id="rId30" Type="http://schemas.openxmlformats.org/officeDocument/2006/relationships/pivotTable" Target="../pivotTables/pivotTable45.xml"/><Relationship Id="rId35" Type="http://schemas.openxmlformats.org/officeDocument/2006/relationships/pivotTable" Target="../pivotTables/pivotTable50.xml"/></Relationships>
</file>

<file path=xl/worksheets/_rels/sheet10.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7.xml"/><Relationship Id="rId1" Type="http://schemas.openxmlformats.org/officeDocument/2006/relationships/pivotTable" Target="../pivotTables/pivotTable5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7.xml"/><Relationship Id="rId1" Type="http://schemas.openxmlformats.org/officeDocument/2006/relationships/pivotTable" Target="../pivotTables/pivotTable5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8"/>
  <sheetViews>
    <sheetView zoomScale="96" zoomScaleNormal="96" workbookViewId="0">
      <selection activeCell="K37" sqref="K37"/>
    </sheetView>
  </sheetViews>
  <sheetFormatPr defaultColWidth="7.75" defaultRowHeight="15" x14ac:dyDescent="0.25"/>
  <cols>
    <col min="1" max="1" width="7.125" style="31" customWidth="1"/>
    <col min="2" max="2" width="2.25" style="31" customWidth="1"/>
    <col min="3" max="19" width="7.75" style="31"/>
    <col min="20" max="20" width="25.125" style="31" customWidth="1"/>
    <col min="21" max="16384" width="7.75" style="31"/>
  </cols>
  <sheetData>
    <row r="1" spans="2:20" ht="28.15" customHeight="1" thickBot="1" x14ac:dyDescent="0.3"/>
    <row r="2" spans="2:20" s="32" customFormat="1" ht="35.450000000000003" customHeight="1" thickTop="1" thickBot="1" x14ac:dyDescent="0.3">
      <c r="B2" s="938" t="s">
        <v>199</v>
      </c>
      <c r="C2" s="939"/>
      <c r="D2" s="939"/>
      <c r="E2" s="939"/>
      <c r="F2" s="939"/>
      <c r="G2" s="939"/>
      <c r="H2" s="939"/>
      <c r="I2" s="939"/>
      <c r="J2" s="939"/>
      <c r="K2" s="939"/>
      <c r="L2" s="939"/>
      <c r="M2" s="939"/>
      <c r="N2" s="939"/>
      <c r="O2" s="939"/>
      <c r="P2" s="939"/>
      <c r="Q2" s="939"/>
      <c r="R2" s="939"/>
      <c r="S2" s="939"/>
      <c r="T2" s="940"/>
    </row>
    <row r="3" spans="2:20" ht="15.75" thickTop="1" x14ac:dyDescent="0.25">
      <c r="B3" s="33"/>
      <c r="C3" s="34"/>
      <c r="D3" s="34"/>
      <c r="E3" s="34"/>
      <c r="F3" s="34"/>
      <c r="G3" s="34"/>
      <c r="H3" s="34"/>
      <c r="I3" s="34"/>
      <c r="J3" s="34"/>
      <c r="K3" s="34"/>
      <c r="L3" s="34"/>
      <c r="M3" s="34"/>
      <c r="N3" s="34"/>
      <c r="O3" s="34"/>
      <c r="P3" s="34"/>
      <c r="Q3" s="34"/>
      <c r="R3" s="34"/>
      <c r="S3" s="34"/>
      <c r="T3" s="35"/>
    </row>
    <row r="4" spans="2:20" x14ac:dyDescent="0.25">
      <c r="B4" s="33"/>
      <c r="C4" s="36" t="s">
        <v>200</v>
      </c>
      <c r="D4" s="34"/>
      <c r="E4" s="34"/>
      <c r="F4" s="34"/>
      <c r="G4" s="34"/>
      <c r="H4" s="34"/>
      <c r="I4" s="34"/>
      <c r="J4" s="34"/>
      <c r="K4" s="34"/>
      <c r="L4" s="34"/>
      <c r="M4" s="34"/>
      <c r="N4" s="34"/>
      <c r="O4" s="34"/>
      <c r="P4" s="34"/>
      <c r="Q4" s="34"/>
      <c r="R4" s="34"/>
      <c r="S4" s="34"/>
      <c r="T4" s="35"/>
    </row>
    <row r="5" spans="2:20" x14ac:dyDescent="0.25">
      <c r="B5" s="33"/>
      <c r="C5" s="34"/>
      <c r="D5" s="34" t="s">
        <v>201</v>
      </c>
      <c r="E5" s="34"/>
      <c r="F5" s="34"/>
      <c r="G5" s="34"/>
      <c r="H5" s="34"/>
      <c r="I5" s="34"/>
      <c r="J5" s="34"/>
      <c r="K5" s="34"/>
      <c r="L5" s="34"/>
      <c r="M5" s="34"/>
      <c r="N5" s="34"/>
      <c r="O5" s="34"/>
      <c r="P5" s="34"/>
      <c r="Q5" s="34"/>
      <c r="R5" s="34"/>
      <c r="S5" s="34"/>
      <c r="T5" s="35"/>
    </row>
    <row r="6" spans="2:20" x14ac:dyDescent="0.25">
      <c r="B6" s="33"/>
      <c r="C6" s="34"/>
      <c r="D6" s="34" t="s">
        <v>202</v>
      </c>
      <c r="E6" s="34"/>
      <c r="F6" s="34"/>
      <c r="G6" s="34"/>
      <c r="H6" s="34"/>
      <c r="I6" s="34"/>
      <c r="J6" s="34"/>
      <c r="K6" s="34"/>
      <c r="L6" s="34"/>
      <c r="M6" s="34"/>
      <c r="N6" s="34"/>
      <c r="O6" s="34"/>
      <c r="P6" s="34"/>
      <c r="Q6" s="34"/>
      <c r="R6" s="34"/>
      <c r="S6" s="34"/>
      <c r="T6" s="35"/>
    </row>
    <row r="7" spans="2:20" x14ac:dyDescent="0.25">
      <c r="B7" s="33"/>
      <c r="C7" s="34"/>
      <c r="D7" s="34" t="s">
        <v>203</v>
      </c>
      <c r="E7" s="34"/>
      <c r="F7" s="34"/>
      <c r="G7" s="34"/>
      <c r="H7" s="34"/>
      <c r="I7" s="34"/>
      <c r="J7" s="34"/>
      <c r="K7" s="34"/>
      <c r="L7" s="34"/>
      <c r="M7" s="34"/>
      <c r="N7" s="34"/>
      <c r="O7" s="34"/>
      <c r="P7" s="34"/>
      <c r="Q7" s="34"/>
      <c r="R7" s="34"/>
      <c r="S7" s="34"/>
      <c r="T7" s="35"/>
    </row>
    <row r="8" spans="2:20" x14ac:dyDescent="0.25">
      <c r="B8" s="33"/>
      <c r="C8" s="34"/>
      <c r="D8" s="34" t="s">
        <v>204</v>
      </c>
      <c r="E8" s="34"/>
      <c r="F8" s="34"/>
      <c r="G8" s="34"/>
      <c r="H8" s="34"/>
      <c r="I8" s="34"/>
      <c r="J8" s="34"/>
      <c r="K8" s="34"/>
      <c r="L8" s="34"/>
      <c r="M8" s="34"/>
      <c r="N8" s="34"/>
      <c r="O8" s="34"/>
      <c r="P8" s="34"/>
      <c r="Q8" s="34"/>
      <c r="R8" s="34"/>
      <c r="S8" s="34"/>
      <c r="T8" s="35"/>
    </row>
    <row r="9" spans="2:20" x14ac:dyDescent="0.25">
      <c r="B9" s="33"/>
      <c r="C9" s="34"/>
      <c r="D9" s="34" t="s">
        <v>205</v>
      </c>
      <c r="E9" s="34"/>
      <c r="F9" s="34"/>
      <c r="G9" s="34"/>
      <c r="H9" s="34"/>
      <c r="I9" s="34"/>
      <c r="J9" s="34"/>
      <c r="K9" s="34"/>
      <c r="L9" s="34"/>
      <c r="M9" s="34"/>
      <c r="N9" s="34"/>
      <c r="O9" s="34"/>
      <c r="P9" s="34"/>
      <c r="Q9" s="34"/>
      <c r="R9" s="34"/>
      <c r="S9" s="34"/>
      <c r="T9" s="35"/>
    </row>
    <row r="10" spans="2:20" x14ac:dyDescent="0.25">
      <c r="B10" s="33"/>
      <c r="C10" s="34"/>
      <c r="D10" s="34" t="s">
        <v>206</v>
      </c>
      <c r="E10" s="34"/>
      <c r="F10" s="34"/>
      <c r="G10" s="34"/>
      <c r="H10" s="34"/>
      <c r="I10" s="34"/>
      <c r="J10" s="34"/>
      <c r="K10" s="34"/>
      <c r="L10" s="34"/>
      <c r="M10" s="34"/>
      <c r="N10" s="34"/>
      <c r="O10" s="34"/>
      <c r="P10" s="34"/>
      <c r="Q10" s="34"/>
      <c r="R10" s="34"/>
      <c r="S10" s="34"/>
      <c r="T10" s="35"/>
    </row>
    <row r="11" spans="2:20" x14ac:dyDescent="0.25">
      <c r="B11" s="33"/>
      <c r="C11" s="34"/>
      <c r="D11" s="34" t="s">
        <v>207</v>
      </c>
      <c r="E11" s="34"/>
      <c r="F11" s="34"/>
      <c r="G11" s="34"/>
      <c r="H11" s="34"/>
      <c r="I11" s="34"/>
      <c r="J11" s="34"/>
      <c r="K11" s="34"/>
      <c r="L11" s="34"/>
      <c r="M11" s="34"/>
      <c r="N11" s="34"/>
      <c r="O11" s="34"/>
      <c r="P11" s="34"/>
      <c r="Q11" s="34"/>
      <c r="R11" s="34"/>
      <c r="S11" s="34"/>
      <c r="T11" s="35"/>
    </row>
    <row r="12" spans="2:20" x14ac:dyDescent="0.25">
      <c r="B12" s="33"/>
      <c r="C12" s="34"/>
      <c r="D12" s="34" t="s">
        <v>208</v>
      </c>
      <c r="E12" s="34"/>
      <c r="F12" s="34"/>
      <c r="G12" s="34"/>
      <c r="H12" s="34"/>
      <c r="I12" s="34"/>
      <c r="J12" s="34"/>
      <c r="K12" s="34"/>
      <c r="L12" s="34"/>
      <c r="M12" s="34"/>
      <c r="N12" s="34"/>
      <c r="O12" s="34"/>
      <c r="P12" s="34"/>
      <c r="Q12" s="34"/>
      <c r="R12" s="34"/>
      <c r="S12" s="34"/>
      <c r="T12" s="35"/>
    </row>
    <row r="13" spans="2:20" x14ac:dyDescent="0.25">
      <c r="B13" s="33"/>
      <c r="C13" s="34"/>
      <c r="D13" s="34" t="s">
        <v>209</v>
      </c>
      <c r="E13" s="34"/>
      <c r="F13" s="34"/>
      <c r="G13" s="34"/>
      <c r="H13" s="34"/>
      <c r="I13" s="34"/>
      <c r="J13" s="34"/>
      <c r="K13" s="34"/>
      <c r="L13" s="34"/>
      <c r="M13" s="34"/>
      <c r="N13" s="34"/>
      <c r="O13" s="34"/>
      <c r="P13" s="34"/>
      <c r="Q13" s="34"/>
      <c r="R13" s="34"/>
      <c r="S13" s="34"/>
      <c r="T13" s="35"/>
    </row>
    <row r="14" spans="2:20" x14ac:dyDescent="0.25">
      <c r="B14" s="33"/>
      <c r="C14" s="34"/>
      <c r="D14" s="34"/>
      <c r="E14" s="34"/>
      <c r="F14" s="34"/>
      <c r="G14" s="34"/>
      <c r="H14" s="34"/>
      <c r="I14" s="34"/>
      <c r="J14" s="34"/>
      <c r="K14" s="34"/>
      <c r="L14" s="34"/>
      <c r="M14" s="34"/>
      <c r="N14" s="34"/>
      <c r="O14" s="34"/>
      <c r="P14" s="34"/>
      <c r="Q14" s="34"/>
      <c r="R14" s="34"/>
      <c r="S14" s="34"/>
      <c r="T14" s="35"/>
    </row>
    <row r="15" spans="2:20" x14ac:dyDescent="0.25">
      <c r="B15" s="33"/>
      <c r="C15" s="36" t="s">
        <v>210</v>
      </c>
      <c r="D15" s="34"/>
      <c r="E15" s="34"/>
      <c r="F15" s="34"/>
      <c r="G15" s="34"/>
      <c r="H15" s="34"/>
      <c r="I15" s="34"/>
      <c r="J15" s="34"/>
      <c r="K15" s="34"/>
      <c r="L15" s="34"/>
      <c r="M15" s="34"/>
      <c r="N15" s="34"/>
      <c r="O15" s="34"/>
      <c r="P15" s="34"/>
      <c r="Q15" s="34"/>
      <c r="R15" s="34"/>
      <c r="S15" s="34"/>
      <c r="T15" s="35"/>
    </row>
    <row r="16" spans="2:20" x14ac:dyDescent="0.25">
      <c r="B16" s="33"/>
      <c r="C16" s="34"/>
      <c r="D16" s="34" t="s">
        <v>211</v>
      </c>
      <c r="E16" s="34"/>
      <c r="F16" s="34"/>
      <c r="G16" s="34"/>
      <c r="H16" s="34"/>
      <c r="I16" s="34"/>
      <c r="J16" s="34"/>
      <c r="K16" s="34"/>
      <c r="L16" s="34"/>
      <c r="M16" s="34"/>
      <c r="N16" s="34"/>
      <c r="O16" s="34"/>
      <c r="P16" s="34"/>
      <c r="Q16" s="34"/>
      <c r="R16" s="34"/>
      <c r="S16" s="34"/>
      <c r="T16" s="35"/>
    </row>
    <row r="17" spans="2:20" x14ac:dyDescent="0.25">
      <c r="B17" s="33"/>
      <c r="C17" s="34"/>
      <c r="D17" s="34" t="s">
        <v>212</v>
      </c>
      <c r="E17" s="34"/>
      <c r="F17" s="34"/>
      <c r="G17" s="34"/>
      <c r="H17" s="34"/>
      <c r="I17" s="34"/>
      <c r="J17" s="34"/>
      <c r="K17" s="34"/>
      <c r="L17" s="34"/>
      <c r="M17" s="34"/>
      <c r="N17" s="34"/>
      <c r="O17" s="34"/>
      <c r="P17" s="34"/>
      <c r="Q17" s="34"/>
      <c r="R17" s="34"/>
      <c r="S17" s="34"/>
      <c r="T17" s="35"/>
    </row>
    <row r="18" spans="2:20" x14ac:dyDescent="0.25">
      <c r="B18" s="33"/>
      <c r="C18" s="34"/>
      <c r="D18" s="34" t="s">
        <v>213</v>
      </c>
      <c r="E18" s="34"/>
      <c r="F18" s="34"/>
      <c r="G18" s="34"/>
      <c r="H18" s="34"/>
      <c r="I18" s="34"/>
      <c r="J18" s="34"/>
      <c r="K18" s="34"/>
      <c r="L18" s="34"/>
      <c r="M18" s="34"/>
      <c r="N18" s="34"/>
      <c r="O18" s="34"/>
      <c r="P18" s="34"/>
      <c r="Q18" s="34"/>
      <c r="R18" s="34"/>
      <c r="S18" s="34"/>
      <c r="T18" s="35"/>
    </row>
    <row r="19" spans="2:20" x14ac:dyDescent="0.25">
      <c r="B19" s="33"/>
      <c r="C19" s="34"/>
      <c r="D19" s="34" t="s">
        <v>214</v>
      </c>
      <c r="E19" s="34"/>
      <c r="F19" s="34"/>
      <c r="G19" s="34"/>
      <c r="H19" s="34"/>
      <c r="I19" s="34"/>
      <c r="J19" s="34"/>
      <c r="K19" s="34"/>
      <c r="L19" s="34"/>
      <c r="M19" s="34"/>
      <c r="N19" s="34"/>
      <c r="O19" s="34"/>
      <c r="P19" s="34"/>
      <c r="Q19" s="34"/>
      <c r="R19" s="34"/>
      <c r="S19" s="34"/>
      <c r="T19" s="35"/>
    </row>
    <row r="20" spans="2:20" x14ac:dyDescent="0.25">
      <c r="B20" s="33"/>
      <c r="C20" s="34"/>
      <c r="D20" s="34" t="s">
        <v>215</v>
      </c>
      <c r="E20" s="34"/>
      <c r="F20" s="34"/>
      <c r="G20" s="34"/>
      <c r="H20" s="34"/>
      <c r="I20" s="34"/>
      <c r="J20" s="34"/>
      <c r="K20" s="34"/>
      <c r="L20" s="34"/>
      <c r="M20" s="34"/>
      <c r="N20" s="34"/>
      <c r="O20" s="34"/>
      <c r="P20" s="34"/>
      <c r="Q20" s="34"/>
      <c r="R20" s="34"/>
      <c r="S20" s="34"/>
      <c r="T20" s="35"/>
    </row>
    <row r="21" spans="2:20" x14ac:dyDescent="0.25">
      <c r="B21" s="33"/>
      <c r="C21" s="34"/>
      <c r="D21" s="34" t="s">
        <v>216</v>
      </c>
      <c r="E21" s="34"/>
      <c r="F21" s="34"/>
      <c r="G21" s="34"/>
      <c r="H21" s="34"/>
      <c r="I21" s="34"/>
      <c r="J21" s="34"/>
      <c r="K21" s="34"/>
      <c r="L21" s="34"/>
      <c r="M21" s="34"/>
      <c r="N21" s="34"/>
      <c r="O21" s="34"/>
      <c r="P21" s="34"/>
      <c r="Q21" s="34"/>
      <c r="R21" s="34"/>
      <c r="S21" s="34"/>
      <c r="T21" s="35"/>
    </row>
    <row r="22" spans="2:20" x14ac:dyDescent="0.25">
      <c r="B22" s="33"/>
      <c r="C22" s="34"/>
      <c r="D22" s="34" t="s">
        <v>217</v>
      </c>
      <c r="E22" s="34"/>
      <c r="F22" s="34"/>
      <c r="G22" s="34"/>
      <c r="H22" s="34"/>
      <c r="I22" s="34"/>
      <c r="J22" s="34"/>
      <c r="K22" s="34"/>
      <c r="L22" s="34"/>
      <c r="M22" s="34"/>
      <c r="N22" s="34"/>
      <c r="O22" s="34"/>
      <c r="P22" s="34"/>
      <c r="Q22" s="34"/>
      <c r="R22" s="34"/>
      <c r="S22" s="34"/>
      <c r="T22" s="35"/>
    </row>
    <row r="23" spans="2:20" x14ac:dyDescent="0.25">
      <c r="B23" s="33"/>
      <c r="C23" s="34"/>
      <c r="D23" s="34"/>
      <c r="E23" s="34"/>
      <c r="F23" s="34"/>
      <c r="G23" s="34"/>
      <c r="H23" s="34"/>
      <c r="I23" s="34"/>
      <c r="J23" s="34"/>
      <c r="K23" s="34"/>
      <c r="L23" s="34"/>
      <c r="M23" s="34"/>
      <c r="N23" s="34"/>
      <c r="O23" s="34"/>
      <c r="P23" s="34"/>
      <c r="Q23" s="34"/>
      <c r="R23" s="34"/>
      <c r="S23" s="34"/>
      <c r="T23" s="35"/>
    </row>
    <row r="24" spans="2:20" x14ac:dyDescent="0.25">
      <c r="B24" s="33"/>
      <c r="C24" s="36" t="s">
        <v>218</v>
      </c>
      <c r="D24" s="34"/>
      <c r="E24" s="34"/>
      <c r="F24" s="34"/>
      <c r="G24" s="34"/>
      <c r="H24" s="34"/>
      <c r="I24" s="34"/>
      <c r="J24" s="34"/>
      <c r="K24" s="34"/>
      <c r="L24" s="34"/>
      <c r="M24" s="34"/>
      <c r="N24" s="34"/>
      <c r="O24" s="34"/>
      <c r="P24" s="34"/>
      <c r="Q24" s="34"/>
      <c r="R24" s="34"/>
      <c r="S24" s="34"/>
      <c r="T24" s="35"/>
    </row>
    <row r="25" spans="2:20" x14ac:dyDescent="0.25">
      <c r="B25" s="33"/>
      <c r="C25" s="34"/>
      <c r="D25" s="34" t="s">
        <v>219</v>
      </c>
      <c r="E25" s="34"/>
      <c r="F25" s="34"/>
      <c r="G25" s="34"/>
      <c r="H25" s="34"/>
      <c r="I25" s="34"/>
      <c r="J25" s="34"/>
      <c r="K25" s="34"/>
      <c r="L25" s="34"/>
      <c r="M25" s="34"/>
      <c r="N25" s="34"/>
      <c r="O25" s="34"/>
      <c r="P25" s="34"/>
      <c r="Q25" s="34"/>
      <c r="R25" s="34"/>
      <c r="S25" s="34"/>
      <c r="T25" s="35"/>
    </row>
    <row r="26" spans="2:20" ht="27" customHeight="1" x14ac:dyDescent="0.25">
      <c r="B26" s="33"/>
      <c r="C26" s="34"/>
      <c r="D26" s="941" t="s">
        <v>2614</v>
      </c>
      <c r="E26" s="942"/>
      <c r="F26" s="942"/>
      <c r="G26" s="942"/>
      <c r="H26" s="942"/>
      <c r="I26" s="942"/>
      <c r="J26" s="942"/>
      <c r="K26" s="942"/>
      <c r="L26" s="942"/>
      <c r="M26" s="942"/>
      <c r="N26" s="942"/>
      <c r="O26" s="942"/>
      <c r="P26" s="942"/>
      <c r="Q26" s="942"/>
      <c r="R26" s="942"/>
      <c r="S26" s="942"/>
      <c r="T26" s="943"/>
    </row>
    <row r="27" spans="2:20" x14ac:dyDescent="0.25">
      <c r="B27" s="33"/>
      <c r="C27" s="34"/>
      <c r="D27" s="423" t="s">
        <v>2613</v>
      </c>
      <c r="E27" s="34"/>
      <c r="F27" s="34"/>
      <c r="G27" s="34"/>
      <c r="H27" s="34"/>
      <c r="I27" s="34"/>
      <c r="J27" s="34"/>
      <c r="K27" s="34"/>
      <c r="L27" s="34"/>
      <c r="M27" s="34"/>
      <c r="N27" s="34"/>
      <c r="O27" s="34"/>
      <c r="P27" s="34"/>
      <c r="Q27" s="34"/>
      <c r="R27" s="34"/>
      <c r="S27" s="34"/>
      <c r="T27" s="35"/>
    </row>
    <row r="28" spans="2:20" x14ac:dyDescent="0.25">
      <c r="B28" s="33"/>
      <c r="C28" s="34"/>
      <c r="D28" s="34" t="s">
        <v>220</v>
      </c>
      <c r="E28" s="34"/>
      <c r="F28" s="34"/>
      <c r="G28" s="34"/>
      <c r="H28" s="34"/>
      <c r="I28" s="34"/>
      <c r="J28" s="34"/>
      <c r="K28" s="34"/>
      <c r="L28" s="34"/>
      <c r="M28" s="34"/>
      <c r="N28" s="34"/>
      <c r="O28" s="34"/>
      <c r="P28" s="34"/>
      <c r="Q28" s="34"/>
      <c r="R28" s="34"/>
      <c r="S28" s="34"/>
      <c r="T28" s="35"/>
    </row>
    <row r="29" spans="2:20" x14ac:dyDescent="0.25">
      <c r="B29" s="33"/>
      <c r="C29" s="34"/>
      <c r="D29" s="34" t="s">
        <v>221</v>
      </c>
      <c r="E29" s="34"/>
      <c r="F29" s="34"/>
      <c r="G29" s="34"/>
      <c r="H29" s="34"/>
      <c r="I29" s="34"/>
      <c r="J29" s="34"/>
      <c r="K29" s="34"/>
      <c r="L29" s="34"/>
      <c r="M29" s="34"/>
      <c r="N29" s="34"/>
      <c r="O29" s="34"/>
      <c r="P29" s="34"/>
      <c r="Q29" s="34"/>
      <c r="R29" s="34"/>
      <c r="S29" s="34"/>
      <c r="T29" s="35"/>
    </row>
    <row r="30" spans="2:20" x14ac:dyDescent="0.25">
      <c r="B30" s="33"/>
      <c r="C30" s="34"/>
      <c r="D30" s="34" t="s">
        <v>222</v>
      </c>
      <c r="E30" s="34"/>
      <c r="F30" s="34"/>
      <c r="G30" s="34"/>
      <c r="H30" s="34"/>
      <c r="I30" s="34"/>
      <c r="J30" s="34"/>
      <c r="K30" s="34"/>
      <c r="L30" s="34"/>
      <c r="M30" s="34"/>
      <c r="N30" s="34"/>
      <c r="O30" s="34"/>
      <c r="P30" s="34"/>
      <c r="Q30" s="34"/>
      <c r="R30" s="34"/>
      <c r="S30" s="34"/>
      <c r="T30" s="35"/>
    </row>
    <row r="31" spans="2:20" x14ac:dyDescent="0.25">
      <c r="B31" s="33"/>
      <c r="C31" s="34"/>
      <c r="D31" s="423" t="s">
        <v>2651</v>
      </c>
      <c r="E31" s="34"/>
      <c r="F31" s="34"/>
      <c r="G31" s="34"/>
      <c r="H31" s="34"/>
      <c r="I31" s="34"/>
      <c r="J31" s="34"/>
      <c r="K31" s="34"/>
      <c r="L31" s="34"/>
      <c r="M31" s="34"/>
      <c r="N31" s="34"/>
      <c r="O31" s="34"/>
      <c r="P31" s="34"/>
      <c r="Q31" s="34"/>
      <c r="R31" s="34"/>
      <c r="S31" s="34"/>
      <c r="T31" s="35"/>
    </row>
    <row r="32" spans="2:20" x14ac:dyDescent="0.25">
      <c r="B32" s="33"/>
      <c r="C32" s="34"/>
      <c r="D32" s="34" t="s">
        <v>223</v>
      </c>
      <c r="E32" s="34"/>
      <c r="F32" s="34"/>
      <c r="G32" s="34"/>
      <c r="H32" s="34"/>
      <c r="I32" s="34"/>
      <c r="J32" s="34"/>
      <c r="K32" s="34"/>
      <c r="L32" s="34"/>
      <c r="M32" s="34"/>
      <c r="N32" s="34"/>
      <c r="O32" s="34"/>
      <c r="P32" s="34"/>
      <c r="Q32" s="34"/>
      <c r="R32" s="34"/>
      <c r="S32" s="34"/>
      <c r="T32" s="35"/>
    </row>
    <row r="33" spans="2:20" x14ac:dyDescent="0.25">
      <c r="B33" s="33"/>
      <c r="C33" s="34"/>
      <c r="D33" s="34" t="s">
        <v>224</v>
      </c>
      <c r="E33" s="34"/>
      <c r="F33" s="34"/>
      <c r="G33" s="34"/>
      <c r="H33" s="34"/>
      <c r="I33" s="34"/>
      <c r="J33" s="34"/>
      <c r="K33" s="34"/>
      <c r="L33" s="34"/>
      <c r="M33" s="34"/>
      <c r="N33" s="34"/>
      <c r="O33" s="34"/>
      <c r="P33" s="34"/>
      <c r="Q33" s="34"/>
      <c r="R33" s="34"/>
      <c r="S33" s="34"/>
      <c r="T33" s="35"/>
    </row>
    <row r="34" spans="2:20" x14ac:dyDescent="0.25">
      <c r="B34" s="33"/>
      <c r="C34" s="34"/>
      <c r="D34" s="34"/>
      <c r="E34" s="34"/>
      <c r="F34" s="34"/>
      <c r="G34" s="34"/>
      <c r="H34" s="34"/>
      <c r="I34" s="34"/>
      <c r="J34" s="34"/>
      <c r="K34" s="34"/>
      <c r="L34" s="34"/>
      <c r="M34" s="34"/>
      <c r="N34" s="34"/>
      <c r="O34" s="34"/>
      <c r="P34" s="34"/>
      <c r="Q34" s="34"/>
      <c r="R34" s="34"/>
      <c r="S34" s="34"/>
      <c r="T34" s="35"/>
    </row>
    <row r="35" spans="2:20" x14ac:dyDescent="0.25">
      <c r="B35" s="33"/>
      <c r="C35" s="36" t="s">
        <v>225</v>
      </c>
      <c r="D35" s="34"/>
      <c r="E35" s="34"/>
      <c r="F35" s="34"/>
      <c r="G35" s="34"/>
      <c r="H35" s="34"/>
      <c r="I35" s="34"/>
      <c r="J35" s="34"/>
      <c r="K35" s="34"/>
      <c r="L35" s="34"/>
      <c r="M35" s="34"/>
      <c r="N35" s="34"/>
      <c r="O35" s="34"/>
      <c r="P35" s="34"/>
      <c r="Q35" s="34"/>
      <c r="R35" s="34"/>
      <c r="S35" s="34"/>
      <c r="T35" s="35"/>
    </row>
    <row r="36" spans="2:20" x14ac:dyDescent="0.25">
      <c r="B36" s="33"/>
      <c r="C36" s="34"/>
      <c r="D36" s="34" t="s">
        <v>226</v>
      </c>
      <c r="E36" s="34"/>
      <c r="F36" s="34"/>
      <c r="G36" s="34"/>
      <c r="H36" s="34"/>
      <c r="I36" s="34"/>
      <c r="J36" s="34"/>
      <c r="K36" s="34"/>
      <c r="L36" s="34"/>
      <c r="M36" s="34"/>
      <c r="N36" s="34"/>
      <c r="O36" s="34"/>
      <c r="P36" s="34"/>
      <c r="Q36" s="34"/>
      <c r="R36" s="34"/>
      <c r="S36" s="34"/>
      <c r="T36" s="35"/>
    </row>
    <row r="37" spans="2:20" x14ac:dyDescent="0.25">
      <c r="B37" s="33"/>
      <c r="C37" s="34"/>
      <c r="D37" s="34" t="s">
        <v>227</v>
      </c>
      <c r="E37" s="34"/>
      <c r="F37" s="34"/>
      <c r="G37" s="34"/>
      <c r="H37" s="34"/>
      <c r="I37" s="34"/>
      <c r="J37" s="34"/>
      <c r="K37" s="34"/>
      <c r="L37" s="34"/>
      <c r="M37" s="34"/>
      <c r="N37" s="34"/>
      <c r="O37" s="34"/>
      <c r="P37" s="34"/>
      <c r="Q37" s="34"/>
      <c r="R37" s="34"/>
      <c r="S37" s="34"/>
      <c r="T37" s="35"/>
    </row>
    <row r="38" spans="2:20" x14ac:dyDescent="0.25">
      <c r="B38" s="33"/>
      <c r="C38" s="34"/>
      <c r="D38" s="34" t="s">
        <v>228</v>
      </c>
      <c r="E38" s="34"/>
      <c r="F38" s="34"/>
      <c r="G38" s="34"/>
      <c r="H38" s="34"/>
      <c r="I38" s="34"/>
      <c r="J38" s="34"/>
      <c r="K38" s="34"/>
      <c r="L38" s="34"/>
      <c r="M38" s="34"/>
      <c r="N38" s="34"/>
      <c r="O38" s="34"/>
      <c r="P38" s="34"/>
      <c r="Q38" s="34"/>
      <c r="R38" s="34"/>
      <c r="S38" s="34"/>
      <c r="T38" s="35"/>
    </row>
    <row r="39" spans="2:20" x14ac:dyDescent="0.25">
      <c r="B39" s="33"/>
      <c r="C39" s="34"/>
      <c r="D39" s="34" t="s">
        <v>229</v>
      </c>
      <c r="E39" s="34"/>
      <c r="F39" s="34"/>
      <c r="G39" s="34"/>
      <c r="H39" s="34"/>
      <c r="I39" s="34"/>
      <c r="J39" s="34"/>
      <c r="K39" s="34"/>
      <c r="L39" s="34"/>
      <c r="M39" s="34"/>
      <c r="N39" s="34"/>
      <c r="O39" s="34"/>
      <c r="P39" s="34"/>
      <c r="Q39" s="34"/>
      <c r="R39" s="34"/>
      <c r="S39" s="34"/>
      <c r="T39" s="35"/>
    </row>
    <row r="40" spans="2:20" x14ac:dyDescent="0.25">
      <c r="B40" s="33"/>
      <c r="C40" s="34"/>
      <c r="D40" s="34"/>
      <c r="E40" s="34"/>
      <c r="F40" s="34"/>
      <c r="G40" s="34"/>
      <c r="H40" s="34"/>
      <c r="I40" s="34"/>
      <c r="J40" s="34"/>
      <c r="K40" s="34"/>
      <c r="L40" s="34"/>
      <c r="M40" s="34"/>
      <c r="N40" s="34"/>
      <c r="O40" s="34"/>
      <c r="P40" s="34"/>
      <c r="Q40" s="34"/>
      <c r="R40" s="34"/>
      <c r="S40" s="34"/>
      <c r="T40" s="35"/>
    </row>
    <row r="41" spans="2:20" x14ac:dyDescent="0.25">
      <c r="B41" s="33"/>
      <c r="C41" s="36" t="s">
        <v>230</v>
      </c>
      <c r="D41" s="34"/>
      <c r="E41" s="34"/>
      <c r="F41" s="34"/>
      <c r="G41" s="34"/>
      <c r="H41" s="34"/>
      <c r="I41" s="34"/>
      <c r="J41" s="34"/>
      <c r="K41" s="34"/>
      <c r="L41" s="34"/>
      <c r="M41" s="34"/>
      <c r="N41" s="34"/>
      <c r="O41" s="34"/>
      <c r="P41" s="34"/>
      <c r="Q41" s="34"/>
      <c r="R41" s="34"/>
      <c r="S41" s="34"/>
      <c r="T41" s="35"/>
    </row>
    <row r="42" spans="2:20" x14ac:dyDescent="0.25">
      <c r="B42" s="33"/>
      <c r="C42" s="34"/>
      <c r="D42" s="34" t="s">
        <v>231</v>
      </c>
      <c r="E42" s="34"/>
      <c r="F42" s="34"/>
      <c r="G42" s="34"/>
      <c r="H42" s="34"/>
      <c r="I42" s="34"/>
      <c r="J42" s="34"/>
      <c r="K42" s="34"/>
      <c r="L42" s="34"/>
      <c r="M42" s="34"/>
      <c r="N42" s="34"/>
      <c r="O42" s="34"/>
      <c r="P42" s="34"/>
      <c r="Q42" s="34"/>
      <c r="R42" s="34"/>
      <c r="S42" s="34"/>
      <c r="T42" s="35"/>
    </row>
    <row r="43" spans="2:20" x14ac:dyDescent="0.25">
      <c r="B43" s="33"/>
      <c r="C43" s="34"/>
      <c r="D43" s="34" t="s">
        <v>232</v>
      </c>
      <c r="E43" s="34"/>
      <c r="F43" s="34"/>
      <c r="G43" s="34"/>
      <c r="H43" s="34"/>
      <c r="I43" s="34"/>
      <c r="J43" s="34"/>
      <c r="K43" s="34"/>
      <c r="L43" s="34"/>
      <c r="M43" s="34"/>
      <c r="N43" s="34"/>
      <c r="O43" s="34"/>
      <c r="P43" s="34"/>
      <c r="Q43" s="34"/>
      <c r="R43" s="34"/>
      <c r="S43" s="34"/>
      <c r="T43" s="35"/>
    </row>
    <row r="44" spans="2:20" x14ac:dyDescent="0.25">
      <c r="B44" s="33"/>
      <c r="C44" s="34"/>
      <c r="D44" s="34" t="s">
        <v>233</v>
      </c>
      <c r="E44" s="34"/>
      <c r="F44" s="34"/>
      <c r="G44" s="34"/>
      <c r="H44" s="34"/>
      <c r="I44" s="34"/>
      <c r="J44" s="34"/>
      <c r="K44" s="34"/>
      <c r="L44" s="34"/>
      <c r="M44" s="34"/>
      <c r="N44" s="34"/>
      <c r="O44" s="34"/>
      <c r="P44" s="34"/>
      <c r="Q44" s="34"/>
      <c r="R44" s="34"/>
      <c r="S44" s="34"/>
      <c r="T44" s="35"/>
    </row>
    <row r="45" spans="2:20" x14ac:dyDescent="0.25">
      <c r="B45" s="33"/>
      <c r="C45" s="34"/>
      <c r="D45" s="34" t="s">
        <v>234</v>
      </c>
      <c r="E45" s="34"/>
      <c r="F45" s="34"/>
      <c r="G45" s="34"/>
      <c r="H45" s="34"/>
      <c r="I45" s="34"/>
      <c r="J45" s="34"/>
      <c r="K45" s="34"/>
      <c r="L45" s="34"/>
      <c r="M45" s="34"/>
      <c r="N45" s="34"/>
      <c r="O45" s="34"/>
      <c r="P45" s="34"/>
      <c r="Q45" s="34"/>
      <c r="R45" s="34"/>
      <c r="S45" s="34"/>
      <c r="T45" s="35"/>
    </row>
    <row r="46" spans="2:20" x14ac:dyDescent="0.25">
      <c r="B46" s="33"/>
      <c r="C46" s="34"/>
      <c r="D46" s="34"/>
      <c r="E46" s="34"/>
      <c r="F46" s="34"/>
      <c r="G46" s="34"/>
      <c r="H46" s="34"/>
      <c r="I46" s="34"/>
      <c r="J46" s="34"/>
      <c r="K46" s="34"/>
      <c r="L46" s="34"/>
      <c r="M46" s="34"/>
      <c r="N46" s="34"/>
      <c r="O46" s="34"/>
      <c r="P46" s="34"/>
      <c r="Q46" s="34"/>
      <c r="R46" s="34"/>
      <c r="S46" s="34"/>
      <c r="T46" s="35"/>
    </row>
    <row r="47" spans="2:20" ht="15.75" thickBot="1" x14ac:dyDescent="0.3">
      <c r="B47" s="37"/>
      <c r="C47" s="38"/>
      <c r="D47" s="38"/>
      <c r="E47" s="38"/>
      <c r="F47" s="38"/>
      <c r="G47" s="38"/>
      <c r="H47" s="38"/>
      <c r="I47" s="38"/>
      <c r="J47" s="38"/>
      <c r="K47" s="38"/>
      <c r="L47" s="38"/>
      <c r="M47" s="38"/>
      <c r="N47" s="38"/>
      <c r="O47" s="38"/>
      <c r="P47" s="38"/>
      <c r="Q47" s="38"/>
      <c r="R47" s="38"/>
      <c r="S47" s="38"/>
      <c r="T47" s="39"/>
    </row>
    <row r="48" spans="2:20" ht="15.75" thickTop="1" x14ac:dyDescent="0.25"/>
  </sheetData>
  <mergeCells count="2">
    <mergeCell ref="B2:T2"/>
    <mergeCell ref="D26:T26"/>
  </mergeCells>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A7" sqref="A7:B21"/>
    </sheetView>
  </sheetViews>
  <sheetFormatPr defaultRowHeight="15.75" x14ac:dyDescent="0.25"/>
  <cols>
    <col min="1" max="1" width="27.875" customWidth="1"/>
    <col min="2" max="2" width="20.25" customWidth="1"/>
    <col min="3" max="4" width="23.375" bestFit="1" customWidth="1"/>
    <col min="5" max="8" width="9" style="769"/>
  </cols>
  <sheetData>
    <row r="1" spans="1:8" x14ac:dyDescent="0.25">
      <c r="A1" s="202" t="s">
        <v>24</v>
      </c>
      <c r="B1" t="s">
        <v>3206</v>
      </c>
    </row>
    <row r="2" spans="1:8" x14ac:dyDescent="0.25">
      <c r="A2" s="202" t="s">
        <v>40</v>
      </c>
      <c r="B2" t="s">
        <v>40</v>
      </c>
    </row>
    <row r="3" spans="1:8" x14ac:dyDescent="0.25">
      <c r="A3" s="202" t="s">
        <v>280</v>
      </c>
      <c r="B3" t="s">
        <v>969</v>
      </c>
    </row>
    <row r="4" spans="1:8" x14ac:dyDescent="0.25">
      <c r="A4" s="202" t="s">
        <v>26</v>
      </c>
      <c r="B4" t="s">
        <v>454</v>
      </c>
    </row>
    <row r="5" spans="1:8" x14ac:dyDescent="0.25">
      <c r="E5" s="769" t="s">
        <v>26</v>
      </c>
      <c r="F5" s="769" t="s">
        <v>27</v>
      </c>
      <c r="G5" s="769" t="s">
        <v>25</v>
      </c>
    </row>
    <row r="6" spans="1:8" x14ac:dyDescent="0.25">
      <c r="A6" s="202" t="s">
        <v>27</v>
      </c>
      <c r="B6" s="202" t="s">
        <v>25</v>
      </c>
      <c r="E6" s="769" t="s">
        <v>44</v>
      </c>
      <c r="F6" s="769" t="s">
        <v>341</v>
      </c>
      <c r="G6" s="769" t="s">
        <v>287</v>
      </c>
      <c r="H6" s="769" t="s">
        <v>2920</v>
      </c>
    </row>
    <row r="7" spans="1:8" x14ac:dyDescent="0.25">
      <c r="A7" t="s">
        <v>480</v>
      </c>
      <c r="B7" t="s">
        <v>530</v>
      </c>
      <c r="E7" s="769" t="s">
        <v>44</v>
      </c>
      <c r="F7" s="769" t="s">
        <v>341</v>
      </c>
      <c r="G7" s="769" t="s">
        <v>338</v>
      </c>
    </row>
    <row r="8" spans="1:8" x14ac:dyDescent="0.25">
      <c r="A8" t="s">
        <v>463</v>
      </c>
      <c r="B8" t="s">
        <v>479</v>
      </c>
      <c r="E8" s="769" t="s">
        <v>44</v>
      </c>
      <c r="F8" s="769" t="s">
        <v>341</v>
      </c>
      <c r="G8" s="769" t="s">
        <v>426</v>
      </c>
    </row>
    <row r="9" spans="1:8" x14ac:dyDescent="0.25">
      <c r="A9" t="s">
        <v>463</v>
      </c>
      <c r="B9" t="s">
        <v>453</v>
      </c>
      <c r="E9" s="769" t="s">
        <v>44</v>
      </c>
      <c r="F9" s="769" t="s">
        <v>292</v>
      </c>
      <c r="G9" s="769" t="s">
        <v>287</v>
      </c>
      <c r="H9" s="769" t="s">
        <v>2921</v>
      </c>
    </row>
    <row r="10" spans="1:8" x14ac:dyDescent="0.25">
      <c r="A10" t="s">
        <v>463</v>
      </c>
      <c r="B10" t="s">
        <v>1373</v>
      </c>
      <c r="E10" s="769" t="s">
        <v>44</v>
      </c>
      <c r="F10" s="769" t="s">
        <v>292</v>
      </c>
      <c r="G10" s="769" t="s">
        <v>43</v>
      </c>
    </row>
    <row r="11" spans="1:8" x14ac:dyDescent="0.25">
      <c r="A11" t="s">
        <v>466</v>
      </c>
      <c r="B11" t="s">
        <v>469</v>
      </c>
      <c r="E11" s="769" t="s">
        <v>44</v>
      </c>
      <c r="F11" s="769" t="s">
        <v>292</v>
      </c>
      <c r="G11" s="769" t="s">
        <v>389</v>
      </c>
    </row>
    <row r="12" spans="1:8" x14ac:dyDescent="0.25">
      <c r="A12" t="s">
        <v>466</v>
      </c>
      <c r="B12" t="s">
        <v>530</v>
      </c>
      <c r="E12" s="769" t="s">
        <v>44</v>
      </c>
      <c r="F12" s="769" t="s">
        <v>294</v>
      </c>
      <c r="G12" s="769" t="s">
        <v>287</v>
      </c>
      <c r="H12" s="769" t="s">
        <v>2921</v>
      </c>
    </row>
    <row r="13" spans="1:8" x14ac:dyDescent="0.25">
      <c r="A13" t="s">
        <v>560</v>
      </c>
      <c r="B13" t="s">
        <v>559</v>
      </c>
      <c r="E13" s="769" t="s">
        <v>44</v>
      </c>
      <c r="F13" s="769" t="s">
        <v>294</v>
      </c>
      <c r="G13" s="769" t="s">
        <v>43</v>
      </c>
    </row>
    <row r="14" spans="1:8" x14ac:dyDescent="0.25">
      <c r="A14" t="s">
        <v>563</v>
      </c>
      <c r="B14" t="s">
        <v>447</v>
      </c>
      <c r="E14" s="769" t="s">
        <v>44</v>
      </c>
      <c r="F14" s="769" t="s">
        <v>294</v>
      </c>
      <c r="G14" s="769" t="s">
        <v>389</v>
      </c>
    </row>
    <row r="15" spans="1:8" x14ac:dyDescent="0.25">
      <c r="A15" t="s">
        <v>563</v>
      </c>
      <c r="B15" t="s">
        <v>426</v>
      </c>
      <c r="E15" s="769" t="s">
        <v>44</v>
      </c>
      <c r="F15" s="769" t="s">
        <v>45</v>
      </c>
      <c r="G15" s="769" t="s">
        <v>287</v>
      </c>
      <c r="H15" s="769" t="s">
        <v>2922</v>
      </c>
    </row>
    <row r="16" spans="1:8" x14ac:dyDescent="0.25">
      <c r="A16" t="s">
        <v>498</v>
      </c>
      <c r="B16" t="s">
        <v>530</v>
      </c>
      <c r="E16" s="769" t="s">
        <v>44</v>
      </c>
      <c r="F16" s="769" t="s">
        <v>45</v>
      </c>
      <c r="G16" s="769" t="s">
        <v>43</v>
      </c>
    </row>
    <row r="17" spans="1:8" x14ac:dyDescent="0.25">
      <c r="A17" t="s">
        <v>455</v>
      </c>
      <c r="B17" t="s">
        <v>479</v>
      </c>
      <c r="E17" s="769" t="s">
        <v>44</v>
      </c>
      <c r="F17" s="769" t="s">
        <v>45</v>
      </c>
      <c r="G17" s="769" t="s">
        <v>338</v>
      </c>
    </row>
    <row r="18" spans="1:8" x14ac:dyDescent="0.25">
      <c r="A18" t="s">
        <v>455</v>
      </c>
      <c r="B18" t="s">
        <v>453</v>
      </c>
      <c r="E18" s="769" t="s">
        <v>44</v>
      </c>
      <c r="F18" s="769" t="s">
        <v>45</v>
      </c>
      <c r="G18" s="769" t="s">
        <v>447</v>
      </c>
    </row>
    <row r="19" spans="1:8" x14ac:dyDescent="0.25">
      <c r="A19" t="s">
        <v>455</v>
      </c>
      <c r="B19" t="s">
        <v>527</v>
      </c>
      <c r="E19" s="769" t="s">
        <v>44</v>
      </c>
      <c r="F19" s="769" t="s">
        <v>45</v>
      </c>
      <c r="G19" s="769" t="s">
        <v>441</v>
      </c>
    </row>
    <row r="20" spans="1:8" x14ac:dyDescent="0.25">
      <c r="A20" t="s">
        <v>455</v>
      </c>
      <c r="B20" t="s">
        <v>447</v>
      </c>
      <c r="E20" s="769" t="s">
        <v>44</v>
      </c>
      <c r="F20" s="769" t="s">
        <v>298</v>
      </c>
      <c r="G20" s="769" t="s">
        <v>287</v>
      </c>
      <c r="H20" s="769" t="s">
        <v>2923</v>
      </c>
    </row>
    <row r="21" spans="1:8" x14ac:dyDescent="0.25">
      <c r="A21" t="s">
        <v>455</v>
      </c>
      <c r="B21" t="s">
        <v>2779</v>
      </c>
      <c r="E21" s="769" t="s">
        <v>44</v>
      </c>
      <c r="F21" s="769" t="s">
        <v>298</v>
      </c>
      <c r="G21" s="769" t="s">
        <v>3182</v>
      </c>
    </row>
    <row r="22" spans="1:8" x14ac:dyDescent="0.25">
      <c r="A22" t="s">
        <v>455</v>
      </c>
      <c r="B22" t="s">
        <v>426</v>
      </c>
      <c r="E22" s="769" t="s">
        <v>44</v>
      </c>
      <c r="F22" s="769" t="s">
        <v>298</v>
      </c>
      <c r="G22" s="769" t="s">
        <v>43</v>
      </c>
    </row>
    <row r="23" spans="1:8" x14ac:dyDescent="0.25">
      <c r="E23" s="769" t="s">
        <v>44</v>
      </c>
      <c r="F23" s="769" t="s">
        <v>303</v>
      </c>
      <c r="G23" s="769" t="s">
        <v>287</v>
      </c>
      <c r="H23" s="769" t="s">
        <v>2923</v>
      </c>
    </row>
    <row r="24" spans="1:8" x14ac:dyDescent="0.25">
      <c r="E24" s="769" t="s">
        <v>44</v>
      </c>
      <c r="F24" s="769" t="s">
        <v>303</v>
      </c>
      <c r="G24" s="769" t="s">
        <v>43</v>
      </c>
    </row>
    <row r="25" spans="1:8" x14ac:dyDescent="0.25">
      <c r="E25" s="769" t="s">
        <v>44</v>
      </c>
      <c r="F25" s="769" t="s">
        <v>351</v>
      </c>
      <c r="G25" s="769" t="s">
        <v>43</v>
      </c>
      <c r="H25" s="769" t="s">
        <v>2924</v>
      </c>
    </row>
    <row r="26" spans="1:8" x14ac:dyDescent="0.25">
      <c r="E26" s="769" t="s">
        <v>44</v>
      </c>
      <c r="F26" s="769" t="s">
        <v>351</v>
      </c>
      <c r="G26" s="769" t="s">
        <v>338</v>
      </c>
    </row>
    <row r="27" spans="1:8" x14ac:dyDescent="0.25">
      <c r="E27" s="769" t="s">
        <v>44</v>
      </c>
      <c r="F27" s="769" t="s">
        <v>351</v>
      </c>
      <c r="G27" s="769" t="s">
        <v>426</v>
      </c>
    </row>
    <row r="28" spans="1:8" x14ac:dyDescent="0.25">
      <c r="E28" s="768" t="s">
        <v>44</v>
      </c>
      <c r="F28" s="768" t="s">
        <v>351</v>
      </c>
      <c r="G28" t="s">
        <v>1428</v>
      </c>
    </row>
    <row r="29" spans="1:8" x14ac:dyDescent="0.25">
      <c r="E29" s="768" t="s">
        <v>44</v>
      </c>
      <c r="F29" s="768" t="s">
        <v>351</v>
      </c>
      <c r="G29" t="s">
        <v>441</v>
      </c>
    </row>
    <row r="30" spans="1:8" x14ac:dyDescent="0.25">
      <c r="E30" s="768" t="s">
        <v>44</v>
      </c>
      <c r="F30" s="768" t="s">
        <v>305</v>
      </c>
      <c r="G30" t="s">
        <v>287</v>
      </c>
      <c r="H30" s="769" t="s">
        <v>2921</v>
      </c>
    </row>
    <row r="31" spans="1:8" x14ac:dyDescent="0.25">
      <c r="E31" s="768" t="s">
        <v>44</v>
      </c>
      <c r="F31" s="768" t="s">
        <v>305</v>
      </c>
      <c r="G31" t="s">
        <v>43</v>
      </c>
    </row>
    <row r="32" spans="1:8" x14ac:dyDescent="0.25">
      <c r="E32" s="768" t="s">
        <v>44</v>
      </c>
      <c r="F32" s="768" t="s">
        <v>305</v>
      </c>
      <c r="G32" t="s">
        <v>389</v>
      </c>
    </row>
    <row r="33" spans="5:8" x14ac:dyDescent="0.25">
      <c r="E33" s="768" t="s">
        <v>44</v>
      </c>
      <c r="F33" s="768" t="s">
        <v>319</v>
      </c>
      <c r="G33" t="s">
        <v>287</v>
      </c>
      <c r="H33" s="769" t="s">
        <v>287</v>
      </c>
    </row>
    <row r="34" spans="5:8" x14ac:dyDescent="0.25">
      <c r="E34" s="769" t="s">
        <v>44</v>
      </c>
      <c r="F34" s="769" t="s">
        <v>360</v>
      </c>
      <c r="G34" s="769" t="s">
        <v>287</v>
      </c>
      <c r="H34" s="769" t="s">
        <v>2562</v>
      </c>
    </row>
    <row r="35" spans="5:8" x14ac:dyDescent="0.25">
      <c r="E35" s="769" t="s">
        <v>44</v>
      </c>
      <c r="F35" s="769" t="s">
        <v>360</v>
      </c>
      <c r="G35" s="769" t="s">
        <v>338</v>
      </c>
    </row>
    <row r="36" spans="5:8" x14ac:dyDescent="0.25">
      <c r="E36" s="769" t="s">
        <v>44</v>
      </c>
      <c r="F36" s="769" t="s">
        <v>330</v>
      </c>
      <c r="G36" s="769" t="s">
        <v>287</v>
      </c>
      <c r="H36" s="769" t="s">
        <v>287</v>
      </c>
    </row>
    <row r="37" spans="5:8" x14ac:dyDescent="0.25">
      <c r="E37" s="769" t="s">
        <v>44</v>
      </c>
      <c r="F37" s="769" t="s">
        <v>1311</v>
      </c>
      <c r="G37" s="769" t="s">
        <v>43</v>
      </c>
      <c r="H37" s="769" t="s">
        <v>43</v>
      </c>
    </row>
    <row r="38" spans="5:8" x14ac:dyDescent="0.25">
      <c r="E38" s="769" t="s">
        <v>44</v>
      </c>
      <c r="F38" s="769" t="s">
        <v>288</v>
      </c>
      <c r="G38" s="769" t="s">
        <v>287</v>
      </c>
      <c r="H38" s="769" t="s">
        <v>2925</v>
      </c>
    </row>
    <row r="39" spans="5:8" x14ac:dyDescent="0.25">
      <c r="E39" s="769" t="s">
        <v>44</v>
      </c>
      <c r="F39" s="769" t="s">
        <v>288</v>
      </c>
      <c r="G39" s="769" t="s">
        <v>43</v>
      </c>
    </row>
    <row r="40" spans="5:8" x14ac:dyDescent="0.25">
      <c r="E40" s="769" t="s">
        <v>44</v>
      </c>
      <c r="F40" s="769" t="s">
        <v>288</v>
      </c>
      <c r="G40" s="769" t="s">
        <v>338</v>
      </c>
    </row>
    <row r="41" spans="5:8" x14ac:dyDescent="0.25">
      <c r="E41" s="769" t="s">
        <v>44</v>
      </c>
      <c r="F41" s="769" t="s">
        <v>288</v>
      </c>
      <c r="G41" s="769" t="s">
        <v>389</v>
      </c>
    </row>
    <row r="42" spans="5:8" x14ac:dyDescent="0.25">
      <c r="E42" s="769" t="s">
        <v>454</v>
      </c>
      <c r="F42" s="769" t="s">
        <v>486</v>
      </c>
      <c r="G42" s="769" t="s">
        <v>2444</v>
      </c>
      <c r="H42" s="769" t="s">
        <v>2444</v>
      </c>
    </row>
    <row r="43" spans="5:8" x14ac:dyDescent="0.25">
      <c r="E43" s="769" t="s">
        <v>454</v>
      </c>
      <c r="F43" s="769" t="s">
        <v>480</v>
      </c>
      <c r="G43" s="769" t="s">
        <v>530</v>
      </c>
      <c r="H43" s="769" t="s">
        <v>530</v>
      </c>
    </row>
    <row r="44" spans="5:8" x14ac:dyDescent="0.25">
      <c r="E44" s="769" t="s">
        <v>454</v>
      </c>
      <c r="F44" s="769" t="s">
        <v>518</v>
      </c>
      <c r="G44" s="769" t="s">
        <v>527</v>
      </c>
      <c r="H44" s="769" t="s">
        <v>527</v>
      </c>
    </row>
    <row r="45" spans="5:8" x14ac:dyDescent="0.25">
      <c r="E45" s="769" t="s">
        <v>454</v>
      </c>
      <c r="F45" s="769" t="s">
        <v>463</v>
      </c>
      <c r="G45" s="769" t="s">
        <v>479</v>
      </c>
      <c r="H45" s="769" t="s">
        <v>1373</v>
      </c>
    </row>
    <row r="46" spans="5:8" x14ac:dyDescent="0.25">
      <c r="E46" s="769" t="s">
        <v>454</v>
      </c>
      <c r="F46" s="769" t="s">
        <v>463</v>
      </c>
      <c r="G46" s="769" t="s">
        <v>453</v>
      </c>
    </row>
    <row r="47" spans="5:8" x14ac:dyDescent="0.25">
      <c r="E47" s="769" t="s">
        <v>454</v>
      </c>
      <c r="F47" s="769" t="s">
        <v>466</v>
      </c>
      <c r="G47" s="769" t="s">
        <v>469</v>
      </c>
      <c r="H47" s="769" t="s">
        <v>2926</v>
      </c>
    </row>
    <row r="48" spans="5:8" x14ac:dyDescent="0.25">
      <c r="E48" s="769" t="s">
        <v>454</v>
      </c>
      <c r="F48" s="769" t="s">
        <v>466</v>
      </c>
      <c r="G48" s="769" t="s">
        <v>530</v>
      </c>
    </row>
    <row r="49" spans="5:8" x14ac:dyDescent="0.25">
      <c r="E49" s="769" t="s">
        <v>454</v>
      </c>
      <c r="F49" s="769" t="s">
        <v>560</v>
      </c>
      <c r="G49" s="769" t="s">
        <v>559</v>
      </c>
      <c r="H49" s="769" t="s">
        <v>559</v>
      </c>
    </row>
    <row r="50" spans="5:8" x14ac:dyDescent="0.25">
      <c r="E50" s="769" t="s">
        <v>454</v>
      </c>
      <c r="F50" s="769" t="s">
        <v>563</v>
      </c>
      <c r="G50" s="769" t="s">
        <v>571</v>
      </c>
      <c r="H50" s="769" t="s">
        <v>2927</v>
      </c>
    </row>
    <row r="51" spans="5:8" x14ac:dyDescent="0.25">
      <c r="E51" s="769" t="s">
        <v>454</v>
      </c>
      <c r="F51" s="769" t="s">
        <v>563</v>
      </c>
      <c r="G51" s="769" t="s">
        <v>447</v>
      </c>
    </row>
    <row r="52" spans="5:8" x14ac:dyDescent="0.25">
      <c r="E52" s="769" t="s">
        <v>454</v>
      </c>
      <c r="F52" s="769" t="s">
        <v>563</v>
      </c>
      <c r="G52" s="769" t="s">
        <v>426</v>
      </c>
    </row>
    <row r="53" spans="5:8" x14ac:dyDescent="0.25">
      <c r="E53" s="769" t="s">
        <v>454</v>
      </c>
      <c r="F53" s="769" t="s">
        <v>498</v>
      </c>
      <c r="G53" s="769" t="s">
        <v>530</v>
      </c>
      <c r="H53" s="769" t="s">
        <v>530</v>
      </c>
    </row>
    <row r="54" spans="5:8" x14ac:dyDescent="0.25">
      <c r="E54" s="769" t="s">
        <v>454</v>
      </c>
      <c r="F54" s="769" t="s">
        <v>455</v>
      </c>
      <c r="G54" s="769" t="s">
        <v>479</v>
      </c>
      <c r="H54" s="769" t="s">
        <v>3243</v>
      </c>
    </row>
    <row r="55" spans="5:8" x14ac:dyDescent="0.25">
      <c r="E55" s="769" t="s">
        <v>454</v>
      </c>
      <c r="F55" s="769" t="s">
        <v>455</v>
      </c>
      <c r="G55" s="769" t="s">
        <v>571</v>
      </c>
    </row>
    <row r="56" spans="5:8" x14ac:dyDescent="0.25">
      <c r="E56" s="769" t="s">
        <v>454</v>
      </c>
      <c r="F56" s="769" t="s">
        <v>455</v>
      </c>
      <c r="G56" s="769" t="s">
        <v>453</v>
      </c>
    </row>
    <row r="57" spans="5:8" x14ac:dyDescent="0.25">
      <c r="E57" s="769" t="s">
        <v>454</v>
      </c>
      <c r="F57" s="769" t="s">
        <v>455</v>
      </c>
      <c r="G57" s="769" t="s">
        <v>527</v>
      </c>
    </row>
    <row r="58" spans="5:8" x14ac:dyDescent="0.25">
      <c r="E58" s="769" t="s">
        <v>454</v>
      </c>
      <c r="F58" s="769" t="s">
        <v>455</v>
      </c>
      <c r="G58" s="769" t="s">
        <v>2774</v>
      </c>
    </row>
    <row r="59" spans="5:8" x14ac:dyDescent="0.25">
      <c r="E59" s="769" t="s">
        <v>454</v>
      </c>
      <c r="F59" s="769" t="s">
        <v>455</v>
      </c>
      <c r="G59" s="769" t="s">
        <v>447</v>
      </c>
    </row>
    <row r="60" spans="5:8" x14ac:dyDescent="0.25">
      <c r="E60" s="769" t="s">
        <v>454</v>
      </c>
      <c r="F60" s="769" t="s">
        <v>455</v>
      </c>
      <c r="G60" s="769" t="s">
        <v>2779</v>
      </c>
    </row>
    <row r="61" spans="5:8" x14ac:dyDescent="0.25">
      <c r="E61" s="769" t="s">
        <v>454</v>
      </c>
      <c r="F61" s="769" t="s">
        <v>455</v>
      </c>
      <c r="G61" s="769" t="s">
        <v>426</v>
      </c>
    </row>
    <row r="62" spans="5:8" x14ac:dyDescent="0.25">
      <c r="E62" s="769" t="s">
        <v>866</v>
      </c>
      <c r="F62" s="769" t="s">
        <v>888</v>
      </c>
      <c r="G62" s="769" t="s">
        <v>338</v>
      </c>
      <c r="H62" s="769" t="s">
        <v>2899</v>
      </c>
    </row>
    <row r="63" spans="5:8" x14ac:dyDescent="0.25">
      <c r="E63" s="769" t="s">
        <v>866</v>
      </c>
      <c r="F63" s="769" t="s">
        <v>888</v>
      </c>
      <c r="G63" s="769" t="s">
        <v>2899</v>
      </c>
    </row>
    <row r="64" spans="5:8" x14ac:dyDescent="0.25">
      <c r="E64" s="769" t="s">
        <v>866</v>
      </c>
      <c r="F64" s="769" t="s">
        <v>870</v>
      </c>
      <c r="G64" s="769" t="s">
        <v>2808</v>
      </c>
      <c r="H64" s="769" t="s">
        <v>3244</v>
      </c>
    </row>
    <row r="65" spans="5:8" x14ac:dyDescent="0.25">
      <c r="E65" s="769" t="s">
        <v>866</v>
      </c>
      <c r="F65" s="769" t="s">
        <v>870</v>
      </c>
      <c r="G65" s="769" t="s">
        <v>43</v>
      </c>
    </row>
    <row r="66" spans="5:8" x14ac:dyDescent="0.25">
      <c r="E66" s="769" t="s">
        <v>866</v>
      </c>
      <c r="F66" s="769" t="s">
        <v>870</v>
      </c>
      <c r="G66" s="769" t="s">
        <v>882</v>
      </c>
    </row>
    <row r="67" spans="5:8" x14ac:dyDescent="0.25">
      <c r="E67" s="769" t="s">
        <v>866</v>
      </c>
      <c r="F67" s="769" t="s">
        <v>870</v>
      </c>
      <c r="G67" s="769" t="s">
        <v>338</v>
      </c>
    </row>
    <row r="68" spans="5:8" x14ac:dyDescent="0.25">
      <c r="E68" s="769" t="s">
        <v>866</v>
      </c>
      <c r="F68" s="769" t="s">
        <v>870</v>
      </c>
      <c r="G68" s="769" t="s">
        <v>447</v>
      </c>
    </row>
    <row r="69" spans="5:8" x14ac:dyDescent="0.25">
      <c r="E69" s="769" t="s">
        <v>866</v>
      </c>
      <c r="F69" s="769" t="s">
        <v>870</v>
      </c>
      <c r="G69" s="769" t="s">
        <v>2488</v>
      </c>
    </row>
    <row r="70" spans="5:8" x14ac:dyDescent="0.25">
      <c r="E70" s="769" t="s">
        <v>866</v>
      </c>
      <c r="F70" s="769" t="s">
        <v>870</v>
      </c>
      <c r="G70" s="769" t="s">
        <v>2521</v>
      </c>
    </row>
    <row r="71" spans="5:8" x14ac:dyDescent="0.25">
      <c r="E71" s="769" t="s">
        <v>866</v>
      </c>
      <c r="F71" s="769" t="s">
        <v>870</v>
      </c>
      <c r="G71" s="769" t="s">
        <v>2899</v>
      </c>
    </row>
    <row r="72" spans="5:8" x14ac:dyDescent="0.25">
      <c r="E72" s="769" t="s">
        <v>866</v>
      </c>
      <c r="F72" s="769" t="s">
        <v>873</v>
      </c>
      <c r="G72" s="769" t="s">
        <v>43</v>
      </c>
      <c r="H72" s="769" t="s">
        <v>3245</v>
      </c>
    </row>
    <row r="73" spans="5:8" x14ac:dyDescent="0.25">
      <c r="E73" s="769" t="s">
        <v>866</v>
      </c>
      <c r="F73" s="769" t="s">
        <v>873</v>
      </c>
      <c r="G73" s="769" t="s">
        <v>2538</v>
      </c>
    </row>
    <row r="74" spans="5:8" x14ac:dyDescent="0.25">
      <c r="E74" s="769" t="s">
        <v>866</v>
      </c>
      <c r="F74" s="769" t="s">
        <v>873</v>
      </c>
      <c r="G74" s="769" t="s">
        <v>2899</v>
      </c>
    </row>
    <row r="75" spans="5:8" x14ac:dyDescent="0.25">
      <c r="E75" s="769" t="s">
        <v>866</v>
      </c>
      <c r="F75" s="769" t="s">
        <v>876</v>
      </c>
      <c r="G75" s="769" t="s">
        <v>43</v>
      </c>
      <c r="H75" s="769" t="s">
        <v>2928</v>
      </c>
    </row>
    <row r="76" spans="5:8" x14ac:dyDescent="0.25">
      <c r="E76" s="769" t="s">
        <v>866</v>
      </c>
      <c r="F76" s="769" t="s">
        <v>876</v>
      </c>
      <c r="G76" s="769" t="s">
        <v>338</v>
      </c>
    </row>
    <row r="77" spans="5:8" x14ac:dyDescent="0.25">
      <c r="E77" s="769" t="s">
        <v>866</v>
      </c>
      <c r="F77" s="769" t="s">
        <v>876</v>
      </c>
      <c r="G77" s="769" t="s">
        <v>2899</v>
      </c>
    </row>
    <row r="78" spans="5:8" x14ac:dyDescent="0.25">
      <c r="E78" s="769" t="s">
        <v>866</v>
      </c>
      <c r="F78" s="769" t="s">
        <v>867</v>
      </c>
      <c r="G78" s="769" t="s">
        <v>43</v>
      </c>
      <c r="H78" s="769" t="s">
        <v>2929</v>
      </c>
    </row>
    <row r="79" spans="5:8" x14ac:dyDescent="0.25">
      <c r="E79" s="769" t="s">
        <v>866</v>
      </c>
      <c r="F79" s="769" t="s">
        <v>867</v>
      </c>
      <c r="G79" s="769" t="s">
        <v>2488</v>
      </c>
    </row>
    <row r="80" spans="5:8" x14ac:dyDescent="0.25">
      <c r="E80" s="769" t="s">
        <v>866</v>
      </c>
      <c r="F80" s="769" t="s">
        <v>890</v>
      </c>
      <c r="G80" s="769" t="s">
        <v>338</v>
      </c>
      <c r="H80" s="769" t="s">
        <v>2901</v>
      </c>
    </row>
    <row r="81" spans="5:8" x14ac:dyDescent="0.25">
      <c r="E81" s="769" t="s">
        <v>866</v>
      </c>
      <c r="F81" s="769" t="s">
        <v>890</v>
      </c>
      <c r="G81" s="769" t="s">
        <v>447</v>
      </c>
    </row>
    <row r="82" spans="5:8" x14ac:dyDescent="0.25">
      <c r="E82" s="769" t="s">
        <v>866</v>
      </c>
      <c r="F82" s="769" t="s">
        <v>890</v>
      </c>
      <c r="G82" s="769" t="s">
        <v>2488</v>
      </c>
    </row>
    <row r="83" spans="5:8" x14ac:dyDescent="0.25">
      <c r="E83" s="769" t="s">
        <v>866</v>
      </c>
      <c r="F83" s="769" t="s">
        <v>890</v>
      </c>
      <c r="G83" s="769" t="s">
        <v>2901</v>
      </c>
    </row>
    <row r="84" spans="5:8" x14ac:dyDescent="0.25">
      <c r="E84" s="769" t="s">
        <v>866</v>
      </c>
      <c r="F84" s="769" t="s">
        <v>1449</v>
      </c>
      <c r="G84" s="769" t="s">
        <v>338</v>
      </c>
      <c r="H84" s="769" t="s">
        <v>338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898C"/>
  </sheetPr>
  <dimension ref="A1:CV1223"/>
  <sheetViews>
    <sheetView zoomScale="90" zoomScaleNormal="90" zoomScaleSheetLayoutView="40" workbookViewId="0">
      <pane xSplit="7" topLeftCell="H1" activePane="topRight" state="frozen"/>
      <selection activeCell="R2" sqref="R2:S900"/>
      <selection pane="topRight" activeCell="BB18" sqref="BB18"/>
    </sheetView>
  </sheetViews>
  <sheetFormatPr defaultColWidth="9" defaultRowHeight="15.75" outlineLevelCol="1" x14ac:dyDescent="0.25"/>
  <cols>
    <col min="1" max="1" width="9.125" style="50" customWidth="1"/>
    <col min="2" max="2" width="20.75" style="24" bestFit="1" customWidth="1"/>
    <col min="3" max="3" width="9.875" style="24" customWidth="1"/>
    <col min="4" max="4" width="10.125" style="24" customWidth="1"/>
    <col min="5" max="5" width="25.875" style="24" customWidth="1"/>
    <col min="6" max="6" width="7.75" style="24" customWidth="1"/>
    <col min="7" max="7" width="6.875" style="56" customWidth="1"/>
    <col min="8" max="8" width="6.875" style="51" customWidth="1"/>
    <col min="9" max="9" width="15.375" style="24" customWidth="1"/>
    <col min="10" max="10" width="13.125" style="55" customWidth="1"/>
    <col min="11" max="12" width="13.125" style="24" customWidth="1"/>
    <col min="13" max="14" width="13.125" style="42" customWidth="1"/>
    <col min="15" max="15" width="13.125" style="24" customWidth="1"/>
    <col min="16" max="17" width="13.125" style="44" customWidth="1"/>
    <col min="18" max="18" width="13.125" style="52" customWidth="1"/>
    <col min="19" max="19" width="13.125" style="43" customWidth="1"/>
    <col min="20" max="20" width="15.125" style="43" customWidth="1"/>
    <col min="21" max="25" width="13.125" style="43" customWidth="1"/>
    <col min="26" max="26" width="17.75" style="43" customWidth="1"/>
    <col min="27" max="28" width="13.125" style="44" customWidth="1"/>
    <col min="29" max="29" width="9.25" style="24" customWidth="1"/>
    <col min="30" max="30" width="11.875" style="24" customWidth="1"/>
    <col min="31" max="32" width="13.125" style="44" customWidth="1"/>
    <col min="33" max="34" width="13.125" style="52" customWidth="1"/>
    <col min="35" max="35" width="13.125" style="56" customWidth="1"/>
    <col min="36" max="36" width="19.125" style="24" customWidth="1"/>
    <col min="37" max="37" width="13.125" style="43" customWidth="1"/>
    <col min="38" max="38" width="13.125" style="24" customWidth="1"/>
    <col min="39" max="39" width="12.5" style="24" customWidth="1"/>
    <col min="40" max="40" width="13.125" style="43" customWidth="1"/>
    <col min="41" max="41" width="13.25" style="53" customWidth="1"/>
    <col min="42" max="44" width="11.125" style="44" customWidth="1"/>
    <col min="45" max="45" width="20.5" style="44" bestFit="1" customWidth="1"/>
    <col min="46" max="47" width="11.125" style="44" customWidth="1"/>
    <col min="48" max="48" width="13.125" style="44" customWidth="1"/>
    <col min="49" max="50" width="13.125" style="44" customWidth="1" outlineLevel="1"/>
    <col min="51" max="51" width="13" style="44" customWidth="1" outlineLevel="1"/>
    <col min="52" max="54" width="13.125" style="42" customWidth="1" outlineLevel="1"/>
    <col min="55" max="55" width="13.125" style="44" customWidth="1" outlineLevel="1"/>
    <col min="56" max="56" width="13.375" style="42" customWidth="1" outlineLevel="1"/>
    <col min="57" max="57" width="14" style="42" customWidth="1" outlineLevel="1"/>
    <col min="58" max="60" width="12" style="44" customWidth="1" outlineLevel="1"/>
    <col min="61" max="61" width="15" style="42" customWidth="1" outlineLevel="1"/>
    <col min="62" max="62" width="12.875" style="44" customWidth="1" outlineLevel="1"/>
    <col min="63" max="63" width="12.125" style="43" customWidth="1" outlineLevel="1"/>
    <col min="64" max="64" width="13" style="44" customWidth="1" outlineLevel="1"/>
    <col min="65" max="65" width="9" customWidth="1"/>
    <col min="66" max="67" width="12.625" style="44" customWidth="1" outlineLevel="1"/>
    <col min="68" max="68" width="12.625" style="44" hidden="1" customWidth="1" outlineLevel="1"/>
    <col min="69" max="69" width="14.25" style="44" hidden="1" customWidth="1" outlineLevel="1"/>
    <col min="70" max="70" width="11.875" style="44" hidden="1" customWidth="1" outlineLevel="1"/>
    <col min="71" max="71" width="12.375" style="44" hidden="1" customWidth="1" outlineLevel="1"/>
    <col min="72" max="72" width="12.875" style="44" customWidth="1" outlineLevel="1"/>
    <col min="74" max="74" width="13.25" style="44" hidden="1" customWidth="1" outlineLevel="1"/>
    <col min="75" max="79" width="12" style="44" hidden="1" customWidth="1" outlineLevel="1"/>
    <col min="80" max="80" width="11.75" hidden="1" customWidth="1"/>
    <col min="81" max="81" width="13.75" style="44" hidden="1" customWidth="1" outlineLevel="1"/>
    <col min="82" max="82" width="12" style="44" hidden="1" customWidth="1" outlineLevel="1"/>
    <col min="83" max="83" width="11.375" style="52" hidden="1" customWidth="1" outlineLevel="1"/>
    <col min="84" max="84" width="12" style="42" hidden="1" customWidth="1" outlineLevel="1"/>
    <col min="85" max="85" width="12" style="42" customWidth="1" outlineLevel="1"/>
    <col min="86" max="87" width="12" style="44" customWidth="1" outlineLevel="1"/>
    <col min="88" max="88" width="13.5" style="44" customWidth="1" outlineLevel="1"/>
    <col min="89" max="89" width="15.375" style="44" customWidth="1" outlineLevel="1"/>
    <col min="90" max="90" width="10.125" style="53" customWidth="1"/>
    <col min="91" max="91" width="12" style="53" customWidth="1"/>
    <col min="92" max="92" width="21.125" style="54" bestFit="1" customWidth="1"/>
    <col min="93" max="93" width="11.25" style="54" customWidth="1"/>
    <col min="94" max="94" width="13.75" style="54" customWidth="1"/>
    <col min="95" max="95" width="24.875" style="54" customWidth="1"/>
    <col min="96" max="96" width="9.125" style="54" customWidth="1"/>
    <col min="97" max="97" width="10.625" style="54" customWidth="1"/>
    <col min="98" max="98" width="15.375" style="54" customWidth="1"/>
    <col min="99" max="99" width="9.5" style="54" customWidth="1"/>
    <col min="100" max="100" width="14.5" style="54" customWidth="1"/>
    <col min="101" max="16376" width="9" style="24" customWidth="1"/>
    <col min="16377" max="16384" width="9" style="24"/>
  </cols>
  <sheetData>
    <row r="1" spans="1:100" s="23" customFormat="1" ht="16.5" customHeight="1" thickBot="1" x14ac:dyDescent="0.3">
      <c r="A1" s="217" t="s">
        <v>0</v>
      </c>
      <c r="B1" s="217"/>
      <c r="C1" s="217"/>
      <c r="D1" s="217"/>
      <c r="E1" s="217"/>
      <c r="F1" s="217"/>
      <c r="G1" s="389"/>
      <c r="H1" s="217"/>
      <c r="I1" s="217"/>
      <c r="J1" s="217"/>
      <c r="K1" s="217"/>
      <c r="L1" s="217"/>
      <c r="M1" s="217"/>
      <c r="N1" s="217"/>
      <c r="O1" s="947" t="s">
        <v>235</v>
      </c>
      <c r="P1" s="947"/>
      <c r="Q1" s="947"/>
      <c r="R1" s="947"/>
      <c r="S1" s="947"/>
      <c r="T1" s="947"/>
      <c r="U1" s="947"/>
      <c r="V1" s="947"/>
      <c r="W1" s="947"/>
      <c r="X1" s="947"/>
      <c r="Y1" s="947"/>
      <c r="Z1" s="947"/>
      <c r="AA1" s="948" t="s">
        <v>236</v>
      </c>
      <c r="AB1" s="948"/>
      <c r="AC1" s="948"/>
      <c r="AD1" s="948"/>
      <c r="AE1" s="948"/>
      <c r="AF1" s="948"/>
      <c r="AG1" s="948"/>
      <c r="AH1" s="948"/>
      <c r="AI1" s="948"/>
      <c r="AJ1" s="948"/>
      <c r="AK1" s="949" t="s">
        <v>237</v>
      </c>
      <c r="AL1" s="949"/>
      <c r="AM1" s="949"/>
      <c r="AN1" s="949"/>
      <c r="AO1" s="949"/>
      <c r="AP1" s="949"/>
      <c r="AQ1" s="949"/>
      <c r="AR1" s="949"/>
      <c r="AS1" s="949"/>
      <c r="AT1" s="949"/>
      <c r="AU1" s="949"/>
      <c r="AV1" s="949"/>
      <c r="AW1" s="292" t="s">
        <v>238</v>
      </c>
      <c r="AX1" s="292"/>
      <c r="AY1" s="292"/>
      <c r="AZ1" s="292"/>
      <c r="BA1" s="292"/>
      <c r="BB1" s="292"/>
      <c r="BC1" s="350"/>
      <c r="BD1" s="292"/>
      <c r="BE1" s="292"/>
      <c r="BF1" s="292"/>
      <c r="BG1" s="350"/>
      <c r="BH1" s="350"/>
      <c r="BI1" s="292"/>
      <c r="BJ1" s="292"/>
      <c r="BK1" s="292"/>
      <c r="BL1" s="292"/>
      <c r="BM1" s="292"/>
      <c r="BN1" s="292"/>
      <c r="BO1" s="350"/>
      <c r="BP1" s="292"/>
      <c r="BQ1" s="292"/>
      <c r="BR1" s="292"/>
      <c r="BS1" s="292"/>
      <c r="BT1" s="350"/>
      <c r="BU1" s="350"/>
      <c r="BV1" s="350"/>
      <c r="BW1" s="350"/>
      <c r="BX1" s="350"/>
      <c r="BY1" s="350"/>
      <c r="BZ1" s="292"/>
      <c r="CA1" s="292"/>
      <c r="CB1" s="292"/>
      <c r="CC1" s="292"/>
      <c r="CD1" s="292"/>
      <c r="CE1" s="350"/>
      <c r="CF1" s="350"/>
      <c r="CG1" s="350"/>
      <c r="CH1" s="292"/>
      <c r="CI1" s="657"/>
      <c r="CJ1" s="657"/>
      <c r="CK1" s="657"/>
      <c r="CL1" s="658"/>
      <c r="CM1" s="658"/>
      <c r="CN1" s="658"/>
      <c r="CO1" s="658"/>
      <c r="CP1" s="658"/>
      <c r="CQ1" s="658"/>
      <c r="CR1" s="658"/>
      <c r="CS1" s="658"/>
    </row>
    <row r="2" spans="1:100" s="23" customFormat="1" ht="79.5" customHeight="1" thickBot="1" x14ac:dyDescent="0.3">
      <c r="A2" s="218" t="s">
        <v>24</v>
      </c>
      <c r="B2" s="218" t="s">
        <v>25</v>
      </c>
      <c r="C2" s="218" t="s">
        <v>26</v>
      </c>
      <c r="D2" s="218" t="s">
        <v>27</v>
      </c>
      <c r="E2" s="218" t="s">
        <v>28</v>
      </c>
      <c r="F2" s="218" t="s">
        <v>29</v>
      </c>
      <c r="G2" s="390" t="s">
        <v>30</v>
      </c>
      <c r="H2" s="131" t="s">
        <v>1516</v>
      </c>
      <c r="I2" s="130" t="s">
        <v>137</v>
      </c>
      <c r="J2" s="130" t="s">
        <v>138</v>
      </c>
      <c r="K2" s="130" t="s">
        <v>139</v>
      </c>
      <c r="L2" s="130" t="s">
        <v>140</v>
      </c>
      <c r="M2" s="130" t="s">
        <v>141</v>
      </c>
      <c r="N2" s="230" t="s">
        <v>142</v>
      </c>
      <c r="O2" s="235" t="s">
        <v>143</v>
      </c>
      <c r="P2" s="236" t="s">
        <v>144</v>
      </c>
      <c r="Q2" s="237" t="s">
        <v>145</v>
      </c>
      <c r="R2" s="238" t="s">
        <v>147</v>
      </c>
      <c r="S2" s="239" t="s">
        <v>149</v>
      </c>
      <c r="T2" s="539" t="s">
        <v>2702</v>
      </c>
      <c r="U2" s="240" t="s">
        <v>150</v>
      </c>
      <c r="V2" s="240" t="s">
        <v>151</v>
      </c>
      <c r="W2" s="240" t="s">
        <v>152</v>
      </c>
      <c r="X2" s="241" t="s">
        <v>153</v>
      </c>
      <c r="Y2" s="829" t="s">
        <v>3200</v>
      </c>
      <c r="Z2" s="242" t="s">
        <v>154</v>
      </c>
      <c r="AA2" s="243" t="s">
        <v>155</v>
      </c>
      <c r="AB2" s="244" t="s">
        <v>157</v>
      </c>
      <c r="AC2" s="245" t="s">
        <v>1518</v>
      </c>
      <c r="AD2" s="540" t="s">
        <v>2710</v>
      </c>
      <c r="AE2" s="246" t="s">
        <v>159</v>
      </c>
      <c r="AF2" s="247" t="s">
        <v>160</v>
      </c>
      <c r="AG2" s="248" t="s">
        <v>162</v>
      </c>
      <c r="AH2" s="249" t="s">
        <v>1519</v>
      </c>
      <c r="AI2" s="830" t="s">
        <v>3204</v>
      </c>
      <c r="AJ2" s="250" t="s">
        <v>2470</v>
      </c>
      <c r="AK2" s="644" t="s">
        <v>2148</v>
      </c>
      <c r="AL2" s="251" t="s">
        <v>166</v>
      </c>
      <c r="AM2" s="645" t="s">
        <v>167</v>
      </c>
      <c r="AN2" s="645" t="s">
        <v>169</v>
      </c>
      <c r="AO2" s="646" t="s">
        <v>170</v>
      </c>
      <c r="AP2" s="645" t="s">
        <v>1529</v>
      </c>
      <c r="AQ2" s="647" t="s">
        <v>1530</v>
      </c>
      <c r="AR2" s="646" t="s">
        <v>1508</v>
      </c>
      <c r="AS2" s="831" t="s">
        <v>3203</v>
      </c>
      <c r="AT2" s="648" t="s">
        <v>2705</v>
      </c>
      <c r="AU2" s="648" t="s">
        <v>2707</v>
      </c>
      <c r="AV2" s="647" t="s">
        <v>171</v>
      </c>
      <c r="AW2" s="292"/>
      <c r="AX2" s="292"/>
      <c r="AY2" s="292"/>
      <c r="AZ2" s="292"/>
      <c r="BA2" s="292"/>
      <c r="BB2" s="292"/>
      <c r="BC2" s="350"/>
      <c r="BD2" s="292"/>
      <c r="BE2" s="292"/>
      <c r="BF2" s="292"/>
      <c r="BG2" s="350"/>
      <c r="BH2" s="350"/>
      <c r="BI2" s="292"/>
      <c r="BJ2" s="292"/>
      <c r="BK2" s="292"/>
      <c r="BL2" s="292"/>
      <c r="BM2" s="292"/>
      <c r="BN2" s="292"/>
      <c r="BO2" s="350"/>
      <c r="BP2" s="292"/>
      <c r="BQ2" s="292"/>
      <c r="BR2" s="292"/>
      <c r="BS2" s="292"/>
      <c r="BT2" s="350"/>
      <c r="BU2" s="350"/>
      <c r="BV2" s="350"/>
      <c r="BW2" s="350"/>
      <c r="BX2" s="350"/>
      <c r="BY2" s="350"/>
      <c r="BZ2" s="292"/>
      <c r="CA2" s="292"/>
      <c r="CB2" s="292"/>
      <c r="CC2" s="292"/>
      <c r="CD2" s="292"/>
      <c r="CE2" s="350"/>
      <c r="CF2" s="350"/>
      <c r="CG2" s="350"/>
      <c r="CH2" s="292"/>
      <c r="CI2" s="657"/>
      <c r="CJ2" s="657"/>
      <c r="CK2" s="657"/>
      <c r="CL2" s="658"/>
      <c r="CM2" s="658"/>
      <c r="CN2" s="658"/>
      <c r="CO2" s="658"/>
      <c r="CP2" s="658"/>
      <c r="CQ2" s="658"/>
      <c r="CR2" s="658"/>
      <c r="CS2" s="658"/>
    </row>
    <row r="3" spans="1:100" s="205" customFormat="1" ht="61.5" customHeight="1" thickBot="1" x14ac:dyDescent="0.3">
      <c r="A3" s="219" t="s">
        <v>24</v>
      </c>
      <c r="B3" s="219" t="s">
        <v>25</v>
      </c>
      <c r="C3" s="219" t="s">
        <v>26</v>
      </c>
      <c r="D3" s="219" t="s">
        <v>27</v>
      </c>
      <c r="E3" s="219" t="s">
        <v>28</v>
      </c>
      <c r="F3" s="219" t="s">
        <v>29</v>
      </c>
      <c r="G3" s="391" t="s">
        <v>30</v>
      </c>
      <c r="H3" s="219" t="s">
        <v>3192</v>
      </c>
      <c r="I3" s="219" t="s">
        <v>31</v>
      </c>
      <c r="J3" s="219" t="s">
        <v>32</v>
      </c>
      <c r="K3" s="219" t="s">
        <v>65</v>
      </c>
      <c r="L3" s="219" t="s">
        <v>68</v>
      </c>
      <c r="M3" s="219" t="s">
        <v>71</v>
      </c>
      <c r="N3" s="231" t="s">
        <v>72</v>
      </c>
      <c r="O3" s="252" t="s">
        <v>74</v>
      </c>
      <c r="P3" s="253" t="s">
        <v>79</v>
      </c>
      <c r="Q3" s="253" t="s">
        <v>81</v>
      </c>
      <c r="R3" s="254" t="s">
        <v>248</v>
      </c>
      <c r="S3" s="254" t="s">
        <v>87</v>
      </c>
      <c r="T3" s="255" t="s">
        <v>2692</v>
      </c>
      <c r="U3" s="255" t="s">
        <v>89</v>
      </c>
      <c r="V3" s="255" t="s">
        <v>90</v>
      </c>
      <c r="W3" s="255" t="s">
        <v>92</v>
      </c>
      <c r="X3" s="255" t="s">
        <v>93</v>
      </c>
      <c r="Y3" s="255" t="s">
        <v>249</v>
      </c>
      <c r="Z3" s="256" t="s">
        <v>94</v>
      </c>
      <c r="AA3" s="257" t="s">
        <v>96</v>
      </c>
      <c r="AB3" s="258" t="s">
        <v>99</v>
      </c>
      <c r="AC3" s="259" t="s">
        <v>101</v>
      </c>
      <c r="AD3" s="259" t="s">
        <v>2694</v>
      </c>
      <c r="AE3" s="258" t="s">
        <v>106</v>
      </c>
      <c r="AF3" s="260" t="s">
        <v>109</v>
      </c>
      <c r="AG3" s="261" t="s">
        <v>250</v>
      </c>
      <c r="AH3" s="262" t="s">
        <v>114</v>
      </c>
      <c r="AI3" s="262" t="s">
        <v>1505</v>
      </c>
      <c r="AJ3" s="261" t="s">
        <v>251</v>
      </c>
      <c r="AK3" s="263" t="s">
        <v>2147</v>
      </c>
      <c r="AL3" s="263" t="s">
        <v>118</v>
      </c>
      <c r="AM3" s="649" t="s">
        <v>119</v>
      </c>
      <c r="AN3" s="649" t="s">
        <v>121</v>
      </c>
      <c r="AO3" s="649" t="s">
        <v>252</v>
      </c>
      <c r="AP3" s="650" t="s">
        <v>128</v>
      </c>
      <c r="AQ3" s="650" t="s">
        <v>132</v>
      </c>
      <c r="AR3" s="650" t="s">
        <v>134</v>
      </c>
      <c r="AS3" s="650" t="s">
        <v>3196</v>
      </c>
      <c r="AT3" s="650" t="s">
        <v>2697</v>
      </c>
      <c r="AU3" s="650" t="s">
        <v>2700</v>
      </c>
      <c r="AV3" s="709" t="s">
        <v>135</v>
      </c>
      <c r="AW3" s="737" t="s">
        <v>253</v>
      </c>
      <c r="AX3" s="738" t="s">
        <v>254</v>
      </c>
      <c r="AY3" s="734" t="s">
        <v>2530</v>
      </c>
      <c r="AZ3" s="710" t="s">
        <v>255</v>
      </c>
      <c r="BA3" s="144" t="s">
        <v>256</v>
      </c>
      <c r="BB3" s="144" t="s">
        <v>257</v>
      </c>
      <c r="BC3" s="716" t="s">
        <v>258</v>
      </c>
      <c r="BD3" s="716" t="s">
        <v>2418</v>
      </c>
      <c r="BE3" s="716" t="s">
        <v>259</v>
      </c>
      <c r="BF3" s="716" t="s">
        <v>260</v>
      </c>
      <c r="BG3" s="716" t="s">
        <v>261</v>
      </c>
      <c r="BH3" s="716" t="s">
        <v>262</v>
      </c>
      <c r="BI3" s="728" t="s">
        <v>263</v>
      </c>
      <c r="BJ3" s="729" t="s">
        <v>264</v>
      </c>
      <c r="BK3" s="727" t="s">
        <v>265</v>
      </c>
      <c r="BL3" s="213" t="s">
        <v>266</v>
      </c>
      <c r="BM3" s="741" t="s">
        <v>267</v>
      </c>
      <c r="BN3" s="741" t="s">
        <v>268</v>
      </c>
      <c r="BO3" s="742" t="s">
        <v>273</v>
      </c>
      <c r="BP3" s="741" t="s">
        <v>2138</v>
      </c>
      <c r="BQ3" s="742" t="s">
        <v>269</v>
      </c>
      <c r="BR3" s="742" t="s">
        <v>270</v>
      </c>
      <c r="BS3" s="741" t="s">
        <v>271</v>
      </c>
      <c r="BT3" s="742" t="s">
        <v>272</v>
      </c>
      <c r="BU3" s="143" t="s">
        <v>191</v>
      </c>
      <c r="BV3" s="143" t="s">
        <v>2551</v>
      </c>
      <c r="BW3" s="143" t="s">
        <v>2552</v>
      </c>
      <c r="BX3" s="143" t="s">
        <v>2553</v>
      </c>
      <c r="BY3" s="143" t="s">
        <v>2554</v>
      </c>
      <c r="BZ3" s="751" t="s">
        <v>274</v>
      </c>
      <c r="CA3" s="757" t="s">
        <v>275</v>
      </c>
      <c r="CB3" s="754" t="s">
        <v>276</v>
      </c>
      <c r="CC3" s="143" t="s">
        <v>277</v>
      </c>
      <c r="CD3" s="143" t="s">
        <v>278</v>
      </c>
      <c r="CE3" s="143" t="s">
        <v>2556</v>
      </c>
      <c r="CF3" s="143" t="s">
        <v>2557</v>
      </c>
      <c r="CG3" s="388" t="s">
        <v>2555</v>
      </c>
      <c r="CH3" s="143" t="s">
        <v>279</v>
      </c>
      <c r="CI3" s="215" t="s">
        <v>33</v>
      </c>
      <c r="CJ3" s="216" t="s">
        <v>34</v>
      </c>
      <c r="CK3" s="216" t="s">
        <v>280</v>
      </c>
      <c r="CL3" s="216" t="s">
        <v>281</v>
      </c>
      <c r="CM3" s="216" t="s">
        <v>35</v>
      </c>
      <c r="CN3" s="216" t="s">
        <v>36</v>
      </c>
      <c r="CO3" s="216" t="s">
        <v>37</v>
      </c>
      <c r="CP3" s="216" t="s">
        <v>38</v>
      </c>
      <c r="CQ3" s="216" t="s">
        <v>39</v>
      </c>
      <c r="CR3" s="216" t="s">
        <v>40</v>
      </c>
      <c r="CS3" s="216" t="s">
        <v>41</v>
      </c>
    </row>
    <row r="4" spans="1:100" s="23" customFormat="1" ht="48" customHeight="1" thickBot="1" x14ac:dyDescent="0.3">
      <c r="A4" s="220" t="s">
        <v>1</v>
      </c>
      <c r="B4" s="221" t="s">
        <v>2</v>
      </c>
      <c r="C4" s="221" t="s">
        <v>3</v>
      </c>
      <c r="D4" s="221" t="s">
        <v>4</v>
      </c>
      <c r="E4" s="221" t="s">
        <v>5</v>
      </c>
      <c r="F4" s="221" t="s">
        <v>6</v>
      </c>
      <c r="G4" s="392" t="s">
        <v>7</v>
      </c>
      <c r="H4" s="221" t="s">
        <v>8</v>
      </c>
      <c r="I4" s="221" t="s">
        <v>9</v>
      </c>
      <c r="J4" s="222" t="s">
        <v>63</v>
      </c>
      <c r="K4" s="221" t="s">
        <v>64</v>
      </c>
      <c r="L4" s="221" t="s">
        <v>67</v>
      </c>
      <c r="M4" s="223" t="s">
        <v>70</v>
      </c>
      <c r="N4" s="232" t="s">
        <v>1521</v>
      </c>
      <c r="O4" s="264" t="s">
        <v>239</v>
      </c>
      <c r="P4" s="265" t="s">
        <v>78</v>
      </c>
      <c r="Q4" s="265" t="s">
        <v>240</v>
      </c>
      <c r="R4" s="266" t="s">
        <v>241</v>
      </c>
      <c r="S4" s="265" t="s">
        <v>91</v>
      </c>
      <c r="T4" s="265" t="s">
        <v>86</v>
      </c>
      <c r="U4" s="265" t="s">
        <v>95</v>
      </c>
      <c r="V4" s="265" t="s">
        <v>1327</v>
      </c>
      <c r="W4" s="265" t="s">
        <v>105</v>
      </c>
      <c r="X4" s="265" t="s">
        <v>108</v>
      </c>
      <c r="Y4" s="265" t="s">
        <v>111</v>
      </c>
      <c r="Z4" s="264"/>
      <c r="AA4" s="267" t="s">
        <v>116</v>
      </c>
      <c r="AB4" s="267" t="s">
        <v>1328</v>
      </c>
      <c r="AC4" s="268" t="s">
        <v>122</v>
      </c>
      <c r="AD4" s="268" t="s">
        <v>2693</v>
      </c>
      <c r="AE4" s="267" t="s">
        <v>127</v>
      </c>
      <c r="AF4" s="269" t="s">
        <v>131</v>
      </c>
      <c r="AG4" s="269" t="s">
        <v>133</v>
      </c>
      <c r="AH4" s="269" t="s">
        <v>1490</v>
      </c>
      <c r="AI4" s="269" t="s">
        <v>1491</v>
      </c>
      <c r="AJ4" s="269"/>
      <c r="AK4" s="651" t="s">
        <v>1492</v>
      </c>
      <c r="AL4" s="652" t="s">
        <v>1493</v>
      </c>
      <c r="AM4" s="652" t="s">
        <v>1494</v>
      </c>
      <c r="AN4" s="652" t="s">
        <v>1495</v>
      </c>
      <c r="AO4" s="652" t="s">
        <v>1496</v>
      </c>
      <c r="AP4" s="652" t="s">
        <v>1497</v>
      </c>
      <c r="AQ4" s="652" t="s">
        <v>1498</v>
      </c>
      <c r="AR4" s="652" t="s">
        <v>1499</v>
      </c>
      <c r="AS4" s="652" t="s">
        <v>2696</v>
      </c>
      <c r="AT4" s="652" t="s">
        <v>2699</v>
      </c>
      <c r="AU4" s="652" t="s">
        <v>3198</v>
      </c>
      <c r="AV4" s="711"/>
      <c r="AW4" s="953" t="s">
        <v>2815</v>
      </c>
      <c r="AX4" s="954"/>
      <c r="AY4" s="955"/>
      <c r="AZ4" s="708" t="s">
        <v>2816</v>
      </c>
      <c r="BA4" s="290"/>
      <c r="BB4" s="290"/>
      <c r="BC4" s="290" t="s">
        <v>242</v>
      </c>
      <c r="BD4" s="719" t="s">
        <v>2817</v>
      </c>
      <c r="BE4" s="719"/>
      <c r="BF4" s="950" t="s">
        <v>243</v>
      </c>
      <c r="BG4" s="950"/>
      <c r="BH4" s="719"/>
      <c r="BI4" s="951" t="s">
        <v>2818</v>
      </c>
      <c r="BJ4" s="952"/>
      <c r="BK4" s="719" t="s">
        <v>2415</v>
      </c>
      <c r="BL4" s="719"/>
      <c r="BM4" s="748"/>
      <c r="BN4" s="748"/>
      <c r="BO4" s="748"/>
      <c r="BP4" s="944" t="s">
        <v>2589</v>
      </c>
      <c r="BQ4" s="945"/>
      <c r="BR4" s="946"/>
      <c r="BS4" s="748"/>
      <c r="BT4" s="749" t="s">
        <v>2140</v>
      </c>
      <c r="BU4" s="355" t="s">
        <v>2408</v>
      </c>
      <c r="BV4" s="355"/>
      <c r="BW4" s="355"/>
      <c r="BX4" s="355"/>
      <c r="BY4" s="355"/>
      <c r="BZ4" s="752"/>
      <c r="CA4" s="758" t="s">
        <v>2589</v>
      </c>
      <c r="CB4" s="755"/>
      <c r="CC4" s="291"/>
      <c r="CD4" s="291"/>
      <c r="CE4" s="291"/>
      <c r="CF4" s="291"/>
      <c r="CG4" s="291"/>
      <c r="CH4" s="291"/>
      <c r="CI4" s="58" t="s">
        <v>10</v>
      </c>
      <c r="CJ4" s="48" t="s">
        <v>11</v>
      </c>
      <c r="CK4" s="48" t="s">
        <v>12</v>
      </c>
      <c r="CL4" s="48" t="s">
        <v>13</v>
      </c>
      <c r="CM4" s="48" t="s">
        <v>14</v>
      </c>
      <c r="CN4" s="48" t="s">
        <v>15</v>
      </c>
      <c r="CO4" s="48" t="s">
        <v>16</v>
      </c>
      <c r="CP4" s="48" t="s">
        <v>17</v>
      </c>
      <c r="CQ4" s="48" t="s">
        <v>18</v>
      </c>
      <c r="CR4" s="48" t="s">
        <v>19</v>
      </c>
      <c r="CS4" s="48"/>
    </row>
    <row r="5" spans="1:100" s="23" customFormat="1" ht="16.5" thickBot="1" x14ac:dyDescent="0.3">
      <c r="A5" s="224" t="s">
        <v>20</v>
      </c>
      <c r="B5" s="225" t="s">
        <v>20</v>
      </c>
      <c r="C5" s="226" t="s">
        <v>20</v>
      </c>
      <c r="D5" s="225" t="s">
        <v>20</v>
      </c>
      <c r="E5" s="226" t="s">
        <v>20</v>
      </c>
      <c r="F5" s="226" t="s">
        <v>21</v>
      </c>
      <c r="G5" s="393" t="s">
        <v>21</v>
      </c>
      <c r="H5" s="226"/>
      <c r="I5" s="226" t="s">
        <v>22</v>
      </c>
      <c r="J5" s="227" t="s">
        <v>23</v>
      </c>
      <c r="K5" s="226" t="s">
        <v>21</v>
      </c>
      <c r="L5" s="225" t="s">
        <v>66</v>
      </c>
      <c r="M5" s="228" t="s">
        <v>69</v>
      </c>
      <c r="N5" s="233" t="s">
        <v>69</v>
      </c>
      <c r="O5" s="270" t="s">
        <v>21</v>
      </c>
      <c r="P5" s="271" t="s">
        <v>21</v>
      </c>
      <c r="Q5" s="271" t="s">
        <v>21</v>
      </c>
      <c r="R5" s="272" t="s">
        <v>21</v>
      </c>
      <c r="S5" s="273" t="s">
        <v>21</v>
      </c>
      <c r="T5" s="273" t="s">
        <v>21</v>
      </c>
      <c r="U5" s="273" t="s">
        <v>21</v>
      </c>
      <c r="V5" s="273" t="s">
        <v>21</v>
      </c>
      <c r="W5" s="273" t="s">
        <v>21</v>
      </c>
      <c r="X5" s="273" t="s">
        <v>21</v>
      </c>
      <c r="Y5" s="273" t="s">
        <v>21</v>
      </c>
      <c r="Z5" s="274" t="s">
        <v>22</v>
      </c>
      <c r="AA5" s="275" t="s">
        <v>21</v>
      </c>
      <c r="AB5" s="276" t="s">
        <v>244</v>
      </c>
      <c r="AC5" s="276" t="s">
        <v>21</v>
      </c>
      <c r="AD5" s="277" t="s">
        <v>245</v>
      </c>
      <c r="AE5" s="275" t="s">
        <v>21</v>
      </c>
      <c r="AF5" s="277" t="s">
        <v>245</v>
      </c>
      <c r="AG5" s="278" t="s">
        <v>245</v>
      </c>
      <c r="AH5" s="278" t="s">
        <v>21</v>
      </c>
      <c r="AI5" s="278" t="s">
        <v>21</v>
      </c>
      <c r="AJ5" s="278" t="s">
        <v>22</v>
      </c>
      <c r="AK5" s="279" t="s">
        <v>21</v>
      </c>
      <c r="AL5" s="279" t="s">
        <v>245</v>
      </c>
      <c r="AM5" s="653" t="s">
        <v>21</v>
      </c>
      <c r="AN5" s="653" t="s">
        <v>21</v>
      </c>
      <c r="AO5" s="653" t="s">
        <v>21</v>
      </c>
      <c r="AP5" s="654" t="s">
        <v>21</v>
      </c>
      <c r="AQ5" s="654" t="s">
        <v>21</v>
      </c>
      <c r="AR5" s="654" t="s">
        <v>245</v>
      </c>
      <c r="AS5" s="654" t="s">
        <v>21</v>
      </c>
      <c r="AT5" s="654" t="s">
        <v>21</v>
      </c>
      <c r="AU5" s="654" t="s">
        <v>21</v>
      </c>
      <c r="AV5" s="712" t="s">
        <v>22</v>
      </c>
      <c r="AW5" s="739"/>
      <c r="AX5" s="740"/>
      <c r="AY5" s="731"/>
      <c r="AZ5" s="714"/>
      <c r="BA5" s="93"/>
      <c r="BB5" s="93"/>
      <c r="BC5" s="718" t="s">
        <v>177</v>
      </c>
      <c r="BD5" s="720"/>
      <c r="BE5" s="213"/>
      <c r="BF5" s="213"/>
      <c r="BG5" s="721" t="s">
        <v>182</v>
      </c>
      <c r="BH5" s="726"/>
      <c r="BI5" s="730" t="s">
        <v>2819</v>
      </c>
      <c r="BJ5" s="731"/>
      <c r="BK5" s="727"/>
      <c r="BL5" s="47"/>
      <c r="BM5" s="45"/>
      <c r="BN5" s="45"/>
      <c r="BO5" s="743" t="s">
        <v>2105</v>
      </c>
      <c r="BP5" s="45"/>
      <c r="BQ5" s="744"/>
      <c r="BR5" s="744"/>
      <c r="BS5" s="744"/>
      <c r="BT5" s="743" t="s">
        <v>246</v>
      </c>
      <c r="BU5" s="166" t="s">
        <v>2104</v>
      </c>
      <c r="BV5" s="46"/>
      <c r="BW5" s="46"/>
      <c r="BX5" s="46"/>
      <c r="BY5" s="46"/>
      <c r="BZ5" s="753"/>
      <c r="CA5" s="759"/>
      <c r="CB5" s="756"/>
      <c r="CC5" s="46"/>
      <c r="CD5" s="46"/>
      <c r="CE5" s="46"/>
      <c r="CF5" s="46"/>
      <c r="CG5" s="166" t="s">
        <v>247</v>
      </c>
      <c r="CH5" s="46"/>
      <c r="CI5" s="59"/>
      <c r="CJ5" s="49"/>
      <c r="CK5" s="49"/>
      <c r="CL5" s="49"/>
      <c r="CM5" s="49"/>
      <c r="CN5" s="49"/>
      <c r="CO5" s="49"/>
      <c r="CP5" s="49"/>
      <c r="CQ5" s="49"/>
      <c r="CR5" s="49"/>
      <c r="CS5" s="49"/>
    </row>
    <row r="6" spans="1:100" s="172" customFormat="1" ht="17.25" customHeight="1" thickTop="1" thickBot="1" x14ac:dyDescent="0.3">
      <c r="A6" s="229" t="s">
        <v>24</v>
      </c>
      <c r="B6" s="229" t="s">
        <v>25</v>
      </c>
      <c r="C6" s="229" t="s">
        <v>26</v>
      </c>
      <c r="D6" s="229" t="s">
        <v>27</v>
      </c>
      <c r="E6" s="229" t="s">
        <v>28</v>
      </c>
      <c r="F6" s="229" t="s">
        <v>29</v>
      </c>
      <c r="G6" s="394" t="s">
        <v>30</v>
      </c>
      <c r="H6" s="229" t="s">
        <v>62</v>
      </c>
      <c r="I6" s="229" t="s">
        <v>31</v>
      </c>
      <c r="J6" s="229" t="s">
        <v>1335</v>
      </c>
      <c r="K6" s="229" t="s">
        <v>65</v>
      </c>
      <c r="L6" s="229" t="s">
        <v>68</v>
      </c>
      <c r="M6" s="229" t="s">
        <v>2129</v>
      </c>
      <c r="N6" s="234" t="s">
        <v>2128</v>
      </c>
      <c r="O6" s="280" t="s">
        <v>74</v>
      </c>
      <c r="P6" s="281" t="s">
        <v>79</v>
      </c>
      <c r="Q6" s="281" t="s">
        <v>2106</v>
      </c>
      <c r="R6" s="281" t="s">
        <v>248</v>
      </c>
      <c r="S6" s="282" t="s">
        <v>2107</v>
      </c>
      <c r="T6" s="283" t="s">
        <v>2709</v>
      </c>
      <c r="U6" s="283" t="s">
        <v>2108</v>
      </c>
      <c r="V6" s="283" t="s">
        <v>2109</v>
      </c>
      <c r="W6" s="283" t="s">
        <v>2110</v>
      </c>
      <c r="X6" s="283" t="s">
        <v>2111</v>
      </c>
      <c r="Y6" s="283" t="s">
        <v>249</v>
      </c>
      <c r="Z6" s="284" t="s">
        <v>2130</v>
      </c>
      <c r="AA6" s="285" t="s">
        <v>2112</v>
      </c>
      <c r="AB6" s="286" t="s">
        <v>2113</v>
      </c>
      <c r="AC6" s="285" t="s">
        <v>2114</v>
      </c>
      <c r="AD6" s="285" t="s">
        <v>2694</v>
      </c>
      <c r="AE6" s="286" t="s">
        <v>2115</v>
      </c>
      <c r="AF6" s="287" t="s">
        <v>2116</v>
      </c>
      <c r="AG6" s="288" t="s">
        <v>250</v>
      </c>
      <c r="AH6" s="289" t="s">
        <v>114</v>
      </c>
      <c r="AI6" s="289" t="s">
        <v>1505</v>
      </c>
      <c r="AJ6" s="288" t="s">
        <v>2131</v>
      </c>
      <c r="AK6" s="655" t="s">
        <v>2146</v>
      </c>
      <c r="AL6" s="421" t="s">
        <v>2117</v>
      </c>
      <c r="AM6" s="421" t="s">
        <v>119</v>
      </c>
      <c r="AN6" s="421" t="s">
        <v>121</v>
      </c>
      <c r="AO6" s="421" t="s">
        <v>1351</v>
      </c>
      <c r="AP6" s="656" t="s">
        <v>2119</v>
      </c>
      <c r="AQ6" s="656" t="s">
        <v>2118</v>
      </c>
      <c r="AR6" s="656" t="s">
        <v>2120</v>
      </c>
      <c r="AS6" s="656" t="s">
        <v>3205</v>
      </c>
      <c r="AT6" s="656" t="s">
        <v>2711</v>
      </c>
      <c r="AU6" s="656" t="s">
        <v>2712</v>
      </c>
      <c r="AV6" s="713" t="s">
        <v>2132</v>
      </c>
      <c r="AW6" s="715" t="s">
        <v>2529</v>
      </c>
      <c r="AX6" s="736" t="s">
        <v>2121</v>
      </c>
      <c r="AY6" s="735" t="s">
        <v>2530</v>
      </c>
      <c r="AZ6" s="168" t="s">
        <v>2122</v>
      </c>
      <c r="BA6" s="94" t="s">
        <v>2123</v>
      </c>
      <c r="BB6" s="94" t="s">
        <v>2124</v>
      </c>
      <c r="BC6" s="717" t="s">
        <v>2143</v>
      </c>
      <c r="BD6" s="722" t="s">
        <v>2419</v>
      </c>
      <c r="BE6" s="723" t="s">
        <v>2141</v>
      </c>
      <c r="BF6" s="724" t="s">
        <v>2125</v>
      </c>
      <c r="BG6" s="725" t="s">
        <v>2144</v>
      </c>
      <c r="BH6" s="726" t="s">
        <v>2126</v>
      </c>
      <c r="BI6" s="732" t="s">
        <v>2600</v>
      </c>
      <c r="BJ6" s="733" t="s">
        <v>2601</v>
      </c>
      <c r="BK6" s="169" t="s">
        <v>2127</v>
      </c>
      <c r="BL6" s="170" t="s">
        <v>266</v>
      </c>
      <c r="BM6" s="745" t="s">
        <v>267</v>
      </c>
      <c r="BN6" s="745" t="s">
        <v>268</v>
      </c>
      <c r="BO6" s="747" t="s">
        <v>2145</v>
      </c>
      <c r="BP6" s="745" t="s">
        <v>2602</v>
      </c>
      <c r="BQ6" s="746" t="s">
        <v>269</v>
      </c>
      <c r="BR6" s="746" t="s">
        <v>270</v>
      </c>
      <c r="BS6" s="745" t="s">
        <v>2531</v>
      </c>
      <c r="BT6" s="747" t="s">
        <v>2532</v>
      </c>
      <c r="BU6" s="167" t="s">
        <v>2533</v>
      </c>
      <c r="BV6" s="750" t="s">
        <v>2551</v>
      </c>
      <c r="BW6" s="750" t="s">
        <v>2552</v>
      </c>
      <c r="BX6" s="750" t="s">
        <v>2553</v>
      </c>
      <c r="BY6" s="167" t="s">
        <v>2554</v>
      </c>
      <c r="BZ6" s="760" t="s">
        <v>2133</v>
      </c>
      <c r="CA6" s="761" t="s">
        <v>2134</v>
      </c>
      <c r="CB6" s="760" t="s">
        <v>2135</v>
      </c>
      <c r="CC6" s="760" t="s">
        <v>2136</v>
      </c>
      <c r="CD6" s="760" t="s">
        <v>278</v>
      </c>
      <c r="CE6" s="760" t="s">
        <v>2556</v>
      </c>
      <c r="CF6" s="760" t="s">
        <v>2557</v>
      </c>
      <c r="CG6" s="167" t="s">
        <v>2558</v>
      </c>
      <c r="CH6" s="750" t="s">
        <v>2137</v>
      </c>
      <c r="CI6" s="171" t="s">
        <v>33</v>
      </c>
      <c r="CJ6" s="171" t="s">
        <v>34</v>
      </c>
      <c r="CK6" s="171" t="s">
        <v>280</v>
      </c>
      <c r="CL6" s="171" t="s">
        <v>281</v>
      </c>
      <c r="CM6" s="171" t="s">
        <v>35</v>
      </c>
      <c r="CN6" s="171" t="s">
        <v>36</v>
      </c>
      <c r="CO6" s="171" t="s">
        <v>37</v>
      </c>
      <c r="CP6" s="171" t="s">
        <v>38</v>
      </c>
      <c r="CQ6" s="171" t="s">
        <v>39</v>
      </c>
      <c r="CR6" s="659" t="s">
        <v>40</v>
      </c>
      <c r="CS6" s="49" t="s">
        <v>41</v>
      </c>
    </row>
    <row r="7" spans="1:100" ht="15.75" customHeight="1" x14ac:dyDescent="0.25">
      <c r="A7" s="833" t="s">
        <v>3206</v>
      </c>
      <c r="B7" s="206" t="s">
        <v>426</v>
      </c>
      <c r="C7" s="206" t="s">
        <v>44</v>
      </c>
      <c r="D7" s="206" t="s">
        <v>341</v>
      </c>
      <c r="E7" s="206" t="s">
        <v>1258</v>
      </c>
      <c r="F7" s="206">
        <v>70</v>
      </c>
      <c r="G7" s="209">
        <v>356</v>
      </c>
      <c r="H7" s="206"/>
      <c r="I7" s="206" t="s">
        <v>428</v>
      </c>
      <c r="J7" s="207" t="s">
        <v>2809</v>
      </c>
      <c r="K7" s="206">
        <v>0</v>
      </c>
      <c r="L7" s="206" t="s">
        <v>48</v>
      </c>
      <c r="M7" s="208">
        <v>0</v>
      </c>
      <c r="N7" s="208">
        <v>0</v>
      </c>
      <c r="O7" s="316">
        <v>0</v>
      </c>
      <c r="P7" s="317">
        <v>10</v>
      </c>
      <c r="Q7" s="317">
        <v>2228400</v>
      </c>
      <c r="R7" s="318">
        <v>0</v>
      </c>
      <c r="S7" s="318">
        <v>0</v>
      </c>
      <c r="T7" s="318"/>
      <c r="U7" s="318">
        <v>0</v>
      </c>
      <c r="V7" s="318">
        <v>0</v>
      </c>
      <c r="W7" s="318">
        <v>10</v>
      </c>
      <c r="X7" s="318">
        <v>9</v>
      </c>
      <c r="Y7" s="318">
        <v>0</v>
      </c>
      <c r="Z7" s="318" t="s">
        <v>2810</v>
      </c>
      <c r="AA7" s="310">
        <v>13</v>
      </c>
      <c r="AB7" s="310">
        <v>0</v>
      </c>
      <c r="AC7" s="66"/>
      <c r="AD7" s="66" t="s">
        <v>2785</v>
      </c>
      <c r="AE7" s="310">
        <v>0</v>
      </c>
      <c r="AF7" s="310" t="s">
        <v>283</v>
      </c>
      <c r="AG7" s="311" t="s">
        <v>283</v>
      </c>
      <c r="AH7" s="311">
        <v>0</v>
      </c>
      <c r="AI7" s="310">
        <v>0</v>
      </c>
      <c r="AJ7" s="310" t="s">
        <v>2811</v>
      </c>
      <c r="AK7" s="841">
        <v>1</v>
      </c>
      <c r="AL7" s="842" t="s">
        <v>291</v>
      </c>
      <c r="AM7" s="842">
        <v>0</v>
      </c>
      <c r="AN7" s="863">
        <v>2</v>
      </c>
      <c r="AO7" s="863">
        <v>1</v>
      </c>
      <c r="AP7" s="838">
        <v>32</v>
      </c>
      <c r="AQ7" s="843">
        <v>32</v>
      </c>
      <c r="AR7" s="843"/>
      <c r="AS7" s="843"/>
      <c r="AT7" s="843">
        <v>1</v>
      </c>
      <c r="AU7" s="843">
        <v>0</v>
      </c>
      <c r="AV7" s="844" t="s">
        <v>2812</v>
      </c>
      <c r="AW7" s="208" t="str">
        <f>IFERROR(WWWW[[#This Row],['# of Water passed at source]]/WWWW[[#This Row],['# of Water tested at source]],"no test")</f>
        <v>no test</v>
      </c>
      <c r="AX7" s="211">
        <f>IFERROR(WWWW[[#This Row],['# of Water passed at HH]]/WWWW[[#This Row],['# of Water tested at HH]],"no test")</f>
        <v>0.9</v>
      </c>
      <c r="AY7" s="210" t="str">
        <f>IF(AND(WWWW[[#This Row],[%of Water samples which passed at water source]]="no test",WWWW[[#This Row],[%Water samples which passed at HH]]="no test"),"No Test","Tested")</f>
        <v>Tested</v>
      </c>
      <c r="AZ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7" s="211">
        <f>IF(WWWW[[#This Row],[Location Type 1]]="Village",WWWW[[#This Row],[Access to safe drinking water for Village]],WWWW[[#This Row],[Access to safe drinking water for Camp]])</f>
        <v>1</v>
      </c>
      <c r="BC7" s="209">
        <f>WWWW[[#This Row],[%Equitable and continuous access to sufficient quantity of safe drinking water]]*WWWW[[#This Row],[Total PoP ]]</f>
        <v>356</v>
      </c>
      <c r="BD7" s="211">
        <f>IF((WWWW[[#This Row],['# Existing protected/fenced ponds ]]*250)/WWWW[[#This Row],[Total PoP ]]&gt;1,1,WWWW[[#This Row],['# Existing protected/fenced ponds ]]*250/WWWW[[#This Row],[Total PoP ]])</f>
        <v>0</v>
      </c>
      <c r="BE7" s="209">
        <f>WWWW[[#This Row],[Access to unimproved water points]]*WWWW[[#This Row],[Total PoP ]]</f>
        <v>0</v>
      </c>
      <c r="BF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356</v>
      </c>
      <c r="BH7" s="209">
        <f>WWWW[[#This Row],['#people Equitable and continuous access to sufficient quantity of domestic water borehole n ponds_2]]/500</f>
        <v>0.71199999999999997</v>
      </c>
      <c r="BI7" s="208">
        <f>1-WWWW[[#This Row],[%Equitable and continuous access to sufficient quantity of domestic water borehole n ponds]]</f>
        <v>0</v>
      </c>
      <c r="BJ7" s="209">
        <f>WWWW[[#This Row],[%equitable and continuous access to sufficient quantity of safe drinking and domestic water''s GAP]]*WWWW[[#This Row],[Total PoP ]]</f>
        <v>0</v>
      </c>
      <c r="BK7" s="210">
        <f>IF(WWWW[[#This Row],[Total required water points]]-WWWW[[#This Row],['#Water points coverage]]&lt;0,0,WWWW[[#This Row],[Total required water points]]-WWWW[[#This Row],['#Water points coverage]])</f>
        <v>0.28800000000000003</v>
      </c>
      <c r="BL7" s="210">
        <f>ROUND(IF(WWWW[[#This Row],[Total PoP ]]&lt;500,1,WWWW[[#This Row],[Total PoP ]]/500),0)</f>
        <v>1</v>
      </c>
      <c r="BM7" s="210">
        <f>WWWW[[#This Row],['# Existing functional latrines]]+WWWW[[#This Row],['# Existing latrines dysfunctional]]</f>
        <v>13</v>
      </c>
      <c r="BN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0.7303370786516854</v>
      </c>
      <c r="BO7" s="352">
        <f>WWWW[[#This Row],[% people access to functioning Latrine]]*WWWW[[#This Row],[Total PoP ]]</f>
        <v>260</v>
      </c>
      <c r="BP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0.28089887640449435</v>
      </c>
      <c r="BQ7" s="209">
        <f>IF(WWWW[[#This Row],[Total required Latrines]]-WWWW[[#This Row],[Total '# of latrine]]&lt;0,0,WWWW[[#This Row],[Total required Latrines]]-WWWW[[#This Row],[Total '# of latrine]])</f>
        <v>5</v>
      </c>
      <c r="BR7" s="210">
        <f>ROUND(IF(WWWW[[#This Row],[Location Type 1]]="camp",WWWW[[#This Row],[Total PoP ]]/20,WWWW[[#This Row],[Total PoP ]]/6),0)</f>
        <v>18</v>
      </c>
      <c r="BS7" s="212">
        <f>IF(OR(WWWW[[#This Row],['# Existing latrines dysfunctional]]="",WWWW[[#This Row],['# Existing latrines dysfunctional]]=0),0,WWWW[[#This Row],['# Existing latrines dysfunctional]]/WWWW[[#This Row],[Total '# of latrine]])</f>
        <v>0</v>
      </c>
      <c r="BT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 s="209">
        <f>IF(500*WWWW[[#This Row],['# Hygiene Promoters ]]&gt;WWWW[[#This Row],[Total PoP ]],WWWW[[#This Row],[Total PoP ]],500*WWWW[[#This Row],['# Hygiene Promoters ]])</f>
        <v>356</v>
      </c>
      <c r="BV7" s="209">
        <f>IF(WWWW[[#This Row],[% of HH with access to Sanitary Pad]]&gt;=100%,1,0)</f>
        <v>0</v>
      </c>
      <c r="BW7" s="209">
        <f>IF(WWWW[[#This Row],[Total PoP ]]=0,0,IF(WWWW[[#This Row],['# Hygiene Promoters ]]=0,0,IF(WWWW[[#This Row],[Location Type 1]]="Village",IF(WWWW[[#This Row],[Total PoP ]]/WWWW[[#This Row],['# Hygiene Promoters ]]&lt;1000,1,0),IF(WWWW[[#This Row],[Total PoP ]]/WWWW[[#This Row],['# Hygiene Promoters ]]&lt;600,1,0))))</f>
        <v>1</v>
      </c>
      <c r="BX7" s="209">
        <f>IF(WWWW[[#This Row],[%HH with access to soap]]&gt;=100%,1,0)</f>
        <v>0</v>
      </c>
      <c r="BY7" s="209">
        <f>IF(WWWW[[#This Row],[% of HHs with access to Sanitary pad more than '#%]]+WWWW[[#This Row],[Ratio of Hyiene promoters to people less than '#]]+WWWW[[#This Row],[% of HHs with access to soap more than '#%]]&gt;=2,WWWW[[#This Row],[Total PoP ]],0)</f>
        <v>0</v>
      </c>
      <c r="BZ7" s="208">
        <f>WWWW[[#This Row],[People adopt basic personal and community hygiene practices]]/WWWW[[#This Row],[Total PoP ]]</f>
        <v>0</v>
      </c>
      <c r="CA7" s="212">
        <f>1-WWWW[[#This Row],[Hygiene Coverage%]]</f>
        <v>1</v>
      </c>
      <c r="CB7" s="211">
        <f>WWWW[[#This Row],['# people reached by regular dedicated hygiene promotion_5]]/WWWW[[#This Row],[Total PoP ]]</f>
        <v>1</v>
      </c>
      <c r="CC7" s="211">
        <f>IF(WWWW[[#This Row],['# HH received soaps]]/WWWW[[#This Row],[Total HH]]&gt;1,1,WWWW[[#This Row],['# HH received soaps]]/WWWW[[#This Row],[Total HH]])</f>
        <v>0.45714285714285713</v>
      </c>
      <c r="CD7" s="211">
        <f>IF(WWWW[[#This Row],['# HH received Sanitary Pads]]/WWWW[[#This Row],[Total HH]]&gt;1,1,WWWW[[#This Row],['# HH received Sanitary Pads]]/WWWW[[#This Row],[Total HH]])</f>
        <v>0.45714285714285713</v>
      </c>
      <c r="CE7" s="210">
        <f>WWWW[[#This Row],['# HH received soaps]]*5</f>
        <v>160</v>
      </c>
      <c r="CF7" s="210">
        <f>WWWW[[#This Row],['# HH received Sanitary Pads]]*5</f>
        <v>160</v>
      </c>
      <c r="CG7" s="210">
        <f>IF(WWWW[[#This Row],['# People with access to soap]]&gt;WWWW[[#This Row],['# People with access to Sanity Pads]],WWWW[[#This Row],['# People with access to soap]],WWWW[[#This Row],['# People with access to Sanity Pads]])</f>
        <v>160</v>
      </c>
      <c r="CH7" s="209">
        <f>WWWW[[#This Row],[Total HH]]*WWWW[[#This Row],[%HHs with access to functional hand washing stations]]</f>
        <v>70</v>
      </c>
      <c r="CI7" s="699">
        <f>VLOOKUP(WWWW[[#This Row],[Site Name]],SiteDB6[[Site Name]:[CCCM Management]],6,FALSE)</f>
        <v>0</v>
      </c>
      <c r="CJ7" s="699">
        <f>VLOOKUP(WWWW[[#This Row],[Site Name]],SiteDB6[[Site Name]:[CCCM Focal Agency]],7,FALSE)</f>
        <v>0</v>
      </c>
      <c r="CK7" s="699" t="str">
        <f>VLOOKUP(WWWW[[#This Row],[Site Name]],SiteDB6[[Site Name]:[Location Type]],8,FALSE)</f>
        <v>Camp_not registered</v>
      </c>
      <c r="CL7" s="699" t="str">
        <f>VLOOKUP(WWWW[[#This Row],[Site Name]],SiteDB6[[Site Name]:[Location Type 1]],9,FALSE)</f>
        <v>Camp</v>
      </c>
      <c r="CM7" s="699" t="str">
        <f>VLOOKUP(WWWW[[#This Row],[Site Name]],SiteDB6[[Site Name]:[Type of Accommodation]],10,FALSE)</f>
        <v>camp</v>
      </c>
      <c r="CN7" s="699" t="str">
        <f>VLOOKUP(WWWW[[#This Row],[Site Name]],SiteDB6[[Site Name]:[Ethnic or GCA/NGCA]],11,FALSE)</f>
        <v>GCA</v>
      </c>
      <c r="CO7" s="699">
        <f>VLOOKUP(WWWW[[#This Row],[Site Name]],SiteDB6[[Site Name]:[Lat]],12,FALSE)</f>
        <v>0</v>
      </c>
      <c r="CP7" s="699">
        <f>VLOOKUP(WWWW[[#This Row],[Site Name]],SiteDB6[[Site Name]:[Long]],13,FALSE)</f>
        <v>0</v>
      </c>
      <c r="CQ7" s="699">
        <f>VLOOKUP(WWWW[[#This Row],[Site Name]],SiteDB6[[Site Name]:[Pcode]],3,FALSE)</f>
        <v>0</v>
      </c>
      <c r="CR7" s="660" t="str">
        <f t="shared" ref="CR7:CR70" si="0">IF(B7="none","Notcovered","Covered")</f>
        <v>Covered</v>
      </c>
      <c r="CS7" s="660"/>
      <c r="CT7" s="24"/>
      <c r="CU7" s="24"/>
      <c r="CV7" s="24"/>
    </row>
    <row r="8" spans="1:100" ht="15.75" customHeight="1" x14ac:dyDescent="0.25">
      <c r="A8" s="833" t="s">
        <v>3206</v>
      </c>
      <c r="B8" s="206" t="s">
        <v>426</v>
      </c>
      <c r="C8" s="206" t="s">
        <v>44</v>
      </c>
      <c r="D8" s="206" t="s">
        <v>341</v>
      </c>
      <c r="E8" s="206" t="s">
        <v>427</v>
      </c>
      <c r="F8" s="206">
        <v>166</v>
      </c>
      <c r="G8" s="209">
        <v>815</v>
      </c>
      <c r="H8" s="206"/>
      <c r="I8" s="206" t="s">
        <v>428</v>
      </c>
      <c r="J8" s="207" t="s">
        <v>2809</v>
      </c>
      <c r="K8" s="206">
        <v>0</v>
      </c>
      <c r="L8" s="206" t="s">
        <v>48</v>
      </c>
      <c r="M8" s="208">
        <v>0.47619047619047616</v>
      </c>
      <c r="N8" s="208">
        <v>0</v>
      </c>
      <c r="O8" s="316">
        <v>0</v>
      </c>
      <c r="P8" s="317">
        <v>1</v>
      </c>
      <c r="Q8" s="317">
        <v>6624400</v>
      </c>
      <c r="R8" s="318">
        <v>0</v>
      </c>
      <c r="S8" s="318">
        <v>0</v>
      </c>
      <c r="T8" s="318"/>
      <c r="U8" s="318">
        <v>0</v>
      </c>
      <c r="V8" s="318">
        <v>0</v>
      </c>
      <c r="W8" s="318">
        <v>11</v>
      </c>
      <c r="X8" s="318">
        <v>7</v>
      </c>
      <c r="Y8" s="318">
        <v>0</v>
      </c>
      <c r="Z8" s="318"/>
      <c r="AA8" s="310">
        <v>36</v>
      </c>
      <c r="AB8" s="310">
        <v>0</v>
      </c>
      <c r="AC8" s="66">
        <v>39</v>
      </c>
      <c r="AD8" s="66" t="s">
        <v>2785</v>
      </c>
      <c r="AE8" s="310">
        <v>0</v>
      </c>
      <c r="AF8" s="310" t="s">
        <v>283</v>
      </c>
      <c r="AG8" s="311" t="s">
        <v>283</v>
      </c>
      <c r="AH8" s="311">
        <v>0</v>
      </c>
      <c r="AI8" s="310">
        <v>0</v>
      </c>
      <c r="AJ8" s="310"/>
      <c r="AK8" s="841">
        <v>1</v>
      </c>
      <c r="AL8" s="842" t="s">
        <v>291</v>
      </c>
      <c r="AM8" s="842">
        <v>0</v>
      </c>
      <c r="AN8" s="863">
        <v>3</v>
      </c>
      <c r="AO8" s="863">
        <v>2</v>
      </c>
      <c r="AP8" s="838">
        <v>162</v>
      </c>
      <c r="AQ8" s="843">
        <v>162</v>
      </c>
      <c r="AR8" s="843"/>
      <c r="AS8" s="843"/>
      <c r="AT8" s="843">
        <v>4</v>
      </c>
      <c r="AU8" s="843">
        <v>0</v>
      </c>
      <c r="AV8" s="844" t="s">
        <v>2461</v>
      </c>
      <c r="AW8" s="208" t="str">
        <f>IFERROR(WWWW[[#This Row],['# of Water passed at source]]/WWWW[[#This Row],['# of Water tested at source]],"no test")</f>
        <v>no test</v>
      </c>
      <c r="AX8" s="211">
        <f>IFERROR(WWWW[[#This Row],['# of Water passed at HH]]/WWWW[[#This Row],['# of Water tested at HH]],"no test")</f>
        <v>0.63636363636363635</v>
      </c>
      <c r="AY8" s="210" t="str">
        <f>IF(AND(WWWW[[#This Row],[%of Water samples which passed at water source]]="no test",WWWW[[#This Row],[%Water samples which passed at HH]]="no test"),"No Test","Tested")</f>
        <v>Tested</v>
      </c>
      <c r="AZ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8" s="211">
        <f>IF(WWWW[[#This Row],[Location Type 1]]="Village",WWWW[[#This Row],[Access to safe drinking water for Village]],WWWW[[#This Row],[Access to safe drinking water for Camp]])</f>
        <v>1</v>
      </c>
      <c r="BC8" s="209">
        <f>WWWW[[#This Row],[%Equitable and continuous access to sufficient quantity of safe drinking water]]*WWWW[[#This Row],[Total PoP ]]</f>
        <v>815</v>
      </c>
      <c r="BD8" s="211">
        <f>IF((WWWW[[#This Row],['# Existing protected/fenced ponds ]]*250)/WWWW[[#This Row],[Total PoP ]]&gt;1,1,WWWW[[#This Row],['# Existing protected/fenced ponds ]]*250/WWWW[[#This Row],[Total PoP ]])</f>
        <v>0</v>
      </c>
      <c r="BE8" s="209">
        <f>WWWW[[#This Row],[Access to unimproved water points]]*WWWW[[#This Row],[Total PoP ]]</f>
        <v>0</v>
      </c>
      <c r="BF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815</v>
      </c>
      <c r="BH8" s="209">
        <f>WWWW[[#This Row],['#people Equitable and continuous access to sufficient quantity of domestic water borehole n ponds_2]]/500</f>
        <v>1.63</v>
      </c>
      <c r="BI8" s="208">
        <f>1-WWWW[[#This Row],[%Equitable and continuous access to sufficient quantity of domestic water borehole n ponds]]</f>
        <v>0</v>
      </c>
      <c r="BJ8" s="209">
        <f>WWWW[[#This Row],[%equitable and continuous access to sufficient quantity of safe drinking and domestic water''s GAP]]*WWWW[[#This Row],[Total PoP ]]</f>
        <v>0</v>
      </c>
      <c r="BK8" s="210">
        <f>IF(WWWW[[#This Row],[Total required water points]]-WWWW[[#This Row],['#Water points coverage]]&lt;0,0,WWWW[[#This Row],[Total required water points]]-WWWW[[#This Row],['#Water points coverage]])</f>
        <v>0.37000000000000011</v>
      </c>
      <c r="BL8" s="210">
        <f>ROUND(IF(WWWW[[#This Row],[Total PoP ]]&lt;500,1,WWWW[[#This Row],[Total PoP ]]/500),0)</f>
        <v>2</v>
      </c>
      <c r="BM8" s="210">
        <f>WWWW[[#This Row],['# Existing functional latrines]]+WWWW[[#This Row],['# Existing latrines dysfunctional]]</f>
        <v>36</v>
      </c>
      <c r="BN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0.8834355828220859</v>
      </c>
      <c r="BO8" s="352">
        <f>WWWW[[#This Row],[% people access to functioning Latrine]]*WWWW[[#This Row],[Total PoP ]]</f>
        <v>720</v>
      </c>
      <c r="BP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0.12269938650306748</v>
      </c>
      <c r="BQ8" s="209">
        <f>IF(WWWW[[#This Row],[Total required Latrines]]-WWWW[[#This Row],[Total '# of latrine]]&lt;0,0,WWWW[[#This Row],[Total required Latrines]]-WWWW[[#This Row],[Total '# of latrine]])</f>
        <v>5</v>
      </c>
      <c r="BR8" s="210">
        <f>ROUND(IF(WWWW[[#This Row],[Location Type 1]]="camp",WWWW[[#This Row],[Total PoP ]]/20,WWWW[[#This Row],[Total PoP ]]/6),0)</f>
        <v>41</v>
      </c>
      <c r="BS8" s="212">
        <f>IF(OR(WWWW[[#This Row],['# Existing latrines dysfunctional]]="",WWWW[[#This Row],['# Existing latrines dysfunctional]]=0),0,WWWW[[#This Row],['# Existing latrines dysfunctional]]/WWWW[[#This Row],[Total '# of latrine]])</f>
        <v>0</v>
      </c>
      <c r="BT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780</v>
      </c>
      <c r="BU8" s="209">
        <f>IF(500*WWWW[[#This Row],['# Hygiene Promoters ]]&gt;WWWW[[#This Row],[Total PoP ]],WWWW[[#This Row],[Total PoP ]],500*WWWW[[#This Row],['# Hygiene Promoters ]])</f>
        <v>815</v>
      </c>
      <c r="BV8" s="209">
        <f>IF(WWWW[[#This Row],[% of HH with access to Sanitary Pad]]&gt;=100%,1,0)</f>
        <v>0</v>
      </c>
      <c r="BW8" s="209">
        <f>IF(WWWW[[#This Row],[Total PoP ]]=0,0,IF(WWWW[[#This Row],['# Hygiene Promoters ]]=0,0,IF(WWWW[[#This Row],[Location Type 1]]="Village",IF(WWWW[[#This Row],[Total PoP ]]/WWWW[[#This Row],['# Hygiene Promoters ]]&lt;1000,1,0),IF(WWWW[[#This Row],[Total PoP ]]/WWWW[[#This Row],['# Hygiene Promoters ]]&lt;600,1,0))))</f>
        <v>1</v>
      </c>
      <c r="BX8" s="209">
        <f>IF(WWWW[[#This Row],[%HH with access to soap]]&gt;=100%,1,0)</f>
        <v>0</v>
      </c>
      <c r="BY8" s="209">
        <f>IF(WWWW[[#This Row],[% of HHs with access to Sanitary pad more than '#%]]+WWWW[[#This Row],[Ratio of Hyiene promoters to people less than '#]]+WWWW[[#This Row],[% of HHs with access to soap more than '#%]]&gt;=2,WWWW[[#This Row],[Total PoP ]],0)</f>
        <v>0</v>
      </c>
      <c r="BZ8" s="208">
        <f>WWWW[[#This Row],[People adopt basic personal and community hygiene practices]]/WWWW[[#This Row],[Total PoP ]]</f>
        <v>0</v>
      </c>
      <c r="CA8" s="212">
        <f>1-WWWW[[#This Row],[Hygiene Coverage%]]</f>
        <v>1</v>
      </c>
      <c r="CB8" s="211">
        <f>WWWW[[#This Row],['# people reached by regular dedicated hygiene promotion_5]]/WWWW[[#This Row],[Total PoP ]]</f>
        <v>1</v>
      </c>
      <c r="CC8" s="211">
        <f>IF(WWWW[[#This Row],['# HH received soaps]]/WWWW[[#This Row],[Total HH]]&gt;1,1,WWWW[[#This Row],['# HH received soaps]]/WWWW[[#This Row],[Total HH]])</f>
        <v>0.97590361445783136</v>
      </c>
      <c r="CD8" s="211">
        <f>IF(WWWW[[#This Row],['# HH received Sanitary Pads]]/WWWW[[#This Row],[Total HH]]&gt;1,1,WWWW[[#This Row],['# HH received Sanitary Pads]]/WWWW[[#This Row],[Total HH]])</f>
        <v>0.97590361445783136</v>
      </c>
      <c r="CE8" s="210">
        <f>WWWW[[#This Row],['# HH received soaps]]*5</f>
        <v>810</v>
      </c>
      <c r="CF8" s="210">
        <f>WWWW[[#This Row],['# HH received Sanitary Pads]]*5</f>
        <v>810</v>
      </c>
      <c r="CG8" s="210">
        <f>IF(WWWW[[#This Row],['# People with access to soap]]&gt;WWWW[[#This Row],['# People with access to Sanity Pads]],WWWW[[#This Row],['# People with access to soap]],WWWW[[#This Row],['# People with access to Sanity Pads]])</f>
        <v>810</v>
      </c>
      <c r="CH8" s="209">
        <f>WWWW[[#This Row],[Total HH]]*WWWW[[#This Row],[%HHs with access to functional hand washing stations]]</f>
        <v>166</v>
      </c>
      <c r="CI8" s="699" t="str">
        <f>VLOOKUP(WWWW[[#This Row],[Site Name]],SiteDB6[[Site Name]:[CCCM Management]],6,FALSE)</f>
        <v>Yes</v>
      </c>
      <c r="CJ8" s="699" t="str">
        <f>VLOOKUP(WWWW[[#This Row],[Site Name]],SiteDB6[[Site Name]:[CCCM Focal Agency]],7,FALSE)</f>
        <v>KMSS-BMO</v>
      </c>
      <c r="CK8" s="699" t="str">
        <f>VLOOKUP(WWWW[[#This Row],[Site Name]],SiteDB6[[Site Name]:[Location Type]],8,FALSE)</f>
        <v>Camp</v>
      </c>
      <c r="CL8" s="699" t="str">
        <f>VLOOKUP(WWWW[[#This Row],[Site Name]],SiteDB6[[Site Name]:[Location Type 1]],9,FALSE)</f>
        <v>Camp</v>
      </c>
      <c r="CM8" s="699" t="str">
        <f>VLOOKUP(WWWW[[#This Row],[Site Name]],SiteDB6[[Site Name]:[Type of Accommodation]],10,FALSE)</f>
        <v>Camp</v>
      </c>
      <c r="CN8" s="699" t="str">
        <f>VLOOKUP(WWWW[[#This Row],[Site Name]],SiteDB6[[Site Name]:[Ethnic or GCA/NGCA]],11,FALSE)</f>
        <v>GCA</v>
      </c>
      <c r="CO8" s="699">
        <f>VLOOKUP(WWWW[[#This Row],[Site Name]],SiteDB6[[Site Name]:[Lat]],12,FALSE)</f>
        <v>24.260719999999999</v>
      </c>
      <c r="CP8" s="699">
        <f>VLOOKUP(WWWW[[#This Row],[Site Name]],SiteDB6[[Site Name]:[Long]],13,FALSE)</f>
        <v>97.238829999999993</v>
      </c>
      <c r="CQ8" s="699" t="str">
        <f>VLOOKUP(WWWW[[#This Row],[Site Name]],SiteDB6[[Site Name]:[Pcode]],3,FALSE)</f>
        <v>MMR001CMP050</v>
      </c>
      <c r="CR8" s="660" t="str">
        <f t="shared" si="0"/>
        <v>Covered</v>
      </c>
      <c r="CS8" s="660"/>
      <c r="CT8" s="24"/>
      <c r="CU8" s="24"/>
      <c r="CV8" s="24"/>
    </row>
    <row r="9" spans="1:100" ht="15.75" customHeight="1" x14ac:dyDescent="0.25">
      <c r="A9" s="833" t="s">
        <v>3206</v>
      </c>
      <c r="B9" s="206" t="s">
        <v>338</v>
      </c>
      <c r="C9" s="206" t="s">
        <v>44</v>
      </c>
      <c r="D9" s="206" t="s">
        <v>341</v>
      </c>
      <c r="E9" s="206" t="s">
        <v>342</v>
      </c>
      <c r="F9" s="206">
        <v>11</v>
      </c>
      <c r="G9" s="209">
        <v>52</v>
      </c>
      <c r="H9" s="206"/>
      <c r="I9" s="206" t="s">
        <v>2475</v>
      </c>
      <c r="J9" s="207">
        <v>43344</v>
      </c>
      <c r="K9" s="206">
        <v>0</v>
      </c>
      <c r="L9" s="206" t="s">
        <v>282</v>
      </c>
      <c r="M9" s="208">
        <v>0</v>
      </c>
      <c r="N9" s="208">
        <v>0</v>
      </c>
      <c r="O9" s="316">
        <v>1</v>
      </c>
      <c r="P9" s="317">
        <v>1</v>
      </c>
      <c r="Q9" s="317">
        <v>0</v>
      </c>
      <c r="R9" s="318">
        <v>0</v>
      </c>
      <c r="S9" s="318">
        <v>0</v>
      </c>
      <c r="T9" s="318"/>
      <c r="U9" s="318"/>
      <c r="V9" s="318"/>
      <c r="W9" s="318"/>
      <c r="X9" s="318"/>
      <c r="Y9" s="318"/>
      <c r="Z9" s="318"/>
      <c r="AA9" s="310">
        <v>2</v>
      </c>
      <c r="AB9" s="310">
        <v>0</v>
      </c>
      <c r="AC9" s="66"/>
      <c r="AD9" s="66"/>
      <c r="AE9" s="310">
        <v>0</v>
      </c>
      <c r="AF9" s="310" t="s">
        <v>283</v>
      </c>
      <c r="AG9" s="311" t="s">
        <v>283</v>
      </c>
      <c r="AH9" s="311"/>
      <c r="AI9" s="310"/>
      <c r="AJ9" s="310"/>
      <c r="AK9" s="841">
        <v>0</v>
      </c>
      <c r="AL9" s="842" t="s">
        <v>291</v>
      </c>
      <c r="AM9" s="842">
        <v>0</v>
      </c>
      <c r="AN9" s="863">
        <v>1</v>
      </c>
      <c r="AO9" s="863">
        <v>0</v>
      </c>
      <c r="AP9" s="838">
        <v>11</v>
      </c>
      <c r="AQ9" s="843">
        <v>11</v>
      </c>
      <c r="AR9" s="843"/>
      <c r="AS9" s="843"/>
      <c r="AT9" s="843"/>
      <c r="AU9" s="843"/>
      <c r="AV9" s="844"/>
      <c r="AW9" s="208" t="str">
        <f>IFERROR(WWWW[[#This Row],['# of Water passed at source]]/WWWW[[#This Row],['# of Water tested at source]],"no test")</f>
        <v>no test</v>
      </c>
      <c r="AX9" s="211" t="str">
        <f>IFERROR(WWWW[[#This Row],['# of Water passed at HH]]/WWWW[[#This Row],['# of Water tested at HH]],"no test")</f>
        <v>no test</v>
      </c>
      <c r="AY9" s="210" t="str">
        <f>IF(AND(WWWW[[#This Row],[%of Water samples which passed at water source]]="no test",WWWW[[#This Row],[%Water samples which passed at HH]]="no test"),"No Test","Tested")</f>
        <v>No Test</v>
      </c>
      <c r="AZ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9" s="211">
        <f>IF(WWWW[[#This Row],[Location Type 1]]="Village",WWWW[[#This Row],[Access to safe drinking water for Village]],WWWW[[#This Row],[Access to safe drinking water for Camp]])</f>
        <v>1</v>
      </c>
      <c r="BC9" s="209">
        <f>WWWW[[#This Row],[%Equitable and continuous access to sufficient quantity of safe drinking water]]*WWWW[[#This Row],[Total PoP ]]</f>
        <v>52</v>
      </c>
      <c r="BD9" s="211">
        <f>IF((WWWW[[#This Row],['# Existing protected/fenced ponds ]]*250)/WWWW[[#This Row],[Total PoP ]]&gt;1,1,WWWW[[#This Row],['# Existing protected/fenced ponds ]]*250/WWWW[[#This Row],[Total PoP ]])</f>
        <v>0</v>
      </c>
      <c r="BE9" s="209">
        <f>WWWW[[#This Row],[Access to unimproved water points]]*WWWW[[#This Row],[Total PoP ]]</f>
        <v>0</v>
      </c>
      <c r="BF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v>
      </c>
      <c r="BH9" s="209">
        <f>WWWW[[#This Row],['#people Equitable and continuous access to sufficient quantity of domestic water borehole n ponds_2]]/500</f>
        <v>0.104</v>
      </c>
      <c r="BI9" s="208">
        <f>1-WWWW[[#This Row],[%Equitable and continuous access to sufficient quantity of domestic water borehole n ponds]]</f>
        <v>0</v>
      </c>
      <c r="BJ9" s="209">
        <f>WWWW[[#This Row],[%equitable and continuous access to sufficient quantity of safe drinking and domestic water''s GAP]]*WWWW[[#This Row],[Total PoP ]]</f>
        <v>0</v>
      </c>
      <c r="BK9" s="210">
        <f>IF(WWWW[[#This Row],[Total required water points]]-WWWW[[#This Row],['#Water points coverage]]&lt;0,0,WWWW[[#This Row],[Total required water points]]-WWWW[[#This Row],['#Water points coverage]])</f>
        <v>0.89600000000000002</v>
      </c>
      <c r="BL9" s="210">
        <f>ROUND(IF(WWWW[[#This Row],[Total PoP ]]&lt;500,1,WWWW[[#This Row],[Total PoP ]]/500),0)</f>
        <v>1</v>
      </c>
      <c r="BM9" s="210">
        <f>WWWW[[#This Row],['# Existing functional latrines]]+WWWW[[#This Row],['# Existing latrines dysfunctional]]</f>
        <v>2</v>
      </c>
      <c r="BN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0.76923076923076927</v>
      </c>
      <c r="BO9" s="352">
        <f>WWWW[[#This Row],[% people access to functioning Latrine]]*WWWW[[#This Row],[Total PoP ]]</f>
        <v>40</v>
      </c>
      <c r="BP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0.38461538461538458</v>
      </c>
      <c r="BQ9" s="209">
        <f>IF(WWWW[[#This Row],[Total required Latrines]]-WWWW[[#This Row],[Total '# of latrine]]&lt;0,0,WWWW[[#This Row],[Total required Latrines]]-WWWW[[#This Row],[Total '# of latrine]])</f>
        <v>1</v>
      </c>
      <c r="BR9" s="210">
        <f>ROUND(IF(WWWW[[#This Row],[Location Type 1]]="camp",WWWW[[#This Row],[Total PoP ]]/20,WWWW[[#This Row],[Total PoP ]]/6),0)</f>
        <v>3</v>
      </c>
      <c r="BS9" s="212">
        <f>IF(OR(WWWW[[#This Row],['# Existing latrines dysfunctional]]="",WWWW[[#This Row],['# Existing latrines dysfunctional]]=0),0,WWWW[[#This Row],['# Existing latrines dysfunctional]]/WWWW[[#This Row],[Total '# of latrine]])</f>
        <v>0</v>
      </c>
      <c r="BT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9" s="209">
        <f>IF(500*WWWW[[#This Row],['# Hygiene Promoters ]]&gt;WWWW[[#This Row],[Total PoP ]],WWWW[[#This Row],[Total PoP ]],500*WWWW[[#This Row],['# Hygiene Promoters ]])</f>
        <v>0</v>
      </c>
      <c r="BV9" s="209">
        <f>IF(WWWW[[#This Row],[% of HH with access to Sanitary Pad]]&gt;=100%,1,0)</f>
        <v>1</v>
      </c>
      <c r="BW9" s="209">
        <f>IF(WWWW[[#This Row],[Total PoP ]]=0,0,IF(WWWW[[#This Row],['# Hygiene Promoters ]]=0,0,IF(WWWW[[#This Row],[Location Type 1]]="Village",IF(WWWW[[#This Row],[Total PoP ]]/WWWW[[#This Row],['# Hygiene Promoters ]]&lt;1000,1,0),IF(WWWW[[#This Row],[Total PoP ]]/WWWW[[#This Row],['# Hygiene Promoters ]]&lt;600,1,0))))</f>
        <v>0</v>
      </c>
      <c r="BX9" s="209">
        <f>IF(WWWW[[#This Row],[%HH with access to soap]]&gt;=100%,1,0)</f>
        <v>1</v>
      </c>
      <c r="BY9" s="209">
        <f>IF(WWWW[[#This Row],[% of HHs with access to Sanitary pad more than '#%]]+WWWW[[#This Row],[Ratio of Hyiene promoters to people less than '#]]+WWWW[[#This Row],[% of HHs with access to soap more than '#%]]&gt;=2,WWWW[[#This Row],[Total PoP ]],0)</f>
        <v>52</v>
      </c>
      <c r="BZ9" s="208">
        <f>WWWW[[#This Row],[People adopt basic personal and community hygiene practices]]/WWWW[[#This Row],[Total PoP ]]</f>
        <v>1</v>
      </c>
      <c r="CA9" s="212">
        <f>1-WWWW[[#This Row],[Hygiene Coverage%]]</f>
        <v>0</v>
      </c>
      <c r="CB9" s="211">
        <f>WWWW[[#This Row],['# people reached by regular dedicated hygiene promotion_5]]/WWWW[[#This Row],[Total PoP ]]</f>
        <v>0</v>
      </c>
      <c r="CC9" s="211">
        <f>IF(WWWW[[#This Row],['# HH received soaps]]/WWWW[[#This Row],[Total HH]]&gt;1,1,WWWW[[#This Row],['# HH received soaps]]/WWWW[[#This Row],[Total HH]])</f>
        <v>1</v>
      </c>
      <c r="CD9" s="211">
        <f>IF(WWWW[[#This Row],['# HH received Sanitary Pads]]/WWWW[[#This Row],[Total HH]]&gt;1,1,WWWW[[#This Row],['# HH received Sanitary Pads]]/WWWW[[#This Row],[Total HH]])</f>
        <v>1</v>
      </c>
      <c r="CE9" s="210">
        <f>WWWW[[#This Row],['# HH received soaps]]*5</f>
        <v>55</v>
      </c>
      <c r="CF9" s="210">
        <f>WWWW[[#This Row],['# HH received Sanitary Pads]]*5</f>
        <v>55</v>
      </c>
      <c r="CG9" s="210">
        <f>IF(WWWW[[#This Row],['# People with access to soap]]&gt;WWWW[[#This Row],['# People with access to Sanity Pads]],WWWW[[#This Row],['# People with access to soap]],WWWW[[#This Row],['# People with access to Sanity Pads]])</f>
        <v>55</v>
      </c>
      <c r="CH9" s="209">
        <f>WWWW[[#This Row],[Total HH]]*WWWW[[#This Row],[%HHs with access to functional hand washing stations]]</f>
        <v>0</v>
      </c>
      <c r="CI9" s="699" t="str">
        <f>VLOOKUP(WWWW[[#This Row],[Site Name]],SiteDB6[[Site Name]:[CCCM Management]],6,FALSE)</f>
        <v>Yes</v>
      </c>
      <c r="CJ9" s="699" t="str">
        <f>VLOOKUP(WWWW[[#This Row],[Site Name]],SiteDB6[[Site Name]:[CCCM Focal Agency]],7,FALSE)</f>
        <v>KBC</v>
      </c>
      <c r="CK9" s="699" t="str">
        <f>VLOOKUP(WWWW[[#This Row],[Site Name]],SiteDB6[[Site Name]:[Location Type]],8,FALSE)</f>
        <v>Camp</v>
      </c>
      <c r="CL9" s="699" t="str">
        <f>VLOOKUP(WWWW[[#This Row],[Site Name]],SiteDB6[[Site Name]:[Location Type 1]],9,FALSE)</f>
        <v>Camp</v>
      </c>
      <c r="CM9" s="699" t="str">
        <f>VLOOKUP(WWWW[[#This Row],[Site Name]],SiteDB6[[Site Name]:[Type of Accommodation]],10,FALSE)</f>
        <v>Camp</v>
      </c>
      <c r="CN9" s="699" t="str">
        <f>VLOOKUP(WWWW[[#This Row],[Site Name]],SiteDB6[[Site Name]:[Ethnic or GCA/NGCA]],11,FALSE)</f>
        <v>GCA</v>
      </c>
      <c r="CO9" s="699">
        <f>VLOOKUP(WWWW[[#This Row],[Site Name]],SiteDB6[[Site Name]:[Lat]],12,FALSE)</f>
        <v>24.260466999999998</v>
      </c>
      <c r="CP9" s="699">
        <f>VLOOKUP(WWWW[[#This Row],[Site Name]],SiteDB6[[Site Name]:[Long]],13,FALSE)</f>
        <v>97.252650000000003</v>
      </c>
      <c r="CQ9" s="699" t="str">
        <f>VLOOKUP(WWWW[[#This Row],[Site Name]],SiteDB6[[Site Name]:[Pcode]],3,FALSE)</f>
        <v>MMR001CMP194</v>
      </c>
      <c r="CR9" s="660" t="str">
        <f t="shared" si="0"/>
        <v>Covered</v>
      </c>
      <c r="CS9" s="660"/>
      <c r="CT9" s="24"/>
      <c r="CU9" s="24"/>
      <c r="CV9" s="24"/>
    </row>
    <row r="10" spans="1:100" ht="15.75" customHeight="1" x14ac:dyDescent="0.25">
      <c r="A10" s="833" t="s">
        <v>3206</v>
      </c>
      <c r="B10" s="206" t="s">
        <v>460</v>
      </c>
      <c r="C10" s="206" t="s">
        <v>44</v>
      </c>
      <c r="D10" s="206" t="s">
        <v>341</v>
      </c>
      <c r="E10" s="206" t="s">
        <v>1180</v>
      </c>
      <c r="F10" s="206">
        <v>190</v>
      </c>
      <c r="G10" s="209">
        <v>928</v>
      </c>
      <c r="H10" s="206"/>
      <c r="I10" s="206"/>
      <c r="J10" s="207"/>
      <c r="K10" s="206"/>
      <c r="L10" s="206" t="s">
        <v>282</v>
      </c>
      <c r="M10" s="208">
        <v>0</v>
      </c>
      <c r="N10" s="208">
        <v>0</v>
      </c>
      <c r="O10" s="316"/>
      <c r="P10" s="317"/>
      <c r="Q10" s="317"/>
      <c r="R10" s="318"/>
      <c r="S10" s="318"/>
      <c r="T10" s="318"/>
      <c r="U10" s="318"/>
      <c r="V10" s="318"/>
      <c r="W10" s="318"/>
      <c r="X10" s="318"/>
      <c r="Y10" s="318"/>
      <c r="Z10" s="318"/>
      <c r="AA10" s="310">
        <v>0</v>
      </c>
      <c r="AB10" s="310"/>
      <c r="AC10" s="66"/>
      <c r="AD10" s="66"/>
      <c r="AE10" s="310"/>
      <c r="AF10" s="310" t="s">
        <v>286</v>
      </c>
      <c r="AG10" s="311" t="s">
        <v>286</v>
      </c>
      <c r="AH10" s="311"/>
      <c r="AI10" s="310"/>
      <c r="AJ10" s="310"/>
      <c r="AK10" s="841"/>
      <c r="AL10" s="842"/>
      <c r="AM10" s="842"/>
      <c r="AN10" s="863"/>
      <c r="AO10" s="863"/>
      <c r="AP10" s="838"/>
      <c r="AQ10" s="843"/>
      <c r="AR10" s="843"/>
      <c r="AS10" s="843"/>
      <c r="AT10" s="843"/>
      <c r="AU10" s="843"/>
      <c r="AV10" s="844"/>
      <c r="AW10" s="208" t="str">
        <f>IFERROR(WWWW[[#This Row],['# of Water passed at source]]/WWWW[[#This Row],['# of Water tested at source]],"no test")</f>
        <v>no test</v>
      </c>
      <c r="AX10" s="211" t="str">
        <f>IFERROR(WWWW[[#This Row],['# of Water passed at HH]]/WWWW[[#This Row],['# of Water tested at HH]],"no test")</f>
        <v>no test</v>
      </c>
      <c r="AY10" s="210" t="str">
        <f>IF(AND(WWWW[[#This Row],[%of Water samples which passed at water source]]="no test",WWWW[[#This Row],[%Water samples which passed at HH]]="no test"),"No Test","Tested")</f>
        <v>No Test</v>
      </c>
      <c r="AZ1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0" s="211">
        <f>IF(WWWW[[#This Row],[Location Type 1]]="Village",WWWW[[#This Row],[Access to safe drinking water for Village]],WWWW[[#This Row],[Access to safe drinking water for Camp]])</f>
        <v>0</v>
      </c>
      <c r="BC10" s="209">
        <f>WWWW[[#This Row],[%Equitable and continuous access to sufficient quantity of safe drinking water]]*WWWW[[#This Row],[Total PoP ]]</f>
        <v>0</v>
      </c>
      <c r="BD10" s="211">
        <f>IF((WWWW[[#This Row],['# Existing protected/fenced ponds ]]*250)/WWWW[[#This Row],[Total PoP ]]&gt;1,1,WWWW[[#This Row],['# Existing protected/fenced ponds ]]*250/WWWW[[#This Row],[Total PoP ]])</f>
        <v>0</v>
      </c>
      <c r="BE10" s="209">
        <f>WWWW[[#This Row],[Access to unimproved water points]]*WWWW[[#This Row],[Total PoP ]]</f>
        <v>0</v>
      </c>
      <c r="BF1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0" s="209">
        <f>ROUND(WWWW[[#This Row],['#people Equitable and continuous access to sufficient quantity of domestic water borehole n ponds_2]]/500,0)</f>
        <v>0</v>
      </c>
      <c r="BI10" s="208">
        <f>1-WWWW[[#This Row],[%Equitable and continuous access to sufficient quantity of domestic water borehole n ponds]]</f>
        <v>1</v>
      </c>
      <c r="BJ10" s="209">
        <f>WWWW[[#This Row],[%equitable and continuous access to sufficient quantity of safe drinking and domestic water''s GAP]]*WWWW[[#This Row],[Total PoP ]]</f>
        <v>928</v>
      </c>
      <c r="BK10" s="210">
        <f>IF(WWWW[[#This Row],[Total required water points]]-WWWW[[#This Row],['#Water points coverage]]&lt;0,0,WWWW[[#This Row],[Total required water points]]-WWWW[[#This Row],['#Water points coverage]])</f>
        <v>2</v>
      </c>
      <c r="BL10" s="210">
        <f>ROUND(IF(WWWW[[#This Row],[Total PoP ]]&lt;500,1,WWWW[[#This Row],[Total PoP ]]/500),0)</f>
        <v>2</v>
      </c>
      <c r="BM10" s="210">
        <f>WWWW[[#This Row],['# Existing functional latrines]]+WWWW[[#This Row],['# Existing latrines dysfunctional]]</f>
        <v>0</v>
      </c>
      <c r="BN1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0" s="352">
        <f>WWWW[[#This Row],[% people access to functioning Latrine]]*WWWW[[#This Row],[Total PoP ]]</f>
        <v>0</v>
      </c>
      <c r="BP1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0.99137931034482762</v>
      </c>
      <c r="BQ10" s="209">
        <f>IF(WWWW[[#This Row],[Total required Latrines]]-WWWW[[#This Row],[Total '# of latrine]]&lt;0,0,WWWW[[#This Row],[Total required Latrines]]-WWWW[[#This Row],[Total '# of latrine]])</f>
        <v>46</v>
      </c>
      <c r="BR10" s="210">
        <f>ROUND(IF(WWWW[[#This Row],[Location Type 1]]="camp",WWWW[[#This Row],[Total PoP ]]/20,WWWW[[#This Row],[Total PoP ]]/6),0)</f>
        <v>46</v>
      </c>
      <c r="BS10" s="212">
        <f>IF(OR(WWWW[[#This Row],['# Existing latrines dysfunctional]]="",WWWW[[#This Row],['# Existing latrines dysfunctional]]=0),0,WWWW[[#This Row],['# Existing latrines dysfunctional]]/WWWW[[#This Row],[Total '# of latrine]])</f>
        <v>0</v>
      </c>
      <c r="BT1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 s="209">
        <f>IF(500*WWWW[[#This Row],['# Hygiene Promoters ]]&gt;WWWW[[#This Row],[Total PoP ]],WWWW[[#This Row],[Total PoP ]],500*WWWW[[#This Row],['# Hygiene Promoters ]])</f>
        <v>0</v>
      </c>
      <c r="BV10" s="209">
        <f>IF(WWWW[[#This Row],[% of HH with access to Sanitary Pad]]&gt;=100%,1,0)</f>
        <v>0</v>
      </c>
      <c r="BW10" s="209">
        <f>IF(WWWW[[#This Row],[Total PoP ]]=0,0,IF(WWWW[[#This Row],['# Hygiene Promoters ]]=0,0,IF(WWWW[[#This Row],[Location Type 1]]="Village",IF(WWWW[[#This Row],[Total PoP ]]/WWWW[[#This Row],['# Hygiene Promoters ]]&lt;1000,1,0),IF(WWWW[[#This Row],[Total PoP ]]/WWWW[[#This Row],['# Hygiene Promoters ]]&lt;600,1,0))))</f>
        <v>0</v>
      </c>
      <c r="BX10" s="209">
        <f>IF(WWWW[[#This Row],[%HH with access to soap]]&gt;=100%,1,0)</f>
        <v>0</v>
      </c>
      <c r="BY10" s="209">
        <f>IF(WWWW[[#This Row],[% of HHs with access to Sanitary pad more than '#%]]+WWWW[[#This Row],[Ratio of Hyiene promoters to people less than '#]]+WWWW[[#This Row],[% of HHs with access to soap more than '#%]]&gt;=2,WWWW[[#This Row],[Total PoP ]],0)</f>
        <v>0</v>
      </c>
      <c r="BZ10" s="208">
        <f>WWWW[[#This Row],[People adopt basic personal and community hygiene practices]]/WWWW[[#This Row],[Total PoP ]]</f>
        <v>0</v>
      </c>
      <c r="CA10" s="212">
        <f>1-WWWW[[#This Row],[Hygiene Coverage%]]</f>
        <v>1</v>
      </c>
      <c r="CB10" s="211">
        <f>WWWW[[#This Row],['# people reached by regular dedicated hygiene promotion_5]]/WWWW[[#This Row],[Total PoP ]]</f>
        <v>0</v>
      </c>
      <c r="CC10" s="211">
        <f>IF(WWWW[[#This Row],['# HH received soaps]]/WWWW[[#This Row],[Total HH]]&gt;1,1,WWWW[[#This Row],['# HH received soaps]]/WWWW[[#This Row],[Total HH]])</f>
        <v>0</v>
      </c>
      <c r="CD10" s="211">
        <f>IF(WWWW[[#This Row],['# HH received Sanitary Pads]]/WWWW[[#This Row],[Total HH]]&gt;1,1,WWWW[[#This Row],['# HH received Sanitary Pads]]/WWWW[[#This Row],[Total HH]])</f>
        <v>0</v>
      </c>
      <c r="CE10" s="210">
        <f>WWWW[[#This Row],['# HH received soaps]]*5</f>
        <v>0</v>
      </c>
      <c r="CF10" s="210">
        <f>WWWW[[#This Row],['# HH received Sanitary Pads]]*5</f>
        <v>0</v>
      </c>
      <c r="CG10" s="210">
        <f>IF(WWWW[[#This Row],['# People with access to soap]]&gt;WWWW[[#This Row],['# People with access to Sanity Pads]],WWWW[[#This Row],['# People with access to soap]],WWWW[[#This Row],['# People with access to Sanity Pads]])</f>
        <v>0</v>
      </c>
      <c r="CH10" s="209">
        <f>WWWW[[#This Row],[Total HH]]*WWWW[[#This Row],[%HHs with access to functional hand washing stations]]</f>
        <v>0</v>
      </c>
      <c r="CI10" s="699">
        <f>VLOOKUP(WWWW[[#This Row],[Site Name]],SiteDB6[[Site Name]:[CCCM Management]],6,FALSE)</f>
        <v>0</v>
      </c>
      <c r="CJ10" s="699" t="str">
        <f>VLOOKUP(WWWW[[#This Row],[Site Name]],SiteDB6[[Site Name]:[CCCM Focal Agency]],7,FALSE)</f>
        <v>uncovered</v>
      </c>
      <c r="CK10" s="699" t="str">
        <f>VLOOKUP(WWWW[[#This Row],[Site Name]],SiteDB6[[Site Name]:[Location Type]],8,FALSE)</f>
        <v>Camp</v>
      </c>
      <c r="CL10" s="699" t="str">
        <f>VLOOKUP(WWWW[[#This Row],[Site Name]],SiteDB6[[Site Name]:[Location Type 1]],9,FALSE)</f>
        <v>Camp</v>
      </c>
      <c r="CM10" s="699" t="str">
        <f>VLOOKUP(WWWW[[#This Row],[Site Name]],SiteDB6[[Site Name]:[Type of Accommodation]],10,FALSE)</f>
        <v>Host Families</v>
      </c>
      <c r="CN10" s="699" t="str">
        <f>VLOOKUP(WWWW[[#This Row],[Site Name]],SiteDB6[[Site Name]:[Ethnic or GCA/NGCA]],11,FALSE)</f>
        <v>GCA</v>
      </c>
      <c r="CO10" s="699">
        <f>VLOOKUP(WWWW[[#This Row],[Site Name]],SiteDB6[[Site Name]:[Lat]],12,FALSE)</f>
        <v>24.263786</v>
      </c>
      <c r="CP10" s="699">
        <f>VLOOKUP(WWWW[[#This Row],[Site Name]],SiteDB6[[Site Name]:[Long]],13,FALSE)</f>
        <v>97.228835000000004</v>
      </c>
      <c r="CQ10" s="699" t="str">
        <f>VLOOKUP(WWWW[[#This Row],[Site Name]],SiteDB6[[Site Name]:[Pcode]],3,FALSE)</f>
        <v>MMR001CMP163</v>
      </c>
      <c r="CR10" s="660" t="str">
        <f t="shared" si="0"/>
        <v>Notcovered</v>
      </c>
      <c r="CS10" s="660"/>
      <c r="CT10" s="24"/>
      <c r="CU10" s="24"/>
      <c r="CV10" s="24"/>
    </row>
    <row r="11" spans="1:100" ht="15.75" customHeight="1" x14ac:dyDescent="0.25">
      <c r="A11" s="833" t="s">
        <v>3206</v>
      </c>
      <c r="B11" s="206" t="s">
        <v>338</v>
      </c>
      <c r="C11" s="206" t="s">
        <v>44</v>
      </c>
      <c r="D11" s="206" t="s">
        <v>341</v>
      </c>
      <c r="E11" s="206" t="s">
        <v>344</v>
      </c>
      <c r="F11" s="206">
        <v>39</v>
      </c>
      <c r="G11" s="209">
        <v>232</v>
      </c>
      <c r="H11" s="206"/>
      <c r="I11" s="206" t="s">
        <v>345</v>
      </c>
      <c r="J11" s="207" t="s">
        <v>2474</v>
      </c>
      <c r="K11" s="206">
        <v>0</v>
      </c>
      <c r="L11" s="206" t="s">
        <v>48</v>
      </c>
      <c r="M11" s="208">
        <v>0.4</v>
      </c>
      <c r="N11" s="208">
        <v>0.2</v>
      </c>
      <c r="O11" s="316">
        <v>0</v>
      </c>
      <c r="P11" s="317">
        <v>2</v>
      </c>
      <c r="Q11" s="317">
        <v>0</v>
      </c>
      <c r="R11" s="318">
        <v>0</v>
      </c>
      <c r="S11" s="318">
        <v>0</v>
      </c>
      <c r="T11" s="318"/>
      <c r="U11" s="318"/>
      <c r="V11" s="318"/>
      <c r="W11" s="318"/>
      <c r="X11" s="318"/>
      <c r="Y11" s="318"/>
      <c r="Z11" s="318"/>
      <c r="AA11" s="310">
        <v>7</v>
      </c>
      <c r="AB11" s="310">
        <v>0</v>
      </c>
      <c r="AC11" s="66"/>
      <c r="AD11" s="66"/>
      <c r="AE11" s="310">
        <v>0</v>
      </c>
      <c r="AF11" s="310" t="s">
        <v>283</v>
      </c>
      <c r="AG11" s="311" t="s">
        <v>1358</v>
      </c>
      <c r="AH11" s="311"/>
      <c r="AI11" s="310"/>
      <c r="AJ11" s="310"/>
      <c r="AK11" s="841">
        <v>1</v>
      </c>
      <c r="AL11" s="842" t="s">
        <v>291</v>
      </c>
      <c r="AM11" s="842">
        <v>0</v>
      </c>
      <c r="AN11" s="863">
        <v>2</v>
      </c>
      <c r="AO11" s="863">
        <v>2</v>
      </c>
      <c r="AP11" s="838">
        <v>39</v>
      </c>
      <c r="AQ11" s="843">
        <v>39</v>
      </c>
      <c r="AR11" s="843"/>
      <c r="AS11" s="843"/>
      <c r="AT11" s="843"/>
      <c r="AU11" s="843"/>
      <c r="AV11" s="844"/>
      <c r="AW11" s="208" t="str">
        <f>IFERROR(WWWW[[#This Row],['# of Water passed at source]]/WWWW[[#This Row],['# of Water tested at source]],"no test")</f>
        <v>no test</v>
      </c>
      <c r="AX11" s="211" t="str">
        <f>IFERROR(WWWW[[#This Row],['# of Water passed at HH]]/WWWW[[#This Row],['# of Water tested at HH]],"no test")</f>
        <v>no test</v>
      </c>
      <c r="AY11" s="210" t="str">
        <f>IF(AND(WWWW[[#This Row],[%of Water samples which passed at water source]]="no test",WWWW[[#This Row],[%Water samples which passed at HH]]="no test"),"No Test","Tested")</f>
        <v>No Test</v>
      </c>
      <c r="AZ1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1" s="211">
        <f>IF(WWWW[[#This Row],[Location Type 1]]="Village",WWWW[[#This Row],[Access to safe drinking water for Village]],WWWW[[#This Row],[Access to safe drinking water for Camp]])</f>
        <v>1</v>
      </c>
      <c r="BC11" s="209">
        <f>WWWW[[#This Row],[%Equitable and continuous access to sufficient quantity of safe drinking water]]*WWWW[[#This Row],[Total PoP ]]</f>
        <v>232</v>
      </c>
      <c r="BD11" s="211">
        <f>IF((WWWW[[#This Row],['# Existing protected/fenced ponds ]]*250)/WWWW[[#This Row],[Total PoP ]]&gt;1,1,WWWW[[#This Row],['# Existing protected/fenced ponds ]]*250/WWWW[[#This Row],[Total PoP ]])</f>
        <v>0</v>
      </c>
      <c r="BE11" s="209">
        <f>WWWW[[#This Row],[Access to unimproved water points]]*WWWW[[#This Row],[Total PoP ]]</f>
        <v>0</v>
      </c>
      <c r="BF1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232</v>
      </c>
      <c r="BH11" s="209">
        <f>WWWW[[#This Row],['#people Equitable and continuous access to sufficient quantity of domestic water borehole n ponds_2]]/500</f>
        <v>0.46400000000000002</v>
      </c>
      <c r="BI11" s="208">
        <f>1-WWWW[[#This Row],[%Equitable and continuous access to sufficient quantity of domestic water borehole n ponds]]</f>
        <v>0</v>
      </c>
      <c r="BJ11" s="209">
        <f>WWWW[[#This Row],[%equitable and continuous access to sufficient quantity of safe drinking and domestic water''s GAP]]*WWWW[[#This Row],[Total PoP ]]</f>
        <v>0</v>
      </c>
      <c r="BK11" s="210">
        <f>IF(WWWW[[#This Row],[Total required water points]]-WWWW[[#This Row],['#Water points coverage]]&lt;0,0,WWWW[[#This Row],[Total required water points]]-WWWW[[#This Row],['#Water points coverage]])</f>
        <v>0.53600000000000003</v>
      </c>
      <c r="BL11" s="210">
        <f>ROUND(IF(WWWW[[#This Row],[Total PoP ]]&lt;500,1,WWWW[[#This Row],[Total PoP ]]/500),0)</f>
        <v>1</v>
      </c>
      <c r="BM11" s="210">
        <f>WWWW[[#This Row],['# Existing functional latrines]]+WWWW[[#This Row],['# Existing latrines dysfunctional]]</f>
        <v>7</v>
      </c>
      <c r="BN1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0.60344827586206895</v>
      </c>
      <c r="BO11" s="352">
        <f>WWWW[[#This Row],[% people access to functioning Latrine]]*WWWW[[#This Row],[Total PoP ]]</f>
        <v>140</v>
      </c>
      <c r="BP1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0.43103448275862072</v>
      </c>
      <c r="BQ11" s="209">
        <f>IF(WWWW[[#This Row],[Total required Latrines]]-WWWW[[#This Row],[Total '# of latrine]]&lt;0,0,WWWW[[#This Row],[Total required Latrines]]-WWWW[[#This Row],[Total '# of latrine]])</f>
        <v>5</v>
      </c>
      <c r="BR11" s="210">
        <f>ROUND(IF(WWWW[[#This Row],[Location Type 1]]="camp",WWWW[[#This Row],[Total PoP ]]/20,WWWW[[#This Row],[Total PoP ]]/6),0)</f>
        <v>12</v>
      </c>
      <c r="BS11" s="212">
        <f>IF(OR(WWWW[[#This Row],['# Existing latrines dysfunctional]]="",WWWW[[#This Row],['# Existing latrines dysfunctional]]=0),0,WWWW[[#This Row],['# Existing latrines dysfunctional]]/WWWW[[#This Row],[Total '# of latrine]])</f>
        <v>0</v>
      </c>
      <c r="BT1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1" s="209">
        <f>IF(500*WWWW[[#This Row],['# Hygiene Promoters ]]&gt;WWWW[[#This Row],[Total PoP ]],WWWW[[#This Row],[Total PoP ]],500*WWWW[[#This Row],['# Hygiene Promoters ]])</f>
        <v>232</v>
      </c>
      <c r="BV11" s="209">
        <f>IF(WWWW[[#This Row],[% of HH with access to Sanitary Pad]]&gt;=100%,1,0)</f>
        <v>1</v>
      </c>
      <c r="BW11" s="209">
        <f>IF(WWWW[[#This Row],[Total PoP ]]=0,0,IF(WWWW[[#This Row],['# Hygiene Promoters ]]=0,0,IF(WWWW[[#This Row],[Location Type 1]]="Village",IF(WWWW[[#This Row],[Total PoP ]]/WWWW[[#This Row],['# Hygiene Promoters ]]&lt;1000,1,0),IF(WWWW[[#This Row],[Total PoP ]]/WWWW[[#This Row],['# Hygiene Promoters ]]&lt;600,1,0))))</f>
        <v>1</v>
      </c>
      <c r="BX11" s="209">
        <f>IF(WWWW[[#This Row],[%HH with access to soap]]&gt;=100%,1,0)</f>
        <v>1</v>
      </c>
      <c r="BY11" s="209">
        <f>IF(WWWW[[#This Row],[% of HHs with access to Sanitary pad more than '#%]]+WWWW[[#This Row],[Ratio of Hyiene promoters to people less than '#]]+WWWW[[#This Row],[% of HHs with access to soap more than '#%]]&gt;=2,WWWW[[#This Row],[Total PoP ]],0)</f>
        <v>232</v>
      </c>
      <c r="BZ11" s="208">
        <f>WWWW[[#This Row],[People adopt basic personal and community hygiene practices]]/WWWW[[#This Row],[Total PoP ]]</f>
        <v>1</v>
      </c>
      <c r="CA11" s="212">
        <f>1-WWWW[[#This Row],[Hygiene Coverage%]]</f>
        <v>0</v>
      </c>
      <c r="CB11" s="211">
        <f>WWWW[[#This Row],['# people reached by regular dedicated hygiene promotion_5]]/WWWW[[#This Row],[Total PoP ]]</f>
        <v>1</v>
      </c>
      <c r="CC11" s="211">
        <f>IF(WWWW[[#This Row],['# HH received soaps]]/WWWW[[#This Row],[Total HH]]&gt;1,1,WWWW[[#This Row],['# HH received soaps]]/WWWW[[#This Row],[Total HH]])</f>
        <v>1</v>
      </c>
      <c r="CD11" s="211">
        <f>IF(WWWW[[#This Row],['# HH received Sanitary Pads]]/WWWW[[#This Row],[Total HH]]&gt;1,1,WWWW[[#This Row],['# HH received Sanitary Pads]]/WWWW[[#This Row],[Total HH]])</f>
        <v>1</v>
      </c>
      <c r="CE11" s="210">
        <f>WWWW[[#This Row],['# HH received soaps]]*5</f>
        <v>195</v>
      </c>
      <c r="CF11" s="210">
        <f>WWWW[[#This Row],['# HH received Sanitary Pads]]*5</f>
        <v>195</v>
      </c>
      <c r="CG11" s="210">
        <f>IF(WWWW[[#This Row],['# People with access to soap]]&gt;WWWW[[#This Row],['# People with access to Sanity Pads]],WWWW[[#This Row],['# People with access to soap]],WWWW[[#This Row],['# People with access to Sanity Pads]])</f>
        <v>195</v>
      </c>
      <c r="CH11" s="209">
        <f>WWWW[[#This Row],[Total HH]]*WWWW[[#This Row],[%HHs with access to functional hand washing stations]]</f>
        <v>39</v>
      </c>
      <c r="CI11" s="699" t="str">
        <f>VLOOKUP(WWWW[[#This Row],[Site Name]],SiteDB6[[Site Name]:[CCCM Management]],6,FALSE)</f>
        <v>Yes</v>
      </c>
      <c r="CJ11" s="699" t="str">
        <f>VLOOKUP(WWWW[[#This Row],[Site Name]],SiteDB6[[Site Name]:[CCCM Focal Agency]],7,FALSE)</f>
        <v>KBC</v>
      </c>
      <c r="CK11" s="699" t="str">
        <f>VLOOKUP(WWWW[[#This Row],[Site Name]],SiteDB6[[Site Name]:[Location Type]],8,FALSE)</f>
        <v>Camp</v>
      </c>
      <c r="CL11" s="699" t="str">
        <f>VLOOKUP(WWWW[[#This Row],[Site Name]],SiteDB6[[Site Name]:[Location Type 1]],9,FALSE)</f>
        <v>Camp</v>
      </c>
      <c r="CM11" s="699" t="str">
        <f>VLOOKUP(WWWW[[#This Row],[Site Name]],SiteDB6[[Site Name]:[Type of Accommodation]],10,FALSE)</f>
        <v>Camp</v>
      </c>
      <c r="CN11" s="699" t="str">
        <f>VLOOKUP(WWWW[[#This Row],[Site Name]],SiteDB6[[Site Name]:[Ethnic or GCA/NGCA]],11,FALSE)</f>
        <v>GCA</v>
      </c>
      <c r="CO11" s="699">
        <f>VLOOKUP(WWWW[[#This Row],[Site Name]],SiteDB6[[Site Name]:[Lat]],12,FALSE)</f>
        <v>24.24766</v>
      </c>
      <c r="CP11" s="699">
        <f>VLOOKUP(WWWW[[#This Row],[Site Name]],SiteDB6[[Site Name]:[Long]],13,FALSE)</f>
        <v>97.236919999999998</v>
      </c>
      <c r="CQ11" s="699" t="str">
        <f>VLOOKUP(WWWW[[#This Row],[Site Name]],SiteDB6[[Site Name]:[Pcode]],3,FALSE)</f>
        <v>MMR001CMP052</v>
      </c>
      <c r="CR11" s="660" t="str">
        <f t="shared" si="0"/>
        <v>Covered</v>
      </c>
      <c r="CS11" s="660"/>
      <c r="CT11" s="24"/>
      <c r="CU11" s="24"/>
      <c r="CV11" s="24"/>
    </row>
    <row r="12" spans="1:100" ht="15.75" customHeight="1" x14ac:dyDescent="0.25">
      <c r="A12" s="833" t="s">
        <v>3206</v>
      </c>
      <c r="B12" s="206" t="s">
        <v>338</v>
      </c>
      <c r="C12" s="206" t="s">
        <v>44</v>
      </c>
      <c r="D12" s="206" t="s">
        <v>341</v>
      </c>
      <c r="E12" s="206" t="s">
        <v>346</v>
      </c>
      <c r="F12" s="206">
        <v>131</v>
      </c>
      <c r="G12" s="209">
        <v>757</v>
      </c>
      <c r="H12" s="206"/>
      <c r="I12" s="206" t="s">
        <v>340</v>
      </c>
      <c r="J12" s="207" t="s">
        <v>2474</v>
      </c>
      <c r="K12" s="206">
        <v>0</v>
      </c>
      <c r="L12" s="206" t="s">
        <v>48</v>
      </c>
      <c r="M12" s="208">
        <v>0.9</v>
      </c>
      <c r="N12" s="208">
        <v>0.9</v>
      </c>
      <c r="O12" s="316">
        <v>3</v>
      </c>
      <c r="P12" s="317">
        <v>1</v>
      </c>
      <c r="Q12" s="317">
        <v>0</v>
      </c>
      <c r="R12" s="318">
        <v>0</v>
      </c>
      <c r="S12" s="318">
        <v>0</v>
      </c>
      <c r="T12" s="318"/>
      <c r="U12" s="318"/>
      <c r="V12" s="318"/>
      <c r="W12" s="318"/>
      <c r="X12" s="318"/>
      <c r="Y12" s="318"/>
      <c r="Z12" s="318"/>
      <c r="AA12" s="310">
        <v>23</v>
      </c>
      <c r="AB12" s="310">
        <v>0</v>
      </c>
      <c r="AC12" s="66">
        <v>4</v>
      </c>
      <c r="AD12" s="66"/>
      <c r="AE12" s="310">
        <v>0</v>
      </c>
      <c r="AF12" s="310" t="s">
        <v>283</v>
      </c>
      <c r="AG12" s="311" t="s">
        <v>1358</v>
      </c>
      <c r="AH12" s="311"/>
      <c r="AI12" s="310"/>
      <c r="AJ12" s="310"/>
      <c r="AK12" s="841">
        <v>1</v>
      </c>
      <c r="AL12" s="842" t="s">
        <v>291</v>
      </c>
      <c r="AM12" s="842">
        <v>0</v>
      </c>
      <c r="AN12" s="863">
        <v>5</v>
      </c>
      <c r="AO12" s="863">
        <v>2</v>
      </c>
      <c r="AP12" s="838">
        <v>131</v>
      </c>
      <c r="AQ12" s="843">
        <v>131</v>
      </c>
      <c r="AR12" s="843"/>
      <c r="AS12" s="843"/>
      <c r="AT12" s="843"/>
      <c r="AU12" s="843"/>
      <c r="AV12" s="844"/>
      <c r="AW12" s="208" t="str">
        <f>IFERROR(WWWW[[#This Row],['# of Water passed at source]]/WWWW[[#This Row],['# of Water tested at source]],"no test")</f>
        <v>no test</v>
      </c>
      <c r="AX12" s="211" t="str">
        <f>IFERROR(WWWW[[#This Row],['# of Water passed at HH]]/WWWW[[#This Row],['# of Water tested at HH]],"no test")</f>
        <v>no test</v>
      </c>
      <c r="AY12" s="210" t="str">
        <f>IF(AND(WWWW[[#This Row],[%of Water samples which passed at water source]]="no test",WWWW[[#This Row],[%Water samples which passed at HH]]="no test"),"No Test","Tested")</f>
        <v>No Test</v>
      </c>
      <c r="AZ1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2" s="211">
        <f>IF(WWWW[[#This Row],[Location Type 1]]="Village",WWWW[[#This Row],[Access to safe drinking water for Village]],WWWW[[#This Row],[Access to safe drinking water for Camp]])</f>
        <v>1</v>
      </c>
      <c r="BC12" s="209">
        <f>WWWW[[#This Row],[%Equitable and continuous access to sufficient quantity of safe drinking water]]*WWWW[[#This Row],[Total PoP ]]</f>
        <v>757</v>
      </c>
      <c r="BD12" s="211">
        <f>IF((WWWW[[#This Row],['# Existing protected/fenced ponds ]]*250)/WWWW[[#This Row],[Total PoP ]]&gt;1,1,WWWW[[#This Row],['# Existing protected/fenced ponds ]]*250/WWWW[[#This Row],[Total PoP ]])</f>
        <v>0</v>
      </c>
      <c r="BE12" s="209">
        <f>WWWW[[#This Row],[Access to unimproved water points]]*WWWW[[#This Row],[Total PoP ]]</f>
        <v>0</v>
      </c>
      <c r="BF1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757</v>
      </c>
      <c r="BH12" s="209">
        <f>WWWW[[#This Row],['#people Equitable and continuous access to sufficient quantity of domestic water borehole n ponds_2]]/500</f>
        <v>1.514</v>
      </c>
      <c r="BI12" s="208">
        <f>1-WWWW[[#This Row],[%Equitable and continuous access to sufficient quantity of domestic water borehole n ponds]]</f>
        <v>0</v>
      </c>
      <c r="BJ12" s="209">
        <f>WWWW[[#This Row],[%equitable and continuous access to sufficient quantity of safe drinking and domestic water''s GAP]]*WWWW[[#This Row],[Total PoP ]]</f>
        <v>0</v>
      </c>
      <c r="BK12" s="210">
        <f>IF(WWWW[[#This Row],[Total required water points]]-WWWW[[#This Row],['#Water points coverage]]&lt;0,0,WWWW[[#This Row],[Total required water points]]-WWWW[[#This Row],['#Water points coverage]])</f>
        <v>0.48599999999999999</v>
      </c>
      <c r="BL12" s="210">
        <f>ROUND(IF(WWWW[[#This Row],[Total PoP ]]&lt;500,1,WWWW[[#This Row],[Total PoP ]]/500),0)</f>
        <v>2</v>
      </c>
      <c r="BM12" s="210">
        <f>WWWW[[#This Row],['# Existing functional latrines]]+WWWW[[#This Row],['# Existing latrines dysfunctional]]</f>
        <v>23</v>
      </c>
      <c r="BN1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0.607661822985469</v>
      </c>
      <c r="BO12" s="352">
        <f>WWWW[[#This Row],[% people access to functioning Latrine]]*WWWW[[#This Row],[Total PoP ]]</f>
        <v>460.00000000000006</v>
      </c>
      <c r="BP1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0.39630118890356669</v>
      </c>
      <c r="BQ12" s="209">
        <f>IF(WWWW[[#This Row],[Total required Latrines]]-WWWW[[#This Row],[Total '# of latrine]]&lt;0,0,WWWW[[#This Row],[Total required Latrines]]-WWWW[[#This Row],[Total '# of latrine]])</f>
        <v>15</v>
      </c>
      <c r="BR12" s="210">
        <f>ROUND(IF(WWWW[[#This Row],[Location Type 1]]="camp",WWWW[[#This Row],[Total PoP ]]/20,WWWW[[#This Row],[Total PoP ]]/6),0)</f>
        <v>38</v>
      </c>
      <c r="BS12" s="212">
        <f>IF(OR(WWWW[[#This Row],['# Existing latrines dysfunctional]]="",WWWW[[#This Row],['# Existing latrines dysfunctional]]=0),0,WWWW[[#This Row],['# Existing latrines dysfunctional]]/WWWW[[#This Row],[Total '# of latrine]])</f>
        <v>0</v>
      </c>
      <c r="BT1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U12" s="209">
        <f>IF(500*WWWW[[#This Row],['# Hygiene Promoters ]]&gt;WWWW[[#This Row],[Total PoP ]],WWWW[[#This Row],[Total PoP ]],500*WWWW[[#This Row],['# Hygiene Promoters ]])</f>
        <v>757</v>
      </c>
      <c r="BV12" s="209">
        <f>IF(WWWW[[#This Row],[% of HH with access to Sanitary Pad]]&gt;=100%,1,0)</f>
        <v>1</v>
      </c>
      <c r="BW12" s="209">
        <f>IF(WWWW[[#This Row],[Total PoP ]]=0,0,IF(WWWW[[#This Row],['# Hygiene Promoters ]]=0,0,IF(WWWW[[#This Row],[Location Type 1]]="Village",IF(WWWW[[#This Row],[Total PoP ]]/WWWW[[#This Row],['# Hygiene Promoters ]]&lt;1000,1,0),IF(WWWW[[#This Row],[Total PoP ]]/WWWW[[#This Row],['# Hygiene Promoters ]]&lt;600,1,0))))</f>
        <v>1</v>
      </c>
      <c r="BX12" s="209">
        <f>IF(WWWW[[#This Row],[%HH with access to soap]]&gt;=100%,1,0)</f>
        <v>1</v>
      </c>
      <c r="BY12" s="209">
        <f>IF(WWWW[[#This Row],[% of HHs with access to Sanitary pad more than '#%]]+WWWW[[#This Row],[Ratio of Hyiene promoters to people less than '#]]+WWWW[[#This Row],[% of HHs with access to soap more than '#%]]&gt;=2,WWWW[[#This Row],[Total PoP ]],0)</f>
        <v>757</v>
      </c>
      <c r="BZ12" s="208">
        <f>WWWW[[#This Row],[People adopt basic personal and community hygiene practices]]/WWWW[[#This Row],[Total PoP ]]</f>
        <v>1</v>
      </c>
      <c r="CA12" s="212">
        <f>1-WWWW[[#This Row],[Hygiene Coverage%]]</f>
        <v>0</v>
      </c>
      <c r="CB12" s="211">
        <f>WWWW[[#This Row],['# people reached by regular dedicated hygiene promotion_5]]/WWWW[[#This Row],[Total PoP ]]</f>
        <v>1</v>
      </c>
      <c r="CC12" s="211">
        <f>IF(WWWW[[#This Row],['# HH received soaps]]/WWWW[[#This Row],[Total HH]]&gt;1,1,WWWW[[#This Row],['# HH received soaps]]/WWWW[[#This Row],[Total HH]])</f>
        <v>1</v>
      </c>
      <c r="CD12" s="211">
        <f>IF(WWWW[[#This Row],['# HH received Sanitary Pads]]/WWWW[[#This Row],[Total HH]]&gt;1,1,WWWW[[#This Row],['# HH received Sanitary Pads]]/WWWW[[#This Row],[Total HH]])</f>
        <v>1</v>
      </c>
      <c r="CE12" s="210">
        <f>WWWW[[#This Row],['# HH received soaps]]*5</f>
        <v>655</v>
      </c>
      <c r="CF12" s="210">
        <f>WWWW[[#This Row],['# HH received Sanitary Pads]]*5</f>
        <v>655</v>
      </c>
      <c r="CG12" s="210">
        <f>IF(WWWW[[#This Row],['# People with access to soap]]&gt;WWWW[[#This Row],['# People with access to Sanity Pads]],WWWW[[#This Row],['# People with access to soap]],WWWW[[#This Row],['# People with access to Sanity Pads]])</f>
        <v>655</v>
      </c>
      <c r="CH12" s="209">
        <f>WWWW[[#This Row],[Total HH]]*WWWW[[#This Row],[%HHs with access to functional hand washing stations]]</f>
        <v>131</v>
      </c>
      <c r="CI12" s="699" t="str">
        <f>VLOOKUP(WWWW[[#This Row],[Site Name]],SiteDB6[[Site Name]:[CCCM Management]],6,FALSE)</f>
        <v>Yes</v>
      </c>
      <c r="CJ12" s="699" t="str">
        <f>VLOOKUP(WWWW[[#This Row],[Site Name]],SiteDB6[[Site Name]:[CCCM Focal Agency]],7,FALSE)</f>
        <v>Shalom</v>
      </c>
      <c r="CK12" s="699" t="str">
        <f>VLOOKUP(WWWW[[#This Row],[Site Name]],SiteDB6[[Site Name]:[Location Type]],8,FALSE)</f>
        <v>Camp</v>
      </c>
      <c r="CL12" s="699" t="str">
        <f>VLOOKUP(WWWW[[#This Row],[Site Name]],SiteDB6[[Site Name]:[Location Type 1]],9,FALSE)</f>
        <v>Camp</v>
      </c>
      <c r="CM12" s="699" t="str">
        <f>VLOOKUP(WWWW[[#This Row],[Site Name]],SiteDB6[[Site Name]:[Type of Accommodation]],10,FALSE)</f>
        <v>Camp</v>
      </c>
      <c r="CN12" s="699" t="str">
        <f>VLOOKUP(WWWW[[#This Row],[Site Name]],SiteDB6[[Site Name]:[Ethnic or GCA/NGCA]],11,FALSE)</f>
        <v>GCA</v>
      </c>
      <c r="CO12" s="699">
        <f>VLOOKUP(WWWW[[#This Row],[Site Name]],SiteDB6[[Site Name]:[Lat]],12,FALSE)</f>
        <v>24.2631743589744</v>
      </c>
      <c r="CP12" s="699">
        <f>VLOOKUP(WWWW[[#This Row],[Site Name]],SiteDB6[[Site Name]:[Long]],13,FALSE)</f>
        <v>97.240183461538507</v>
      </c>
      <c r="CQ12" s="699" t="str">
        <f>VLOOKUP(WWWW[[#This Row],[Site Name]],SiteDB6[[Site Name]:[Pcode]],3,FALSE)</f>
        <v>MMR001CMP049</v>
      </c>
      <c r="CR12" s="660" t="str">
        <f t="shared" si="0"/>
        <v>Covered</v>
      </c>
      <c r="CS12" s="660"/>
      <c r="CT12" s="24"/>
      <c r="CU12" s="24"/>
      <c r="CV12" s="24"/>
    </row>
    <row r="13" spans="1:100" ht="15.75" customHeight="1" x14ac:dyDescent="0.25">
      <c r="A13" s="833" t="s">
        <v>3206</v>
      </c>
      <c r="B13" s="206" t="s">
        <v>287</v>
      </c>
      <c r="C13" s="206" t="s">
        <v>44</v>
      </c>
      <c r="D13" s="206" t="s">
        <v>341</v>
      </c>
      <c r="E13" s="206" t="s">
        <v>2798</v>
      </c>
      <c r="F13" s="206">
        <v>37</v>
      </c>
      <c r="G13" s="209">
        <v>161</v>
      </c>
      <c r="H13" s="206"/>
      <c r="I13" s="206" t="s">
        <v>296</v>
      </c>
      <c r="J13" s="207">
        <v>43465</v>
      </c>
      <c r="K13" s="206">
        <v>0</v>
      </c>
      <c r="L13" s="132" t="s">
        <v>48</v>
      </c>
      <c r="M13" s="134">
        <v>0.8</v>
      </c>
      <c r="N13" s="134">
        <v>0.6</v>
      </c>
      <c r="O13" s="316"/>
      <c r="P13" s="317"/>
      <c r="Q13" s="317"/>
      <c r="R13" s="318"/>
      <c r="S13" s="318"/>
      <c r="T13" s="318"/>
      <c r="U13" s="318"/>
      <c r="V13" s="318"/>
      <c r="W13" s="318"/>
      <c r="X13" s="318"/>
      <c r="Y13" s="318"/>
      <c r="Z13" s="318"/>
      <c r="AA13" s="310"/>
      <c r="AB13" s="310"/>
      <c r="AC13" s="66"/>
      <c r="AD13" s="66"/>
      <c r="AE13" s="310"/>
      <c r="AF13" s="310"/>
      <c r="AG13" s="311"/>
      <c r="AH13" s="311"/>
      <c r="AI13" s="310"/>
      <c r="AJ13" s="310"/>
      <c r="AK13" s="841"/>
      <c r="AL13" s="842"/>
      <c r="AM13" s="842"/>
      <c r="AN13" s="863"/>
      <c r="AO13" s="863"/>
      <c r="AP13" s="838"/>
      <c r="AQ13" s="843"/>
      <c r="AR13" s="843"/>
      <c r="AS13" s="843"/>
      <c r="AT13" s="843"/>
      <c r="AU13" s="843"/>
      <c r="AV13" s="844"/>
      <c r="AW13" s="208" t="str">
        <f>IFERROR(WWWW[[#This Row],['# of Water passed at source]]/WWWW[[#This Row],['# of Water tested at source]],"no test")</f>
        <v>no test</v>
      </c>
      <c r="AX13" s="211" t="str">
        <f>IFERROR(WWWW[[#This Row],['# of Water passed at HH]]/WWWW[[#This Row],['# of Water tested at HH]],"no test")</f>
        <v>no test</v>
      </c>
      <c r="AY13" s="210" t="str">
        <f>IF(AND(WWWW[[#This Row],[%of Water samples which passed at water source]]="no test",WWWW[[#This Row],[%Water samples which passed at HH]]="no test"),"No Test","Tested")</f>
        <v>No Test</v>
      </c>
      <c r="AZ1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3" s="211">
        <f>IF(WWWW[[#This Row],[Location Type 1]]="Village",WWWW[[#This Row],[Access to safe drinking water for Village]],WWWW[[#This Row],[Access to safe drinking water for Camp]])</f>
        <v>0</v>
      </c>
      <c r="BC13" s="209">
        <f>WWWW[[#This Row],[%Equitable and continuous access to sufficient quantity of safe drinking water]]*WWWW[[#This Row],[Total PoP ]]</f>
        <v>0</v>
      </c>
      <c r="BD13" s="211">
        <f>IF((WWWW[[#This Row],['# Existing protected/fenced ponds ]]*250)/WWWW[[#This Row],[Total PoP ]]&gt;1,1,WWWW[[#This Row],['# Existing protected/fenced ponds ]]*250/WWWW[[#This Row],[Total PoP ]])</f>
        <v>0</v>
      </c>
      <c r="BE13" s="209">
        <f>WWWW[[#This Row],[Access to unimproved water points]]*WWWW[[#This Row],[Total PoP ]]</f>
        <v>0</v>
      </c>
      <c r="BF1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3" s="209">
        <f>WWWW[[#This Row],['#people Equitable and continuous access to sufficient quantity of domestic water borehole n ponds_2]]/500</f>
        <v>0</v>
      </c>
      <c r="BI13" s="208">
        <f>1-WWWW[[#This Row],[%Equitable and continuous access to sufficient quantity of domestic water borehole n ponds]]</f>
        <v>1</v>
      </c>
      <c r="BJ13" s="209">
        <f>WWWW[[#This Row],[%equitable and continuous access to sufficient quantity of safe drinking and domestic water''s GAP]]*WWWW[[#This Row],[Total PoP ]]</f>
        <v>161</v>
      </c>
      <c r="BK13" s="210">
        <f>IF(WWWW[[#This Row],[Total required water points]]-WWWW[[#This Row],['#Water points coverage]]&lt;0,0,WWWW[[#This Row],[Total required water points]]-WWWW[[#This Row],['#Water points coverage]])</f>
        <v>1</v>
      </c>
      <c r="BL13" s="210">
        <f>ROUND(IF(WWWW[[#This Row],[Total PoP ]]&lt;500,1,WWWW[[#This Row],[Total PoP ]]/500),0)</f>
        <v>1</v>
      </c>
      <c r="BM13" s="210">
        <f>WWWW[[#This Row],['# Existing functional latrines]]+WWWW[[#This Row],['# Existing latrines dysfunctional]]</f>
        <v>0</v>
      </c>
      <c r="BN1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3" s="352">
        <f>WWWW[[#This Row],[% people access to functioning Latrine]]*WWWW[[#This Row],[Total PoP ]]</f>
        <v>0</v>
      </c>
      <c r="BP1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0.99378881987577627</v>
      </c>
      <c r="BQ13" s="209">
        <f>IF(WWWW[[#This Row],[Total required Latrines]]-WWWW[[#This Row],[Total '# of latrine]]&lt;0,0,WWWW[[#This Row],[Total required Latrines]]-WWWW[[#This Row],[Total '# of latrine]])</f>
        <v>8</v>
      </c>
      <c r="BR13" s="210">
        <f>ROUND(IF(WWWW[[#This Row],[Location Type 1]]="camp",WWWW[[#This Row],[Total PoP ]]/20,WWWW[[#This Row],[Total PoP ]]/6),0)</f>
        <v>8</v>
      </c>
      <c r="BS13" s="212">
        <f>IF(OR(WWWW[[#This Row],['# Existing latrines dysfunctional]]="",WWWW[[#This Row],['# Existing latrines dysfunctional]]=0),0,WWWW[[#This Row],['# Existing latrines dysfunctional]]/WWWW[[#This Row],[Total '# of latrine]])</f>
        <v>0</v>
      </c>
      <c r="BT1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 s="209">
        <f>IF(500*WWWW[[#This Row],['# Hygiene Promoters ]]&gt;WWWW[[#This Row],[Total PoP ]],WWWW[[#This Row],[Total PoP ]],500*WWWW[[#This Row],['# Hygiene Promoters ]])</f>
        <v>0</v>
      </c>
      <c r="BV13" s="209">
        <f>IF(WWWW[[#This Row],[% of HH with access to Sanitary Pad]]&gt;=100%,1,0)</f>
        <v>0</v>
      </c>
      <c r="BW13" s="209">
        <f>IF(WWWW[[#This Row],[Total PoP ]]=0,0,IF(WWWW[[#This Row],['# Hygiene Promoters ]]=0,0,IF(WWWW[[#This Row],[Location Type 1]]="Village",IF(WWWW[[#This Row],[Total PoP ]]/WWWW[[#This Row],['# Hygiene Promoters ]]&lt;1000,1,0),IF(WWWW[[#This Row],[Total PoP ]]/WWWW[[#This Row],['# Hygiene Promoters ]]&lt;600,1,0))))</f>
        <v>0</v>
      </c>
      <c r="BX13" s="209">
        <f>IF(WWWW[[#This Row],[%HH with access to soap]]&gt;=100%,1,0)</f>
        <v>0</v>
      </c>
      <c r="BY13" s="209">
        <f>IF(WWWW[[#This Row],[% of HHs with access to Sanitary pad more than '#%]]+WWWW[[#This Row],[Ratio of Hyiene promoters to people less than '#]]+WWWW[[#This Row],[% of HHs with access to soap more than '#%]]&gt;=2,WWWW[[#This Row],[Total PoP ]],0)</f>
        <v>0</v>
      </c>
      <c r="BZ13" s="208">
        <f>WWWW[[#This Row],[People adopt basic personal and community hygiene practices]]/WWWW[[#This Row],[Total PoP ]]</f>
        <v>0</v>
      </c>
      <c r="CA13" s="212">
        <f>1-WWWW[[#This Row],[Hygiene Coverage%]]</f>
        <v>1</v>
      </c>
      <c r="CB13" s="211">
        <f>WWWW[[#This Row],['# people reached by regular dedicated hygiene promotion_5]]/WWWW[[#This Row],[Total PoP ]]</f>
        <v>0</v>
      </c>
      <c r="CC13" s="211">
        <f>IF(WWWW[[#This Row],['# HH received soaps]]/WWWW[[#This Row],[Total HH]]&gt;1,1,WWWW[[#This Row],['# HH received soaps]]/WWWW[[#This Row],[Total HH]])</f>
        <v>0</v>
      </c>
      <c r="CD13" s="211">
        <f>IF(WWWW[[#This Row],['# HH received Sanitary Pads]]/WWWW[[#This Row],[Total HH]]&gt;1,1,WWWW[[#This Row],['# HH received Sanitary Pads]]/WWWW[[#This Row],[Total HH]])</f>
        <v>0</v>
      </c>
      <c r="CE13" s="210">
        <f>WWWW[[#This Row],['# HH received soaps]]*5</f>
        <v>0</v>
      </c>
      <c r="CF13" s="210">
        <f>WWWW[[#This Row],['# HH received Sanitary Pads]]*5</f>
        <v>0</v>
      </c>
      <c r="CG13" s="210">
        <f>IF(WWWW[[#This Row],['# People with access to soap]]&gt;WWWW[[#This Row],['# People with access to Sanity Pads]],WWWW[[#This Row],['# People with access to soap]],WWWW[[#This Row],['# People with access to Sanity Pads]])</f>
        <v>0</v>
      </c>
      <c r="CH13" s="209">
        <f>WWWW[[#This Row],[Total HH]]*WWWW[[#This Row],[%HHs with access to functional hand washing stations]]</f>
        <v>0</v>
      </c>
      <c r="CI13" s="699">
        <f>VLOOKUP(WWWW[[#This Row],[Site Name]],SiteDB6[[Site Name]:[CCCM Management]],6,FALSE)</f>
        <v>0</v>
      </c>
      <c r="CJ13" s="699">
        <f>VLOOKUP(WWWW[[#This Row],[Site Name]],SiteDB6[[Site Name]:[CCCM Focal Agency]],7,FALSE)</f>
        <v>0</v>
      </c>
      <c r="CK13" s="699" t="str">
        <f>VLOOKUP(WWWW[[#This Row],[Site Name]],SiteDB6[[Site Name]:[Location Type]],8,FALSE)</f>
        <v>Camp_not registered</v>
      </c>
      <c r="CL13" s="699" t="str">
        <f>VLOOKUP(WWWW[[#This Row],[Site Name]],SiteDB6[[Site Name]:[Location Type 1]],9,FALSE)</f>
        <v>Camp</v>
      </c>
      <c r="CM13" s="699" t="str">
        <f>VLOOKUP(WWWW[[#This Row],[Site Name]],SiteDB6[[Site Name]:[Type of Accommodation]],10,FALSE)</f>
        <v>camp</v>
      </c>
      <c r="CN13" s="699" t="str">
        <f>VLOOKUP(WWWW[[#This Row],[Site Name]],SiteDB6[[Site Name]:[Ethnic or GCA/NGCA]],11,FALSE)</f>
        <v>GCA</v>
      </c>
      <c r="CO13" s="699">
        <f>VLOOKUP(WWWW[[#This Row],[Site Name]],SiteDB6[[Site Name]:[Lat]],12,FALSE)</f>
        <v>0</v>
      </c>
      <c r="CP13" s="699">
        <f>VLOOKUP(WWWW[[#This Row],[Site Name]],SiteDB6[[Site Name]:[Long]],13,FALSE)</f>
        <v>0</v>
      </c>
      <c r="CQ13" s="699">
        <f>VLOOKUP(WWWW[[#This Row],[Site Name]],SiteDB6[[Site Name]:[Pcode]],3,FALSE)</f>
        <v>0</v>
      </c>
      <c r="CR13" s="660" t="str">
        <f t="shared" si="0"/>
        <v>Covered</v>
      </c>
      <c r="CS13" s="660"/>
      <c r="CT13" s="24"/>
      <c r="CU13" s="24"/>
      <c r="CV13" s="24"/>
    </row>
    <row r="14" spans="1:100" ht="15.75" customHeight="1" x14ac:dyDescent="0.25">
      <c r="A14" s="833" t="s">
        <v>3206</v>
      </c>
      <c r="B14" s="206" t="s">
        <v>338</v>
      </c>
      <c r="C14" s="206" t="s">
        <v>44</v>
      </c>
      <c r="D14" s="206" t="s">
        <v>341</v>
      </c>
      <c r="E14" s="206" t="s">
        <v>347</v>
      </c>
      <c r="F14" s="206">
        <v>11</v>
      </c>
      <c r="G14" s="209">
        <v>51</v>
      </c>
      <c r="H14" s="206"/>
      <c r="I14" s="206" t="s">
        <v>2475</v>
      </c>
      <c r="J14" s="207">
        <v>43344</v>
      </c>
      <c r="K14" s="206">
        <v>0</v>
      </c>
      <c r="L14" s="206" t="s">
        <v>282</v>
      </c>
      <c r="M14" s="208">
        <v>0</v>
      </c>
      <c r="N14" s="208">
        <v>0</v>
      </c>
      <c r="O14" s="316">
        <v>0</v>
      </c>
      <c r="P14" s="317">
        <v>1</v>
      </c>
      <c r="Q14" s="317">
        <v>0</v>
      </c>
      <c r="R14" s="318">
        <v>0</v>
      </c>
      <c r="S14" s="318">
        <v>0</v>
      </c>
      <c r="T14" s="318"/>
      <c r="U14" s="318"/>
      <c r="V14" s="318"/>
      <c r="W14" s="318"/>
      <c r="X14" s="318"/>
      <c r="Y14" s="318"/>
      <c r="Z14" s="318"/>
      <c r="AA14" s="310">
        <v>4</v>
      </c>
      <c r="AB14" s="310">
        <v>0</v>
      </c>
      <c r="AC14" s="66"/>
      <c r="AD14" s="66"/>
      <c r="AE14" s="310">
        <v>0</v>
      </c>
      <c r="AF14" s="310" t="s">
        <v>283</v>
      </c>
      <c r="AG14" s="311" t="s">
        <v>283</v>
      </c>
      <c r="AH14" s="311"/>
      <c r="AI14" s="310"/>
      <c r="AJ14" s="310"/>
      <c r="AK14" s="841">
        <v>1</v>
      </c>
      <c r="AL14" s="842" t="s">
        <v>291</v>
      </c>
      <c r="AM14" s="842">
        <v>0</v>
      </c>
      <c r="AN14" s="863">
        <v>2</v>
      </c>
      <c r="AO14" s="863">
        <v>1</v>
      </c>
      <c r="AP14" s="838">
        <v>11</v>
      </c>
      <c r="AQ14" s="843">
        <v>11</v>
      </c>
      <c r="AR14" s="843"/>
      <c r="AS14" s="843"/>
      <c r="AT14" s="843"/>
      <c r="AU14" s="843"/>
      <c r="AV14" s="844"/>
      <c r="AW14" s="208" t="str">
        <f>IFERROR(WWWW[[#This Row],['# of Water passed at source]]/WWWW[[#This Row],['# of Water tested at source]],"no test")</f>
        <v>no test</v>
      </c>
      <c r="AX14" s="211" t="str">
        <f>IFERROR(WWWW[[#This Row],['# of Water passed at HH]]/WWWW[[#This Row],['# of Water tested at HH]],"no test")</f>
        <v>no test</v>
      </c>
      <c r="AY14" s="210" t="str">
        <f>IF(AND(WWWW[[#This Row],[%of Water samples which passed at water source]]="no test",WWWW[[#This Row],[%Water samples which passed at HH]]="no test"),"No Test","Tested")</f>
        <v>No Test</v>
      </c>
      <c r="AZ1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4" s="211">
        <f>IF(WWWW[[#This Row],[Location Type 1]]="Village",WWWW[[#This Row],[Access to safe drinking water for Village]],WWWW[[#This Row],[Access to safe drinking water for Camp]])</f>
        <v>1</v>
      </c>
      <c r="BC14" s="209">
        <f>WWWW[[#This Row],[%Equitable and continuous access to sufficient quantity of safe drinking water]]*WWWW[[#This Row],[Total PoP ]]</f>
        <v>51</v>
      </c>
      <c r="BD14" s="211">
        <f>IF((WWWW[[#This Row],['# Existing protected/fenced ponds ]]*250)/WWWW[[#This Row],[Total PoP ]]&gt;1,1,WWWW[[#This Row],['# Existing protected/fenced ponds ]]*250/WWWW[[#This Row],[Total PoP ]])</f>
        <v>0</v>
      </c>
      <c r="BE14" s="209">
        <f>WWWW[[#This Row],[Access to unimproved water points]]*WWWW[[#This Row],[Total PoP ]]</f>
        <v>0</v>
      </c>
      <c r="BF1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51</v>
      </c>
      <c r="BH14" s="209">
        <f>WWWW[[#This Row],['#people Equitable and continuous access to sufficient quantity of domestic water borehole n ponds_2]]/500</f>
        <v>0.10199999999999999</v>
      </c>
      <c r="BI14" s="208">
        <f>1-WWWW[[#This Row],[%Equitable and continuous access to sufficient quantity of domestic water borehole n ponds]]</f>
        <v>0</v>
      </c>
      <c r="BJ14" s="209">
        <f>WWWW[[#This Row],[%equitable and continuous access to sufficient quantity of safe drinking and domestic water''s GAP]]*WWWW[[#This Row],[Total PoP ]]</f>
        <v>0</v>
      </c>
      <c r="BK14" s="210">
        <f>IF(WWWW[[#This Row],[Total required water points]]-WWWW[[#This Row],['#Water points coverage]]&lt;0,0,WWWW[[#This Row],[Total required water points]]-WWWW[[#This Row],['#Water points coverage]])</f>
        <v>0.89800000000000002</v>
      </c>
      <c r="BL14" s="210">
        <f>ROUND(IF(WWWW[[#This Row],[Total PoP ]]&lt;500,1,WWWW[[#This Row],[Total PoP ]]/500),0)</f>
        <v>1</v>
      </c>
      <c r="BM14" s="210">
        <f>WWWW[[#This Row],['# Existing functional latrines]]+WWWW[[#This Row],['# Existing latrines dysfunctional]]</f>
        <v>4</v>
      </c>
      <c r="BN1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4" s="352">
        <f>WWWW[[#This Row],[% people access to functioning Latrine]]*WWWW[[#This Row],[Total PoP ]]</f>
        <v>51</v>
      </c>
      <c r="BP1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4" s="209">
        <f>IF(WWWW[[#This Row],[Total required Latrines]]-WWWW[[#This Row],[Total '# of latrine]]&lt;0,0,WWWW[[#This Row],[Total required Latrines]]-WWWW[[#This Row],[Total '# of latrine]])</f>
        <v>0</v>
      </c>
      <c r="BR14" s="210">
        <f>ROUND(IF(WWWW[[#This Row],[Location Type 1]]="camp",WWWW[[#This Row],[Total PoP ]]/20,WWWW[[#This Row],[Total PoP ]]/6),0)</f>
        <v>3</v>
      </c>
      <c r="BS14" s="212">
        <f>IF(OR(WWWW[[#This Row],['# Existing latrines dysfunctional]]="",WWWW[[#This Row],['# Existing latrines dysfunctional]]=0),0,WWWW[[#This Row],['# Existing latrines dysfunctional]]/WWWW[[#This Row],[Total '# of latrine]])</f>
        <v>0</v>
      </c>
      <c r="BT1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 s="209">
        <f>IF(500*WWWW[[#This Row],['# Hygiene Promoters ]]&gt;WWWW[[#This Row],[Total PoP ]],WWWW[[#This Row],[Total PoP ]],500*WWWW[[#This Row],['# Hygiene Promoters ]])</f>
        <v>51</v>
      </c>
      <c r="BV14" s="209">
        <f>IF(WWWW[[#This Row],[% of HH with access to Sanitary Pad]]&gt;=100%,1,0)</f>
        <v>1</v>
      </c>
      <c r="BW14" s="209">
        <f>IF(WWWW[[#This Row],[Total PoP ]]=0,0,IF(WWWW[[#This Row],['# Hygiene Promoters ]]=0,0,IF(WWWW[[#This Row],[Location Type 1]]="Village",IF(WWWW[[#This Row],[Total PoP ]]/WWWW[[#This Row],['# Hygiene Promoters ]]&lt;1000,1,0),IF(WWWW[[#This Row],[Total PoP ]]/WWWW[[#This Row],['# Hygiene Promoters ]]&lt;600,1,0))))</f>
        <v>1</v>
      </c>
      <c r="BX14" s="209">
        <f>IF(WWWW[[#This Row],[%HH with access to soap]]&gt;=100%,1,0)</f>
        <v>1</v>
      </c>
      <c r="BY14" s="209">
        <f>IF(WWWW[[#This Row],[% of HHs with access to Sanitary pad more than '#%]]+WWWW[[#This Row],[Ratio of Hyiene promoters to people less than '#]]+WWWW[[#This Row],[% of HHs with access to soap more than '#%]]&gt;=2,WWWW[[#This Row],[Total PoP ]],0)</f>
        <v>51</v>
      </c>
      <c r="BZ14" s="208">
        <f>WWWW[[#This Row],[People adopt basic personal and community hygiene practices]]/WWWW[[#This Row],[Total PoP ]]</f>
        <v>1</v>
      </c>
      <c r="CA14" s="212">
        <f>1-WWWW[[#This Row],[Hygiene Coverage%]]</f>
        <v>0</v>
      </c>
      <c r="CB14" s="211">
        <f>WWWW[[#This Row],['# people reached by regular dedicated hygiene promotion_5]]/WWWW[[#This Row],[Total PoP ]]</f>
        <v>1</v>
      </c>
      <c r="CC14" s="211">
        <f>IF(WWWW[[#This Row],['# HH received soaps]]/WWWW[[#This Row],[Total HH]]&gt;1,1,WWWW[[#This Row],['# HH received soaps]]/WWWW[[#This Row],[Total HH]])</f>
        <v>1</v>
      </c>
      <c r="CD14" s="211">
        <f>IF(WWWW[[#This Row],['# HH received Sanitary Pads]]/WWWW[[#This Row],[Total HH]]&gt;1,1,WWWW[[#This Row],['# HH received Sanitary Pads]]/WWWW[[#This Row],[Total HH]])</f>
        <v>1</v>
      </c>
      <c r="CE14" s="210">
        <f>WWWW[[#This Row],['# HH received soaps]]*5</f>
        <v>55</v>
      </c>
      <c r="CF14" s="210">
        <f>WWWW[[#This Row],['# HH received Sanitary Pads]]*5</f>
        <v>55</v>
      </c>
      <c r="CG14" s="210">
        <f>IF(WWWW[[#This Row],['# People with access to soap]]&gt;WWWW[[#This Row],['# People with access to Sanity Pads]],WWWW[[#This Row],['# People with access to soap]],WWWW[[#This Row],['# People with access to Sanity Pads]])</f>
        <v>55</v>
      </c>
      <c r="CH14" s="209">
        <f>WWWW[[#This Row],[Total HH]]*WWWW[[#This Row],[%HHs with access to functional hand washing stations]]</f>
        <v>11</v>
      </c>
      <c r="CI14" s="699" t="str">
        <f>VLOOKUP(WWWW[[#This Row],[Site Name]],SiteDB6[[Site Name]:[CCCM Management]],6,FALSE)</f>
        <v>Yes</v>
      </c>
      <c r="CJ14" s="699" t="str">
        <f>VLOOKUP(WWWW[[#This Row],[Site Name]],SiteDB6[[Site Name]:[CCCM Focal Agency]],7,FALSE)</f>
        <v>Shalom</v>
      </c>
      <c r="CK14" s="699" t="str">
        <f>VLOOKUP(WWWW[[#This Row],[Site Name]],SiteDB6[[Site Name]:[Location Type]],8,FALSE)</f>
        <v>Camp</v>
      </c>
      <c r="CL14" s="699" t="str">
        <f>VLOOKUP(WWWW[[#This Row],[Site Name]],SiteDB6[[Site Name]:[Location Type 1]],9,FALSE)</f>
        <v>Camp</v>
      </c>
      <c r="CM14" s="699" t="str">
        <f>VLOOKUP(WWWW[[#This Row],[Site Name]],SiteDB6[[Site Name]:[Type of Accommodation]],10,FALSE)</f>
        <v>Camp</v>
      </c>
      <c r="CN14" s="699" t="str">
        <f>VLOOKUP(WWWW[[#This Row],[Site Name]],SiteDB6[[Site Name]:[Ethnic or GCA/NGCA]],11,FALSE)</f>
        <v>GCA</v>
      </c>
      <c r="CO14" s="699">
        <f>VLOOKUP(WWWW[[#This Row],[Site Name]],SiteDB6[[Site Name]:[Lat]],12,FALSE)</f>
        <v>24.253067000000001</v>
      </c>
      <c r="CP14" s="699">
        <f>VLOOKUP(WWWW[[#This Row],[Site Name]],SiteDB6[[Site Name]:[Long]],13,FALSE)</f>
        <v>97.234200000000001</v>
      </c>
      <c r="CQ14" s="699" t="str">
        <f>VLOOKUP(WWWW[[#This Row],[Site Name]],SiteDB6[[Site Name]:[Pcode]],3,FALSE)</f>
        <v>MMR001CMP051</v>
      </c>
      <c r="CR14" s="660" t="str">
        <f t="shared" si="0"/>
        <v>Covered</v>
      </c>
      <c r="CS14" s="660"/>
      <c r="CT14" s="24"/>
      <c r="CU14" s="24"/>
      <c r="CV14" s="24"/>
    </row>
    <row r="15" spans="1:100" ht="15.75" customHeight="1" x14ac:dyDescent="0.25">
      <c r="A15" s="833" t="s">
        <v>3206</v>
      </c>
      <c r="B15" s="206" t="s">
        <v>338</v>
      </c>
      <c r="C15" s="206" t="s">
        <v>44</v>
      </c>
      <c r="D15" s="206" t="s">
        <v>341</v>
      </c>
      <c r="E15" s="206" t="s">
        <v>349</v>
      </c>
      <c r="F15" s="206">
        <v>21</v>
      </c>
      <c r="G15" s="209">
        <v>111</v>
      </c>
      <c r="H15" s="206"/>
      <c r="I15" s="206" t="s">
        <v>2475</v>
      </c>
      <c r="J15" s="207">
        <v>43344</v>
      </c>
      <c r="K15" s="206">
        <v>0</v>
      </c>
      <c r="L15" s="206" t="s">
        <v>48</v>
      </c>
      <c r="M15" s="208">
        <v>0.9</v>
      </c>
      <c r="N15" s="208">
        <v>0.9</v>
      </c>
      <c r="O15" s="316">
        <v>0</v>
      </c>
      <c r="P15" s="317">
        <v>0</v>
      </c>
      <c r="Q15" s="317">
        <v>0</v>
      </c>
      <c r="R15" s="318">
        <v>0</v>
      </c>
      <c r="S15" s="318">
        <v>0</v>
      </c>
      <c r="T15" s="318"/>
      <c r="U15" s="318"/>
      <c r="V15" s="318"/>
      <c r="W15" s="318"/>
      <c r="X15" s="318"/>
      <c r="Y15" s="318"/>
      <c r="Z15" s="318"/>
      <c r="AA15" s="310">
        <v>4</v>
      </c>
      <c r="AB15" s="310">
        <v>0</v>
      </c>
      <c r="AC15" s="66">
        <v>2</v>
      </c>
      <c r="AD15" s="66"/>
      <c r="AE15" s="310">
        <v>0</v>
      </c>
      <c r="AF15" s="310" t="s">
        <v>283</v>
      </c>
      <c r="AG15" s="311" t="s">
        <v>283</v>
      </c>
      <c r="AH15" s="311"/>
      <c r="AI15" s="310"/>
      <c r="AJ15" s="310"/>
      <c r="AK15" s="841">
        <v>1</v>
      </c>
      <c r="AL15" s="842" t="s">
        <v>291</v>
      </c>
      <c r="AM15" s="842">
        <v>0</v>
      </c>
      <c r="AN15" s="863">
        <v>2</v>
      </c>
      <c r="AO15" s="863">
        <v>2</v>
      </c>
      <c r="AP15" s="838">
        <v>21</v>
      </c>
      <c r="AQ15" s="843">
        <v>21</v>
      </c>
      <c r="AR15" s="843"/>
      <c r="AS15" s="843"/>
      <c r="AT15" s="843"/>
      <c r="AU15" s="843"/>
      <c r="AV15" s="844"/>
      <c r="AW15" s="208" t="str">
        <f>IFERROR(WWWW[[#This Row],['# of Water passed at source]]/WWWW[[#This Row],['# of Water tested at source]],"no test")</f>
        <v>no test</v>
      </c>
      <c r="AX15" s="211" t="str">
        <f>IFERROR(WWWW[[#This Row],['# of Water passed at HH]]/WWWW[[#This Row],['# of Water tested at HH]],"no test")</f>
        <v>no test</v>
      </c>
      <c r="AY15" s="210" t="str">
        <f>IF(AND(WWWW[[#This Row],[%of Water samples which passed at water source]]="no test",WWWW[[#This Row],[%Water samples which passed at HH]]="no test"),"No Test","Tested")</f>
        <v>No Test</v>
      </c>
      <c r="AZ1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5" s="211">
        <f>IF(WWWW[[#This Row],[Location Type 1]]="Village",WWWW[[#This Row],[Access to safe drinking water for Village]],WWWW[[#This Row],[Access to safe drinking water for Camp]])</f>
        <v>0</v>
      </c>
      <c r="BC15" s="209">
        <f>WWWW[[#This Row],[%Equitable and continuous access to sufficient quantity of safe drinking water]]*WWWW[[#This Row],[Total PoP ]]</f>
        <v>0</v>
      </c>
      <c r="BD15" s="211">
        <f>IF((WWWW[[#This Row],['# Existing protected/fenced ponds ]]*250)/WWWW[[#This Row],[Total PoP ]]&gt;1,1,WWWW[[#This Row],['# Existing protected/fenced ponds ]]*250/WWWW[[#This Row],[Total PoP ]])</f>
        <v>0</v>
      </c>
      <c r="BE15" s="209">
        <f>WWWW[[#This Row],[Access to unimproved water points]]*WWWW[[#This Row],[Total PoP ]]</f>
        <v>0</v>
      </c>
      <c r="BF1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5" s="209">
        <f>WWWW[[#This Row],['#people Equitable and continuous access to sufficient quantity of domestic water borehole n ponds_2]]/500</f>
        <v>0</v>
      </c>
      <c r="BI15" s="208">
        <f>1-WWWW[[#This Row],[%Equitable and continuous access to sufficient quantity of domestic water borehole n ponds]]</f>
        <v>1</v>
      </c>
      <c r="BJ15" s="209">
        <f>WWWW[[#This Row],[%equitable and continuous access to sufficient quantity of safe drinking and domestic water''s GAP]]*WWWW[[#This Row],[Total PoP ]]</f>
        <v>111</v>
      </c>
      <c r="BK15" s="210">
        <f>IF(WWWW[[#This Row],[Total required water points]]-WWWW[[#This Row],['#Water points coverage]]&lt;0,0,WWWW[[#This Row],[Total required water points]]-WWWW[[#This Row],['#Water points coverage]])</f>
        <v>1</v>
      </c>
      <c r="BL15" s="210">
        <f>ROUND(IF(WWWW[[#This Row],[Total PoP ]]&lt;500,1,WWWW[[#This Row],[Total PoP ]]/500),0)</f>
        <v>1</v>
      </c>
      <c r="BM15" s="210">
        <f>WWWW[[#This Row],['# Existing functional latrines]]+WWWW[[#This Row],['# Existing latrines dysfunctional]]</f>
        <v>4</v>
      </c>
      <c r="BN1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0.72072072072072069</v>
      </c>
      <c r="BO15" s="352">
        <f>WWWW[[#This Row],[% people access to functioning Latrine]]*WWWW[[#This Row],[Total PoP ]]</f>
        <v>80</v>
      </c>
      <c r="BP1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0.3603603603603604</v>
      </c>
      <c r="BQ15" s="209">
        <f>IF(WWWW[[#This Row],[Total required Latrines]]-WWWW[[#This Row],[Total '# of latrine]]&lt;0,0,WWWW[[#This Row],[Total required Latrines]]-WWWW[[#This Row],[Total '# of latrine]])</f>
        <v>2</v>
      </c>
      <c r="BR15" s="210">
        <f>ROUND(IF(WWWW[[#This Row],[Location Type 1]]="camp",WWWW[[#This Row],[Total PoP ]]/20,WWWW[[#This Row],[Total PoP ]]/6),0)</f>
        <v>6</v>
      </c>
      <c r="BS15" s="212">
        <f>IF(OR(WWWW[[#This Row],['# Existing latrines dysfunctional]]="",WWWW[[#This Row],['# Existing latrines dysfunctional]]=0),0,WWWW[[#This Row],['# Existing latrines dysfunctional]]/WWWW[[#This Row],[Total '# of latrine]])</f>
        <v>0</v>
      </c>
      <c r="BT1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U15" s="209">
        <f>IF(500*WWWW[[#This Row],['# Hygiene Promoters ]]&gt;WWWW[[#This Row],[Total PoP ]],WWWW[[#This Row],[Total PoP ]],500*WWWW[[#This Row],['# Hygiene Promoters ]])</f>
        <v>111</v>
      </c>
      <c r="BV15" s="209">
        <f>IF(WWWW[[#This Row],[% of HH with access to Sanitary Pad]]&gt;=100%,1,0)</f>
        <v>1</v>
      </c>
      <c r="BW15" s="209">
        <f>IF(WWWW[[#This Row],[Total PoP ]]=0,0,IF(WWWW[[#This Row],['# Hygiene Promoters ]]=0,0,IF(WWWW[[#This Row],[Location Type 1]]="Village",IF(WWWW[[#This Row],[Total PoP ]]/WWWW[[#This Row],['# Hygiene Promoters ]]&lt;1000,1,0),IF(WWWW[[#This Row],[Total PoP ]]/WWWW[[#This Row],['# Hygiene Promoters ]]&lt;600,1,0))))</f>
        <v>1</v>
      </c>
      <c r="BX15" s="209">
        <f>IF(WWWW[[#This Row],[%HH with access to soap]]&gt;=100%,1,0)</f>
        <v>1</v>
      </c>
      <c r="BY15" s="209">
        <f>IF(WWWW[[#This Row],[% of HHs with access to Sanitary pad more than '#%]]+WWWW[[#This Row],[Ratio of Hyiene promoters to people less than '#]]+WWWW[[#This Row],[% of HHs with access to soap more than '#%]]&gt;=2,WWWW[[#This Row],[Total PoP ]],0)</f>
        <v>111</v>
      </c>
      <c r="BZ15" s="208">
        <f>WWWW[[#This Row],[People adopt basic personal and community hygiene practices]]/WWWW[[#This Row],[Total PoP ]]</f>
        <v>1</v>
      </c>
      <c r="CA15" s="212">
        <f>1-WWWW[[#This Row],[Hygiene Coverage%]]</f>
        <v>0</v>
      </c>
      <c r="CB15" s="211">
        <f>WWWW[[#This Row],['# people reached by regular dedicated hygiene promotion_5]]/WWWW[[#This Row],[Total PoP ]]</f>
        <v>1</v>
      </c>
      <c r="CC15" s="211">
        <f>IF(WWWW[[#This Row],['# HH received soaps]]/WWWW[[#This Row],[Total HH]]&gt;1,1,WWWW[[#This Row],['# HH received soaps]]/WWWW[[#This Row],[Total HH]])</f>
        <v>1</v>
      </c>
      <c r="CD15" s="211">
        <f>IF(WWWW[[#This Row],['# HH received Sanitary Pads]]/WWWW[[#This Row],[Total HH]]&gt;1,1,WWWW[[#This Row],['# HH received Sanitary Pads]]/WWWW[[#This Row],[Total HH]])</f>
        <v>1</v>
      </c>
      <c r="CE15" s="210">
        <f>WWWW[[#This Row],['# HH received soaps]]*5</f>
        <v>105</v>
      </c>
      <c r="CF15" s="210">
        <f>WWWW[[#This Row],['# HH received Sanitary Pads]]*5</f>
        <v>105</v>
      </c>
      <c r="CG15" s="210">
        <f>IF(WWWW[[#This Row],['# People with access to soap]]&gt;WWWW[[#This Row],['# People with access to Sanity Pads]],WWWW[[#This Row],['# People with access to soap]],WWWW[[#This Row],['# People with access to Sanity Pads]])</f>
        <v>105</v>
      </c>
      <c r="CH15" s="209">
        <f>WWWW[[#This Row],[Total HH]]*WWWW[[#This Row],[%HHs with access to functional hand washing stations]]</f>
        <v>21</v>
      </c>
      <c r="CI15" s="699" t="str">
        <f>VLOOKUP(WWWW[[#This Row],[Site Name]],SiteDB6[[Site Name]:[CCCM Management]],6,FALSE)</f>
        <v>Yes</v>
      </c>
      <c r="CJ15" s="699" t="str">
        <f>VLOOKUP(WWWW[[#This Row],[Site Name]],SiteDB6[[Site Name]:[CCCM Focal Agency]],7,FALSE)</f>
        <v>KMSS-BMO</v>
      </c>
      <c r="CK15" s="699" t="str">
        <f>VLOOKUP(WWWW[[#This Row],[Site Name]],SiteDB6[[Site Name]:[Location Type]],8,FALSE)</f>
        <v>Camp</v>
      </c>
      <c r="CL15" s="699" t="str">
        <f>VLOOKUP(WWWW[[#This Row],[Site Name]],SiteDB6[[Site Name]:[Location Type 1]],9,FALSE)</f>
        <v>Camp</v>
      </c>
      <c r="CM15" s="699" t="str">
        <f>VLOOKUP(WWWW[[#This Row],[Site Name]],SiteDB6[[Site Name]:[Type of Accommodation]],10,FALSE)</f>
        <v>Camp</v>
      </c>
      <c r="CN15" s="699" t="str">
        <f>VLOOKUP(WWWW[[#This Row],[Site Name]],SiteDB6[[Site Name]:[Ethnic or GCA/NGCA]],11,FALSE)</f>
        <v>GCA</v>
      </c>
      <c r="CO15" s="699">
        <f>VLOOKUP(WWWW[[#This Row],[Site Name]],SiteDB6[[Site Name]:[Lat]],12,FALSE)</f>
        <v>24.32638</v>
      </c>
      <c r="CP15" s="699">
        <f>VLOOKUP(WWWW[[#This Row],[Site Name]],SiteDB6[[Site Name]:[Long]],13,FALSE)</f>
        <v>97.315860000000001</v>
      </c>
      <c r="CQ15" s="699" t="str">
        <f>VLOOKUP(WWWW[[#This Row],[Site Name]],SiteDB6[[Site Name]:[Pcode]],3,FALSE)</f>
        <v>MMR001CMP054</v>
      </c>
      <c r="CR15" s="660" t="str">
        <f t="shared" si="0"/>
        <v>Covered</v>
      </c>
      <c r="CS15" s="660"/>
      <c r="CT15" s="24"/>
      <c r="CU15" s="24"/>
      <c r="CV15" s="24"/>
    </row>
    <row r="16" spans="1:100" ht="15.75" customHeight="1" x14ac:dyDescent="0.25">
      <c r="A16" s="833" t="s">
        <v>3206</v>
      </c>
      <c r="B16" s="206" t="s">
        <v>426</v>
      </c>
      <c r="C16" s="206" t="s">
        <v>44</v>
      </c>
      <c r="D16" s="206" t="s">
        <v>341</v>
      </c>
      <c r="E16" s="206" t="s">
        <v>429</v>
      </c>
      <c r="F16" s="206">
        <v>148</v>
      </c>
      <c r="G16" s="209">
        <v>778</v>
      </c>
      <c r="H16" s="206"/>
      <c r="I16" s="206" t="s">
        <v>428</v>
      </c>
      <c r="J16" s="207" t="s">
        <v>2809</v>
      </c>
      <c r="K16" s="206">
        <v>0</v>
      </c>
      <c r="L16" s="206" t="s">
        <v>48</v>
      </c>
      <c r="M16" s="208">
        <v>0.65217391304347827</v>
      </c>
      <c r="N16" s="208">
        <v>0</v>
      </c>
      <c r="O16" s="316">
        <v>0</v>
      </c>
      <c r="P16" s="317">
        <v>4</v>
      </c>
      <c r="Q16" s="317">
        <v>9119700</v>
      </c>
      <c r="R16" s="318">
        <v>0</v>
      </c>
      <c r="S16" s="318">
        <v>0</v>
      </c>
      <c r="T16" s="318"/>
      <c r="U16" s="318">
        <v>0</v>
      </c>
      <c r="V16" s="318">
        <v>0</v>
      </c>
      <c r="W16" s="318">
        <v>23</v>
      </c>
      <c r="X16" s="318">
        <v>23</v>
      </c>
      <c r="Y16" s="318">
        <v>0</v>
      </c>
      <c r="Z16" s="318"/>
      <c r="AA16" s="310">
        <v>43</v>
      </c>
      <c r="AB16" s="310">
        <v>0</v>
      </c>
      <c r="AC16" s="66">
        <v>37</v>
      </c>
      <c r="AD16" s="66" t="s">
        <v>2785</v>
      </c>
      <c r="AE16" s="310">
        <v>0</v>
      </c>
      <c r="AF16" s="310" t="s">
        <v>283</v>
      </c>
      <c r="AG16" s="311" t="s">
        <v>283</v>
      </c>
      <c r="AH16" s="311">
        <v>0</v>
      </c>
      <c r="AI16" s="310">
        <v>0</v>
      </c>
      <c r="AJ16" s="310"/>
      <c r="AK16" s="841">
        <v>1</v>
      </c>
      <c r="AL16" s="842" t="s">
        <v>291</v>
      </c>
      <c r="AM16" s="842">
        <v>0</v>
      </c>
      <c r="AN16" s="863">
        <v>9</v>
      </c>
      <c r="AO16" s="863">
        <v>3</v>
      </c>
      <c r="AP16" s="838">
        <v>139</v>
      </c>
      <c r="AQ16" s="843">
        <v>136</v>
      </c>
      <c r="AR16" s="843"/>
      <c r="AS16" s="843"/>
      <c r="AT16" s="843">
        <v>5</v>
      </c>
      <c r="AU16" s="843">
        <v>0</v>
      </c>
      <c r="AV16" s="844" t="s">
        <v>2461</v>
      </c>
      <c r="AW16" s="208" t="str">
        <f>IFERROR(WWWW[[#This Row],['# of Water passed at source]]/WWWW[[#This Row],['# of Water tested at source]],"no test")</f>
        <v>no test</v>
      </c>
      <c r="AX16" s="211">
        <f>IFERROR(WWWW[[#This Row],['# of Water passed at HH]]/WWWW[[#This Row],['# of Water tested at HH]],"no test")</f>
        <v>1</v>
      </c>
      <c r="AY16" s="210" t="str">
        <f>IF(AND(WWWW[[#This Row],[%of Water samples which passed at water source]]="no test",WWWW[[#This Row],[%Water samples which passed at HH]]="no test"),"No Test","Tested")</f>
        <v>Tested</v>
      </c>
      <c r="AZ1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6" s="211">
        <f>IF(WWWW[[#This Row],[Location Type 1]]="Village",WWWW[[#This Row],[Access to safe drinking water for Village]],WWWW[[#This Row],[Access to safe drinking water for Camp]])</f>
        <v>1</v>
      </c>
      <c r="BC16" s="209">
        <f>WWWW[[#This Row],[%Equitable and continuous access to sufficient quantity of safe drinking water]]*WWWW[[#This Row],[Total PoP ]]</f>
        <v>778</v>
      </c>
      <c r="BD16" s="211">
        <f>IF((WWWW[[#This Row],['# Existing protected/fenced ponds ]]*250)/WWWW[[#This Row],[Total PoP ]]&gt;1,1,WWWW[[#This Row],['# Existing protected/fenced ponds ]]*250/WWWW[[#This Row],[Total PoP ]])</f>
        <v>0</v>
      </c>
      <c r="BE16" s="209">
        <f>WWWW[[#This Row],[Access to unimproved water points]]*WWWW[[#This Row],[Total PoP ]]</f>
        <v>0</v>
      </c>
      <c r="BF1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778</v>
      </c>
      <c r="BH16" s="209">
        <f>WWWW[[#This Row],['#people Equitable and continuous access to sufficient quantity of domestic water borehole n ponds_2]]/500</f>
        <v>1.556</v>
      </c>
      <c r="BI16" s="208">
        <f>1-WWWW[[#This Row],[%Equitable and continuous access to sufficient quantity of domestic water borehole n ponds]]</f>
        <v>0</v>
      </c>
      <c r="BJ16" s="209">
        <f>WWWW[[#This Row],[%equitable and continuous access to sufficient quantity of safe drinking and domestic water''s GAP]]*WWWW[[#This Row],[Total PoP ]]</f>
        <v>0</v>
      </c>
      <c r="BK16" s="210">
        <f>IF(WWWW[[#This Row],[Total required water points]]-WWWW[[#This Row],['#Water points coverage]]&lt;0,0,WWWW[[#This Row],[Total required water points]]-WWWW[[#This Row],['#Water points coverage]])</f>
        <v>0.44399999999999995</v>
      </c>
      <c r="BL16" s="210">
        <f>ROUND(IF(WWWW[[#This Row],[Total PoP ]]&lt;500,1,WWWW[[#This Row],[Total PoP ]]/500),0)</f>
        <v>2</v>
      </c>
      <c r="BM16" s="210">
        <f>WWWW[[#This Row],['# Existing functional latrines]]+WWWW[[#This Row],['# Existing latrines dysfunctional]]</f>
        <v>43</v>
      </c>
      <c r="BN1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6" s="352">
        <f>WWWW[[#This Row],[% people access to functioning Latrine]]*WWWW[[#This Row],[Total PoP ]]</f>
        <v>778</v>
      </c>
      <c r="BP1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6" s="209">
        <f>IF(WWWW[[#This Row],[Total required Latrines]]-WWWW[[#This Row],[Total '# of latrine]]&lt;0,0,WWWW[[#This Row],[Total required Latrines]]-WWWW[[#This Row],[Total '# of latrine]])</f>
        <v>0</v>
      </c>
      <c r="BR16" s="210">
        <f>ROUND(IF(WWWW[[#This Row],[Location Type 1]]="camp",WWWW[[#This Row],[Total PoP ]]/20,WWWW[[#This Row],[Total PoP ]]/6),0)</f>
        <v>39</v>
      </c>
      <c r="BS16" s="212">
        <f>IF(OR(WWWW[[#This Row],['# Existing latrines dysfunctional]]="",WWWW[[#This Row],['# Existing latrines dysfunctional]]=0),0,WWWW[[#This Row],['# Existing latrines dysfunctional]]/WWWW[[#This Row],[Total '# of latrine]])</f>
        <v>0</v>
      </c>
      <c r="BT1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740</v>
      </c>
      <c r="BU16" s="209">
        <f>IF(500*WWWW[[#This Row],['# Hygiene Promoters ]]&gt;WWWW[[#This Row],[Total PoP ]],WWWW[[#This Row],[Total PoP ]],500*WWWW[[#This Row],['# Hygiene Promoters ]])</f>
        <v>778</v>
      </c>
      <c r="BV16" s="209">
        <f>IF(WWWW[[#This Row],[% of HH with access to Sanitary Pad]]&gt;=100%,1,0)</f>
        <v>0</v>
      </c>
      <c r="BW16" s="209">
        <f>IF(WWWW[[#This Row],[Total PoP ]]=0,0,IF(WWWW[[#This Row],['# Hygiene Promoters ]]=0,0,IF(WWWW[[#This Row],[Location Type 1]]="Village",IF(WWWW[[#This Row],[Total PoP ]]/WWWW[[#This Row],['# Hygiene Promoters ]]&lt;1000,1,0),IF(WWWW[[#This Row],[Total PoP ]]/WWWW[[#This Row],['# Hygiene Promoters ]]&lt;600,1,0))))</f>
        <v>1</v>
      </c>
      <c r="BX16" s="209">
        <f>IF(WWWW[[#This Row],[%HH with access to soap]]&gt;=100%,1,0)</f>
        <v>0</v>
      </c>
      <c r="BY16" s="209">
        <f>IF(WWWW[[#This Row],[% of HHs with access to Sanitary pad more than '#%]]+WWWW[[#This Row],[Ratio of Hyiene promoters to people less than '#]]+WWWW[[#This Row],[% of HHs with access to soap more than '#%]]&gt;=2,WWWW[[#This Row],[Total PoP ]],0)</f>
        <v>0</v>
      </c>
      <c r="BZ16" s="208">
        <f>WWWW[[#This Row],[People adopt basic personal and community hygiene practices]]/WWWW[[#This Row],[Total PoP ]]</f>
        <v>0</v>
      </c>
      <c r="CA16" s="212">
        <f>1-WWWW[[#This Row],[Hygiene Coverage%]]</f>
        <v>1</v>
      </c>
      <c r="CB16" s="211">
        <f>WWWW[[#This Row],['# people reached by regular dedicated hygiene promotion_5]]/WWWW[[#This Row],[Total PoP ]]</f>
        <v>1</v>
      </c>
      <c r="CC16" s="211">
        <f>IF(WWWW[[#This Row],['# HH received soaps]]/WWWW[[#This Row],[Total HH]]&gt;1,1,WWWW[[#This Row],['# HH received soaps]]/WWWW[[#This Row],[Total HH]])</f>
        <v>0.93918918918918914</v>
      </c>
      <c r="CD16" s="211">
        <f>IF(WWWW[[#This Row],['# HH received Sanitary Pads]]/WWWW[[#This Row],[Total HH]]&gt;1,1,WWWW[[#This Row],['# HH received Sanitary Pads]]/WWWW[[#This Row],[Total HH]])</f>
        <v>0.91891891891891897</v>
      </c>
      <c r="CE16" s="210">
        <f>WWWW[[#This Row],['# HH received soaps]]*5</f>
        <v>695</v>
      </c>
      <c r="CF16" s="210">
        <f>WWWW[[#This Row],['# HH received Sanitary Pads]]*5</f>
        <v>680</v>
      </c>
      <c r="CG16" s="210">
        <f>IF(WWWW[[#This Row],['# People with access to soap]]&gt;WWWW[[#This Row],['# People with access to Sanity Pads]],WWWW[[#This Row],['# People with access to soap]],WWWW[[#This Row],['# People with access to Sanity Pads]])</f>
        <v>695</v>
      </c>
      <c r="CH16" s="209">
        <f>WWWW[[#This Row],[Total HH]]*WWWW[[#This Row],[%HHs with access to functional hand washing stations]]</f>
        <v>148</v>
      </c>
      <c r="CI16" s="699" t="str">
        <f>VLOOKUP(WWWW[[#This Row],[Site Name]],SiteDB6[[Site Name]:[CCCM Management]],6,FALSE)</f>
        <v>Yes</v>
      </c>
      <c r="CJ16" s="699" t="str">
        <f>VLOOKUP(WWWW[[#This Row],[Site Name]],SiteDB6[[Site Name]:[CCCM Focal Agency]],7,FALSE)</f>
        <v>KBC</v>
      </c>
      <c r="CK16" s="699" t="str">
        <f>VLOOKUP(WWWW[[#This Row],[Site Name]],SiteDB6[[Site Name]:[Location Type]],8,FALSE)</f>
        <v>Camp</v>
      </c>
      <c r="CL16" s="699" t="str">
        <f>VLOOKUP(WWWW[[#This Row],[Site Name]],SiteDB6[[Site Name]:[Location Type 1]],9,FALSE)</f>
        <v>Camp</v>
      </c>
      <c r="CM16" s="699" t="str">
        <f>VLOOKUP(WWWW[[#This Row],[Site Name]],SiteDB6[[Site Name]:[Type of Accommodation]],10,FALSE)</f>
        <v>Camp</v>
      </c>
      <c r="CN16" s="699" t="str">
        <f>VLOOKUP(WWWW[[#This Row],[Site Name]],SiteDB6[[Site Name]:[Ethnic or GCA/NGCA]],11,FALSE)</f>
        <v>GCA</v>
      </c>
      <c r="CO16" s="699">
        <f>VLOOKUP(WWWW[[#This Row],[Site Name]],SiteDB6[[Site Name]:[Lat]],12,FALSE)</f>
        <v>24.222349999999999</v>
      </c>
      <c r="CP16" s="699">
        <f>VLOOKUP(WWWW[[#This Row],[Site Name]],SiteDB6[[Site Name]:[Long]],13,FALSE)</f>
        <v>97.252650000000003</v>
      </c>
      <c r="CQ16" s="699" t="str">
        <f>VLOOKUP(WWWW[[#This Row],[Site Name]],SiteDB6[[Site Name]:[Pcode]],3,FALSE)</f>
        <v>MMR001CMP193</v>
      </c>
      <c r="CR16" s="660" t="str">
        <f t="shared" si="0"/>
        <v>Covered</v>
      </c>
      <c r="CS16" s="660"/>
      <c r="CT16" s="24"/>
      <c r="CU16" s="24"/>
      <c r="CV16" s="24"/>
    </row>
    <row r="17" spans="1:100" ht="15.75" customHeight="1" x14ac:dyDescent="0.25">
      <c r="A17" s="833" t="s">
        <v>3206</v>
      </c>
      <c r="B17" s="206" t="s">
        <v>426</v>
      </c>
      <c r="C17" s="206" t="s">
        <v>44</v>
      </c>
      <c r="D17" s="206" t="s">
        <v>341</v>
      </c>
      <c r="E17" s="206" t="s">
        <v>430</v>
      </c>
      <c r="F17" s="206">
        <v>638</v>
      </c>
      <c r="G17" s="209">
        <v>4010</v>
      </c>
      <c r="H17" s="206"/>
      <c r="I17" s="206" t="s">
        <v>428</v>
      </c>
      <c r="J17" s="207" t="s">
        <v>2809</v>
      </c>
      <c r="K17" s="206">
        <v>0</v>
      </c>
      <c r="L17" s="206" t="s">
        <v>48</v>
      </c>
      <c r="M17" s="208">
        <v>0.43478260869565216</v>
      </c>
      <c r="N17" s="208">
        <v>0</v>
      </c>
      <c r="O17" s="316">
        <v>0</v>
      </c>
      <c r="P17" s="317">
        <v>22</v>
      </c>
      <c r="Q17" s="317">
        <v>5382000</v>
      </c>
      <c r="R17" s="318">
        <v>0</v>
      </c>
      <c r="S17" s="318">
        <v>0</v>
      </c>
      <c r="T17" s="318"/>
      <c r="U17" s="318">
        <v>0</v>
      </c>
      <c r="V17" s="318">
        <v>0</v>
      </c>
      <c r="W17" s="318">
        <v>25</v>
      </c>
      <c r="X17" s="318">
        <v>22</v>
      </c>
      <c r="Y17" s="318">
        <v>0</v>
      </c>
      <c r="Z17" s="318"/>
      <c r="AA17" s="310">
        <v>160</v>
      </c>
      <c r="AB17" s="310">
        <v>0</v>
      </c>
      <c r="AC17" s="66">
        <v>100</v>
      </c>
      <c r="AD17" s="66" t="s">
        <v>2785</v>
      </c>
      <c r="AE17" s="310">
        <v>0</v>
      </c>
      <c r="AF17" s="310" t="s">
        <v>283</v>
      </c>
      <c r="AG17" s="311" t="s">
        <v>283</v>
      </c>
      <c r="AH17" s="311">
        <v>0</v>
      </c>
      <c r="AI17" s="310">
        <v>0</v>
      </c>
      <c r="AJ17" s="310"/>
      <c r="AK17" s="841">
        <v>1</v>
      </c>
      <c r="AL17" s="842" t="s">
        <v>291</v>
      </c>
      <c r="AM17" s="842">
        <v>0</v>
      </c>
      <c r="AN17" s="863">
        <v>16</v>
      </c>
      <c r="AO17" s="863">
        <v>5</v>
      </c>
      <c r="AP17" s="838">
        <v>461</v>
      </c>
      <c r="AQ17" s="843">
        <v>496</v>
      </c>
      <c r="AR17" s="843"/>
      <c r="AS17" s="843"/>
      <c r="AT17" s="843">
        <v>8</v>
      </c>
      <c r="AU17" s="843">
        <v>0</v>
      </c>
      <c r="AV17" s="844" t="s">
        <v>2461</v>
      </c>
      <c r="AW17" s="208" t="str">
        <f>IFERROR(WWWW[[#This Row],['# of Water passed at source]]/WWWW[[#This Row],['# of Water tested at source]],"no test")</f>
        <v>no test</v>
      </c>
      <c r="AX17" s="211">
        <f>IFERROR(WWWW[[#This Row],['# of Water passed at HH]]/WWWW[[#This Row],['# of Water tested at HH]],"no test")</f>
        <v>0.88</v>
      </c>
      <c r="AY17" s="210" t="str">
        <f>IF(AND(WWWW[[#This Row],[%of Water samples which passed at water source]]="no test",WWWW[[#This Row],[%Water samples which passed at HH]]="no test"),"No Test","Tested")</f>
        <v>Tested</v>
      </c>
      <c r="AZ1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7" s="211">
        <f>IF(WWWW[[#This Row],[Location Type 1]]="Village",WWWW[[#This Row],[Access to safe drinking water for Village]],WWWW[[#This Row],[Access to safe drinking water for Camp]])</f>
        <v>1</v>
      </c>
      <c r="BC17" s="209">
        <f>WWWW[[#This Row],[%Equitable and continuous access to sufficient quantity of safe drinking water]]*WWWW[[#This Row],[Total PoP ]]</f>
        <v>4010</v>
      </c>
      <c r="BD17" s="211">
        <f>IF((WWWW[[#This Row],['# Existing protected/fenced ponds ]]*250)/WWWW[[#This Row],[Total PoP ]]&gt;1,1,WWWW[[#This Row],['# Existing protected/fenced ponds ]]*250/WWWW[[#This Row],[Total PoP ]])</f>
        <v>0</v>
      </c>
      <c r="BE17" s="209">
        <f>WWWW[[#This Row],[Access to unimproved water points]]*WWWW[[#This Row],[Total PoP ]]</f>
        <v>0</v>
      </c>
      <c r="BF1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4010</v>
      </c>
      <c r="BH17" s="209">
        <f>WWWW[[#This Row],['#people Equitable and continuous access to sufficient quantity of domestic water borehole n ponds_2]]/500</f>
        <v>8.02</v>
      </c>
      <c r="BI17" s="208">
        <f>1-WWWW[[#This Row],[%Equitable and continuous access to sufficient quantity of domestic water borehole n ponds]]</f>
        <v>0</v>
      </c>
      <c r="BJ17" s="209">
        <f>WWWW[[#This Row],[%equitable and continuous access to sufficient quantity of safe drinking and domestic water''s GAP]]*WWWW[[#This Row],[Total PoP ]]</f>
        <v>0</v>
      </c>
      <c r="BK17" s="210">
        <f>IF(WWWW[[#This Row],[Total required water points]]-WWWW[[#This Row],['#Water points coverage]]&lt;0,0,WWWW[[#This Row],[Total required water points]]-WWWW[[#This Row],['#Water points coverage]])</f>
        <v>0</v>
      </c>
      <c r="BL17" s="210">
        <f>ROUND(IF(WWWW[[#This Row],[Total PoP ]]&lt;500,1,WWWW[[#This Row],[Total PoP ]]/500),0)</f>
        <v>8</v>
      </c>
      <c r="BM17" s="210">
        <f>WWWW[[#This Row],['# Existing functional latrines]]+WWWW[[#This Row],['# Existing latrines dysfunctional]]</f>
        <v>160</v>
      </c>
      <c r="BN1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0.79800498753117211</v>
      </c>
      <c r="BO17" s="352">
        <f>WWWW[[#This Row],[% people access to functioning Latrine]]*WWWW[[#This Row],[Total PoP ]]</f>
        <v>3200</v>
      </c>
      <c r="BP1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0.20448877805486285</v>
      </c>
      <c r="BQ17" s="209">
        <f>IF(WWWW[[#This Row],[Total required Latrines]]-WWWW[[#This Row],[Total '# of latrine]]&lt;0,0,WWWW[[#This Row],[Total required Latrines]]-WWWW[[#This Row],[Total '# of latrine]])</f>
        <v>41</v>
      </c>
      <c r="BR17" s="210">
        <f>ROUND(IF(WWWW[[#This Row],[Location Type 1]]="camp",WWWW[[#This Row],[Total PoP ]]/20,WWWW[[#This Row],[Total PoP ]]/6),0)</f>
        <v>201</v>
      </c>
      <c r="BS17" s="212">
        <f>IF(OR(WWWW[[#This Row],['# Existing latrines dysfunctional]]="",WWWW[[#This Row],['# Existing latrines dysfunctional]]=0),0,WWWW[[#This Row],['# Existing latrines dysfunctional]]/WWWW[[#This Row],[Total '# of latrine]])</f>
        <v>0</v>
      </c>
      <c r="BT1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2000</v>
      </c>
      <c r="BU17" s="209">
        <f>IF(500*WWWW[[#This Row],['# Hygiene Promoters ]]&gt;WWWW[[#This Row],[Total PoP ]],WWWW[[#This Row],[Total PoP ]],500*WWWW[[#This Row],['# Hygiene Promoters ]])</f>
        <v>2500</v>
      </c>
      <c r="BV17" s="209">
        <f>IF(WWWW[[#This Row],[% of HH with access to Sanitary Pad]]&gt;=100%,1,0)</f>
        <v>0</v>
      </c>
      <c r="BW17" s="209">
        <f>IF(WWWW[[#This Row],[Total PoP ]]=0,0,IF(WWWW[[#This Row],['# Hygiene Promoters ]]=0,0,IF(WWWW[[#This Row],[Location Type 1]]="Village",IF(WWWW[[#This Row],[Total PoP ]]/WWWW[[#This Row],['# Hygiene Promoters ]]&lt;1000,1,0),IF(WWWW[[#This Row],[Total PoP ]]/WWWW[[#This Row],['# Hygiene Promoters ]]&lt;600,1,0))))</f>
        <v>0</v>
      </c>
      <c r="BX17" s="209">
        <f>IF(WWWW[[#This Row],[%HH with access to soap]]&gt;=100%,1,0)</f>
        <v>0</v>
      </c>
      <c r="BY17" s="209">
        <f>IF(WWWW[[#This Row],[% of HHs with access to Sanitary pad more than '#%]]+WWWW[[#This Row],[Ratio of Hyiene promoters to people less than '#]]+WWWW[[#This Row],[% of HHs with access to soap more than '#%]]&gt;=2,WWWW[[#This Row],[Total PoP ]],0)</f>
        <v>0</v>
      </c>
      <c r="BZ17" s="208">
        <f>WWWW[[#This Row],[People adopt basic personal and community hygiene practices]]/WWWW[[#This Row],[Total PoP ]]</f>
        <v>0</v>
      </c>
      <c r="CA17" s="212">
        <f>1-WWWW[[#This Row],[Hygiene Coverage%]]</f>
        <v>1</v>
      </c>
      <c r="CB17" s="211">
        <f>WWWW[[#This Row],['# people reached by regular dedicated hygiene promotion_5]]/WWWW[[#This Row],[Total PoP ]]</f>
        <v>0.62344139650872821</v>
      </c>
      <c r="CC17" s="211">
        <f>IF(WWWW[[#This Row],['# HH received soaps]]/WWWW[[#This Row],[Total HH]]&gt;1,1,WWWW[[#This Row],['# HH received soaps]]/WWWW[[#This Row],[Total HH]])</f>
        <v>0.72257053291536055</v>
      </c>
      <c r="CD17" s="211">
        <f>IF(WWWW[[#This Row],['# HH received Sanitary Pads]]/WWWW[[#This Row],[Total HH]]&gt;1,1,WWWW[[#This Row],['# HH received Sanitary Pads]]/WWWW[[#This Row],[Total HH]])</f>
        <v>0.77742946708463945</v>
      </c>
      <c r="CE17" s="210">
        <f>WWWW[[#This Row],['# HH received soaps]]*5</f>
        <v>2305</v>
      </c>
      <c r="CF17" s="210">
        <f>WWWW[[#This Row],['# HH received Sanitary Pads]]*5</f>
        <v>2480</v>
      </c>
      <c r="CG17" s="210">
        <f>IF(WWWW[[#This Row],['# People with access to soap]]&gt;WWWW[[#This Row],['# People with access to Sanity Pads]],WWWW[[#This Row],['# People with access to soap]],WWWW[[#This Row],['# People with access to Sanity Pads]])</f>
        <v>2480</v>
      </c>
      <c r="CH17" s="209">
        <f>WWWW[[#This Row],[Total HH]]*WWWW[[#This Row],[%HHs with access to functional hand washing stations]]</f>
        <v>638</v>
      </c>
      <c r="CI17" s="699" t="str">
        <f>VLOOKUP(WWWW[[#This Row],[Site Name]],SiteDB6[[Site Name]:[CCCM Management]],6,FALSE)</f>
        <v>Yes</v>
      </c>
      <c r="CJ17" s="699" t="str">
        <f>VLOOKUP(WWWW[[#This Row],[Site Name]],SiteDB6[[Site Name]:[CCCM Focal Agency]],7,FALSE)</f>
        <v>KBC</v>
      </c>
      <c r="CK17" s="699" t="str">
        <f>VLOOKUP(WWWW[[#This Row],[Site Name]],SiteDB6[[Site Name]:[Location Type]],8,FALSE)</f>
        <v>Camp</v>
      </c>
      <c r="CL17" s="699" t="str">
        <f>VLOOKUP(WWWW[[#This Row],[Site Name]],SiteDB6[[Site Name]:[Location Type 1]],9,FALSE)</f>
        <v>Camp</v>
      </c>
      <c r="CM17" s="699" t="str">
        <f>VLOOKUP(WWWW[[#This Row],[Site Name]],SiteDB6[[Site Name]:[Type of Accommodation]],10,FALSE)</f>
        <v>Camp</v>
      </c>
      <c r="CN17" s="699" t="str">
        <f>VLOOKUP(WWWW[[#This Row],[Site Name]],SiteDB6[[Site Name]:[Ethnic or GCA/NGCA]],11,FALSE)</f>
        <v>GCA</v>
      </c>
      <c r="CO17" s="699">
        <f>VLOOKUP(WWWW[[#This Row],[Site Name]],SiteDB6[[Site Name]:[Lat]],12,FALSE)</f>
        <v>24.268292826086999</v>
      </c>
      <c r="CP17" s="699">
        <f>VLOOKUP(WWWW[[#This Row],[Site Name]],SiteDB6[[Site Name]:[Long]],13,FALSE)</f>
        <v>97.229116811594196</v>
      </c>
      <c r="CQ17" s="699" t="str">
        <f>VLOOKUP(WWWW[[#This Row],[Site Name]],SiteDB6[[Site Name]:[Pcode]],3,FALSE)</f>
        <v>MMR001CMP047</v>
      </c>
      <c r="CR17" s="660" t="str">
        <f t="shared" si="0"/>
        <v>Covered</v>
      </c>
      <c r="CS17" s="660"/>
      <c r="CT17" s="24"/>
      <c r="CU17" s="24"/>
      <c r="CV17" s="24"/>
    </row>
    <row r="18" spans="1:100" ht="15.75" customHeight="1" x14ac:dyDescent="0.25">
      <c r="A18" s="833" t="s">
        <v>3206</v>
      </c>
      <c r="B18" s="206" t="s">
        <v>426</v>
      </c>
      <c r="C18" s="206" t="s">
        <v>44</v>
      </c>
      <c r="D18" s="206" t="s">
        <v>341</v>
      </c>
      <c r="E18" s="206" t="s">
        <v>2169</v>
      </c>
      <c r="F18" s="206">
        <v>281</v>
      </c>
      <c r="G18" s="209">
        <v>1409</v>
      </c>
      <c r="H18" s="206"/>
      <c r="I18" s="206" t="s">
        <v>428</v>
      </c>
      <c r="J18" s="207" t="s">
        <v>2809</v>
      </c>
      <c r="K18" s="206">
        <v>0</v>
      </c>
      <c r="L18" s="206" t="s">
        <v>282</v>
      </c>
      <c r="M18" s="208">
        <v>0</v>
      </c>
      <c r="N18" s="208">
        <v>0</v>
      </c>
      <c r="O18" s="316">
        <v>0</v>
      </c>
      <c r="P18" s="317">
        <v>0</v>
      </c>
      <c r="Q18" s="317">
        <v>0</v>
      </c>
      <c r="R18" s="318">
        <v>0</v>
      </c>
      <c r="S18" s="318">
        <v>0</v>
      </c>
      <c r="T18" s="318"/>
      <c r="U18" s="318">
        <v>0</v>
      </c>
      <c r="V18" s="318">
        <v>0</v>
      </c>
      <c r="W18" s="318">
        <v>0</v>
      </c>
      <c r="X18" s="318">
        <v>0</v>
      </c>
      <c r="Y18" s="318">
        <v>39</v>
      </c>
      <c r="Z18" s="318"/>
      <c r="AA18" s="310">
        <v>0</v>
      </c>
      <c r="AB18" s="310">
        <v>0</v>
      </c>
      <c r="AC18" s="66">
        <v>0</v>
      </c>
      <c r="AD18" s="66" t="s">
        <v>2785</v>
      </c>
      <c r="AE18" s="310">
        <v>0</v>
      </c>
      <c r="AF18" s="310" t="s">
        <v>283</v>
      </c>
      <c r="AG18" s="311" t="s">
        <v>283</v>
      </c>
      <c r="AH18" s="311">
        <v>0</v>
      </c>
      <c r="AI18" s="310">
        <v>0</v>
      </c>
      <c r="AJ18" s="310"/>
      <c r="AK18" s="841">
        <v>1</v>
      </c>
      <c r="AL18" s="842" t="s">
        <v>291</v>
      </c>
      <c r="AM18" s="842">
        <v>0</v>
      </c>
      <c r="AN18" s="863">
        <v>0</v>
      </c>
      <c r="AO18" s="863">
        <v>0</v>
      </c>
      <c r="AP18" s="838"/>
      <c r="AQ18" s="843">
        <v>0</v>
      </c>
      <c r="AR18" s="843"/>
      <c r="AS18" s="843"/>
      <c r="AT18" s="843">
        <v>0</v>
      </c>
      <c r="AU18" s="843">
        <v>0</v>
      </c>
      <c r="AV18" s="844" t="s">
        <v>2461</v>
      </c>
      <c r="AW18" s="208" t="str">
        <f>IFERROR(WWWW[[#This Row],['# of Water passed at source]]/WWWW[[#This Row],['# of Water tested at source]],"no test")</f>
        <v>no test</v>
      </c>
      <c r="AX18" s="211" t="str">
        <f>IFERROR(WWWW[[#This Row],['# of Water passed at HH]]/WWWW[[#This Row],['# of Water tested at HH]],"no test")</f>
        <v>no test</v>
      </c>
      <c r="AY18" s="210" t="str">
        <f>IF(AND(WWWW[[#This Row],[%of Water samples which passed at water source]]="no test",WWWW[[#This Row],[%Water samples which passed at HH]]="no test"),"No Test","Tested")</f>
        <v>No Test</v>
      </c>
      <c r="AZ1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 s="211">
        <f>IF(WWWW[[#This Row],[Location Type 1]]="Village",WWWW[[#This Row],[Access to safe drinking water for Village]],WWWW[[#This Row],[Access to safe drinking water for Camp]])</f>
        <v>0</v>
      </c>
      <c r="BC18" s="209">
        <f>WWWW[[#This Row],[%Equitable and continuous access to sufficient quantity of safe drinking water]]*WWWW[[#This Row],[Total PoP ]]</f>
        <v>0</v>
      </c>
      <c r="BD18" s="211">
        <f>IF((WWWW[[#This Row],['# Existing protected/fenced ponds ]]*250)/WWWW[[#This Row],[Total PoP ]]&gt;1,1,WWWW[[#This Row],['# Existing protected/fenced ponds ]]*250/WWWW[[#This Row],[Total PoP ]])</f>
        <v>0</v>
      </c>
      <c r="BE18" s="209">
        <f>WWWW[[#This Row],[Access to unimproved water points]]*WWWW[[#This Row],[Total PoP ]]</f>
        <v>0</v>
      </c>
      <c r="BF1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 s="209">
        <f>WWWW[[#This Row],['#people Equitable and continuous access to sufficient quantity of domestic water borehole n ponds_2]]/500</f>
        <v>0</v>
      </c>
      <c r="BI18" s="208">
        <f>1-WWWW[[#This Row],[%Equitable and continuous access to sufficient quantity of domestic water borehole n ponds]]</f>
        <v>1</v>
      </c>
      <c r="BJ18" s="209">
        <f>WWWW[[#This Row],[%equitable and continuous access to sufficient quantity of safe drinking and domestic water''s GAP]]*WWWW[[#This Row],[Total PoP ]]</f>
        <v>1409</v>
      </c>
      <c r="BK18" s="210">
        <f>IF(WWWW[[#This Row],[Total required water points]]-WWWW[[#This Row],['#Water points coverage]]&lt;0,0,WWWW[[#This Row],[Total required water points]]-WWWW[[#This Row],['#Water points coverage]])</f>
        <v>3</v>
      </c>
      <c r="BL18" s="210">
        <f>ROUND(IF(WWWW[[#This Row],[Total PoP ]]&lt;500,1,WWWW[[#This Row],[Total PoP ]]/500),0)</f>
        <v>3</v>
      </c>
      <c r="BM18" s="210">
        <f>WWWW[[#This Row],['# Existing functional latrines]]+WWWW[[#This Row],['# Existing latrines dysfunctional]]</f>
        <v>0</v>
      </c>
      <c r="BN1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 s="352">
        <f>WWWW[[#This Row],[% people access to functioning Latrine]]*WWWW[[#This Row],[Total PoP ]]</f>
        <v>0</v>
      </c>
      <c r="BP1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0.99361249112845984</v>
      </c>
      <c r="BQ18" s="209">
        <f>IF(WWWW[[#This Row],[Total required Latrines]]-WWWW[[#This Row],[Total '# of latrine]]&lt;0,0,WWWW[[#This Row],[Total required Latrines]]-WWWW[[#This Row],[Total '# of latrine]])</f>
        <v>70</v>
      </c>
      <c r="BR18" s="210">
        <f>ROUND(IF(WWWW[[#This Row],[Location Type 1]]="camp",WWWW[[#This Row],[Total PoP ]]/20,WWWW[[#This Row],[Total PoP ]]/6),0)</f>
        <v>70</v>
      </c>
      <c r="BS18" s="212">
        <f>IF(OR(WWWW[[#This Row],['# Existing latrines dysfunctional]]="",WWWW[[#This Row],['# Existing latrines dysfunctional]]=0),0,WWWW[[#This Row],['# Existing latrines dysfunctional]]/WWWW[[#This Row],[Total '# of latrine]])</f>
        <v>0</v>
      </c>
      <c r="BT1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8" s="209">
        <f>IF(500*WWWW[[#This Row],['# Hygiene Promoters ]]&gt;WWWW[[#This Row],[Total PoP ]],WWWW[[#This Row],[Total PoP ]],500*WWWW[[#This Row],['# Hygiene Promoters ]])</f>
        <v>0</v>
      </c>
      <c r="BV18" s="209">
        <f>IF(WWWW[[#This Row],[% of HH with access to Sanitary Pad]]&gt;=100%,1,0)</f>
        <v>0</v>
      </c>
      <c r="BW18" s="209">
        <f>IF(WWWW[[#This Row],[Total PoP ]]=0,0,IF(WWWW[[#This Row],['# Hygiene Promoters ]]=0,0,IF(WWWW[[#This Row],[Location Type 1]]="Village",IF(WWWW[[#This Row],[Total PoP ]]/WWWW[[#This Row],['# Hygiene Promoters ]]&lt;1000,1,0),IF(WWWW[[#This Row],[Total PoP ]]/WWWW[[#This Row],['# Hygiene Promoters ]]&lt;600,1,0))))</f>
        <v>0</v>
      </c>
      <c r="BX18" s="209">
        <f>IF(WWWW[[#This Row],[%HH with access to soap]]&gt;=100%,1,0)</f>
        <v>0</v>
      </c>
      <c r="BY18" s="209">
        <f>IF(WWWW[[#This Row],[% of HHs with access to Sanitary pad more than '#%]]+WWWW[[#This Row],[Ratio of Hyiene promoters to people less than '#]]+WWWW[[#This Row],[% of HHs with access to soap more than '#%]]&gt;=2,WWWW[[#This Row],[Total PoP ]],0)</f>
        <v>0</v>
      </c>
      <c r="BZ18" s="208">
        <f>WWWW[[#This Row],[People adopt basic personal and community hygiene practices]]/WWWW[[#This Row],[Total PoP ]]</f>
        <v>0</v>
      </c>
      <c r="CA18" s="212">
        <f>1-WWWW[[#This Row],[Hygiene Coverage%]]</f>
        <v>1</v>
      </c>
      <c r="CB18" s="211">
        <f>WWWW[[#This Row],['# people reached by regular dedicated hygiene promotion_5]]/WWWW[[#This Row],[Total PoP ]]</f>
        <v>0</v>
      </c>
      <c r="CC18" s="211">
        <f>IF(WWWW[[#This Row],['# HH received soaps]]/WWWW[[#This Row],[Total HH]]&gt;1,1,WWWW[[#This Row],['# HH received soaps]]/WWWW[[#This Row],[Total HH]])</f>
        <v>0</v>
      </c>
      <c r="CD18" s="211">
        <f>IF(WWWW[[#This Row],['# HH received Sanitary Pads]]/WWWW[[#This Row],[Total HH]]&gt;1,1,WWWW[[#This Row],['# HH received Sanitary Pads]]/WWWW[[#This Row],[Total HH]])</f>
        <v>0</v>
      </c>
      <c r="CE18" s="210">
        <f>WWWW[[#This Row],['# HH received soaps]]*5</f>
        <v>0</v>
      </c>
      <c r="CF18" s="210">
        <f>WWWW[[#This Row],['# HH received Sanitary Pads]]*5</f>
        <v>0</v>
      </c>
      <c r="CG18" s="210">
        <f>IF(WWWW[[#This Row],['# People with access to soap]]&gt;WWWW[[#This Row],['# People with access to Sanity Pads]],WWWW[[#This Row],['# People with access to soap]],WWWW[[#This Row],['# People with access to Sanity Pads]])</f>
        <v>0</v>
      </c>
      <c r="CH18" s="209">
        <f>WWWW[[#This Row],[Total HH]]*WWWW[[#This Row],[%HHs with access to functional hand washing stations]]</f>
        <v>281</v>
      </c>
      <c r="CI18" s="699" t="str">
        <f>VLOOKUP(WWWW[[#This Row],[Site Name]],SiteDB6[[Site Name]:[CCCM Management]],6,FALSE)</f>
        <v>No</v>
      </c>
      <c r="CJ18" s="699">
        <f>VLOOKUP(WWWW[[#This Row],[Site Name]],SiteDB6[[Site Name]:[CCCM Focal Agency]],7,FALSE)</f>
        <v>0</v>
      </c>
      <c r="CK18" s="699" t="str">
        <f>VLOOKUP(WWWW[[#This Row],[Site Name]],SiteDB6[[Site Name]:[Location Type]],8,FALSE)</f>
        <v>Camp_not registered</v>
      </c>
      <c r="CL18" s="699" t="str">
        <f>VLOOKUP(WWWW[[#This Row],[Site Name]],SiteDB6[[Site Name]:[Location Type 1]],9,FALSE)</f>
        <v>Camp</v>
      </c>
      <c r="CM18" s="699" t="str">
        <f>VLOOKUP(WWWW[[#This Row],[Site Name]],SiteDB6[[Site Name]:[Type of Accommodation]],10,FALSE)</f>
        <v>Camp</v>
      </c>
      <c r="CN18" s="699" t="str">
        <f>VLOOKUP(WWWW[[#This Row],[Site Name]],SiteDB6[[Site Name]:[Ethnic or GCA/NGCA]],11,FALSE)</f>
        <v>GCA</v>
      </c>
      <c r="CO18" s="699">
        <f>VLOOKUP(WWWW[[#This Row],[Site Name]],SiteDB6[[Site Name]:[Lat]],12,FALSE)</f>
        <v>0</v>
      </c>
      <c r="CP18" s="699">
        <f>VLOOKUP(WWWW[[#This Row],[Site Name]],SiteDB6[[Site Name]:[Long]],13,FALSE)</f>
        <v>0</v>
      </c>
      <c r="CQ18" s="699">
        <f>VLOOKUP(WWWW[[#This Row],[Site Name]],SiteDB6[[Site Name]:[Pcode]],3,FALSE)</f>
        <v>0</v>
      </c>
      <c r="CR18" s="660" t="str">
        <f t="shared" si="0"/>
        <v>Covered</v>
      </c>
      <c r="CS18" s="660" t="s">
        <v>2481</v>
      </c>
      <c r="CT18" s="24"/>
      <c r="CU18" s="24"/>
      <c r="CV18" s="24"/>
    </row>
    <row r="19" spans="1:100" ht="15.75" customHeight="1" x14ac:dyDescent="0.25">
      <c r="A19" s="833" t="s">
        <v>3206</v>
      </c>
      <c r="B19" s="206" t="s">
        <v>338</v>
      </c>
      <c r="C19" s="206" t="s">
        <v>44</v>
      </c>
      <c r="D19" s="206" t="s">
        <v>341</v>
      </c>
      <c r="E19" s="206" t="s">
        <v>350</v>
      </c>
      <c r="F19" s="206">
        <v>13</v>
      </c>
      <c r="G19" s="209">
        <v>75</v>
      </c>
      <c r="H19" s="206"/>
      <c r="I19" s="206" t="s">
        <v>2475</v>
      </c>
      <c r="J19" s="207">
        <v>43344</v>
      </c>
      <c r="K19" s="206">
        <v>0</v>
      </c>
      <c r="L19" s="206" t="s">
        <v>282</v>
      </c>
      <c r="M19" s="208">
        <v>0</v>
      </c>
      <c r="N19" s="208">
        <v>0</v>
      </c>
      <c r="O19" s="316">
        <v>0</v>
      </c>
      <c r="P19" s="317">
        <v>1</v>
      </c>
      <c r="Q19" s="317">
        <v>0</v>
      </c>
      <c r="R19" s="318">
        <v>0</v>
      </c>
      <c r="S19" s="318">
        <v>0</v>
      </c>
      <c r="T19" s="318"/>
      <c r="U19" s="318"/>
      <c r="V19" s="318"/>
      <c r="W19" s="318"/>
      <c r="X19" s="318"/>
      <c r="Y19" s="318"/>
      <c r="Z19" s="318"/>
      <c r="AA19" s="310">
        <v>10</v>
      </c>
      <c r="AB19" s="310">
        <v>0</v>
      </c>
      <c r="AC19" s="66"/>
      <c r="AD19" s="66"/>
      <c r="AE19" s="310">
        <v>0</v>
      </c>
      <c r="AF19" s="310" t="s">
        <v>283</v>
      </c>
      <c r="AG19" s="311" t="s">
        <v>283</v>
      </c>
      <c r="AH19" s="311"/>
      <c r="AI19" s="310"/>
      <c r="AJ19" s="310"/>
      <c r="AK19" s="841">
        <v>1</v>
      </c>
      <c r="AL19" s="842" t="s">
        <v>291</v>
      </c>
      <c r="AM19" s="842">
        <v>0</v>
      </c>
      <c r="AN19" s="863">
        <v>2</v>
      </c>
      <c r="AO19" s="863">
        <v>1</v>
      </c>
      <c r="AP19" s="838">
        <v>13</v>
      </c>
      <c r="AQ19" s="843">
        <v>13</v>
      </c>
      <c r="AR19" s="843"/>
      <c r="AS19" s="843"/>
      <c r="AT19" s="843"/>
      <c r="AU19" s="843"/>
      <c r="AV19" s="844"/>
      <c r="AW19" s="208" t="str">
        <f>IFERROR(WWWW[[#This Row],['# of Water passed at source]]/WWWW[[#This Row],['# of Water tested at source]],"no test")</f>
        <v>no test</v>
      </c>
      <c r="AX19" s="211" t="str">
        <f>IFERROR(WWWW[[#This Row],['# of Water passed at HH]]/WWWW[[#This Row],['# of Water tested at HH]],"no test")</f>
        <v>no test</v>
      </c>
      <c r="AY19" s="210" t="str">
        <f>IF(AND(WWWW[[#This Row],[%of Water samples which passed at water source]]="no test",WWWW[[#This Row],[%Water samples which passed at HH]]="no test"),"No Test","Tested")</f>
        <v>No Test</v>
      </c>
      <c r="AZ1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9" s="211">
        <f>IF(WWWW[[#This Row],[Location Type 1]]="Village",WWWW[[#This Row],[Access to safe drinking water for Village]],WWWW[[#This Row],[Access to safe drinking water for Camp]])</f>
        <v>1</v>
      </c>
      <c r="BC19" s="209">
        <f>WWWW[[#This Row],[%Equitable and continuous access to sufficient quantity of safe drinking water]]*WWWW[[#This Row],[Total PoP ]]</f>
        <v>75</v>
      </c>
      <c r="BD19" s="211">
        <f>IF((WWWW[[#This Row],['# Existing protected/fenced ponds ]]*250)/WWWW[[#This Row],[Total PoP ]]&gt;1,1,WWWW[[#This Row],['# Existing protected/fenced ponds ]]*250/WWWW[[#This Row],[Total PoP ]])</f>
        <v>0</v>
      </c>
      <c r="BE19" s="209">
        <f>WWWW[[#This Row],[Access to unimproved water points]]*WWWW[[#This Row],[Total PoP ]]</f>
        <v>0</v>
      </c>
      <c r="BF1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v>
      </c>
      <c r="BH19" s="209">
        <f>WWWW[[#This Row],['#people Equitable and continuous access to sufficient quantity of domestic water borehole n ponds_2]]/500</f>
        <v>0.15</v>
      </c>
      <c r="BI19" s="208">
        <f>1-WWWW[[#This Row],[%Equitable and continuous access to sufficient quantity of domestic water borehole n ponds]]</f>
        <v>0</v>
      </c>
      <c r="BJ19" s="209">
        <f>WWWW[[#This Row],[%equitable and continuous access to sufficient quantity of safe drinking and domestic water''s GAP]]*WWWW[[#This Row],[Total PoP ]]</f>
        <v>0</v>
      </c>
      <c r="BK19" s="210">
        <f>IF(WWWW[[#This Row],[Total required water points]]-WWWW[[#This Row],['#Water points coverage]]&lt;0,0,WWWW[[#This Row],[Total required water points]]-WWWW[[#This Row],['#Water points coverage]])</f>
        <v>0.85</v>
      </c>
      <c r="BL19" s="210">
        <f>ROUND(IF(WWWW[[#This Row],[Total PoP ]]&lt;500,1,WWWW[[#This Row],[Total PoP ]]/500),0)</f>
        <v>1</v>
      </c>
      <c r="BM19" s="210">
        <f>WWWW[[#This Row],['# Existing functional latrines]]+WWWW[[#This Row],['# Existing latrines dysfunctional]]</f>
        <v>10</v>
      </c>
      <c r="BN1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9" s="352">
        <f>WWWW[[#This Row],[% people access to functioning Latrine]]*WWWW[[#This Row],[Total PoP ]]</f>
        <v>75</v>
      </c>
      <c r="BP1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9" s="209">
        <f>IF(WWWW[[#This Row],[Total required Latrines]]-WWWW[[#This Row],[Total '# of latrine]]&lt;0,0,WWWW[[#This Row],[Total required Latrines]]-WWWW[[#This Row],[Total '# of latrine]])</f>
        <v>0</v>
      </c>
      <c r="BR19" s="210">
        <f>ROUND(IF(WWWW[[#This Row],[Location Type 1]]="camp",WWWW[[#This Row],[Total PoP ]]/20,WWWW[[#This Row],[Total PoP ]]/6),0)</f>
        <v>4</v>
      </c>
      <c r="BS19" s="212">
        <f>IF(OR(WWWW[[#This Row],['# Existing latrines dysfunctional]]="",WWWW[[#This Row],['# Existing latrines dysfunctional]]=0),0,WWWW[[#This Row],['# Existing latrines dysfunctional]]/WWWW[[#This Row],[Total '# of latrine]])</f>
        <v>0</v>
      </c>
      <c r="BT1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9" s="209">
        <f>IF(500*WWWW[[#This Row],['# Hygiene Promoters ]]&gt;WWWW[[#This Row],[Total PoP ]],WWWW[[#This Row],[Total PoP ]],500*WWWW[[#This Row],['# Hygiene Promoters ]])</f>
        <v>75</v>
      </c>
      <c r="BV19" s="209">
        <f>IF(WWWW[[#This Row],[% of HH with access to Sanitary Pad]]&gt;=100%,1,0)</f>
        <v>1</v>
      </c>
      <c r="BW19" s="209">
        <f>IF(WWWW[[#This Row],[Total PoP ]]=0,0,IF(WWWW[[#This Row],['# Hygiene Promoters ]]=0,0,IF(WWWW[[#This Row],[Location Type 1]]="Village",IF(WWWW[[#This Row],[Total PoP ]]/WWWW[[#This Row],['# Hygiene Promoters ]]&lt;1000,1,0),IF(WWWW[[#This Row],[Total PoP ]]/WWWW[[#This Row],['# Hygiene Promoters ]]&lt;600,1,0))))</f>
        <v>1</v>
      </c>
      <c r="BX19" s="209">
        <f>IF(WWWW[[#This Row],[%HH with access to soap]]&gt;=100%,1,0)</f>
        <v>1</v>
      </c>
      <c r="BY19" s="209">
        <f>IF(WWWW[[#This Row],[% of HHs with access to Sanitary pad more than '#%]]+WWWW[[#This Row],[Ratio of Hyiene promoters to people less than '#]]+WWWW[[#This Row],[% of HHs with access to soap more than '#%]]&gt;=2,WWWW[[#This Row],[Total PoP ]],0)</f>
        <v>75</v>
      </c>
      <c r="BZ19" s="208">
        <f>WWWW[[#This Row],[People adopt basic personal and community hygiene practices]]/WWWW[[#This Row],[Total PoP ]]</f>
        <v>1</v>
      </c>
      <c r="CA19" s="212">
        <f>1-WWWW[[#This Row],[Hygiene Coverage%]]</f>
        <v>0</v>
      </c>
      <c r="CB19" s="211">
        <f>WWWW[[#This Row],['# people reached by regular dedicated hygiene promotion_5]]/WWWW[[#This Row],[Total PoP ]]</f>
        <v>1</v>
      </c>
      <c r="CC19" s="211">
        <f>IF(WWWW[[#This Row],['# HH received soaps]]/WWWW[[#This Row],[Total HH]]&gt;1,1,WWWW[[#This Row],['# HH received soaps]]/WWWW[[#This Row],[Total HH]])</f>
        <v>1</v>
      </c>
      <c r="CD19" s="211">
        <f>IF(WWWW[[#This Row],['# HH received Sanitary Pads]]/WWWW[[#This Row],[Total HH]]&gt;1,1,WWWW[[#This Row],['# HH received Sanitary Pads]]/WWWW[[#This Row],[Total HH]])</f>
        <v>1</v>
      </c>
      <c r="CE19" s="210">
        <f>WWWW[[#This Row],['# HH received soaps]]*5</f>
        <v>65</v>
      </c>
      <c r="CF19" s="210">
        <f>WWWW[[#This Row],['# HH received Sanitary Pads]]*5</f>
        <v>65</v>
      </c>
      <c r="CG19" s="210">
        <f>IF(WWWW[[#This Row],['# People with access to soap]]&gt;WWWW[[#This Row],['# People with access to Sanity Pads]],WWWW[[#This Row],['# People with access to soap]],WWWW[[#This Row],['# People with access to Sanity Pads]])</f>
        <v>65</v>
      </c>
      <c r="CH19" s="209">
        <f>WWWW[[#This Row],[Total HH]]*WWWW[[#This Row],[%HHs with access to functional hand washing stations]]</f>
        <v>13</v>
      </c>
      <c r="CI19" s="699" t="str">
        <f>VLOOKUP(WWWW[[#This Row],[Site Name]],SiteDB6[[Site Name]:[CCCM Management]],6,FALSE)</f>
        <v>Yes</v>
      </c>
      <c r="CJ19" s="699" t="str">
        <f>VLOOKUP(WWWW[[#This Row],[Site Name]],SiteDB6[[Site Name]:[CCCM Focal Agency]],7,FALSE)</f>
        <v>Shalom</v>
      </c>
      <c r="CK19" s="699" t="str">
        <f>VLOOKUP(WWWW[[#This Row],[Site Name]],SiteDB6[[Site Name]:[Location Type]],8,FALSE)</f>
        <v>Camp</v>
      </c>
      <c r="CL19" s="699" t="str">
        <f>VLOOKUP(WWWW[[#This Row],[Site Name]],SiteDB6[[Site Name]:[Location Type 1]],9,FALSE)</f>
        <v>Camp</v>
      </c>
      <c r="CM19" s="699" t="str">
        <f>VLOOKUP(WWWW[[#This Row],[Site Name]],SiteDB6[[Site Name]:[Type of Accommodation]],10,FALSE)</f>
        <v>Camp</v>
      </c>
      <c r="CN19" s="699" t="str">
        <f>VLOOKUP(WWWW[[#This Row],[Site Name]],SiteDB6[[Site Name]:[Ethnic or GCA/NGCA]],11,FALSE)</f>
        <v>GCA</v>
      </c>
      <c r="CO19" s="699">
        <f>VLOOKUP(WWWW[[#This Row],[Site Name]],SiteDB6[[Site Name]:[Lat]],12,FALSE)</f>
        <v>24.24953</v>
      </c>
      <c r="CP19" s="699">
        <f>VLOOKUP(WWWW[[#This Row],[Site Name]],SiteDB6[[Site Name]:[Long]],13,FALSE)</f>
        <v>97.240639999999999</v>
      </c>
      <c r="CQ19" s="699" t="str">
        <f>VLOOKUP(WWWW[[#This Row],[Site Name]],SiteDB6[[Site Name]:[Pcode]],3,FALSE)</f>
        <v>MMR001CMP053</v>
      </c>
      <c r="CR19" s="660" t="str">
        <f t="shared" si="0"/>
        <v>Covered</v>
      </c>
      <c r="CS19" s="660"/>
      <c r="CT19" s="24"/>
      <c r="CU19" s="24"/>
      <c r="CV19" s="24"/>
    </row>
    <row r="20" spans="1:100" ht="15.75" customHeight="1" x14ac:dyDescent="0.25">
      <c r="A20" s="833" t="s">
        <v>3206</v>
      </c>
      <c r="B20" s="206" t="s">
        <v>389</v>
      </c>
      <c r="C20" s="206" t="s">
        <v>44</v>
      </c>
      <c r="D20" s="206" t="s">
        <v>292</v>
      </c>
      <c r="E20" s="206" t="s">
        <v>392</v>
      </c>
      <c r="F20" s="206">
        <v>108</v>
      </c>
      <c r="G20" s="209">
        <v>519</v>
      </c>
      <c r="H20" s="206"/>
      <c r="I20" s="206" t="s">
        <v>393</v>
      </c>
      <c r="J20" s="207">
        <v>42947</v>
      </c>
      <c r="K20" s="206">
        <v>0</v>
      </c>
      <c r="L20" s="206" t="s">
        <v>48</v>
      </c>
      <c r="M20" s="208">
        <v>0.6</v>
      </c>
      <c r="N20" s="208">
        <v>1</v>
      </c>
      <c r="O20" s="316">
        <v>0</v>
      </c>
      <c r="P20" s="317">
        <v>0</v>
      </c>
      <c r="Q20" s="317">
        <v>0</v>
      </c>
      <c r="R20" s="318">
        <v>0</v>
      </c>
      <c r="S20" s="318">
        <v>1</v>
      </c>
      <c r="T20" s="318"/>
      <c r="U20" s="318">
        <v>2</v>
      </c>
      <c r="V20" s="318">
        <v>0</v>
      </c>
      <c r="W20" s="318">
        <v>3</v>
      </c>
      <c r="X20" s="318">
        <v>0</v>
      </c>
      <c r="Y20" s="318">
        <v>0</v>
      </c>
      <c r="Z20" s="318" t="s">
        <v>394</v>
      </c>
      <c r="AA20" s="310">
        <v>26</v>
      </c>
      <c r="AB20" s="310">
        <v>4</v>
      </c>
      <c r="AC20" s="66">
        <v>0</v>
      </c>
      <c r="AD20" s="66"/>
      <c r="AE20" s="310">
        <v>26</v>
      </c>
      <c r="AF20" s="310" t="s">
        <v>1358</v>
      </c>
      <c r="AG20" s="311" t="s">
        <v>1358</v>
      </c>
      <c r="AH20" s="311">
        <v>0</v>
      </c>
      <c r="AI20" s="310">
        <v>0</v>
      </c>
      <c r="AJ20" s="310"/>
      <c r="AK20" s="841">
        <v>0.5</v>
      </c>
      <c r="AL20" s="842" t="s">
        <v>376</v>
      </c>
      <c r="AM20" s="842">
        <v>0</v>
      </c>
      <c r="AN20" s="863">
        <v>5</v>
      </c>
      <c r="AO20" s="863">
        <v>0</v>
      </c>
      <c r="AP20" s="838">
        <v>0</v>
      </c>
      <c r="AQ20" s="843">
        <v>0</v>
      </c>
      <c r="AR20" s="843"/>
      <c r="AS20" s="843"/>
      <c r="AT20" s="843">
        <v>1</v>
      </c>
      <c r="AU20" s="843"/>
      <c r="AV20" s="844"/>
      <c r="AW20" s="208">
        <f>IFERROR(WWWW[[#This Row],['# of Water passed at source]]/WWWW[[#This Row],['# of Water tested at source]],"no test")</f>
        <v>0</v>
      </c>
      <c r="AX20" s="211">
        <f>IFERROR(WWWW[[#This Row],['# of Water passed at HH]]/WWWW[[#This Row],['# of Water tested at HH]],"no test")</f>
        <v>0</v>
      </c>
      <c r="AY20" s="210" t="str">
        <f>IF(AND(WWWW[[#This Row],[%of Water samples which passed at water source]]="no test",WWWW[[#This Row],[%Water samples which passed at HH]]="no test"),"No Test","Tested")</f>
        <v>Tested</v>
      </c>
      <c r="AZ2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 s="211">
        <f>IF(WWWW[[#This Row],[Location Type 1]]="Village",WWWW[[#This Row],[Access to safe drinking water for Village]],WWWW[[#This Row],[Access to safe drinking water for Camp]])</f>
        <v>0</v>
      </c>
      <c r="BC20" s="209">
        <f>WWWW[[#This Row],[%Equitable and continuous access to sufficient quantity of safe drinking water]]*WWWW[[#This Row],[Total PoP ]]</f>
        <v>0</v>
      </c>
      <c r="BD20" s="211">
        <f>IF((WWWW[[#This Row],['# Existing protected/fenced ponds ]]*250)/WWWW[[#This Row],[Total PoP ]]&gt;1,1,WWWW[[#This Row],['# Existing protected/fenced ponds ]]*250/WWWW[[#This Row],[Total PoP ]])</f>
        <v>0</v>
      </c>
      <c r="BE20" s="209">
        <f>WWWW[[#This Row],[Access to unimproved water points]]*WWWW[[#This Row],[Total PoP ]]</f>
        <v>0</v>
      </c>
      <c r="BF2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0" s="209">
        <f>WWWW[[#This Row],['#people Equitable and continuous access to sufficient quantity of domestic water borehole n ponds_2]]/500</f>
        <v>0</v>
      </c>
      <c r="BI20" s="208">
        <f>1-WWWW[[#This Row],[%Equitable and continuous access to sufficient quantity of domestic water borehole n ponds]]</f>
        <v>1</v>
      </c>
      <c r="BJ20" s="209">
        <f>WWWW[[#This Row],[%equitable and continuous access to sufficient quantity of safe drinking and domestic water''s GAP]]*WWWW[[#This Row],[Total PoP ]]</f>
        <v>519</v>
      </c>
      <c r="BK20" s="210">
        <f>IF(WWWW[[#This Row],[Total required water points]]-WWWW[[#This Row],['#Water points coverage]]&lt;0,0,WWWW[[#This Row],[Total required water points]]-WWWW[[#This Row],['#Water points coverage]])</f>
        <v>1</v>
      </c>
      <c r="BL20" s="210">
        <f>ROUND(IF(WWWW[[#This Row],[Total PoP ]]&lt;500,1,WWWW[[#This Row],[Total PoP ]]/500),0)</f>
        <v>1</v>
      </c>
      <c r="BM20" s="210">
        <f>WWWW[[#This Row],['# Existing functional latrines]]+WWWW[[#This Row],['# Existing latrines dysfunctional]]</f>
        <v>30</v>
      </c>
      <c r="BN2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0" s="352">
        <f>WWWW[[#This Row],[% people access to functioning Latrine]]*WWWW[[#This Row],[Total PoP ]]</f>
        <v>519</v>
      </c>
      <c r="BP2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0" s="209">
        <f>IF(WWWW[[#This Row],[Total required Latrines]]-WWWW[[#This Row],[Total '# of latrine]]&lt;0,0,WWWW[[#This Row],[Total required Latrines]]-WWWW[[#This Row],[Total '# of latrine]])</f>
        <v>0</v>
      </c>
      <c r="BR20" s="210">
        <f>ROUND(IF(WWWW[[#This Row],[Location Type 1]]="camp",WWWW[[#This Row],[Total PoP ]]/20,WWWW[[#This Row],[Total PoP ]]/6),0)</f>
        <v>26</v>
      </c>
      <c r="BS20" s="212">
        <f>IF(OR(WWWW[[#This Row],['# Existing latrines dysfunctional]]="",WWWW[[#This Row],['# Existing latrines dysfunctional]]=0),0,WWWW[[#This Row],['# Existing latrines dysfunctional]]/WWWW[[#This Row],[Total '# of latrine]])</f>
        <v>0.13333333333333333</v>
      </c>
      <c r="BT2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0" s="209">
        <f>IF(500*WWWW[[#This Row],['# Hygiene Promoters ]]&gt;WWWW[[#This Row],[Total PoP ]],WWWW[[#This Row],[Total PoP ]],500*WWWW[[#This Row],['# Hygiene Promoters ]])</f>
        <v>0</v>
      </c>
      <c r="BV20" s="209">
        <f>IF(WWWW[[#This Row],[% of HH with access to Sanitary Pad]]&gt;=100%,1,0)</f>
        <v>0</v>
      </c>
      <c r="BW20" s="209">
        <f>IF(WWWW[[#This Row],[Total PoP ]]=0,0,IF(WWWW[[#This Row],['# Hygiene Promoters ]]=0,0,IF(WWWW[[#This Row],[Location Type 1]]="Village",IF(WWWW[[#This Row],[Total PoP ]]/WWWW[[#This Row],['# Hygiene Promoters ]]&lt;1000,1,0),IF(WWWW[[#This Row],[Total PoP ]]/WWWW[[#This Row],['# Hygiene Promoters ]]&lt;600,1,0))))</f>
        <v>0</v>
      </c>
      <c r="BX20" s="209">
        <f>IF(WWWW[[#This Row],[%HH with access to soap]]&gt;=100%,1,0)</f>
        <v>0</v>
      </c>
      <c r="BY20" s="209">
        <f>IF(WWWW[[#This Row],[% of HHs with access to Sanitary pad more than '#%]]+WWWW[[#This Row],[Ratio of Hyiene promoters to people less than '#]]+WWWW[[#This Row],[% of HHs with access to soap more than '#%]]&gt;=2,WWWW[[#This Row],[Total PoP ]],0)</f>
        <v>0</v>
      </c>
      <c r="BZ20" s="208">
        <f>WWWW[[#This Row],[People adopt basic personal and community hygiene practices]]/WWWW[[#This Row],[Total PoP ]]</f>
        <v>0</v>
      </c>
      <c r="CA20" s="212">
        <f>1-WWWW[[#This Row],[Hygiene Coverage%]]</f>
        <v>1</v>
      </c>
      <c r="CB20" s="211">
        <f>WWWW[[#This Row],['# people reached by regular dedicated hygiene promotion_5]]/WWWW[[#This Row],[Total PoP ]]</f>
        <v>0</v>
      </c>
      <c r="CC20" s="211">
        <f>IF(WWWW[[#This Row],['# HH received soaps]]/WWWW[[#This Row],[Total HH]]&gt;1,1,WWWW[[#This Row],['# HH received soaps]]/WWWW[[#This Row],[Total HH]])</f>
        <v>0</v>
      </c>
      <c r="CD20" s="211">
        <f>IF(WWWW[[#This Row],['# HH received Sanitary Pads]]/WWWW[[#This Row],[Total HH]]&gt;1,1,WWWW[[#This Row],['# HH received Sanitary Pads]]/WWWW[[#This Row],[Total HH]])</f>
        <v>0</v>
      </c>
      <c r="CE20" s="210">
        <f>WWWW[[#This Row],['# HH received soaps]]*5</f>
        <v>0</v>
      </c>
      <c r="CF20" s="210">
        <f>WWWW[[#This Row],['# HH received Sanitary Pads]]*5</f>
        <v>0</v>
      </c>
      <c r="CG20" s="210">
        <f>IF(WWWW[[#This Row],['# People with access to soap]]&gt;WWWW[[#This Row],['# People with access to Sanity Pads]],WWWW[[#This Row],['# People with access to soap]],WWWW[[#This Row],['# People with access to Sanity Pads]])</f>
        <v>0</v>
      </c>
      <c r="CH20" s="209">
        <f>WWWW[[#This Row],[Total HH]]*WWWW[[#This Row],[%HHs with access to functional hand washing stations]]</f>
        <v>54</v>
      </c>
      <c r="CI20" s="699" t="str">
        <f>VLOOKUP(WWWW[[#This Row],[Site Name]],SiteDB6[[Site Name]:[CCCM Management]],6,FALSE)</f>
        <v>Yes</v>
      </c>
      <c r="CJ20" s="699" t="str">
        <f>VLOOKUP(WWWW[[#This Row],[Site Name]],SiteDB6[[Site Name]:[CCCM Focal Agency]],7,FALSE)</f>
        <v>Shalom</v>
      </c>
      <c r="CK20" s="699" t="str">
        <f>VLOOKUP(WWWW[[#This Row],[Site Name]],SiteDB6[[Site Name]:[Location Type]],8,FALSE)</f>
        <v>Camp</v>
      </c>
      <c r="CL20" s="699" t="str">
        <f>VLOOKUP(WWWW[[#This Row],[Site Name]],SiteDB6[[Site Name]:[Location Type 1]],9,FALSE)</f>
        <v>Camp</v>
      </c>
      <c r="CM20" s="699" t="str">
        <f>VLOOKUP(WWWW[[#This Row],[Site Name]],SiteDB6[[Site Name]:[Type of Accommodation]],10,FALSE)</f>
        <v>Camp</v>
      </c>
      <c r="CN20" s="699" t="str">
        <f>VLOOKUP(WWWW[[#This Row],[Site Name]],SiteDB6[[Site Name]:[Ethnic or GCA/NGCA]],11,FALSE)</f>
        <v>GCA</v>
      </c>
      <c r="CO20" s="699">
        <f>VLOOKUP(WWWW[[#This Row],[Site Name]],SiteDB6[[Site Name]:[Lat]],12,FALSE)</f>
        <v>25.889410000000002</v>
      </c>
      <c r="CP20" s="699">
        <f>VLOOKUP(WWWW[[#This Row],[Site Name]],SiteDB6[[Site Name]:[Long]],13,FALSE)</f>
        <v>98.131550000000004</v>
      </c>
      <c r="CQ20" s="699" t="str">
        <f>VLOOKUP(WWWW[[#This Row],[Site Name]],SiteDB6[[Site Name]:[Pcode]],3,FALSE)</f>
        <v>MMR001CMP042</v>
      </c>
      <c r="CR20" s="660" t="str">
        <f t="shared" si="0"/>
        <v>Covered</v>
      </c>
      <c r="CS20" s="660"/>
      <c r="CT20" s="24"/>
      <c r="CU20" s="24"/>
      <c r="CV20" s="24"/>
    </row>
    <row r="21" spans="1:100" ht="15.75" customHeight="1" x14ac:dyDescent="0.25">
      <c r="A21" s="833" t="s">
        <v>3206</v>
      </c>
      <c r="B21" s="206" t="s">
        <v>287</v>
      </c>
      <c r="C21" s="206" t="s">
        <v>44</v>
      </c>
      <c r="D21" s="206" t="s">
        <v>292</v>
      </c>
      <c r="E21" s="206" t="s">
        <v>293</v>
      </c>
      <c r="F21" s="206">
        <v>160</v>
      </c>
      <c r="G21" s="209">
        <v>823</v>
      </c>
      <c r="H21" s="206"/>
      <c r="I21" s="206" t="s">
        <v>290</v>
      </c>
      <c r="J21" s="207" t="s">
        <v>3253</v>
      </c>
      <c r="K21" s="206">
        <v>0</v>
      </c>
      <c r="L21" s="206" t="s">
        <v>48</v>
      </c>
      <c r="M21" s="208">
        <v>0.6</v>
      </c>
      <c r="N21" s="208">
        <v>0.5</v>
      </c>
      <c r="O21" s="316">
        <v>0</v>
      </c>
      <c r="P21" s="317">
        <v>0</v>
      </c>
      <c r="Q21" s="317">
        <v>349920</v>
      </c>
      <c r="R21" s="318">
        <v>0</v>
      </c>
      <c r="S21" s="318">
        <v>0</v>
      </c>
      <c r="T21" s="318"/>
      <c r="U21" s="318">
        <v>0</v>
      </c>
      <c r="V21" s="318">
        <v>0</v>
      </c>
      <c r="W21" s="318">
        <v>0</v>
      </c>
      <c r="X21" s="318">
        <v>0</v>
      </c>
      <c r="Y21" s="318">
        <v>0</v>
      </c>
      <c r="Z21" s="318"/>
      <c r="AA21" s="310">
        <v>32</v>
      </c>
      <c r="AB21" s="310">
        <v>0</v>
      </c>
      <c r="AC21" s="66">
        <v>0</v>
      </c>
      <c r="AD21" s="66"/>
      <c r="AE21" s="310">
        <v>0</v>
      </c>
      <c r="AF21" s="310" t="s">
        <v>283</v>
      </c>
      <c r="AG21" s="311" t="s">
        <v>283</v>
      </c>
      <c r="AH21" s="311"/>
      <c r="AI21" s="310">
        <v>5</v>
      </c>
      <c r="AJ21" s="310"/>
      <c r="AK21" s="841">
        <v>0.6</v>
      </c>
      <c r="AL21" s="842" t="s">
        <v>291</v>
      </c>
      <c r="AM21" s="842">
        <v>0</v>
      </c>
      <c r="AN21" s="863">
        <v>4</v>
      </c>
      <c r="AO21" s="863">
        <v>3</v>
      </c>
      <c r="AP21" s="838">
        <v>0</v>
      </c>
      <c r="AQ21" s="843">
        <v>0</v>
      </c>
      <c r="AR21" s="843"/>
      <c r="AS21" s="843"/>
      <c r="AT21" s="843"/>
      <c r="AU21" s="843"/>
      <c r="AV21" s="844"/>
      <c r="AW21" s="208" t="str">
        <f>IFERROR(WWWW[[#This Row],['# of Water passed at source]]/WWWW[[#This Row],['# of Water tested at source]],"no test")</f>
        <v>no test</v>
      </c>
      <c r="AX21" s="211" t="str">
        <f>IFERROR(WWWW[[#This Row],['# of Water passed at HH]]/WWWW[[#This Row],['# of Water tested at HH]],"no test")</f>
        <v>no test</v>
      </c>
      <c r="AY21" s="210" t="str">
        <f>IF(AND(WWWW[[#This Row],[%of Water samples which passed at water source]]="no test",WWWW[[#This Row],[%Water samples which passed at HH]]="no test"),"No Test","Tested")</f>
        <v>No Test</v>
      </c>
      <c r="AZ2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1" s="211">
        <f>IF(WWWW[[#This Row],[Location Type 1]]="Village",WWWW[[#This Row],[Access to safe drinking water for Village]],WWWW[[#This Row],[Access to safe drinking water for Camp]])</f>
        <v>1</v>
      </c>
      <c r="BC21" s="209">
        <f>WWWW[[#This Row],[%Equitable and continuous access to sufficient quantity of safe drinking water]]*WWWW[[#This Row],[Total PoP ]]</f>
        <v>823</v>
      </c>
      <c r="BD21" s="211">
        <f>IF((WWWW[[#This Row],['# Existing protected/fenced ponds ]]*250)/WWWW[[#This Row],[Total PoP ]]&gt;1,1,WWWW[[#This Row],['# Existing protected/fenced ponds ]]*250/WWWW[[#This Row],[Total PoP ]])</f>
        <v>0</v>
      </c>
      <c r="BE21" s="209">
        <f>WWWW[[#This Row],[Access to unimproved water points]]*WWWW[[#This Row],[Total PoP ]]</f>
        <v>0</v>
      </c>
      <c r="BF2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823</v>
      </c>
      <c r="BH21" s="209">
        <f>WWWW[[#This Row],['#people Equitable and continuous access to sufficient quantity of domestic water borehole n ponds_2]]/500</f>
        <v>1.6459999999999999</v>
      </c>
      <c r="BI21" s="208">
        <f>1-WWWW[[#This Row],[%Equitable and continuous access to sufficient quantity of domestic water borehole n ponds]]</f>
        <v>0</v>
      </c>
      <c r="BJ21" s="209">
        <f>WWWW[[#This Row],[%equitable and continuous access to sufficient quantity of safe drinking and domestic water''s GAP]]*WWWW[[#This Row],[Total PoP ]]</f>
        <v>0</v>
      </c>
      <c r="BK21" s="210">
        <f>IF(WWWW[[#This Row],[Total required water points]]-WWWW[[#This Row],['#Water points coverage]]&lt;0,0,WWWW[[#This Row],[Total required water points]]-WWWW[[#This Row],['#Water points coverage]])</f>
        <v>0.35400000000000009</v>
      </c>
      <c r="BL21" s="210">
        <f>ROUND(IF(WWWW[[#This Row],[Total PoP ]]&lt;500,1,WWWW[[#This Row],[Total PoP ]]/500),0)</f>
        <v>2</v>
      </c>
      <c r="BM21" s="210">
        <f>WWWW[[#This Row],['# Existing functional latrines]]+WWWW[[#This Row],['# Existing latrines dysfunctional]]</f>
        <v>32</v>
      </c>
      <c r="BN2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0.77764277035236939</v>
      </c>
      <c r="BO21" s="352">
        <f>WWWW[[#This Row],[% people access to functioning Latrine]]*WWWW[[#This Row],[Total PoP ]]</f>
        <v>640</v>
      </c>
      <c r="BP2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0.2187120291616039</v>
      </c>
      <c r="BQ21" s="209">
        <f>IF(WWWW[[#This Row],[Total required Latrines]]-WWWW[[#This Row],[Total '# of latrine]]&lt;0,0,WWWW[[#This Row],[Total required Latrines]]-WWWW[[#This Row],[Total '# of latrine]])</f>
        <v>9</v>
      </c>
      <c r="BR21" s="210">
        <f>ROUND(IF(WWWW[[#This Row],[Location Type 1]]="camp",WWWW[[#This Row],[Total PoP ]]/20,WWWW[[#This Row],[Total PoP ]]/6),0)</f>
        <v>41</v>
      </c>
      <c r="BS21" s="212">
        <f>IF(OR(WWWW[[#This Row],['# Existing latrines dysfunctional]]="",WWWW[[#This Row],['# Existing latrines dysfunctional]]=0),0,WWWW[[#This Row],['# Existing latrines dysfunctional]]/WWWW[[#This Row],[Total '# of latrine]])</f>
        <v>0</v>
      </c>
      <c r="BT2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1" s="209">
        <f>IF(500*WWWW[[#This Row],['# Hygiene Promoters ]]&gt;WWWW[[#This Row],[Total PoP ]],WWWW[[#This Row],[Total PoP ]],500*WWWW[[#This Row],['# Hygiene Promoters ]])</f>
        <v>823</v>
      </c>
      <c r="BV21" s="209">
        <f>IF(WWWW[[#This Row],[% of HH with access to Sanitary Pad]]&gt;=100%,1,0)</f>
        <v>0</v>
      </c>
      <c r="BW21" s="209">
        <f>IF(WWWW[[#This Row],[Total PoP ]]=0,0,IF(WWWW[[#This Row],['# Hygiene Promoters ]]=0,0,IF(WWWW[[#This Row],[Location Type 1]]="Village",IF(WWWW[[#This Row],[Total PoP ]]/WWWW[[#This Row],['# Hygiene Promoters ]]&lt;1000,1,0),IF(WWWW[[#This Row],[Total PoP ]]/WWWW[[#This Row],['# Hygiene Promoters ]]&lt;600,1,0))))</f>
        <v>1</v>
      </c>
      <c r="BX21" s="209">
        <f>IF(WWWW[[#This Row],[%HH with access to soap]]&gt;=100%,1,0)</f>
        <v>0</v>
      </c>
      <c r="BY21" s="209">
        <f>IF(WWWW[[#This Row],[% of HHs with access to Sanitary pad more than '#%]]+WWWW[[#This Row],[Ratio of Hyiene promoters to people less than '#]]+WWWW[[#This Row],[% of HHs with access to soap more than '#%]]&gt;=2,WWWW[[#This Row],[Total PoP ]],0)</f>
        <v>0</v>
      </c>
      <c r="BZ21" s="208">
        <f>WWWW[[#This Row],[People adopt basic personal and community hygiene practices]]/WWWW[[#This Row],[Total PoP ]]</f>
        <v>0</v>
      </c>
      <c r="CA21" s="212">
        <f>1-WWWW[[#This Row],[Hygiene Coverage%]]</f>
        <v>1</v>
      </c>
      <c r="CB21" s="211">
        <f>WWWW[[#This Row],['# people reached by regular dedicated hygiene promotion_5]]/WWWW[[#This Row],[Total PoP ]]</f>
        <v>1</v>
      </c>
      <c r="CC21" s="211">
        <f>IF(WWWW[[#This Row],['# HH received soaps]]/WWWW[[#This Row],[Total HH]]&gt;1,1,WWWW[[#This Row],['# HH received soaps]]/WWWW[[#This Row],[Total HH]])</f>
        <v>0</v>
      </c>
      <c r="CD21" s="211">
        <f>IF(WWWW[[#This Row],['# HH received Sanitary Pads]]/WWWW[[#This Row],[Total HH]]&gt;1,1,WWWW[[#This Row],['# HH received Sanitary Pads]]/WWWW[[#This Row],[Total HH]])</f>
        <v>0</v>
      </c>
      <c r="CE21" s="210">
        <f>WWWW[[#This Row],['# HH received soaps]]*5</f>
        <v>0</v>
      </c>
      <c r="CF21" s="210">
        <f>WWWW[[#This Row],['# HH received Sanitary Pads]]*5</f>
        <v>0</v>
      </c>
      <c r="CG21" s="210">
        <f>IF(WWWW[[#This Row],['# People with access to soap]]&gt;WWWW[[#This Row],['# People with access to Sanity Pads]],WWWW[[#This Row],['# People with access to soap]],WWWW[[#This Row],['# People with access to Sanity Pads]])</f>
        <v>0</v>
      </c>
      <c r="CH21" s="209">
        <f>WWWW[[#This Row],[Total HH]]*WWWW[[#This Row],[%HHs with access to functional hand washing stations]]</f>
        <v>96</v>
      </c>
      <c r="CI21" s="699" t="str">
        <f>VLOOKUP(WWWW[[#This Row],[Site Name]],SiteDB6[[Site Name]:[CCCM Management]],6,FALSE)</f>
        <v>Yes</v>
      </c>
      <c r="CJ21" s="699" t="str">
        <f>VLOOKUP(WWWW[[#This Row],[Site Name]],SiteDB6[[Site Name]:[CCCM Focal Agency]],7,FALSE)</f>
        <v>KBC</v>
      </c>
      <c r="CK21" s="699" t="str">
        <f>VLOOKUP(WWWW[[#This Row],[Site Name]],SiteDB6[[Site Name]:[Location Type]],8,FALSE)</f>
        <v>Camp</v>
      </c>
      <c r="CL21" s="699" t="str">
        <f>VLOOKUP(WWWW[[#This Row],[Site Name]],SiteDB6[[Site Name]:[Location Type 1]],9,FALSE)</f>
        <v>Camp</v>
      </c>
      <c r="CM21" s="699" t="str">
        <f>VLOOKUP(WWWW[[#This Row],[Site Name]],SiteDB6[[Site Name]:[Type of Accommodation]],10,FALSE)</f>
        <v>Camp</v>
      </c>
      <c r="CN21" s="699" t="str">
        <f>VLOOKUP(WWWW[[#This Row],[Site Name]],SiteDB6[[Site Name]:[Ethnic or GCA/NGCA]],11,FALSE)</f>
        <v>NGCA</v>
      </c>
      <c r="CO21" s="699">
        <f>VLOOKUP(WWWW[[#This Row],[Site Name]],SiteDB6[[Site Name]:[Lat]],12,FALSE)</f>
        <v>25.754110000000001</v>
      </c>
      <c r="CP21" s="699">
        <f>VLOOKUP(WWWW[[#This Row],[Site Name]],SiteDB6[[Site Name]:[Long]],13,FALSE)</f>
        <v>98.475719999999995</v>
      </c>
      <c r="CQ21" s="699" t="str">
        <f>VLOOKUP(WWWW[[#This Row],[Site Name]],SiteDB6[[Site Name]:[Pcode]],3,FALSE)</f>
        <v>MMR001CMP043</v>
      </c>
      <c r="CR21" s="660" t="str">
        <f t="shared" si="0"/>
        <v>Covered</v>
      </c>
      <c r="CS21" s="660"/>
      <c r="CT21" s="24"/>
      <c r="CU21" s="24"/>
      <c r="CV21" s="24"/>
    </row>
    <row r="22" spans="1:100" ht="15.75" customHeight="1" x14ac:dyDescent="0.25">
      <c r="A22" s="833" t="s">
        <v>3206</v>
      </c>
      <c r="B22" s="206" t="s">
        <v>389</v>
      </c>
      <c r="C22" s="206" t="s">
        <v>44</v>
      </c>
      <c r="D22" s="206" t="s">
        <v>292</v>
      </c>
      <c r="E22" s="206" t="s">
        <v>395</v>
      </c>
      <c r="F22" s="206">
        <v>143</v>
      </c>
      <c r="G22" s="209">
        <v>640</v>
      </c>
      <c r="H22" s="206"/>
      <c r="I22" s="206" t="s">
        <v>391</v>
      </c>
      <c r="J22" s="207">
        <v>42947</v>
      </c>
      <c r="K22" s="206">
        <v>0</v>
      </c>
      <c r="L22" s="206" t="s">
        <v>48</v>
      </c>
      <c r="M22" s="208">
        <v>0.43</v>
      </c>
      <c r="N22" s="208">
        <v>0</v>
      </c>
      <c r="O22" s="316">
        <v>0</v>
      </c>
      <c r="P22" s="317">
        <v>0</v>
      </c>
      <c r="Q22" s="317">
        <v>0</v>
      </c>
      <c r="R22" s="318">
        <v>0</v>
      </c>
      <c r="S22" s="318">
        <v>2</v>
      </c>
      <c r="T22" s="318"/>
      <c r="U22" s="318">
        <v>2</v>
      </c>
      <c r="V22" s="318">
        <v>2</v>
      </c>
      <c r="W22" s="318">
        <v>3</v>
      </c>
      <c r="X22" s="318">
        <v>1</v>
      </c>
      <c r="Y22" s="318">
        <v>0</v>
      </c>
      <c r="Z22" s="318"/>
      <c r="AA22" s="310">
        <v>39</v>
      </c>
      <c r="AB22" s="310">
        <v>2</v>
      </c>
      <c r="AC22" s="66">
        <v>0</v>
      </c>
      <c r="AD22" s="66"/>
      <c r="AE22" s="310">
        <v>39</v>
      </c>
      <c r="AF22" s="310" t="s">
        <v>1358</v>
      </c>
      <c r="AG22" s="311" t="s">
        <v>1358</v>
      </c>
      <c r="AH22" s="311">
        <v>0</v>
      </c>
      <c r="AI22" s="310">
        <v>0</v>
      </c>
      <c r="AJ22" s="310"/>
      <c r="AK22" s="841">
        <v>0.3</v>
      </c>
      <c r="AL22" s="842" t="s">
        <v>376</v>
      </c>
      <c r="AM22" s="842">
        <v>0</v>
      </c>
      <c r="AN22" s="863">
        <v>9</v>
      </c>
      <c r="AO22" s="863">
        <v>0</v>
      </c>
      <c r="AP22" s="838">
        <v>0</v>
      </c>
      <c r="AQ22" s="843">
        <v>0</v>
      </c>
      <c r="AR22" s="843"/>
      <c r="AS22" s="843"/>
      <c r="AT22" s="843">
        <v>1</v>
      </c>
      <c r="AU22" s="843"/>
      <c r="AV22" s="844"/>
      <c r="AW22" s="208">
        <f>IFERROR(WWWW[[#This Row],['# of Water passed at source]]/WWWW[[#This Row],['# of Water tested at source]],"no test")</f>
        <v>1</v>
      </c>
      <c r="AX22" s="211">
        <f>IFERROR(WWWW[[#This Row],['# of Water passed at HH]]/WWWW[[#This Row],['# of Water tested at HH]],"no test")</f>
        <v>0.33333333333333331</v>
      </c>
      <c r="AY22" s="210" t="str">
        <f>IF(AND(WWWW[[#This Row],[%of Water samples which passed at water source]]="no test",WWWW[[#This Row],[%Water samples which passed at HH]]="no test"),"No Test","Tested")</f>
        <v>Tested</v>
      </c>
      <c r="AZ2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 s="211">
        <f>IF(WWWW[[#This Row],[Location Type 1]]="Village",WWWW[[#This Row],[Access to safe drinking water for Village]],WWWW[[#This Row],[Access to safe drinking water for Camp]])</f>
        <v>0</v>
      </c>
      <c r="BC22" s="209">
        <f>WWWW[[#This Row],[%Equitable and continuous access to sufficient quantity of safe drinking water]]*WWWW[[#This Row],[Total PoP ]]</f>
        <v>0</v>
      </c>
      <c r="BD22" s="211">
        <f>IF((WWWW[[#This Row],['# Existing protected/fenced ponds ]]*250)/WWWW[[#This Row],[Total PoP ]]&gt;1,1,WWWW[[#This Row],['# Existing protected/fenced ponds ]]*250/WWWW[[#This Row],[Total PoP ]])</f>
        <v>0</v>
      </c>
      <c r="BE22" s="209">
        <f>WWWW[[#This Row],[Access to unimproved water points]]*WWWW[[#This Row],[Total PoP ]]</f>
        <v>0</v>
      </c>
      <c r="BF2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 s="209">
        <f>WWWW[[#This Row],['#people Equitable and continuous access to sufficient quantity of domestic water borehole n ponds_2]]/500</f>
        <v>0</v>
      </c>
      <c r="BI22" s="208">
        <f>1-WWWW[[#This Row],[%Equitable and continuous access to sufficient quantity of domestic water borehole n ponds]]</f>
        <v>1</v>
      </c>
      <c r="BJ22" s="209">
        <f>WWWW[[#This Row],[%equitable and continuous access to sufficient quantity of safe drinking and domestic water''s GAP]]*WWWW[[#This Row],[Total PoP ]]</f>
        <v>640</v>
      </c>
      <c r="BK22" s="210">
        <f>IF(WWWW[[#This Row],[Total required water points]]-WWWW[[#This Row],['#Water points coverage]]&lt;0,0,WWWW[[#This Row],[Total required water points]]-WWWW[[#This Row],['#Water points coverage]])</f>
        <v>1</v>
      </c>
      <c r="BL22" s="210">
        <f>ROUND(IF(WWWW[[#This Row],[Total PoP ]]&lt;500,1,WWWW[[#This Row],[Total PoP ]]/500),0)</f>
        <v>1</v>
      </c>
      <c r="BM22" s="210">
        <f>WWWW[[#This Row],['# Existing functional latrines]]+WWWW[[#This Row],['# Existing latrines dysfunctional]]</f>
        <v>41</v>
      </c>
      <c r="BN2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2" s="352">
        <f>WWWW[[#This Row],[% people access to functioning Latrine]]*WWWW[[#This Row],[Total PoP ]]</f>
        <v>640</v>
      </c>
      <c r="BP2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2" s="209">
        <f>IF(WWWW[[#This Row],[Total required Latrines]]-WWWW[[#This Row],[Total '# of latrine]]&lt;0,0,WWWW[[#This Row],[Total required Latrines]]-WWWW[[#This Row],[Total '# of latrine]])</f>
        <v>0</v>
      </c>
      <c r="BR22" s="210">
        <f>ROUND(IF(WWWW[[#This Row],[Location Type 1]]="camp",WWWW[[#This Row],[Total PoP ]]/20,WWWW[[#This Row],[Total PoP ]]/6),0)</f>
        <v>32</v>
      </c>
      <c r="BS22" s="212">
        <f>IF(OR(WWWW[[#This Row],['# Existing latrines dysfunctional]]="",WWWW[[#This Row],['# Existing latrines dysfunctional]]=0),0,WWWW[[#This Row],['# Existing latrines dysfunctional]]/WWWW[[#This Row],[Total '# of latrine]])</f>
        <v>4.878048780487805E-2</v>
      </c>
      <c r="BT2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2" s="209">
        <f>IF(500*WWWW[[#This Row],['# Hygiene Promoters ]]&gt;WWWW[[#This Row],[Total PoP ]],WWWW[[#This Row],[Total PoP ]],500*WWWW[[#This Row],['# Hygiene Promoters ]])</f>
        <v>0</v>
      </c>
      <c r="BV22" s="209">
        <f>IF(WWWW[[#This Row],[% of HH with access to Sanitary Pad]]&gt;=100%,1,0)</f>
        <v>0</v>
      </c>
      <c r="BW22" s="209">
        <f>IF(WWWW[[#This Row],[Total PoP ]]=0,0,IF(WWWW[[#This Row],['# Hygiene Promoters ]]=0,0,IF(WWWW[[#This Row],[Location Type 1]]="Village",IF(WWWW[[#This Row],[Total PoP ]]/WWWW[[#This Row],['# Hygiene Promoters ]]&lt;1000,1,0),IF(WWWW[[#This Row],[Total PoP ]]/WWWW[[#This Row],['# Hygiene Promoters ]]&lt;600,1,0))))</f>
        <v>0</v>
      </c>
      <c r="BX22" s="209">
        <f>IF(WWWW[[#This Row],[%HH with access to soap]]&gt;=100%,1,0)</f>
        <v>0</v>
      </c>
      <c r="BY22" s="209">
        <f>IF(WWWW[[#This Row],[% of HHs with access to Sanitary pad more than '#%]]+WWWW[[#This Row],[Ratio of Hyiene promoters to people less than '#]]+WWWW[[#This Row],[% of HHs with access to soap more than '#%]]&gt;=2,WWWW[[#This Row],[Total PoP ]],0)</f>
        <v>0</v>
      </c>
      <c r="BZ22" s="208">
        <f>WWWW[[#This Row],[People adopt basic personal and community hygiene practices]]/WWWW[[#This Row],[Total PoP ]]</f>
        <v>0</v>
      </c>
      <c r="CA22" s="212">
        <f>1-WWWW[[#This Row],[Hygiene Coverage%]]</f>
        <v>1</v>
      </c>
      <c r="CB22" s="211">
        <f>WWWW[[#This Row],['# people reached by regular dedicated hygiene promotion_5]]/WWWW[[#This Row],[Total PoP ]]</f>
        <v>0</v>
      </c>
      <c r="CC22" s="211">
        <f>IF(WWWW[[#This Row],['# HH received soaps]]/WWWW[[#This Row],[Total HH]]&gt;1,1,WWWW[[#This Row],['# HH received soaps]]/WWWW[[#This Row],[Total HH]])</f>
        <v>0</v>
      </c>
      <c r="CD22" s="211">
        <f>IF(WWWW[[#This Row],['# HH received Sanitary Pads]]/WWWW[[#This Row],[Total HH]]&gt;1,1,WWWW[[#This Row],['# HH received Sanitary Pads]]/WWWW[[#This Row],[Total HH]])</f>
        <v>0</v>
      </c>
      <c r="CE22" s="210">
        <f>WWWW[[#This Row],['# HH received soaps]]*5</f>
        <v>0</v>
      </c>
      <c r="CF22" s="210">
        <f>WWWW[[#This Row],['# HH received Sanitary Pads]]*5</f>
        <v>0</v>
      </c>
      <c r="CG22" s="210">
        <f>IF(WWWW[[#This Row],['# People with access to soap]]&gt;WWWW[[#This Row],['# People with access to Sanity Pads]],WWWW[[#This Row],['# People with access to soap]],WWWW[[#This Row],['# People with access to Sanity Pads]])</f>
        <v>0</v>
      </c>
      <c r="CH22" s="209">
        <f>WWWW[[#This Row],[Total HH]]*WWWW[[#This Row],[%HHs with access to functional hand washing stations]]</f>
        <v>42.9</v>
      </c>
      <c r="CI22" s="699" t="str">
        <f>VLOOKUP(WWWW[[#This Row],[Site Name]],SiteDB6[[Site Name]:[CCCM Management]],6,FALSE)</f>
        <v>Yes</v>
      </c>
      <c r="CJ22" s="699" t="str">
        <f>VLOOKUP(WWWW[[#This Row],[Site Name]],SiteDB6[[Site Name]:[CCCM Focal Agency]],7,FALSE)</f>
        <v>Shalom</v>
      </c>
      <c r="CK22" s="699" t="str">
        <f>VLOOKUP(WWWW[[#This Row],[Site Name]],SiteDB6[[Site Name]:[Location Type]],8,FALSE)</f>
        <v>Camp</v>
      </c>
      <c r="CL22" s="699" t="str">
        <f>VLOOKUP(WWWW[[#This Row],[Site Name]],SiteDB6[[Site Name]:[Location Type 1]],9,FALSE)</f>
        <v>Camp</v>
      </c>
      <c r="CM22" s="699" t="str">
        <f>VLOOKUP(WWWW[[#This Row],[Site Name]],SiteDB6[[Site Name]:[Type of Accommodation]],10,FALSE)</f>
        <v>Camp</v>
      </c>
      <c r="CN22" s="699" t="str">
        <f>VLOOKUP(WWWW[[#This Row],[Site Name]],SiteDB6[[Site Name]:[Ethnic or GCA/NGCA]],11,FALSE)</f>
        <v>GCA</v>
      </c>
      <c r="CO22" s="699">
        <f>VLOOKUP(WWWW[[#This Row],[Site Name]],SiteDB6[[Site Name]:[Lat]],12,FALSE)</f>
        <v>25.887339999999998</v>
      </c>
      <c r="CP22" s="699">
        <f>VLOOKUP(WWWW[[#This Row],[Site Name]],SiteDB6[[Site Name]:[Long]],13,FALSE)</f>
        <v>98.129990000000006</v>
      </c>
      <c r="CQ22" s="699" t="str">
        <f>VLOOKUP(WWWW[[#This Row],[Site Name]],SiteDB6[[Site Name]:[Pcode]],3,FALSE)</f>
        <v>MMR001CMP195</v>
      </c>
      <c r="CR22" s="660" t="str">
        <f t="shared" si="0"/>
        <v>Covered</v>
      </c>
      <c r="CS22" s="660"/>
      <c r="CT22" s="24"/>
      <c r="CU22" s="24"/>
      <c r="CV22" s="24"/>
    </row>
    <row r="23" spans="1:100" ht="15.75" customHeight="1" x14ac:dyDescent="0.25">
      <c r="A23" s="833" t="s">
        <v>3206</v>
      </c>
      <c r="B23" s="206" t="s">
        <v>43</v>
      </c>
      <c r="C23" s="206" t="s">
        <v>44</v>
      </c>
      <c r="D23" s="206" t="s">
        <v>292</v>
      </c>
      <c r="E23" s="206" t="s">
        <v>371</v>
      </c>
      <c r="F23" s="206">
        <v>57</v>
      </c>
      <c r="G23" s="209">
        <v>267</v>
      </c>
      <c r="H23" s="206"/>
      <c r="I23" s="206" t="s">
        <v>372</v>
      </c>
      <c r="J23" s="207">
        <v>43465</v>
      </c>
      <c r="K23" s="206">
        <v>0</v>
      </c>
      <c r="L23" s="206" t="s">
        <v>2452</v>
      </c>
      <c r="M23" s="208">
        <v>0.6</v>
      </c>
      <c r="N23" s="208">
        <v>0.3</v>
      </c>
      <c r="O23" s="316">
        <v>0</v>
      </c>
      <c r="P23" s="317">
        <v>0</v>
      </c>
      <c r="Q23" s="317">
        <v>6000</v>
      </c>
      <c r="R23" s="318">
        <v>0</v>
      </c>
      <c r="S23" s="318">
        <v>4</v>
      </c>
      <c r="T23" s="318"/>
      <c r="U23" s="318">
        <v>0</v>
      </c>
      <c r="V23" s="318">
        <v>0</v>
      </c>
      <c r="W23" s="318">
        <v>0</v>
      </c>
      <c r="X23" s="318">
        <v>0</v>
      </c>
      <c r="Y23" s="318">
        <v>0</v>
      </c>
      <c r="Z23" s="318" t="s">
        <v>373</v>
      </c>
      <c r="AA23" s="310">
        <v>16</v>
      </c>
      <c r="AB23" s="310">
        <v>0</v>
      </c>
      <c r="AC23" s="66">
        <v>0</v>
      </c>
      <c r="AD23" s="66" t="s">
        <v>2789</v>
      </c>
      <c r="AE23" s="310">
        <v>8</v>
      </c>
      <c r="AF23" s="310" t="s">
        <v>283</v>
      </c>
      <c r="AG23" s="311" t="s">
        <v>1358</v>
      </c>
      <c r="AH23" s="311">
        <v>0</v>
      </c>
      <c r="AI23" s="310">
        <v>0</v>
      </c>
      <c r="AJ23" s="310"/>
      <c r="AK23" s="841">
        <v>0</v>
      </c>
      <c r="AL23" s="842" t="s">
        <v>376</v>
      </c>
      <c r="AM23" s="842">
        <v>0</v>
      </c>
      <c r="AN23" s="863">
        <v>3</v>
      </c>
      <c r="AO23" s="863">
        <v>1</v>
      </c>
      <c r="AP23" s="838">
        <v>0</v>
      </c>
      <c r="AQ23" s="843">
        <v>0</v>
      </c>
      <c r="AR23" s="843" t="s">
        <v>282</v>
      </c>
      <c r="AS23" s="843"/>
      <c r="AT23" s="843"/>
      <c r="AU23" s="843"/>
      <c r="AV23" s="844"/>
      <c r="AW23" s="208" t="str">
        <f>IFERROR(WWWW[[#This Row],['# of Water passed at source]]/WWWW[[#This Row],['# of Water tested at source]],"no test")</f>
        <v>no test</v>
      </c>
      <c r="AX23" s="211" t="str">
        <f>IFERROR(WWWW[[#This Row],['# of Water passed at HH]]/WWWW[[#This Row],['# of Water tested at HH]],"no test")</f>
        <v>no test</v>
      </c>
      <c r="AY23" s="210" t="str">
        <f>IF(AND(WWWW[[#This Row],[%of Water samples which passed at water source]]="no test",WWWW[[#This Row],[%Water samples which passed at HH]]="no test"),"No Test","Tested")</f>
        <v>No Test</v>
      </c>
      <c r="AZ2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3" s="211">
        <f>IF(WWWW[[#This Row],[Location Type 1]]="Village",WWWW[[#This Row],[Access to safe drinking water for Village]],WWWW[[#This Row],[Access to safe drinking water for Camp]])</f>
        <v>1</v>
      </c>
      <c r="BC23" s="209">
        <f>WWWW[[#This Row],[%Equitable and continuous access to sufficient quantity of safe drinking water]]*WWWW[[#This Row],[Total PoP ]]</f>
        <v>267</v>
      </c>
      <c r="BD23" s="211">
        <f>IF((WWWW[[#This Row],['# Existing protected/fenced ponds ]]*250)/WWWW[[#This Row],[Total PoP ]]&gt;1,1,WWWW[[#This Row],['# Existing protected/fenced ponds ]]*250/WWWW[[#This Row],[Total PoP ]])</f>
        <v>0</v>
      </c>
      <c r="BE23" s="209">
        <f>WWWW[[#This Row],[Access to unimproved water points]]*WWWW[[#This Row],[Total PoP ]]</f>
        <v>0</v>
      </c>
      <c r="BF2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267</v>
      </c>
      <c r="BH23" s="209">
        <f>WWWW[[#This Row],['#people Equitable and continuous access to sufficient quantity of domestic water borehole n ponds_2]]/500</f>
        <v>0.53400000000000003</v>
      </c>
      <c r="BI23" s="208">
        <f>1-WWWW[[#This Row],[%Equitable and continuous access to sufficient quantity of domestic water borehole n ponds]]</f>
        <v>0</v>
      </c>
      <c r="BJ23" s="209">
        <f>WWWW[[#This Row],[%equitable and continuous access to sufficient quantity of safe drinking and domestic water''s GAP]]*WWWW[[#This Row],[Total PoP ]]</f>
        <v>0</v>
      </c>
      <c r="BK23" s="210">
        <f>IF(WWWW[[#This Row],[Total required water points]]-WWWW[[#This Row],['#Water points coverage]]&lt;0,0,WWWW[[#This Row],[Total required water points]]-WWWW[[#This Row],['#Water points coverage]])</f>
        <v>0.46599999999999997</v>
      </c>
      <c r="BL23" s="210">
        <f>ROUND(IF(WWWW[[#This Row],[Total PoP ]]&lt;500,1,WWWW[[#This Row],[Total PoP ]]/500),0)</f>
        <v>1</v>
      </c>
      <c r="BM23" s="210">
        <f>WWWW[[#This Row],['# Existing functional latrines]]+WWWW[[#This Row],['# Existing latrines dysfunctional]]</f>
        <v>16</v>
      </c>
      <c r="BN2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3" s="352">
        <f>WWWW[[#This Row],[% people access to functioning Latrine]]*WWWW[[#This Row],[Total PoP ]]</f>
        <v>267</v>
      </c>
      <c r="BP2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3" s="209">
        <f>IF(WWWW[[#This Row],[Total required Latrines]]-WWWW[[#This Row],[Total '# of latrine]]&lt;0,0,WWWW[[#This Row],[Total required Latrines]]-WWWW[[#This Row],[Total '# of latrine]])</f>
        <v>0</v>
      </c>
      <c r="BR23" s="210">
        <f>ROUND(IF(WWWW[[#This Row],[Location Type 1]]="camp",WWWW[[#This Row],[Total PoP ]]/20,WWWW[[#This Row],[Total PoP ]]/6),0)</f>
        <v>13</v>
      </c>
      <c r="BS23" s="212">
        <f>IF(OR(WWWW[[#This Row],['# Existing latrines dysfunctional]]="",WWWW[[#This Row],['# Existing latrines dysfunctional]]=0),0,WWWW[[#This Row],['# Existing latrines dysfunctional]]/WWWW[[#This Row],[Total '# of latrine]])</f>
        <v>0</v>
      </c>
      <c r="BT2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3" s="209">
        <f>IF(500*WWWW[[#This Row],['# Hygiene Promoters ]]&gt;WWWW[[#This Row],[Total PoP ]],WWWW[[#This Row],[Total PoP ]],500*WWWW[[#This Row],['# Hygiene Promoters ]])</f>
        <v>267</v>
      </c>
      <c r="BV23" s="209">
        <f>IF(WWWW[[#This Row],[% of HH with access to Sanitary Pad]]&gt;=100%,1,0)</f>
        <v>0</v>
      </c>
      <c r="BW23" s="209">
        <f>IF(WWWW[[#This Row],[Total PoP ]]=0,0,IF(WWWW[[#This Row],['# Hygiene Promoters ]]=0,0,IF(WWWW[[#This Row],[Location Type 1]]="Village",IF(WWWW[[#This Row],[Total PoP ]]/WWWW[[#This Row],['# Hygiene Promoters ]]&lt;1000,1,0),IF(WWWW[[#This Row],[Total PoP ]]/WWWW[[#This Row],['# Hygiene Promoters ]]&lt;600,1,0))))</f>
        <v>1</v>
      </c>
      <c r="BX23" s="209">
        <f>IF(WWWW[[#This Row],[%HH with access to soap]]&gt;=100%,1,0)</f>
        <v>0</v>
      </c>
      <c r="BY23" s="209">
        <f>IF(WWWW[[#This Row],[% of HHs with access to Sanitary pad more than '#%]]+WWWW[[#This Row],[Ratio of Hyiene promoters to people less than '#]]+WWWW[[#This Row],[% of HHs with access to soap more than '#%]]&gt;=2,WWWW[[#This Row],[Total PoP ]],0)</f>
        <v>0</v>
      </c>
      <c r="BZ23" s="208">
        <f>WWWW[[#This Row],[People adopt basic personal and community hygiene practices]]/WWWW[[#This Row],[Total PoP ]]</f>
        <v>0</v>
      </c>
      <c r="CA23" s="212">
        <f>1-WWWW[[#This Row],[Hygiene Coverage%]]</f>
        <v>1</v>
      </c>
      <c r="CB23" s="211">
        <f>WWWW[[#This Row],['# people reached by regular dedicated hygiene promotion_5]]/WWWW[[#This Row],[Total PoP ]]</f>
        <v>1</v>
      </c>
      <c r="CC23" s="211">
        <f>IF(WWWW[[#This Row],['# HH received soaps]]/WWWW[[#This Row],[Total HH]]&gt;1,1,WWWW[[#This Row],['# HH received soaps]]/WWWW[[#This Row],[Total HH]])</f>
        <v>0</v>
      </c>
      <c r="CD23" s="211">
        <f>IF(WWWW[[#This Row],['# HH received Sanitary Pads]]/WWWW[[#This Row],[Total HH]]&gt;1,1,WWWW[[#This Row],['# HH received Sanitary Pads]]/WWWW[[#This Row],[Total HH]])</f>
        <v>0</v>
      </c>
      <c r="CE23" s="210">
        <f>WWWW[[#This Row],['# HH received soaps]]*5</f>
        <v>0</v>
      </c>
      <c r="CF23" s="210">
        <f>WWWW[[#This Row],['# HH received Sanitary Pads]]*5</f>
        <v>0</v>
      </c>
      <c r="CG23" s="210">
        <f>IF(WWWW[[#This Row],['# People with access to soap]]&gt;WWWW[[#This Row],['# People with access to Sanity Pads]],WWWW[[#This Row],['# People with access to soap]],WWWW[[#This Row],['# People with access to Sanity Pads]])</f>
        <v>0</v>
      </c>
      <c r="CH23" s="209">
        <f>WWWW[[#This Row],[Total HH]]*WWWW[[#This Row],[%HHs with access to functional hand washing stations]]</f>
        <v>0</v>
      </c>
      <c r="CI23" s="699" t="str">
        <f>VLOOKUP(WWWW[[#This Row],[Site Name]],SiteDB6[[Site Name]:[CCCM Management]],6,FALSE)</f>
        <v>Yes</v>
      </c>
      <c r="CJ23" s="699" t="str">
        <f>VLOOKUP(WWWW[[#This Row],[Site Name]],SiteDB6[[Site Name]:[CCCM Focal Agency]],7,FALSE)</f>
        <v>KMSS-MYT</v>
      </c>
      <c r="CK23" s="699" t="str">
        <f>VLOOKUP(WWWW[[#This Row],[Site Name]],SiteDB6[[Site Name]:[Location Type]],8,FALSE)</f>
        <v>Camp</v>
      </c>
      <c r="CL23" s="699" t="str">
        <f>VLOOKUP(WWWW[[#This Row],[Site Name]],SiteDB6[[Site Name]:[Location Type 1]],9,FALSE)</f>
        <v>Camp</v>
      </c>
      <c r="CM23" s="699" t="str">
        <f>VLOOKUP(WWWW[[#This Row],[Site Name]],SiteDB6[[Site Name]:[Type of Accommodation]],10,FALSE)</f>
        <v>Camp</v>
      </c>
      <c r="CN23" s="699" t="str">
        <f>VLOOKUP(WWWW[[#This Row],[Site Name]],SiteDB6[[Site Name]:[Ethnic or GCA/NGCA]],11,FALSE)</f>
        <v>GCA</v>
      </c>
      <c r="CO23" s="699">
        <f>VLOOKUP(WWWW[[#This Row],[Site Name]],SiteDB6[[Site Name]:[Lat]],12,FALSE)</f>
        <v>25.60867</v>
      </c>
      <c r="CP23" s="699">
        <f>VLOOKUP(WWWW[[#This Row],[Site Name]],SiteDB6[[Site Name]:[Long]],13,FALSE)</f>
        <v>98.377780000000001</v>
      </c>
      <c r="CQ23" s="699" t="str">
        <f>VLOOKUP(WWWW[[#This Row],[Site Name]],SiteDB6[[Site Name]:[Pcode]],3,FALSE)</f>
        <v>MMR001CMP210</v>
      </c>
      <c r="CR23" s="660" t="str">
        <f t="shared" si="0"/>
        <v>Covered</v>
      </c>
      <c r="CS23" s="660"/>
      <c r="CT23" s="24"/>
      <c r="CU23" s="24"/>
      <c r="CV23" s="24"/>
    </row>
    <row r="24" spans="1:100" ht="15.75" customHeight="1" x14ac:dyDescent="0.25">
      <c r="A24" s="833" t="s">
        <v>3206</v>
      </c>
      <c r="B24" s="206" t="s">
        <v>43</v>
      </c>
      <c r="C24" s="206" t="s">
        <v>44</v>
      </c>
      <c r="D24" s="206" t="s">
        <v>292</v>
      </c>
      <c r="E24" s="206" t="s">
        <v>374</v>
      </c>
      <c r="F24" s="206">
        <v>30</v>
      </c>
      <c r="G24" s="209">
        <v>173</v>
      </c>
      <c r="H24" s="206"/>
      <c r="I24" s="206" t="s">
        <v>372</v>
      </c>
      <c r="J24" s="207">
        <v>43465</v>
      </c>
      <c r="K24" s="206">
        <v>0</v>
      </c>
      <c r="L24" s="206" t="s">
        <v>2452</v>
      </c>
      <c r="M24" s="208">
        <v>0.4</v>
      </c>
      <c r="N24" s="208">
        <v>0.3</v>
      </c>
      <c r="O24" s="316">
        <v>0</v>
      </c>
      <c r="P24" s="317">
        <v>0</v>
      </c>
      <c r="Q24" s="317">
        <v>5000</v>
      </c>
      <c r="R24" s="318">
        <v>0</v>
      </c>
      <c r="S24" s="318">
        <v>2</v>
      </c>
      <c r="T24" s="318"/>
      <c r="U24" s="318">
        <v>0</v>
      </c>
      <c r="V24" s="318">
        <v>0</v>
      </c>
      <c r="W24" s="318">
        <v>0</v>
      </c>
      <c r="X24" s="318">
        <v>0</v>
      </c>
      <c r="Y24" s="318">
        <v>0</v>
      </c>
      <c r="Z24" s="318"/>
      <c r="AA24" s="310">
        <v>10</v>
      </c>
      <c r="AB24" s="310">
        <v>0</v>
      </c>
      <c r="AC24" s="66">
        <v>0</v>
      </c>
      <c r="AD24" s="66"/>
      <c r="AE24" s="310">
        <v>0</v>
      </c>
      <c r="AF24" s="310" t="s">
        <v>283</v>
      </c>
      <c r="AG24" s="311" t="s">
        <v>1358</v>
      </c>
      <c r="AH24" s="311">
        <v>0</v>
      </c>
      <c r="AI24" s="310">
        <v>0</v>
      </c>
      <c r="AJ24" s="310"/>
      <c r="AK24" s="841">
        <v>0</v>
      </c>
      <c r="AL24" s="842" t="s">
        <v>376</v>
      </c>
      <c r="AM24" s="842">
        <v>0</v>
      </c>
      <c r="AN24" s="863">
        <v>0</v>
      </c>
      <c r="AO24" s="863">
        <v>1</v>
      </c>
      <c r="AP24" s="838">
        <v>0</v>
      </c>
      <c r="AQ24" s="843">
        <v>0</v>
      </c>
      <c r="AR24" s="843" t="s">
        <v>282</v>
      </c>
      <c r="AS24" s="843"/>
      <c r="AT24" s="843"/>
      <c r="AU24" s="843"/>
      <c r="AV24" s="844"/>
      <c r="AW24" s="208" t="str">
        <f>IFERROR(WWWW[[#This Row],['# of Water passed at source]]/WWWW[[#This Row],['# of Water tested at source]],"no test")</f>
        <v>no test</v>
      </c>
      <c r="AX24" s="211" t="str">
        <f>IFERROR(WWWW[[#This Row],['# of Water passed at HH]]/WWWW[[#This Row],['# of Water tested at HH]],"no test")</f>
        <v>no test</v>
      </c>
      <c r="AY24" s="210" t="str">
        <f>IF(AND(WWWW[[#This Row],[%of Water samples which passed at water source]]="no test",WWWW[[#This Row],[%Water samples which passed at HH]]="no test"),"No Test","Tested")</f>
        <v>No Test</v>
      </c>
      <c r="AZ2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4" s="211">
        <f>IF(WWWW[[#This Row],[Location Type 1]]="Village",WWWW[[#This Row],[Access to safe drinking water for Village]],WWWW[[#This Row],[Access to safe drinking water for Camp]])</f>
        <v>1</v>
      </c>
      <c r="BC24" s="209">
        <f>WWWW[[#This Row],[%Equitable and continuous access to sufficient quantity of safe drinking water]]*WWWW[[#This Row],[Total PoP ]]</f>
        <v>173</v>
      </c>
      <c r="BD24" s="211">
        <f>IF((WWWW[[#This Row],['# Existing protected/fenced ponds ]]*250)/WWWW[[#This Row],[Total PoP ]]&gt;1,1,WWWW[[#This Row],['# Existing protected/fenced ponds ]]*250/WWWW[[#This Row],[Total PoP ]])</f>
        <v>0</v>
      </c>
      <c r="BE24" s="209">
        <f>WWWW[[#This Row],[Access to unimproved water points]]*WWWW[[#This Row],[Total PoP ]]</f>
        <v>0</v>
      </c>
      <c r="BF2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173</v>
      </c>
      <c r="BH24" s="209">
        <f>WWWW[[#This Row],['#people Equitable and continuous access to sufficient quantity of domestic water borehole n ponds_2]]/500</f>
        <v>0.34599999999999997</v>
      </c>
      <c r="BI24" s="208">
        <f>1-WWWW[[#This Row],[%Equitable and continuous access to sufficient quantity of domestic water borehole n ponds]]</f>
        <v>0</v>
      </c>
      <c r="BJ24" s="209">
        <f>WWWW[[#This Row],[%equitable and continuous access to sufficient quantity of safe drinking and domestic water''s GAP]]*WWWW[[#This Row],[Total PoP ]]</f>
        <v>0</v>
      </c>
      <c r="BK24" s="210">
        <f>IF(WWWW[[#This Row],[Total required water points]]-WWWW[[#This Row],['#Water points coverage]]&lt;0,0,WWWW[[#This Row],[Total required water points]]-WWWW[[#This Row],['#Water points coverage]])</f>
        <v>0.65400000000000003</v>
      </c>
      <c r="BL24" s="210">
        <f>ROUND(IF(WWWW[[#This Row],[Total PoP ]]&lt;500,1,WWWW[[#This Row],[Total PoP ]]/500),0)</f>
        <v>1</v>
      </c>
      <c r="BM24" s="210">
        <f>WWWW[[#This Row],['# Existing functional latrines]]+WWWW[[#This Row],['# Existing latrines dysfunctional]]</f>
        <v>10</v>
      </c>
      <c r="BN2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4" s="352">
        <f>WWWW[[#This Row],[% people access to functioning Latrine]]*WWWW[[#This Row],[Total PoP ]]</f>
        <v>173</v>
      </c>
      <c r="BP2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4" s="209">
        <f>IF(WWWW[[#This Row],[Total required Latrines]]-WWWW[[#This Row],[Total '# of latrine]]&lt;0,0,WWWW[[#This Row],[Total required Latrines]]-WWWW[[#This Row],[Total '# of latrine]])</f>
        <v>0</v>
      </c>
      <c r="BR24" s="210">
        <f>ROUND(IF(WWWW[[#This Row],[Location Type 1]]="camp",WWWW[[#This Row],[Total PoP ]]/20,WWWW[[#This Row],[Total PoP ]]/6),0)</f>
        <v>9</v>
      </c>
      <c r="BS24" s="212">
        <f>IF(OR(WWWW[[#This Row],['# Existing latrines dysfunctional]]="",WWWW[[#This Row],['# Existing latrines dysfunctional]]=0),0,WWWW[[#This Row],['# Existing latrines dysfunctional]]/WWWW[[#This Row],[Total '# of latrine]])</f>
        <v>0</v>
      </c>
      <c r="BT2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4" s="209">
        <f>IF(500*WWWW[[#This Row],['# Hygiene Promoters ]]&gt;WWWW[[#This Row],[Total PoP ]],WWWW[[#This Row],[Total PoP ]],500*WWWW[[#This Row],['# Hygiene Promoters ]])</f>
        <v>173</v>
      </c>
      <c r="BV24" s="209">
        <f>IF(WWWW[[#This Row],[% of HH with access to Sanitary Pad]]&gt;=100%,1,0)</f>
        <v>0</v>
      </c>
      <c r="BW24" s="209">
        <f>IF(WWWW[[#This Row],[Total PoP ]]=0,0,IF(WWWW[[#This Row],['# Hygiene Promoters ]]=0,0,IF(WWWW[[#This Row],[Location Type 1]]="Village",IF(WWWW[[#This Row],[Total PoP ]]/WWWW[[#This Row],['# Hygiene Promoters ]]&lt;1000,1,0),IF(WWWW[[#This Row],[Total PoP ]]/WWWW[[#This Row],['# Hygiene Promoters ]]&lt;600,1,0))))</f>
        <v>1</v>
      </c>
      <c r="BX24" s="209">
        <f>IF(WWWW[[#This Row],[%HH with access to soap]]&gt;=100%,1,0)</f>
        <v>0</v>
      </c>
      <c r="BY24" s="209">
        <f>IF(WWWW[[#This Row],[% of HHs with access to Sanitary pad more than '#%]]+WWWW[[#This Row],[Ratio of Hyiene promoters to people less than '#]]+WWWW[[#This Row],[% of HHs with access to soap more than '#%]]&gt;=2,WWWW[[#This Row],[Total PoP ]],0)</f>
        <v>0</v>
      </c>
      <c r="BZ24" s="208">
        <f>WWWW[[#This Row],[People adopt basic personal and community hygiene practices]]/WWWW[[#This Row],[Total PoP ]]</f>
        <v>0</v>
      </c>
      <c r="CA24" s="212">
        <f>1-WWWW[[#This Row],[Hygiene Coverage%]]</f>
        <v>1</v>
      </c>
      <c r="CB24" s="211">
        <f>WWWW[[#This Row],['# people reached by regular dedicated hygiene promotion_5]]/WWWW[[#This Row],[Total PoP ]]</f>
        <v>1</v>
      </c>
      <c r="CC24" s="211">
        <f>IF(WWWW[[#This Row],['# HH received soaps]]/WWWW[[#This Row],[Total HH]]&gt;1,1,WWWW[[#This Row],['# HH received soaps]]/WWWW[[#This Row],[Total HH]])</f>
        <v>0</v>
      </c>
      <c r="CD24" s="211">
        <f>IF(WWWW[[#This Row],['# HH received Sanitary Pads]]/WWWW[[#This Row],[Total HH]]&gt;1,1,WWWW[[#This Row],['# HH received Sanitary Pads]]/WWWW[[#This Row],[Total HH]])</f>
        <v>0</v>
      </c>
      <c r="CE24" s="210">
        <f>WWWW[[#This Row],['# HH received soaps]]*5</f>
        <v>0</v>
      </c>
      <c r="CF24" s="210">
        <f>WWWW[[#This Row],['# HH received Sanitary Pads]]*5</f>
        <v>0</v>
      </c>
      <c r="CG24" s="210">
        <f>IF(WWWW[[#This Row],['# People with access to soap]]&gt;WWWW[[#This Row],['# People with access to Sanity Pads]],WWWW[[#This Row],['# People with access to soap]],WWWW[[#This Row],['# People with access to Sanity Pads]])</f>
        <v>0</v>
      </c>
      <c r="CH24" s="209">
        <f>WWWW[[#This Row],[Total HH]]*WWWW[[#This Row],[%HHs with access to functional hand washing stations]]</f>
        <v>0</v>
      </c>
      <c r="CI24" s="699" t="str">
        <f>VLOOKUP(WWWW[[#This Row],[Site Name]],SiteDB6[[Site Name]:[CCCM Management]],6,FALSE)</f>
        <v>Yes</v>
      </c>
      <c r="CJ24" s="699" t="str">
        <f>VLOOKUP(WWWW[[#This Row],[Site Name]],SiteDB6[[Site Name]:[CCCM Focal Agency]],7,FALSE)</f>
        <v>KMSS-MYT</v>
      </c>
      <c r="CK24" s="699" t="str">
        <f>VLOOKUP(WWWW[[#This Row],[Site Name]],SiteDB6[[Site Name]:[Location Type]],8,FALSE)</f>
        <v>Camp</v>
      </c>
      <c r="CL24" s="699" t="str">
        <f>VLOOKUP(WWWW[[#This Row],[Site Name]],SiteDB6[[Site Name]:[Location Type 1]],9,FALSE)</f>
        <v>Camp</v>
      </c>
      <c r="CM24" s="699" t="str">
        <f>VLOOKUP(WWWW[[#This Row],[Site Name]],SiteDB6[[Site Name]:[Type of Accommodation]],10,FALSE)</f>
        <v>Camp</v>
      </c>
      <c r="CN24" s="699" t="str">
        <f>VLOOKUP(WWWW[[#This Row],[Site Name]],SiteDB6[[Site Name]:[Ethnic or GCA/NGCA]],11,FALSE)</f>
        <v>GCA</v>
      </c>
      <c r="CO24" s="699">
        <f>VLOOKUP(WWWW[[#This Row],[Site Name]],SiteDB6[[Site Name]:[Lat]],12,FALSE)</f>
        <v>25.645959999999999</v>
      </c>
      <c r="CP24" s="699">
        <f>VLOOKUP(WWWW[[#This Row],[Site Name]],SiteDB6[[Site Name]:[Long]],13,FALSE)</f>
        <v>98.356260000000006</v>
      </c>
      <c r="CQ24" s="699" t="str">
        <f>VLOOKUP(WWWW[[#This Row],[Site Name]],SiteDB6[[Site Name]:[Pcode]],3,FALSE)</f>
        <v>MMR001CMP225</v>
      </c>
      <c r="CR24" s="660" t="str">
        <f t="shared" si="0"/>
        <v>Covered</v>
      </c>
      <c r="CS24" s="660"/>
      <c r="CT24" s="24"/>
      <c r="CU24" s="24"/>
      <c r="CV24" s="24"/>
    </row>
    <row r="25" spans="1:100" ht="15.75" customHeight="1" x14ac:dyDescent="0.25">
      <c r="A25" s="833" t="s">
        <v>3206</v>
      </c>
      <c r="B25" s="206" t="s">
        <v>43</v>
      </c>
      <c r="C25" s="206" t="s">
        <v>44</v>
      </c>
      <c r="D25" s="206" t="s">
        <v>294</v>
      </c>
      <c r="E25" s="206" t="s">
        <v>377</v>
      </c>
      <c r="F25" s="206">
        <v>70</v>
      </c>
      <c r="G25" s="209">
        <v>350</v>
      </c>
      <c r="H25" s="206"/>
      <c r="I25" s="206" t="s">
        <v>372</v>
      </c>
      <c r="J25" s="207">
        <v>43465</v>
      </c>
      <c r="K25" s="206">
        <v>0</v>
      </c>
      <c r="L25" s="206" t="s">
        <v>2452</v>
      </c>
      <c r="M25" s="208">
        <v>0.5</v>
      </c>
      <c r="N25" s="208">
        <v>0.1</v>
      </c>
      <c r="O25" s="316">
        <v>2</v>
      </c>
      <c r="P25" s="317">
        <v>0</v>
      </c>
      <c r="Q25" s="317">
        <v>7000</v>
      </c>
      <c r="R25" s="318">
        <v>0</v>
      </c>
      <c r="S25" s="318">
        <v>3</v>
      </c>
      <c r="T25" s="318"/>
      <c r="U25" s="318">
        <v>1</v>
      </c>
      <c r="V25" s="318">
        <v>0</v>
      </c>
      <c r="W25" s="318">
        <v>12</v>
      </c>
      <c r="X25" s="318">
        <v>1</v>
      </c>
      <c r="Y25" s="318">
        <v>0</v>
      </c>
      <c r="Z25" s="318"/>
      <c r="AA25" s="866">
        <v>16</v>
      </c>
      <c r="AB25" s="310">
        <v>0</v>
      </c>
      <c r="AC25" s="66">
        <v>0</v>
      </c>
      <c r="AD25" s="66" t="s">
        <v>2789</v>
      </c>
      <c r="AE25" s="310">
        <v>8</v>
      </c>
      <c r="AF25" s="310" t="s">
        <v>283</v>
      </c>
      <c r="AG25" s="311" t="s">
        <v>1358</v>
      </c>
      <c r="AH25" s="311">
        <v>0</v>
      </c>
      <c r="AI25" s="310">
        <v>0</v>
      </c>
      <c r="AJ25" s="310"/>
      <c r="AK25" s="841">
        <v>0</v>
      </c>
      <c r="AL25" s="842" t="s">
        <v>376</v>
      </c>
      <c r="AM25" s="842">
        <v>0</v>
      </c>
      <c r="AN25" s="863">
        <v>3</v>
      </c>
      <c r="AO25" s="863">
        <v>2</v>
      </c>
      <c r="AP25" s="838">
        <v>0</v>
      </c>
      <c r="AQ25" s="843">
        <v>0</v>
      </c>
      <c r="AR25" s="843" t="s">
        <v>282</v>
      </c>
      <c r="AS25" s="843"/>
      <c r="AT25" s="843"/>
      <c r="AU25" s="843"/>
      <c r="AV25" s="844"/>
      <c r="AW25" s="208">
        <f>IFERROR(WWWW[[#This Row],['# of Water passed at source]]/WWWW[[#This Row],['# of Water tested at source]],"no test")</f>
        <v>0</v>
      </c>
      <c r="AX25" s="211">
        <f>IFERROR(WWWW[[#This Row],['# of Water passed at HH]]/WWWW[[#This Row],['# of Water tested at HH]],"no test")</f>
        <v>8.3333333333333329E-2</v>
      </c>
      <c r="AY25" s="210" t="str">
        <f>IF(AND(WWWW[[#This Row],[%of Water samples which passed at water source]]="no test",WWWW[[#This Row],[%Water samples which passed at HH]]="no test"),"No Test","Tested")</f>
        <v>Tested</v>
      </c>
      <c r="AZ2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5" s="211">
        <f>IF(WWWW[[#This Row],[Location Type 1]]="Village",WWWW[[#This Row],[Access to safe drinking water for Village]],WWWW[[#This Row],[Access to safe drinking water for Camp]])</f>
        <v>1</v>
      </c>
      <c r="BC25" s="209">
        <f>WWWW[[#This Row],[%Equitable and continuous access to sufficient quantity of safe drinking water]]*WWWW[[#This Row],[Total PoP ]]</f>
        <v>350</v>
      </c>
      <c r="BD25" s="211">
        <f>IF((WWWW[[#This Row],['# Existing protected/fenced ponds ]]*250)/WWWW[[#This Row],[Total PoP ]]&gt;1,1,WWWW[[#This Row],['# Existing protected/fenced ponds ]]*250/WWWW[[#This Row],[Total PoP ]])</f>
        <v>0</v>
      </c>
      <c r="BE25" s="209">
        <f>WWWW[[#This Row],[Access to unimproved water points]]*WWWW[[#This Row],[Total PoP ]]</f>
        <v>0</v>
      </c>
      <c r="BF2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350</v>
      </c>
      <c r="BH25" s="209">
        <f>WWWW[[#This Row],['#people Equitable and continuous access to sufficient quantity of domestic water borehole n ponds_2]]/500</f>
        <v>0.7</v>
      </c>
      <c r="BI25" s="208">
        <f>1-WWWW[[#This Row],[%Equitable and continuous access to sufficient quantity of domestic water borehole n ponds]]</f>
        <v>0</v>
      </c>
      <c r="BJ25" s="209">
        <f>WWWW[[#This Row],[%equitable and continuous access to sufficient quantity of safe drinking and domestic water''s GAP]]*WWWW[[#This Row],[Total PoP ]]</f>
        <v>0</v>
      </c>
      <c r="BK25" s="210">
        <f>IF(WWWW[[#This Row],[Total required water points]]-WWWW[[#This Row],['#Water points coverage]]&lt;0,0,WWWW[[#This Row],[Total required water points]]-WWWW[[#This Row],['#Water points coverage]])</f>
        <v>0.30000000000000004</v>
      </c>
      <c r="BL25" s="210">
        <f>ROUND(IF(WWWW[[#This Row],[Total PoP ]]&lt;500,1,WWWW[[#This Row],[Total PoP ]]/500),0)</f>
        <v>1</v>
      </c>
      <c r="BM25" s="210">
        <f>WWWW[[#This Row],['# Existing functional latrines]]+WWWW[[#This Row],['# Existing latrines dysfunctional]]</f>
        <v>16</v>
      </c>
      <c r="BN2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0.91428571428571426</v>
      </c>
      <c r="BO25" s="352">
        <f>WWWW[[#This Row],[% people access to functioning Latrine]]*WWWW[[#This Row],[Total PoP ]]</f>
        <v>320</v>
      </c>
      <c r="BP2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0.11428571428571428</v>
      </c>
      <c r="BQ25" s="209">
        <f>IF(WWWW[[#This Row],[Total required Latrines]]-WWWW[[#This Row],[Total '# of latrine]]&lt;0,0,WWWW[[#This Row],[Total required Latrines]]-WWWW[[#This Row],[Total '# of latrine]])</f>
        <v>2</v>
      </c>
      <c r="BR25" s="210">
        <f>ROUND(IF(WWWW[[#This Row],[Location Type 1]]="camp",WWWW[[#This Row],[Total PoP ]]/20,WWWW[[#This Row],[Total PoP ]]/6),0)</f>
        <v>18</v>
      </c>
      <c r="BS25" s="212">
        <f>IF(OR(WWWW[[#This Row],['# Existing latrines dysfunctional]]="",WWWW[[#This Row],['# Existing latrines dysfunctional]]=0),0,WWWW[[#This Row],['# Existing latrines dysfunctional]]/WWWW[[#This Row],[Total '# of latrine]])</f>
        <v>0</v>
      </c>
      <c r="BT2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5" s="209">
        <f>IF(500*WWWW[[#This Row],['# Hygiene Promoters ]]&gt;WWWW[[#This Row],[Total PoP ]],WWWW[[#This Row],[Total PoP ]],500*WWWW[[#This Row],['# Hygiene Promoters ]])</f>
        <v>350</v>
      </c>
      <c r="BV25" s="209">
        <f>IF(WWWW[[#This Row],[% of HH with access to Sanitary Pad]]&gt;=100%,1,0)</f>
        <v>0</v>
      </c>
      <c r="BW25" s="209">
        <f>IF(WWWW[[#This Row],[Total PoP ]]=0,0,IF(WWWW[[#This Row],['# Hygiene Promoters ]]=0,0,IF(WWWW[[#This Row],[Location Type 1]]="Village",IF(WWWW[[#This Row],[Total PoP ]]/WWWW[[#This Row],['# Hygiene Promoters ]]&lt;1000,1,0),IF(WWWW[[#This Row],[Total PoP ]]/WWWW[[#This Row],['# Hygiene Promoters ]]&lt;600,1,0))))</f>
        <v>1</v>
      </c>
      <c r="BX25" s="209">
        <f>IF(WWWW[[#This Row],[%HH with access to soap]]&gt;=100%,1,0)</f>
        <v>0</v>
      </c>
      <c r="BY25" s="209">
        <f>IF(WWWW[[#This Row],[% of HHs with access to Sanitary pad more than '#%]]+WWWW[[#This Row],[Ratio of Hyiene promoters to people less than '#]]+WWWW[[#This Row],[% of HHs with access to soap more than '#%]]&gt;=2,WWWW[[#This Row],[Total PoP ]],0)</f>
        <v>0</v>
      </c>
      <c r="BZ25" s="208">
        <f>WWWW[[#This Row],[People adopt basic personal and community hygiene practices]]/WWWW[[#This Row],[Total PoP ]]</f>
        <v>0</v>
      </c>
      <c r="CA25" s="212">
        <f>1-WWWW[[#This Row],[Hygiene Coverage%]]</f>
        <v>1</v>
      </c>
      <c r="CB25" s="211">
        <f>WWWW[[#This Row],['# people reached by regular dedicated hygiene promotion_5]]/WWWW[[#This Row],[Total PoP ]]</f>
        <v>1</v>
      </c>
      <c r="CC25" s="211">
        <f>IF(WWWW[[#This Row],['# HH received soaps]]/WWWW[[#This Row],[Total HH]]&gt;1,1,WWWW[[#This Row],['# HH received soaps]]/WWWW[[#This Row],[Total HH]])</f>
        <v>0</v>
      </c>
      <c r="CD25" s="211">
        <f>IF(WWWW[[#This Row],['# HH received Sanitary Pads]]/WWWW[[#This Row],[Total HH]]&gt;1,1,WWWW[[#This Row],['# HH received Sanitary Pads]]/WWWW[[#This Row],[Total HH]])</f>
        <v>0</v>
      </c>
      <c r="CE25" s="210">
        <f>WWWW[[#This Row],['# HH received soaps]]*5</f>
        <v>0</v>
      </c>
      <c r="CF25" s="210">
        <f>WWWW[[#This Row],['# HH received Sanitary Pads]]*5</f>
        <v>0</v>
      </c>
      <c r="CG25" s="210">
        <f>IF(WWWW[[#This Row],['# People with access to soap]]&gt;WWWW[[#This Row],['# People with access to Sanity Pads]],WWWW[[#This Row],['# People with access to soap]],WWWW[[#This Row],['# People with access to Sanity Pads]])</f>
        <v>0</v>
      </c>
      <c r="CH25" s="209">
        <f>WWWW[[#This Row],[Total HH]]*WWWW[[#This Row],[%HHs with access to functional hand washing stations]]</f>
        <v>0</v>
      </c>
      <c r="CI25" s="699" t="str">
        <f>VLOOKUP(WWWW[[#This Row],[Site Name]],SiteDB6[[Site Name]:[CCCM Management]],6,FALSE)</f>
        <v>Yes</v>
      </c>
      <c r="CJ25" s="699" t="str">
        <f>VLOOKUP(WWWW[[#This Row],[Site Name]],SiteDB6[[Site Name]:[CCCM Focal Agency]],7,FALSE)</f>
        <v>KMSS-MYT</v>
      </c>
      <c r="CK25" s="699" t="str">
        <f>VLOOKUP(WWWW[[#This Row],[Site Name]],SiteDB6[[Site Name]:[Location Type]],8,FALSE)</f>
        <v>Camp</v>
      </c>
      <c r="CL25" s="699" t="str">
        <f>VLOOKUP(WWWW[[#This Row],[Site Name]],SiteDB6[[Site Name]:[Location Type 1]],9,FALSE)</f>
        <v>Camp</v>
      </c>
      <c r="CM25" s="699" t="str">
        <f>VLOOKUP(WWWW[[#This Row],[Site Name]],SiteDB6[[Site Name]:[Type of Accommodation]],10,FALSE)</f>
        <v>Camp</v>
      </c>
      <c r="CN25" s="699" t="str">
        <f>VLOOKUP(WWWW[[#This Row],[Site Name]],SiteDB6[[Site Name]:[Ethnic or GCA/NGCA]],11,FALSE)</f>
        <v>GCA</v>
      </c>
      <c r="CO25" s="699">
        <f>VLOOKUP(WWWW[[#This Row],[Site Name]],SiteDB6[[Site Name]:[Lat]],12,FALSE)</f>
        <v>25.656009999999998</v>
      </c>
      <c r="CP25" s="699">
        <f>VLOOKUP(WWWW[[#This Row],[Site Name]],SiteDB6[[Site Name]:[Long]],13,FALSE)</f>
        <v>96.361609999999999</v>
      </c>
      <c r="CQ25" s="699" t="str">
        <f>VLOOKUP(WWWW[[#This Row],[Site Name]],SiteDB6[[Site Name]:[Pcode]],3,FALSE)</f>
        <v>MMR001CMP168</v>
      </c>
      <c r="CR25" s="660" t="str">
        <f t="shared" si="0"/>
        <v>Covered</v>
      </c>
      <c r="CS25" s="660"/>
      <c r="CT25" s="24"/>
      <c r="CU25" s="24"/>
      <c r="CV25" s="24"/>
    </row>
    <row r="26" spans="1:100" ht="15.75" customHeight="1" x14ac:dyDescent="0.25">
      <c r="A26" s="833" t="s">
        <v>3206</v>
      </c>
      <c r="B26" s="206" t="s">
        <v>389</v>
      </c>
      <c r="C26" s="206" t="s">
        <v>44</v>
      </c>
      <c r="D26" s="206" t="s">
        <v>294</v>
      </c>
      <c r="E26" s="206" t="s">
        <v>396</v>
      </c>
      <c r="F26" s="206">
        <v>65</v>
      </c>
      <c r="G26" s="209">
        <v>350</v>
      </c>
      <c r="H26" s="206"/>
      <c r="I26" s="206" t="s">
        <v>391</v>
      </c>
      <c r="J26" s="207">
        <v>42947</v>
      </c>
      <c r="K26" s="206">
        <v>0</v>
      </c>
      <c r="L26" s="206" t="s">
        <v>48</v>
      </c>
      <c r="M26" s="208">
        <v>0.2</v>
      </c>
      <c r="N26" s="208">
        <v>1</v>
      </c>
      <c r="O26" s="316">
        <v>2</v>
      </c>
      <c r="P26" s="317">
        <v>1</v>
      </c>
      <c r="Q26" s="317">
        <v>1500</v>
      </c>
      <c r="R26" s="318">
        <v>0</v>
      </c>
      <c r="S26" s="318">
        <v>3</v>
      </c>
      <c r="T26" s="318"/>
      <c r="U26" s="318">
        <v>2</v>
      </c>
      <c r="V26" s="318">
        <v>0</v>
      </c>
      <c r="W26" s="318">
        <v>1</v>
      </c>
      <c r="X26" s="318">
        <v>0</v>
      </c>
      <c r="Y26" s="318">
        <v>0</v>
      </c>
      <c r="Z26" s="318"/>
      <c r="AA26" s="310">
        <v>20</v>
      </c>
      <c r="AB26" s="310">
        <v>20</v>
      </c>
      <c r="AC26" s="66">
        <v>0</v>
      </c>
      <c r="AD26" s="66" t="s">
        <v>2789</v>
      </c>
      <c r="AE26" s="310">
        <v>20</v>
      </c>
      <c r="AF26" s="310" t="s">
        <v>283</v>
      </c>
      <c r="AG26" s="311" t="s">
        <v>283</v>
      </c>
      <c r="AH26" s="311">
        <v>0</v>
      </c>
      <c r="AI26" s="310">
        <v>0</v>
      </c>
      <c r="AJ26" s="310"/>
      <c r="AK26" s="841">
        <v>0.5</v>
      </c>
      <c r="AL26" s="842" t="s">
        <v>376</v>
      </c>
      <c r="AM26" s="842">
        <v>0</v>
      </c>
      <c r="AN26" s="863">
        <v>4</v>
      </c>
      <c r="AO26" s="863">
        <v>0</v>
      </c>
      <c r="AP26" s="838">
        <v>0</v>
      </c>
      <c r="AQ26" s="843">
        <v>0</v>
      </c>
      <c r="AR26" s="843"/>
      <c r="AS26" s="843"/>
      <c r="AT26" s="843">
        <v>1</v>
      </c>
      <c r="AU26" s="843"/>
      <c r="AV26" s="844"/>
      <c r="AW26" s="208">
        <f>IFERROR(WWWW[[#This Row],['# of Water passed at source]]/WWWW[[#This Row],['# of Water tested at source]],"no test")</f>
        <v>0</v>
      </c>
      <c r="AX26" s="211">
        <f>IFERROR(WWWW[[#This Row],['# of Water passed at HH]]/WWWW[[#This Row],['# of Water tested at HH]],"no test")</f>
        <v>0</v>
      </c>
      <c r="AY26" s="210" t="str">
        <f>IF(AND(WWWW[[#This Row],[%of Water samples which passed at water source]]="no test",WWWW[[#This Row],[%Water samples which passed at HH]]="no test"),"No Test","Tested")</f>
        <v>Tested</v>
      </c>
      <c r="AZ2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6" s="211">
        <f>IF(WWWW[[#This Row],[Location Type 1]]="Village",WWWW[[#This Row],[Access to safe drinking water for Village]],WWWW[[#This Row],[Access to safe drinking water for Camp]])</f>
        <v>1</v>
      </c>
      <c r="BC26" s="209">
        <f>WWWW[[#This Row],[%Equitable and continuous access to sufficient quantity of safe drinking water]]*WWWW[[#This Row],[Total PoP ]]</f>
        <v>350</v>
      </c>
      <c r="BD26" s="211">
        <f>IF((WWWW[[#This Row],['# Existing protected/fenced ponds ]]*250)/WWWW[[#This Row],[Total PoP ]]&gt;1,1,WWWW[[#This Row],['# Existing protected/fenced ponds ]]*250/WWWW[[#This Row],[Total PoP ]])</f>
        <v>0</v>
      </c>
      <c r="BE26" s="209">
        <f>WWWW[[#This Row],[Access to unimproved water points]]*WWWW[[#This Row],[Total PoP ]]</f>
        <v>0</v>
      </c>
      <c r="BF2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350</v>
      </c>
      <c r="BH26" s="209">
        <f>WWWW[[#This Row],['#people Equitable and continuous access to sufficient quantity of domestic water borehole n ponds_2]]/500</f>
        <v>0.7</v>
      </c>
      <c r="BI26" s="208">
        <f>1-WWWW[[#This Row],[%Equitable and continuous access to sufficient quantity of domestic water borehole n ponds]]</f>
        <v>0</v>
      </c>
      <c r="BJ26" s="209">
        <f>WWWW[[#This Row],[%equitable and continuous access to sufficient quantity of safe drinking and domestic water''s GAP]]*WWWW[[#This Row],[Total PoP ]]</f>
        <v>0</v>
      </c>
      <c r="BK26" s="210">
        <f>IF(WWWW[[#This Row],[Total required water points]]-WWWW[[#This Row],['#Water points coverage]]&lt;0,0,WWWW[[#This Row],[Total required water points]]-WWWW[[#This Row],['#Water points coverage]])</f>
        <v>0.30000000000000004</v>
      </c>
      <c r="BL26" s="210">
        <f>ROUND(IF(WWWW[[#This Row],[Total PoP ]]&lt;500,1,WWWW[[#This Row],[Total PoP ]]/500),0)</f>
        <v>1</v>
      </c>
      <c r="BM26" s="210">
        <f>WWWW[[#This Row],['# Existing functional latrines]]+WWWW[[#This Row],['# Existing latrines dysfunctional]]</f>
        <v>40</v>
      </c>
      <c r="BN2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6" s="352">
        <f>WWWW[[#This Row],[% people access to functioning Latrine]]*WWWW[[#This Row],[Total PoP ]]</f>
        <v>350</v>
      </c>
      <c r="BP2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6" s="209">
        <f>IF(WWWW[[#This Row],[Total required Latrines]]-WWWW[[#This Row],[Total '# of latrine]]&lt;0,0,WWWW[[#This Row],[Total required Latrines]]-WWWW[[#This Row],[Total '# of latrine]])</f>
        <v>0</v>
      </c>
      <c r="BR26" s="210">
        <f>ROUND(IF(WWWW[[#This Row],[Location Type 1]]="camp",WWWW[[#This Row],[Total PoP ]]/20,WWWW[[#This Row],[Total PoP ]]/6),0)</f>
        <v>18</v>
      </c>
      <c r="BS26" s="212">
        <f>IF(OR(WWWW[[#This Row],['# Existing latrines dysfunctional]]="",WWWW[[#This Row],['# Existing latrines dysfunctional]]=0),0,WWWW[[#This Row],['# Existing latrines dysfunctional]]/WWWW[[#This Row],[Total '# of latrine]])</f>
        <v>0.5</v>
      </c>
      <c r="BT2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6" s="209">
        <f>IF(500*WWWW[[#This Row],['# Hygiene Promoters ]]&gt;WWWW[[#This Row],[Total PoP ]],WWWW[[#This Row],[Total PoP ]],500*WWWW[[#This Row],['# Hygiene Promoters ]])</f>
        <v>0</v>
      </c>
      <c r="BV26" s="209">
        <f>IF(WWWW[[#This Row],[% of HH with access to Sanitary Pad]]&gt;=100%,1,0)</f>
        <v>0</v>
      </c>
      <c r="BW26" s="209">
        <f>IF(WWWW[[#This Row],[Total PoP ]]=0,0,IF(WWWW[[#This Row],['# Hygiene Promoters ]]=0,0,IF(WWWW[[#This Row],[Location Type 1]]="Village",IF(WWWW[[#This Row],[Total PoP ]]/WWWW[[#This Row],['# Hygiene Promoters ]]&lt;1000,1,0),IF(WWWW[[#This Row],[Total PoP ]]/WWWW[[#This Row],['# Hygiene Promoters ]]&lt;600,1,0))))</f>
        <v>0</v>
      </c>
      <c r="BX26" s="209">
        <f>IF(WWWW[[#This Row],[%HH with access to soap]]&gt;=100%,1,0)</f>
        <v>0</v>
      </c>
      <c r="BY26" s="209">
        <f>IF(WWWW[[#This Row],[% of HHs with access to Sanitary pad more than '#%]]+WWWW[[#This Row],[Ratio of Hyiene promoters to people less than '#]]+WWWW[[#This Row],[% of HHs with access to soap more than '#%]]&gt;=2,WWWW[[#This Row],[Total PoP ]],0)</f>
        <v>0</v>
      </c>
      <c r="BZ26" s="208">
        <f>WWWW[[#This Row],[People adopt basic personal and community hygiene practices]]/WWWW[[#This Row],[Total PoP ]]</f>
        <v>0</v>
      </c>
      <c r="CA26" s="212">
        <f>1-WWWW[[#This Row],[Hygiene Coverage%]]</f>
        <v>1</v>
      </c>
      <c r="CB26" s="211">
        <f>WWWW[[#This Row],['# people reached by regular dedicated hygiene promotion_5]]/WWWW[[#This Row],[Total PoP ]]</f>
        <v>0</v>
      </c>
      <c r="CC26" s="211">
        <f>IF(WWWW[[#This Row],['# HH received soaps]]/WWWW[[#This Row],[Total HH]]&gt;1,1,WWWW[[#This Row],['# HH received soaps]]/WWWW[[#This Row],[Total HH]])</f>
        <v>0</v>
      </c>
      <c r="CD26" s="211">
        <f>IF(WWWW[[#This Row],['# HH received Sanitary Pads]]/WWWW[[#This Row],[Total HH]]&gt;1,1,WWWW[[#This Row],['# HH received Sanitary Pads]]/WWWW[[#This Row],[Total HH]])</f>
        <v>0</v>
      </c>
      <c r="CE26" s="210">
        <f>WWWW[[#This Row],['# HH received soaps]]*5</f>
        <v>0</v>
      </c>
      <c r="CF26" s="210">
        <f>WWWW[[#This Row],['# HH received Sanitary Pads]]*5</f>
        <v>0</v>
      </c>
      <c r="CG26" s="210">
        <f>IF(WWWW[[#This Row],['# People with access to soap]]&gt;WWWW[[#This Row],['# People with access to Sanity Pads]],WWWW[[#This Row],['# People with access to soap]],WWWW[[#This Row],['# People with access to Sanity Pads]])</f>
        <v>0</v>
      </c>
      <c r="CH26" s="209">
        <f>WWWW[[#This Row],[Total HH]]*WWWW[[#This Row],[%HHs with access to functional hand washing stations]]</f>
        <v>32.5</v>
      </c>
      <c r="CI26" s="699" t="str">
        <f>VLOOKUP(WWWW[[#This Row],[Site Name]],SiteDB6[[Site Name]:[CCCM Management]],6,FALSE)</f>
        <v>Yes</v>
      </c>
      <c r="CJ26" s="699" t="str">
        <f>VLOOKUP(WWWW[[#This Row],[Site Name]],SiteDB6[[Site Name]:[CCCM Focal Agency]],7,FALSE)</f>
        <v>Shalom</v>
      </c>
      <c r="CK26" s="699" t="str">
        <f>VLOOKUP(WWWW[[#This Row],[Site Name]],SiteDB6[[Site Name]:[Location Type]],8,FALSE)</f>
        <v>Camp</v>
      </c>
      <c r="CL26" s="699" t="str">
        <f>VLOOKUP(WWWW[[#This Row],[Site Name]],SiteDB6[[Site Name]:[Location Type 1]],9,FALSE)</f>
        <v>Camp</v>
      </c>
      <c r="CM26" s="699" t="str">
        <f>VLOOKUP(WWWW[[#This Row],[Site Name]],SiteDB6[[Site Name]:[Type of Accommodation]],10,FALSE)</f>
        <v>Camp</v>
      </c>
      <c r="CN26" s="699" t="str">
        <f>VLOOKUP(WWWW[[#This Row],[Site Name]],SiteDB6[[Site Name]:[Ethnic or GCA/NGCA]],11,FALSE)</f>
        <v>GCA</v>
      </c>
      <c r="CO26" s="699">
        <f>VLOOKUP(WWWW[[#This Row],[Site Name]],SiteDB6[[Site Name]:[Lat]],12,FALSE)</f>
        <v>25.635300000000001</v>
      </c>
      <c r="CP26" s="699">
        <f>VLOOKUP(WWWW[[#This Row],[Site Name]],SiteDB6[[Site Name]:[Long]],13,FALSE)</f>
        <v>96.345569999999995</v>
      </c>
      <c r="CQ26" s="699" t="str">
        <f>VLOOKUP(WWWW[[#This Row],[Site Name]],SiteDB6[[Site Name]:[Pcode]],3,FALSE)</f>
        <v>MMR001CMP176</v>
      </c>
      <c r="CR26" s="660" t="str">
        <f t="shared" si="0"/>
        <v>Covered</v>
      </c>
      <c r="CS26" s="660"/>
      <c r="CT26" s="24"/>
      <c r="CU26" s="24"/>
      <c r="CV26" s="24"/>
    </row>
    <row r="27" spans="1:100" ht="15.75" customHeight="1" x14ac:dyDescent="0.25">
      <c r="A27" s="833" t="s">
        <v>3206</v>
      </c>
      <c r="B27" s="206" t="s">
        <v>389</v>
      </c>
      <c r="C27" s="206" t="s">
        <v>44</v>
      </c>
      <c r="D27" s="206" t="s">
        <v>294</v>
      </c>
      <c r="E27" s="206" t="s">
        <v>397</v>
      </c>
      <c r="F27" s="206">
        <v>14</v>
      </c>
      <c r="G27" s="209">
        <v>81</v>
      </c>
      <c r="H27" s="206"/>
      <c r="I27" s="206" t="s">
        <v>391</v>
      </c>
      <c r="J27" s="207">
        <v>42947</v>
      </c>
      <c r="K27" s="206">
        <v>0</v>
      </c>
      <c r="L27" s="206" t="s">
        <v>48</v>
      </c>
      <c r="M27" s="208">
        <v>0.5</v>
      </c>
      <c r="N27" s="208">
        <v>0</v>
      </c>
      <c r="O27" s="316">
        <v>1</v>
      </c>
      <c r="P27" s="317">
        <v>0</v>
      </c>
      <c r="Q27" s="317">
        <v>500</v>
      </c>
      <c r="R27" s="318">
        <v>0</v>
      </c>
      <c r="S27" s="318">
        <v>1</v>
      </c>
      <c r="T27" s="318"/>
      <c r="U27" s="318">
        <v>1</v>
      </c>
      <c r="V27" s="318">
        <v>0</v>
      </c>
      <c r="W27" s="318">
        <v>1</v>
      </c>
      <c r="X27" s="318">
        <v>0</v>
      </c>
      <c r="Y27" s="318">
        <v>0</v>
      </c>
      <c r="Z27" s="318"/>
      <c r="AA27" s="310">
        <v>4</v>
      </c>
      <c r="AB27" s="310">
        <v>0</v>
      </c>
      <c r="AC27" s="66">
        <v>0</v>
      </c>
      <c r="AD27" s="66"/>
      <c r="AE27" s="310">
        <v>4</v>
      </c>
      <c r="AF27" s="310" t="s">
        <v>283</v>
      </c>
      <c r="AG27" s="311" t="s">
        <v>1358</v>
      </c>
      <c r="AH27" s="311">
        <v>0</v>
      </c>
      <c r="AI27" s="310">
        <v>0</v>
      </c>
      <c r="AJ27" s="310"/>
      <c r="AK27" s="841">
        <v>0.2</v>
      </c>
      <c r="AL27" s="842" t="s">
        <v>376</v>
      </c>
      <c r="AM27" s="842">
        <v>0</v>
      </c>
      <c r="AN27" s="863">
        <v>2</v>
      </c>
      <c r="AO27" s="863">
        <v>0</v>
      </c>
      <c r="AP27" s="838">
        <v>0</v>
      </c>
      <c r="AQ27" s="843">
        <v>0</v>
      </c>
      <c r="AR27" s="843"/>
      <c r="AS27" s="843"/>
      <c r="AT27" s="843">
        <v>1</v>
      </c>
      <c r="AU27" s="843"/>
      <c r="AV27" s="844"/>
      <c r="AW27" s="208">
        <f>IFERROR(WWWW[[#This Row],['# of Water passed at source]]/WWWW[[#This Row],['# of Water tested at source]],"no test")</f>
        <v>0</v>
      </c>
      <c r="AX27" s="211">
        <f>IFERROR(WWWW[[#This Row],['# of Water passed at HH]]/WWWW[[#This Row],['# of Water tested at HH]],"no test")</f>
        <v>0</v>
      </c>
      <c r="AY27" s="210" t="str">
        <f>IF(AND(WWWW[[#This Row],[%of Water samples which passed at water source]]="no test",WWWW[[#This Row],[%Water samples which passed at HH]]="no test"),"No Test","Tested")</f>
        <v>Tested</v>
      </c>
      <c r="AZ2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7" s="211">
        <f>IF(WWWW[[#This Row],[Location Type 1]]="Village",WWWW[[#This Row],[Access to safe drinking water for Village]],WWWW[[#This Row],[Access to safe drinking water for Camp]])</f>
        <v>1</v>
      </c>
      <c r="BC27" s="209">
        <f>WWWW[[#This Row],[%Equitable and continuous access to sufficient quantity of safe drinking water]]*WWWW[[#This Row],[Total PoP ]]</f>
        <v>81</v>
      </c>
      <c r="BD27" s="211">
        <f>IF((WWWW[[#This Row],['# Existing protected/fenced ponds ]]*250)/WWWW[[#This Row],[Total PoP ]]&gt;1,1,WWWW[[#This Row],['# Existing protected/fenced ponds ]]*250/WWWW[[#This Row],[Total PoP ]])</f>
        <v>0</v>
      </c>
      <c r="BE27" s="209">
        <f>WWWW[[#This Row],[Access to unimproved water points]]*WWWW[[#This Row],[Total PoP ]]</f>
        <v>0</v>
      </c>
      <c r="BF2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81</v>
      </c>
      <c r="BH27" s="209">
        <f>WWWW[[#This Row],['#people Equitable and continuous access to sufficient quantity of domestic water borehole n ponds_2]]/500</f>
        <v>0.16200000000000001</v>
      </c>
      <c r="BI27" s="208">
        <f>1-WWWW[[#This Row],[%Equitable and continuous access to sufficient quantity of domestic water borehole n ponds]]</f>
        <v>0</v>
      </c>
      <c r="BJ27" s="209">
        <f>WWWW[[#This Row],[%equitable and continuous access to sufficient quantity of safe drinking and domestic water''s GAP]]*WWWW[[#This Row],[Total PoP ]]</f>
        <v>0</v>
      </c>
      <c r="BK27" s="210">
        <f>IF(WWWW[[#This Row],[Total required water points]]-WWWW[[#This Row],['#Water points coverage]]&lt;0,0,WWWW[[#This Row],[Total required water points]]-WWWW[[#This Row],['#Water points coverage]])</f>
        <v>0.83799999999999997</v>
      </c>
      <c r="BL27" s="210">
        <f>ROUND(IF(WWWW[[#This Row],[Total PoP ]]&lt;500,1,WWWW[[#This Row],[Total PoP ]]/500),0)</f>
        <v>1</v>
      </c>
      <c r="BM27" s="210">
        <f>WWWW[[#This Row],['# Existing functional latrines]]+WWWW[[#This Row],['# Existing latrines dysfunctional]]</f>
        <v>4</v>
      </c>
      <c r="BN2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0.98765432098765427</v>
      </c>
      <c r="BO27" s="352">
        <f>WWWW[[#This Row],[% people access to functioning Latrine]]*WWWW[[#This Row],[Total PoP ]]</f>
        <v>80</v>
      </c>
      <c r="BP2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7" s="209">
        <f>IF(WWWW[[#This Row],[Total required Latrines]]-WWWW[[#This Row],[Total '# of latrine]]&lt;0,0,WWWW[[#This Row],[Total required Latrines]]-WWWW[[#This Row],[Total '# of latrine]])</f>
        <v>0</v>
      </c>
      <c r="BR27" s="210">
        <f>ROUND(IF(WWWW[[#This Row],[Location Type 1]]="camp",WWWW[[#This Row],[Total PoP ]]/20,WWWW[[#This Row],[Total PoP ]]/6),0)</f>
        <v>4</v>
      </c>
      <c r="BS27" s="212">
        <f>IF(OR(WWWW[[#This Row],['# Existing latrines dysfunctional]]="",WWWW[[#This Row],['# Existing latrines dysfunctional]]=0),0,WWWW[[#This Row],['# Existing latrines dysfunctional]]/WWWW[[#This Row],[Total '# of latrine]])</f>
        <v>0</v>
      </c>
      <c r="BT2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7" s="209">
        <f>IF(500*WWWW[[#This Row],['# Hygiene Promoters ]]&gt;WWWW[[#This Row],[Total PoP ]],WWWW[[#This Row],[Total PoP ]],500*WWWW[[#This Row],['# Hygiene Promoters ]])</f>
        <v>0</v>
      </c>
      <c r="BV27" s="209">
        <f>IF(WWWW[[#This Row],[% of HH with access to Sanitary Pad]]&gt;=100%,1,0)</f>
        <v>0</v>
      </c>
      <c r="BW27" s="209">
        <f>IF(WWWW[[#This Row],[Total PoP ]]=0,0,IF(WWWW[[#This Row],['# Hygiene Promoters ]]=0,0,IF(WWWW[[#This Row],[Location Type 1]]="Village",IF(WWWW[[#This Row],[Total PoP ]]/WWWW[[#This Row],['# Hygiene Promoters ]]&lt;1000,1,0),IF(WWWW[[#This Row],[Total PoP ]]/WWWW[[#This Row],['# Hygiene Promoters ]]&lt;600,1,0))))</f>
        <v>0</v>
      </c>
      <c r="BX27" s="209">
        <f>IF(WWWW[[#This Row],[%HH with access to soap]]&gt;=100%,1,0)</f>
        <v>0</v>
      </c>
      <c r="BY27" s="209">
        <f>IF(WWWW[[#This Row],[% of HHs with access to Sanitary pad more than '#%]]+WWWW[[#This Row],[Ratio of Hyiene promoters to people less than '#]]+WWWW[[#This Row],[% of HHs with access to soap more than '#%]]&gt;=2,WWWW[[#This Row],[Total PoP ]],0)</f>
        <v>0</v>
      </c>
      <c r="BZ27" s="208">
        <f>WWWW[[#This Row],[People adopt basic personal and community hygiene practices]]/WWWW[[#This Row],[Total PoP ]]</f>
        <v>0</v>
      </c>
      <c r="CA27" s="212">
        <f>1-WWWW[[#This Row],[Hygiene Coverage%]]</f>
        <v>1</v>
      </c>
      <c r="CB27" s="211">
        <f>WWWW[[#This Row],['# people reached by regular dedicated hygiene promotion_5]]/WWWW[[#This Row],[Total PoP ]]</f>
        <v>0</v>
      </c>
      <c r="CC27" s="211">
        <f>IF(WWWW[[#This Row],['# HH received soaps]]/WWWW[[#This Row],[Total HH]]&gt;1,1,WWWW[[#This Row],['# HH received soaps]]/WWWW[[#This Row],[Total HH]])</f>
        <v>0</v>
      </c>
      <c r="CD27" s="211">
        <f>IF(WWWW[[#This Row],['# HH received Sanitary Pads]]/WWWW[[#This Row],[Total HH]]&gt;1,1,WWWW[[#This Row],['# HH received Sanitary Pads]]/WWWW[[#This Row],[Total HH]])</f>
        <v>0</v>
      </c>
      <c r="CE27" s="210">
        <f>WWWW[[#This Row],['# HH received soaps]]*5</f>
        <v>0</v>
      </c>
      <c r="CF27" s="210">
        <f>WWWW[[#This Row],['# HH received Sanitary Pads]]*5</f>
        <v>0</v>
      </c>
      <c r="CG27" s="210">
        <f>IF(WWWW[[#This Row],['# People with access to soap]]&gt;WWWW[[#This Row],['# People with access to Sanity Pads]],WWWW[[#This Row],['# People with access to soap]],WWWW[[#This Row],['# People with access to Sanity Pads]])</f>
        <v>0</v>
      </c>
      <c r="CH27" s="209">
        <f>WWWW[[#This Row],[Total HH]]*WWWW[[#This Row],[%HHs with access to functional hand washing stations]]</f>
        <v>2.8000000000000003</v>
      </c>
      <c r="CI27" s="699" t="str">
        <f>VLOOKUP(WWWW[[#This Row],[Site Name]],SiteDB6[[Site Name]:[CCCM Management]],6,FALSE)</f>
        <v>Yes</v>
      </c>
      <c r="CJ27" s="699" t="str">
        <f>VLOOKUP(WWWW[[#This Row],[Site Name]],SiteDB6[[Site Name]:[CCCM Focal Agency]],7,FALSE)</f>
        <v>Shalom</v>
      </c>
      <c r="CK27" s="699" t="str">
        <f>VLOOKUP(WWWW[[#This Row],[Site Name]],SiteDB6[[Site Name]:[Location Type]],8,FALSE)</f>
        <v>Camp</v>
      </c>
      <c r="CL27" s="699" t="str">
        <f>VLOOKUP(WWWW[[#This Row],[Site Name]],SiteDB6[[Site Name]:[Location Type 1]],9,FALSE)</f>
        <v>Camp</v>
      </c>
      <c r="CM27" s="699" t="str">
        <f>VLOOKUP(WWWW[[#This Row],[Site Name]],SiteDB6[[Site Name]:[Type of Accommodation]],10,FALSE)</f>
        <v>Camp</v>
      </c>
      <c r="CN27" s="699" t="str">
        <f>VLOOKUP(WWWW[[#This Row],[Site Name]],SiteDB6[[Site Name]:[Ethnic or GCA/NGCA]],11,FALSE)</f>
        <v>GCA</v>
      </c>
      <c r="CO27" s="699">
        <f>VLOOKUP(WWWW[[#This Row],[Site Name]],SiteDB6[[Site Name]:[Lat]],12,FALSE)</f>
        <v>25.616509000000001</v>
      </c>
      <c r="CP27" s="699">
        <f>VLOOKUP(WWWW[[#This Row],[Site Name]],SiteDB6[[Site Name]:[Long]],13,FALSE)</f>
        <v>96.317350000000005</v>
      </c>
      <c r="CQ27" s="699" t="str">
        <f>VLOOKUP(WWWW[[#This Row],[Site Name]],SiteDB6[[Site Name]:[Pcode]],3,FALSE)</f>
        <v>MMR001CMP190</v>
      </c>
      <c r="CR27" s="660" t="str">
        <f t="shared" si="0"/>
        <v>Covered</v>
      </c>
      <c r="CS27" s="660"/>
      <c r="CT27" s="24"/>
      <c r="CU27" s="24"/>
      <c r="CV27" s="24"/>
    </row>
    <row r="28" spans="1:100" ht="15.75" customHeight="1" x14ac:dyDescent="0.25">
      <c r="A28" s="833" t="s">
        <v>3206</v>
      </c>
      <c r="B28" s="206" t="s">
        <v>389</v>
      </c>
      <c r="C28" s="206" t="s">
        <v>44</v>
      </c>
      <c r="D28" s="206" t="s">
        <v>294</v>
      </c>
      <c r="E28" s="206" t="s">
        <v>398</v>
      </c>
      <c r="F28" s="206">
        <v>37</v>
      </c>
      <c r="G28" s="209">
        <v>228</v>
      </c>
      <c r="H28" s="206"/>
      <c r="I28" s="206" t="s">
        <v>391</v>
      </c>
      <c r="J28" s="207">
        <v>42947</v>
      </c>
      <c r="K28" s="206">
        <v>0</v>
      </c>
      <c r="L28" s="206" t="s">
        <v>48</v>
      </c>
      <c r="M28" s="208">
        <v>0.5</v>
      </c>
      <c r="N28" s="208">
        <v>0</v>
      </c>
      <c r="O28" s="316">
        <v>2</v>
      </c>
      <c r="P28" s="317">
        <v>0</v>
      </c>
      <c r="Q28" s="317">
        <v>2000</v>
      </c>
      <c r="R28" s="318">
        <v>0</v>
      </c>
      <c r="S28" s="318">
        <v>2</v>
      </c>
      <c r="T28" s="318"/>
      <c r="U28" s="318">
        <v>1</v>
      </c>
      <c r="V28" s="318">
        <v>0</v>
      </c>
      <c r="W28" s="318">
        <v>2</v>
      </c>
      <c r="X28" s="318">
        <v>0</v>
      </c>
      <c r="Y28" s="318">
        <v>0</v>
      </c>
      <c r="Z28" s="318" t="s">
        <v>399</v>
      </c>
      <c r="AA28" s="310">
        <v>10</v>
      </c>
      <c r="AB28" s="310">
        <v>4</v>
      </c>
      <c r="AC28" s="66">
        <v>0</v>
      </c>
      <c r="AD28" s="66" t="s">
        <v>2789</v>
      </c>
      <c r="AE28" s="310">
        <v>10</v>
      </c>
      <c r="AF28" s="310" t="s">
        <v>283</v>
      </c>
      <c r="AG28" s="311" t="s">
        <v>283</v>
      </c>
      <c r="AH28" s="311">
        <v>0</v>
      </c>
      <c r="AI28" s="310">
        <v>0</v>
      </c>
      <c r="AJ28" s="310"/>
      <c r="AK28" s="841">
        <v>0.6</v>
      </c>
      <c r="AL28" s="842" t="s">
        <v>376</v>
      </c>
      <c r="AM28" s="842">
        <v>0</v>
      </c>
      <c r="AN28" s="863">
        <v>3</v>
      </c>
      <c r="AO28" s="863">
        <v>0</v>
      </c>
      <c r="AP28" s="838">
        <v>0</v>
      </c>
      <c r="AQ28" s="843">
        <v>0</v>
      </c>
      <c r="AR28" s="843"/>
      <c r="AS28" s="843"/>
      <c r="AT28" s="843">
        <v>1</v>
      </c>
      <c r="AU28" s="843"/>
      <c r="AV28" s="844"/>
      <c r="AW28" s="208">
        <f>IFERROR(WWWW[[#This Row],['# of Water passed at source]]/WWWW[[#This Row],['# of Water tested at source]],"no test")</f>
        <v>0</v>
      </c>
      <c r="AX28" s="211">
        <f>IFERROR(WWWW[[#This Row],['# of Water passed at HH]]/WWWW[[#This Row],['# of Water tested at HH]],"no test")</f>
        <v>0</v>
      </c>
      <c r="AY28" s="210" t="str">
        <f>IF(AND(WWWW[[#This Row],[%of Water samples which passed at water source]]="no test",WWWW[[#This Row],[%Water samples which passed at HH]]="no test"),"No Test","Tested")</f>
        <v>Tested</v>
      </c>
      <c r="AZ2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8" s="211">
        <f>IF(WWWW[[#This Row],[Location Type 1]]="Village",WWWW[[#This Row],[Access to safe drinking water for Village]],WWWW[[#This Row],[Access to safe drinking water for Camp]])</f>
        <v>1</v>
      </c>
      <c r="BC28" s="209">
        <f>WWWW[[#This Row],[%Equitable and continuous access to sufficient quantity of safe drinking water]]*WWWW[[#This Row],[Total PoP ]]</f>
        <v>228</v>
      </c>
      <c r="BD28" s="211">
        <f>IF((WWWW[[#This Row],['# Existing protected/fenced ponds ]]*250)/WWWW[[#This Row],[Total PoP ]]&gt;1,1,WWWW[[#This Row],['# Existing protected/fenced ponds ]]*250/WWWW[[#This Row],[Total PoP ]])</f>
        <v>0</v>
      </c>
      <c r="BE28" s="209">
        <f>WWWW[[#This Row],[Access to unimproved water points]]*WWWW[[#This Row],[Total PoP ]]</f>
        <v>0</v>
      </c>
      <c r="BF2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228</v>
      </c>
      <c r="BH28" s="209">
        <f>WWWW[[#This Row],['#people Equitable and continuous access to sufficient quantity of domestic water borehole n ponds_2]]/500</f>
        <v>0.45600000000000002</v>
      </c>
      <c r="BI28" s="208">
        <f>1-WWWW[[#This Row],[%Equitable and continuous access to sufficient quantity of domestic water borehole n ponds]]</f>
        <v>0</v>
      </c>
      <c r="BJ28" s="209">
        <f>WWWW[[#This Row],[%equitable and continuous access to sufficient quantity of safe drinking and domestic water''s GAP]]*WWWW[[#This Row],[Total PoP ]]</f>
        <v>0</v>
      </c>
      <c r="BK28" s="210">
        <f>IF(WWWW[[#This Row],[Total required water points]]-WWWW[[#This Row],['#Water points coverage]]&lt;0,0,WWWW[[#This Row],[Total required water points]]-WWWW[[#This Row],['#Water points coverage]])</f>
        <v>0.54400000000000004</v>
      </c>
      <c r="BL28" s="210">
        <f>ROUND(IF(WWWW[[#This Row],[Total PoP ]]&lt;500,1,WWWW[[#This Row],[Total PoP ]]/500),0)</f>
        <v>1</v>
      </c>
      <c r="BM28" s="210">
        <f>WWWW[[#This Row],['# Existing functional latrines]]+WWWW[[#This Row],['# Existing latrines dysfunctional]]</f>
        <v>14</v>
      </c>
      <c r="BN2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0.8771929824561403</v>
      </c>
      <c r="BO28" s="352">
        <f>WWWW[[#This Row],[% people access to functioning Latrine]]*WWWW[[#This Row],[Total PoP ]]</f>
        <v>200</v>
      </c>
      <c r="BP2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8" s="209">
        <f>IF(WWWW[[#This Row],[Total required Latrines]]-WWWW[[#This Row],[Total '# of latrine]]&lt;0,0,WWWW[[#This Row],[Total required Latrines]]-WWWW[[#This Row],[Total '# of latrine]])</f>
        <v>0</v>
      </c>
      <c r="BR28" s="210">
        <f>ROUND(IF(WWWW[[#This Row],[Location Type 1]]="camp",WWWW[[#This Row],[Total PoP ]]/20,WWWW[[#This Row],[Total PoP ]]/6),0)</f>
        <v>11</v>
      </c>
      <c r="BS28" s="212">
        <f>IF(OR(WWWW[[#This Row],['# Existing latrines dysfunctional]]="",WWWW[[#This Row],['# Existing latrines dysfunctional]]=0),0,WWWW[[#This Row],['# Existing latrines dysfunctional]]/WWWW[[#This Row],[Total '# of latrine]])</f>
        <v>0.2857142857142857</v>
      </c>
      <c r="BT2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8" s="209">
        <f>IF(500*WWWW[[#This Row],['# Hygiene Promoters ]]&gt;WWWW[[#This Row],[Total PoP ]],WWWW[[#This Row],[Total PoP ]],500*WWWW[[#This Row],['# Hygiene Promoters ]])</f>
        <v>0</v>
      </c>
      <c r="BV28" s="209">
        <f>IF(WWWW[[#This Row],[% of HH with access to Sanitary Pad]]&gt;=100%,1,0)</f>
        <v>0</v>
      </c>
      <c r="BW28" s="209">
        <f>IF(WWWW[[#This Row],[Total PoP ]]=0,0,IF(WWWW[[#This Row],['# Hygiene Promoters ]]=0,0,IF(WWWW[[#This Row],[Location Type 1]]="Village",IF(WWWW[[#This Row],[Total PoP ]]/WWWW[[#This Row],['# Hygiene Promoters ]]&lt;1000,1,0),IF(WWWW[[#This Row],[Total PoP ]]/WWWW[[#This Row],['# Hygiene Promoters ]]&lt;600,1,0))))</f>
        <v>0</v>
      </c>
      <c r="BX28" s="209">
        <f>IF(WWWW[[#This Row],[%HH with access to soap]]&gt;=100%,1,0)</f>
        <v>0</v>
      </c>
      <c r="BY28" s="209">
        <f>IF(WWWW[[#This Row],[% of HHs with access to Sanitary pad more than '#%]]+WWWW[[#This Row],[Ratio of Hyiene promoters to people less than '#]]+WWWW[[#This Row],[% of HHs with access to soap more than '#%]]&gt;=2,WWWW[[#This Row],[Total PoP ]],0)</f>
        <v>0</v>
      </c>
      <c r="BZ28" s="208">
        <f>WWWW[[#This Row],[People adopt basic personal and community hygiene practices]]/WWWW[[#This Row],[Total PoP ]]</f>
        <v>0</v>
      </c>
      <c r="CA28" s="212">
        <f>1-WWWW[[#This Row],[Hygiene Coverage%]]</f>
        <v>1</v>
      </c>
      <c r="CB28" s="211">
        <f>WWWW[[#This Row],['# people reached by regular dedicated hygiene promotion_5]]/WWWW[[#This Row],[Total PoP ]]</f>
        <v>0</v>
      </c>
      <c r="CC28" s="211">
        <f>IF(WWWW[[#This Row],['# HH received soaps]]/WWWW[[#This Row],[Total HH]]&gt;1,1,WWWW[[#This Row],['# HH received soaps]]/WWWW[[#This Row],[Total HH]])</f>
        <v>0</v>
      </c>
      <c r="CD28" s="211">
        <f>IF(WWWW[[#This Row],['# HH received Sanitary Pads]]/WWWW[[#This Row],[Total HH]]&gt;1,1,WWWW[[#This Row],['# HH received Sanitary Pads]]/WWWW[[#This Row],[Total HH]])</f>
        <v>0</v>
      </c>
      <c r="CE28" s="210">
        <f>WWWW[[#This Row],['# HH received soaps]]*5</f>
        <v>0</v>
      </c>
      <c r="CF28" s="210">
        <f>WWWW[[#This Row],['# HH received Sanitary Pads]]*5</f>
        <v>0</v>
      </c>
      <c r="CG28" s="210">
        <f>IF(WWWW[[#This Row],['# People with access to soap]]&gt;WWWW[[#This Row],['# People with access to Sanity Pads]],WWWW[[#This Row],['# People with access to soap]],WWWW[[#This Row],['# People with access to Sanity Pads]])</f>
        <v>0</v>
      </c>
      <c r="CH28" s="209">
        <f>WWWW[[#This Row],[Total HH]]*WWWW[[#This Row],[%HHs with access to functional hand washing stations]]</f>
        <v>22.2</v>
      </c>
      <c r="CI28" s="699" t="str">
        <f>VLOOKUP(WWWW[[#This Row],[Site Name]],SiteDB6[[Site Name]:[CCCM Management]],6,FALSE)</f>
        <v>Yes</v>
      </c>
      <c r="CJ28" s="699" t="str">
        <f>VLOOKUP(WWWW[[#This Row],[Site Name]],SiteDB6[[Site Name]:[CCCM Focal Agency]],7,FALSE)</f>
        <v>KBC</v>
      </c>
      <c r="CK28" s="699" t="str">
        <f>VLOOKUP(WWWW[[#This Row],[Site Name]],SiteDB6[[Site Name]:[Location Type]],8,FALSE)</f>
        <v>Camp</v>
      </c>
      <c r="CL28" s="699" t="str">
        <f>VLOOKUP(WWWW[[#This Row],[Site Name]],SiteDB6[[Site Name]:[Location Type 1]],9,FALSE)</f>
        <v>Camp</v>
      </c>
      <c r="CM28" s="699" t="str">
        <f>VLOOKUP(WWWW[[#This Row],[Site Name]],SiteDB6[[Site Name]:[Type of Accommodation]],10,FALSE)</f>
        <v>Camp</v>
      </c>
      <c r="CN28" s="699" t="str">
        <f>VLOOKUP(WWWW[[#This Row],[Site Name]],SiteDB6[[Site Name]:[Ethnic or GCA/NGCA]],11,FALSE)</f>
        <v>GCA</v>
      </c>
      <c r="CO28" s="699">
        <f>VLOOKUP(WWWW[[#This Row],[Site Name]],SiteDB6[[Site Name]:[Lat]],12,FALSE)</f>
        <v>25.647649999999999</v>
      </c>
      <c r="CP28" s="699">
        <f>VLOOKUP(WWWW[[#This Row],[Site Name]],SiteDB6[[Site Name]:[Long]],13,FALSE)</f>
        <v>96.346469999999997</v>
      </c>
      <c r="CQ28" s="699" t="str">
        <f>VLOOKUP(WWWW[[#This Row],[Site Name]],SiteDB6[[Site Name]:[Pcode]],3,FALSE)</f>
        <v>MMR001CMP169</v>
      </c>
      <c r="CR28" s="660" t="str">
        <f t="shared" si="0"/>
        <v>Covered</v>
      </c>
      <c r="CS28" s="660"/>
      <c r="CT28" s="24"/>
      <c r="CU28" s="24"/>
      <c r="CV28" s="24"/>
    </row>
    <row r="29" spans="1:100" ht="15.75" customHeight="1" x14ac:dyDescent="0.25">
      <c r="A29" s="833" t="s">
        <v>3206</v>
      </c>
      <c r="B29" s="206" t="s">
        <v>389</v>
      </c>
      <c r="C29" s="206" t="s">
        <v>44</v>
      </c>
      <c r="D29" s="206" t="s">
        <v>294</v>
      </c>
      <c r="E29" s="206" t="s">
        <v>400</v>
      </c>
      <c r="F29" s="206">
        <v>5</v>
      </c>
      <c r="G29" s="209">
        <v>26</v>
      </c>
      <c r="H29" s="206"/>
      <c r="I29" s="206" t="s">
        <v>391</v>
      </c>
      <c r="J29" s="207">
        <v>42947</v>
      </c>
      <c r="K29" s="206">
        <v>0</v>
      </c>
      <c r="L29" s="206" t="s">
        <v>48</v>
      </c>
      <c r="M29" s="208">
        <v>0.25</v>
      </c>
      <c r="N29" s="208">
        <v>1</v>
      </c>
      <c r="O29" s="316">
        <v>0</v>
      </c>
      <c r="P29" s="317">
        <v>0</v>
      </c>
      <c r="Q29" s="317">
        <v>0</v>
      </c>
      <c r="R29" s="318">
        <v>0</v>
      </c>
      <c r="S29" s="318">
        <v>1</v>
      </c>
      <c r="T29" s="318"/>
      <c r="U29" s="318">
        <v>1</v>
      </c>
      <c r="V29" s="318">
        <v>0</v>
      </c>
      <c r="W29" s="318">
        <v>0</v>
      </c>
      <c r="X29" s="318">
        <v>0</v>
      </c>
      <c r="Y29" s="318">
        <v>0</v>
      </c>
      <c r="Z29" s="318" t="s">
        <v>401</v>
      </c>
      <c r="AA29" s="310">
        <v>2</v>
      </c>
      <c r="AB29" s="310">
        <v>0</v>
      </c>
      <c r="AC29" s="66">
        <v>0</v>
      </c>
      <c r="AD29" s="66" t="s">
        <v>2789</v>
      </c>
      <c r="AE29" s="310">
        <v>2</v>
      </c>
      <c r="AF29" s="310" t="s">
        <v>283</v>
      </c>
      <c r="AG29" s="311" t="s">
        <v>1358</v>
      </c>
      <c r="AH29" s="311">
        <v>0</v>
      </c>
      <c r="AI29" s="310">
        <v>0</v>
      </c>
      <c r="AJ29" s="310"/>
      <c r="AK29" s="841">
        <v>0.5</v>
      </c>
      <c r="AL29" s="842" t="s">
        <v>376</v>
      </c>
      <c r="AM29" s="842">
        <v>0</v>
      </c>
      <c r="AN29" s="863">
        <v>1</v>
      </c>
      <c r="AO29" s="863">
        <v>0</v>
      </c>
      <c r="AP29" s="838">
        <v>0</v>
      </c>
      <c r="AQ29" s="843">
        <v>0</v>
      </c>
      <c r="AR29" s="843"/>
      <c r="AS29" s="843"/>
      <c r="AT29" s="843">
        <v>1</v>
      </c>
      <c r="AU29" s="843"/>
      <c r="AV29" s="844"/>
      <c r="AW29" s="208">
        <f>IFERROR(WWWW[[#This Row],['# of Water passed at source]]/WWWW[[#This Row],['# of Water tested at source]],"no test")</f>
        <v>0</v>
      </c>
      <c r="AX29" s="211" t="str">
        <f>IFERROR(WWWW[[#This Row],['# of Water passed at HH]]/WWWW[[#This Row],['# of Water tested at HH]],"no test")</f>
        <v>no test</v>
      </c>
      <c r="AY29" s="210" t="str">
        <f>IF(AND(WWWW[[#This Row],[%of Water samples which passed at water source]]="no test",WWWW[[#This Row],[%Water samples which passed at HH]]="no test"),"No Test","Tested")</f>
        <v>Tested</v>
      </c>
      <c r="AZ2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9" s="211">
        <f>IF(WWWW[[#This Row],[Location Type 1]]="Village",WWWW[[#This Row],[Access to safe drinking water for Village]],WWWW[[#This Row],[Access to safe drinking water for Camp]])</f>
        <v>0</v>
      </c>
      <c r="BC29" s="209">
        <f>WWWW[[#This Row],[%Equitable and continuous access to sufficient quantity of safe drinking water]]*WWWW[[#This Row],[Total PoP ]]</f>
        <v>0</v>
      </c>
      <c r="BD29" s="211">
        <f>IF((WWWW[[#This Row],['# Existing protected/fenced ponds ]]*250)/WWWW[[#This Row],[Total PoP ]]&gt;1,1,WWWW[[#This Row],['# Existing protected/fenced ponds ]]*250/WWWW[[#This Row],[Total PoP ]])</f>
        <v>0</v>
      </c>
      <c r="BE29" s="209">
        <f>WWWW[[#This Row],[Access to unimproved water points]]*WWWW[[#This Row],[Total PoP ]]</f>
        <v>0</v>
      </c>
      <c r="BF2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9" s="209">
        <f>WWWW[[#This Row],['#people Equitable and continuous access to sufficient quantity of domestic water borehole n ponds_2]]/500</f>
        <v>0</v>
      </c>
      <c r="BI29" s="208">
        <f>1-WWWW[[#This Row],[%Equitable and continuous access to sufficient quantity of domestic water borehole n ponds]]</f>
        <v>1</v>
      </c>
      <c r="BJ29" s="209">
        <f>WWWW[[#This Row],[%equitable and continuous access to sufficient quantity of safe drinking and domestic water''s GAP]]*WWWW[[#This Row],[Total PoP ]]</f>
        <v>26</v>
      </c>
      <c r="BK29" s="210">
        <f>IF(WWWW[[#This Row],[Total required water points]]-WWWW[[#This Row],['#Water points coverage]]&lt;0,0,WWWW[[#This Row],[Total required water points]]-WWWW[[#This Row],['#Water points coverage]])</f>
        <v>1</v>
      </c>
      <c r="BL29" s="210">
        <f>ROUND(IF(WWWW[[#This Row],[Total PoP ]]&lt;500,1,WWWW[[#This Row],[Total PoP ]]/500),0)</f>
        <v>1</v>
      </c>
      <c r="BM29" s="210">
        <f>WWWW[[#This Row],['# Existing functional latrines]]+WWWW[[#This Row],['# Existing latrines dysfunctional]]</f>
        <v>2</v>
      </c>
      <c r="BN2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9" s="352">
        <f>WWWW[[#This Row],[% people access to functioning Latrine]]*WWWW[[#This Row],[Total PoP ]]</f>
        <v>26</v>
      </c>
      <c r="BP2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9" s="209">
        <f>IF(WWWW[[#This Row],[Total required Latrines]]-WWWW[[#This Row],[Total '# of latrine]]&lt;0,0,WWWW[[#This Row],[Total required Latrines]]-WWWW[[#This Row],[Total '# of latrine]])</f>
        <v>0</v>
      </c>
      <c r="BR29" s="210">
        <f>ROUND(IF(WWWW[[#This Row],[Location Type 1]]="camp",WWWW[[#This Row],[Total PoP ]]/20,WWWW[[#This Row],[Total PoP ]]/6),0)</f>
        <v>1</v>
      </c>
      <c r="BS29" s="212">
        <f>IF(OR(WWWW[[#This Row],['# Existing latrines dysfunctional]]="",WWWW[[#This Row],['# Existing latrines dysfunctional]]=0),0,WWWW[[#This Row],['# Existing latrines dysfunctional]]/WWWW[[#This Row],[Total '# of latrine]])</f>
        <v>0</v>
      </c>
      <c r="BT2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9" s="209">
        <f>IF(500*WWWW[[#This Row],['# Hygiene Promoters ]]&gt;WWWW[[#This Row],[Total PoP ]],WWWW[[#This Row],[Total PoP ]],500*WWWW[[#This Row],['# Hygiene Promoters ]])</f>
        <v>0</v>
      </c>
      <c r="BV29" s="209">
        <f>IF(WWWW[[#This Row],[% of HH with access to Sanitary Pad]]&gt;=100%,1,0)</f>
        <v>0</v>
      </c>
      <c r="BW29" s="209">
        <f>IF(WWWW[[#This Row],[Total PoP ]]=0,0,IF(WWWW[[#This Row],['# Hygiene Promoters ]]=0,0,IF(WWWW[[#This Row],[Location Type 1]]="Village",IF(WWWW[[#This Row],[Total PoP ]]/WWWW[[#This Row],['# Hygiene Promoters ]]&lt;1000,1,0),IF(WWWW[[#This Row],[Total PoP ]]/WWWW[[#This Row],['# Hygiene Promoters ]]&lt;600,1,0))))</f>
        <v>0</v>
      </c>
      <c r="BX29" s="209">
        <f>IF(WWWW[[#This Row],[%HH with access to soap]]&gt;=100%,1,0)</f>
        <v>0</v>
      </c>
      <c r="BY29" s="209">
        <f>IF(WWWW[[#This Row],[% of HHs with access to Sanitary pad more than '#%]]+WWWW[[#This Row],[Ratio of Hyiene promoters to people less than '#]]+WWWW[[#This Row],[% of HHs with access to soap more than '#%]]&gt;=2,WWWW[[#This Row],[Total PoP ]],0)</f>
        <v>0</v>
      </c>
      <c r="BZ29" s="208">
        <f>WWWW[[#This Row],[People adopt basic personal and community hygiene practices]]/WWWW[[#This Row],[Total PoP ]]</f>
        <v>0</v>
      </c>
      <c r="CA29" s="212">
        <f>1-WWWW[[#This Row],[Hygiene Coverage%]]</f>
        <v>1</v>
      </c>
      <c r="CB29" s="211">
        <f>WWWW[[#This Row],['# people reached by regular dedicated hygiene promotion_5]]/WWWW[[#This Row],[Total PoP ]]</f>
        <v>0</v>
      </c>
      <c r="CC29" s="211">
        <f>IF(WWWW[[#This Row],['# HH received soaps]]/WWWW[[#This Row],[Total HH]]&gt;1,1,WWWW[[#This Row],['# HH received soaps]]/WWWW[[#This Row],[Total HH]])</f>
        <v>0</v>
      </c>
      <c r="CD29" s="211">
        <f>IF(WWWW[[#This Row],['# HH received Sanitary Pads]]/WWWW[[#This Row],[Total HH]]&gt;1,1,WWWW[[#This Row],['# HH received Sanitary Pads]]/WWWW[[#This Row],[Total HH]])</f>
        <v>0</v>
      </c>
      <c r="CE29" s="210">
        <f>WWWW[[#This Row],['# HH received soaps]]*5</f>
        <v>0</v>
      </c>
      <c r="CF29" s="210">
        <f>WWWW[[#This Row],['# HH received Sanitary Pads]]*5</f>
        <v>0</v>
      </c>
      <c r="CG29" s="210">
        <f>IF(WWWW[[#This Row],['# People with access to soap]]&gt;WWWW[[#This Row],['# People with access to Sanity Pads]],WWWW[[#This Row],['# People with access to soap]],WWWW[[#This Row],['# People with access to Sanity Pads]])</f>
        <v>0</v>
      </c>
      <c r="CH29" s="209">
        <f>WWWW[[#This Row],[Total HH]]*WWWW[[#This Row],[%HHs with access to functional hand washing stations]]</f>
        <v>2.5</v>
      </c>
      <c r="CI29" s="699" t="str">
        <f>VLOOKUP(WWWW[[#This Row],[Site Name]],SiteDB6[[Site Name]:[CCCM Management]],6,FALSE)</f>
        <v>Yes</v>
      </c>
      <c r="CJ29" s="699" t="str">
        <f>VLOOKUP(WWWW[[#This Row],[Site Name]],SiteDB6[[Site Name]:[CCCM Focal Agency]],7,FALSE)</f>
        <v>uncovered</v>
      </c>
      <c r="CK29" s="699" t="str">
        <f>VLOOKUP(WWWW[[#This Row],[Site Name]],SiteDB6[[Site Name]:[Location Type]],8,FALSE)</f>
        <v>Camp</v>
      </c>
      <c r="CL29" s="699" t="str">
        <f>VLOOKUP(WWWW[[#This Row],[Site Name]],SiteDB6[[Site Name]:[Location Type 1]],9,FALSE)</f>
        <v>Camp</v>
      </c>
      <c r="CM29" s="699" t="str">
        <f>VLOOKUP(WWWW[[#This Row],[Site Name]],SiteDB6[[Site Name]:[Type of Accommodation]],10,FALSE)</f>
        <v>Camp like setting</v>
      </c>
      <c r="CN29" s="699" t="str">
        <f>VLOOKUP(WWWW[[#This Row],[Site Name]],SiteDB6[[Site Name]:[Ethnic or GCA/NGCA]],11,FALSE)</f>
        <v>GCA</v>
      </c>
      <c r="CO29" s="699">
        <f>VLOOKUP(WWWW[[#This Row],[Site Name]],SiteDB6[[Site Name]:[Lat]],12,FALSE)</f>
        <v>25.582065</v>
      </c>
      <c r="CP29" s="699">
        <f>VLOOKUP(WWWW[[#This Row],[Site Name]],SiteDB6[[Site Name]:[Long]],13,FALSE)</f>
        <v>96.283377000000002</v>
      </c>
      <c r="CQ29" s="699" t="str">
        <f>VLOOKUP(WWWW[[#This Row],[Site Name]],SiteDB6[[Site Name]:[Pcode]],3,FALSE)</f>
        <v>MMR001CMP109</v>
      </c>
      <c r="CR29" s="660" t="str">
        <f t="shared" si="0"/>
        <v>Covered</v>
      </c>
      <c r="CS29" s="660"/>
      <c r="CT29" s="24"/>
      <c r="CU29" s="24"/>
      <c r="CV29" s="24"/>
    </row>
    <row r="30" spans="1:100" ht="15.75" customHeight="1" x14ac:dyDescent="0.25">
      <c r="A30" s="833" t="s">
        <v>3206</v>
      </c>
      <c r="B30" s="206" t="s">
        <v>389</v>
      </c>
      <c r="C30" s="206" t="s">
        <v>44</v>
      </c>
      <c r="D30" s="206" t="s">
        <v>294</v>
      </c>
      <c r="E30" s="206" t="s">
        <v>402</v>
      </c>
      <c r="F30" s="206">
        <v>70</v>
      </c>
      <c r="G30" s="209">
        <v>365</v>
      </c>
      <c r="H30" s="206"/>
      <c r="I30" s="206" t="s">
        <v>391</v>
      </c>
      <c r="J30" s="207">
        <v>42947</v>
      </c>
      <c r="K30" s="206">
        <v>0</v>
      </c>
      <c r="L30" s="206" t="s">
        <v>48</v>
      </c>
      <c r="M30" s="208">
        <v>0.56999999999999995</v>
      </c>
      <c r="N30" s="208">
        <v>0</v>
      </c>
      <c r="O30" s="316">
        <v>1</v>
      </c>
      <c r="P30" s="317">
        <v>1</v>
      </c>
      <c r="Q30" s="317">
        <v>0</v>
      </c>
      <c r="R30" s="318">
        <v>0</v>
      </c>
      <c r="S30" s="318">
        <v>2</v>
      </c>
      <c r="T30" s="318"/>
      <c r="U30" s="318">
        <v>2</v>
      </c>
      <c r="V30" s="318">
        <v>1</v>
      </c>
      <c r="W30" s="318">
        <v>1</v>
      </c>
      <c r="X30" s="318">
        <v>0</v>
      </c>
      <c r="Y30" s="318">
        <v>0</v>
      </c>
      <c r="Z30" s="318"/>
      <c r="AA30" s="310">
        <v>22</v>
      </c>
      <c r="AB30" s="310">
        <v>18</v>
      </c>
      <c r="AC30" s="66">
        <v>4</v>
      </c>
      <c r="AD30" s="66" t="s">
        <v>2787</v>
      </c>
      <c r="AE30" s="310">
        <v>22</v>
      </c>
      <c r="AF30" s="310" t="s">
        <v>283</v>
      </c>
      <c r="AG30" s="311" t="s">
        <v>283</v>
      </c>
      <c r="AH30" s="311">
        <v>0</v>
      </c>
      <c r="AI30" s="310">
        <v>0</v>
      </c>
      <c r="AJ30" s="310"/>
      <c r="AK30" s="841">
        <v>0.2</v>
      </c>
      <c r="AL30" s="842" t="s">
        <v>376</v>
      </c>
      <c r="AM30" s="842">
        <v>0</v>
      </c>
      <c r="AN30" s="863">
        <v>3</v>
      </c>
      <c r="AO30" s="863">
        <v>0</v>
      </c>
      <c r="AP30" s="838">
        <v>0</v>
      </c>
      <c r="AQ30" s="843">
        <v>0</v>
      </c>
      <c r="AR30" s="843"/>
      <c r="AS30" s="843"/>
      <c r="AT30" s="843">
        <v>1</v>
      </c>
      <c r="AU30" s="843"/>
      <c r="AV30" s="844"/>
      <c r="AW30" s="208">
        <f>IFERROR(WWWW[[#This Row],['# of Water passed at source]]/WWWW[[#This Row],['# of Water tested at source]],"no test")</f>
        <v>0.5</v>
      </c>
      <c r="AX30" s="211">
        <f>IFERROR(WWWW[[#This Row],['# of Water passed at HH]]/WWWW[[#This Row],['# of Water tested at HH]],"no test")</f>
        <v>0</v>
      </c>
      <c r="AY30" s="210" t="str">
        <f>IF(AND(WWWW[[#This Row],[%of Water samples which passed at water source]]="no test",WWWW[[#This Row],[%Water samples which passed at HH]]="no test"),"No Test","Tested")</f>
        <v>Tested</v>
      </c>
      <c r="AZ3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0" s="211">
        <f>IF(WWWW[[#This Row],[Location Type 1]]="Village",WWWW[[#This Row],[Access to safe drinking water for Village]],WWWW[[#This Row],[Access to safe drinking water for Camp]])</f>
        <v>1</v>
      </c>
      <c r="BC30" s="209">
        <f>WWWW[[#This Row],[%Equitable and continuous access to sufficient quantity of safe drinking water]]*WWWW[[#This Row],[Total PoP ]]</f>
        <v>365</v>
      </c>
      <c r="BD30" s="211">
        <f>IF((WWWW[[#This Row],['# Existing protected/fenced ponds ]]*250)/WWWW[[#This Row],[Total PoP ]]&gt;1,1,WWWW[[#This Row],['# Existing protected/fenced ponds ]]*250/WWWW[[#This Row],[Total PoP ]])</f>
        <v>0</v>
      </c>
      <c r="BE30" s="209">
        <f>WWWW[[#This Row],[Access to unimproved water points]]*WWWW[[#This Row],[Total PoP ]]</f>
        <v>0</v>
      </c>
      <c r="BF3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365</v>
      </c>
      <c r="BH30" s="209">
        <f>WWWW[[#This Row],['#people Equitable and continuous access to sufficient quantity of domestic water borehole n ponds_2]]/500</f>
        <v>0.73</v>
      </c>
      <c r="BI30" s="208">
        <f>1-WWWW[[#This Row],[%Equitable and continuous access to sufficient quantity of domestic water borehole n ponds]]</f>
        <v>0</v>
      </c>
      <c r="BJ30" s="209">
        <f>WWWW[[#This Row],[%equitable and continuous access to sufficient quantity of safe drinking and domestic water''s GAP]]*WWWW[[#This Row],[Total PoP ]]</f>
        <v>0</v>
      </c>
      <c r="BK30" s="210">
        <f>IF(WWWW[[#This Row],[Total required water points]]-WWWW[[#This Row],['#Water points coverage]]&lt;0,0,WWWW[[#This Row],[Total required water points]]-WWWW[[#This Row],['#Water points coverage]])</f>
        <v>0.27</v>
      </c>
      <c r="BL30" s="210">
        <f>ROUND(IF(WWWW[[#This Row],[Total PoP ]]&lt;500,1,WWWW[[#This Row],[Total PoP ]]/500),0)</f>
        <v>1</v>
      </c>
      <c r="BM30" s="210">
        <f>WWWW[[#This Row],['# Existing functional latrines]]+WWWW[[#This Row],['# Existing latrines dysfunctional]]</f>
        <v>40</v>
      </c>
      <c r="BN3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0" s="352">
        <f>WWWW[[#This Row],[% people access to functioning Latrine]]*WWWW[[#This Row],[Total PoP ]]</f>
        <v>365</v>
      </c>
      <c r="BP3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0" s="209">
        <f>IF(WWWW[[#This Row],[Total required Latrines]]-WWWW[[#This Row],[Total '# of latrine]]&lt;0,0,WWWW[[#This Row],[Total required Latrines]]-WWWW[[#This Row],[Total '# of latrine]])</f>
        <v>0</v>
      </c>
      <c r="BR30" s="210">
        <f>ROUND(IF(WWWW[[#This Row],[Location Type 1]]="camp",WWWW[[#This Row],[Total PoP ]]/20,WWWW[[#This Row],[Total PoP ]]/6),0)</f>
        <v>18</v>
      </c>
      <c r="BS30" s="212">
        <f>IF(OR(WWWW[[#This Row],['# Existing latrines dysfunctional]]="",WWWW[[#This Row],['# Existing latrines dysfunctional]]=0),0,WWWW[[#This Row],['# Existing latrines dysfunctional]]/WWWW[[#This Row],[Total '# of latrine]])</f>
        <v>0.45</v>
      </c>
      <c r="BT3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U30" s="209">
        <f>IF(500*WWWW[[#This Row],['# Hygiene Promoters ]]&gt;WWWW[[#This Row],[Total PoP ]],WWWW[[#This Row],[Total PoP ]],500*WWWW[[#This Row],['# Hygiene Promoters ]])</f>
        <v>0</v>
      </c>
      <c r="BV30" s="209">
        <f>IF(WWWW[[#This Row],[% of HH with access to Sanitary Pad]]&gt;=100%,1,0)</f>
        <v>0</v>
      </c>
      <c r="BW30" s="209">
        <f>IF(WWWW[[#This Row],[Total PoP ]]=0,0,IF(WWWW[[#This Row],['# Hygiene Promoters ]]=0,0,IF(WWWW[[#This Row],[Location Type 1]]="Village",IF(WWWW[[#This Row],[Total PoP ]]/WWWW[[#This Row],['# Hygiene Promoters ]]&lt;1000,1,0),IF(WWWW[[#This Row],[Total PoP ]]/WWWW[[#This Row],['# Hygiene Promoters ]]&lt;600,1,0))))</f>
        <v>0</v>
      </c>
      <c r="BX30" s="209">
        <f>IF(WWWW[[#This Row],[%HH with access to soap]]&gt;=100%,1,0)</f>
        <v>0</v>
      </c>
      <c r="BY30" s="209">
        <f>IF(WWWW[[#This Row],[% of HHs with access to Sanitary pad more than '#%]]+WWWW[[#This Row],[Ratio of Hyiene promoters to people less than '#]]+WWWW[[#This Row],[% of HHs with access to soap more than '#%]]&gt;=2,WWWW[[#This Row],[Total PoP ]],0)</f>
        <v>0</v>
      </c>
      <c r="BZ30" s="208">
        <f>WWWW[[#This Row],[People adopt basic personal and community hygiene practices]]/WWWW[[#This Row],[Total PoP ]]</f>
        <v>0</v>
      </c>
      <c r="CA30" s="212">
        <f>1-WWWW[[#This Row],[Hygiene Coverage%]]</f>
        <v>1</v>
      </c>
      <c r="CB30" s="211">
        <f>WWWW[[#This Row],['# people reached by regular dedicated hygiene promotion_5]]/WWWW[[#This Row],[Total PoP ]]</f>
        <v>0</v>
      </c>
      <c r="CC30" s="211">
        <f>IF(WWWW[[#This Row],['# HH received soaps]]/WWWW[[#This Row],[Total HH]]&gt;1,1,WWWW[[#This Row],['# HH received soaps]]/WWWW[[#This Row],[Total HH]])</f>
        <v>0</v>
      </c>
      <c r="CD30" s="211">
        <f>IF(WWWW[[#This Row],['# HH received Sanitary Pads]]/WWWW[[#This Row],[Total HH]]&gt;1,1,WWWW[[#This Row],['# HH received Sanitary Pads]]/WWWW[[#This Row],[Total HH]])</f>
        <v>0</v>
      </c>
      <c r="CE30" s="210">
        <f>WWWW[[#This Row],['# HH received soaps]]*5</f>
        <v>0</v>
      </c>
      <c r="CF30" s="210">
        <f>WWWW[[#This Row],['# HH received Sanitary Pads]]*5</f>
        <v>0</v>
      </c>
      <c r="CG30" s="210">
        <f>IF(WWWW[[#This Row],['# People with access to soap]]&gt;WWWW[[#This Row],['# People with access to Sanity Pads]],WWWW[[#This Row],['# People with access to soap]],WWWW[[#This Row],['# People with access to Sanity Pads]])</f>
        <v>0</v>
      </c>
      <c r="CH30" s="209">
        <f>WWWW[[#This Row],[Total HH]]*WWWW[[#This Row],[%HHs with access to functional hand washing stations]]</f>
        <v>14</v>
      </c>
      <c r="CI30" s="699" t="str">
        <f>VLOOKUP(WWWW[[#This Row],[Site Name]],SiteDB6[[Site Name]:[CCCM Management]],6,FALSE)</f>
        <v>Yes</v>
      </c>
      <c r="CJ30" s="699" t="str">
        <f>VLOOKUP(WWWW[[#This Row],[Site Name]],SiteDB6[[Site Name]:[CCCM Focal Agency]],7,FALSE)</f>
        <v>Shalom</v>
      </c>
      <c r="CK30" s="699" t="str">
        <f>VLOOKUP(WWWW[[#This Row],[Site Name]],SiteDB6[[Site Name]:[Location Type]],8,FALSE)</f>
        <v>Camp</v>
      </c>
      <c r="CL30" s="699" t="str">
        <f>VLOOKUP(WWWW[[#This Row],[Site Name]],SiteDB6[[Site Name]:[Location Type 1]],9,FALSE)</f>
        <v>Camp</v>
      </c>
      <c r="CM30" s="699" t="str">
        <f>VLOOKUP(WWWW[[#This Row],[Site Name]],SiteDB6[[Site Name]:[Type of Accommodation]],10,FALSE)</f>
        <v>Camp</v>
      </c>
      <c r="CN30" s="699" t="str">
        <f>VLOOKUP(WWWW[[#This Row],[Site Name]],SiteDB6[[Site Name]:[Ethnic or GCA/NGCA]],11,FALSE)</f>
        <v>GCA</v>
      </c>
      <c r="CO30" s="699">
        <f>VLOOKUP(WWWW[[#This Row],[Site Name]],SiteDB6[[Site Name]:[Lat]],12,FALSE)</f>
        <v>25.637309999999999</v>
      </c>
      <c r="CP30" s="699">
        <f>VLOOKUP(WWWW[[#This Row],[Site Name]],SiteDB6[[Site Name]:[Long]],13,FALSE)</f>
        <v>96.35257</v>
      </c>
      <c r="CQ30" s="699" t="str">
        <f>VLOOKUP(WWWW[[#This Row],[Site Name]],SiteDB6[[Site Name]:[Pcode]],3,FALSE)</f>
        <v>MMR001CMP174</v>
      </c>
      <c r="CR30" s="660" t="str">
        <f t="shared" si="0"/>
        <v>Covered</v>
      </c>
      <c r="CS30" s="660"/>
      <c r="CT30" s="24"/>
      <c r="CU30" s="24"/>
      <c r="CV30" s="24"/>
    </row>
    <row r="31" spans="1:100" ht="15.75" customHeight="1" x14ac:dyDescent="0.25">
      <c r="A31" s="833" t="s">
        <v>3206</v>
      </c>
      <c r="B31" s="206" t="s">
        <v>287</v>
      </c>
      <c r="C31" s="206" t="s">
        <v>44</v>
      </c>
      <c r="D31" s="206" t="s">
        <v>294</v>
      </c>
      <c r="E31" s="206" t="s">
        <v>295</v>
      </c>
      <c r="F31" s="206">
        <v>13</v>
      </c>
      <c r="G31" s="209">
        <v>46</v>
      </c>
      <c r="H31" s="206"/>
      <c r="I31" s="206" t="s">
        <v>296</v>
      </c>
      <c r="J31" s="207">
        <v>43465</v>
      </c>
      <c r="K31" s="206">
        <v>0</v>
      </c>
      <c r="L31" s="206" t="s">
        <v>48</v>
      </c>
      <c r="M31" s="208">
        <v>0.6</v>
      </c>
      <c r="N31" s="208">
        <v>0.5</v>
      </c>
      <c r="O31" s="316">
        <v>0</v>
      </c>
      <c r="P31" s="317">
        <v>3</v>
      </c>
      <c r="Q31" s="317">
        <v>2000</v>
      </c>
      <c r="R31" s="318">
        <v>0</v>
      </c>
      <c r="S31" s="318">
        <v>0</v>
      </c>
      <c r="T31" s="318"/>
      <c r="U31" s="318">
        <v>0</v>
      </c>
      <c r="V31" s="318">
        <v>0</v>
      </c>
      <c r="W31" s="318">
        <v>0</v>
      </c>
      <c r="X31" s="318">
        <v>0</v>
      </c>
      <c r="Y31" s="318">
        <v>0</v>
      </c>
      <c r="Z31" s="318"/>
      <c r="AA31" s="310">
        <v>9</v>
      </c>
      <c r="AB31" s="310">
        <v>0</v>
      </c>
      <c r="AC31" s="66">
        <v>0</v>
      </c>
      <c r="AD31" s="66"/>
      <c r="AE31" s="310">
        <v>0</v>
      </c>
      <c r="AF31" s="310" t="s">
        <v>283</v>
      </c>
      <c r="AG31" s="311" t="s">
        <v>1358</v>
      </c>
      <c r="AH31" s="311"/>
      <c r="AI31" s="310"/>
      <c r="AJ31" s="310"/>
      <c r="AK31" s="841">
        <v>1</v>
      </c>
      <c r="AL31" s="842" t="s">
        <v>376</v>
      </c>
      <c r="AM31" s="842">
        <v>0</v>
      </c>
      <c r="AN31" s="863">
        <v>2</v>
      </c>
      <c r="AO31" s="863">
        <v>1</v>
      </c>
      <c r="AP31" s="838">
        <v>0</v>
      </c>
      <c r="AQ31" s="843">
        <v>0</v>
      </c>
      <c r="AR31" s="843"/>
      <c r="AS31" s="843"/>
      <c r="AT31" s="843"/>
      <c r="AU31" s="843"/>
      <c r="AV31" s="844"/>
      <c r="AW31" s="208" t="str">
        <f>IFERROR(WWWW[[#This Row],['# of Water passed at source]]/WWWW[[#This Row],['# of Water tested at source]],"no test")</f>
        <v>no test</v>
      </c>
      <c r="AX31" s="211" t="str">
        <f>IFERROR(WWWW[[#This Row],['# of Water passed at HH]]/WWWW[[#This Row],['# of Water tested at HH]],"no test")</f>
        <v>no test</v>
      </c>
      <c r="AY31" s="210" t="str">
        <f>IF(AND(WWWW[[#This Row],[%of Water samples which passed at water source]]="no test",WWWW[[#This Row],[%Water samples which passed at HH]]="no test"),"No Test","Tested")</f>
        <v>No Test</v>
      </c>
      <c r="AZ3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1" s="211">
        <f>IF(WWWW[[#This Row],[Location Type 1]]="Village",WWWW[[#This Row],[Access to safe drinking water for Village]],WWWW[[#This Row],[Access to safe drinking water for Camp]])</f>
        <v>1</v>
      </c>
      <c r="BC31" s="209">
        <f>WWWW[[#This Row],[%Equitable and continuous access to sufficient quantity of safe drinking water]]*WWWW[[#This Row],[Total PoP ]]</f>
        <v>46</v>
      </c>
      <c r="BD31" s="211">
        <f>IF((WWWW[[#This Row],['# Existing protected/fenced ponds ]]*250)/WWWW[[#This Row],[Total PoP ]]&gt;1,1,WWWW[[#This Row],['# Existing protected/fenced ponds ]]*250/WWWW[[#This Row],[Total PoP ]])</f>
        <v>0</v>
      </c>
      <c r="BE31" s="209">
        <f>WWWW[[#This Row],[Access to unimproved water points]]*WWWW[[#This Row],[Total PoP ]]</f>
        <v>0</v>
      </c>
      <c r="BF3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46</v>
      </c>
      <c r="BH31" s="209">
        <f>WWWW[[#This Row],['#people Equitable and continuous access to sufficient quantity of domestic water borehole n ponds_2]]/500</f>
        <v>9.1999999999999998E-2</v>
      </c>
      <c r="BI31" s="208">
        <f>1-WWWW[[#This Row],[%Equitable and continuous access to sufficient quantity of domestic water borehole n ponds]]</f>
        <v>0</v>
      </c>
      <c r="BJ31" s="209">
        <f>WWWW[[#This Row],[%equitable and continuous access to sufficient quantity of safe drinking and domestic water''s GAP]]*WWWW[[#This Row],[Total PoP ]]</f>
        <v>0</v>
      </c>
      <c r="BK31" s="210">
        <f>IF(WWWW[[#This Row],[Total required water points]]-WWWW[[#This Row],['#Water points coverage]]&lt;0,0,WWWW[[#This Row],[Total required water points]]-WWWW[[#This Row],['#Water points coverage]])</f>
        <v>0.90800000000000003</v>
      </c>
      <c r="BL31" s="210">
        <f>ROUND(IF(WWWW[[#This Row],[Total PoP ]]&lt;500,1,WWWW[[#This Row],[Total PoP ]]/500),0)</f>
        <v>1</v>
      </c>
      <c r="BM31" s="210">
        <f>WWWW[[#This Row],['# Existing functional latrines]]+WWWW[[#This Row],['# Existing latrines dysfunctional]]</f>
        <v>9</v>
      </c>
      <c r="BN3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1" s="352">
        <f>WWWW[[#This Row],[% people access to functioning Latrine]]*WWWW[[#This Row],[Total PoP ]]</f>
        <v>46</v>
      </c>
      <c r="BP3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1" s="209">
        <f>IF(WWWW[[#This Row],[Total required Latrines]]-WWWW[[#This Row],[Total '# of latrine]]&lt;0,0,WWWW[[#This Row],[Total required Latrines]]-WWWW[[#This Row],[Total '# of latrine]])</f>
        <v>0</v>
      </c>
      <c r="BR31" s="210">
        <f>ROUND(IF(WWWW[[#This Row],[Location Type 1]]="camp",WWWW[[#This Row],[Total PoP ]]/20,WWWW[[#This Row],[Total PoP ]]/6),0)</f>
        <v>2</v>
      </c>
      <c r="BS31" s="212">
        <f>IF(OR(WWWW[[#This Row],['# Existing latrines dysfunctional]]="",WWWW[[#This Row],['# Existing latrines dysfunctional]]=0),0,WWWW[[#This Row],['# Existing latrines dysfunctional]]/WWWW[[#This Row],[Total '# of latrine]])</f>
        <v>0</v>
      </c>
      <c r="BT3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1" s="209">
        <f>IF(500*WWWW[[#This Row],['# Hygiene Promoters ]]&gt;WWWW[[#This Row],[Total PoP ]],WWWW[[#This Row],[Total PoP ]],500*WWWW[[#This Row],['# Hygiene Promoters ]])</f>
        <v>46</v>
      </c>
      <c r="BV31" s="209">
        <f>IF(WWWW[[#This Row],[% of HH with access to Sanitary Pad]]&gt;=100%,1,0)</f>
        <v>0</v>
      </c>
      <c r="BW31" s="209">
        <f>IF(WWWW[[#This Row],[Total PoP ]]=0,0,IF(WWWW[[#This Row],['# Hygiene Promoters ]]=0,0,IF(WWWW[[#This Row],[Location Type 1]]="Village",IF(WWWW[[#This Row],[Total PoP ]]/WWWW[[#This Row],['# Hygiene Promoters ]]&lt;1000,1,0),IF(WWWW[[#This Row],[Total PoP ]]/WWWW[[#This Row],['# Hygiene Promoters ]]&lt;600,1,0))))</f>
        <v>1</v>
      </c>
      <c r="BX31" s="209">
        <f>IF(WWWW[[#This Row],[%HH with access to soap]]&gt;=100%,1,0)</f>
        <v>0</v>
      </c>
      <c r="BY31" s="209">
        <f>IF(WWWW[[#This Row],[% of HHs with access to Sanitary pad more than '#%]]+WWWW[[#This Row],[Ratio of Hyiene promoters to people less than '#]]+WWWW[[#This Row],[% of HHs with access to soap more than '#%]]&gt;=2,WWWW[[#This Row],[Total PoP ]],0)</f>
        <v>0</v>
      </c>
      <c r="BZ31" s="208">
        <f>WWWW[[#This Row],[People adopt basic personal and community hygiene practices]]/WWWW[[#This Row],[Total PoP ]]</f>
        <v>0</v>
      </c>
      <c r="CA31" s="212">
        <f>1-WWWW[[#This Row],[Hygiene Coverage%]]</f>
        <v>1</v>
      </c>
      <c r="CB31" s="211">
        <f>WWWW[[#This Row],['# people reached by regular dedicated hygiene promotion_5]]/WWWW[[#This Row],[Total PoP ]]</f>
        <v>1</v>
      </c>
      <c r="CC31" s="211">
        <f>IF(WWWW[[#This Row],['# HH received soaps]]/WWWW[[#This Row],[Total HH]]&gt;1,1,WWWW[[#This Row],['# HH received soaps]]/WWWW[[#This Row],[Total HH]])</f>
        <v>0</v>
      </c>
      <c r="CD31" s="211">
        <f>IF(WWWW[[#This Row],['# HH received Sanitary Pads]]/WWWW[[#This Row],[Total HH]]&gt;1,1,WWWW[[#This Row],['# HH received Sanitary Pads]]/WWWW[[#This Row],[Total HH]])</f>
        <v>0</v>
      </c>
      <c r="CE31" s="210">
        <f>WWWW[[#This Row],['# HH received soaps]]*5</f>
        <v>0</v>
      </c>
      <c r="CF31" s="210">
        <f>WWWW[[#This Row],['# HH received Sanitary Pads]]*5</f>
        <v>0</v>
      </c>
      <c r="CG31" s="210">
        <f>IF(WWWW[[#This Row],['# People with access to soap]]&gt;WWWW[[#This Row],['# People with access to Sanity Pads]],WWWW[[#This Row],['# People with access to soap]],WWWW[[#This Row],['# People with access to Sanity Pads]])</f>
        <v>0</v>
      </c>
      <c r="CH31" s="209">
        <f>WWWW[[#This Row],[Total HH]]*WWWW[[#This Row],[%HHs with access to functional hand washing stations]]</f>
        <v>13</v>
      </c>
      <c r="CI31" s="699" t="str">
        <f>VLOOKUP(WWWW[[#This Row],[Site Name]],SiteDB6[[Site Name]:[CCCM Management]],6,FALSE)</f>
        <v>Yes</v>
      </c>
      <c r="CJ31" s="699" t="str">
        <f>VLOOKUP(WWWW[[#This Row],[Site Name]],SiteDB6[[Site Name]:[CCCM Focal Agency]],7,FALSE)</f>
        <v>KBC</v>
      </c>
      <c r="CK31" s="699" t="str">
        <f>VLOOKUP(WWWW[[#This Row],[Site Name]],SiteDB6[[Site Name]:[Location Type]],8,FALSE)</f>
        <v>Camp</v>
      </c>
      <c r="CL31" s="699" t="str">
        <f>VLOOKUP(WWWW[[#This Row],[Site Name]],SiteDB6[[Site Name]:[Location Type 1]],9,FALSE)</f>
        <v>Camp</v>
      </c>
      <c r="CM31" s="699" t="str">
        <f>VLOOKUP(WWWW[[#This Row],[Site Name]],SiteDB6[[Site Name]:[Type of Accommodation]],10,FALSE)</f>
        <v>Camp</v>
      </c>
      <c r="CN31" s="699" t="str">
        <f>VLOOKUP(WWWW[[#This Row],[Site Name]],SiteDB6[[Site Name]:[Ethnic or GCA/NGCA]],11,FALSE)</f>
        <v>GCA</v>
      </c>
      <c r="CO31" s="699">
        <f>VLOOKUP(WWWW[[#This Row],[Site Name]],SiteDB6[[Site Name]:[Lat]],12,FALSE)</f>
        <v>25.51352</v>
      </c>
      <c r="CP31" s="699">
        <f>VLOOKUP(WWWW[[#This Row],[Site Name]],SiteDB6[[Site Name]:[Long]],13,FALSE)</f>
        <v>96.705960000000005</v>
      </c>
      <c r="CQ31" s="699" t="str">
        <f>VLOOKUP(WWWW[[#This Row],[Site Name]],SiteDB6[[Site Name]:[Pcode]],3,FALSE)</f>
        <v>MMR001CMP148</v>
      </c>
      <c r="CR31" s="660" t="str">
        <f t="shared" si="0"/>
        <v>Covered</v>
      </c>
      <c r="CS31" s="660"/>
      <c r="CT31" s="24"/>
      <c r="CU31" s="24"/>
      <c r="CV31" s="24"/>
    </row>
    <row r="32" spans="1:100" ht="15.75" customHeight="1" x14ac:dyDescent="0.25">
      <c r="A32" s="833" t="s">
        <v>3206</v>
      </c>
      <c r="B32" s="206" t="s">
        <v>389</v>
      </c>
      <c r="C32" s="206" t="s">
        <v>44</v>
      </c>
      <c r="D32" s="206" t="s">
        <v>294</v>
      </c>
      <c r="E32" s="206" t="s">
        <v>403</v>
      </c>
      <c r="F32" s="206">
        <v>4</v>
      </c>
      <c r="G32" s="209">
        <v>27</v>
      </c>
      <c r="H32" s="206"/>
      <c r="I32" s="206" t="s">
        <v>391</v>
      </c>
      <c r="J32" s="207">
        <v>42947</v>
      </c>
      <c r="K32" s="206">
        <v>0</v>
      </c>
      <c r="L32" s="206" t="s">
        <v>48</v>
      </c>
      <c r="M32" s="208">
        <v>1</v>
      </c>
      <c r="N32" s="208">
        <v>0</v>
      </c>
      <c r="O32" s="316">
        <v>1</v>
      </c>
      <c r="P32" s="317">
        <v>0</v>
      </c>
      <c r="Q32" s="317">
        <v>1000</v>
      </c>
      <c r="R32" s="318">
        <v>0</v>
      </c>
      <c r="S32" s="318">
        <v>1</v>
      </c>
      <c r="T32" s="318"/>
      <c r="U32" s="318">
        <v>0</v>
      </c>
      <c r="V32" s="318">
        <v>0</v>
      </c>
      <c r="W32" s="318">
        <v>0</v>
      </c>
      <c r="X32" s="318">
        <v>0</v>
      </c>
      <c r="Y32" s="318">
        <v>0</v>
      </c>
      <c r="Z32" s="318"/>
      <c r="AA32" s="310">
        <v>0</v>
      </c>
      <c r="AB32" s="310">
        <v>0</v>
      </c>
      <c r="AC32" s="66">
        <v>0</v>
      </c>
      <c r="AD32" s="66"/>
      <c r="AE32" s="310">
        <v>0</v>
      </c>
      <c r="AF32" s="310" t="s">
        <v>283</v>
      </c>
      <c r="AG32" s="311" t="s">
        <v>1358</v>
      </c>
      <c r="AH32" s="311">
        <v>0</v>
      </c>
      <c r="AI32" s="310">
        <v>0</v>
      </c>
      <c r="AJ32" s="310"/>
      <c r="AK32" s="841">
        <v>0.6</v>
      </c>
      <c r="AL32" s="842" t="s">
        <v>376</v>
      </c>
      <c r="AM32" s="842">
        <v>0</v>
      </c>
      <c r="AN32" s="863">
        <v>0</v>
      </c>
      <c r="AO32" s="863">
        <v>0</v>
      </c>
      <c r="AP32" s="838">
        <v>0</v>
      </c>
      <c r="AQ32" s="843">
        <v>0</v>
      </c>
      <c r="AR32" s="843"/>
      <c r="AS32" s="843"/>
      <c r="AT32" s="843"/>
      <c r="AU32" s="843"/>
      <c r="AV32" s="844"/>
      <c r="AW32" s="208" t="str">
        <f>IFERROR(WWWW[[#This Row],['# of Water passed at source]]/WWWW[[#This Row],['# of Water tested at source]],"no test")</f>
        <v>no test</v>
      </c>
      <c r="AX32" s="211" t="str">
        <f>IFERROR(WWWW[[#This Row],['# of Water passed at HH]]/WWWW[[#This Row],['# of Water tested at HH]],"no test")</f>
        <v>no test</v>
      </c>
      <c r="AY32" s="210" t="str">
        <f>IF(AND(WWWW[[#This Row],[%of Water samples which passed at water source]]="no test",WWWW[[#This Row],[%Water samples which passed at HH]]="no test"),"No Test","Tested")</f>
        <v>No Test</v>
      </c>
      <c r="AZ3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2" s="211">
        <f>IF(WWWW[[#This Row],[Location Type 1]]="Village",WWWW[[#This Row],[Access to safe drinking water for Village]],WWWW[[#This Row],[Access to safe drinking water for Camp]])</f>
        <v>1</v>
      </c>
      <c r="BC32" s="209">
        <f>WWWW[[#This Row],[%Equitable and continuous access to sufficient quantity of safe drinking water]]*WWWW[[#This Row],[Total PoP ]]</f>
        <v>27</v>
      </c>
      <c r="BD32" s="211">
        <f>IF((WWWW[[#This Row],['# Existing protected/fenced ponds ]]*250)/WWWW[[#This Row],[Total PoP ]]&gt;1,1,WWWW[[#This Row],['# Existing protected/fenced ponds ]]*250/WWWW[[#This Row],[Total PoP ]])</f>
        <v>0</v>
      </c>
      <c r="BE32" s="209">
        <f>WWWW[[#This Row],[Access to unimproved water points]]*WWWW[[#This Row],[Total PoP ]]</f>
        <v>0</v>
      </c>
      <c r="BF3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v>
      </c>
      <c r="BH32" s="209">
        <f>WWWW[[#This Row],['#people Equitable and continuous access to sufficient quantity of domestic water borehole n ponds_2]]/500</f>
        <v>5.3999999999999999E-2</v>
      </c>
      <c r="BI32" s="208">
        <f>1-WWWW[[#This Row],[%Equitable and continuous access to sufficient quantity of domestic water borehole n ponds]]</f>
        <v>0</v>
      </c>
      <c r="BJ32" s="209">
        <f>WWWW[[#This Row],[%equitable and continuous access to sufficient quantity of safe drinking and domestic water''s GAP]]*WWWW[[#This Row],[Total PoP ]]</f>
        <v>0</v>
      </c>
      <c r="BK32" s="210">
        <f>IF(WWWW[[#This Row],[Total required water points]]-WWWW[[#This Row],['#Water points coverage]]&lt;0,0,WWWW[[#This Row],[Total required water points]]-WWWW[[#This Row],['#Water points coverage]])</f>
        <v>0.94599999999999995</v>
      </c>
      <c r="BL32" s="210">
        <f>ROUND(IF(WWWW[[#This Row],[Total PoP ]]&lt;500,1,WWWW[[#This Row],[Total PoP ]]/500),0)</f>
        <v>1</v>
      </c>
      <c r="BM32" s="210">
        <f>WWWW[[#This Row],['# Existing functional latrines]]+WWWW[[#This Row],['# Existing latrines dysfunctional]]</f>
        <v>0</v>
      </c>
      <c r="BN3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2" s="352">
        <f>WWWW[[#This Row],[% people access to functioning Latrine]]*WWWW[[#This Row],[Total PoP ]]</f>
        <v>0</v>
      </c>
      <c r="BP3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0.7407407407407407</v>
      </c>
      <c r="BQ32" s="209">
        <f>IF(WWWW[[#This Row],[Total required Latrines]]-WWWW[[#This Row],[Total '# of latrine]]&lt;0,0,WWWW[[#This Row],[Total required Latrines]]-WWWW[[#This Row],[Total '# of latrine]])</f>
        <v>1</v>
      </c>
      <c r="BR32" s="210">
        <f>ROUND(IF(WWWW[[#This Row],[Location Type 1]]="camp",WWWW[[#This Row],[Total PoP ]]/20,WWWW[[#This Row],[Total PoP ]]/6),0)</f>
        <v>1</v>
      </c>
      <c r="BS32" s="212">
        <f>IF(OR(WWWW[[#This Row],['# Existing latrines dysfunctional]]="",WWWW[[#This Row],['# Existing latrines dysfunctional]]=0),0,WWWW[[#This Row],['# Existing latrines dysfunctional]]/WWWW[[#This Row],[Total '# of latrine]])</f>
        <v>0</v>
      </c>
      <c r="BT3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2" s="209">
        <f>IF(500*WWWW[[#This Row],['# Hygiene Promoters ]]&gt;WWWW[[#This Row],[Total PoP ]],WWWW[[#This Row],[Total PoP ]],500*WWWW[[#This Row],['# Hygiene Promoters ]])</f>
        <v>0</v>
      </c>
      <c r="BV32" s="209">
        <f>IF(WWWW[[#This Row],[% of HH with access to Sanitary Pad]]&gt;=100%,1,0)</f>
        <v>0</v>
      </c>
      <c r="BW32" s="209">
        <f>IF(WWWW[[#This Row],[Total PoP ]]=0,0,IF(WWWW[[#This Row],['# Hygiene Promoters ]]=0,0,IF(WWWW[[#This Row],[Location Type 1]]="Village",IF(WWWW[[#This Row],[Total PoP ]]/WWWW[[#This Row],['# Hygiene Promoters ]]&lt;1000,1,0),IF(WWWW[[#This Row],[Total PoP ]]/WWWW[[#This Row],['# Hygiene Promoters ]]&lt;600,1,0))))</f>
        <v>0</v>
      </c>
      <c r="BX32" s="209">
        <f>IF(WWWW[[#This Row],[%HH with access to soap]]&gt;=100%,1,0)</f>
        <v>0</v>
      </c>
      <c r="BY32" s="209">
        <f>IF(WWWW[[#This Row],[% of HHs with access to Sanitary pad more than '#%]]+WWWW[[#This Row],[Ratio of Hyiene promoters to people less than '#]]+WWWW[[#This Row],[% of HHs with access to soap more than '#%]]&gt;=2,WWWW[[#This Row],[Total PoP ]],0)</f>
        <v>0</v>
      </c>
      <c r="BZ32" s="208">
        <f>WWWW[[#This Row],[People adopt basic personal and community hygiene practices]]/WWWW[[#This Row],[Total PoP ]]</f>
        <v>0</v>
      </c>
      <c r="CA32" s="212">
        <f>1-WWWW[[#This Row],[Hygiene Coverage%]]</f>
        <v>1</v>
      </c>
      <c r="CB32" s="211">
        <f>WWWW[[#This Row],['# people reached by regular dedicated hygiene promotion_5]]/WWWW[[#This Row],[Total PoP ]]</f>
        <v>0</v>
      </c>
      <c r="CC32" s="211">
        <f>IF(WWWW[[#This Row],['# HH received soaps]]/WWWW[[#This Row],[Total HH]]&gt;1,1,WWWW[[#This Row],['# HH received soaps]]/WWWW[[#This Row],[Total HH]])</f>
        <v>0</v>
      </c>
      <c r="CD32" s="211">
        <f>IF(WWWW[[#This Row],['# HH received Sanitary Pads]]/WWWW[[#This Row],[Total HH]]&gt;1,1,WWWW[[#This Row],['# HH received Sanitary Pads]]/WWWW[[#This Row],[Total HH]])</f>
        <v>0</v>
      </c>
      <c r="CE32" s="210">
        <f>WWWW[[#This Row],['# HH received soaps]]*5</f>
        <v>0</v>
      </c>
      <c r="CF32" s="210">
        <f>WWWW[[#This Row],['# HH received Sanitary Pads]]*5</f>
        <v>0</v>
      </c>
      <c r="CG32" s="210">
        <f>IF(WWWW[[#This Row],['# People with access to soap]]&gt;WWWW[[#This Row],['# People with access to Sanity Pads]],WWWW[[#This Row],['# People with access to soap]],WWWW[[#This Row],['# People with access to Sanity Pads]])</f>
        <v>0</v>
      </c>
      <c r="CH32" s="209">
        <f>WWWW[[#This Row],[Total HH]]*WWWW[[#This Row],[%HHs with access to functional hand washing stations]]</f>
        <v>2.4</v>
      </c>
      <c r="CI32" s="699" t="str">
        <f>VLOOKUP(WWWW[[#This Row],[Site Name]],SiteDB6[[Site Name]:[CCCM Management]],6,FALSE)</f>
        <v>Yes</v>
      </c>
      <c r="CJ32" s="699" t="str">
        <f>VLOOKUP(WWWW[[#This Row],[Site Name]],SiteDB6[[Site Name]:[CCCM Focal Agency]],7,FALSE)</f>
        <v>uncovered</v>
      </c>
      <c r="CK32" s="699" t="str">
        <f>VLOOKUP(WWWW[[#This Row],[Site Name]],SiteDB6[[Site Name]:[Location Type]],8,FALSE)</f>
        <v>Camp</v>
      </c>
      <c r="CL32" s="699" t="str">
        <f>VLOOKUP(WWWW[[#This Row],[Site Name]],SiteDB6[[Site Name]:[Location Type 1]],9,FALSE)</f>
        <v>Camp</v>
      </c>
      <c r="CM32" s="699" t="str">
        <f>VLOOKUP(WWWW[[#This Row],[Site Name]],SiteDB6[[Site Name]:[Type of Accommodation]],10,FALSE)</f>
        <v>Camp like setting</v>
      </c>
      <c r="CN32" s="699" t="str">
        <f>VLOOKUP(WWWW[[#This Row],[Site Name]],SiteDB6[[Site Name]:[Ethnic or GCA/NGCA]],11,FALSE)</f>
        <v>GCA</v>
      </c>
      <c r="CO32" s="699">
        <f>VLOOKUP(WWWW[[#This Row],[Site Name]],SiteDB6[[Site Name]:[Lat]],12,FALSE)</f>
        <v>25.615960999999999</v>
      </c>
      <c r="CP32" s="699">
        <f>VLOOKUP(WWWW[[#This Row],[Site Name]],SiteDB6[[Site Name]:[Long]],13,FALSE)</f>
        <v>96.316564</v>
      </c>
      <c r="CQ32" s="699" t="str">
        <f>VLOOKUP(WWWW[[#This Row],[Site Name]],SiteDB6[[Site Name]:[Pcode]],3,FALSE)</f>
        <v>MMR001CMP191</v>
      </c>
      <c r="CR32" s="660" t="str">
        <f t="shared" si="0"/>
        <v>Covered</v>
      </c>
      <c r="CS32" s="660"/>
      <c r="CT32" s="24"/>
      <c r="CU32" s="24"/>
      <c r="CV32" s="24"/>
    </row>
    <row r="33" spans="1:100" ht="15.75" customHeight="1" x14ac:dyDescent="0.25">
      <c r="A33" s="833" t="s">
        <v>3206</v>
      </c>
      <c r="B33" s="206" t="s">
        <v>389</v>
      </c>
      <c r="C33" s="206" t="s">
        <v>44</v>
      </c>
      <c r="D33" s="206" t="s">
        <v>294</v>
      </c>
      <c r="E33" s="206" t="s">
        <v>404</v>
      </c>
      <c r="F33" s="206">
        <v>103</v>
      </c>
      <c r="G33" s="209">
        <v>504</v>
      </c>
      <c r="H33" s="206"/>
      <c r="I33" s="206" t="s">
        <v>391</v>
      </c>
      <c r="J33" s="207">
        <v>42947</v>
      </c>
      <c r="K33" s="206">
        <v>0</v>
      </c>
      <c r="L33" s="206" t="s">
        <v>48</v>
      </c>
      <c r="M33" s="208">
        <v>0.56999999999999995</v>
      </c>
      <c r="N33" s="208">
        <v>0</v>
      </c>
      <c r="O33" s="316">
        <v>0</v>
      </c>
      <c r="P33" s="317">
        <v>1</v>
      </c>
      <c r="Q33" s="317">
        <v>4000</v>
      </c>
      <c r="R33" s="318">
        <v>0</v>
      </c>
      <c r="S33" s="318">
        <v>1</v>
      </c>
      <c r="T33" s="318"/>
      <c r="U33" s="318">
        <v>2</v>
      </c>
      <c r="V33" s="318">
        <v>0</v>
      </c>
      <c r="W33" s="318">
        <v>1</v>
      </c>
      <c r="X33" s="318">
        <v>0</v>
      </c>
      <c r="Y33" s="318">
        <v>0</v>
      </c>
      <c r="Z33" s="318"/>
      <c r="AA33" s="310">
        <v>30</v>
      </c>
      <c r="AB33" s="310">
        <v>2</v>
      </c>
      <c r="AC33" s="66">
        <v>0</v>
      </c>
      <c r="AD33" s="66" t="s">
        <v>2782</v>
      </c>
      <c r="AE33" s="310">
        <v>30</v>
      </c>
      <c r="AF33" s="310" t="s">
        <v>283</v>
      </c>
      <c r="AG33" s="311" t="s">
        <v>283</v>
      </c>
      <c r="AH33" s="311">
        <v>0</v>
      </c>
      <c r="AI33" s="310">
        <v>0</v>
      </c>
      <c r="AJ33" s="310"/>
      <c r="AK33" s="841">
        <v>0.5</v>
      </c>
      <c r="AL33" s="842" t="s">
        <v>376</v>
      </c>
      <c r="AM33" s="842">
        <v>0</v>
      </c>
      <c r="AN33" s="863">
        <v>4</v>
      </c>
      <c r="AO33" s="863">
        <v>0</v>
      </c>
      <c r="AP33" s="838">
        <v>0</v>
      </c>
      <c r="AQ33" s="843">
        <v>0</v>
      </c>
      <c r="AR33" s="843"/>
      <c r="AS33" s="843"/>
      <c r="AT33" s="843">
        <v>1</v>
      </c>
      <c r="AU33" s="843"/>
      <c r="AV33" s="844"/>
      <c r="AW33" s="208">
        <f>IFERROR(WWWW[[#This Row],['# of Water passed at source]]/WWWW[[#This Row],['# of Water tested at source]],"no test")</f>
        <v>0</v>
      </c>
      <c r="AX33" s="211">
        <f>IFERROR(WWWW[[#This Row],['# of Water passed at HH]]/WWWW[[#This Row],['# of Water tested at HH]],"no test")</f>
        <v>0</v>
      </c>
      <c r="AY33" s="210" t="str">
        <f>IF(AND(WWWW[[#This Row],[%of Water samples which passed at water source]]="no test",WWWW[[#This Row],[%Water samples which passed at HH]]="no test"),"No Test","Tested")</f>
        <v>Tested</v>
      </c>
      <c r="AZ3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3" s="211">
        <f>IF(WWWW[[#This Row],[Location Type 1]]="Village",WWWW[[#This Row],[Access to safe drinking water for Village]],WWWW[[#This Row],[Access to safe drinking water for Camp]])</f>
        <v>1</v>
      </c>
      <c r="BC33" s="209">
        <f>WWWW[[#This Row],[%Equitable and continuous access to sufficient quantity of safe drinking water]]*WWWW[[#This Row],[Total PoP ]]</f>
        <v>504</v>
      </c>
      <c r="BD33" s="211">
        <f>IF((WWWW[[#This Row],['# Existing protected/fenced ponds ]]*250)/WWWW[[#This Row],[Total PoP ]]&gt;1,1,WWWW[[#This Row],['# Existing protected/fenced ponds ]]*250/WWWW[[#This Row],[Total PoP ]])</f>
        <v>0</v>
      </c>
      <c r="BE33" s="209">
        <f>WWWW[[#This Row],[Access to unimproved water points]]*WWWW[[#This Row],[Total PoP ]]</f>
        <v>0</v>
      </c>
      <c r="BF3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504</v>
      </c>
      <c r="BH33" s="209">
        <f>WWWW[[#This Row],['#people Equitable and continuous access to sufficient quantity of domestic water borehole n ponds_2]]/500</f>
        <v>1.008</v>
      </c>
      <c r="BI33" s="208">
        <f>1-WWWW[[#This Row],[%Equitable and continuous access to sufficient quantity of domestic water borehole n ponds]]</f>
        <v>0</v>
      </c>
      <c r="BJ33" s="209">
        <f>WWWW[[#This Row],[%equitable and continuous access to sufficient quantity of safe drinking and domestic water''s GAP]]*WWWW[[#This Row],[Total PoP ]]</f>
        <v>0</v>
      </c>
      <c r="BK33" s="210">
        <f>IF(WWWW[[#This Row],[Total required water points]]-WWWW[[#This Row],['#Water points coverage]]&lt;0,0,WWWW[[#This Row],[Total required water points]]-WWWW[[#This Row],['#Water points coverage]])</f>
        <v>0</v>
      </c>
      <c r="BL33" s="210">
        <f>ROUND(IF(WWWW[[#This Row],[Total PoP ]]&lt;500,1,WWWW[[#This Row],[Total PoP ]]/500),0)</f>
        <v>1</v>
      </c>
      <c r="BM33" s="210">
        <f>WWWW[[#This Row],['# Existing functional latrines]]+WWWW[[#This Row],['# Existing latrines dysfunctional]]</f>
        <v>32</v>
      </c>
      <c r="BN3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3" s="352">
        <f>WWWW[[#This Row],[% people access to functioning Latrine]]*WWWW[[#This Row],[Total PoP ]]</f>
        <v>504</v>
      </c>
      <c r="BP3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3" s="209">
        <f>IF(WWWW[[#This Row],[Total required Latrines]]-WWWW[[#This Row],[Total '# of latrine]]&lt;0,0,WWWW[[#This Row],[Total required Latrines]]-WWWW[[#This Row],[Total '# of latrine]])</f>
        <v>0</v>
      </c>
      <c r="BR33" s="210">
        <f>ROUND(IF(WWWW[[#This Row],[Location Type 1]]="camp",WWWW[[#This Row],[Total PoP ]]/20,WWWW[[#This Row],[Total PoP ]]/6),0)</f>
        <v>25</v>
      </c>
      <c r="BS33" s="212">
        <f>IF(OR(WWWW[[#This Row],['# Existing latrines dysfunctional]]="",WWWW[[#This Row],['# Existing latrines dysfunctional]]=0),0,WWWW[[#This Row],['# Existing latrines dysfunctional]]/WWWW[[#This Row],[Total '# of latrine]])</f>
        <v>6.25E-2</v>
      </c>
      <c r="BT3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3" s="209">
        <f>IF(500*WWWW[[#This Row],['# Hygiene Promoters ]]&gt;WWWW[[#This Row],[Total PoP ]],WWWW[[#This Row],[Total PoP ]],500*WWWW[[#This Row],['# Hygiene Promoters ]])</f>
        <v>0</v>
      </c>
      <c r="BV33" s="209">
        <f>IF(WWWW[[#This Row],[% of HH with access to Sanitary Pad]]&gt;=100%,1,0)</f>
        <v>0</v>
      </c>
      <c r="BW33" s="209">
        <f>IF(WWWW[[#This Row],[Total PoP ]]=0,0,IF(WWWW[[#This Row],['# Hygiene Promoters ]]=0,0,IF(WWWW[[#This Row],[Location Type 1]]="Village",IF(WWWW[[#This Row],[Total PoP ]]/WWWW[[#This Row],['# Hygiene Promoters ]]&lt;1000,1,0),IF(WWWW[[#This Row],[Total PoP ]]/WWWW[[#This Row],['# Hygiene Promoters ]]&lt;600,1,0))))</f>
        <v>0</v>
      </c>
      <c r="BX33" s="209">
        <f>IF(WWWW[[#This Row],[%HH with access to soap]]&gt;=100%,1,0)</f>
        <v>0</v>
      </c>
      <c r="BY33" s="209">
        <f>IF(WWWW[[#This Row],[% of HHs with access to Sanitary pad more than '#%]]+WWWW[[#This Row],[Ratio of Hyiene promoters to people less than '#]]+WWWW[[#This Row],[% of HHs with access to soap more than '#%]]&gt;=2,WWWW[[#This Row],[Total PoP ]],0)</f>
        <v>0</v>
      </c>
      <c r="BZ33" s="208">
        <f>WWWW[[#This Row],[People adopt basic personal and community hygiene practices]]/WWWW[[#This Row],[Total PoP ]]</f>
        <v>0</v>
      </c>
      <c r="CA33" s="212">
        <f>1-WWWW[[#This Row],[Hygiene Coverage%]]</f>
        <v>1</v>
      </c>
      <c r="CB33" s="211">
        <f>WWWW[[#This Row],['# people reached by regular dedicated hygiene promotion_5]]/WWWW[[#This Row],[Total PoP ]]</f>
        <v>0</v>
      </c>
      <c r="CC33" s="211">
        <f>IF(WWWW[[#This Row],['# HH received soaps]]/WWWW[[#This Row],[Total HH]]&gt;1,1,WWWW[[#This Row],['# HH received soaps]]/WWWW[[#This Row],[Total HH]])</f>
        <v>0</v>
      </c>
      <c r="CD33" s="211">
        <f>IF(WWWW[[#This Row],['# HH received Sanitary Pads]]/WWWW[[#This Row],[Total HH]]&gt;1,1,WWWW[[#This Row],['# HH received Sanitary Pads]]/WWWW[[#This Row],[Total HH]])</f>
        <v>0</v>
      </c>
      <c r="CE33" s="210">
        <f>WWWW[[#This Row],['# HH received soaps]]*5</f>
        <v>0</v>
      </c>
      <c r="CF33" s="210">
        <f>WWWW[[#This Row],['# HH received Sanitary Pads]]*5</f>
        <v>0</v>
      </c>
      <c r="CG33" s="210">
        <f>IF(WWWW[[#This Row],['# People with access to soap]]&gt;WWWW[[#This Row],['# People with access to Sanity Pads]],WWWW[[#This Row],['# People with access to soap]],WWWW[[#This Row],['# People with access to Sanity Pads]])</f>
        <v>0</v>
      </c>
      <c r="CH33" s="209">
        <f>WWWW[[#This Row],[Total HH]]*WWWW[[#This Row],[%HHs with access to functional hand washing stations]]</f>
        <v>51.5</v>
      </c>
      <c r="CI33" s="699" t="str">
        <f>VLOOKUP(WWWW[[#This Row],[Site Name]],SiteDB6[[Site Name]:[CCCM Management]],6,FALSE)</f>
        <v>Yes</v>
      </c>
      <c r="CJ33" s="699" t="str">
        <f>VLOOKUP(WWWW[[#This Row],[Site Name]],SiteDB6[[Site Name]:[CCCM Focal Agency]],7,FALSE)</f>
        <v>KBC</v>
      </c>
      <c r="CK33" s="699" t="str">
        <f>VLOOKUP(WWWW[[#This Row],[Site Name]],SiteDB6[[Site Name]:[Location Type]],8,FALSE)</f>
        <v>Camp</v>
      </c>
      <c r="CL33" s="699" t="str">
        <f>VLOOKUP(WWWW[[#This Row],[Site Name]],SiteDB6[[Site Name]:[Location Type 1]],9,FALSE)</f>
        <v>Camp</v>
      </c>
      <c r="CM33" s="699" t="str">
        <f>VLOOKUP(WWWW[[#This Row],[Site Name]],SiteDB6[[Site Name]:[Type of Accommodation]],10,FALSE)</f>
        <v>Camp</v>
      </c>
      <c r="CN33" s="699" t="str">
        <f>VLOOKUP(WWWW[[#This Row],[Site Name]],SiteDB6[[Site Name]:[Ethnic or GCA/NGCA]],11,FALSE)</f>
        <v>GCA</v>
      </c>
      <c r="CO33" s="699">
        <f>VLOOKUP(WWWW[[#This Row],[Site Name]],SiteDB6[[Site Name]:[Lat]],12,FALSE)</f>
        <v>25.611160000000002</v>
      </c>
      <c r="CP33" s="699">
        <f>VLOOKUP(WWWW[[#This Row],[Site Name]],SiteDB6[[Site Name]:[Long]],13,FALSE)</f>
        <v>96.312790000000007</v>
      </c>
      <c r="CQ33" s="699" t="str">
        <f>VLOOKUP(WWWW[[#This Row],[Site Name]],SiteDB6[[Site Name]:[Pcode]],3,FALSE)</f>
        <v>MMR001CMP229</v>
      </c>
      <c r="CR33" s="660" t="str">
        <f t="shared" si="0"/>
        <v>Covered</v>
      </c>
      <c r="CS33" s="660"/>
      <c r="CT33" s="24"/>
      <c r="CU33" s="24"/>
      <c r="CV33" s="24"/>
    </row>
    <row r="34" spans="1:100" ht="15.75" customHeight="1" x14ac:dyDescent="0.25">
      <c r="A34" s="833" t="s">
        <v>3206</v>
      </c>
      <c r="B34" s="206" t="s">
        <v>460</v>
      </c>
      <c r="C34" s="206" t="s">
        <v>44</v>
      </c>
      <c r="D34" s="206" t="s">
        <v>294</v>
      </c>
      <c r="E34" s="206" t="s">
        <v>2686</v>
      </c>
      <c r="F34" s="206">
        <v>13</v>
      </c>
      <c r="G34" s="209">
        <v>56</v>
      </c>
      <c r="H34" s="206"/>
      <c r="I34" s="206"/>
      <c r="J34" s="207"/>
      <c r="K34" s="206"/>
      <c r="L34" s="206"/>
      <c r="M34" s="208"/>
      <c r="N34" s="208"/>
      <c r="O34" s="316"/>
      <c r="P34" s="317"/>
      <c r="Q34" s="317"/>
      <c r="R34" s="318"/>
      <c r="S34" s="318"/>
      <c r="T34" s="318"/>
      <c r="U34" s="318"/>
      <c r="V34" s="318"/>
      <c r="W34" s="318"/>
      <c r="X34" s="318"/>
      <c r="Y34" s="318"/>
      <c r="Z34" s="318"/>
      <c r="AA34" s="310"/>
      <c r="AB34" s="310"/>
      <c r="AC34" s="66"/>
      <c r="AD34" s="66"/>
      <c r="AE34" s="310"/>
      <c r="AF34" s="310"/>
      <c r="AG34" s="311"/>
      <c r="AH34" s="311"/>
      <c r="AI34" s="310"/>
      <c r="AJ34" s="310"/>
      <c r="AK34" s="841"/>
      <c r="AL34" s="842"/>
      <c r="AM34" s="842"/>
      <c r="AN34" s="863"/>
      <c r="AO34" s="863"/>
      <c r="AP34" s="838"/>
      <c r="AQ34" s="843"/>
      <c r="AR34" s="843"/>
      <c r="AS34" s="843"/>
      <c r="AT34" s="843"/>
      <c r="AU34" s="843"/>
      <c r="AV34" s="844"/>
      <c r="AW34" s="208" t="str">
        <f>IFERROR(WWWW[[#This Row],['# of Water passed at source]]/WWWW[[#This Row],['# of Water tested at source]],"no test")</f>
        <v>no test</v>
      </c>
      <c r="AX34" s="211" t="str">
        <f>IFERROR(WWWW[[#This Row],['# of Water passed at HH]]/WWWW[[#This Row],['# of Water tested at HH]],"no test")</f>
        <v>no test</v>
      </c>
      <c r="AY34" s="210" t="str">
        <f>IF(AND(WWWW[[#This Row],[%of Water samples which passed at water source]]="no test",WWWW[[#This Row],[%Water samples which passed at HH]]="no test"),"No Test","Tested")</f>
        <v>No Test</v>
      </c>
      <c r="AZ3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4" s="211">
        <f>IF(WWWW[[#This Row],[Location Type 1]]="Village",WWWW[[#This Row],[Access to safe drinking water for Village]],WWWW[[#This Row],[Access to safe drinking water for Camp]])</f>
        <v>0</v>
      </c>
      <c r="BC34" s="209">
        <f>WWWW[[#This Row],[%Equitable and continuous access to sufficient quantity of safe drinking water]]*WWWW[[#This Row],[Total PoP ]]</f>
        <v>0</v>
      </c>
      <c r="BD34" s="211">
        <f>IF((WWWW[[#This Row],['# Existing protected/fenced ponds ]]*250)/WWWW[[#This Row],[Total PoP ]]&gt;1,1,WWWW[[#This Row],['# Existing protected/fenced ponds ]]*250/WWWW[[#This Row],[Total PoP ]])</f>
        <v>0</v>
      </c>
      <c r="BE34" s="209">
        <f>WWWW[[#This Row],[Access to unimproved water points]]*WWWW[[#This Row],[Total PoP ]]</f>
        <v>0</v>
      </c>
      <c r="BF3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4" s="209">
        <f>WWWW[[#This Row],['#people Equitable and continuous access to sufficient quantity of domestic water borehole n ponds_2]]/500</f>
        <v>0</v>
      </c>
      <c r="BI34" s="208">
        <f>1-WWWW[[#This Row],[%Equitable and continuous access to sufficient quantity of domestic water borehole n ponds]]</f>
        <v>1</v>
      </c>
      <c r="BJ34" s="209">
        <f>WWWW[[#This Row],[%equitable and continuous access to sufficient quantity of safe drinking and domestic water''s GAP]]*WWWW[[#This Row],[Total PoP ]]</f>
        <v>56</v>
      </c>
      <c r="BK34" s="210">
        <f>IF(WWWW[[#This Row],[Total required water points]]-WWWW[[#This Row],['#Water points coverage]]&lt;0,0,WWWW[[#This Row],[Total required water points]]-WWWW[[#This Row],['#Water points coverage]])</f>
        <v>1</v>
      </c>
      <c r="BL34" s="210">
        <f>ROUND(IF(WWWW[[#This Row],[Total PoP ]]&lt;500,1,WWWW[[#This Row],[Total PoP ]]/500),0)</f>
        <v>1</v>
      </c>
      <c r="BM34" s="210">
        <f>WWWW[[#This Row],['# Existing functional latrines]]+WWWW[[#This Row],['# Existing latrines dysfunctional]]</f>
        <v>0</v>
      </c>
      <c r="BN3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4" s="352">
        <f>WWWW[[#This Row],[% people access to functioning Latrine]]*WWWW[[#This Row],[Total PoP ]]</f>
        <v>0</v>
      </c>
      <c r="BP3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4" s="209">
        <f>IF(WWWW[[#This Row],[Total required Latrines]]-WWWW[[#This Row],[Total '# of latrine]]&lt;0,0,WWWW[[#This Row],[Total required Latrines]]-WWWW[[#This Row],[Total '# of latrine]])</f>
        <v>3</v>
      </c>
      <c r="BR34" s="210">
        <f>ROUND(IF(WWWW[[#This Row],[Location Type 1]]="camp",WWWW[[#This Row],[Total PoP ]]/20,WWWW[[#This Row],[Total PoP ]]/6),0)</f>
        <v>3</v>
      </c>
      <c r="BS34" s="212">
        <f>IF(OR(WWWW[[#This Row],['# Existing latrines dysfunctional]]="",WWWW[[#This Row],['# Existing latrines dysfunctional]]=0),0,WWWW[[#This Row],['# Existing latrines dysfunctional]]/WWWW[[#This Row],[Total '# of latrine]])</f>
        <v>0</v>
      </c>
      <c r="BT3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4" s="209">
        <f>IF(500*WWWW[[#This Row],['# Hygiene Promoters ]]&gt;WWWW[[#This Row],[Total PoP ]],WWWW[[#This Row],[Total PoP ]],500*WWWW[[#This Row],['# Hygiene Promoters ]])</f>
        <v>0</v>
      </c>
      <c r="BV34" s="209">
        <f>IF(WWWW[[#This Row],[% of HH with access to Sanitary Pad]]&gt;=100%,1,0)</f>
        <v>0</v>
      </c>
      <c r="BW34" s="209">
        <f>IF(WWWW[[#This Row],[Total PoP ]]=0,0,IF(WWWW[[#This Row],['# Hygiene Promoters ]]=0,0,IF(WWWW[[#This Row],[Location Type 1]]="Village",IF(WWWW[[#This Row],[Total PoP ]]/WWWW[[#This Row],['# Hygiene Promoters ]]&lt;1000,1,0),IF(WWWW[[#This Row],[Total PoP ]]/WWWW[[#This Row],['# Hygiene Promoters ]]&lt;600,1,0))))</f>
        <v>0</v>
      </c>
      <c r="BX34" s="209">
        <f>IF(WWWW[[#This Row],[%HH with access to soap]]&gt;=100%,1,0)</f>
        <v>0</v>
      </c>
      <c r="BY34" s="209">
        <f>IF(WWWW[[#This Row],[% of HHs with access to Sanitary pad more than '#%]]+WWWW[[#This Row],[Ratio of Hyiene promoters to people less than '#]]+WWWW[[#This Row],[% of HHs with access to soap more than '#%]]&gt;=2,WWWW[[#This Row],[Total PoP ]],0)</f>
        <v>0</v>
      </c>
      <c r="BZ34" s="208">
        <f>WWWW[[#This Row],[People adopt basic personal and community hygiene practices]]/WWWW[[#This Row],[Total PoP ]]</f>
        <v>0</v>
      </c>
      <c r="CA34" s="212">
        <f>1-WWWW[[#This Row],[Hygiene Coverage%]]</f>
        <v>1</v>
      </c>
      <c r="CB34" s="211">
        <f>WWWW[[#This Row],['# people reached by regular dedicated hygiene promotion_5]]/WWWW[[#This Row],[Total PoP ]]</f>
        <v>0</v>
      </c>
      <c r="CC34" s="211">
        <f>IF(WWWW[[#This Row],['# HH received soaps]]/WWWW[[#This Row],[Total HH]]&gt;1,1,WWWW[[#This Row],['# HH received soaps]]/WWWW[[#This Row],[Total HH]])</f>
        <v>0</v>
      </c>
      <c r="CD34" s="211">
        <f>IF(WWWW[[#This Row],['# HH received Sanitary Pads]]/WWWW[[#This Row],[Total HH]]&gt;1,1,WWWW[[#This Row],['# HH received Sanitary Pads]]/WWWW[[#This Row],[Total HH]])</f>
        <v>0</v>
      </c>
      <c r="CE34" s="210">
        <f>WWWW[[#This Row],['# HH received soaps]]*5</f>
        <v>0</v>
      </c>
      <c r="CF34" s="210">
        <f>WWWW[[#This Row],['# HH received Sanitary Pads]]*5</f>
        <v>0</v>
      </c>
      <c r="CG34" s="210">
        <f>IF(WWWW[[#This Row],['# People with access to soap]]&gt;WWWW[[#This Row],['# People with access to Sanity Pads]],WWWW[[#This Row],['# People with access to soap]],WWWW[[#This Row],['# People with access to Sanity Pads]])</f>
        <v>0</v>
      </c>
      <c r="CH34" s="209">
        <f>WWWW[[#This Row],[Total HH]]*WWWW[[#This Row],[%HHs with access to functional hand washing stations]]</f>
        <v>0</v>
      </c>
      <c r="CI34" s="699">
        <f>VLOOKUP(WWWW[[#This Row],[Site Name]],SiteDB6[[Site Name]:[CCCM Management]],6,FALSE)</f>
        <v>0</v>
      </c>
      <c r="CJ34" s="699" t="str">
        <f>VLOOKUP(WWWW[[#This Row],[Site Name]],SiteDB6[[Site Name]:[CCCM Focal Agency]],7,FALSE)</f>
        <v>uncovered</v>
      </c>
      <c r="CK34" s="699" t="str">
        <f>VLOOKUP(WWWW[[#This Row],[Site Name]],SiteDB6[[Site Name]:[Location Type]],8,FALSE)</f>
        <v>Camp</v>
      </c>
      <c r="CL34" s="699" t="str">
        <f>VLOOKUP(WWWW[[#This Row],[Site Name]],SiteDB6[[Site Name]:[Location Type 1]],9,FALSE)</f>
        <v>Camp</v>
      </c>
      <c r="CM34" s="699" t="str">
        <f>VLOOKUP(WWWW[[#This Row],[Site Name]],SiteDB6[[Site Name]:[Type of Accommodation]],10,FALSE)</f>
        <v>Camp like setting</v>
      </c>
      <c r="CN34" s="699" t="str">
        <f>VLOOKUP(WWWW[[#This Row],[Site Name]],SiteDB6[[Site Name]:[Ethnic or GCA/NGCA]],11,FALSE)</f>
        <v>GCA</v>
      </c>
      <c r="CO34" s="699">
        <f>VLOOKUP(WWWW[[#This Row],[Site Name]],SiteDB6[[Site Name]:[Lat]],12,FALSE)</f>
        <v>0</v>
      </c>
      <c r="CP34" s="699">
        <f>VLOOKUP(WWWW[[#This Row],[Site Name]],SiteDB6[[Site Name]:[Long]],13,FALSE)</f>
        <v>0</v>
      </c>
      <c r="CQ34" s="699" t="str">
        <f>VLOOKUP(WWWW[[#This Row],[Site Name]],SiteDB6[[Site Name]:[Pcode]],3,FALSE)</f>
        <v>MMR001CMP270</v>
      </c>
      <c r="CR34" s="660" t="str">
        <f t="shared" si="0"/>
        <v>Notcovered</v>
      </c>
      <c r="CS34" s="660"/>
      <c r="CT34" s="24"/>
      <c r="CU34" s="24"/>
      <c r="CV34" s="24"/>
    </row>
    <row r="35" spans="1:100" ht="15.75" customHeight="1" x14ac:dyDescent="0.25">
      <c r="A35" s="833" t="s">
        <v>3206</v>
      </c>
      <c r="B35" s="206" t="s">
        <v>460</v>
      </c>
      <c r="C35" s="206" t="s">
        <v>44</v>
      </c>
      <c r="D35" s="206" t="s">
        <v>294</v>
      </c>
      <c r="E35" s="206" t="s">
        <v>2684</v>
      </c>
      <c r="F35" s="206">
        <v>39</v>
      </c>
      <c r="G35" s="209">
        <v>171</v>
      </c>
      <c r="H35" s="206"/>
      <c r="I35" s="206"/>
      <c r="J35" s="207"/>
      <c r="K35" s="206"/>
      <c r="L35" s="206"/>
      <c r="M35" s="208"/>
      <c r="N35" s="208"/>
      <c r="O35" s="316"/>
      <c r="P35" s="317"/>
      <c r="Q35" s="317"/>
      <c r="R35" s="318"/>
      <c r="S35" s="318"/>
      <c r="T35" s="318"/>
      <c r="U35" s="318"/>
      <c r="V35" s="318"/>
      <c r="W35" s="318"/>
      <c r="X35" s="318"/>
      <c r="Y35" s="318"/>
      <c r="Z35" s="318"/>
      <c r="AA35" s="310"/>
      <c r="AB35" s="310"/>
      <c r="AC35" s="66"/>
      <c r="AD35" s="66"/>
      <c r="AE35" s="310"/>
      <c r="AF35" s="310"/>
      <c r="AG35" s="311"/>
      <c r="AH35" s="311"/>
      <c r="AI35" s="310"/>
      <c r="AJ35" s="310"/>
      <c r="AK35" s="841"/>
      <c r="AL35" s="842"/>
      <c r="AM35" s="842"/>
      <c r="AN35" s="863"/>
      <c r="AO35" s="863"/>
      <c r="AP35" s="838"/>
      <c r="AQ35" s="843"/>
      <c r="AR35" s="843"/>
      <c r="AS35" s="843"/>
      <c r="AT35" s="843"/>
      <c r="AU35" s="843"/>
      <c r="AV35" s="844"/>
      <c r="AW35" s="208" t="str">
        <f>IFERROR(WWWW[[#This Row],['# of Water passed at source]]/WWWW[[#This Row],['# of Water tested at source]],"no test")</f>
        <v>no test</v>
      </c>
      <c r="AX35" s="211" t="str">
        <f>IFERROR(WWWW[[#This Row],['# of Water passed at HH]]/WWWW[[#This Row],['# of Water tested at HH]],"no test")</f>
        <v>no test</v>
      </c>
      <c r="AY35" s="210" t="str">
        <f>IF(AND(WWWW[[#This Row],[%of Water samples which passed at water source]]="no test",WWWW[[#This Row],[%Water samples which passed at HH]]="no test"),"No Test","Tested")</f>
        <v>No Test</v>
      </c>
      <c r="AZ3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5" s="211">
        <f>IF(WWWW[[#This Row],[Location Type 1]]="Village",WWWW[[#This Row],[Access to safe drinking water for Village]],WWWW[[#This Row],[Access to safe drinking water for Camp]])</f>
        <v>0</v>
      </c>
      <c r="BC35" s="209">
        <f>WWWW[[#This Row],[%Equitable and continuous access to sufficient quantity of safe drinking water]]*WWWW[[#This Row],[Total PoP ]]</f>
        <v>0</v>
      </c>
      <c r="BD35" s="211">
        <f>IF((WWWW[[#This Row],['# Existing protected/fenced ponds ]]*250)/WWWW[[#This Row],[Total PoP ]]&gt;1,1,WWWW[[#This Row],['# Existing protected/fenced ponds ]]*250/WWWW[[#This Row],[Total PoP ]])</f>
        <v>0</v>
      </c>
      <c r="BE35" s="209">
        <f>WWWW[[#This Row],[Access to unimproved water points]]*WWWW[[#This Row],[Total PoP ]]</f>
        <v>0</v>
      </c>
      <c r="BF3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5" s="209">
        <f>WWWW[[#This Row],['#people Equitable and continuous access to sufficient quantity of domestic water borehole n ponds_2]]/500</f>
        <v>0</v>
      </c>
      <c r="BI35" s="208">
        <f>1-WWWW[[#This Row],[%Equitable and continuous access to sufficient quantity of domestic water borehole n ponds]]</f>
        <v>1</v>
      </c>
      <c r="BJ35" s="209">
        <f>WWWW[[#This Row],[%equitable and continuous access to sufficient quantity of safe drinking and domestic water''s GAP]]*WWWW[[#This Row],[Total PoP ]]</f>
        <v>171</v>
      </c>
      <c r="BK35" s="210">
        <f>IF(WWWW[[#This Row],[Total required water points]]-WWWW[[#This Row],['#Water points coverage]]&lt;0,0,WWWW[[#This Row],[Total required water points]]-WWWW[[#This Row],['#Water points coverage]])</f>
        <v>1</v>
      </c>
      <c r="BL35" s="210">
        <f>ROUND(IF(WWWW[[#This Row],[Total PoP ]]&lt;500,1,WWWW[[#This Row],[Total PoP ]]/500),0)</f>
        <v>1</v>
      </c>
      <c r="BM35" s="210">
        <f>WWWW[[#This Row],['# Existing functional latrines]]+WWWW[[#This Row],['# Existing latrines dysfunctional]]</f>
        <v>0</v>
      </c>
      <c r="BN3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5" s="352">
        <f>WWWW[[#This Row],[% people access to functioning Latrine]]*WWWW[[#This Row],[Total PoP ]]</f>
        <v>0</v>
      </c>
      <c r="BP3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5" s="209">
        <f>IF(WWWW[[#This Row],[Total required Latrines]]-WWWW[[#This Row],[Total '# of latrine]]&lt;0,0,WWWW[[#This Row],[Total required Latrines]]-WWWW[[#This Row],[Total '# of latrine]])</f>
        <v>9</v>
      </c>
      <c r="BR35" s="210">
        <f>ROUND(IF(WWWW[[#This Row],[Location Type 1]]="camp",WWWW[[#This Row],[Total PoP ]]/20,WWWW[[#This Row],[Total PoP ]]/6),0)</f>
        <v>9</v>
      </c>
      <c r="BS35" s="212">
        <f>IF(OR(WWWW[[#This Row],['# Existing latrines dysfunctional]]="",WWWW[[#This Row],['# Existing latrines dysfunctional]]=0),0,WWWW[[#This Row],['# Existing latrines dysfunctional]]/WWWW[[#This Row],[Total '# of latrine]])</f>
        <v>0</v>
      </c>
      <c r="BT3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5" s="209">
        <f>IF(500*WWWW[[#This Row],['# Hygiene Promoters ]]&gt;WWWW[[#This Row],[Total PoP ]],WWWW[[#This Row],[Total PoP ]],500*WWWW[[#This Row],['# Hygiene Promoters ]])</f>
        <v>0</v>
      </c>
      <c r="BV35" s="209">
        <f>IF(WWWW[[#This Row],[% of HH with access to Sanitary Pad]]&gt;=100%,1,0)</f>
        <v>0</v>
      </c>
      <c r="BW35" s="209">
        <f>IF(WWWW[[#This Row],[Total PoP ]]=0,0,IF(WWWW[[#This Row],['# Hygiene Promoters ]]=0,0,IF(WWWW[[#This Row],[Location Type 1]]="Village",IF(WWWW[[#This Row],[Total PoP ]]/WWWW[[#This Row],['# Hygiene Promoters ]]&lt;1000,1,0),IF(WWWW[[#This Row],[Total PoP ]]/WWWW[[#This Row],['# Hygiene Promoters ]]&lt;600,1,0))))</f>
        <v>0</v>
      </c>
      <c r="BX35" s="209">
        <f>IF(WWWW[[#This Row],[%HH with access to soap]]&gt;=100%,1,0)</f>
        <v>0</v>
      </c>
      <c r="BY35" s="209">
        <f>IF(WWWW[[#This Row],[% of HHs with access to Sanitary pad more than '#%]]+WWWW[[#This Row],[Ratio of Hyiene promoters to people less than '#]]+WWWW[[#This Row],[% of HHs with access to soap more than '#%]]&gt;=2,WWWW[[#This Row],[Total PoP ]],0)</f>
        <v>0</v>
      </c>
      <c r="BZ35" s="208">
        <f>WWWW[[#This Row],[People adopt basic personal and community hygiene practices]]/WWWW[[#This Row],[Total PoP ]]</f>
        <v>0</v>
      </c>
      <c r="CA35" s="212">
        <f>1-WWWW[[#This Row],[Hygiene Coverage%]]</f>
        <v>1</v>
      </c>
      <c r="CB35" s="211">
        <f>WWWW[[#This Row],['# people reached by regular dedicated hygiene promotion_5]]/WWWW[[#This Row],[Total PoP ]]</f>
        <v>0</v>
      </c>
      <c r="CC35" s="211">
        <f>IF(WWWW[[#This Row],['# HH received soaps]]/WWWW[[#This Row],[Total HH]]&gt;1,1,WWWW[[#This Row],['# HH received soaps]]/WWWW[[#This Row],[Total HH]])</f>
        <v>0</v>
      </c>
      <c r="CD35" s="211">
        <f>IF(WWWW[[#This Row],['# HH received Sanitary Pads]]/WWWW[[#This Row],[Total HH]]&gt;1,1,WWWW[[#This Row],['# HH received Sanitary Pads]]/WWWW[[#This Row],[Total HH]])</f>
        <v>0</v>
      </c>
      <c r="CE35" s="210">
        <f>WWWW[[#This Row],['# HH received soaps]]*5</f>
        <v>0</v>
      </c>
      <c r="CF35" s="210">
        <f>WWWW[[#This Row],['# HH received Sanitary Pads]]*5</f>
        <v>0</v>
      </c>
      <c r="CG35" s="210">
        <f>IF(WWWW[[#This Row],['# People with access to soap]]&gt;WWWW[[#This Row],['# People with access to Sanity Pads]],WWWW[[#This Row],['# People with access to soap]],WWWW[[#This Row],['# People with access to Sanity Pads]])</f>
        <v>0</v>
      </c>
      <c r="CH35" s="209">
        <f>WWWW[[#This Row],[Total HH]]*WWWW[[#This Row],[%HHs with access to functional hand washing stations]]</f>
        <v>0</v>
      </c>
      <c r="CI35" s="699">
        <f>VLOOKUP(WWWW[[#This Row],[Site Name]],SiteDB6[[Site Name]:[CCCM Management]],6,FALSE)</f>
        <v>0</v>
      </c>
      <c r="CJ35" s="699" t="str">
        <f>VLOOKUP(WWWW[[#This Row],[Site Name]],SiteDB6[[Site Name]:[CCCM Focal Agency]],7,FALSE)</f>
        <v>uncovered</v>
      </c>
      <c r="CK35" s="699" t="str">
        <f>VLOOKUP(WWWW[[#This Row],[Site Name]],SiteDB6[[Site Name]:[Location Type]],8,FALSE)</f>
        <v>Camp</v>
      </c>
      <c r="CL35" s="699" t="str">
        <f>VLOOKUP(WWWW[[#This Row],[Site Name]],SiteDB6[[Site Name]:[Location Type 1]],9,FALSE)</f>
        <v>Camp</v>
      </c>
      <c r="CM35" s="699" t="str">
        <f>VLOOKUP(WWWW[[#This Row],[Site Name]],SiteDB6[[Site Name]:[Type of Accommodation]],10,FALSE)</f>
        <v>Camp like setting</v>
      </c>
      <c r="CN35" s="699" t="str">
        <f>VLOOKUP(WWWW[[#This Row],[Site Name]],SiteDB6[[Site Name]:[Ethnic or GCA/NGCA]],11,FALSE)</f>
        <v>GCA</v>
      </c>
      <c r="CO35" s="699">
        <f>VLOOKUP(WWWW[[#This Row],[Site Name]],SiteDB6[[Site Name]:[Lat]],12,FALSE)</f>
        <v>0</v>
      </c>
      <c r="CP35" s="699">
        <f>VLOOKUP(WWWW[[#This Row],[Site Name]],SiteDB6[[Site Name]:[Long]],13,FALSE)</f>
        <v>0</v>
      </c>
      <c r="CQ35" s="699" t="str">
        <f>VLOOKUP(WWWW[[#This Row],[Site Name]],SiteDB6[[Site Name]:[Pcode]],3,FALSE)</f>
        <v>MMR001CMP268</v>
      </c>
      <c r="CR35" s="660" t="str">
        <f t="shared" si="0"/>
        <v>Notcovered</v>
      </c>
      <c r="CS35" s="660"/>
      <c r="CT35" s="24"/>
      <c r="CU35" s="24"/>
      <c r="CV35" s="24"/>
    </row>
    <row r="36" spans="1:100" ht="15.75" customHeight="1" x14ac:dyDescent="0.25">
      <c r="A36" s="833" t="s">
        <v>3206</v>
      </c>
      <c r="B36" s="206" t="s">
        <v>389</v>
      </c>
      <c r="C36" s="206" t="s">
        <v>44</v>
      </c>
      <c r="D36" s="206" t="s">
        <v>294</v>
      </c>
      <c r="E36" s="206" t="s">
        <v>390</v>
      </c>
      <c r="F36" s="206">
        <v>123</v>
      </c>
      <c r="G36" s="209">
        <v>656</v>
      </c>
      <c r="H36" s="206"/>
      <c r="I36" s="206" t="s">
        <v>391</v>
      </c>
      <c r="J36" s="207">
        <v>42947</v>
      </c>
      <c r="K36" s="206">
        <v>0</v>
      </c>
      <c r="L36" s="206" t="s">
        <v>48</v>
      </c>
      <c r="M36" s="208">
        <v>0.4</v>
      </c>
      <c r="N36" s="208">
        <v>0</v>
      </c>
      <c r="O36" s="316">
        <v>1</v>
      </c>
      <c r="P36" s="317">
        <v>1</v>
      </c>
      <c r="Q36" s="317">
        <v>1500</v>
      </c>
      <c r="R36" s="318"/>
      <c r="S36" s="318">
        <v>2</v>
      </c>
      <c r="T36" s="318"/>
      <c r="U36" s="318">
        <v>2</v>
      </c>
      <c r="V36" s="318">
        <v>0</v>
      </c>
      <c r="W36" s="318">
        <v>2</v>
      </c>
      <c r="X36" s="318">
        <v>0</v>
      </c>
      <c r="Y36" s="318">
        <v>0</v>
      </c>
      <c r="Z36" s="318"/>
      <c r="AA36" s="310">
        <v>28</v>
      </c>
      <c r="AB36" s="310">
        <v>10</v>
      </c>
      <c r="AC36" s="66">
        <v>10</v>
      </c>
      <c r="AD36" s="66" t="s">
        <v>2782</v>
      </c>
      <c r="AE36" s="310">
        <v>28</v>
      </c>
      <c r="AF36" s="310" t="s">
        <v>283</v>
      </c>
      <c r="AG36" s="311" t="s">
        <v>283</v>
      </c>
      <c r="AH36" s="311">
        <v>0</v>
      </c>
      <c r="AI36" s="310">
        <v>0</v>
      </c>
      <c r="AJ36" s="310"/>
      <c r="AK36" s="841">
        <v>0.4</v>
      </c>
      <c r="AL36" s="842" t="s">
        <v>376</v>
      </c>
      <c r="AM36" s="842">
        <v>0</v>
      </c>
      <c r="AN36" s="863">
        <v>4</v>
      </c>
      <c r="AO36" s="863">
        <v>0</v>
      </c>
      <c r="AP36" s="838">
        <v>0</v>
      </c>
      <c r="AQ36" s="843">
        <v>0</v>
      </c>
      <c r="AR36" s="843"/>
      <c r="AS36" s="843"/>
      <c r="AT36" s="843">
        <v>2</v>
      </c>
      <c r="AU36" s="843"/>
      <c r="AV36" s="844"/>
      <c r="AW36" s="208">
        <f>IFERROR(WWWW[[#This Row],['# of Water passed at source]]/WWWW[[#This Row],['# of Water tested at source]],"no test")</f>
        <v>0</v>
      </c>
      <c r="AX36" s="211">
        <f>IFERROR(WWWW[[#This Row],['# of Water passed at HH]]/WWWW[[#This Row],['# of Water tested at HH]],"no test")</f>
        <v>0</v>
      </c>
      <c r="AY36" s="210" t="str">
        <f>IF(AND(WWWW[[#This Row],[%of Water samples which passed at water source]]="no test",WWWW[[#This Row],[%Water samples which passed at HH]]="no test"),"No Test","Tested")</f>
        <v>Tested</v>
      </c>
      <c r="AZ3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0.91463414634146345</v>
      </c>
      <c r="BB36" s="211">
        <f>IF(WWWW[[#This Row],[Location Type 1]]="Village",WWWW[[#This Row],[Access to safe drinking water for Village]],WWWW[[#This Row],[Access to safe drinking water for Camp]])</f>
        <v>1</v>
      </c>
      <c r="BC36" s="209">
        <f>WWWW[[#This Row],[%Equitable and continuous access to sufficient quantity of safe drinking water]]*WWWW[[#This Row],[Total PoP ]]</f>
        <v>656</v>
      </c>
      <c r="BD36" s="211">
        <f>IF((WWWW[[#This Row],['# Existing protected/fenced ponds ]]*250)/WWWW[[#This Row],[Total PoP ]]&gt;1,1,WWWW[[#This Row],['# Existing protected/fenced ponds ]]*250/WWWW[[#This Row],[Total PoP ]])</f>
        <v>0</v>
      </c>
      <c r="BE36" s="209">
        <f>WWWW[[#This Row],[Access to unimproved water points]]*WWWW[[#This Row],[Total PoP ]]</f>
        <v>0</v>
      </c>
      <c r="BF3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656</v>
      </c>
      <c r="BH36" s="209">
        <f>WWWW[[#This Row],['#people Equitable and continuous access to sufficient quantity of domestic water borehole n ponds_2]]/500</f>
        <v>1.3120000000000001</v>
      </c>
      <c r="BI36" s="208">
        <f>1-WWWW[[#This Row],[%Equitable and continuous access to sufficient quantity of domestic water borehole n ponds]]</f>
        <v>0</v>
      </c>
      <c r="BJ36" s="209">
        <f>WWWW[[#This Row],[%equitable and continuous access to sufficient quantity of safe drinking and domestic water''s GAP]]*WWWW[[#This Row],[Total PoP ]]</f>
        <v>0</v>
      </c>
      <c r="BK36" s="210">
        <f>IF(WWWW[[#This Row],[Total required water points]]-WWWW[[#This Row],['#Water points coverage]]&lt;0,0,WWWW[[#This Row],[Total required water points]]-WWWW[[#This Row],['#Water points coverage]])</f>
        <v>0</v>
      </c>
      <c r="BL36" s="210">
        <f>ROUND(IF(WWWW[[#This Row],[Total PoP ]]&lt;500,1,WWWW[[#This Row],[Total PoP ]]/500),0)</f>
        <v>1</v>
      </c>
      <c r="BM36" s="210">
        <f>WWWW[[#This Row],['# Existing functional latrines]]+WWWW[[#This Row],['# Existing latrines dysfunctional]]</f>
        <v>38</v>
      </c>
      <c r="BN3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0.85365853658536583</v>
      </c>
      <c r="BO36" s="352">
        <f>WWWW[[#This Row],[% people access to functioning Latrine]]*WWWW[[#This Row],[Total PoP ]]</f>
        <v>560</v>
      </c>
      <c r="BP3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6" s="209">
        <f>IF(WWWW[[#This Row],[Total required Latrines]]-WWWW[[#This Row],[Total '# of latrine]]&lt;0,0,WWWW[[#This Row],[Total required Latrines]]-WWWW[[#This Row],[Total '# of latrine]])</f>
        <v>0</v>
      </c>
      <c r="BR36" s="210">
        <f>ROUND(IF(WWWW[[#This Row],[Location Type 1]]="camp",WWWW[[#This Row],[Total PoP ]]/20,WWWW[[#This Row],[Total PoP ]]/6),0)</f>
        <v>33</v>
      </c>
      <c r="BS36" s="212">
        <f>IF(OR(WWWW[[#This Row],['# Existing latrines dysfunctional]]="",WWWW[[#This Row],['# Existing latrines dysfunctional]]=0),0,WWWW[[#This Row],['# Existing latrines dysfunctional]]/WWWW[[#This Row],[Total '# of latrine]])</f>
        <v>0.26315789473684209</v>
      </c>
      <c r="BT3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200</v>
      </c>
      <c r="BU36" s="209">
        <f>IF(500*WWWW[[#This Row],['# Hygiene Promoters ]]&gt;WWWW[[#This Row],[Total PoP ]],WWWW[[#This Row],[Total PoP ]],500*WWWW[[#This Row],['# Hygiene Promoters ]])</f>
        <v>0</v>
      </c>
      <c r="BV36" s="209">
        <f>IF(WWWW[[#This Row],[% of HH with access to Sanitary Pad]]&gt;=100%,1,0)</f>
        <v>0</v>
      </c>
      <c r="BW36" s="209">
        <f>IF(WWWW[[#This Row],[Total PoP ]]=0,0,IF(WWWW[[#This Row],['# Hygiene Promoters ]]=0,0,IF(WWWW[[#This Row],[Location Type 1]]="Village",IF(WWWW[[#This Row],[Total PoP ]]/WWWW[[#This Row],['# Hygiene Promoters ]]&lt;1000,1,0),IF(WWWW[[#This Row],[Total PoP ]]/WWWW[[#This Row],['# Hygiene Promoters ]]&lt;600,1,0))))</f>
        <v>0</v>
      </c>
      <c r="BX36" s="209">
        <f>IF(WWWW[[#This Row],[%HH with access to soap]]&gt;=100%,1,0)</f>
        <v>0</v>
      </c>
      <c r="BY36" s="209">
        <f>IF(WWWW[[#This Row],[% of HHs with access to Sanitary pad more than '#%]]+WWWW[[#This Row],[Ratio of Hyiene promoters to people less than '#]]+WWWW[[#This Row],[% of HHs with access to soap more than '#%]]&gt;=2,WWWW[[#This Row],[Total PoP ]],0)</f>
        <v>0</v>
      </c>
      <c r="BZ36" s="208">
        <f>WWWW[[#This Row],[People adopt basic personal and community hygiene practices]]/WWWW[[#This Row],[Total PoP ]]</f>
        <v>0</v>
      </c>
      <c r="CA36" s="212">
        <f>1-WWWW[[#This Row],[Hygiene Coverage%]]</f>
        <v>1</v>
      </c>
      <c r="CB36" s="211">
        <f>WWWW[[#This Row],['# people reached by regular dedicated hygiene promotion_5]]/WWWW[[#This Row],[Total PoP ]]</f>
        <v>0</v>
      </c>
      <c r="CC36" s="211">
        <f>IF(WWWW[[#This Row],['# HH received soaps]]/WWWW[[#This Row],[Total HH]]&gt;1,1,WWWW[[#This Row],['# HH received soaps]]/WWWW[[#This Row],[Total HH]])</f>
        <v>0</v>
      </c>
      <c r="CD36" s="211">
        <f>IF(WWWW[[#This Row],['# HH received Sanitary Pads]]/WWWW[[#This Row],[Total HH]]&gt;1,1,WWWW[[#This Row],['# HH received Sanitary Pads]]/WWWW[[#This Row],[Total HH]])</f>
        <v>0</v>
      </c>
      <c r="CE36" s="210">
        <f>WWWW[[#This Row],['# HH received soaps]]*5</f>
        <v>0</v>
      </c>
      <c r="CF36" s="210">
        <f>WWWW[[#This Row],['# HH received Sanitary Pads]]*5</f>
        <v>0</v>
      </c>
      <c r="CG36" s="210">
        <f>IF(WWWW[[#This Row],['# People with access to soap]]&gt;WWWW[[#This Row],['# People with access to Sanity Pads]],WWWW[[#This Row],['# People with access to soap]],WWWW[[#This Row],['# People with access to Sanity Pads]])</f>
        <v>0</v>
      </c>
      <c r="CH36" s="209">
        <f>WWWW[[#This Row],[Total HH]]*WWWW[[#This Row],[%HHs with access to functional hand washing stations]]</f>
        <v>49.2</v>
      </c>
      <c r="CI36" s="699" t="str">
        <f>VLOOKUP(WWWW[[#This Row],[Site Name]],SiteDB6[[Site Name]:[CCCM Management]],6,FALSE)</f>
        <v>Yes</v>
      </c>
      <c r="CJ36" s="699" t="str">
        <f>VLOOKUP(WWWW[[#This Row],[Site Name]],SiteDB6[[Site Name]:[CCCM Focal Agency]],7,FALSE)</f>
        <v>KBC</v>
      </c>
      <c r="CK36" s="699" t="str">
        <f>VLOOKUP(WWWW[[#This Row],[Site Name]],SiteDB6[[Site Name]:[Location Type]],8,FALSE)</f>
        <v>Camp</v>
      </c>
      <c r="CL36" s="699" t="str">
        <f>VLOOKUP(WWWW[[#This Row],[Site Name]],SiteDB6[[Site Name]:[Location Type 1]],9,FALSE)</f>
        <v>Camp</v>
      </c>
      <c r="CM36" s="699" t="str">
        <f>VLOOKUP(WWWW[[#This Row],[Site Name]],SiteDB6[[Site Name]:[Type of Accommodation]],10,FALSE)</f>
        <v>camp</v>
      </c>
      <c r="CN36" s="699" t="str">
        <f>VLOOKUP(WWWW[[#This Row],[Site Name]],SiteDB6[[Site Name]:[Ethnic or GCA/NGCA]],11,FALSE)</f>
        <v>GCA</v>
      </c>
      <c r="CO36" s="699">
        <f>VLOOKUP(WWWW[[#This Row],[Site Name]],SiteDB6[[Site Name]:[Lat]],12,FALSE)</f>
        <v>0</v>
      </c>
      <c r="CP36" s="699">
        <f>VLOOKUP(WWWW[[#This Row],[Site Name]],SiteDB6[[Site Name]:[Long]],13,FALSE)</f>
        <v>0</v>
      </c>
      <c r="CQ36" s="699" t="str">
        <f>VLOOKUP(WWWW[[#This Row],[Site Name]],SiteDB6[[Site Name]:[Pcode]],3,FALSE)</f>
        <v>MMR001CMP250</v>
      </c>
      <c r="CR36" s="660" t="str">
        <f t="shared" si="0"/>
        <v>Covered</v>
      </c>
      <c r="CS36" s="660"/>
      <c r="CT36" s="24"/>
      <c r="CU36" s="24"/>
      <c r="CV36" s="24"/>
    </row>
    <row r="37" spans="1:100" ht="15.75" customHeight="1" x14ac:dyDescent="0.25">
      <c r="A37" s="833" t="s">
        <v>3206</v>
      </c>
      <c r="B37" s="206" t="s">
        <v>389</v>
      </c>
      <c r="C37" s="206" t="s">
        <v>44</v>
      </c>
      <c r="D37" s="206" t="s">
        <v>294</v>
      </c>
      <c r="E37" s="206" t="s">
        <v>405</v>
      </c>
      <c r="F37" s="206">
        <v>19</v>
      </c>
      <c r="G37" s="209">
        <v>102</v>
      </c>
      <c r="H37" s="206"/>
      <c r="I37" s="206" t="s">
        <v>391</v>
      </c>
      <c r="J37" s="207">
        <v>42947</v>
      </c>
      <c r="K37" s="206">
        <v>0</v>
      </c>
      <c r="L37" s="206" t="s">
        <v>48</v>
      </c>
      <c r="M37" s="208">
        <v>0.67</v>
      </c>
      <c r="N37" s="208">
        <v>0</v>
      </c>
      <c r="O37" s="316">
        <v>1</v>
      </c>
      <c r="P37" s="317">
        <v>0</v>
      </c>
      <c r="Q37" s="317">
        <v>0</v>
      </c>
      <c r="R37" s="318">
        <v>0</v>
      </c>
      <c r="S37" s="318">
        <v>1</v>
      </c>
      <c r="T37" s="318"/>
      <c r="U37" s="318">
        <v>2</v>
      </c>
      <c r="V37" s="318">
        <v>0</v>
      </c>
      <c r="W37" s="318">
        <v>1</v>
      </c>
      <c r="X37" s="318">
        <v>0</v>
      </c>
      <c r="Y37" s="318">
        <v>0</v>
      </c>
      <c r="Z37" s="318"/>
      <c r="AA37" s="310">
        <v>8</v>
      </c>
      <c r="AB37" s="310">
        <v>0</v>
      </c>
      <c r="AC37" s="66">
        <v>0</v>
      </c>
      <c r="AD37" s="66" t="s">
        <v>2789</v>
      </c>
      <c r="AE37" s="310">
        <v>8</v>
      </c>
      <c r="AF37" s="310" t="s">
        <v>283</v>
      </c>
      <c r="AG37" s="311" t="s">
        <v>283</v>
      </c>
      <c r="AH37" s="311">
        <v>0</v>
      </c>
      <c r="AI37" s="310">
        <v>0</v>
      </c>
      <c r="AJ37" s="310"/>
      <c r="AK37" s="841">
        <v>0.5</v>
      </c>
      <c r="AL37" s="842" t="s">
        <v>376</v>
      </c>
      <c r="AM37" s="842">
        <v>0</v>
      </c>
      <c r="AN37" s="863">
        <v>4</v>
      </c>
      <c r="AO37" s="863">
        <v>0</v>
      </c>
      <c r="AP37" s="838">
        <v>0</v>
      </c>
      <c r="AQ37" s="843">
        <v>0</v>
      </c>
      <c r="AR37" s="843"/>
      <c r="AS37" s="843"/>
      <c r="AT37" s="843">
        <v>1</v>
      </c>
      <c r="AU37" s="843"/>
      <c r="AV37" s="844"/>
      <c r="AW37" s="208">
        <f>IFERROR(WWWW[[#This Row],['# of Water passed at source]]/WWWW[[#This Row],['# of Water tested at source]],"no test")</f>
        <v>0</v>
      </c>
      <c r="AX37" s="211">
        <f>IFERROR(WWWW[[#This Row],['# of Water passed at HH]]/WWWW[[#This Row],['# of Water tested at HH]],"no test")</f>
        <v>0</v>
      </c>
      <c r="AY37" s="210" t="str">
        <f>IF(AND(WWWW[[#This Row],[%of Water samples which passed at water source]]="no test",WWWW[[#This Row],[%Water samples which passed at HH]]="no test"),"No Test","Tested")</f>
        <v>Tested</v>
      </c>
      <c r="AZ3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7" s="211">
        <f>IF(WWWW[[#This Row],[Location Type 1]]="Village",WWWW[[#This Row],[Access to safe drinking water for Village]],WWWW[[#This Row],[Access to safe drinking water for Camp]])</f>
        <v>1</v>
      </c>
      <c r="BC37" s="209">
        <f>WWWW[[#This Row],[%Equitable and continuous access to sufficient quantity of safe drinking water]]*WWWW[[#This Row],[Total PoP ]]</f>
        <v>102</v>
      </c>
      <c r="BD37" s="211">
        <f>IF((WWWW[[#This Row],['# Existing protected/fenced ponds ]]*250)/WWWW[[#This Row],[Total PoP ]]&gt;1,1,WWWW[[#This Row],['# Existing protected/fenced ponds ]]*250/WWWW[[#This Row],[Total PoP ]])</f>
        <v>0</v>
      </c>
      <c r="BE37" s="209">
        <f>WWWW[[#This Row],[Access to unimproved water points]]*WWWW[[#This Row],[Total PoP ]]</f>
        <v>0</v>
      </c>
      <c r="BF3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102</v>
      </c>
      <c r="BH37" s="209">
        <f>WWWW[[#This Row],['#people Equitable and continuous access to sufficient quantity of domestic water borehole n ponds_2]]/500</f>
        <v>0.20399999999999999</v>
      </c>
      <c r="BI37" s="208">
        <f>1-WWWW[[#This Row],[%Equitable and continuous access to sufficient quantity of domestic water borehole n ponds]]</f>
        <v>0</v>
      </c>
      <c r="BJ37" s="209">
        <f>WWWW[[#This Row],[%equitable and continuous access to sufficient quantity of safe drinking and domestic water''s GAP]]*WWWW[[#This Row],[Total PoP ]]</f>
        <v>0</v>
      </c>
      <c r="BK37" s="210">
        <f>IF(WWWW[[#This Row],[Total required water points]]-WWWW[[#This Row],['#Water points coverage]]&lt;0,0,WWWW[[#This Row],[Total required water points]]-WWWW[[#This Row],['#Water points coverage]])</f>
        <v>0.79600000000000004</v>
      </c>
      <c r="BL37" s="210">
        <f>ROUND(IF(WWWW[[#This Row],[Total PoP ]]&lt;500,1,WWWW[[#This Row],[Total PoP ]]/500),0)</f>
        <v>1</v>
      </c>
      <c r="BM37" s="210">
        <f>WWWW[[#This Row],['# Existing functional latrines]]+WWWW[[#This Row],['# Existing latrines dysfunctional]]</f>
        <v>8</v>
      </c>
      <c r="BN3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7" s="352">
        <f>WWWW[[#This Row],[% people access to functioning Latrine]]*WWWW[[#This Row],[Total PoP ]]</f>
        <v>102</v>
      </c>
      <c r="BP3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7" s="209">
        <f>IF(WWWW[[#This Row],[Total required Latrines]]-WWWW[[#This Row],[Total '# of latrine]]&lt;0,0,WWWW[[#This Row],[Total required Latrines]]-WWWW[[#This Row],[Total '# of latrine]])</f>
        <v>0</v>
      </c>
      <c r="BR37" s="210">
        <f>ROUND(IF(WWWW[[#This Row],[Location Type 1]]="camp",WWWW[[#This Row],[Total PoP ]]/20,WWWW[[#This Row],[Total PoP ]]/6),0)</f>
        <v>5</v>
      </c>
      <c r="BS37" s="212">
        <f>IF(OR(WWWW[[#This Row],['# Existing latrines dysfunctional]]="",WWWW[[#This Row],['# Existing latrines dysfunctional]]=0),0,WWWW[[#This Row],['# Existing latrines dysfunctional]]/WWWW[[#This Row],[Total '# of latrine]])</f>
        <v>0</v>
      </c>
      <c r="BT3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7" s="209">
        <f>IF(500*WWWW[[#This Row],['# Hygiene Promoters ]]&gt;WWWW[[#This Row],[Total PoP ]],WWWW[[#This Row],[Total PoP ]],500*WWWW[[#This Row],['# Hygiene Promoters ]])</f>
        <v>0</v>
      </c>
      <c r="BV37" s="209">
        <f>IF(WWWW[[#This Row],[% of HH with access to Sanitary Pad]]&gt;=100%,1,0)</f>
        <v>0</v>
      </c>
      <c r="BW37" s="209">
        <f>IF(WWWW[[#This Row],[Total PoP ]]=0,0,IF(WWWW[[#This Row],['# Hygiene Promoters ]]=0,0,IF(WWWW[[#This Row],[Location Type 1]]="Village",IF(WWWW[[#This Row],[Total PoP ]]/WWWW[[#This Row],['# Hygiene Promoters ]]&lt;1000,1,0),IF(WWWW[[#This Row],[Total PoP ]]/WWWW[[#This Row],['# Hygiene Promoters ]]&lt;600,1,0))))</f>
        <v>0</v>
      </c>
      <c r="BX37" s="209">
        <f>IF(WWWW[[#This Row],[%HH with access to soap]]&gt;=100%,1,0)</f>
        <v>0</v>
      </c>
      <c r="BY37" s="209">
        <f>IF(WWWW[[#This Row],[% of HHs with access to Sanitary pad more than '#%]]+WWWW[[#This Row],[Ratio of Hyiene promoters to people less than '#]]+WWWW[[#This Row],[% of HHs with access to soap more than '#%]]&gt;=2,WWWW[[#This Row],[Total PoP ]],0)</f>
        <v>0</v>
      </c>
      <c r="BZ37" s="208">
        <f>WWWW[[#This Row],[People adopt basic personal and community hygiene practices]]/WWWW[[#This Row],[Total PoP ]]</f>
        <v>0</v>
      </c>
      <c r="CA37" s="212">
        <f>1-WWWW[[#This Row],[Hygiene Coverage%]]</f>
        <v>1</v>
      </c>
      <c r="CB37" s="211">
        <f>WWWW[[#This Row],['# people reached by regular dedicated hygiene promotion_5]]/WWWW[[#This Row],[Total PoP ]]</f>
        <v>0</v>
      </c>
      <c r="CC37" s="211">
        <f>IF(WWWW[[#This Row],['# HH received soaps]]/WWWW[[#This Row],[Total HH]]&gt;1,1,WWWW[[#This Row],['# HH received soaps]]/WWWW[[#This Row],[Total HH]])</f>
        <v>0</v>
      </c>
      <c r="CD37" s="211">
        <f>IF(WWWW[[#This Row],['# HH received Sanitary Pads]]/WWWW[[#This Row],[Total HH]]&gt;1,1,WWWW[[#This Row],['# HH received Sanitary Pads]]/WWWW[[#This Row],[Total HH]])</f>
        <v>0</v>
      </c>
      <c r="CE37" s="210">
        <f>WWWW[[#This Row],['# HH received soaps]]*5</f>
        <v>0</v>
      </c>
      <c r="CF37" s="210">
        <f>WWWW[[#This Row],['# HH received Sanitary Pads]]*5</f>
        <v>0</v>
      </c>
      <c r="CG37" s="210">
        <f>IF(WWWW[[#This Row],['# People with access to soap]]&gt;WWWW[[#This Row],['# People with access to Sanity Pads]],WWWW[[#This Row],['# People with access to soap]],WWWW[[#This Row],['# People with access to Sanity Pads]])</f>
        <v>0</v>
      </c>
      <c r="CH37" s="209">
        <f>WWWW[[#This Row],[Total HH]]*WWWW[[#This Row],[%HHs with access to functional hand washing stations]]</f>
        <v>9.5</v>
      </c>
      <c r="CI37" s="699" t="str">
        <f>VLOOKUP(WWWW[[#This Row],[Site Name]],SiteDB6[[Site Name]:[CCCM Management]],6,FALSE)</f>
        <v>Yes</v>
      </c>
      <c r="CJ37" s="699" t="str">
        <f>VLOOKUP(WWWW[[#This Row],[Site Name]],SiteDB6[[Site Name]:[CCCM Focal Agency]],7,FALSE)</f>
        <v>Shalom</v>
      </c>
      <c r="CK37" s="699" t="str">
        <f>VLOOKUP(WWWW[[#This Row],[Site Name]],SiteDB6[[Site Name]:[Location Type]],8,FALSE)</f>
        <v>Camp</v>
      </c>
      <c r="CL37" s="699" t="str">
        <f>VLOOKUP(WWWW[[#This Row],[Site Name]],SiteDB6[[Site Name]:[Location Type 1]],9,FALSE)</f>
        <v>Camp</v>
      </c>
      <c r="CM37" s="699" t="str">
        <f>VLOOKUP(WWWW[[#This Row],[Site Name]],SiteDB6[[Site Name]:[Type of Accommodation]],10,FALSE)</f>
        <v>Camp</v>
      </c>
      <c r="CN37" s="699" t="str">
        <f>VLOOKUP(WWWW[[#This Row],[Site Name]],SiteDB6[[Site Name]:[Ethnic or GCA/NGCA]],11,FALSE)</f>
        <v>GCA</v>
      </c>
      <c r="CO37" s="699">
        <f>VLOOKUP(WWWW[[#This Row],[Site Name]],SiteDB6[[Site Name]:[Lat]],12,FALSE)</f>
        <v>25.566510000000001</v>
      </c>
      <c r="CP37" s="699">
        <f>VLOOKUP(WWWW[[#This Row],[Site Name]],SiteDB6[[Site Name]:[Long]],13,FALSE)</f>
        <v>96.269199999999998</v>
      </c>
      <c r="CQ37" s="699" t="str">
        <f>VLOOKUP(WWWW[[#This Row],[Site Name]],SiteDB6[[Site Name]:[Pcode]],3,FALSE)</f>
        <v>MMR001CMP181</v>
      </c>
      <c r="CR37" s="660" t="str">
        <f t="shared" si="0"/>
        <v>Covered</v>
      </c>
      <c r="CS37" s="660"/>
      <c r="CT37" s="24"/>
      <c r="CU37" s="24"/>
      <c r="CV37" s="24"/>
    </row>
    <row r="38" spans="1:100" ht="15.75" customHeight="1" x14ac:dyDescent="0.25">
      <c r="A38" s="833" t="s">
        <v>3206</v>
      </c>
      <c r="B38" s="206" t="s">
        <v>389</v>
      </c>
      <c r="C38" s="206" t="s">
        <v>44</v>
      </c>
      <c r="D38" s="206" t="s">
        <v>294</v>
      </c>
      <c r="E38" s="206" t="s">
        <v>406</v>
      </c>
      <c r="F38" s="206">
        <v>12</v>
      </c>
      <c r="G38" s="209">
        <v>62</v>
      </c>
      <c r="H38" s="206"/>
      <c r="I38" s="206" t="s">
        <v>391</v>
      </c>
      <c r="J38" s="207">
        <v>42947</v>
      </c>
      <c r="K38" s="206">
        <v>0</v>
      </c>
      <c r="L38" s="206" t="s">
        <v>48</v>
      </c>
      <c r="M38" s="208">
        <v>0.56999999999999995</v>
      </c>
      <c r="N38" s="208">
        <v>1</v>
      </c>
      <c r="O38" s="316">
        <v>1</v>
      </c>
      <c r="P38" s="317">
        <v>0</v>
      </c>
      <c r="Q38" s="317">
        <v>0</v>
      </c>
      <c r="R38" s="318">
        <v>0</v>
      </c>
      <c r="S38" s="318">
        <v>1</v>
      </c>
      <c r="T38" s="318"/>
      <c r="U38" s="318">
        <v>1</v>
      </c>
      <c r="V38" s="318">
        <v>0</v>
      </c>
      <c r="W38" s="318">
        <v>2</v>
      </c>
      <c r="X38" s="318">
        <v>0</v>
      </c>
      <c r="Y38" s="318">
        <v>0</v>
      </c>
      <c r="Z38" s="318"/>
      <c r="AA38" s="310">
        <v>4</v>
      </c>
      <c r="AB38" s="310">
        <v>0</v>
      </c>
      <c r="AC38" s="66">
        <v>0</v>
      </c>
      <c r="AD38" s="66" t="s">
        <v>2789</v>
      </c>
      <c r="AE38" s="310">
        <v>4</v>
      </c>
      <c r="AF38" s="310" t="s">
        <v>283</v>
      </c>
      <c r="AG38" s="311" t="s">
        <v>1358</v>
      </c>
      <c r="AH38" s="311">
        <v>0</v>
      </c>
      <c r="AI38" s="310">
        <v>0</v>
      </c>
      <c r="AJ38" s="310"/>
      <c r="AK38" s="841">
        <v>0.6</v>
      </c>
      <c r="AL38" s="842" t="s">
        <v>376</v>
      </c>
      <c r="AM38" s="842">
        <v>0</v>
      </c>
      <c r="AN38" s="863">
        <v>2</v>
      </c>
      <c r="AO38" s="863">
        <v>0</v>
      </c>
      <c r="AP38" s="838">
        <v>0</v>
      </c>
      <c r="AQ38" s="843">
        <v>0</v>
      </c>
      <c r="AR38" s="843"/>
      <c r="AS38" s="843"/>
      <c r="AT38" s="843">
        <v>1</v>
      </c>
      <c r="AU38" s="843"/>
      <c r="AV38" s="844"/>
      <c r="AW38" s="208">
        <f>IFERROR(WWWW[[#This Row],['# of Water passed at source]]/WWWW[[#This Row],['# of Water tested at source]],"no test")</f>
        <v>0</v>
      </c>
      <c r="AX38" s="211">
        <f>IFERROR(WWWW[[#This Row],['# of Water passed at HH]]/WWWW[[#This Row],['# of Water tested at HH]],"no test")</f>
        <v>0</v>
      </c>
      <c r="AY38" s="210" t="str">
        <f>IF(AND(WWWW[[#This Row],[%of Water samples which passed at water source]]="no test",WWWW[[#This Row],[%Water samples which passed at HH]]="no test"),"No Test","Tested")</f>
        <v>Tested</v>
      </c>
      <c r="AZ3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8" s="211">
        <f>IF(WWWW[[#This Row],[Location Type 1]]="Village",WWWW[[#This Row],[Access to safe drinking water for Village]],WWWW[[#This Row],[Access to safe drinking water for Camp]])</f>
        <v>1</v>
      </c>
      <c r="BC38" s="209">
        <f>WWWW[[#This Row],[%Equitable and continuous access to sufficient quantity of safe drinking water]]*WWWW[[#This Row],[Total PoP ]]</f>
        <v>62</v>
      </c>
      <c r="BD38" s="211">
        <f>IF((WWWW[[#This Row],['# Existing protected/fenced ponds ]]*250)/WWWW[[#This Row],[Total PoP ]]&gt;1,1,WWWW[[#This Row],['# Existing protected/fenced ponds ]]*250/WWWW[[#This Row],[Total PoP ]])</f>
        <v>0</v>
      </c>
      <c r="BE38" s="209">
        <f>WWWW[[#This Row],[Access to unimproved water points]]*WWWW[[#This Row],[Total PoP ]]</f>
        <v>0</v>
      </c>
      <c r="BF3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62</v>
      </c>
      <c r="BH38" s="209">
        <f>WWWW[[#This Row],['#people Equitable and continuous access to sufficient quantity of domestic water borehole n ponds_2]]/500</f>
        <v>0.124</v>
      </c>
      <c r="BI38" s="208">
        <f>1-WWWW[[#This Row],[%Equitable and continuous access to sufficient quantity of domestic water borehole n ponds]]</f>
        <v>0</v>
      </c>
      <c r="BJ38" s="209">
        <f>WWWW[[#This Row],[%equitable and continuous access to sufficient quantity of safe drinking and domestic water''s GAP]]*WWWW[[#This Row],[Total PoP ]]</f>
        <v>0</v>
      </c>
      <c r="BK38" s="210">
        <f>IF(WWWW[[#This Row],[Total required water points]]-WWWW[[#This Row],['#Water points coverage]]&lt;0,0,WWWW[[#This Row],[Total required water points]]-WWWW[[#This Row],['#Water points coverage]])</f>
        <v>0.876</v>
      </c>
      <c r="BL38" s="210">
        <f>ROUND(IF(WWWW[[#This Row],[Total PoP ]]&lt;500,1,WWWW[[#This Row],[Total PoP ]]/500),0)</f>
        <v>1</v>
      </c>
      <c r="BM38" s="210">
        <f>WWWW[[#This Row],['# Existing functional latrines]]+WWWW[[#This Row],['# Existing latrines dysfunctional]]</f>
        <v>4</v>
      </c>
      <c r="BN3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8" s="352">
        <f>WWWW[[#This Row],[% people access to functioning Latrine]]*WWWW[[#This Row],[Total PoP ]]</f>
        <v>62</v>
      </c>
      <c r="BP3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8" s="209">
        <f>IF(WWWW[[#This Row],[Total required Latrines]]-WWWW[[#This Row],[Total '# of latrine]]&lt;0,0,WWWW[[#This Row],[Total required Latrines]]-WWWW[[#This Row],[Total '# of latrine]])</f>
        <v>0</v>
      </c>
      <c r="BR38" s="210">
        <f>ROUND(IF(WWWW[[#This Row],[Location Type 1]]="camp",WWWW[[#This Row],[Total PoP ]]/20,WWWW[[#This Row],[Total PoP ]]/6),0)</f>
        <v>3</v>
      </c>
      <c r="BS38" s="212">
        <f>IF(OR(WWWW[[#This Row],['# Existing latrines dysfunctional]]="",WWWW[[#This Row],['# Existing latrines dysfunctional]]=0),0,WWWW[[#This Row],['# Existing latrines dysfunctional]]/WWWW[[#This Row],[Total '# of latrine]])</f>
        <v>0</v>
      </c>
      <c r="BT3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8" s="209">
        <f>IF(500*WWWW[[#This Row],['# Hygiene Promoters ]]&gt;WWWW[[#This Row],[Total PoP ]],WWWW[[#This Row],[Total PoP ]],500*WWWW[[#This Row],['# Hygiene Promoters ]])</f>
        <v>0</v>
      </c>
      <c r="BV38" s="209">
        <f>IF(WWWW[[#This Row],[% of HH with access to Sanitary Pad]]&gt;=100%,1,0)</f>
        <v>0</v>
      </c>
      <c r="BW38" s="209">
        <f>IF(WWWW[[#This Row],[Total PoP ]]=0,0,IF(WWWW[[#This Row],['# Hygiene Promoters ]]=0,0,IF(WWWW[[#This Row],[Location Type 1]]="Village",IF(WWWW[[#This Row],[Total PoP ]]/WWWW[[#This Row],['# Hygiene Promoters ]]&lt;1000,1,0),IF(WWWW[[#This Row],[Total PoP ]]/WWWW[[#This Row],['# Hygiene Promoters ]]&lt;600,1,0))))</f>
        <v>0</v>
      </c>
      <c r="BX38" s="209">
        <f>IF(WWWW[[#This Row],[%HH with access to soap]]&gt;=100%,1,0)</f>
        <v>0</v>
      </c>
      <c r="BY38" s="209">
        <f>IF(WWWW[[#This Row],[% of HHs with access to Sanitary pad more than '#%]]+WWWW[[#This Row],[Ratio of Hyiene promoters to people less than '#]]+WWWW[[#This Row],[% of HHs with access to soap more than '#%]]&gt;=2,WWWW[[#This Row],[Total PoP ]],0)</f>
        <v>0</v>
      </c>
      <c r="BZ38" s="208">
        <f>WWWW[[#This Row],[People adopt basic personal and community hygiene practices]]/WWWW[[#This Row],[Total PoP ]]</f>
        <v>0</v>
      </c>
      <c r="CA38" s="212">
        <f>1-WWWW[[#This Row],[Hygiene Coverage%]]</f>
        <v>1</v>
      </c>
      <c r="CB38" s="211">
        <f>WWWW[[#This Row],['# people reached by regular dedicated hygiene promotion_5]]/WWWW[[#This Row],[Total PoP ]]</f>
        <v>0</v>
      </c>
      <c r="CC38" s="211">
        <f>IF(WWWW[[#This Row],['# HH received soaps]]/WWWW[[#This Row],[Total HH]]&gt;1,1,WWWW[[#This Row],['# HH received soaps]]/WWWW[[#This Row],[Total HH]])</f>
        <v>0</v>
      </c>
      <c r="CD38" s="211">
        <f>IF(WWWW[[#This Row],['# HH received Sanitary Pads]]/WWWW[[#This Row],[Total HH]]&gt;1,1,WWWW[[#This Row],['# HH received Sanitary Pads]]/WWWW[[#This Row],[Total HH]])</f>
        <v>0</v>
      </c>
      <c r="CE38" s="210">
        <f>WWWW[[#This Row],['# HH received soaps]]*5</f>
        <v>0</v>
      </c>
      <c r="CF38" s="210">
        <f>WWWW[[#This Row],['# HH received Sanitary Pads]]*5</f>
        <v>0</v>
      </c>
      <c r="CG38" s="210">
        <f>IF(WWWW[[#This Row],['# People with access to soap]]&gt;WWWW[[#This Row],['# People with access to Sanity Pads]],WWWW[[#This Row],['# People with access to soap]],WWWW[[#This Row],['# People with access to Sanity Pads]])</f>
        <v>0</v>
      </c>
      <c r="CH38" s="209">
        <f>WWWW[[#This Row],[Total HH]]*WWWW[[#This Row],[%HHs with access to functional hand washing stations]]</f>
        <v>7.1999999999999993</v>
      </c>
      <c r="CI38" s="699" t="str">
        <f>VLOOKUP(WWWW[[#This Row],[Site Name]],SiteDB6[[Site Name]:[CCCM Management]],6,FALSE)</f>
        <v>Yes</v>
      </c>
      <c r="CJ38" s="699" t="str">
        <f>VLOOKUP(WWWW[[#This Row],[Site Name]],SiteDB6[[Site Name]:[CCCM Focal Agency]],7,FALSE)</f>
        <v>Shalom</v>
      </c>
      <c r="CK38" s="699" t="str">
        <f>VLOOKUP(WWWW[[#This Row],[Site Name]],SiteDB6[[Site Name]:[Location Type]],8,FALSE)</f>
        <v>Camp</v>
      </c>
      <c r="CL38" s="699" t="str">
        <f>VLOOKUP(WWWW[[#This Row],[Site Name]],SiteDB6[[Site Name]:[Location Type 1]],9,FALSE)</f>
        <v>Camp</v>
      </c>
      <c r="CM38" s="699" t="str">
        <f>VLOOKUP(WWWW[[#This Row],[Site Name]],SiteDB6[[Site Name]:[Type of Accommodation]],10,FALSE)</f>
        <v>Camp</v>
      </c>
      <c r="CN38" s="699" t="str">
        <f>VLOOKUP(WWWW[[#This Row],[Site Name]],SiteDB6[[Site Name]:[Ethnic or GCA/NGCA]],11,FALSE)</f>
        <v>GCA</v>
      </c>
      <c r="CO38" s="699">
        <f>VLOOKUP(WWWW[[#This Row],[Site Name]],SiteDB6[[Site Name]:[Lat]],12,FALSE)</f>
        <v>25.61842</v>
      </c>
      <c r="CP38" s="699">
        <f>VLOOKUP(WWWW[[#This Row],[Site Name]],SiteDB6[[Site Name]:[Long]],13,FALSE)</f>
        <v>96.316400000000002</v>
      </c>
      <c r="CQ38" s="699" t="str">
        <f>VLOOKUP(WWWW[[#This Row],[Site Name]],SiteDB6[[Site Name]:[Pcode]],3,FALSE)</f>
        <v>MMR001CMP167</v>
      </c>
      <c r="CR38" s="660" t="str">
        <f t="shared" si="0"/>
        <v>Covered</v>
      </c>
      <c r="CS38" s="660"/>
      <c r="CT38" s="24"/>
      <c r="CU38" s="24"/>
      <c r="CV38" s="24"/>
    </row>
    <row r="39" spans="1:100" ht="15.75" customHeight="1" x14ac:dyDescent="0.25">
      <c r="A39" s="833" t="s">
        <v>3206</v>
      </c>
      <c r="B39" s="206" t="s">
        <v>43</v>
      </c>
      <c r="C39" s="206" t="s">
        <v>44</v>
      </c>
      <c r="D39" s="206" t="s">
        <v>294</v>
      </c>
      <c r="E39" s="206" t="s">
        <v>2794</v>
      </c>
      <c r="F39" s="206">
        <v>63</v>
      </c>
      <c r="G39" s="209">
        <v>321</v>
      </c>
      <c r="H39" s="206"/>
      <c r="I39" s="206" t="s">
        <v>372</v>
      </c>
      <c r="J39" s="207">
        <v>43465</v>
      </c>
      <c r="K39" s="206">
        <v>0</v>
      </c>
      <c r="L39" s="206" t="s">
        <v>48</v>
      </c>
      <c r="M39" s="208">
        <v>0.7</v>
      </c>
      <c r="N39" s="208">
        <v>0.7</v>
      </c>
      <c r="O39" s="316">
        <v>2</v>
      </c>
      <c r="P39" s="317">
        <v>1</v>
      </c>
      <c r="Q39" s="317">
        <v>10000</v>
      </c>
      <c r="R39" s="318"/>
      <c r="S39" s="318"/>
      <c r="T39" s="318"/>
      <c r="U39" s="318">
        <v>0</v>
      </c>
      <c r="V39" s="318">
        <v>0</v>
      </c>
      <c r="W39" s="318">
        <v>0</v>
      </c>
      <c r="X39" s="318">
        <v>0</v>
      </c>
      <c r="Y39" s="318">
        <v>0</v>
      </c>
      <c r="Z39" s="318"/>
      <c r="AA39" s="310">
        <v>9</v>
      </c>
      <c r="AB39" s="310">
        <v>0</v>
      </c>
      <c r="AC39" s="66">
        <v>0</v>
      </c>
      <c r="AD39" s="66" t="s">
        <v>2789</v>
      </c>
      <c r="AE39" s="310">
        <v>0</v>
      </c>
      <c r="AF39" s="310" t="s">
        <v>283</v>
      </c>
      <c r="AG39" s="311" t="s">
        <v>283</v>
      </c>
      <c r="AH39" s="311"/>
      <c r="AI39" s="310"/>
      <c r="AJ39" s="310"/>
      <c r="AK39" s="841"/>
      <c r="AL39" s="842" t="s">
        <v>376</v>
      </c>
      <c r="AM39" s="842"/>
      <c r="AN39" s="863">
        <v>3</v>
      </c>
      <c r="AO39" s="863">
        <v>2</v>
      </c>
      <c r="AP39" s="838">
        <v>0</v>
      </c>
      <c r="AQ39" s="843">
        <v>0</v>
      </c>
      <c r="AR39" s="843"/>
      <c r="AS39" s="843"/>
      <c r="AT39" s="843"/>
      <c r="AU39" s="843"/>
      <c r="AV39" s="844"/>
      <c r="AW39" s="208" t="str">
        <f>IFERROR(WWWW[[#This Row],['# of Water passed at source]]/WWWW[[#This Row],['# of Water tested at source]],"no test")</f>
        <v>no test</v>
      </c>
      <c r="AX39" s="211" t="str">
        <f>IFERROR(WWWW[[#This Row],['# of Water passed at HH]]/WWWW[[#This Row],['# of Water tested at HH]],"no test")</f>
        <v>no test</v>
      </c>
      <c r="AY39" s="210" t="str">
        <f>IF(AND(WWWW[[#This Row],[%of Water samples which passed at water source]]="no test",WWWW[[#This Row],[%Water samples which passed at HH]]="no test"),"No Test","Tested")</f>
        <v>No Test</v>
      </c>
      <c r="AZ3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9" s="211">
        <f>IF(WWWW[[#This Row],[Location Type 1]]="Village",WWWW[[#This Row],[Access to safe drinking water for Village]],WWWW[[#This Row],[Access to safe drinking water for Camp]])</f>
        <v>1</v>
      </c>
      <c r="BC39" s="209">
        <f>WWWW[[#This Row],[%Equitable and continuous access to sufficient quantity of safe drinking water]]*WWWW[[#This Row],[Total PoP ]]</f>
        <v>321</v>
      </c>
      <c r="BD39" s="211">
        <f>IF((WWWW[[#This Row],['# Existing protected/fenced ponds ]]*250)/WWWW[[#This Row],[Total PoP ]]&gt;1,1,WWWW[[#This Row],['# Existing protected/fenced ponds ]]*250/WWWW[[#This Row],[Total PoP ]])</f>
        <v>0</v>
      </c>
      <c r="BE39" s="209">
        <f>WWWW[[#This Row],[Access to unimproved water points]]*WWWW[[#This Row],[Total PoP ]]</f>
        <v>0</v>
      </c>
      <c r="BF3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321</v>
      </c>
      <c r="BH39" s="209">
        <f>WWWW[[#This Row],['#people Equitable and continuous access to sufficient quantity of domestic water borehole n ponds_2]]/500</f>
        <v>0.64200000000000002</v>
      </c>
      <c r="BI39" s="208">
        <f>1-WWWW[[#This Row],[%Equitable and continuous access to sufficient quantity of domestic water borehole n ponds]]</f>
        <v>0</v>
      </c>
      <c r="BJ39" s="209">
        <f>WWWW[[#This Row],[%equitable and continuous access to sufficient quantity of safe drinking and domestic water''s GAP]]*WWWW[[#This Row],[Total PoP ]]</f>
        <v>0</v>
      </c>
      <c r="BK39" s="210">
        <f>IF(WWWW[[#This Row],[Total required water points]]-WWWW[[#This Row],['#Water points coverage]]&lt;0,0,WWWW[[#This Row],[Total required water points]]-WWWW[[#This Row],['#Water points coverage]])</f>
        <v>0.35799999999999998</v>
      </c>
      <c r="BL39" s="210">
        <f>ROUND(IF(WWWW[[#This Row],[Total PoP ]]&lt;500,1,WWWW[[#This Row],[Total PoP ]]/500),0)</f>
        <v>1</v>
      </c>
      <c r="BM39" s="210">
        <f>WWWW[[#This Row],['# Existing functional latrines]]+WWWW[[#This Row],['# Existing latrines dysfunctional]]</f>
        <v>9</v>
      </c>
      <c r="BN3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0.56074766355140182</v>
      </c>
      <c r="BO39" s="352">
        <f>WWWW[[#This Row],[% people access to functioning Latrine]]*WWWW[[#This Row],[Total PoP ]]</f>
        <v>179.99999999999997</v>
      </c>
      <c r="BP3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0.43613707165109034</v>
      </c>
      <c r="BQ39" s="209">
        <f>IF(WWWW[[#This Row],[Total required Latrines]]-WWWW[[#This Row],[Total '# of latrine]]&lt;0,0,WWWW[[#This Row],[Total required Latrines]]-WWWW[[#This Row],[Total '# of latrine]])</f>
        <v>7</v>
      </c>
      <c r="BR39" s="210">
        <f>ROUND(IF(WWWW[[#This Row],[Location Type 1]]="camp",WWWW[[#This Row],[Total PoP ]]/20,WWWW[[#This Row],[Total PoP ]]/6),0)</f>
        <v>16</v>
      </c>
      <c r="BS39" s="212">
        <f>IF(OR(WWWW[[#This Row],['# Existing latrines dysfunctional]]="",WWWW[[#This Row],['# Existing latrines dysfunctional]]=0),0,WWWW[[#This Row],['# Existing latrines dysfunctional]]/WWWW[[#This Row],[Total '# of latrine]])</f>
        <v>0</v>
      </c>
      <c r="BT3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9" s="209">
        <f>IF(500*WWWW[[#This Row],['# Hygiene Promoters ]]&gt;WWWW[[#This Row],[Total PoP ]],WWWW[[#This Row],[Total PoP ]],500*WWWW[[#This Row],['# Hygiene Promoters ]])</f>
        <v>321</v>
      </c>
      <c r="BV39" s="209">
        <f>IF(WWWW[[#This Row],[% of HH with access to Sanitary Pad]]&gt;=100%,1,0)</f>
        <v>0</v>
      </c>
      <c r="BW39" s="209">
        <f>IF(WWWW[[#This Row],[Total PoP ]]=0,0,IF(WWWW[[#This Row],['# Hygiene Promoters ]]=0,0,IF(WWWW[[#This Row],[Location Type 1]]="Village",IF(WWWW[[#This Row],[Total PoP ]]/WWWW[[#This Row],['# Hygiene Promoters ]]&lt;1000,1,0),IF(WWWW[[#This Row],[Total PoP ]]/WWWW[[#This Row],['# Hygiene Promoters ]]&lt;600,1,0))))</f>
        <v>1</v>
      </c>
      <c r="BX39" s="209">
        <f>IF(WWWW[[#This Row],[%HH with access to soap]]&gt;=100%,1,0)</f>
        <v>0</v>
      </c>
      <c r="BY39" s="209">
        <f>IF(WWWW[[#This Row],[% of HHs with access to Sanitary pad more than '#%]]+WWWW[[#This Row],[Ratio of Hyiene promoters to people less than '#]]+WWWW[[#This Row],[% of HHs with access to soap more than '#%]]&gt;=2,WWWW[[#This Row],[Total PoP ]],0)</f>
        <v>0</v>
      </c>
      <c r="BZ39" s="208">
        <f>WWWW[[#This Row],[People adopt basic personal and community hygiene practices]]/WWWW[[#This Row],[Total PoP ]]</f>
        <v>0</v>
      </c>
      <c r="CA39" s="212">
        <f>1-WWWW[[#This Row],[Hygiene Coverage%]]</f>
        <v>1</v>
      </c>
      <c r="CB39" s="211">
        <f>WWWW[[#This Row],['# people reached by regular dedicated hygiene promotion_5]]/WWWW[[#This Row],[Total PoP ]]</f>
        <v>1</v>
      </c>
      <c r="CC39" s="211">
        <f>IF(WWWW[[#This Row],['# HH received soaps]]/WWWW[[#This Row],[Total HH]]&gt;1,1,WWWW[[#This Row],['# HH received soaps]]/WWWW[[#This Row],[Total HH]])</f>
        <v>0</v>
      </c>
      <c r="CD39" s="211">
        <f>IF(WWWW[[#This Row],['# HH received Sanitary Pads]]/WWWW[[#This Row],[Total HH]]&gt;1,1,WWWW[[#This Row],['# HH received Sanitary Pads]]/WWWW[[#This Row],[Total HH]])</f>
        <v>0</v>
      </c>
      <c r="CE39" s="210">
        <f>WWWW[[#This Row],['# HH received soaps]]*5</f>
        <v>0</v>
      </c>
      <c r="CF39" s="210">
        <f>WWWW[[#This Row],['# HH received Sanitary Pads]]*5</f>
        <v>0</v>
      </c>
      <c r="CG39" s="210">
        <f>IF(WWWW[[#This Row],['# People with access to soap]]&gt;WWWW[[#This Row],['# People with access to Sanity Pads]],WWWW[[#This Row],['# People with access to soap]],WWWW[[#This Row],['# People with access to Sanity Pads]])</f>
        <v>0</v>
      </c>
      <c r="CH39" s="209">
        <f>WWWW[[#This Row],[Total HH]]*WWWW[[#This Row],[%HHs with access to functional hand washing stations]]</f>
        <v>0</v>
      </c>
      <c r="CI39" s="699">
        <f>VLOOKUP(WWWW[[#This Row],[Site Name]],SiteDB6[[Site Name]:[CCCM Management]],6,FALSE)</f>
        <v>0</v>
      </c>
      <c r="CJ39" s="699">
        <f>VLOOKUP(WWWW[[#This Row],[Site Name]],SiteDB6[[Site Name]:[CCCM Focal Agency]],7,FALSE)</f>
        <v>0</v>
      </c>
      <c r="CK39" s="699" t="str">
        <f>VLOOKUP(WWWW[[#This Row],[Site Name]],SiteDB6[[Site Name]:[Location Type]],8,FALSE)</f>
        <v>Camp_not registered</v>
      </c>
      <c r="CL39" s="699" t="str">
        <f>VLOOKUP(WWWW[[#This Row],[Site Name]],SiteDB6[[Site Name]:[Location Type 1]],9,FALSE)</f>
        <v>Camp</v>
      </c>
      <c r="CM39" s="699" t="str">
        <f>VLOOKUP(WWWW[[#This Row],[Site Name]],SiteDB6[[Site Name]:[Type of Accommodation]],10,FALSE)</f>
        <v>Camp like setting</v>
      </c>
      <c r="CN39" s="699" t="s">
        <v>51</v>
      </c>
      <c r="CO39" s="699">
        <f>VLOOKUP(WWWW[[#This Row],[Site Name]],SiteDB6[[Site Name]:[Lat]],12,FALSE)</f>
        <v>0</v>
      </c>
      <c r="CP39" s="699">
        <f>VLOOKUP(WWWW[[#This Row],[Site Name]],SiteDB6[[Site Name]:[Long]],13,FALSE)</f>
        <v>0</v>
      </c>
      <c r="CQ39" s="699">
        <f>VLOOKUP(WWWW[[#This Row],[Site Name]],SiteDB6[[Site Name]:[Pcode]],3,FALSE)</f>
        <v>0</v>
      </c>
      <c r="CR39" s="660" t="str">
        <f t="shared" si="0"/>
        <v>Covered</v>
      </c>
      <c r="CS39" s="660"/>
      <c r="CT39" s="24"/>
      <c r="CU39" s="24"/>
      <c r="CV39" s="24"/>
    </row>
    <row r="40" spans="1:100" ht="15.75" customHeight="1" x14ac:dyDescent="0.25">
      <c r="A40" s="833" t="s">
        <v>3206</v>
      </c>
      <c r="B40" s="206" t="s">
        <v>389</v>
      </c>
      <c r="C40" s="206" t="s">
        <v>44</v>
      </c>
      <c r="D40" s="206" t="s">
        <v>294</v>
      </c>
      <c r="E40" s="206" t="s">
        <v>407</v>
      </c>
      <c r="F40" s="206">
        <v>4</v>
      </c>
      <c r="G40" s="209">
        <v>15</v>
      </c>
      <c r="H40" s="206"/>
      <c r="I40" s="206" t="s">
        <v>391</v>
      </c>
      <c r="J40" s="207">
        <v>42947</v>
      </c>
      <c r="K40" s="206">
        <v>0</v>
      </c>
      <c r="L40" s="206" t="s">
        <v>48</v>
      </c>
      <c r="M40" s="208">
        <v>0.2</v>
      </c>
      <c r="N40" s="208">
        <v>0</v>
      </c>
      <c r="O40" s="316">
        <v>1</v>
      </c>
      <c r="P40" s="317">
        <v>1</v>
      </c>
      <c r="Q40" s="317">
        <v>0</v>
      </c>
      <c r="R40" s="318">
        <v>0</v>
      </c>
      <c r="S40" s="318">
        <v>1</v>
      </c>
      <c r="T40" s="318"/>
      <c r="U40" s="318">
        <v>0</v>
      </c>
      <c r="V40" s="318">
        <v>0</v>
      </c>
      <c r="W40" s="318">
        <v>0</v>
      </c>
      <c r="X40" s="318">
        <v>0</v>
      </c>
      <c r="Y40" s="318">
        <v>0</v>
      </c>
      <c r="Z40" s="318"/>
      <c r="AA40" s="310">
        <v>0</v>
      </c>
      <c r="AB40" s="310">
        <v>0</v>
      </c>
      <c r="AC40" s="66">
        <v>0</v>
      </c>
      <c r="AD40" s="66"/>
      <c r="AE40" s="310">
        <v>0</v>
      </c>
      <c r="AF40" s="310" t="s">
        <v>283</v>
      </c>
      <c r="AG40" s="311" t="s">
        <v>1358</v>
      </c>
      <c r="AH40" s="311">
        <v>0</v>
      </c>
      <c r="AI40" s="310">
        <v>0</v>
      </c>
      <c r="AJ40" s="310"/>
      <c r="AK40" s="841">
        <v>0.6</v>
      </c>
      <c r="AL40" s="842" t="s">
        <v>376</v>
      </c>
      <c r="AM40" s="842">
        <v>0</v>
      </c>
      <c r="AN40" s="863">
        <v>0</v>
      </c>
      <c r="AO40" s="863">
        <v>0</v>
      </c>
      <c r="AP40" s="838">
        <v>0</v>
      </c>
      <c r="AQ40" s="843">
        <v>0</v>
      </c>
      <c r="AR40" s="843"/>
      <c r="AS40" s="843"/>
      <c r="AT40" s="843"/>
      <c r="AU40" s="843"/>
      <c r="AV40" s="844"/>
      <c r="AW40" s="208" t="str">
        <f>IFERROR(WWWW[[#This Row],['# of Water passed at source]]/WWWW[[#This Row],['# of Water tested at source]],"no test")</f>
        <v>no test</v>
      </c>
      <c r="AX40" s="211" t="str">
        <f>IFERROR(WWWW[[#This Row],['# of Water passed at HH]]/WWWW[[#This Row],['# of Water tested at HH]],"no test")</f>
        <v>no test</v>
      </c>
      <c r="AY40" s="210" t="str">
        <f>IF(AND(WWWW[[#This Row],[%of Water samples which passed at water source]]="no test",WWWW[[#This Row],[%Water samples which passed at HH]]="no test"),"No Test","Tested")</f>
        <v>No Test</v>
      </c>
      <c r="AZ4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 s="211">
        <f>IF(WWWW[[#This Row],[Location Type 1]]="Village",WWWW[[#This Row],[Access to safe drinking water for Village]],WWWW[[#This Row],[Access to safe drinking water for Camp]])</f>
        <v>1</v>
      </c>
      <c r="BC40" s="209">
        <f>WWWW[[#This Row],[%Equitable and continuous access to sufficient quantity of safe drinking water]]*WWWW[[#This Row],[Total PoP ]]</f>
        <v>15</v>
      </c>
      <c r="BD40" s="211">
        <f>IF((WWWW[[#This Row],['# Existing protected/fenced ponds ]]*250)/WWWW[[#This Row],[Total PoP ]]&gt;1,1,WWWW[[#This Row],['# Existing protected/fenced ponds ]]*250/WWWW[[#This Row],[Total PoP ]])</f>
        <v>0</v>
      </c>
      <c r="BE40" s="209">
        <f>WWWW[[#This Row],[Access to unimproved water points]]*WWWW[[#This Row],[Total PoP ]]</f>
        <v>0</v>
      </c>
      <c r="BF4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v>
      </c>
      <c r="BH40" s="209">
        <f>WWWW[[#This Row],['#people Equitable and continuous access to sufficient quantity of domestic water borehole n ponds_2]]/500</f>
        <v>0.03</v>
      </c>
      <c r="BI40" s="208">
        <f>1-WWWW[[#This Row],[%Equitable and continuous access to sufficient quantity of domestic water borehole n ponds]]</f>
        <v>0</v>
      </c>
      <c r="BJ40" s="209">
        <f>WWWW[[#This Row],[%equitable and continuous access to sufficient quantity of safe drinking and domestic water''s GAP]]*WWWW[[#This Row],[Total PoP ]]</f>
        <v>0</v>
      </c>
      <c r="BK40" s="210">
        <f>IF(WWWW[[#This Row],[Total required water points]]-WWWW[[#This Row],['#Water points coverage]]&lt;0,0,WWWW[[#This Row],[Total required water points]]-WWWW[[#This Row],['#Water points coverage]])</f>
        <v>0.97</v>
      </c>
      <c r="BL40" s="210">
        <f>ROUND(IF(WWWW[[#This Row],[Total PoP ]]&lt;500,1,WWWW[[#This Row],[Total PoP ]]/500),0)</f>
        <v>1</v>
      </c>
      <c r="BM40" s="210">
        <f>WWWW[[#This Row],['# Existing functional latrines]]+WWWW[[#This Row],['# Existing latrines dysfunctional]]</f>
        <v>0</v>
      </c>
      <c r="BN4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40" s="352">
        <f>WWWW[[#This Row],[% people access to functioning Latrine]]*WWWW[[#This Row],[Total PoP ]]</f>
        <v>0</v>
      </c>
      <c r="BP4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40" s="209">
        <f>IF(WWWW[[#This Row],[Total required Latrines]]-WWWW[[#This Row],[Total '# of latrine]]&lt;0,0,WWWW[[#This Row],[Total required Latrines]]-WWWW[[#This Row],[Total '# of latrine]])</f>
        <v>1</v>
      </c>
      <c r="BR40" s="210">
        <f>ROUND(IF(WWWW[[#This Row],[Location Type 1]]="camp",WWWW[[#This Row],[Total PoP ]]/20,WWWW[[#This Row],[Total PoP ]]/6),0)</f>
        <v>1</v>
      </c>
      <c r="BS40" s="212">
        <f>IF(OR(WWWW[[#This Row],['# Existing latrines dysfunctional]]="",WWWW[[#This Row],['# Existing latrines dysfunctional]]=0),0,WWWW[[#This Row],['# Existing latrines dysfunctional]]/WWWW[[#This Row],[Total '# of latrine]])</f>
        <v>0</v>
      </c>
      <c r="BT4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 s="209">
        <f>IF(500*WWWW[[#This Row],['# Hygiene Promoters ]]&gt;WWWW[[#This Row],[Total PoP ]],WWWW[[#This Row],[Total PoP ]],500*WWWW[[#This Row],['# Hygiene Promoters ]])</f>
        <v>0</v>
      </c>
      <c r="BV40" s="209">
        <f>IF(WWWW[[#This Row],[% of HH with access to Sanitary Pad]]&gt;=100%,1,0)</f>
        <v>0</v>
      </c>
      <c r="BW40" s="209">
        <f>IF(WWWW[[#This Row],[Total PoP ]]=0,0,IF(WWWW[[#This Row],['# Hygiene Promoters ]]=0,0,IF(WWWW[[#This Row],[Location Type 1]]="Village",IF(WWWW[[#This Row],[Total PoP ]]/WWWW[[#This Row],['# Hygiene Promoters ]]&lt;1000,1,0),IF(WWWW[[#This Row],[Total PoP ]]/WWWW[[#This Row],['# Hygiene Promoters ]]&lt;600,1,0))))</f>
        <v>0</v>
      </c>
      <c r="BX40" s="209">
        <f>IF(WWWW[[#This Row],[%HH with access to soap]]&gt;=100%,1,0)</f>
        <v>0</v>
      </c>
      <c r="BY40" s="209">
        <f>IF(WWWW[[#This Row],[% of HHs with access to Sanitary pad more than '#%]]+WWWW[[#This Row],[Ratio of Hyiene promoters to people less than '#]]+WWWW[[#This Row],[% of HHs with access to soap more than '#%]]&gt;=2,WWWW[[#This Row],[Total PoP ]],0)</f>
        <v>0</v>
      </c>
      <c r="BZ40" s="208">
        <f>WWWW[[#This Row],[People adopt basic personal and community hygiene practices]]/WWWW[[#This Row],[Total PoP ]]</f>
        <v>0</v>
      </c>
      <c r="CA40" s="212">
        <f>1-WWWW[[#This Row],[Hygiene Coverage%]]</f>
        <v>1</v>
      </c>
      <c r="CB40" s="211">
        <f>WWWW[[#This Row],['# people reached by regular dedicated hygiene promotion_5]]/WWWW[[#This Row],[Total PoP ]]</f>
        <v>0</v>
      </c>
      <c r="CC40" s="211">
        <f>IF(WWWW[[#This Row],['# HH received soaps]]/WWWW[[#This Row],[Total HH]]&gt;1,1,WWWW[[#This Row],['# HH received soaps]]/WWWW[[#This Row],[Total HH]])</f>
        <v>0</v>
      </c>
      <c r="CD40" s="211">
        <f>IF(WWWW[[#This Row],['# HH received Sanitary Pads]]/WWWW[[#This Row],[Total HH]]&gt;1,1,WWWW[[#This Row],['# HH received Sanitary Pads]]/WWWW[[#This Row],[Total HH]])</f>
        <v>0</v>
      </c>
      <c r="CE40" s="210">
        <f>WWWW[[#This Row],['# HH received soaps]]*5</f>
        <v>0</v>
      </c>
      <c r="CF40" s="210">
        <f>WWWW[[#This Row],['# HH received Sanitary Pads]]*5</f>
        <v>0</v>
      </c>
      <c r="CG40" s="210">
        <f>IF(WWWW[[#This Row],['# People with access to soap]]&gt;WWWW[[#This Row],['# People with access to Sanity Pads]],WWWW[[#This Row],['# People with access to soap]],WWWW[[#This Row],['# People with access to Sanity Pads]])</f>
        <v>0</v>
      </c>
      <c r="CH40" s="209">
        <f>WWWW[[#This Row],[Total HH]]*WWWW[[#This Row],[%HHs with access to functional hand washing stations]]</f>
        <v>2.4</v>
      </c>
      <c r="CI40" s="699" t="str">
        <f>VLOOKUP(WWWW[[#This Row],[Site Name]],SiteDB6[[Site Name]:[CCCM Management]],6,FALSE)</f>
        <v>Yes</v>
      </c>
      <c r="CJ40" s="699" t="str">
        <f>VLOOKUP(WWWW[[#This Row],[Site Name]],SiteDB6[[Site Name]:[CCCM Focal Agency]],7,FALSE)</f>
        <v>uncovered</v>
      </c>
      <c r="CK40" s="699" t="str">
        <f>VLOOKUP(WWWW[[#This Row],[Site Name]],SiteDB6[[Site Name]:[Location Type]],8,FALSE)</f>
        <v>Camp</v>
      </c>
      <c r="CL40" s="699" t="str">
        <f>VLOOKUP(WWWW[[#This Row],[Site Name]],SiteDB6[[Site Name]:[Location Type 1]],9,FALSE)</f>
        <v>Camp</v>
      </c>
      <c r="CM40" s="699" t="str">
        <f>VLOOKUP(WWWW[[#This Row],[Site Name]],SiteDB6[[Site Name]:[Type of Accommodation]],10,FALSE)</f>
        <v>Camp like setting</v>
      </c>
      <c r="CN40" s="699" t="str">
        <f>VLOOKUP(WWWW[[#This Row],[Site Name]],SiteDB6[[Site Name]:[Ethnic or GCA/NGCA]],11,FALSE)</f>
        <v>GCA</v>
      </c>
      <c r="CO40" s="699">
        <f>VLOOKUP(WWWW[[#This Row],[Site Name]],SiteDB6[[Site Name]:[Lat]],12,FALSE)</f>
        <v>25.6145</v>
      </c>
      <c r="CP40" s="699">
        <f>VLOOKUP(WWWW[[#This Row],[Site Name]],SiteDB6[[Site Name]:[Long]],13,FALSE)</f>
        <v>96.319829999999996</v>
      </c>
      <c r="CQ40" s="699" t="str">
        <f>VLOOKUP(WWWW[[#This Row],[Site Name]],SiteDB6[[Site Name]:[Pcode]],3,FALSE)</f>
        <v>MMR001CMP091</v>
      </c>
      <c r="CR40" s="660" t="str">
        <f t="shared" si="0"/>
        <v>Covered</v>
      </c>
      <c r="CS40" s="660"/>
      <c r="CT40" s="24"/>
      <c r="CU40" s="24"/>
      <c r="CV40" s="24"/>
    </row>
    <row r="41" spans="1:100" ht="15.75" customHeight="1" x14ac:dyDescent="0.25">
      <c r="A41" s="833" t="s">
        <v>3206</v>
      </c>
      <c r="B41" s="206" t="s">
        <v>287</v>
      </c>
      <c r="C41" s="206" t="s">
        <v>44</v>
      </c>
      <c r="D41" s="206" t="s">
        <v>294</v>
      </c>
      <c r="E41" s="206" t="s">
        <v>336</v>
      </c>
      <c r="F41" s="206">
        <v>10</v>
      </c>
      <c r="G41" s="209">
        <v>18</v>
      </c>
      <c r="H41" s="206"/>
      <c r="I41" s="206" t="s">
        <v>296</v>
      </c>
      <c r="J41" s="207">
        <v>43465</v>
      </c>
      <c r="K41" s="206">
        <v>30</v>
      </c>
      <c r="L41" s="206" t="s">
        <v>286</v>
      </c>
      <c r="M41" s="208">
        <v>0</v>
      </c>
      <c r="N41" s="208">
        <v>0.5</v>
      </c>
      <c r="O41" s="316">
        <v>0</v>
      </c>
      <c r="P41" s="317">
        <v>0</v>
      </c>
      <c r="Q41" s="317">
        <v>0</v>
      </c>
      <c r="R41" s="318">
        <v>0</v>
      </c>
      <c r="S41" s="318">
        <v>0</v>
      </c>
      <c r="T41" s="318"/>
      <c r="U41" s="318">
        <v>0</v>
      </c>
      <c r="V41" s="318">
        <v>0</v>
      </c>
      <c r="W41" s="318">
        <v>0</v>
      </c>
      <c r="X41" s="318">
        <v>0</v>
      </c>
      <c r="Y41" s="318">
        <v>0</v>
      </c>
      <c r="Z41" s="318"/>
      <c r="AA41" s="310">
        <v>2</v>
      </c>
      <c r="AB41" s="310">
        <v>0</v>
      </c>
      <c r="AC41" s="66">
        <v>0</v>
      </c>
      <c r="AD41" s="66"/>
      <c r="AE41" s="310">
        <v>0</v>
      </c>
      <c r="AF41" s="310" t="s">
        <v>332</v>
      </c>
      <c r="AG41" s="311" t="s">
        <v>1358</v>
      </c>
      <c r="AH41" s="311"/>
      <c r="AI41" s="310"/>
      <c r="AJ41" s="310"/>
      <c r="AK41" s="841">
        <v>0.2</v>
      </c>
      <c r="AL41" s="842" t="s">
        <v>284</v>
      </c>
      <c r="AM41" s="842">
        <v>0</v>
      </c>
      <c r="AN41" s="863">
        <v>0</v>
      </c>
      <c r="AO41" s="863">
        <v>1</v>
      </c>
      <c r="AP41" s="838">
        <v>0</v>
      </c>
      <c r="AQ41" s="843">
        <v>0</v>
      </c>
      <c r="AR41" s="843"/>
      <c r="AS41" s="843"/>
      <c r="AT41" s="843"/>
      <c r="AU41" s="843"/>
      <c r="AV41" s="844"/>
      <c r="AW41" s="208" t="str">
        <f>IFERROR(WWWW[[#This Row],['# of Water passed at source]]/WWWW[[#This Row],['# of Water tested at source]],"no test")</f>
        <v>no test</v>
      </c>
      <c r="AX41" s="211" t="str">
        <f>IFERROR(WWWW[[#This Row],['# of Water passed at HH]]/WWWW[[#This Row],['# of Water tested at HH]],"no test")</f>
        <v>no test</v>
      </c>
      <c r="AY41" s="210" t="str">
        <f>IF(AND(WWWW[[#This Row],[%of Water samples which passed at water source]]="no test",WWWW[[#This Row],[%Water samples which passed at HH]]="no test"),"No Test","Tested")</f>
        <v>No Test</v>
      </c>
      <c r="AZ4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4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41" s="211">
        <f>IF(WWWW[[#This Row],[Location Type 1]]="Village",WWWW[[#This Row],[Access to safe drinking water for Village]],WWWW[[#This Row],[Access to safe drinking water for Camp]])</f>
        <v>0</v>
      </c>
      <c r="BC41" s="209">
        <f>WWWW[[#This Row],[%Equitable and continuous access to sufficient quantity of safe drinking water]]*WWWW[[#This Row],[Total PoP ]]</f>
        <v>0</v>
      </c>
      <c r="BD41" s="211">
        <f>IF((WWWW[[#This Row],['# Existing protected/fenced ponds ]]*250)/WWWW[[#This Row],[Total PoP ]]&gt;1,1,WWWW[[#This Row],['# Existing protected/fenced ponds ]]*250/WWWW[[#This Row],[Total PoP ]])</f>
        <v>0</v>
      </c>
      <c r="BE41" s="209">
        <f>WWWW[[#This Row],[Access to unimproved water points]]*WWWW[[#This Row],[Total PoP ]]</f>
        <v>0</v>
      </c>
      <c r="BF4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4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41" s="209">
        <f>WWWW[[#This Row],['#people Equitable and continuous access to sufficient quantity of domestic water borehole n ponds_2]]/500</f>
        <v>0</v>
      </c>
      <c r="BI41" s="208">
        <f>1-WWWW[[#This Row],[%Equitable and continuous access to sufficient quantity of domestic water borehole n ponds]]</f>
        <v>1</v>
      </c>
      <c r="BJ41" s="209">
        <f>WWWW[[#This Row],[%equitable and continuous access to sufficient quantity of safe drinking and domestic water''s GAP]]*WWWW[[#This Row],[Total PoP ]]</f>
        <v>18</v>
      </c>
      <c r="BK41" s="210">
        <f>IF(WWWW[[#This Row],[Total required water points]]-WWWW[[#This Row],['#Water points coverage]]&lt;0,0,WWWW[[#This Row],[Total required water points]]-WWWW[[#This Row],['#Water points coverage]])</f>
        <v>1</v>
      </c>
      <c r="BL41" s="210">
        <f>ROUND(IF(WWWW[[#This Row],[Total PoP ]]&lt;500,1,WWWW[[#This Row],[Total PoP ]]/500),0)</f>
        <v>1</v>
      </c>
      <c r="BM41" s="210">
        <f>WWWW[[#This Row],['# Existing functional latrines]]+WWWW[[#This Row],['# Existing latrines dysfunctional]]</f>
        <v>2</v>
      </c>
      <c r="BN4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1" s="352">
        <f>WWWW[[#This Row],[% people access to functioning Latrine]]*WWWW[[#This Row],[Total PoP ]]</f>
        <v>18</v>
      </c>
      <c r="BP4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1" s="209">
        <f>IF(WWWW[[#This Row],[Total required Latrines]]-WWWW[[#This Row],[Total '# of latrine]]&lt;0,0,WWWW[[#This Row],[Total required Latrines]]-WWWW[[#This Row],[Total '# of latrine]])</f>
        <v>0</v>
      </c>
      <c r="BR41" s="210">
        <f>ROUND(IF(WWWW[[#This Row],[Location Type 1]]="camp",WWWW[[#This Row],[Total PoP ]]/20,WWWW[[#This Row],[Total PoP ]]/6),0)</f>
        <v>1</v>
      </c>
      <c r="BS41" s="212">
        <f>IF(OR(WWWW[[#This Row],['# Existing latrines dysfunctional]]="",WWWW[[#This Row],['# Existing latrines dysfunctional]]=0),0,WWWW[[#This Row],['# Existing latrines dysfunctional]]/WWWW[[#This Row],[Total '# of latrine]])</f>
        <v>0</v>
      </c>
      <c r="BT4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1" s="209">
        <f>IF(500*WWWW[[#This Row],['# Hygiene Promoters ]]&gt;WWWW[[#This Row],[Total PoP ]],WWWW[[#This Row],[Total PoP ]],500*WWWW[[#This Row],['# Hygiene Promoters ]])</f>
        <v>18</v>
      </c>
      <c r="BV41" s="209">
        <f>IF(WWWW[[#This Row],[% of HH with access to Sanitary Pad]]&gt;=100%,1,0)</f>
        <v>0</v>
      </c>
      <c r="BW41" s="209">
        <f>IF(WWWW[[#This Row],[Total PoP ]]=0,0,IF(WWWW[[#This Row],['# Hygiene Promoters ]]=0,0,IF(WWWW[[#This Row],[Location Type 1]]="Village",IF(WWWW[[#This Row],[Total PoP ]]/WWWW[[#This Row],['# Hygiene Promoters ]]&lt;1000,1,0),IF(WWWW[[#This Row],[Total PoP ]]/WWWW[[#This Row],['# Hygiene Promoters ]]&lt;600,1,0))))</f>
        <v>1</v>
      </c>
      <c r="BX41" s="209">
        <f>IF(WWWW[[#This Row],[%HH with access to soap]]&gt;=100%,1,0)</f>
        <v>0</v>
      </c>
      <c r="BY41" s="209">
        <f>IF(WWWW[[#This Row],[% of HHs with access to Sanitary pad more than '#%]]+WWWW[[#This Row],[Ratio of Hyiene promoters to people less than '#]]+WWWW[[#This Row],[% of HHs with access to soap more than '#%]]&gt;=2,WWWW[[#This Row],[Total PoP ]],0)</f>
        <v>0</v>
      </c>
      <c r="BZ41" s="208">
        <f>WWWW[[#This Row],[People adopt basic personal and community hygiene practices]]/WWWW[[#This Row],[Total PoP ]]</f>
        <v>0</v>
      </c>
      <c r="CA41" s="212">
        <f>1-WWWW[[#This Row],[Hygiene Coverage%]]</f>
        <v>1</v>
      </c>
      <c r="CB41" s="211">
        <f>WWWW[[#This Row],['# people reached by regular dedicated hygiene promotion_5]]/WWWW[[#This Row],[Total PoP ]]</f>
        <v>1</v>
      </c>
      <c r="CC41" s="211">
        <f>IF(WWWW[[#This Row],['# HH received soaps]]/WWWW[[#This Row],[Total HH]]&gt;1,1,WWWW[[#This Row],['# HH received soaps]]/WWWW[[#This Row],[Total HH]])</f>
        <v>0</v>
      </c>
      <c r="CD41" s="211">
        <f>IF(WWWW[[#This Row],['# HH received Sanitary Pads]]/WWWW[[#This Row],[Total HH]]&gt;1,1,WWWW[[#This Row],['# HH received Sanitary Pads]]/WWWW[[#This Row],[Total HH]])</f>
        <v>0</v>
      </c>
      <c r="CE41" s="210">
        <f>WWWW[[#This Row],['# HH received soaps]]*5</f>
        <v>0</v>
      </c>
      <c r="CF41" s="210">
        <f>WWWW[[#This Row],['# HH received Sanitary Pads]]*5</f>
        <v>0</v>
      </c>
      <c r="CG41" s="210">
        <f>IF(WWWW[[#This Row],['# People with access to soap]]&gt;WWWW[[#This Row],['# People with access to Sanity Pads]],WWWW[[#This Row],['# People with access to soap]],WWWW[[#This Row],['# People with access to Sanity Pads]])</f>
        <v>0</v>
      </c>
      <c r="CH41" s="209">
        <f>WWWW[[#This Row],[Total HH]]*WWWW[[#This Row],[%HHs with access to functional hand washing stations]]</f>
        <v>2</v>
      </c>
      <c r="CI41" s="699" t="str">
        <f>VLOOKUP(WWWW[[#This Row],[Site Name]],SiteDB6[[Site Name]:[CCCM Management]],6,FALSE)</f>
        <v>Yes</v>
      </c>
      <c r="CJ41" s="699" t="str">
        <f>VLOOKUP(WWWW[[#This Row],[Site Name]],SiteDB6[[Site Name]:[CCCM Focal Agency]],7,FALSE)</f>
        <v>KMSS-MYT</v>
      </c>
      <c r="CK41" s="699" t="str">
        <f>VLOOKUP(WWWW[[#This Row],[Site Name]],SiteDB6[[Site Name]:[Location Type]],8,FALSE)</f>
        <v>Camp</v>
      </c>
      <c r="CL41" s="699" t="str">
        <f>VLOOKUP(WWWW[[#This Row],[Site Name]],SiteDB6[[Site Name]:[Location Type 1]],9,FALSE)</f>
        <v>Camp</v>
      </c>
      <c r="CM41" s="699" t="str">
        <f>VLOOKUP(WWWW[[#This Row],[Site Name]],SiteDB6[[Site Name]:[Type of Accommodation]],10,FALSE)</f>
        <v>Camp</v>
      </c>
      <c r="CN41" s="699" t="str">
        <f>VLOOKUP(WWWW[[#This Row],[Site Name]],SiteDB6[[Site Name]:[Ethnic or GCA/NGCA]],11,FALSE)</f>
        <v>GCA</v>
      </c>
      <c r="CO41" s="699">
        <f>VLOOKUP(WWWW[[#This Row],[Site Name]],SiteDB6[[Site Name]:[Lat]],12,FALSE)</f>
        <v>25.920006000000001</v>
      </c>
      <c r="CP41" s="699">
        <f>VLOOKUP(WWWW[[#This Row],[Site Name]],SiteDB6[[Site Name]:[Long]],13,FALSE)</f>
        <v>96.662092000000001</v>
      </c>
      <c r="CQ41" s="699" t="str">
        <f>VLOOKUP(WWWW[[#This Row],[Site Name]],SiteDB6[[Site Name]:[Pcode]],3,FALSE)</f>
        <v>MMR001CMP247</v>
      </c>
      <c r="CR41" s="660" t="str">
        <f t="shared" si="0"/>
        <v>Covered</v>
      </c>
      <c r="CS41" s="660"/>
      <c r="CT41" s="24"/>
      <c r="CU41" s="24"/>
      <c r="CV41" s="24"/>
    </row>
    <row r="42" spans="1:100" ht="15.75" customHeight="1" x14ac:dyDescent="0.25">
      <c r="A42" s="833" t="s">
        <v>3206</v>
      </c>
      <c r="B42" s="206" t="s">
        <v>389</v>
      </c>
      <c r="C42" s="206" t="s">
        <v>44</v>
      </c>
      <c r="D42" s="206" t="s">
        <v>294</v>
      </c>
      <c r="E42" s="206" t="s">
        <v>408</v>
      </c>
      <c r="F42" s="206">
        <v>11</v>
      </c>
      <c r="G42" s="209">
        <v>45</v>
      </c>
      <c r="H42" s="206"/>
      <c r="I42" s="206" t="s">
        <v>391</v>
      </c>
      <c r="J42" s="207">
        <v>42947</v>
      </c>
      <c r="K42" s="206">
        <v>0</v>
      </c>
      <c r="L42" s="206" t="s">
        <v>48</v>
      </c>
      <c r="M42" s="208">
        <v>0.6</v>
      </c>
      <c r="N42" s="208">
        <v>0</v>
      </c>
      <c r="O42" s="316">
        <v>0</v>
      </c>
      <c r="P42" s="317">
        <v>1</v>
      </c>
      <c r="Q42" s="317">
        <v>1000</v>
      </c>
      <c r="R42" s="318">
        <v>0</v>
      </c>
      <c r="S42" s="318">
        <v>1</v>
      </c>
      <c r="T42" s="318"/>
      <c r="U42" s="318">
        <v>1</v>
      </c>
      <c r="V42" s="318">
        <v>0</v>
      </c>
      <c r="W42" s="318">
        <v>2</v>
      </c>
      <c r="X42" s="318">
        <v>0</v>
      </c>
      <c r="Y42" s="318">
        <v>0</v>
      </c>
      <c r="Z42" s="318"/>
      <c r="AA42" s="310">
        <v>5</v>
      </c>
      <c r="AB42" s="310">
        <v>0</v>
      </c>
      <c r="AC42" s="66">
        <v>0</v>
      </c>
      <c r="AD42" s="66" t="s">
        <v>2782</v>
      </c>
      <c r="AE42" s="310">
        <v>5</v>
      </c>
      <c r="AF42" s="310" t="s">
        <v>283</v>
      </c>
      <c r="AG42" s="311" t="s">
        <v>1358</v>
      </c>
      <c r="AH42" s="311">
        <v>0</v>
      </c>
      <c r="AI42" s="310">
        <v>0</v>
      </c>
      <c r="AJ42" s="310"/>
      <c r="AK42" s="841">
        <v>0.6</v>
      </c>
      <c r="AL42" s="842" t="s">
        <v>376</v>
      </c>
      <c r="AM42" s="842">
        <v>0</v>
      </c>
      <c r="AN42" s="863">
        <v>2</v>
      </c>
      <c r="AO42" s="863">
        <v>0</v>
      </c>
      <c r="AP42" s="838">
        <v>0</v>
      </c>
      <c r="AQ42" s="843">
        <v>0</v>
      </c>
      <c r="AR42" s="843"/>
      <c r="AS42" s="843"/>
      <c r="AT42" s="843">
        <v>1</v>
      </c>
      <c r="AU42" s="843"/>
      <c r="AV42" s="844"/>
      <c r="AW42" s="208">
        <f>IFERROR(WWWW[[#This Row],['# of Water passed at source]]/WWWW[[#This Row],['# of Water tested at source]],"no test")</f>
        <v>0</v>
      </c>
      <c r="AX42" s="211">
        <f>IFERROR(WWWW[[#This Row],['# of Water passed at HH]]/WWWW[[#This Row],['# of Water tested at HH]],"no test")</f>
        <v>0</v>
      </c>
      <c r="AY42" s="210" t="str">
        <f>IF(AND(WWWW[[#This Row],[%of Water samples which passed at water source]]="no test",WWWW[[#This Row],[%Water samples which passed at HH]]="no test"),"No Test","Tested")</f>
        <v>Tested</v>
      </c>
      <c r="AZ4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2" s="211">
        <f>IF(WWWW[[#This Row],[Location Type 1]]="Village",WWWW[[#This Row],[Access to safe drinking water for Village]],WWWW[[#This Row],[Access to safe drinking water for Camp]])</f>
        <v>1</v>
      </c>
      <c r="BC42" s="209">
        <f>WWWW[[#This Row],[%Equitable and continuous access to sufficient quantity of safe drinking water]]*WWWW[[#This Row],[Total PoP ]]</f>
        <v>45</v>
      </c>
      <c r="BD42" s="211">
        <f>IF((WWWW[[#This Row],['# Existing protected/fenced ponds ]]*250)/WWWW[[#This Row],[Total PoP ]]&gt;1,1,WWWW[[#This Row],['# Existing protected/fenced ponds ]]*250/WWWW[[#This Row],[Total PoP ]])</f>
        <v>0</v>
      </c>
      <c r="BE42" s="209">
        <f>WWWW[[#This Row],[Access to unimproved water points]]*WWWW[[#This Row],[Total PoP ]]</f>
        <v>0</v>
      </c>
      <c r="BF4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v>
      </c>
      <c r="BH42" s="209">
        <f>WWWW[[#This Row],['#people Equitable and continuous access to sufficient quantity of domestic water borehole n ponds_2]]/500</f>
        <v>0.09</v>
      </c>
      <c r="BI42" s="208">
        <f>1-WWWW[[#This Row],[%Equitable and continuous access to sufficient quantity of domestic water borehole n ponds]]</f>
        <v>0</v>
      </c>
      <c r="BJ42" s="209">
        <f>WWWW[[#This Row],[%equitable and continuous access to sufficient quantity of safe drinking and domestic water''s GAP]]*WWWW[[#This Row],[Total PoP ]]</f>
        <v>0</v>
      </c>
      <c r="BK42" s="210">
        <f>IF(WWWW[[#This Row],[Total required water points]]-WWWW[[#This Row],['#Water points coverage]]&lt;0,0,WWWW[[#This Row],[Total required water points]]-WWWW[[#This Row],['#Water points coverage]])</f>
        <v>0.91</v>
      </c>
      <c r="BL42" s="210">
        <f>ROUND(IF(WWWW[[#This Row],[Total PoP ]]&lt;500,1,WWWW[[#This Row],[Total PoP ]]/500),0)</f>
        <v>1</v>
      </c>
      <c r="BM42" s="210">
        <f>WWWW[[#This Row],['# Existing functional latrines]]+WWWW[[#This Row],['# Existing latrines dysfunctional]]</f>
        <v>5</v>
      </c>
      <c r="BN4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2" s="352">
        <f>WWWW[[#This Row],[% people access to functioning Latrine]]*WWWW[[#This Row],[Total PoP ]]</f>
        <v>45</v>
      </c>
      <c r="BP4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2" s="209">
        <f>IF(WWWW[[#This Row],[Total required Latrines]]-WWWW[[#This Row],[Total '# of latrine]]&lt;0,0,WWWW[[#This Row],[Total required Latrines]]-WWWW[[#This Row],[Total '# of latrine]])</f>
        <v>0</v>
      </c>
      <c r="BR42" s="210">
        <f>ROUND(IF(WWWW[[#This Row],[Location Type 1]]="camp",WWWW[[#This Row],[Total PoP ]]/20,WWWW[[#This Row],[Total PoP ]]/6),0)</f>
        <v>2</v>
      </c>
      <c r="BS42" s="212">
        <f>IF(OR(WWWW[[#This Row],['# Existing latrines dysfunctional]]="",WWWW[[#This Row],['# Existing latrines dysfunctional]]=0),0,WWWW[[#This Row],['# Existing latrines dysfunctional]]/WWWW[[#This Row],[Total '# of latrine]])</f>
        <v>0</v>
      </c>
      <c r="BT4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2" s="209">
        <f>IF(500*WWWW[[#This Row],['# Hygiene Promoters ]]&gt;WWWW[[#This Row],[Total PoP ]],WWWW[[#This Row],[Total PoP ]],500*WWWW[[#This Row],['# Hygiene Promoters ]])</f>
        <v>0</v>
      </c>
      <c r="BV42" s="209">
        <f>IF(WWWW[[#This Row],[% of HH with access to Sanitary Pad]]&gt;=100%,1,0)</f>
        <v>0</v>
      </c>
      <c r="BW42" s="209">
        <f>IF(WWWW[[#This Row],[Total PoP ]]=0,0,IF(WWWW[[#This Row],['# Hygiene Promoters ]]=0,0,IF(WWWW[[#This Row],[Location Type 1]]="Village",IF(WWWW[[#This Row],[Total PoP ]]/WWWW[[#This Row],['# Hygiene Promoters ]]&lt;1000,1,0),IF(WWWW[[#This Row],[Total PoP ]]/WWWW[[#This Row],['# Hygiene Promoters ]]&lt;600,1,0))))</f>
        <v>0</v>
      </c>
      <c r="BX42" s="209">
        <f>IF(WWWW[[#This Row],[%HH with access to soap]]&gt;=100%,1,0)</f>
        <v>0</v>
      </c>
      <c r="BY42" s="209">
        <f>IF(WWWW[[#This Row],[% of HHs with access to Sanitary pad more than '#%]]+WWWW[[#This Row],[Ratio of Hyiene promoters to people less than '#]]+WWWW[[#This Row],[% of HHs with access to soap more than '#%]]&gt;=2,WWWW[[#This Row],[Total PoP ]],0)</f>
        <v>0</v>
      </c>
      <c r="BZ42" s="208">
        <f>WWWW[[#This Row],[People adopt basic personal and community hygiene practices]]/WWWW[[#This Row],[Total PoP ]]</f>
        <v>0</v>
      </c>
      <c r="CA42" s="212">
        <f>1-WWWW[[#This Row],[Hygiene Coverage%]]</f>
        <v>1</v>
      </c>
      <c r="CB42" s="211">
        <f>WWWW[[#This Row],['# people reached by regular dedicated hygiene promotion_5]]/WWWW[[#This Row],[Total PoP ]]</f>
        <v>0</v>
      </c>
      <c r="CC42" s="211">
        <f>IF(WWWW[[#This Row],['# HH received soaps]]/WWWW[[#This Row],[Total HH]]&gt;1,1,WWWW[[#This Row],['# HH received soaps]]/WWWW[[#This Row],[Total HH]])</f>
        <v>0</v>
      </c>
      <c r="CD42" s="211">
        <f>IF(WWWW[[#This Row],['# HH received Sanitary Pads]]/WWWW[[#This Row],[Total HH]]&gt;1,1,WWWW[[#This Row],['# HH received Sanitary Pads]]/WWWW[[#This Row],[Total HH]])</f>
        <v>0</v>
      </c>
      <c r="CE42" s="210">
        <f>WWWW[[#This Row],['# HH received soaps]]*5</f>
        <v>0</v>
      </c>
      <c r="CF42" s="210">
        <f>WWWW[[#This Row],['# HH received Sanitary Pads]]*5</f>
        <v>0</v>
      </c>
      <c r="CG42" s="210">
        <f>IF(WWWW[[#This Row],['# People with access to soap]]&gt;WWWW[[#This Row],['# People with access to Sanity Pads]],WWWW[[#This Row],['# People with access to soap]],WWWW[[#This Row],['# People with access to Sanity Pads]])</f>
        <v>0</v>
      </c>
      <c r="CH42" s="209">
        <f>WWWW[[#This Row],[Total HH]]*WWWW[[#This Row],[%HHs with access to functional hand washing stations]]</f>
        <v>6.6</v>
      </c>
      <c r="CI42" s="699" t="str">
        <f>VLOOKUP(WWWW[[#This Row],[Site Name]],SiteDB6[[Site Name]:[CCCM Management]],6,FALSE)</f>
        <v>Yes</v>
      </c>
      <c r="CJ42" s="699" t="str">
        <f>VLOOKUP(WWWW[[#This Row],[Site Name]],SiteDB6[[Site Name]:[CCCM Focal Agency]],7,FALSE)</f>
        <v>uncovered</v>
      </c>
      <c r="CK42" s="699" t="str">
        <f>VLOOKUP(WWWW[[#This Row],[Site Name]],SiteDB6[[Site Name]:[Location Type]],8,FALSE)</f>
        <v>Camp</v>
      </c>
      <c r="CL42" s="699" t="str">
        <f>VLOOKUP(WWWW[[#This Row],[Site Name]],SiteDB6[[Site Name]:[Location Type 1]],9,FALSE)</f>
        <v>Camp</v>
      </c>
      <c r="CM42" s="699" t="str">
        <f>VLOOKUP(WWWW[[#This Row],[Site Name]],SiteDB6[[Site Name]:[Type of Accommodation]],10,FALSE)</f>
        <v>Camp like setting</v>
      </c>
      <c r="CN42" s="699" t="str">
        <f>VLOOKUP(WWWW[[#This Row],[Site Name]],SiteDB6[[Site Name]:[Ethnic or GCA/NGCA]],11,FALSE)</f>
        <v>GCA</v>
      </c>
      <c r="CO42" s="699">
        <f>VLOOKUP(WWWW[[#This Row],[Site Name]],SiteDB6[[Site Name]:[Lat]],12,FALSE)</f>
        <v>25.617998</v>
      </c>
      <c r="CP42" s="699">
        <f>VLOOKUP(WWWW[[#This Row],[Site Name]],SiteDB6[[Site Name]:[Long]],13,FALSE)</f>
        <v>96.339590000000001</v>
      </c>
      <c r="CQ42" s="699" t="str">
        <f>VLOOKUP(WWWW[[#This Row],[Site Name]],SiteDB6[[Site Name]:[Pcode]],3,FALSE)</f>
        <v>MMR001CMP192</v>
      </c>
      <c r="CR42" s="660" t="str">
        <f t="shared" si="0"/>
        <v>Covered</v>
      </c>
      <c r="CS42" s="660"/>
      <c r="CT42" s="24"/>
      <c r="CU42" s="24"/>
      <c r="CV42" s="24"/>
    </row>
    <row r="43" spans="1:100" ht="15.75" customHeight="1" x14ac:dyDescent="0.25">
      <c r="A43" s="833" t="s">
        <v>3206</v>
      </c>
      <c r="B43" s="206" t="s">
        <v>43</v>
      </c>
      <c r="C43" s="206" t="s">
        <v>44</v>
      </c>
      <c r="D43" s="206" t="s">
        <v>294</v>
      </c>
      <c r="E43" s="206" t="s">
        <v>378</v>
      </c>
      <c r="F43" s="206">
        <v>48</v>
      </c>
      <c r="G43" s="209">
        <v>221</v>
      </c>
      <c r="H43" s="206"/>
      <c r="I43" s="206" t="s">
        <v>372</v>
      </c>
      <c r="J43" s="207">
        <v>43465</v>
      </c>
      <c r="K43" s="206">
        <v>0</v>
      </c>
      <c r="L43" s="206" t="s">
        <v>2452</v>
      </c>
      <c r="M43" s="208">
        <v>0.6</v>
      </c>
      <c r="N43" s="208">
        <v>0.1</v>
      </c>
      <c r="O43" s="316">
        <v>1</v>
      </c>
      <c r="P43" s="317">
        <v>1</v>
      </c>
      <c r="Q43" s="317">
        <v>5000</v>
      </c>
      <c r="R43" s="318">
        <v>0</v>
      </c>
      <c r="S43" s="318">
        <v>2</v>
      </c>
      <c r="T43" s="318"/>
      <c r="U43" s="318">
        <v>0</v>
      </c>
      <c r="V43" s="318">
        <v>0</v>
      </c>
      <c r="W43" s="318">
        <v>0</v>
      </c>
      <c r="X43" s="318">
        <v>0</v>
      </c>
      <c r="Y43" s="318">
        <v>0</v>
      </c>
      <c r="Z43" s="318"/>
      <c r="AA43" s="310">
        <v>16</v>
      </c>
      <c r="AB43" s="310">
        <v>0</v>
      </c>
      <c r="AC43" s="66">
        <v>0</v>
      </c>
      <c r="AD43" s="66" t="s">
        <v>2789</v>
      </c>
      <c r="AE43" s="310">
        <v>0</v>
      </c>
      <c r="AF43" s="310" t="s">
        <v>283</v>
      </c>
      <c r="AG43" s="311" t="s">
        <v>283</v>
      </c>
      <c r="AH43" s="311">
        <v>0</v>
      </c>
      <c r="AI43" s="310">
        <v>0</v>
      </c>
      <c r="AJ43" s="310"/>
      <c r="AK43" s="841">
        <v>0</v>
      </c>
      <c r="AL43" s="842" t="s">
        <v>376</v>
      </c>
      <c r="AM43" s="842">
        <v>0</v>
      </c>
      <c r="AN43" s="863">
        <v>2</v>
      </c>
      <c r="AO43" s="863">
        <v>2</v>
      </c>
      <c r="AP43" s="838">
        <v>0</v>
      </c>
      <c r="AQ43" s="843">
        <v>0</v>
      </c>
      <c r="AR43" s="843" t="s">
        <v>282</v>
      </c>
      <c r="AS43" s="843"/>
      <c r="AT43" s="843"/>
      <c r="AU43" s="843"/>
      <c r="AV43" s="844"/>
      <c r="AW43" s="208" t="str">
        <f>IFERROR(WWWW[[#This Row],['# of Water passed at source]]/WWWW[[#This Row],['# of Water tested at source]],"no test")</f>
        <v>no test</v>
      </c>
      <c r="AX43" s="211" t="str">
        <f>IFERROR(WWWW[[#This Row],['# of Water passed at HH]]/WWWW[[#This Row],['# of Water tested at HH]],"no test")</f>
        <v>no test</v>
      </c>
      <c r="AY43" s="210" t="str">
        <f>IF(AND(WWWW[[#This Row],[%of Water samples which passed at water source]]="no test",WWWW[[#This Row],[%Water samples which passed at HH]]="no test"),"No Test","Tested")</f>
        <v>No Test</v>
      </c>
      <c r="AZ4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3" s="211">
        <f>IF(WWWW[[#This Row],[Location Type 1]]="Village",WWWW[[#This Row],[Access to safe drinking water for Village]],WWWW[[#This Row],[Access to safe drinking water for Camp]])</f>
        <v>1</v>
      </c>
      <c r="BC43" s="209">
        <f>WWWW[[#This Row],[%Equitable and continuous access to sufficient quantity of safe drinking water]]*WWWW[[#This Row],[Total PoP ]]</f>
        <v>221</v>
      </c>
      <c r="BD43" s="211">
        <f>IF((WWWW[[#This Row],['# Existing protected/fenced ponds ]]*250)/WWWW[[#This Row],[Total PoP ]]&gt;1,1,WWWW[[#This Row],['# Existing protected/fenced ponds ]]*250/WWWW[[#This Row],[Total PoP ]])</f>
        <v>0</v>
      </c>
      <c r="BE43" s="209">
        <f>WWWW[[#This Row],[Access to unimproved water points]]*WWWW[[#This Row],[Total PoP ]]</f>
        <v>0</v>
      </c>
      <c r="BF4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221</v>
      </c>
      <c r="BH43" s="209">
        <f>WWWW[[#This Row],['#people Equitable and continuous access to sufficient quantity of domestic water borehole n ponds_2]]/500</f>
        <v>0.442</v>
      </c>
      <c r="BI43" s="208">
        <f>1-WWWW[[#This Row],[%Equitable and continuous access to sufficient quantity of domestic water borehole n ponds]]</f>
        <v>0</v>
      </c>
      <c r="BJ43" s="209">
        <f>WWWW[[#This Row],[%equitable and continuous access to sufficient quantity of safe drinking and domestic water''s GAP]]*WWWW[[#This Row],[Total PoP ]]</f>
        <v>0</v>
      </c>
      <c r="BK43" s="210">
        <f>IF(WWWW[[#This Row],[Total required water points]]-WWWW[[#This Row],['#Water points coverage]]&lt;0,0,WWWW[[#This Row],[Total required water points]]-WWWW[[#This Row],['#Water points coverage]])</f>
        <v>0.55800000000000005</v>
      </c>
      <c r="BL43" s="210">
        <f>ROUND(IF(WWWW[[#This Row],[Total PoP ]]&lt;500,1,WWWW[[#This Row],[Total PoP ]]/500),0)</f>
        <v>1</v>
      </c>
      <c r="BM43" s="210">
        <f>WWWW[[#This Row],['# Existing functional latrines]]+WWWW[[#This Row],['# Existing latrines dysfunctional]]</f>
        <v>16</v>
      </c>
      <c r="BN4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3" s="352">
        <f>WWWW[[#This Row],[% people access to functioning Latrine]]*WWWW[[#This Row],[Total PoP ]]</f>
        <v>221</v>
      </c>
      <c r="BP4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3" s="209">
        <f>IF(WWWW[[#This Row],[Total required Latrines]]-WWWW[[#This Row],[Total '# of latrine]]&lt;0,0,WWWW[[#This Row],[Total required Latrines]]-WWWW[[#This Row],[Total '# of latrine]])</f>
        <v>0</v>
      </c>
      <c r="BR43" s="210">
        <f>ROUND(IF(WWWW[[#This Row],[Location Type 1]]="camp",WWWW[[#This Row],[Total PoP ]]/20,WWWW[[#This Row],[Total PoP ]]/6),0)</f>
        <v>11</v>
      </c>
      <c r="BS43" s="212">
        <f>IF(OR(WWWW[[#This Row],['# Existing latrines dysfunctional]]="",WWWW[[#This Row],['# Existing latrines dysfunctional]]=0),0,WWWW[[#This Row],['# Existing latrines dysfunctional]]/WWWW[[#This Row],[Total '# of latrine]])</f>
        <v>0</v>
      </c>
      <c r="BT4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3" s="209">
        <f>IF(500*WWWW[[#This Row],['# Hygiene Promoters ]]&gt;WWWW[[#This Row],[Total PoP ]],WWWW[[#This Row],[Total PoP ]],500*WWWW[[#This Row],['# Hygiene Promoters ]])</f>
        <v>221</v>
      </c>
      <c r="BV43" s="209">
        <f>IF(WWWW[[#This Row],[% of HH with access to Sanitary Pad]]&gt;=100%,1,0)</f>
        <v>0</v>
      </c>
      <c r="BW43" s="209">
        <f>IF(WWWW[[#This Row],[Total PoP ]]=0,0,IF(WWWW[[#This Row],['# Hygiene Promoters ]]=0,0,IF(WWWW[[#This Row],[Location Type 1]]="Village",IF(WWWW[[#This Row],[Total PoP ]]/WWWW[[#This Row],['# Hygiene Promoters ]]&lt;1000,1,0),IF(WWWW[[#This Row],[Total PoP ]]/WWWW[[#This Row],['# Hygiene Promoters ]]&lt;600,1,0))))</f>
        <v>1</v>
      </c>
      <c r="BX43" s="209">
        <f>IF(WWWW[[#This Row],[%HH with access to soap]]&gt;=100%,1,0)</f>
        <v>0</v>
      </c>
      <c r="BY43" s="209">
        <f>IF(WWWW[[#This Row],[% of HHs with access to Sanitary pad more than '#%]]+WWWW[[#This Row],[Ratio of Hyiene promoters to people less than '#]]+WWWW[[#This Row],[% of HHs with access to soap more than '#%]]&gt;=2,WWWW[[#This Row],[Total PoP ]],0)</f>
        <v>0</v>
      </c>
      <c r="BZ43" s="208">
        <f>WWWW[[#This Row],[People adopt basic personal and community hygiene practices]]/WWWW[[#This Row],[Total PoP ]]</f>
        <v>0</v>
      </c>
      <c r="CA43" s="212">
        <f>1-WWWW[[#This Row],[Hygiene Coverage%]]</f>
        <v>1</v>
      </c>
      <c r="CB43" s="211">
        <f>WWWW[[#This Row],['# people reached by regular dedicated hygiene promotion_5]]/WWWW[[#This Row],[Total PoP ]]</f>
        <v>1</v>
      </c>
      <c r="CC43" s="211">
        <f>IF(WWWW[[#This Row],['# HH received soaps]]/WWWW[[#This Row],[Total HH]]&gt;1,1,WWWW[[#This Row],['# HH received soaps]]/WWWW[[#This Row],[Total HH]])</f>
        <v>0</v>
      </c>
      <c r="CD43" s="211">
        <f>IF(WWWW[[#This Row],['# HH received Sanitary Pads]]/WWWW[[#This Row],[Total HH]]&gt;1,1,WWWW[[#This Row],['# HH received Sanitary Pads]]/WWWW[[#This Row],[Total HH]])</f>
        <v>0</v>
      </c>
      <c r="CE43" s="210">
        <f>WWWW[[#This Row],['# HH received soaps]]*5</f>
        <v>0</v>
      </c>
      <c r="CF43" s="210">
        <f>WWWW[[#This Row],['# HH received Sanitary Pads]]*5</f>
        <v>0</v>
      </c>
      <c r="CG43" s="210">
        <f>IF(WWWW[[#This Row],['# People with access to soap]]&gt;WWWW[[#This Row],['# People with access to Sanity Pads]],WWWW[[#This Row],['# People with access to soap]],WWWW[[#This Row],['# People with access to Sanity Pads]])</f>
        <v>0</v>
      </c>
      <c r="CH43" s="209">
        <f>WWWW[[#This Row],[Total HH]]*WWWW[[#This Row],[%HHs with access to functional hand washing stations]]</f>
        <v>0</v>
      </c>
      <c r="CI43" s="699" t="str">
        <f>VLOOKUP(WWWW[[#This Row],[Site Name]],SiteDB6[[Site Name]:[CCCM Management]],6,FALSE)</f>
        <v>Yes</v>
      </c>
      <c r="CJ43" s="699" t="str">
        <f>VLOOKUP(WWWW[[#This Row],[Site Name]],SiteDB6[[Site Name]:[CCCM Focal Agency]],7,FALSE)</f>
        <v>KMSS-MYT</v>
      </c>
      <c r="CK43" s="699" t="str">
        <f>VLOOKUP(WWWW[[#This Row],[Site Name]],SiteDB6[[Site Name]:[Location Type]],8,FALSE)</f>
        <v>Camp</v>
      </c>
      <c r="CL43" s="699" t="str">
        <f>VLOOKUP(WWWW[[#This Row],[Site Name]],SiteDB6[[Site Name]:[Location Type 1]],9,FALSE)</f>
        <v>Camp</v>
      </c>
      <c r="CM43" s="699" t="str">
        <f>VLOOKUP(WWWW[[#This Row],[Site Name]],SiteDB6[[Site Name]:[Type of Accommodation]],10,FALSE)</f>
        <v>Camp</v>
      </c>
      <c r="CN43" s="699" t="str">
        <f>VLOOKUP(WWWW[[#This Row],[Site Name]],SiteDB6[[Site Name]:[Ethnic or GCA/NGCA]],11,FALSE)</f>
        <v>GCA</v>
      </c>
      <c r="CO43" s="699">
        <f>VLOOKUP(WWWW[[#This Row],[Site Name]],SiteDB6[[Site Name]:[Lat]],12,FALSE)</f>
        <v>25.613894999999999</v>
      </c>
      <c r="CP43" s="699">
        <f>VLOOKUP(WWWW[[#This Row],[Site Name]],SiteDB6[[Site Name]:[Long]],13,FALSE)</f>
        <v>96.341352999999998</v>
      </c>
      <c r="CQ43" s="699" t="str">
        <f>VLOOKUP(WWWW[[#This Row],[Site Name]],SiteDB6[[Site Name]:[Pcode]],3,FALSE)</f>
        <v>MMR001CMP103</v>
      </c>
      <c r="CR43" s="660" t="str">
        <f t="shared" si="0"/>
        <v>Covered</v>
      </c>
      <c r="CS43" s="660"/>
      <c r="CT43" s="24"/>
      <c r="CU43" s="24"/>
      <c r="CV43" s="24"/>
    </row>
    <row r="44" spans="1:100" ht="15.75" customHeight="1" x14ac:dyDescent="0.25">
      <c r="A44" s="833" t="s">
        <v>3206</v>
      </c>
      <c r="B44" s="206" t="s">
        <v>389</v>
      </c>
      <c r="C44" s="206" t="s">
        <v>44</v>
      </c>
      <c r="D44" s="206" t="s">
        <v>294</v>
      </c>
      <c r="E44" s="206" t="s">
        <v>409</v>
      </c>
      <c r="F44" s="206">
        <v>10</v>
      </c>
      <c r="G44" s="209">
        <v>37</v>
      </c>
      <c r="H44" s="206"/>
      <c r="I44" s="206" t="s">
        <v>391</v>
      </c>
      <c r="J44" s="207">
        <v>42947</v>
      </c>
      <c r="K44" s="206">
        <v>0</v>
      </c>
      <c r="L44" s="206" t="s">
        <v>48</v>
      </c>
      <c r="M44" s="208">
        <v>0.5</v>
      </c>
      <c r="N44" s="208">
        <v>0</v>
      </c>
      <c r="O44" s="316">
        <v>1</v>
      </c>
      <c r="P44" s="317">
        <v>1</v>
      </c>
      <c r="Q44" s="317">
        <v>0</v>
      </c>
      <c r="R44" s="318">
        <v>0</v>
      </c>
      <c r="S44" s="318">
        <v>2</v>
      </c>
      <c r="T44" s="318"/>
      <c r="U44" s="318">
        <v>1</v>
      </c>
      <c r="V44" s="318">
        <v>0</v>
      </c>
      <c r="W44" s="318">
        <v>2</v>
      </c>
      <c r="X44" s="318">
        <v>0</v>
      </c>
      <c r="Y44" s="318">
        <v>0</v>
      </c>
      <c r="Z44" s="318"/>
      <c r="AA44" s="310">
        <v>2</v>
      </c>
      <c r="AB44" s="310">
        <v>2</v>
      </c>
      <c r="AC44" s="66">
        <v>0</v>
      </c>
      <c r="AD44" s="66" t="s">
        <v>2782</v>
      </c>
      <c r="AE44" s="310">
        <v>2</v>
      </c>
      <c r="AF44" s="310" t="s">
        <v>283</v>
      </c>
      <c r="AG44" s="311" t="s">
        <v>283</v>
      </c>
      <c r="AH44" s="311">
        <v>0</v>
      </c>
      <c r="AI44" s="310">
        <v>0</v>
      </c>
      <c r="AJ44" s="310"/>
      <c r="AK44" s="841">
        <v>0.5</v>
      </c>
      <c r="AL44" s="842" t="s">
        <v>376</v>
      </c>
      <c r="AM44" s="842">
        <v>0</v>
      </c>
      <c r="AN44" s="863">
        <v>2</v>
      </c>
      <c r="AO44" s="863">
        <v>0</v>
      </c>
      <c r="AP44" s="838">
        <v>0</v>
      </c>
      <c r="AQ44" s="843">
        <v>0</v>
      </c>
      <c r="AR44" s="843"/>
      <c r="AS44" s="843"/>
      <c r="AT44" s="843">
        <v>1</v>
      </c>
      <c r="AU44" s="843"/>
      <c r="AV44" s="844"/>
      <c r="AW44" s="208">
        <f>IFERROR(WWWW[[#This Row],['# of Water passed at source]]/WWWW[[#This Row],['# of Water tested at source]],"no test")</f>
        <v>0</v>
      </c>
      <c r="AX44" s="211">
        <f>IFERROR(WWWW[[#This Row],['# of Water passed at HH]]/WWWW[[#This Row],['# of Water tested at HH]],"no test")</f>
        <v>0</v>
      </c>
      <c r="AY44" s="210" t="str">
        <f>IF(AND(WWWW[[#This Row],[%of Water samples which passed at water source]]="no test",WWWW[[#This Row],[%Water samples which passed at HH]]="no test"),"No Test","Tested")</f>
        <v>Tested</v>
      </c>
      <c r="AZ4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4" s="211">
        <f>IF(WWWW[[#This Row],[Location Type 1]]="Village",WWWW[[#This Row],[Access to safe drinking water for Village]],WWWW[[#This Row],[Access to safe drinking water for Camp]])</f>
        <v>1</v>
      </c>
      <c r="BC44" s="209">
        <f>WWWW[[#This Row],[%Equitable and continuous access to sufficient quantity of safe drinking water]]*WWWW[[#This Row],[Total PoP ]]</f>
        <v>37</v>
      </c>
      <c r="BD44" s="211">
        <f>IF((WWWW[[#This Row],['# Existing protected/fenced ponds ]]*250)/WWWW[[#This Row],[Total PoP ]]&gt;1,1,WWWW[[#This Row],['# Existing protected/fenced ponds ]]*250/WWWW[[#This Row],[Total PoP ]])</f>
        <v>0</v>
      </c>
      <c r="BE44" s="209">
        <f>WWWW[[#This Row],[Access to unimproved water points]]*WWWW[[#This Row],[Total PoP ]]</f>
        <v>0</v>
      </c>
      <c r="BF4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37</v>
      </c>
      <c r="BH44" s="209">
        <f>WWWW[[#This Row],['#people Equitable and continuous access to sufficient quantity of domestic water borehole n ponds_2]]/500</f>
        <v>7.3999999999999996E-2</v>
      </c>
      <c r="BI44" s="208">
        <f>1-WWWW[[#This Row],[%Equitable and continuous access to sufficient quantity of domestic water borehole n ponds]]</f>
        <v>0</v>
      </c>
      <c r="BJ44" s="209">
        <f>WWWW[[#This Row],[%equitable and continuous access to sufficient quantity of safe drinking and domestic water''s GAP]]*WWWW[[#This Row],[Total PoP ]]</f>
        <v>0</v>
      </c>
      <c r="BK44" s="210">
        <f>IF(WWWW[[#This Row],[Total required water points]]-WWWW[[#This Row],['#Water points coverage]]&lt;0,0,WWWW[[#This Row],[Total required water points]]-WWWW[[#This Row],['#Water points coverage]])</f>
        <v>0.92600000000000005</v>
      </c>
      <c r="BL44" s="210">
        <f>ROUND(IF(WWWW[[#This Row],[Total PoP ]]&lt;500,1,WWWW[[#This Row],[Total PoP ]]/500),0)</f>
        <v>1</v>
      </c>
      <c r="BM44" s="210">
        <f>WWWW[[#This Row],['# Existing functional latrines]]+WWWW[[#This Row],['# Existing latrines dysfunctional]]</f>
        <v>4</v>
      </c>
      <c r="BN4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4" s="352">
        <f>WWWW[[#This Row],[% people access to functioning Latrine]]*WWWW[[#This Row],[Total PoP ]]</f>
        <v>37</v>
      </c>
      <c r="BP4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4" s="209">
        <f>IF(WWWW[[#This Row],[Total required Latrines]]-WWWW[[#This Row],[Total '# of latrine]]&lt;0,0,WWWW[[#This Row],[Total required Latrines]]-WWWW[[#This Row],[Total '# of latrine]])</f>
        <v>0</v>
      </c>
      <c r="BR44" s="210">
        <f>ROUND(IF(WWWW[[#This Row],[Location Type 1]]="camp",WWWW[[#This Row],[Total PoP ]]/20,WWWW[[#This Row],[Total PoP ]]/6),0)</f>
        <v>2</v>
      </c>
      <c r="BS44" s="212">
        <f>IF(OR(WWWW[[#This Row],['# Existing latrines dysfunctional]]="",WWWW[[#This Row],['# Existing latrines dysfunctional]]=0),0,WWWW[[#This Row],['# Existing latrines dysfunctional]]/WWWW[[#This Row],[Total '# of latrine]])</f>
        <v>0.5</v>
      </c>
      <c r="BT4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4" s="209">
        <f>IF(500*WWWW[[#This Row],['# Hygiene Promoters ]]&gt;WWWW[[#This Row],[Total PoP ]],WWWW[[#This Row],[Total PoP ]],500*WWWW[[#This Row],['# Hygiene Promoters ]])</f>
        <v>0</v>
      </c>
      <c r="BV44" s="209">
        <f>IF(WWWW[[#This Row],[% of HH with access to Sanitary Pad]]&gt;=100%,1,0)</f>
        <v>0</v>
      </c>
      <c r="BW44" s="209">
        <f>IF(WWWW[[#This Row],[Total PoP ]]=0,0,IF(WWWW[[#This Row],['# Hygiene Promoters ]]=0,0,IF(WWWW[[#This Row],[Location Type 1]]="Village",IF(WWWW[[#This Row],[Total PoP ]]/WWWW[[#This Row],['# Hygiene Promoters ]]&lt;1000,1,0),IF(WWWW[[#This Row],[Total PoP ]]/WWWW[[#This Row],['# Hygiene Promoters ]]&lt;600,1,0))))</f>
        <v>0</v>
      </c>
      <c r="BX44" s="209">
        <f>IF(WWWW[[#This Row],[%HH with access to soap]]&gt;=100%,1,0)</f>
        <v>0</v>
      </c>
      <c r="BY44" s="209">
        <f>IF(WWWW[[#This Row],[% of HHs with access to Sanitary pad more than '#%]]+WWWW[[#This Row],[Ratio of Hyiene promoters to people less than '#]]+WWWW[[#This Row],[% of HHs with access to soap more than '#%]]&gt;=2,WWWW[[#This Row],[Total PoP ]],0)</f>
        <v>0</v>
      </c>
      <c r="BZ44" s="208">
        <f>WWWW[[#This Row],[People adopt basic personal and community hygiene practices]]/WWWW[[#This Row],[Total PoP ]]</f>
        <v>0</v>
      </c>
      <c r="CA44" s="212">
        <f>1-WWWW[[#This Row],[Hygiene Coverage%]]</f>
        <v>1</v>
      </c>
      <c r="CB44" s="211">
        <f>WWWW[[#This Row],['# people reached by regular dedicated hygiene promotion_5]]/WWWW[[#This Row],[Total PoP ]]</f>
        <v>0</v>
      </c>
      <c r="CC44" s="211">
        <f>IF(WWWW[[#This Row],['# HH received soaps]]/WWWW[[#This Row],[Total HH]]&gt;1,1,WWWW[[#This Row],['# HH received soaps]]/WWWW[[#This Row],[Total HH]])</f>
        <v>0</v>
      </c>
      <c r="CD44" s="211">
        <f>IF(WWWW[[#This Row],['# HH received Sanitary Pads]]/WWWW[[#This Row],[Total HH]]&gt;1,1,WWWW[[#This Row],['# HH received Sanitary Pads]]/WWWW[[#This Row],[Total HH]])</f>
        <v>0</v>
      </c>
      <c r="CE44" s="210">
        <f>WWWW[[#This Row],['# HH received soaps]]*5</f>
        <v>0</v>
      </c>
      <c r="CF44" s="210">
        <f>WWWW[[#This Row],['# HH received Sanitary Pads]]*5</f>
        <v>0</v>
      </c>
      <c r="CG44" s="210">
        <f>IF(WWWW[[#This Row],['# People with access to soap]]&gt;WWWW[[#This Row],['# People with access to Sanity Pads]],WWWW[[#This Row],['# People with access to soap]],WWWW[[#This Row],['# People with access to Sanity Pads]])</f>
        <v>0</v>
      </c>
      <c r="CH44" s="209">
        <f>WWWW[[#This Row],[Total HH]]*WWWW[[#This Row],[%HHs with access to functional hand washing stations]]</f>
        <v>5</v>
      </c>
      <c r="CI44" s="699" t="str">
        <f>VLOOKUP(WWWW[[#This Row],[Site Name]],SiteDB6[[Site Name]:[CCCM Management]],6,FALSE)</f>
        <v>Yes</v>
      </c>
      <c r="CJ44" s="699" t="str">
        <f>VLOOKUP(WWWW[[#This Row],[Site Name]],SiteDB6[[Site Name]:[CCCM Focal Agency]],7,FALSE)</f>
        <v>uncovered</v>
      </c>
      <c r="CK44" s="699" t="str">
        <f>VLOOKUP(WWWW[[#This Row],[Site Name]],SiteDB6[[Site Name]:[Location Type]],8,FALSE)</f>
        <v>Camp</v>
      </c>
      <c r="CL44" s="699" t="str">
        <f>VLOOKUP(WWWW[[#This Row],[Site Name]],SiteDB6[[Site Name]:[Location Type 1]],9,FALSE)</f>
        <v>Camp</v>
      </c>
      <c r="CM44" s="699" t="str">
        <f>VLOOKUP(WWWW[[#This Row],[Site Name]],SiteDB6[[Site Name]:[Type of Accommodation]],10,FALSE)</f>
        <v>Camp like setting</v>
      </c>
      <c r="CN44" s="699" t="str">
        <f>VLOOKUP(WWWW[[#This Row],[Site Name]],SiteDB6[[Site Name]:[Ethnic or GCA/NGCA]],11,FALSE)</f>
        <v>GCA</v>
      </c>
      <c r="CO44" s="699">
        <f>VLOOKUP(WWWW[[#This Row],[Site Name]],SiteDB6[[Site Name]:[Lat]],12,FALSE)</f>
        <v>25.56551</v>
      </c>
      <c r="CP44" s="699">
        <f>VLOOKUP(WWWW[[#This Row],[Site Name]],SiteDB6[[Site Name]:[Long]],13,FALSE)</f>
        <v>96.279200000000003</v>
      </c>
      <c r="CQ44" s="699" t="str">
        <f>VLOOKUP(WWWW[[#This Row],[Site Name]],SiteDB6[[Site Name]:[Pcode]],3,FALSE)</f>
        <v>MMR001CMP182</v>
      </c>
      <c r="CR44" s="660" t="str">
        <f t="shared" si="0"/>
        <v>Covered</v>
      </c>
      <c r="CS44" s="660"/>
      <c r="CT44" s="24"/>
      <c r="CU44" s="24"/>
      <c r="CV44" s="24"/>
    </row>
    <row r="45" spans="1:100" ht="15.75" customHeight="1" x14ac:dyDescent="0.25">
      <c r="A45" s="833" t="s">
        <v>3206</v>
      </c>
      <c r="B45" s="206" t="s">
        <v>389</v>
      </c>
      <c r="C45" s="206" t="s">
        <v>44</v>
      </c>
      <c r="D45" s="206" t="s">
        <v>294</v>
      </c>
      <c r="E45" s="206" t="s">
        <v>410</v>
      </c>
      <c r="F45" s="206">
        <v>8</v>
      </c>
      <c r="G45" s="209">
        <v>25</v>
      </c>
      <c r="H45" s="206"/>
      <c r="I45" s="206" t="s">
        <v>391</v>
      </c>
      <c r="J45" s="207">
        <v>42947</v>
      </c>
      <c r="K45" s="206">
        <v>0</v>
      </c>
      <c r="L45" s="206" t="s">
        <v>48</v>
      </c>
      <c r="M45" s="208">
        <v>0</v>
      </c>
      <c r="N45" s="208">
        <v>0</v>
      </c>
      <c r="O45" s="316">
        <v>1</v>
      </c>
      <c r="P45" s="317">
        <v>0</v>
      </c>
      <c r="Q45" s="317">
        <v>1000</v>
      </c>
      <c r="R45" s="318">
        <v>0</v>
      </c>
      <c r="S45" s="318">
        <v>1</v>
      </c>
      <c r="T45" s="318"/>
      <c r="U45" s="318">
        <v>0</v>
      </c>
      <c r="V45" s="318">
        <v>0</v>
      </c>
      <c r="W45" s="318">
        <v>0</v>
      </c>
      <c r="X45" s="318">
        <v>0</v>
      </c>
      <c r="Y45" s="318">
        <v>0</v>
      </c>
      <c r="Z45" s="318"/>
      <c r="AA45" s="310">
        <v>0</v>
      </c>
      <c r="AB45" s="310">
        <v>0</v>
      </c>
      <c r="AC45" s="66">
        <v>0</v>
      </c>
      <c r="AD45" s="66"/>
      <c r="AE45" s="310">
        <v>0</v>
      </c>
      <c r="AF45" s="310" t="s">
        <v>283</v>
      </c>
      <c r="AG45" s="311" t="s">
        <v>1358</v>
      </c>
      <c r="AH45" s="311">
        <v>0</v>
      </c>
      <c r="AI45" s="310">
        <v>0</v>
      </c>
      <c r="AJ45" s="310"/>
      <c r="AK45" s="841">
        <v>0.6</v>
      </c>
      <c r="AL45" s="842" t="s">
        <v>376</v>
      </c>
      <c r="AM45" s="842">
        <v>0</v>
      </c>
      <c r="AN45" s="863">
        <v>0</v>
      </c>
      <c r="AO45" s="863">
        <v>0</v>
      </c>
      <c r="AP45" s="838">
        <v>0</v>
      </c>
      <c r="AQ45" s="843">
        <v>0</v>
      </c>
      <c r="AR45" s="843"/>
      <c r="AS45" s="843"/>
      <c r="AT45" s="843"/>
      <c r="AU45" s="843"/>
      <c r="AV45" s="844"/>
      <c r="AW45" s="208" t="str">
        <f>IFERROR(WWWW[[#This Row],['# of Water passed at source]]/WWWW[[#This Row],['# of Water tested at source]],"no test")</f>
        <v>no test</v>
      </c>
      <c r="AX45" s="211" t="str">
        <f>IFERROR(WWWW[[#This Row],['# of Water passed at HH]]/WWWW[[#This Row],['# of Water tested at HH]],"no test")</f>
        <v>no test</v>
      </c>
      <c r="AY45" s="210" t="str">
        <f>IF(AND(WWWW[[#This Row],[%of Water samples which passed at water source]]="no test",WWWW[[#This Row],[%Water samples which passed at HH]]="no test"),"No Test","Tested")</f>
        <v>No Test</v>
      </c>
      <c r="AZ4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5" s="211">
        <f>IF(WWWW[[#This Row],[Location Type 1]]="Village",WWWW[[#This Row],[Access to safe drinking water for Village]],WWWW[[#This Row],[Access to safe drinking water for Camp]])</f>
        <v>1</v>
      </c>
      <c r="BC45" s="209">
        <f>WWWW[[#This Row],[%Equitable and continuous access to sufficient quantity of safe drinking water]]*WWWW[[#This Row],[Total PoP ]]</f>
        <v>25</v>
      </c>
      <c r="BD45" s="211">
        <f>IF((WWWW[[#This Row],['# Existing protected/fenced ponds ]]*250)/WWWW[[#This Row],[Total PoP ]]&gt;1,1,WWWW[[#This Row],['# Existing protected/fenced ponds ]]*250/WWWW[[#This Row],[Total PoP ]])</f>
        <v>0</v>
      </c>
      <c r="BE45" s="209">
        <f>WWWW[[#This Row],[Access to unimproved water points]]*WWWW[[#This Row],[Total PoP ]]</f>
        <v>0</v>
      </c>
      <c r="BF4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v>
      </c>
      <c r="BH45" s="209">
        <f>WWWW[[#This Row],['#people Equitable and continuous access to sufficient quantity of domestic water borehole n ponds_2]]/500</f>
        <v>0.05</v>
      </c>
      <c r="BI45" s="208">
        <f>1-WWWW[[#This Row],[%Equitable and continuous access to sufficient quantity of domestic water borehole n ponds]]</f>
        <v>0</v>
      </c>
      <c r="BJ45" s="209">
        <f>WWWW[[#This Row],[%equitable and continuous access to sufficient quantity of safe drinking and domestic water''s GAP]]*WWWW[[#This Row],[Total PoP ]]</f>
        <v>0</v>
      </c>
      <c r="BK45" s="210">
        <f>IF(WWWW[[#This Row],[Total required water points]]-WWWW[[#This Row],['#Water points coverage]]&lt;0,0,WWWW[[#This Row],[Total required water points]]-WWWW[[#This Row],['#Water points coverage]])</f>
        <v>0.95</v>
      </c>
      <c r="BL45" s="210">
        <f>ROUND(IF(WWWW[[#This Row],[Total PoP ]]&lt;500,1,WWWW[[#This Row],[Total PoP ]]/500),0)</f>
        <v>1</v>
      </c>
      <c r="BM45" s="210">
        <f>WWWW[[#This Row],['# Existing functional latrines]]+WWWW[[#This Row],['# Existing latrines dysfunctional]]</f>
        <v>0</v>
      </c>
      <c r="BN4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45" s="352">
        <f>WWWW[[#This Row],[% people access to functioning Latrine]]*WWWW[[#This Row],[Total PoP ]]</f>
        <v>0</v>
      </c>
      <c r="BP4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v>
      </c>
      <c r="BQ45" s="209">
        <f>IF(WWWW[[#This Row],[Total required Latrines]]-WWWW[[#This Row],[Total '# of latrine]]&lt;0,0,WWWW[[#This Row],[Total required Latrines]]-WWWW[[#This Row],[Total '# of latrine]])</f>
        <v>1</v>
      </c>
      <c r="BR45" s="210">
        <f>ROUND(IF(WWWW[[#This Row],[Location Type 1]]="camp",WWWW[[#This Row],[Total PoP ]]/20,WWWW[[#This Row],[Total PoP ]]/6),0)</f>
        <v>1</v>
      </c>
      <c r="BS45" s="212">
        <f>IF(OR(WWWW[[#This Row],['# Existing latrines dysfunctional]]="",WWWW[[#This Row],['# Existing latrines dysfunctional]]=0),0,WWWW[[#This Row],['# Existing latrines dysfunctional]]/WWWW[[#This Row],[Total '# of latrine]])</f>
        <v>0</v>
      </c>
      <c r="BT4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5" s="209">
        <f>IF(500*WWWW[[#This Row],['# Hygiene Promoters ]]&gt;WWWW[[#This Row],[Total PoP ]],WWWW[[#This Row],[Total PoP ]],500*WWWW[[#This Row],['# Hygiene Promoters ]])</f>
        <v>0</v>
      </c>
      <c r="BV45" s="209">
        <f>IF(WWWW[[#This Row],[% of HH with access to Sanitary Pad]]&gt;=100%,1,0)</f>
        <v>0</v>
      </c>
      <c r="BW45" s="209">
        <f>IF(WWWW[[#This Row],[Total PoP ]]=0,0,IF(WWWW[[#This Row],['# Hygiene Promoters ]]=0,0,IF(WWWW[[#This Row],[Location Type 1]]="Village",IF(WWWW[[#This Row],[Total PoP ]]/WWWW[[#This Row],['# Hygiene Promoters ]]&lt;1000,1,0),IF(WWWW[[#This Row],[Total PoP ]]/WWWW[[#This Row],['# Hygiene Promoters ]]&lt;600,1,0))))</f>
        <v>0</v>
      </c>
      <c r="BX45" s="209">
        <f>IF(WWWW[[#This Row],[%HH with access to soap]]&gt;=100%,1,0)</f>
        <v>0</v>
      </c>
      <c r="BY45" s="209">
        <f>IF(WWWW[[#This Row],[% of HHs with access to Sanitary pad more than '#%]]+WWWW[[#This Row],[Ratio of Hyiene promoters to people less than '#]]+WWWW[[#This Row],[% of HHs with access to soap more than '#%]]&gt;=2,WWWW[[#This Row],[Total PoP ]],0)</f>
        <v>0</v>
      </c>
      <c r="BZ45" s="208">
        <f>WWWW[[#This Row],[People adopt basic personal and community hygiene practices]]/WWWW[[#This Row],[Total PoP ]]</f>
        <v>0</v>
      </c>
      <c r="CA45" s="212">
        <f>1-WWWW[[#This Row],[Hygiene Coverage%]]</f>
        <v>1</v>
      </c>
      <c r="CB45" s="211">
        <f>WWWW[[#This Row],['# people reached by regular dedicated hygiene promotion_5]]/WWWW[[#This Row],[Total PoP ]]</f>
        <v>0</v>
      </c>
      <c r="CC45" s="211">
        <f>IF(WWWW[[#This Row],['# HH received soaps]]/WWWW[[#This Row],[Total HH]]&gt;1,1,WWWW[[#This Row],['# HH received soaps]]/WWWW[[#This Row],[Total HH]])</f>
        <v>0</v>
      </c>
      <c r="CD45" s="211">
        <f>IF(WWWW[[#This Row],['# HH received Sanitary Pads]]/WWWW[[#This Row],[Total HH]]&gt;1,1,WWWW[[#This Row],['# HH received Sanitary Pads]]/WWWW[[#This Row],[Total HH]])</f>
        <v>0</v>
      </c>
      <c r="CE45" s="210">
        <f>WWWW[[#This Row],['# HH received soaps]]*5</f>
        <v>0</v>
      </c>
      <c r="CF45" s="210">
        <f>WWWW[[#This Row],['# HH received Sanitary Pads]]*5</f>
        <v>0</v>
      </c>
      <c r="CG45" s="210">
        <f>IF(WWWW[[#This Row],['# People with access to soap]]&gt;WWWW[[#This Row],['# People with access to Sanity Pads]],WWWW[[#This Row],['# People with access to soap]],WWWW[[#This Row],['# People with access to Sanity Pads]])</f>
        <v>0</v>
      </c>
      <c r="CH45" s="209">
        <f>WWWW[[#This Row],[Total HH]]*WWWW[[#This Row],[%HHs with access to functional hand washing stations]]</f>
        <v>4.8</v>
      </c>
      <c r="CI45" s="699" t="str">
        <f>VLOOKUP(WWWW[[#This Row],[Site Name]],SiteDB6[[Site Name]:[CCCM Management]],6,FALSE)</f>
        <v>Yes</v>
      </c>
      <c r="CJ45" s="699" t="str">
        <f>VLOOKUP(WWWW[[#This Row],[Site Name]],SiteDB6[[Site Name]:[CCCM Focal Agency]],7,FALSE)</f>
        <v>KBC</v>
      </c>
      <c r="CK45" s="699" t="str">
        <f>VLOOKUP(WWWW[[#This Row],[Site Name]],SiteDB6[[Site Name]:[Location Type]],8,FALSE)</f>
        <v>Camp</v>
      </c>
      <c r="CL45" s="699" t="str">
        <f>VLOOKUP(WWWW[[#This Row],[Site Name]],SiteDB6[[Site Name]:[Location Type 1]],9,FALSE)</f>
        <v>Camp</v>
      </c>
      <c r="CM45" s="699" t="str">
        <f>VLOOKUP(WWWW[[#This Row],[Site Name]],SiteDB6[[Site Name]:[Type of Accommodation]],10,FALSE)</f>
        <v>Closed Camp</v>
      </c>
      <c r="CN45" s="699" t="str">
        <f>VLOOKUP(WWWW[[#This Row],[Site Name]],SiteDB6[[Site Name]:[Ethnic or GCA/NGCA]],11,FALSE)</f>
        <v>GCA</v>
      </c>
      <c r="CO45" s="699">
        <f>VLOOKUP(WWWW[[#This Row],[Site Name]],SiteDB6[[Site Name]:[Lat]],12,FALSE)</f>
        <v>25.668399999999998</v>
      </c>
      <c r="CP45" s="699">
        <f>VLOOKUP(WWWW[[#This Row],[Site Name]],SiteDB6[[Site Name]:[Long]],13,FALSE)</f>
        <v>96.353030000000004</v>
      </c>
      <c r="CQ45" s="699" t="str">
        <f>VLOOKUP(WWWW[[#This Row],[Site Name]],SiteDB6[[Site Name]:[Pcode]],3,FALSE)</f>
        <v>MMR001CMP183</v>
      </c>
      <c r="CR45" s="660" t="str">
        <f t="shared" si="0"/>
        <v>Covered</v>
      </c>
      <c r="CS45" s="660"/>
      <c r="CT45" s="24"/>
      <c r="CU45" s="24"/>
      <c r="CV45" s="24"/>
    </row>
    <row r="46" spans="1:100" ht="15.75" customHeight="1" x14ac:dyDescent="0.25">
      <c r="A46" s="833" t="s">
        <v>3206</v>
      </c>
      <c r="B46" s="206" t="s">
        <v>287</v>
      </c>
      <c r="C46" s="206" t="s">
        <v>44</v>
      </c>
      <c r="D46" s="206" t="s">
        <v>294</v>
      </c>
      <c r="E46" s="206" t="s">
        <v>334</v>
      </c>
      <c r="F46" s="206">
        <v>30</v>
      </c>
      <c r="G46" s="209">
        <v>120</v>
      </c>
      <c r="H46" s="206"/>
      <c r="I46" s="206" t="s">
        <v>296</v>
      </c>
      <c r="J46" s="207">
        <v>43465</v>
      </c>
      <c r="K46" s="206">
        <v>0</v>
      </c>
      <c r="L46" s="206" t="s">
        <v>48</v>
      </c>
      <c r="M46" s="208">
        <v>0.4</v>
      </c>
      <c r="N46" s="208">
        <v>0.5</v>
      </c>
      <c r="O46" s="316">
        <v>1</v>
      </c>
      <c r="P46" s="317">
        <v>1</v>
      </c>
      <c r="Q46" s="317">
        <v>0</v>
      </c>
      <c r="R46" s="318">
        <v>0</v>
      </c>
      <c r="S46" s="318">
        <v>0</v>
      </c>
      <c r="T46" s="318"/>
      <c r="U46" s="318">
        <v>0</v>
      </c>
      <c r="V46" s="318">
        <v>0</v>
      </c>
      <c r="W46" s="318">
        <v>0</v>
      </c>
      <c r="X46" s="318">
        <v>0</v>
      </c>
      <c r="Y46" s="318">
        <v>0</v>
      </c>
      <c r="Z46" s="318"/>
      <c r="AA46" s="310">
        <v>8</v>
      </c>
      <c r="AB46" s="310">
        <v>0</v>
      </c>
      <c r="AC46" s="66">
        <v>0</v>
      </c>
      <c r="AD46" s="66"/>
      <c r="AE46" s="310">
        <v>0</v>
      </c>
      <c r="AF46" s="310" t="s">
        <v>332</v>
      </c>
      <c r="AG46" s="311" t="s">
        <v>1358</v>
      </c>
      <c r="AH46" s="311"/>
      <c r="AI46" s="310"/>
      <c r="AJ46" s="310"/>
      <c r="AK46" s="841">
        <v>0.2</v>
      </c>
      <c r="AL46" s="842" t="s">
        <v>376</v>
      </c>
      <c r="AM46" s="842">
        <v>0</v>
      </c>
      <c r="AN46" s="863">
        <v>2</v>
      </c>
      <c r="AO46" s="863">
        <v>1</v>
      </c>
      <c r="AP46" s="838">
        <v>0</v>
      </c>
      <c r="AQ46" s="843">
        <v>0</v>
      </c>
      <c r="AR46" s="843"/>
      <c r="AS46" s="843"/>
      <c r="AT46" s="843"/>
      <c r="AU46" s="843"/>
      <c r="AV46" s="844"/>
      <c r="AW46" s="208" t="str">
        <f>IFERROR(WWWW[[#This Row],['# of Water passed at source]]/WWWW[[#This Row],['# of Water tested at source]],"no test")</f>
        <v>no test</v>
      </c>
      <c r="AX46" s="211" t="str">
        <f>IFERROR(WWWW[[#This Row],['# of Water passed at HH]]/WWWW[[#This Row],['# of Water tested at HH]],"no test")</f>
        <v>no test</v>
      </c>
      <c r="AY46" s="210" t="str">
        <f>IF(AND(WWWW[[#This Row],[%of Water samples which passed at water source]]="no test",WWWW[[#This Row],[%Water samples which passed at HH]]="no test"),"No Test","Tested")</f>
        <v>No Test</v>
      </c>
      <c r="AZ4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6" s="211">
        <f>IF(WWWW[[#This Row],[Location Type 1]]="Village",WWWW[[#This Row],[Access to safe drinking water for Village]],WWWW[[#This Row],[Access to safe drinking water for Camp]])</f>
        <v>1</v>
      </c>
      <c r="BC46" s="209">
        <f>WWWW[[#This Row],[%Equitable and continuous access to sufficient quantity of safe drinking water]]*WWWW[[#This Row],[Total PoP ]]</f>
        <v>120</v>
      </c>
      <c r="BD46" s="211">
        <f>IF((WWWW[[#This Row],['# Existing protected/fenced ponds ]]*250)/WWWW[[#This Row],[Total PoP ]]&gt;1,1,WWWW[[#This Row],['# Existing protected/fenced ponds ]]*250/WWWW[[#This Row],[Total PoP ]])</f>
        <v>0</v>
      </c>
      <c r="BE46" s="209">
        <f>WWWW[[#This Row],[Access to unimproved water points]]*WWWW[[#This Row],[Total PoP ]]</f>
        <v>0</v>
      </c>
      <c r="BF4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120</v>
      </c>
      <c r="BH46" s="209">
        <f>WWWW[[#This Row],['#people Equitable and continuous access to sufficient quantity of domestic water borehole n ponds_2]]/500</f>
        <v>0.24</v>
      </c>
      <c r="BI46" s="208">
        <f>1-WWWW[[#This Row],[%Equitable and continuous access to sufficient quantity of domestic water borehole n ponds]]</f>
        <v>0</v>
      </c>
      <c r="BJ46" s="209">
        <f>WWWW[[#This Row],[%equitable and continuous access to sufficient quantity of safe drinking and domestic water''s GAP]]*WWWW[[#This Row],[Total PoP ]]</f>
        <v>0</v>
      </c>
      <c r="BK46" s="210">
        <f>IF(WWWW[[#This Row],[Total required water points]]-WWWW[[#This Row],['#Water points coverage]]&lt;0,0,WWWW[[#This Row],[Total required water points]]-WWWW[[#This Row],['#Water points coverage]])</f>
        <v>0.76</v>
      </c>
      <c r="BL46" s="210">
        <f>ROUND(IF(WWWW[[#This Row],[Total PoP ]]&lt;500,1,WWWW[[#This Row],[Total PoP ]]/500),0)</f>
        <v>1</v>
      </c>
      <c r="BM46" s="210">
        <f>WWWW[[#This Row],['# Existing functional latrines]]+WWWW[[#This Row],['# Existing latrines dysfunctional]]</f>
        <v>8</v>
      </c>
      <c r="BN4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6" s="352">
        <f>WWWW[[#This Row],[% people access to functioning Latrine]]*WWWW[[#This Row],[Total PoP ]]</f>
        <v>120</v>
      </c>
      <c r="BP4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6" s="209">
        <f>IF(WWWW[[#This Row],[Total required Latrines]]-WWWW[[#This Row],[Total '# of latrine]]&lt;0,0,WWWW[[#This Row],[Total required Latrines]]-WWWW[[#This Row],[Total '# of latrine]])</f>
        <v>0</v>
      </c>
      <c r="BR46" s="210">
        <f>ROUND(IF(WWWW[[#This Row],[Location Type 1]]="camp",WWWW[[#This Row],[Total PoP ]]/20,WWWW[[#This Row],[Total PoP ]]/6),0)</f>
        <v>6</v>
      </c>
      <c r="BS46" s="212">
        <f>IF(OR(WWWW[[#This Row],['# Existing latrines dysfunctional]]="",WWWW[[#This Row],['# Existing latrines dysfunctional]]=0),0,WWWW[[#This Row],['# Existing latrines dysfunctional]]/WWWW[[#This Row],[Total '# of latrine]])</f>
        <v>0</v>
      </c>
      <c r="BT4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6" s="209">
        <f>IF(500*WWWW[[#This Row],['# Hygiene Promoters ]]&gt;WWWW[[#This Row],[Total PoP ]],WWWW[[#This Row],[Total PoP ]],500*WWWW[[#This Row],['# Hygiene Promoters ]])</f>
        <v>120</v>
      </c>
      <c r="BV46" s="209">
        <f>IF(WWWW[[#This Row],[% of HH with access to Sanitary Pad]]&gt;=100%,1,0)</f>
        <v>0</v>
      </c>
      <c r="BW46" s="209">
        <f>IF(WWWW[[#This Row],[Total PoP ]]=0,0,IF(WWWW[[#This Row],['# Hygiene Promoters ]]=0,0,IF(WWWW[[#This Row],[Location Type 1]]="Village",IF(WWWW[[#This Row],[Total PoP ]]/WWWW[[#This Row],['# Hygiene Promoters ]]&lt;1000,1,0),IF(WWWW[[#This Row],[Total PoP ]]/WWWW[[#This Row],['# Hygiene Promoters ]]&lt;600,1,0))))</f>
        <v>1</v>
      </c>
      <c r="BX46" s="209">
        <f>IF(WWWW[[#This Row],[%HH with access to soap]]&gt;=100%,1,0)</f>
        <v>0</v>
      </c>
      <c r="BY46" s="209">
        <f>IF(WWWW[[#This Row],[% of HHs with access to Sanitary pad more than '#%]]+WWWW[[#This Row],[Ratio of Hyiene promoters to people less than '#]]+WWWW[[#This Row],[% of HHs with access to soap more than '#%]]&gt;=2,WWWW[[#This Row],[Total PoP ]],0)</f>
        <v>0</v>
      </c>
      <c r="BZ46" s="208">
        <f>WWWW[[#This Row],[People adopt basic personal and community hygiene practices]]/WWWW[[#This Row],[Total PoP ]]</f>
        <v>0</v>
      </c>
      <c r="CA46" s="212">
        <f>1-WWWW[[#This Row],[Hygiene Coverage%]]</f>
        <v>1</v>
      </c>
      <c r="CB46" s="211">
        <f>WWWW[[#This Row],['# people reached by regular dedicated hygiene promotion_5]]/WWWW[[#This Row],[Total PoP ]]</f>
        <v>1</v>
      </c>
      <c r="CC46" s="211">
        <f>IF(WWWW[[#This Row],['# HH received soaps]]/WWWW[[#This Row],[Total HH]]&gt;1,1,WWWW[[#This Row],['# HH received soaps]]/WWWW[[#This Row],[Total HH]])</f>
        <v>0</v>
      </c>
      <c r="CD46" s="211">
        <f>IF(WWWW[[#This Row],['# HH received Sanitary Pads]]/WWWW[[#This Row],[Total HH]]&gt;1,1,WWWW[[#This Row],['# HH received Sanitary Pads]]/WWWW[[#This Row],[Total HH]])</f>
        <v>0</v>
      </c>
      <c r="CE46" s="210">
        <f>WWWW[[#This Row],['# HH received soaps]]*5</f>
        <v>0</v>
      </c>
      <c r="CF46" s="210">
        <f>WWWW[[#This Row],['# HH received Sanitary Pads]]*5</f>
        <v>0</v>
      </c>
      <c r="CG46" s="210">
        <f>IF(WWWW[[#This Row],['# People with access to soap]]&gt;WWWW[[#This Row],['# People with access to Sanity Pads]],WWWW[[#This Row],['# People with access to soap]],WWWW[[#This Row],['# People with access to Sanity Pads]])</f>
        <v>0</v>
      </c>
      <c r="CH46" s="209">
        <f>WWWW[[#This Row],[Total HH]]*WWWW[[#This Row],[%HHs with access to functional hand washing stations]]</f>
        <v>6</v>
      </c>
      <c r="CI46" s="699" t="str">
        <f>VLOOKUP(WWWW[[#This Row],[Site Name]],SiteDB6[[Site Name]:[CCCM Management]],6,FALSE)</f>
        <v>Yes</v>
      </c>
      <c r="CJ46" s="699" t="str">
        <f>VLOOKUP(WWWW[[#This Row],[Site Name]],SiteDB6[[Site Name]:[CCCM Focal Agency]],7,FALSE)</f>
        <v>KBC</v>
      </c>
      <c r="CK46" s="699" t="str">
        <f>VLOOKUP(WWWW[[#This Row],[Site Name]],SiteDB6[[Site Name]:[Location Type]],8,FALSE)</f>
        <v>Camp</v>
      </c>
      <c r="CL46" s="699" t="str">
        <f>VLOOKUP(WWWW[[#This Row],[Site Name]],SiteDB6[[Site Name]:[Location Type 1]],9,FALSE)</f>
        <v>Camp</v>
      </c>
      <c r="CM46" s="699" t="str">
        <f>VLOOKUP(WWWW[[#This Row],[Site Name]],SiteDB6[[Site Name]:[Type of Accommodation]],10,FALSE)</f>
        <v>Camp</v>
      </c>
      <c r="CN46" s="699" t="str">
        <f>VLOOKUP(WWWW[[#This Row],[Site Name]],SiteDB6[[Site Name]:[Ethnic or GCA/NGCA]],11,FALSE)</f>
        <v>GCA</v>
      </c>
      <c r="CO46" s="699">
        <f>VLOOKUP(WWWW[[#This Row],[Site Name]],SiteDB6[[Site Name]:[Lat]],12,FALSE)</f>
        <v>25.920006000000001</v>
      </c>
      <c r="CP46" s="699">
        <f>VLOOKUP(WWWW[[#This Row],[Site Name]],SiteDB6[[Site Name]:[Long]],13,FALSE)</f>
        <v>96.662092000000001</v>
      </c>
      <c r="CQ46" s="699" t="str">
        <f>VLOOKUP(WWWW[[#This Row],[Site Name]],SiteDB6[[Site Name]:[Pcode]],3,FALSE)</f>
        <v>MMR001CMP244</v>
      </c>
      <c r="CR46" s="660" t="str">
        <f t="shared" si="0"/>
        <v>Covered</v>
      </c>
      <c r="CS46" s="660"/>
      <c r="CT46" s="24"/>
      <c r="CU46" s="24"/>
      <c r="CV46" s="24"/>
    </row>
    <row r="47" spans="1:100" ht="15.75" customHeight="1" x14ac:dyDescent="0.25">
      <c r="A47" s="833" t="s">
        <v>3206</v>
      </c>
      <c r="B47" s="206" t="s">
        <v>287</v>
      </c>
      <c r="C47" s="206" t="s">
        <v>44</v>
      </c>
      <c r="D47" s="206" t="s">
        <v>294</v>
      </c>
      <c r="E47" s="206" t="s">
        <v>335</v>
      </c>
      <c r="F47" s="206">
        <v>6</v>
      </c>
      <c r="G47" s="209">
        <v>15</v>
      </c>
      <c r="H47" s="206"/>
      <c r="I47" s="206" t="s">
        <v>296</v>
      </c>
      <c r="J47" s="207">
        <v>43465</v>
      </c>
      <c r="K47" s="206">
        <v>0</v>
      </c>
      <c r="L47" s="206" t="s">
        <v>48</v>
      </c>
      <c r="M47" s="208">
        <v>0.4</v>
      </c>
      <c r="N47" s="208">
        <v>0.5</v>
      </c>
      <c r="O47" s="316">
        <v>0</v>
      </c>
      <c r="P47" s="317">
        <v>1</v>
      </c>
      <c r="Q47" s="317">
        <v>0</v>
      </c>
      <c r="R47" s="318">
        <v>0</v>
      </c>
      <c r="S47" s="318">
        <v>0</v>
      </c>
      <c r="T47" s="318"/>
      <c r="U47" s="318">
        <v>0</v>
      </c>
      <c r="V47" s="318">
        <v>0</v>
      </c>
      <c r="W47" s="318">
        <v>0</v>
      </c>
      <c r="X47" s="318">
        <v>0</v>
      </c>
      <c r="Y47" s="318">
        <v>0</v>
      </c>
      <c r="Z47" s="318"/>
      <c r="AA47" s="310">
        <v>2</v>
      </c>
      <c r="AB47" s="310">
        <v>0</v>
      </c>
      <c r="AC47" s="66">
        <v>0</v>
      </c>
      <c r="AD47" s="66"/>
      <c r="AE47" s="310">
        <v>0</v>
      </c>
      <c r="AF47" s="310" t="s">
        <v>332</v>
      </c>
      <c r="AG47" s="311" t="s">
        <v>283</v>
      </c>
      <c r="AH47" s="311"/>
      <c r="AI47" s="310"/>
      <c r="AJ47" s="310"/>
      <c r="AK47" s="841">
        <v>0.2</v>
      </c>
      <c r="AL47" s="842" t="s">
        <v>376</v>
      </c>
      <c r="AM47" s="842">
        <v>0</v>
      </c>
      <c r="AN47" s="863">
        <v>1</v>
      </c>
      <c r="AO47" s="863">
        <v>1</v>
      </c>
      <c r="AP47" s="838">
        <v>0</v>
      </c>
      <c r="AQ47" s="843">
        <v>0</v>
      </c>
      <c r="AR47" s="843"/>
      <c r="AS47" s="843"/>
      <c r="AT47" s="843"/>
      <c r="AU47" s="843"/>
      <c r="AV47" s="844"/>
      <c r="AW47" s="208" t="str">
        <f>IFERROR(WWWW[[#This Row],['# of Water passed at source]]/WWWW[[#This Row],['# of Water tested at source]],"no test")</f>
        <v>no test</v>
      </c>
      <c r="AX47" s="211" t="str">
        <f>IFERROR(WWWW[[#This Row],['# of Water passed at HH]]/WWWW[[#This Row],['# of Water tested at HH]],"no test")</f>
        <v>no test</v>
      </c>
      <c r="AY47" s="210" t="str">
        <f>IF(AND(WWWW[[#This Row],[%of Water samples which passed at water source]]="no test",WWWW[[#This Row],[%Water samples which passed at HH]]="no test"),"No Test","Tested")</f>
        <v>No Test</v>
      </c>
      <c r="AZ4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7" s="211">
        <f>IF(WWWW[[#This Row],[Location Type 1]]="Village",WWWW[[#This Row],[Access to safe drinking water for Village]],WWWW[[#This Row],[Access to safe drinking water for Camp]])</f>
        <v>1</v>
      </c>
      <c r="BC47" s="209">
        <f>WWWW[[#This Row],[%Equitable and continuous access to sufficient quantity of safe drinking water]]*WWWW[[#This Row],[Total PoP ]]</f>
        <v>15</v>
      </c>
      <c r="BD47" s="211">
        <f>IF((WWWW[[#This Row],['# Existing protected/fenced ponds ]]*250)/WWWW[[#This Row],[Total PoP ]]&gt;1,1,WWWW[[#This Row],['# Existing protected/fenced ponds ]]*250/WWWW[[#This Row],[Total PoP ]])</f>
        <v>0</v>
      </c>
      <c r="BE47" s="209">
        <f>WWWW[[#This Row],[Access to unimproved water points]]*WWWW[[#This Row],[Total PoP ]]</f>
        <v>0</v>
      </c>
      <c r="BF4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v>
      </c>
      <c r="BH47" s="209">
        <f>WWWW[[#This Row],['#people Equitable and continuous access to sufficient quantity of domestic water borehole n ponds_2]]/500</f>
        <v>0.03</v>
      </c>
      <c r="BI47" s="208">
        <f>1-WWWW[[#This Row],[%Equitable and continuous access to sufficient quantity of domestic water borehole n ponds]]</f>
        <v>0</v>
      </c>
      <c r="BJ47" s="209">
        <f>WWWW[[#This Row],[%equitable and continuous access to sufficient quantity of safe drinking and domestic water''s GAP]]*WWWW[[#This Row],[Total PoP ]]</f>
        <v>0</v>
      </c>
      <c r="BK47" s="210">
        <f>IF(WWWW[[#This Row],[Total required water points]]-WWWW[[#This Row],['#Water points coverage]]&lt;0,0,WWWW[[#This Row],[Total required water points]]-WWWW[[#This Row],['#Water points coverage]])</f>
        <v>0.97</v>
      </c>
      <c r="BL47" s="210">
        <f>ROUND(IF(WWWW[[#This Row],[Total PoP ]]&lt;500,1,WWWW[[#This Row],[Total PoP ]]/500),0)</f>
        <v>1</v>
      </c>
      <c r="BM47" s="210">
        <f>WWWW[[#This Row],['# Existing functional latrines]]+WWWW[[#This Row],['# Existing latrines dysfunctional]]</f>
        <v>2</v>
      </c>
      <c r="BN4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7" s="352">
        <f>WWWW[[#This Row],[% people access to functioning Latrine]]*WWWW[[#This Row],[Total PoP ]]</f>
        <v>15</v>
      </c>
      <c r="BP4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7" s="209">
        <f>IF(WWWW[[#This Row],[Total required Latrines]]-WWWW[[#This Row],[Total '# of latrine]]&lt;0,0,WWWW[[#This Row],[Total required Latrines]]-WWWW[[#This Row],[Total '# of latrine]])</f>
        <v>0</v>
      </c>
      <c r="BR47" s="210">
        <f>ROUND(IF(WWWW[[#This Row],[Location Type 1]]="camp",WWWW[[#This Row],[Total PoP ]]/20,WWWW[[#This Row],[Total PoP ]]/6),0)</f>
        <v>1</v>
      </c>
      <c r="BS47" s="212">
        <f>IF(OR(WWWW[[#This Row],['# Existing latrines dysfunctional]]="",WWWW[[#This Row],['# Existing latrines dysfunctional]]=0),0,WWWW[[#This Row],['# Existing latrines dysfunctional]]/WWWW[[#This Row],[Total '# of latrine]])</f>
        <v>0</v>
      </c>
      <c r="BT4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7" s="209">
        <f>IF(500*WWWW[[#This Row],['# Hygiene Promoters ]]&gt;WWWW[[#This Row],[Total PoP ]],WWWW[[#This Row],[Total PoP ]],500*WWWW[[#This Row],['# Hygiene Promoters ]])</f>
        <v>15</v>
      </c>
      <c r="BV47" s="209">
        <f>IF(WWWW[[#This Row],[% of HH with access to Sanitary Pad]]&gt;=100%,1,0)</f>
        <v>0</v>
      </c>
      <c r="BW47" s="209">
        <f>IF(WWWW[[#This Row],[Total PoP ]]=0,0,IF(WWWW[[#This Row],['# Hygiene Promoters ]]=0,0,IF(WWWW[[#This Row],[Location Type 1]]="Village",IF(WWWW[[#This Row],[Total PoP ]]/WWWW[[#This Row],['# Hygiene Promoters ]]&lt;1000,1,0),IF(WWWW[[#This Row],[Total PoP ]]/WWWW[[#This Row],['# Hygiene Promoters ]]&lt;600,1,0))))</f>
        <v>1</v>
      </c>
      <c r="BX47" s="209">
        <f>IF(WWWW[[#This Row],[%HH with access to soap]]&gt;=100%,1,0)</f>
        <v>0</v>
      </c>
      <c r="BY47" s="209">
        <f>IF(WWWW[[#This Row],[% of HHs with access to Sanitary pad more than '#%]]+WWWW[[#This Row],[Ratio of Hyiene promoters to people less than '#]]+WWWW[[#This Row],[% of HHs with access to soap more than '#%]]&gt;=2,WWWW[[#This Row],[Total PoP ]],0)</f>
        <v>0</v>
      </c>
      <c r="BZ47" s="208">
        <f>WWWW[[#This Row],[People adopt basic personal and community hygiene practices]]/WWWW[[#This Row],[Total PoP ]]</f>
        <v>0</v>
      </c>
      <c r="CA47" s="212">
        <f>1-WWWW[[#This Row],[Hygiene Coverage%]]</f>
        <v>1</v>
      </c>
      <c r="CB47" s="211">
        <f>WWWW[[#This Row],['# people reached by regular dedicated hygiene promotion_5]]/WWWW[[#This Row],[Total PoP ]]</f>
        <v>1</v>
      </c>
      <c r="CC47" s="211">
        <f>IF(WWWW[[#This Row],['# HH received soaps]]/WWWW[[#This Row],[Total HH]]&gt;1,1,WWWW[[#This Row],['# HH received soaps]]/WWWW[[#This Row],[Total HH]])</f>
        <v>0</v>
      </c>
      <c r="CD47" s="211">
        <f>IF(WWWW[[#This Row],['# HH received Sanitary Pads]]/WWWW[[#This Row],[Total HH]]&gt;1,1,WWWW[[#This Row],['# HH received Sanitary Pads]]/WWWW[[#This Row],[Total HH]])</f>
        <v>0</v>
      </c>
      <c r="CE47" s="210">
        <f>WWWW[[#This Row],['# HH received soaps]]*5</f>
        <v>0</v>
      </c>
      <c r="CF47" s="210">
        <f>WWWW[[#This Row],['# HH received Sanitary Pads]]*5</f>
        <v>0</v>
      </c>
      <c r="CG47" s="210">
        <f>IF(WWWW[[#This Row],['# People with access to soap]]&gt;WWWW[[#This Row],['# People with access to Sanity Pads]],WWWW[[#This Row],['# People with access to soap]],WWWW[[#This Row],['# People with access to Sanity Pads]])</f>
        <v>0</v>
      </c>
      <c r="CH47" s="209">
        <f>WWWW[[#This Row],[Total HH]]*WWWW[[#This Row],[%HHs with access to functional hand washing stations]]</f>
        <v>1.2000000000000002</v>
      </c>
      <c r="CI47" s="699" t="str">
        <f>VLOOKUP(WWWW[[#This Row],[Site Name]],SiteDB6[[Site Name]:[CCCM Management]],6,FALSE)</f>
        <v>Yes</v>
      </c>
      <c r="CJ47" s="699" t="str">
        <f>VLOOKUP(WWWW[[#This Row],[Site Name]],SiteDB6[[Site Name]:[CCCM Focal Agency]],7,FALSE)</f>
        <v>uncovered</v>
      </c>
      <c r="CK47" s="699" t="str">
        <f>VLOOKUP(WWWW[[#This Row],[Site Name]],SiteDB6[[Site Name]:[Location Type]],8,FALSE)</f>
        <v>Camp</v>
      </c>
      <c r="CL47" s="699" t="str">
        <f>VLOOKUP(WWWW[[#This Row],[Site Name]],SiteDB6[[Site Name]:[Location Type 1]],9,FALSE)</f>
        <v>Camp</v>
      </c>
      <c r="CM47" s="699" t="str">
        <f>VLOOKUP(WWWW[[#This Row],[Site Name]],SiteDB6[[Site Name]:[Type of Accommodation]],10,FALSE)</f>
        <v>Camp like setting</v>
      </c>
      <c r="CN47" s="699" t="str">
        <f>VLOOKUP(WWWW[[#This Row],[Site Name]],SiteDB6[[Site Name]:[Ethnic or GCA/NGCA]],11,FALSE)</f>
        <v>GCA</v>
      </c>
      <c r="CO47" s="699">
        <f>VLOOKUP(WWWW[[#This Row],[Site Name]],SiteDB6[[Site Name]:[Lat]],12,FALSE)</f>
        <v>25.920006000000001</v>
      </c>
      <c r="CP47" s="699">
        <f>VLOOKUP(WWWW[[#This Row],[Site Name]],SiteDB6[[Site Name]:[Long]],13,FALSE)</f>
        <v>96.662092000000001</v>
      </c>
      <c r="CQ47" s="699" t="str">
        <f>VLOOKUP(WWWW[[#This Row],[Site Name]],SiteDB6[[Site Name]:[Pcode]],3,FALSE)</f>
        <v>MMR001CMP246</v>
      </c>
      <c r="CR47" s="660" t="str">
        <f t="shared" si="0"/>
        <v>Covered</v>
      </c>
      <c r="CS47" s="660"/>
      <c r="CT47" s="24"/>
      <c r="CU47" s="24"/>
      <c r="CV47" s="24"/>
    </row>
    <row r="48" spans="1:100" ht="15.75" customHeight="1" x14ac:dyDescent="0.25">
      <c r="A48" s="833" t="s">
        <v>3206</v>
      </c>
      <c r="B48" s="206" t="s">
        <v>43</v>
      </c>
      <c r="C48" s="206" t="s">
        <v>44</v>
      </c>
      <c r="D48" s="206" t="s">
        <v>294</v>
      </c>
      <c r="E48" s="206" t="s">
        <v>337</v>
      </c>
      <c r="F48" s="206">
        <v>20</v>
      </c>
      <c r="G48" s="209">
        <v>84</v>
      </c>
      <c r="H48" s="206"/>
      <c r="I48" s="206" t="s">
        <v>388</v>
      </c>
      <c r="J48" s="207">
        <v>43465</v>
      </c>
      <c r="K48" s="206">
        <v>0</v>
      </c>
      <c r="L48" s="206" t="s">
        <v>48</v>
      </c>
      <c r="M48" s="208">
        <v>0.5</v>
      </c>
      <c r="N48" s="208">
        <v>0.5</v>
      </c>
      <c r="O48" s="316">
        <v>0</v>
      </c>
      <c r="P48" s="317">
        <v>1</v>
      </c>
      <c r="Q48" s="317">
        <v>2000</v>
      </c>
      <c r="R48" s="318">
        <v>0</v>
      </c>
      <c r="S48" s="318">
        <v>0</v>
      </c>
      <c r="T48" s="318"/>
      <c r="U48" s="318">
        <v>0</v>
      </c>
      <c r="V48" s="318">
        <v>0</v>
      </c>
      <c r="W48" s="318">
        <v>0</v>
      </c>
      <c r="X48" s="318">
        <v>0</v>
      </c>
      <c r="Y48" s="318">
        <v>0</v>
      </c>
      <c r="Z48" s="318"/>
      <c r="AA48" s="310">
        <v>4</v>
      </c>
      <c r="AB48" s="310">
        <v>0</v>
      </c>
      <c r="AC48" s="66">
        <v>0</v>
      </c>
      <c r="AD48" s="66"/>
      <c r="AE48" s="310">
        <v>0</v>
      </c>
      <c r="AF48" s="310" t="s">
        <v>283</v>
      </c>
      <c r="AG48" s="311" t="s">
        <v>283</v>
      </c>
      <c r="AH48" s="311"/>
      <c r="AI48" s="310"/>
      <c r="AJ48" s="310"/>
      <c r="AK48" s="841">
        <v>0.2</v>
      </c>
      <c r="AL48" s="842" t="s">
        <v>376</v>
      </c>
      <c r="AM48" s="842">
        <v>0</v>
      </c>
      <c r="AN48" s="863">
        <v>1</v>
      </c>
      <c r="AO48" s="863">
        <v>1</v>
      </c>
      <c r="AP48" s="838">
        <v>0</v>
      </c>
      <c r="AQ48" s="843">
        <v>0</v>
      </c>
      <c r="AR48" s="843"/>
      <c r="AS48" s="843"/>
      <c r="AT48" s="843"/>
      <c r="AU48" s="843"/>
      <c r="AV48" s="844"/>
      <c r="AW48" s="208" t="str">
        <f>IFERROR(WWWW[[#This Row],['# of Water passed at source]]/WWWW[[#This Row],['# of Water tested at source]],"no test")</f>
        <v>no test</v>
      </c>
      <c r="AX48" s="211" t="str">
        <f>IFERROR(WWWW[[#This Row],['# of Water passed at HH]]/WWWW[[#This Row],['# of Water tested at HH]],"no test")</f>
        <v>no test</v>
      </c>
      <c r="AY48" s="210" t="str">
        <f>IF(AND(WWWW[[#This Row],[%of Water samples which passed at water source]]="no test",WWWW[[#This Row],[%Water samples which passed at HH]]="no test"),"No Test","Tested")</f>
        <v>No Test</v>
      </c>
      <c r="AZ4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8" s="211">
        <f>IF(WWWW[[#This Row],[Location Type 1]]="Village",WWWW[[#This Row],[Access to safe drinking water for Village]],WWWW[[#This Row],[Access to safe drinking water for Camp]])</f>
        <v>1</v>
      </c>
      <c r="BC48" s="209">
        <f>WWWW[[#This Row],[%Equitable and continuous access to sufficient quantity of safe drinking water]]*WWWW[[#This Row],[Total PoP ]]</f>
        <v>84</v>
      </c>
      <c r="BD48" s="211">
        <f>IF((WWWW[[#This Row],['# Existing protected/fenced ponds ]]*250)/WWWW[[#This Row],[Total PoP ]]&gt;1,1,WWWW[[#This Row],['# Existing protected/fenced ponds ]]*250/WWWW[[#This Row],[Total PoP ]])</f>
        <v>0</v>
      </c>
      <c r="BE48" s="209">
        <f>WWWW[[#This Row],[Access to unimproved water points]]*WWWW[[#This Row],[Total PoP ]]</f>
        <v>0</v>
      </c>
      <c r="BF4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84</v>
      </c>
      <c r="BH48" s="209">
        <f>WWWW[[#This Row],['#people Equitable and continuous access to sufficient quantity of domestic water borehole n ponds_2]]/500</f>
        <v>0.16800000000000001</v>
      </c>
      <c r="BI48" s="208">
        <f>1-WWWW[[#This Row],[%Equitable and continuous access to sufficient quantity of domestic water borehole n ponds]]</f>
        <v>0</v>
      </c>
      <c r="BJ48" s="209">
        <f>WWWW[[#This Row],[%equitable and continuous access to sufficient quantity of safe drinking and domestic water''s GAP]]*WWWW[[#This Row],[Total PoP ]]</f>
        <v>0</v>
      </c>
      <c r="BK48" s="210">
        <f>IF(WWWW[[#This Row],[Total required water points]]-WWWW[[#This Row],['#Water points coverage]]&lt;0,0,WWWW[[#This Row],[Total required water points]]-WWWW[[#This Row],['#Water points coverage]])</f>
        <v>0.83199999999999996</v>
      </c>
      <c r="BL48" s="210">
        <f>ROUND(IF(WWWW[[#This Row],[Total PoP ]]&lt;500,1,WWWW[[#This Row],[Total PoP ]]/500),0)</f>
        <v>1</v>
      </c>
      <c r="BM48" s="210">
        <f>WWWW[[#This Row],['# Existing functional latrines]]+WWWW[[#This Row],['# Existing latrines dysfunctional]]</f>
        <v>4</v>
      </c>
      <c r="BN4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0.95238095238095233</v>
      </c>
      <c r="BO48" s="352">
        <f>WWWW[[#This Row],[% people access to functioning Latrine]]*WWWW[[#This Row],[Total PoP ]]</f>
        <v>80</v>
      </c>
      <c r="BP4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8" s="209">
        <f>IF(WWWW[[#This Row],[Total required Latrines]]-WWWW[[#This Row],[Total '# of latrine]]&lt;0,0,WWWW[[#This Row],[Total required Latrines]]-WWWW[[#This Row],[Total '# of latrine]])</f>
        <v>0</v>
      </c>
      <c r="BR48" s="210">
        <f>ROUND(IF(WWWW[[#This Row],[Location Type 1]]="camp",WWWW[[#This Row],[Total PoP ]]/20,WWWW[[#This Row],[Total PoP ]]/6),0)</f>
        <v>4</v>
      </c>
      <c r="BS48" s="212">
        <f>IF(OR(WWWW[[#This Row],['# Existing latrines dysfunctional]]="",WWWW[[#This Row],['# Existing latrines dysfunctional]]=0),0,WWWW[[#This Row],['# Existing latrines dysfunctional]]/WWWW[[#This Row],[Total '# of latrine]])</f>
        <v>0</v>
      </c>
      <c r="BT4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8" s="209">
        <f>IF(500*WWWW[[#This Row],['# Hygiene Promoters ]]&gt;WWWW[[#This Row],[Total PoP ]],WWWW[[#This Row],[Total PoP ]],500*WWWW[[#This Row],['# Hygiene Promoters ]])</f>
        <v>84</v>
      </c>
      <c r="BV48" s="209">
        <f>IF(WWWW[[#This Row],[% of HH with access to Sanitary Pad]]&gt;=100%,1,0)</f>
        <v>0</v>
      </c>
      <c r="BW48" s="209">
        <f>IF(WWWW[[#This Row],[Total PoP ]]=0,0,IF(WWWW[[#This Row],['# Hygiene Promoters ]]=0,0,IF(WWWW[[#This Row],[Location Type 1]]="Village",IF(WWWW[[#This Row],[Total PoP ]]/WWWW[[#This Row],['# Hygiene Promoters ]]&lt;1000,1,0),IF(WWWW[[#This Row],[Total PoP ]]/WWWW[[#This Row],['# Hygiene Promoters ]]&lt;600,1,0))))</f>
        <v>1</v>
      </c>
      <c r="BX48" s="209">
        <f>IF(WWWW[[#This Row],[%HH with access to soap]]&gt;=100%,1,0)</f>
        <v>0</v>
      </c>
      <c r="BY48" s="209">
        <f>IF(WWWW[[#This Row],[% of HHs with access to Sanitary pad more than '#%]]+WWWW[[#This Row],[Ratio of Hyiene promoters to people less than '#]]+WWWW[[#This Row],[% of HHs with access to soap more than '#%]]&gt;=2,WWWW[[#This Row],[Total PoP ]],0)</f>
        <v>0</v>
      </c>
      <c r="BZ48" s="208">
        <f>WWWW[[#This Row],[People adopt basic personal and community hygiene practices]]/WWWW[[#This Row],[Total PoP ]]</f>
        <v>0</v>
      </c>
      <c r="CA48" s="212">
        <f>1-WWWW[[#This Row],[Hygiene Coverage%]]</f>
        <v>1</v>
      </c>
      <c r="CB48" s="211">
        <f>WWWW[[#This Row],['# people reached by regular dedicated hygiene promotion_5]]/WWWW[[#This Row],[Total PoP ]]</f>
        <v>1</v>
      </c>
      <c r="CC48" s="211">
        <f>IF(WWWW[[#This Row],['# HH received soaps]]/WWWW[[#This Row],[Total HH]]&gt;1,1,WWWW[[#This Row],['# HH received soaps]]/WWWW[[#This Row],[Total HH]])</f>
        <v>0</v>
      </c>
      <c r="CD48" s="211">
        <f>IF(WWWW[[#This Row],['# HH received Sanitary Pads]]/WWWW[[#This Row],[Total HH]]&gt;1,1,WWWW[[#This Row],['# HH received Sanitary Pads]]/WWWW[[#This Row],[Total HH]])</f>
        <v>0</v>
      </c>
      <c r="CE48" s="210">
        <f>WWWW[[#This Row],['# HH received soaps]]*5</f>
        <v>0</v>
      </c>
      <c r="CF48" s="210">
        <f>WWWW[[#This Row],['# HH received Sanitary Pads]]*5</f>
        <v>0</v>
      </c>
      <c r="CG48" s="210">
        <f>IF(WWWW[[#This Row],['# People with access to soap]]&gt;WWWW[[#This Row],['# People with access to Sanity Pads]],WWWW[[#This Row],['# People with access to soap]],WWWW[[#This Row],['# People with access to Sanity Pads]])</f>
        <v>0</v>
      </c>
      <c r="CH48" s="209">
        <f>WWWW[[#This Row],[Total HH]]*WWWW[[#This Row],[%HHs with access to functional hand washing stations]]</f>
        <v>4</v>
      </c>
      <c r="CI48" s="699">
        <f>VLOOKUP(WWWW[[#This Row],[Site Name]],SiteDB6[[Site Name]:[CCCM Management]],6,FALSE)</f>
        <v>0</v>
      </c>
      <c r="CJ48" s="699">
        <f>VLOOKUP(WWWW[[#This Row],[Site Name]],SiteDB6[[Site Name]:[CCCM Focal Agency]],7,FALSE)</f>
        <v>0</v>
      </c>
      <c r="CK48" s="699" t="str">
        <f>VLOOKUP(WWWW[[#This Row],[Site Name]],SiteDB6[[Site Name]:[Location Type]],8,FALSE)</f>
        <v>Camp_not registered</v>
      </c>
      <c r="CL48" s="699" t="str">
        <f>VLOOKUP(WWWW[[#This Row],[Site Name]],SiteDB6[[Site Name]:[Location Type 1]],9,FALSE)</f>
        <v>Camp</v>
      </c>
      <c r="CM48" s="699" t="str">
        <f>VLOOKUP(WWWW[[#This Row],[Site Name]],SiteDB6[[Site Name]:[Type of Accommodation]],10,FALSE)</f>
        <v>Camp</v>
      </c>
      <c r="CN48" s="699" t="str">
        <f>VLOOKUP(WWWW[[#This Row],[Site Name]],SiteDB6[[Site Name]:[Ethnic or GCA/NGCA]],11,FALSE)</f>
        <v>GCA</v>
      </c>
      <c r="CO48" s="699">
        <f>VLOOKUP(WWWW[[#This Row],[Site Name]],SiteDB6[[Site Name]:[Lat]],12,FALSE)</f>
        <v>0</v>
      </c>
      <c r="CP48" s="699">
        <f>VLOOKUP(WWWW[[#This Row],[Site Name]],SiteDB6[[Site Name]:[Long]],13,FALSE)</f>
        <v>0</v>
      </c>
      <c r="CQ48" s="699">
        <f>VLOOKUP(WWWW[[#This Row],[Site Name]],SiteDB6[[Site Name]:[Pcode]],3,FALSE)</f>
        <v>0</v>
      </c>
      <c r="CR48" s="660" t="str">
        <f t="shared" si="0"/>
        <v>Covered</v>
      </c>
      <c r="CS48" s="660"/>
      <c r="CT48" s="24"/>
      <c r="CU48" s="24"/>
      <c r="CV48" s="24"/>
    </row>
    <row r="49" spans="1:100" ht="15.75" customHeight="1" x14ac:dyDescent="0.25">
      <c r="A49" s="833" t="s">
        <v>3206</v>
      </c>
      <c r="B49" s="206" t="s">
        <v>389</v>
      </c>
      <c r="C49" s="206" t="s">
        <v>44</v>
      </c>
      <c r="D49" s="206" t="s">
        <v>294</v>
      </c>
      <c r="E49" s="206" t="s">
        <v>411</v>
      </c>
      <c r="F49" s="206">
        <v>32</v>
      </c>
      <c r="G49" s="209">
        <v>173</v>
      </c>
      <c r="H49" s="206"/>
      <c r="I49" s="206" t="s">
        <v>391</v>
      </c>
      <c r="J49" s="207">
        <v>42947</v>
      </c>
      <c r="K49" s="206">
        <v>0</v>
      </c>
      <c r="L49" s="206" t="s">
        <v>48</v>
      </c>
      <c r="M49" s="208">
        <v>0.25</v>
      </c>
      <c r="N49" s="208">
        <v>0</v>
      </c>
      <c r="O49" s="316">
        <v>0</v>
      </c>
      <c r="P49" s="317">
        <v>0</v>
      </c>
      <c r="Q49" s="317">
        <v>500</v>
      </c>
      <c r="R49" s="318">
        <v>0</v>
      </c>
      <c r="S49" s="318">
        <v>1</v>
      </c>
      <c r="T49" s="318"/>
      <c r="U49" s="318">
        <v>1</v>
      </c>
      <c r="V49" s="318">
        <v>0</v>
      </c>
      <c r="W49" s="318">
        <v>1</v>
      </c>
      <c r="X49" s="318">
        <v>1</v>
      </c>
      <c r="Y49" s="318">
        <v>0</v>
      </c>
      <c r="Z49" s="318"/>
      <c r="AA49" s="310">
        <v>10</v>
      </c>
      <c r="AB49" s="310">
        <v>4</v>
      </c>
      <c r="AC49" s="66">
        <v>0</v>
      </c>
      <c r="AD49" s="66" t="s">
        <v>2789</v>
      </c>
      <c r="AE49" s="310">
        <v>10</v>
      </c>
      <c r="AF49" s="310" t="s">
        <v>283</v>
      </c>
      <c r="AG49" s="311" t="s">
        <v>283</v>
      </c>
      <c r="AH49" s="311">
        <v>0</v>
      </c>
      <c r="AI49" s="310">
        <v>0</v>
      </c>
      <c r="AJ49" s="310"/>
      <c r="AK49" s="841">
        <v>0.4</v>
      </c>
      <c r="AL49" s="842" t="s">
        <v>376</v>
      </c>
      <c r="AM49" s="842">
        <v>0</v>
      </c>
      <c r="AN49" s="863">
        <v>3</v>
      </c>
      <c r="AO49" s="863">
        <v>0</v>
      </c>
      <c r="AP49" s="838">
        <v>0</v>
      </c>
      <c r="AQ49" s="843">
        <v>0</v>
      </c>
      <c r="AR49" s="843"/>
      <c r="AS49" s="843"/>
      <c r="AT49" s="843">
        <v>1</v>
      </c>
      <c r="AU49" s="843"/>
      <c r="AV49" s="844"/>
      <c r="AW49" s="208">
        <f>IFERROR(WWWW[[#This Row],['# of Water passed at source]]/WWWW[[#This Row],['# of Water tested at source]],"no test")</f>
        <v>0</v>
      </c>
      <c r="AX49" s="211">
        <f>IFERROR(WWWW[[#This Row],['# of Water passed at HH]]/WWWW[[#This Row],['# of Water tested at HH]],"no test")</f>
        <v>1</v>
      </c>
      <c r="AY49" s="210" t="str">
        <f>IF(AND(WWWW[[#This Row],[%of Water samples which passed at water source]]="no test",WWWW[[#This Row],[%Water samples which passed at HH]]="no test"),"No Test","Tested")</f>
        <v>Tested</v>
      </c>
      <c r="AZ4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0.19267822736030829</v>
      </c>
      <c r="BA4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0.19267822736030829</v>
      </c>
      <c r="BB49" s="211">
        <f>IF(WWWW[[#This Row],[Location Type 1]]="Village",WWWW[[#This Row],[Access to safe drinking water for Village]],WWWW[[#This Row],[Access to safe drinking water for Camp]])</f>
        <v>0.19267822736030829</v>
      </c>
      <c r="BC49" s="209">
        <f>WWWW[[#This Row],[%Equitable and continuous access to sufficient quantity of safe drinking water]]*WWWW[[#This Row],[Total PoP ]]</f>
        <v>33.333333333333336</v>
      </c>
      <c r="BD49" s="211">
        <f>IF((WWWW[[#This Row],['# Existing protected/fenced ponds ]]*250)/WWWW[[#This Row],[Total PoP ]]&gt;1,1,WWWW[[#This Row],['# Existing protected/fenced ponds ]]*250/WWWW[[#This Row],[Total PoP ]])</f>
        <v>0</v>
      </c>
      <c r="BE49" s="209">
        <f>WWWW[[#This Row],[Access to unimproved water points]]*WWWW[[#This Row],[Total PoP ]]</f>
        <v>0</v>
      </c>
      <c r="BF4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0.19267822736030829</v>
      </c>
      <c r="BG4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33.333333333333336</v>
      </c>
      <c r="BH49" s="209">
        <f>WWWW[[#This Row],['#people Equitable and continuous access to sufficient quantity of domestic water borehole n ponds_2]]/500</f>
        <v>6.6666666666666666E-2</v>
      </c>
      <c r="BI49" s="208">
        <f>1-WWWW[[#This Row],[%Equitable and continuous access to sufficient quantity of domestic water borehole n ponds]]</f>
        <v>0.80732177263969174</v>
      </c>
      <c r="BJ49" s="209">
        <f>WWWW[[#This Row],[%equitable and continuous access to sufficient quantity of safe drinking and domestic water''s GAP]]*WWWW[[#This Row],[Total PoP ]]</f>
        <v>139.66666666666666</v>
      </c>
      <c r="BK49" s="210">
        <f>IF(WWWW[[#This Row],[Total required water points]]-WWWW[[#This Row],['#Water points coverage]]&lt;0,0,WWWW[[#This Row],[Total required water points]]-WWWW[[#This Row],['#Water points coverage]])</f>
        <v>0.93333333333333335</v>
      </c>
      <c r="BL49" s="210">
        <f>ROUND(IF(WWWW[[#This Row],[Total PoP ]]&lt;500,1,WWWW[[#This Row],[Total PoP ]]/500),0)</f>
        <v>1</v>
      </c>
      <c r="BM49" s="210">
        <f>WWWW[[#This Row],['# Existing functional latrines]]+WWWW[[#This Row],['# Existing latrines dysfunctional]]</f>
        <v>14</v>
      </c>
      <c r="BN4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9" s="352">
        <f>WWWW[[#This Row],[% people access to functioning Latrine]]*WWWW[[#This Row],[Total PoP ]]</f>
        <v>173</v>
      </c>
      <c r="BP4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9" s="209">
        <f>IF(WWWW[[#This Row],[Total required Latrines]]-WWWW[[#This Row],[Total '# of latrine]]&lt;0,0,WWWW[[#This Row],[Total required Latrines]]-WWWW[[#This Row],[Total '# of latrine]])</f>
        <v>0</v>
      </c>
      <c r="BR49" s="210">
        <f>ROUND(IF(WWWW[[#This Row],[Location Type 1]]="camp",WWWW[[#This Row],[Total PoP ]]/20,WWWW[[#This Row],[Total PoP ]]/6),0)</f>
        <v>9</v>
      </c>
      <c r="BS49" s="212">
        <f>IF(OR(WWWW[[#This Row],['# Existing latrines dysfunctional]]="",WWWW[[#This Row],['# Existing latrines dysfunctional]]=0),0,WWWW[[#This Row],['# Existing latrines dysfunctional]]/WWWW[[#This Row],[Total '# of latrine]])</f>
        <v>0.2857142857142857</v>
      </c>
      <c r="BT4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9" s="209">
        <f>IF(500*WWWW[[#This Row],['# Hygiene Promoters ]]&gt;WWWW[[#This Row],[Total PoP ]],WWWW[[#This Row],[Total PoP ]],500*WWWW[[#This Row],['# Hygiene Promoters ]])</f>
        <v>0</v>
      </c>
      <c r="BV49" s="209">
        <f>IF(WWWW[[#This Row],[% of HH with access to Sanitary Pad]]&gt;=100%,1,0)</f>
        <v>0</v>
      </c>
      <c r="BW49" s="209">
        <f>IF(WWWW[[#This Row],[Total PoP ]]=0,0,IF(WWWW[[#This Row],['# Hygiene Promoters ]]=0,0,IF(WWWW[[#This Row],[Location Type 1]]="Village",IF(WWWW[[#This Row],[Total PoP ]]/WWWW[[#This Row],['# Hygiene Promoters ]]&lt;1000,1,0),IF(WWWW[[#This Row],[Total PoP ]]/WWWW[[#This Row],['# Hygiene Promoters ]]&lt;600,1,0))))</f>
        <v>0</v>
      </c>
      <c r="BX49" s="209">
        <f>IF(WWWW[[#This Row],[%HH with access to soap]]&gt;=100%,1,0)</f>
        <v>0</v>
      </c>
      <c r="BY49" s="209">
        <f>IF(WWWW[[#This Row],[% of HHs with access to Sanitary pad more than '#%]]+WWWW[[#This Row],[Ratio of Hyiene promoters to people less than '#]]+WWWW[[#This Row],[% of HHs with access to soap more than '#%]]&gt;=2,WWWW[[#This Row],[Total PoP ]],0)</f>
        <v>0</v>
      </c>
      <c r="BZ49" s="208">
        <f>WWWW[[#This Row],[People adopt basic personal and community hygiene practices]]/WWWW[[#This Row],[Total PoP ]]</f>
        <v>0</v>
      </c>
      <c r="CA49" s="212">
        <f>1-WWWW[[#This Row],[Hygiene Coverage%]]</f>
        <v>1</v>
      </c>
      <c r="CB49" s="211">
        <f>WWWW[[#This Row],['# people reached by regular dedicated hygiene promotion_5]]/WWWW[[#This Row],[Total PoP ]]</f>
        <v>0</v>
      </c>
      <c r="CC49" s="211">
        <f>IF(WWWW[[#This Row],['# HH received soaps]]/WWWW[[#This Row],[Total HH]]&gt;1,1,WWWW[[#This Row],['# HH received soaps]]/WWWW[[#This Row],[Total HH]])</f>
        <v>0</v>
      </c>
      <c r="CD49" s="211">
        <f>IF(WWWW[[#This Row],['# HH received Sanitary Pads]]/WWWW[[#This Row],[Total HH]]&gt;1,1,WWWW[[#This Row],['# HH received Sanitary Pads]]/WWWW[[#This Row],[Total HH]])</f>
        <v>0</v>
      </c>
      <c r="CE49" s="210">
        <f>WWWW[[#This Row],['# HH received soaps]]*5</f>
        <v>0</v>
      </c>
      <c r="CF49" s="210">
        <f>WWWW[[#This Row],['# HH received Sanitary Pads]]*5</f>
        <v>0</v>
      </c>
      <c r="CG49" s="210">
        <f>IF(WWWW[[#This Row],['# People with access to soap]]&gt;WWWW[[#This Row],['# People with access to Sanity Pads]],WWWW[[#This Row],['# People with access to soap]],WWWW[[#This Row],['# People with access to Sanity Pads]])</f>
        <v>0</v>
      </c>
      <c r="CH49" s="209">
        <f>WWWW[[#This Row],[Total HH]]*WWWW[[#This Row],[%HHs with access to functional hand washing stations]]</f>
        <v>12.8</v>
      </c>
      <c r="CI49" s="699" t="str">
        <f>VLOOKUP(WWWW[[#This Row],[Site Name]],SiteDB6[[Site Name]:[CCCM Management]],6,FALSE)</f>
        <v>Yes</v>
      </c>
      <c r="CJ49" s="699" t="str">
        <f>VLOOKUP(WWWW[[#This Row],[Site Name]],SiteDB6[[Site Name]:[CCCM Focal Agency]],7,FALSE)</f>
        <v>KBC</v>
      </c>
      <c r="CK49" s="699" t="str">
        <f>VLOOKUP(WWWW[[#This Row],[Site Name]],SiteDB6[[Site Name]:[Location Type]],8,FALSE)</f>
        <v>Camp</v>
      </c>
      <c r="CL49" s="699" t="str">
        <f>VLOOKUP(WWWW[[#This Row],[Site Name]],SiteDB6[[Site Name]:[Location Type 1]],9,FALSE)</f>
        <v>Camp</v>
      </c>
      <c r="CM49" s="699" t="str">
        <f>VLOOKUP(WWWW[[#This Row],[Site Name]],SiteDB6[[Site Name]:[Type of Accommodation]],10,FALSE)</f>
        <v>Camp</v>
      </c>
      <c r="CN49" s="699" t="str">
        <f>VLOOKUP(WWWW[[#This Row],[Site Name]],SiteDB6[[Site Name]:[Ethnic or GCA/NGCA]],11,FALSE)</f>
        <v>GCA</v>
      </c>
      <c r="CO49" s="699">
        <f>VLOOKUP(WWWW[[#This Row],[Site Name]],SiteDB6[[Site Name]:[Lat]],12,FALSE)</f>
        <v>25.577559999999998</v>
      </c>
      <c r="CP49" s="699">
        <f>VLOOKUP(WWWW[[#This Row],[Site Name]],SiteDB6[[Site Name]:[Long]],13,FALSE)</f>
        <v>96.286680000000004</v>
      </c>
      <c r="CQ49" s="699" t="str">
        <f>VLOOKUP(WWWW[[#This Row],[Site Name]],SiteDB6[[Site Name]:[Pcode]],3,FALSE)</f>
        <v>MMR001CMP184</v>
      </c>
      <c r="CR49" s="660" t="str">
        <f t="shared" si="0"/>
        <v>Covered</v>
      </c>
      <c r="CS49" s="660"/>
      <c r="CT49" s="24"/>
      <c r="CU49" s="24"/>
      <c r="CV49" s="24"/>
    </row>
    <row r="50" spans="1:100" ht="15.75" customHeight="1" x14ac:dyDescent="0.25">
      <c r="A50" s="833" t="s">
        <v>3206</v>
      </c>
      <c r="B50" s="206" t="s">
        <v>389</v>
      </c>
      <c r="C50" s="206" t="s">
        <v>44</v>
      </c>
      <c r="D50" s="206" t="s">
        <v>294</v>
      </c>
      <c r="E50" s="206" t="s">
        <v>412</v>
      </c>
      <c r="F50" s="206">
        <v>16</v>
      </c>
      <c r="G50" s="209">
        <v>67</v>
      </c>
      <c r="H50" s="206"/>
      <c r="I50" s="206" t="s">
        <v>391</v>
      </c>
      <c r="J50" s="207">
        <v>42947</v>
      </c>
      <c r="K50" s="206">
        <v>0</v>
      </c>
      <c r="L50" s="206" t="s">
        <v>48</v>
      </c>
      <c r="M50" s="208">
        <v>0.5</v>
      </c>
      <c r="N50" s="208">
        <v>1</v>
      </c>
      <c r="O50" s="316">
        <v>1</v>
      </c>
      <c r="P50" s="317">
        <v>0</v>
      </c>
      <c r="Q50" s="317">
        <v>0</v>
      </c>
      <c r="R50" s="318">
        <v>0</v>
      </c>
      <c r="S50" s="318">
        <v>1</v>
      </c>
      <c r="T50" s="318"/>
      <c r="U50" s="318">
        <v>1</v>
      </c>
      <c r="V50" s="318">
        <v>0</v>
      </c>
      <c r="W50" s="318">
        <v>2</v>
      </c>
      <c r="X50" s="318">
        <v>0</v>
      </c>
      <c r="Y50" s="318">
        <v>0</v>
      </c>
      <c r="Z50" s="318"/>
      <c r="AA50" s="310">
        <v>2</v>
      </c>
      <c r="AB50" s="310">
        <v>0</v>
      </c>
      <c r="AC50" s="66">
        <v>2</v>
      </c>
      <c r="AD50" s="66" t="s">
        <v>2789</v>
      </c>
      <c r="AE50" s="310">
        <v>2</v>
      </c>
      <c r="AF50" s="310" t="s">
        <v>283</v>
      </c>
      <c r="AG50" s="311" t="s">
        <v>1358</v>
      </c>
      <c r="AH50" s="311">
        <v>0</v>
      </c>
      <c r="AI50" s="310">
        <v>0</v>
      </c>
      <c r="AJ50" s="310"/>
      <c r="AK50" s="841">
        <v>0.6</v>
      </c>
      <c r="AL50" s="842" t="s">
        <v>376</v>
      </c>
      <c r="AM50" s="842">
        <v>0</v>
      </c>
      <c r="AN50" s="863">
        <v>2</v>
      </c>
      <c r="AO50" s="863">
        <v>0</v>
      </c>
      <c r="AP50" s="838">
        <v>0</v>
      </c>
      <c r="AQ50" s="843">
        <v>0</v>
      </c>
      <c r="AR50" s="843"/>
      <c r="AS50" s="843"/>
      <c r="AT50" s="843">
        <v>1</v>
      </c>
      <c r="AU50" s="843"/>
      <c r="AV50" s="844"/>
      <c r="AW50" s="208">
        <f>IFERROR(WWWW[[#This Row],['# of Water passed at source]]/WWWW[[#This Row],['# of Water tested at source]],"no test")</f>
        <v>0</v>
      </c>
      <c r="AX50" s="211">
        <f>IFERROR(WWWW[[#This Row],['# of Water passed at HH]]/WWWW[[#This Row],['# of Water tested at HH]],"no test")</f>
        <v>0</v>
      </c>
      <c r="AY50" s="210" t="str">
        <f>IF(AND(WWWW[[#This Row],[%of Water samples which passed at water source]]="no test",WWWW[[#This Row],[%Water samples which passed at HH]]="no test"),"No Test","Tested")</f>
        <v>Tested</v>
      </c>
      <c r="AZ5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5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50" s="211">
        <f>IF(WWWW[[#This Row],[Location Type 1]]="Village",WWWW[[#This Row],[Access to safe drinking water for Village]],WWWW[[#This Row],[Access to safe drinking water for Camp]])</f>
        <v>1</v>
      </c>
      <c r="BC50" s="209">
        <f>WWWW[[#This Row],[%Equitable and continuous access to sufficient quantity of safe drinking water]]*WWWW[[#This Row],[Total PoP ]]</f>
        <v>67</v>
      </c>
      <c r="BD50" s="211">
        <f>IF((WWWW[[#This Row],['# Existing protected/fenced ponds ]]*250)/WWWW[[#This Row],[Total PoP ]]&gt;1,1,WWWW[[#This Row],['# Existing protected/fenced ponds ]]*250/WWWW[[#This Row],[Total PoP ]])</f>
        <v>0</v>
      </c>
      <c r="BE50" s="209">
        <f>WWWW[[#This Row],[Access to unimproved water points]]*WWWW[[#This Row],[Total PoP ]]</f>
        <v>0</v>
      </c>
      <c r="BF5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5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67</v>
      </c>
      <c r="BH50" s="209">
        <f>WWWW[[#This Row],['#people Equitable and continuous access to sufficient quantity of domestic water borehole n ponds_2]]/500</f>
        <v>0.13400000000000001</v>
      </c>
      <c r="BI50" s="208">
        <f>1-WWWW[[#This Row],[%Equitable and continuous access to sufficient quantity of domestic water borehole n ponds]]</f>
        <v>0</v>
      </c>
      <c r="BJ50" s="209">
        <f>WWWW[[#This Row],[%equitable and continuous access to sufficient quantity of safe drinking and domestic water''s GAP]]*WWWW[[#This Row],[Total PoP ]]</f>
        <v>0</v>
      </c>
      <c r="BK50" s="210">
        <f>IF(WWWW[[#This Row],[Total required water points]]-WWWW[[#This Row],['#Water points coverage]]&lt;0,0,WWWW[[#This Row],[Total required water points]]-WWWW[[#This Row],['#Water points coverage]])</f>
        <v>0.86599999999999999</v>
      </c>
      <c r="BL50" s="210">
        <f>ROUND(IF(WWWW[[#This Row],[Total PoP ]]&lt;500,1,WWWW[[#This Row],[Total PoP ]]/500),0)</f>
        <v>1</v>
      </c>
      <c r="BM50" s="210">
        <f>WWWW[[#This Row],['# Existing functional latrines]]+WWWW[[#This Row],['# Existing latrines dysfunctional]]</f>
        <v>2</v>
      </c>
      <c r="BN5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0.59701492537313428</v>
      </c>
      <c r="BO50" s="352">
        <f>WWWW[[#This Row],[% people access to functioning Latrine]]*WWWW[[#This Row],[Total PoP ]]</f>
        <v>40</v>
      </c>
      <c r="BP5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0.29850746268656714</v>
      </c>
      <c r="BQ50" s="209">
        <f>IF(WWWW[[#This Row],[Total required Latrines]]-WWWW[[#This Row],[Total '# of latrine]]&lt;0,0,WWWW[[#This Row],[Total required Latrines]]-WWWW[[#This Row],[Total '# of latrine]])</f>
        <v>1</v>
      </c>
      <c r="BR50" s="210">
        <f>ROUND(IF(WWWW[[#This Row],[Location Type 1]]="camp",WWWW[[#This Row],[Total PoP ]]/20,WWWW[[#This Row],[Total PoP ]]/6),0)</f>
        <v>3</v>
      </c>
      <c r="BS50" s="212">
        <f>IF(OR(WWWW[[#This Row],['# Existing latrines dysfunctional]]="",WWWW[[#This Row],['# Existing latrines dysfunctional]]=0),0,WWWW[[#This Row],['# Existing latrines dysfunctional]]/WWWW[[#This Row],[Total '# of latrine]])</f>
        <v>0</v>
      </c>
      <c r="BT5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U50" s="209">
        <f>IF(500*WWWW[[#This Row],['# Hygiene Promoters ]]&gt;WWWW[[#This Row],[Total PoP ]],WWWW[[#This Row],[Total PoP ]],500*WWWW[[#This Row],['# Hygiene Promoters ]])</f>
        <v>0</v>
      </c>
      <c r="BV50" s="209">
        <f>IF(WWWW[[#This Row],[% of HH with access to Sanitary Pad]]&gt;=100%,1,0)</f>
        <v>0</v>
      </c>
      <c r="BW50" s="209">
        <f>IF(WWWW[[#This Row],[Total PoP ]]=0,0,IF(WWWW[[#This Row],['# Hygiene Promoters ]]=0,0,IF(WWWW[[#This Row],[Location Type 1]]="Village",IF(WWWW[[#This Row],[Total PoP ]]/WWWW[[#This Row],['# Hygiene Promoters ]]&lt;1000,1,0),IF(WWWW[[#This Row],[Total PoP ]]/WWWW[[#This Row],['# Hygiene Promoters ]]&lt;600,1,0))))</f>
        <v>0</v>
      </c>
      <c r="BX50" s="209">
        <f>IF(WWWW[[#This Row],[%HH with access to soap]]&gt;=100%,1,0)</f>
        <v>0</v>
      </c>
      <c r="BY50" s="209">
        <f>IF(WWWW[[#This Row],[% of HHs with access to Sanitary pad more than '#%]]+WWWW[[#This Row],[Ratio of Hyiene promoters to people less than '#]]+WWWW[[#This Row],[% of HHs with access to soap more than '#%]]&gt;=2,WWWW[[#This Row],[Total PoP ]],0)</f>
        <v>0</v>
      </c>
      <c r="BZ50" s="208">
        <f>WWWW[[#This Row],[People adopt basic personal and community hygiene practices]]/WWWW[[#This Row],[Total PoP ]]</f>
        <v>0</v>
      </c>
      <c r="CA50" s="212">
        <f>1-WWWW[[#This Row],[Hygiene Coverage%]]</f>
        <v>1</v>
      </c>
      <c r="CB50" s="211">
        <f>WWWW[[#This Row],['# people reached by regular dedicated hygiene promotion_5]]/WWWW[[#This Row],[Total PoP ]]</f>
        <v>0</v>
      </c>
      <c r="CC50" s="211">
        <f>IF(WWWW[[#This Row],['# HH received soaps]]/WWWW[[#This Row],[Total HH]]&gt;1,1,WWWW[[#This Row],['# HH received soaps]]/WWWW[[#This Row],[Total HH]])</f>
        <v>0</v>
      </c>
      <c r="CD50" s="211">
        <f>IF(WWWW[[#This Row],['# HH received Sanitary Pads]]/WWWW[[#This Row],[Total HH]]&gt;1,1,WWWW[[#This Row],['# HH received Sanitary Pads]]/WWWW[[#This Row],[Total HH]])</f>
        <v>0</v>
      </c>
      <c r="CE50" s="210">
        <f>WWWW[[#This Row],['# HH received soaps]]*5</f>
        <v>0</v>
      </c>
      <c r="CF50" s="210">
        <f>WWWW[[#This Row],['# HH received Sanitary Pads]]*5</f>
        <v>0</v>
      </c>
      <c r="CG50" s="210">
        <f>IF(WWWW[[#This Row],['# People with access to soap]]&gt;WWWW[[#This Row],['# People with access to Sanity Pads]],WWWW[[#This Row],['# People with access to soap]],WWWW[[#This Row],['# People with access to Sanity Pads]])</f>
        <v>0</v>
      </c>
      <c r="CH50" s="209">
        <f>WWWW[[#This Row],[Total HH]]*WWWW[[#This Row],[%HHs with access to functional hand washing stations]]</f>
        <v>9.6</v>
      </c>
      <c r="CI50" s="699" t="str">
        <f>VLOOKUP(WWWW[[#This Row],[Site Name]],SiteDB6[[Site Name]:[CCCM Management]],6,FALSE)</f>
        <v>Yes</v>
      </c>
      <c r="CJ50" s="699" t="str">
        <f>VLOOKUP(WWWW[[#This Row],[Site Name]],SiteDB6[[Site Name]:[CCCM Focal Agency]],7,FALSE)</f>
        <v>KBC</v>
      </c>
      <c r="CK50" s="699" t="str">
        <f>VLOOKUP(WWWW[[#This Row],[Site Name]],SiteDB6[[Site Name]:[Location Type]],8,FALSE)</f>
        <v>Camp</v>
      </c>
      <c r="CL50" s="699" t="str">
        <f>VLOOKUP(WWWW[[#This Row],[Site Name]],SiteDB6[[Site Name]:[Location Type 1]],9,FALSE)</f>
        <v>Camp</v>
      </c>
      <c r="CM50" s="699" t="str">
        <f>VLOOKUP(WWWW[[#This Row],[Site Name]],SiteDB6[[Site Name]:[Type of Accommodation]],10,FALSE)</f>
        <v>Camp</v>
      </c>
      <c r="CN50" s="699" t="str">
        <f>VLOOKUP(WWWW[[#This Row],[Site Name]],SiteDB6[[Site Name]:[Ethnic or GCA/NGCA]],11,FALSE)</f>
        <v>GCA</v>
      </c>
      <c r="CO50" s="699">
        <f>VLOOKUP(WWWW[[#This Row],[Site Name]],SiteDB6[[Site Name]:[Lat]],12,FALSE)</f>
        <v>25.599250000000001</v>
      </c>
      <c r="CP50" s="699">
        <f>VLOOKUP(WWWW[[#This Row],[Site Name]],SiteDB6[[Site Name]:[Long]],13,FALSE)</f>
        <v>96.306910999999999</v>
      </c>
      <c r="CQ50" s="699" t="str">
        <f>VLOOKUP(WWWW[[#This Row],[Site Name]],SiteDB6[[Site Name]:[Pcode]],3,FALSE)</f>
        <v>MMR001CMP105</v>
      </c>
      <c r="CR50" s="660" t="str">
        <f t="shared" si="0"/>
        <v>Covered</v>
      </c>
      <c r="CS50" s="660"/>
      <c r="CT50" s="24"/>
      <c r="CU50" s="24"/>
      <c r="CV50" s="24"/>
    </row>
    <row r="51" spans="1:100" ht="15.75" customHeight="1" x14ac:dyDescent="0.25">
      <c r="A51" s="833" t="s">
        <v>3206</v>
      </c>
      <c r="B51" s="206" t="s">
        <v>441</v>
      </c>
      <c r="C51" s="206" t="s">
        <v>44</v>
      </c>
      <c r="D51" s="206" t="s">
        <v>45</v>
      </c>
      <c r="E51" s="206" t="s">
        <v>2443</v>
      </c>
      <c r="F51" s="206">
        <v>358</v>
      </c>
      <c r="G51" s="209">
        <v>1661</v>
      </c>
      <c r="H51" s="206">
        <v>659</v>
      </c>
      <c r="I51" s="206" t="s">
        <v>2407</v>
      </c>
      <c r="J51" s="207">
        <v>43799</v>
      </c>
      <c r="K51" s="206">
        <v>0</v>
      </c>
      <c r="L51" s="206" t="s">
        <v>48</v>
      </c>
      <c r="M51" s="208">
        <v>0.6</v>
      </c>
      <c r="N51" s="208">
        <v>0.1</v>
      </c>
      <c r="O51" s="316">
        <v>4</v>
      </c>
      <c r="P51" s="317">
        <v>0</v>
      </c>
      <c r="Q51" s="317">
        <v>23166</v>
      </c>
      <c r="R51" s="318">
        <v>5</v>
      </c>
      <c r="S51" s="318">
        <v>5</v>
      </c>
      <c r="T51" s="318">
        <v>5</v>
      </c>
      <c r="U51" s="318">
        <v>0</v>
      </c>
      <c r="V51" s="318">
        <v>0</v>
      </c>
      <c r="W51" s="318">
        <v>47</v>
      </c>
      <c r="X51" s="318">
        <v>10</v>
      </c>
      <c r="Y51" s="318">
        <v>0</v>
      </c>
      <c r="Z51" s="318" t="s">
        <v>3215</v>
      </c>
      <c r="AA51" s="310">
        <v>130</v>
      </c>
      <c r="AB51" s="310">
        <v>56</v>
      </c>
      <c r="AC51" s="66">
        <v>0</v>
      </c>
      <c r="AD51" s="66"/>
      <c r="AE51" s="310">
        <v>0</v>
      </c>
      <c r="AF51" s="310" t="s">
        <v>332</v>
      </c>
      <c r="AG51" s="311" t="s">
        <v>1358</v>
      </c>
      <c r="AH51" s="311">
        <v>0</v>
      </c>
      <c r="AI51" s="310">
        <v>0</v>
      </c>
      <c r="AJ51" s="310" t="s">
        <v>3216</v>
      </c>
      <c r="AK51" s="841">
        <v>0.8</v>
      </c>
      <c r="AL51" s="842" t="s">
        <v>376</v>
      </c>
      <c r="AM51" s="842">
        <v>0</v>
      </c>
      <c r="AN51" s="863">
        <v>14</v>
      </c>
      <c r="AO51" s="863">
        <v>1</v>
      </c>
      <c r="AP51" s="838">
        <v>352</v>
      </c>
      <c r="AQ51" s="843">
        <v>0</v>
      </c>
      <c r="AR51" s="843" t="s">
        <v>282</v>
      </c>
      <c r="AS51" s="843">
        <v>7</v>
      </c>
      <c r="AT51" s="843">
        <v>30</v>
      </c>
      <c r="AU51" s="843"/>
      <c r="AV51" s="844" t="s">
        <v>3217</v>
      </c>
      <c r="AW51" s="208" t="str">
        <f>IFERROR(WWWW[[#This Row],['# of Water passed at source]]/WWWW[[#This Row],['# of Water tested at source]],"no test")</f>
        <v>no test</v>
      </c>
      <c r="AX51" s="211">
        <f>IFERROR(WWWW[[#This Row],['# of Water passed at HH]]/WWWW[[#This Row],['# of Water tested at HH]],"no test")</f>
        <v>0.21276595744680851</v>
      </c>
      <c r="AY51" s="210" t="str">
        <f>IF(AND(WWWW[[#This Row],[%of Water samples which passed at water source]]="no test",WWWW[[#This Row],[%Water samples which passed at HH]]="no test"),"No Test","Tested")</f>
        <v>Tested</v>
      </c>
      <c r="AZ5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5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51" s="211">
        <f>IF(WWWW[[#This Row],[Location Type 1]]="Village",WWWW[[#This Row],[Access to safe drinking water for Village]],WWWW[[#This Row],[Access to safe drinking water for Camp]])</f>
        <v>1</v>
      </c>
      <c r="BC51" s="209">
        <f>WWWW[[#This Row],[%Equitable and continuous access to sufficient quantity of safe drinking water]]*WWWW[[#This Row],[Total PoP ]]</f>
        <v>1661</v>
      </c>
      <c r="BD51" s="211">
        <f>IF((WWWW[[#This Row],['# Existing protected/fenced ponds ]]*250)/WWWW[[#This Row],[Total PoP ]]&gt;1,1,WWWW[[#This Row],['# Existing protected/fenced ponds ]]*250/WWWW[[#This Row],[Total PoP ]])</f>
        <v>0.75255869957856714</v>
      </c>
      <c r="BE51" s="209">
        <f>WWWW[[#This Row],[Access to unimproved water points]]*WWWW[[#This Row],[Total PoP ]]</f>
        <v>1250</v>
      </c>
      <c r="BF5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5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1661</v>
      </c>
      <c r="BH51" s="209">
        <f>WWWW[[#This Row],['#people Equitable and continuous access to sufficient quantity of domestic water borehole n ponds_2]]/500</f>
        <v>3.3220000000000001</v>
      </c>
      <c r="BI51" s="208">
        <f>1-WWWW[[#This Row],[%Equitable and continuous access to sufficient quantity of domestic water borehole n ponds]]</f>
        <v>0</v>
      </c>
      <c r="BJ51" s="209">
        <f>WWWW[[#This Row],[%equitable and continuous access to sufficient quantity of safe drinking and domestic water''s GAP]]*WWWW[[#This Row],[Total PoP ]]</f>
        <v>0</v>
      </c>
      <c r="BK51" s="210">
        <f>IF(WWWW[[#This Row],[Total required water points]]-WWWW[[#This Row],['#Water points coverage]]&lt;0,0,WWWW[[#This Row],[Total required water points]]-WWWW[[#This Row],['#Water points coverage]])</f>
        <v>0</v>
      </c>
      <c r="BL51" s="210">
        <f>ROUND(IF(WWWW[[#This Row],[Total PoP ]]&lt;500,1,WWWW[[#This Row],[Total PoP ]]/500),0)</f>
        <v>3</v>
      </c>
      <c r="BM51" s="210">
        <f>WWWW[[#This Row],['# Existing functional latrines]]+WWWW[[#This Row],['# Existing latrines dysfunctional]]</f>
        <v>186</v>
      </c>
      <c r="BN5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51" s="352">
        <f>WWWW[[#This Row],[% people access to functioning Latrine]]*WWWW[[#This Row],[Total PoP ]]</f>
        <v>1661</v>
      </c>
      <c r="BP5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51" s="209">
        <f>IF(WWWW[[#This Row],[Total required Latrines]]-WWWW[[#This Row],[Total '# of latrine]]&lt;0,0,WWWW[[#This Row],[Total required Latrines]]-WWWW[[#This Row],[Total '# of latrine]])</f>
        <v>0</v>
      </c>
      <c r="BR51" s="210">
        <f>ROUND(IF(WWWW[[#This Row],[Location Type 1]]="camp",WWWW[[#This Row],[Total PoP ]]/20,WWWW[[#This Row],[Total PoP ]]/6),0)</f>
        <v>83</v>
      </c>
      <c r="BS51" s="212">
        <f>IF(OR(WWWW[[#This Row],['# Existing latrines dysfunctional]]="",WWWW[[#This Row],['# Existing latrines dysfunctional]]=0),0,WWWW[[#This Row],['# Existing latrines dysfunctional]]/WWWW[[#This Row],[Total '# of latrine]])</f>
        <v>0.30107526881720431</v>
      </c>
      <c r="BT5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51" s="209">
        <f>IF(500*WWWW[[#This Row],['# Hygiene Promoters ]]&gt;WWWW[[#This Row],[Total PoP ]],WWWW[[#This Row],[Total PoP ]],500*WWWW[[#This Row],['# Hygiene Promoters ]])</f>
        <v>500</v>
      </c>
      <c r="BV51" s="209">
        <f>IF(WWWW[[#This Row],[% of HH with access to Sanitary Pad]]&gt;=100%,1,0)</f>
        <v>0</v>
      </c>
      <c r="BW51" s="209">
        <f>IF(WWWW[[#This Row],[Total PoP ]]=0,0,IF(WWWW[[#This Row],['# Hygiene Promoters ]]=0,0,IF(WWWW[[#This Row],[Location Type 1]]="Village",IF(WWWW[[#This Row],[Total PoP ]]/WWWW[[#This Row],['# Hygiene Promoters ]]&lt;1000,1,0),IF(WWWW[[#This Row],[Total PoP ]]/WWWW[[#This Row],['# Hygiene Promoters ]]&lt;600,1,0))))</f>
        <v>0</v>
      </c>
      <c r="BX51" s="209">
        <f>IF(WWWW[[#This Row],[%HH with access to soap]]&gt;=100%,1,0)</f>
        <v>0</v>
      </c>
      <c r="BY51" s="209">
        <f>IF(WWWW[[#This Row],[% of HHs with access to Sanitary pad more than '#%]]+WWWW[[#This Row],[Ratio of Hyiene promoters to people less than '#]]+WWWW[[#This Row],[% of HHs with access to soap more than '#%]]&gt;=2,WWWW[[#This Row],[Total PoP ]],0)</f>
        <v>0</v>
      </c>
      <c r="BZ51" s="208">
        <f>WWWW[[#This Row],[People adopt basic personal and community hygiene practices]]/WWWW[[#This Row],[Total PoP ]]</f>
        <v>0</v>
      </c>
      <c r="CA51" s="212">
        <f>1-WWWW[[#This Row],[Hygiene Coverage%]]</f>
        <v>1</v>
      </c>
      <c r="CB51" s="211">
        <f>WWWW[[#This Row],['# people reached by regular dedicated hygiene promotion_5]]/WWWW[[#This Row],[Total PoP ]]</f>
        <v>0.30102347983142685</v>
      </c>
      <c r="CC51" s="211">
        <f>IF(WWWW[[#This Row],['# HH received soaps]]/WWWW[[#This Row],[Total HH]]&gt;1,1,WWWW[[#This Row],['# HH received soaps]]/WWWW[[#This Row],[Total HH]])</f>
        <v>0.98324022346368711</v>
      </c>
      <c r="CD51" s="211">
        <f>IF(WWWW[[#This Row],['# HH received Sanitary Pads]]/WWWW[[#This Row],[Total HH]]&gt;1,1,WWWW[[#This Row],['# HH received Sanitary Pads]]/WWWW[[#This Row],[Total HH]])</f>
        <v>0</v>
      </c>
      <c r="CE51" s="210">
        <f>WWWW[[#This Row],['# HH received soaps]]*5</f>
        <v>1760</v>
      </c>
      <c r="CF51" s="210">
        <f>WWWW[[#This Row],['# HH received Sanitary Pads]]*5</f>
        <v>0</v>
      </c>
      <c r="CG51" s="210">
        <f>IF(WWWW[[#This Row],['# People with access to soap]]&gt;WWWW[[#This Row],['# People with access to Sanity Pads]],WWWW[[#This Row],['# People with access to soap]],WWWW[[#This Row],['# People with access to Sanity Pads]])</f>
        <v>1760</v>
      </c>
      <c r="CH51" s="209">
        <f>WWWW[[#This Row],[Total HH]]*WWWW[[#This Row],[%HHs with access to functional hand washing stations]]</f>
        <v>286.40000000000003</v>
      </c>
      <c r="CI51" s="699" t="str">
        <f>VLOOKUP(WWWW[[#This Row],[Site Name]],SiteDB6[[Site Name]:[CCCM Management]],6,FALSE)</f>
        <v>Yes</v>
      </c>
      <c r="CJ51" s="699" t="str">
        <f>VLOOKUP(WWWW[[#This Row],[Site Name]],SiteDB6[[Site Name]:[CCCM Focal Agency]],7,FALSE)</f>
        <v>KMSS-BMO</v>
      </c>
      <c r="CK51" s="699" t="str">
        <f>VLOOKUP(WWWW[[#This Row],[Site Name]],SiteDB6[[Site Name]:[Location Type]],8,FALSE)</f>
        <v>Camp</v>
      </c>
      <c r="CL51" s="699" t="str">
        <f>VLOOKUP(WWWW[[#This Row],[Site Name]],SiteDB6[[Site Name]:[Location Type 1]],9,FALSE)</f>
        <v>Camp</v>
      </c>
      <c r="CM51" s="699" t="str">
        <f>VLOOKUP(WWWW[[#This Row],[Site Name]],SiteDB6[[Site Name]:[Type of Accommodation]],10,FALSE)</f>
        <v>Camp</v>
      </c>
      <c r="CN51" s="699" t="str">
        <f>VLOOKUP(WWWW[[#This Row],[Site Name]],SiteDB6[[Site Name]:[Ethnic or GCA/NGCA]],11,FALSE)</f>
        <v>NGCA</v>
      </c>
      <c r="CO51" s="699">
        <f>VLOOKUP(WWWW[[#This Row],[Site Name]],SiteDB6[[Site Name]:[Lat]],12,FALSE)</f>
        <v>24.002433</v>
      </c>
      <c r="CP51" s="699">
        <f>VLOOKUP(WWWW[[#This Row],[Site Name]],SiteDB6[[Site Name]:[Long]],13,FALSE)</f>
        <v>97.609832999999995</v>
      </c>
      <c r="CQ51" s="699" t="str">
        <f>VLOOKUP(WWWW[[#This Row],[Site Name]],SiteDB6[[Site Name]:[Pcode]],3,FALSE)</f>
        <v>MMR001CMP129</v>
      </c>
      <c r="CR51" s="660" t="str">
        <f t="shared" si="0"/>
        <v>Covered</v>
      </c>
      <c r="CS51" s="660"/>
      <c r="CT51" s="24"/>
      <c r="CU51" s="24"/>
      <c r="CV51" s="24"/>
    </row>
    <row r="52" spans="1:100" ht="15.75" customHeight="1" x14ac:dyDescent="0.25">
      <c r="A52" s="833" t="s">
        <v>3206</v>
      </c>
      <c r="B52" s="206" t="s">
        <v>441</v>
      </c>
      <c r="C52" s="206" t="s">
        <v>44</v>
      </c>
      <c r="D52" s="206" t="s">
        <v>45</v>
      </c>
      <c r="E52" s="206" t="s">
        <v>444</v>
      </c>
      <c r="F52" s="206">
        <v>491</v>
      </c>
      <c r="G52" s="209">
        <v>2581</v>
      </c>
      <c r="H52" s="206">
        <v>750</v>
      </c>
      <c r="I52" s="206" t="s">
        <v>2407</v>
      </c>
      <c r="J52" s="207">
        <v>43799</v>
      </c>
      <c r="K52" s="206">
        <v>0</v>
      </c>
      <c r="L52" s="206" t="s">
        <v>48</v>
      </c>
      <c r="M52" s="208">
        <v>0.5</v>
      </c>
      <c r="N52" s="208">
        <v>0.1</v>
      </c>
      <c r="O52" s="316">
        <v>3</v>
      </c>
      <c r="P52" s="317">
        <v>0</v>
      </c>
      <c r="Q52" s="317">
        <v>7588</v>
      </c>
      <c r="R52" s="318">
        <v>1</v>
      </c>
      <c r="S52" s="318">
        <v>1</v>
      </c>
      <c r="T52" s="318">
        <v>2</v>
      </c>
      <c r="U52" s="318">
        <v>0</v>
      </c>
      <c r="V52" s="318">
        <v>0</v>
      </c>
      <c r="W52" s="318">
        <v>32</v>
      </c>
      <c r="X52" s="318">
        <v>5</v>
      </c>
      <c r="Y52" s="318">
        <v>5</v>
      </c>
      <c r="Z52" s="318"/>
      <c r="AA52" s="310">
        <v>104</v>
      </c>
      <c r="AB52" s="310">
        <v>32</v>
      </c>
      <c r="AC52" s="66">
        <v>2</v>
      </c>
      <c r="AD52" s="66"/>
      <c r="AE52" s="310">
        <v>0</v>
      </c>
      <c r="AF52" s="310" t="s">
        <v>332</v>
      </c>
      <c r="AG52" s="311" t="s">
        <v>1358</v>
      </c>
      <c r="AH52" s="311">
        <v>0</v>
      </c>
      <c r="AI52" s="310">
        <v>0</v>
      </c>
      <c r="AJ52" s="310"/>
      <c r="AK52" s="841">
        <v>0.3</v>
      </c>
      <c r="AL52" s="842" t="s">
        <v>376</v>
      </c>
      <c r="AM52" s="842">
        <v>0</v>
      </c>
      <c r="AN52" s="863">
        <v>6</v>
      </c>
      <c r="AO52" s="863"/>
      <c r="AP52" s="838">
        <v>476</v>
      </c>
      <c r="AQ52" s="843">
        <v>0</v>
      </c>
      <c r="AR52" s="843" t="s">
        <v>282</v>
      </c>
      <c r="AS52" s="843">
        <v>13</v>
      </c>
      <c r="AT52" s="843">
        <v>40</v>
      </c>
      <c r="AU52" s="843"/>
      <c r="AV52" s="844"/>
      <c r="AW52" s="208" t="str">
        <f>IFERROR(WWWW[[#This Row],['# of Water passed at source]]/WWWW[[#This Row],['# of Water tested at source]],"no test")</f>
        <v>no test</v>
      </c>
      <c r="AX52" s="211">
        <f>IFERROR(WWWW[[#This Row],['# of Water passed at HH]]/WWWW[[#This Row],['# of Water tested at HH]],"no test")</f>
        <v>0.15625</v>
      </c>
      <c r="AY52" s="210" t="str">
        <f>IF(AND(WWWW[[#This Row],[%of Water samples which passed at water source]]="no test",WWWW[[#This Row],[%Water samples which passed at HH]]="no test"),"No Test","Tested")</f>
        <v>Tested</v>
      </c>
      <c r="AZ5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5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0.48658142838693019</v>
      </c>
      <c r="BB52" s="211">
        <f>IF(WWWW[[#This Row],[Location Type 1]]="Village",WWWW[[#This Row],[Access to safe drinking water for Village]],WWWW[[#This Row],[Access to safe drinking water for Camp]])</f>
        <v>1</v>
      </c>
      <c r="BC52" s="209">
        <f>WWWW[[#This Row],[%Equitable and continuous access to sufficient quantity of safe drinking water]]*WWWW[[#This Row],[Total PoP ]]</f>
        <v>2581</v>
      </c>
      <c r="BD52" s="211">
        <f>IF((WWWW[[#This Row],['# Existing protected/fenced ponds ]]*250)/WWWW[[#This Row],[Total PoP ]]&gt;1,1,WWWW[[#This Row],['# Existing protected/fenced ponds ]]*250/WWWW[[#This Row],[Total PoP ]])</f>
        <v>9.6861681518791168E-2</v>
      </c>
      <c r="BE52" s="209">
        <f>WWWW[[#This Row],[Access to unimproved water points]]*WWWW[[#This Row],[Total PoP ]]</f>
        <v>250</v>
      </c>
      <c r="BF5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5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2581</v>
      </c>
      <c r="BH52" s="209">
        <f>WWWW[[#This Row],['#people Equitable and continuous access to sufficient quantity of domestic water borehole n ponds_2]]/500</f>
        <v>5.1619999999999999</v>
      </c>
      <c r="BI52" s="208">
        <f>1-WWWW[[#This Row],[%Equitable and continuous access to sufficient quantity of domestic water borehole n ponds]]</f>
        <v>0</v>
      </c>
      <c r="BJ52" s="209">
        <f>WWWW[[#This Row],[%equitable and continuous access to sufficient quantity of safe drinking and domestic water''s GAP]]*WWWW[[#This Row],[Total PoP ]]</f>
        <v>0</v>
      </c>
      <c r="BK52" s="210">
        <f>IF(WWWW[[#This Row],[Total required water points]]-WWWW[[#This Row],['#Water points coverage]]&lt;0,0,WWWW[[#This Row],[Total required water points]]-WWWW[[#This Row],['#Water points coverage]])</f>
        <v>0</v>
      </c>
      <c r="BL52" s="210">
        <f>ROUND(IF(WWWW[[#This Row],[Total PoP ]]&lt;500,1,WWWW[[#This Row],[Total PoP ]]/500),0)</f>
        <v>5</v>
      </c>
      <c r="BM52" s="210">
        <f>WWWW[[#This Row],['# Existing functional latrines]]+WWWW[[#This Row],['# Existing latrines dysfunctional]]</f>
        <v>136</v>
      </c>
      <c r="BN5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0.80588919023634253</v>
      </c>
      <c r="BO52" s="352">
        <f>WWWW[[#This Row],[% people access to functioning Latrine]]*WWWW[[#This Row],[Total PoP ]]</f>
        <v>2080</v>
      </c>
      <c r="BP5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52" s="209">
        <f>IF(WWWW[[#This Row],[Total required Latrines]]-WWWW[[#This Row],[Total '# of latrine]]&lt;0,0,WWWW[[#This Row],[Total required Latrines]]-WWWW[[#This Row],[Total '# of latrine]])</f>
        <v>0</v>
      </c>
      <c r="BR52" s="210">
        <f>ROUND(IF(WWWW[[#This Row],[Location Type 1]]="camp",WWWW[[#This Row],[Total PoP ]]/20,WWWW[[#This Row],[Total PoP ]]/6),0)</f>
        <v>129</v>
      </c>
      <c r="BS52" s="212">
        <f>IF(OR(WWWW[[#This Row],['# Existing latrines dysfunctional]]="",WWWW[[#This Row],['# Existing latrines dysfunctional]]=0),0,WWWW[[#This Row],['# Existing latrines dysfunctional]]/WWWW[[#This Row],[Total '# of latrine]])</f>
        <v>0.23529411764705882</v>
      </c>
      <c r="BT5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U52" s="209">
        <f>IF(500*WWWW[[#This Row],['# Hygiene Promoters ]]&gt;WWWW[[#This Row],[Total PoP ]],WWWW[[#This Row],[Total PoP ]],500*WWWW[[#This Row],['# Hygiene Promoters ]])</f>
        <v>0</v>
      </c>
      <c r="BV52" s="209">
        <f>IF(WWWW[[#This Row],[% of HH with access to Sanitary Pad]]&gt;=100%,1,0)</f>
        <v>0</v>
      </c>
      <c r="BW52" s="209">
        <f>IF(WWWW[[#This Row],[Total PoP ]]=0,0,IF(WWWW[[#This Row],['# Hygiene Promoters ]]=0,0,IF(WWWW[[#This Row],[Location Type 1]]="Village",IF(WWWW[[#This Row],[Total PoP ]]/WWWW[[#This Row],['# Hygiene Promoters ]]&lt;1000,1,0),IF(WWWW[[#This Row],[Total PoP ]]/WWWW[[#This Row],['# Hygiene Promoters ]]&lt;600,1,0))))</f>
        <v>0</v>
      </c>
      <c r="BX52" s="209">
        <f>IF(WWWW[[#This Row],[%HH with access to soap]]&gt;=100%,1,0)</f>
        <v>0</v>
      </c>
      <c r="BY52" s="209">
        <f>IF(WWWW[[#This Row],[% of HHs with access to Sanitary pad more than '#%]]+WWWW[[#This Row],[Ratio of Hyiene promoters to people less than '#]]+WWWW[[#This Row],[% of HHs with access to soap more than '#%]]&gt;=2,WWWW[[#This Row],[Total PoP ]],0)</f>
        <v>0</v>
      </c>
      <c r="BZ52" s="208">
        <f>WWWW[[#This Row],[People adopt basic personal and community hygiene practices]]/WWWW[[#This Row],[Total PoP ]]</f>
        <v>0</v>
      </c>
      <c r="CA52" s="212">
        <f>1-WWWW[[#This Row],[Hygiene Coverage%]]</f>
        <v>1</v>
      </c>
      <c r="CB52" s="211">
        <f>WWWW[[#This Row],['# people reached by regular dedicated hygiene promotion_5]]/WWWW[[#This Row],[Total PoP ]]</f>
        <v>0</v>
      </c>
      <c r="CC52" s="211">
        <f>IF(WWWW[[#This Row],['# HH received soaps]]/WWWW[[#This Row],[Total HH]]&gt;1,1,WWWW[[#This Row],['# HH received soaps]]/WWWW[[#This Row],[Total HH]])</f>
        <v>0.96945010183299385</v>
      </c>
      <c r="CD52" s="211">
        <f>IF(WWWW[[#This Row],['# HH received Sanitary Pads]]/WWWW[[#This Row],[Total HH]]&gt;1,1,WWWW[[#This Row],['# HH received Sanitary Pads]]/WWWW[[#This Row],[Total HH]])</f>
        <v>0</v>
      </c>
      <c r="CE52" s="210">
        <f>WWWW[[#This Row],['# HH received soaps]]*5</f>
        <v>2380</v>
      </c>
      <c r="CF52" s="210">
        <f>WWWW[[#This Row],['# HH received Sanitary Pads]]*5</f>
        <v>0</v>
      </c>
      <c r="CG52" s="210">
        <f>IF(WWWW[[#This Row],['# People with access to soap]]&gt;WWWW[[#This Row],['# People with access to Sanity Pads]],WWWW[[#This Row],['# People with access to soap]],WWWW[[#This Row],['# People with access to Sanity Pads]])</f>
        <v>2380</v>
      </c>
      <c r="CH52" s="209">
        <f>WWWW[[#This Row],[Total HH]]*WWWW[[#This Row],[%HHs with access to functional hand washing stations]]</f>
        <v>147.29999999999998</v>
      </c>
      <c r="CI52" s="699" t="str">
        <f>VLOOKUP(WWWW[[#This Row],[Site Name]],SiteDB6[[Site Name]:[CCCM Management]],6,FALSE)</f>
        <v>Yes</v>
      </c>
      <c r="CJ52" s="699" t="str">
        <f>VLOOKUP(WWWW[[#This Row],[Site Name]],SiteDB6[[Site Name]:[CCCM Focal Agency]],7,FALSE)</f>
        <v>KMSS-BMO</v>
      </c>
      <c r="CK52" s="699" t="str">
        <f>VLOOKUP(WWWW[[#This Row],[Site Name]],SiteDB6[[Site Name]:[Location Type]],8,FALSE)</f>
        <v>Camp</v>
      </c>
      <c r="CL52" s="699" t="str">
        <f>VLOOKUP(WWWW[[#This Row],[Site Name]],SiteDB6[[Site Name]:[Location Type 1]],9,FALSE)</f>
        <v>Camp</v>
      </c>
      <c r="CM52" s="699" t="str">
        <f>VLOOKUP(WWWW[[#This Row],[Site Name]],SiteDB6[[Site Name]:[Type of Accommodation]],10,FALSE)</f>
        <v>Camp</v>
      </c>
      <c r="CN52" s="699" t="str">
        <f>VLOOKUP(WWWW[[#This Row],[Site Name]],SiteDB6[[Site Name]:[Ethnic or GCA/NGCA]],11,FALSE)</f>
        <v>NGCA</v>
      </c>
      <c r="CO52" s="699">
        <f>VLOOKUP(WWWW[[#This Row],[Site Name]],SiteDB6[[Site Name]:[Lat]],12,FALSE)</f>
        <v>24.056132999999999</v>
      </c>
      <c r="CP52" s="699">
        <f>VLOOKUP(WWWW[[#This Row],[Site Name]],SiteDB6[[Site Name]:[Long]],13,FALSE)</f>
        <v>97.625617000000005</v>
      </c>
      <c r="CQ52" s="699" t="str">
        <f>VLOOKUP(WWWW[[#This Row],[Site Name]],SiteDB6[[Site Name]:[Pcode]],3,FALSE)</f>
        <v>MMR001CMP128</v>
      </c>
      <c r="CR52" s="660" t="str">
        <f t="shared" si="0"/>
        <v>Covered</v>
      </c>
      <c r="CS52" s="660"/>
      <c r="CT52" s="24"/>
      <c r="CU52" s="24"/>
      <c r="CV52" s="24"/>
    </row>
    <row r="53" spans="1:100" ht="15.75" customHeight="1" x14ac:dyDescent="0.25">
      <c r="A53" s="833" t="s">
        <v>3206</v>
      </c>
      <c r="B53" s="206" t="s">
        <v>287</v>
      </c>
      <c r="C53" s="206" t="s">
        <v>44</v>
      </c>
      <c r="D53" s="206" t="s">
        <v>45</v>
      </c>
      <c r="E53" s="206" t="s">
        <v>329</v>
      </c>
      <c r="F53" s="206">
        <v>432</v>
      </c>
      <c r="G53" s="209">
        <v>1855</v>
      </c>
      <c r="H53" s="206"/>
      <c r="I53" s="206" t="s">
        <v>290</v>
      </c>
      <c r="J53" s="207" t="s">
        <v>3253</v>
      </c>
      <c r="K53" s="206">
        <v>0</v>
      </c>
      <c r="L53" s="206" t="s">
        <v>48</v>
      </c>
      <c r="M53" s="208">
        <v>0.8</v>
      </c>
      <c r="N53" s="208">
        <v>0.5</v>
      </c>
      <c r="O53" s="316">
        <v>0</v>
      </c>
      <c r="P53" s="317">
        <v>4</v>
      </c>
      <c r="Q53" s="317">
        <v>0</v>
      </c>
      <c r="R53" s="318">
        <v>0</v>
      </c>
      <c r="S53" s="318">
        <v>0</v>
      </c>
      <c r="T53" s="318"/>
      <c r="U53" s="318">
        <v>0</v>
      </c>
      <c r="V53" s="318">
        <v>0</v>
      </c>
      <c r="W53" s="318">
        <v>0</v>
      </c>
      <c r="X53" s="318">
        <v>0</v>
      </c>
      <c r="Y53" s="318">
        <v>0</v>
      </c>
      <c r="Z53" s="318"/>
      <c r="AA53" s="310">
        <v>110</v>
      </c>
      <c r="AB53" s="310">
        <v>0</v>
      </c>
      <c r="AC53" s="66">
        <v>30</v>
      </c>
      <c r="AD53" s="66"/>
      <c r="AE53" s="310">
        <v>0</v>
      </c>
      <c r="AF53" s="310" t="s">
        <v>283</v>
      </c>
      <c r="AG53" s="311" t="s">
        <v>1358</v>
      </c>
      <c r="AH53" s="311"/>
      <c r="AI53" s="310"/>
      <c r="AJ53" s="310"/>
      <c r="AK53" s="841">
        <v>0.6</v>
      </c>
      <c r="AL53" s="842" t="s">
        <v>376</v>
      </c>
      <c r="AM53" s="842">
        <v>0</v>
      </c>
      <c r="AN53" s="863">
        <v>10</v>
      </c>
      <c r="AO53" s="863">
        <v>3</v>
      </c>
      <c r="AP53" s="838">
        <v>0</v>
      </c>
      <c r="AQ53" s="843">
        <v>0</v>
      </c>
      <c r="AR53" s="843"/>
      <c r="AS53" s="843"/>
      <c r="AT53" s="843"/>
      <c r="AU53" s="843"/>
      <c r="AV53" s="844"/>
      <c r="AW53" s="208" t="str">
        <f>IFERROR(WWWW[[#This Row],['# of Water passed at source]]/WWWW[[#This Row],['# of Water tested at source]],"no test")</f>
        <v>no test</v>
      </c>
      <c r="AX53" s="211" t="str">
        <f>IFERROR(WWWW[[#This Row],['# of Water passed at HH]]/WWWW[[#This Row],['# of Water tested at HH]],"no test")</f>
        <v>no test</v>
      </c>
      <c r="AY53" s="210" t="str">
        <f>IF(AND(WWWW[[#This Row],[%of Water samples which passed at water source]]="no test",WWWW[[#This Row],[%Water samples which passed at HH]]="no test"),"No Test","Tested")</f>
        <v>No Test</v>
      </c>
      <c r="AZ5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5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0.53908355795148244</v>
      </c>
      <c r="BB53" s="211">
        <f>IF(WWWW[[#This Row],[Location Type 1]]="Village",WWWW[[#This Row],[Access to safe drinking water for Village]],WWWW[[#This Row],[Access to safe drinking water for Camp]])</f>
        <v>1</v>
      </c>
      <c r="BC53" s="209">
        <f>WWWW[[#This Row],[%Equitable and continuous access to sufficient quantity of safe drinking water]]*WWWW[[#This Row],[Total PoP ]]</f>
        <v>1855</v>
      </c>
      <c r="BD53" s="211">
        <f>IF((WWWW[[#This Row],['# Existing protected/fenced ponds ]]*250)/WWWW[[#This Row],[Total PoP ]]&gt;1,1,WWWW[[#This Row],['# Existing protected/fenced ponds ]]*250/WWWW[[#This Row],[Total PoP ]])</f>
        <v>0</v>
      </c>
      <c r="BE53" s="209">
        <f>WWWW[[#This Row],[Access to unimproved water points]]*WWWW[[#This Row],[Total PoP ]]</f>
        <v>0</v>
      </c>
      <c r="BF5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5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1855</v>
      </c>
      <c r="BH53" s="209">
        <f>WWWW[[#This Row],['#people Equitable and continuous access to sufficient quantity of domestic water borehole n ponds_2]]/500</f>
        <v>3.71</v>
      </c>
      <c r="BI53" s="208">
        <f>1-WWWW[[#This Row],[%Equitable and continuous access to sufficient quantity of domestic water borehole n ponds]]</f>
        <v>0</v>
      </c>
      <c r="BJ53" s="209">
        <f>WWWW[[#This Row],[%equitable and continuous access to sufficient quantity of safe drinking and domestic water''s GAP]]*WWWW[[#This Row],[Total PoP ]]</f>
        <v>0</v>
      </c>
      <c r="BK53" s="210">
        <f>IF(WWWW[[#This Row],[Total required water points]]-WWWW[[#This Row],['#Water points coverage]]&lt;0,0,WWWW[[#This Row],[Total required water points]]-WWWW[[#This Row],['#Water points coverage]])</f>
        <v>0.29000000000000004</v>
      </c>
      <c r="BL53" s="210">
        <f>ROUND(IF(WWWW[[#This Row],[Total PoP ]]&lt;500,1,WWWW[[#This Row],[Total PoP ]]/500),0)</f>
        <v>4</v>
      </c>
      <c r="BM53" s="210">
        <f>WWWW[[#This Row],['# Existing functional latrines]]+WWWW[[#This Row],['# Existing latrines dysfunctional]]</f>
        <v>110</v>
      </c>
      <c r="BN5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53" s="352">
        <f>WWWW[[#This Row],[% people access to functioning Latrine]]*WWWW[[#This Row],[Total PoP ]]</f>
        <v>1855</v>
      </c>
      <c r="BP5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53" s="209">
        <f>IF(WWWW[[#This Row],[Total required Latrines]]-WWWW[[#This Row],[Total '# of latrine]]&lt;0,0,WWWW[[#This Row],[Total required Latrines]]-WWWW[[#This Row],[Total '# of latrine]])</f>
        <v>0</v>
      </c>
      <c r="BR53" s="210">
        <f>ROUND(IF(WWWW[[#This Row],[Location Type 1]]="camp",WWWW[[#This Row],[Total PoP ]]/20,WWWW[[#This Row],[Total PoP ]]/6),0)</f>
        <v>93</v>
      </c>
      <c r="BS53" s="212">
        <f>IF(OR(WWWW[[#This Row],['# Existing latrines dysfunctional]]="",WWWW[[#This Row],['# Existing latrines dysfunctional]]=0),0,WWWW[[#This Row],['# Existing latrines dysfunctional]]/WWWW[[#This Row],[Total '# of latrine]])</f>
        <v>0</v>
      </c>
      <c r="BT5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600</v>
      </c>
      <c r="BU53" s="209">
        <f>IF(500*WWWW[[#This Row],['# Hygiene Promoters ]]&gt;WWWW[[#This Row],[Total PoP ]],WWWW[[#This Row],[Total PoP ]],500*WWWW[[#This Row],['# Hygiene Promoters ]])</f>
        <v>1500</v>
      </c>
      <c r="BV53" s="209">
        <f>IF(WWWW[[#This Row],[% of HH with access to Sanitary Pad]]&gt;=100%,1,0)</f>
        <v>0</v>
      </c>
      <c r="BW53" s="209">
        <f>IF(WWWW[[#This Row],[Total PoP ]]=0,0,IF(WWWW[[#This Row],['# Hygiene Promoters ]]=0,0,IF(WWWW[[#This Row],[Location Type 1]]="Village",IF(WWWW[[#This Row],[Total PoP ]]/WWWW[[#This Row],['# Hygiene Promoters ]]&lt;1000,1,0),IF(WWWW[[#This Row],[Total PoP ]]/WWWW[[#This Row],['# Hygiene Promoters ]]&lt;600,1,0))))</f>
        <v>0</v>
      </c>
      <c r="BX53" s="209">
        <f>IF(WWWW[[#This Row],[%HH with access to soap]]&gt;=100%,1,0)</f>
        <v>0</v>
      </c>
      <c r="BY53" s="209">
        <f>IF(WWWW[[#This Row],[% of HHs with access to Sanitary pad more than '#%]]+WWWW[[#This Row],[Ratio of Hyiene promoters to people less than '#]]+WWWW[[#This Row],[% of HHs with access to soap more than '#%]]&gt;=2,WWWW[[#This Row],[Total PoP ]],0)</f>
        <v>0</v>
      </c>
      <c r="BZ53" s="208">
        <f>WWWW[[#This Row],[People adopt basic personal and community hygiene practices]]/WWWW[[#This Row],[Total PoP ]]</f>
        <v>0</v>
      </c>
      <c r="CA53" s="212">
        <f>1-WWWW[[#This Row],[Hygiene Coverage%]]</f>
        <v>1</v>
      </c>
      <c r="CB53" s="211">
        <f>WWWW[[#This Row],['# people reached by regular dedicated hygiene promotion_5]]/WWWW[[#This Row],[Total PoP ]]</f>
        <v>0.80862533692722371</v>
      </c>
      <c r="CC53" s="211">
        <f>IF(WWWW[[#This Row],['# HH received soaps]]/WWWW[[#This Row],[Total HH]]&gt;1,1,WWWW[[#This Row],['# HH received soaps]]/WWWW[[#This Row],[Total HH]])</f>
        <v>0</v>
      </c>
      <c r="CD53" s="211">
        <f>IF(WWWW[[#This Row],['# HH received Sanitary Pads]]/WWWW[[#This Row],[Total HH]]&gt;1,1,WWWW[[#This Row],['# HH received Sanitary Pads]]/WWWW[[#This Row],[Total HH]])</f>
        <v>0</v>
      </c>
      <c r="CE53" s="210">
        <f>WWWW[[#This Row],['# HH received soaps]]*5</f>
        <v>0</v>
      </c>
      <c r="CF53" s="210">
        <f>WWWW[[#This Row],['# HH received Sanitary Pads]]*5</f>
        <v>0</v>
      </c>
      <c r="CG53" s="210">
        <f>IF(WWWW[[#This Row],['# People with access to soap]]&gt;WWWW[[#This Row],['# People with access to Sanity Pads]],WWWW[[#This Row],['# People with access to soap]],WWWW[[#This Row],['# People with access to Sanity Pads]])</f>
        <v>0</v>
      </c>
      <c r="CH53" s="209">
        <f>WWWW[[#This Row],[Total HH]]*WWWW[[#This Row],[%HHs with access to functional hand washing stations]]</f>
        <v>259.2</v>
      </c>
      <c r="CI53" s="699" t="str">
        <f>VLOOKUP(WWWW[[#This Row],[Site Name]],SiteDB6[[Site Name]:[CCCM Management]],6,FALSE)</f>
        <v>Yes</v>
      </c>
      <c r="CJ53" s="699" t="str">
        <f>VLOOKUP(WWWW[[#This Row],[Site Name]],SiteDB6[[Site Name]:[CCCM Focal Agency]],7,FALSE)</f>
        <v>KBC</v>
      </c>
      <c r="CK53" s="699" t="str">
        <f>VLOOKUP(WWWW[[#This Row],[Site Name]],SiteDB6[[Site Name]:[Location Type]],8,FALSE)</f>
        <v>Camp</v>
      </c>
      <c r="CL53" s="699" t="str">
        <f>VLOOKUP(WWWW[[#This Row],[Site Name]],SiteDB6[[Site Name]:[Location Type 1]],9,FALSE)</f>
        <v>Camp</v>
      </c>
      <c r="CM53" s="699" t="str">
        <f>VLOOKUP(WWWW[[#This Row],[Site Name]],SiteDB6[[Site Name]:[Type of Accommodation]],10,FALSE)</f>
        <v>Camp</v>
      </c>
      <c r="CN53" s="699" t="str">
        <f>VLOOKUP(WWWW[[#This Row],[Site Name]],SiteDB6[[Site Name]:[Ethnic or GCA/NGCA]],11,FALSE)</f>
        <v>GCA</v>
      </c>
      <c r="CO53" s="699">
        <f>VLOOKUP(WWWW[[#This Row],[Site Name]],SiteDB6[[Site Name]:[Lat]],12,FALSE)</f>
        <v>23.972453000000002</v>
      </c>
      <c r="CP53" s="699">
        <f>VLOOKUP(WWWW[[#This Row],[Site Name]],SiteDB6[[Site Name]:[Long]],13,FALSE)</f>
        <v>97.225881000000001</v>
      </c>
      <c r="CQ53" s="699" t="str">
        <f>VLOOKUP(WWWW[[#This Row],[Site Name]],SiteDB6[[Site Name]:[Pcode]],3,FALSE)</f>
        <v>MMR001CMP218</v>
      </c>
      <c r="CR53" s="660" t="str">
        <f t="shared" si="0"/>
        <v>Covered</v>
      </c>
      <c r="CS53" s="660"/>
      <c r="CT53" s="24"/>
      <c r="CU53" s="24"/>
      <c r="CV53" s="24"/>
    </row>
    <row r="54" spans="1:100" ht="16.5" customHeight="1" x14ac:dyDescent="0.25">
      <c r="A54" s="833" t="s">
        <v>3206</v>
      </c>
      <c r="B54" s="206" t="s">
        <v>43</v>
      </c>
      <c r="C54" s="206" t="s">
        <v>44</v>
      </c>
      <c r="D54" s="206" t="s">
        <v>45</v>
      </c>
      <c r="E54" s="206" t="s">
        <v>46</v>
      </c>
      <c r="F54" s="206">
        <v>172</v>
      </c>
      <c r="G54" s="395">
        <v>803</v>
      </c>
      <c r="H54" s="206"/>
      <c r="I54" s="206" t="s">
        <v>47</v>
      </c>
      <c r="J54" s="207">
        <v>44196</v>
      </c>
      <c r="K54" s="206">
        <v>0</v>
      </c>
      <c r="L54" s="206" t="s">
        <v>282</v>
      </c>
      <c r="M54" s="208">
        <v>0</v>
      </c>
      <c r="N54" s="208">
        <v>0</v>
      </c>
      <c r="O54" s="323">
        <v>3</v>
      </c>
      <c r="P54" s="317">
        <v>2</v>
      </c>
      <c r="Q54" s="317">
        <v>0</v>
      </c>
      <c r="R54" s="318">
        <v>0</v>
      </c>
      <c r="S54" s="318" t="s">
        <v>2455</v>
      </c>
      <c r="T54" s="318"/>
      <c r="U54" s="318">
        <v>0</v>
      </c>
      <c r="V54" s="318">
        <v>0</v>
      </c>
      <c r="W54" s="318">
        <v>0</v>
      </c>
      <c r="X54" s="318">
        <v>0</v>
      </c>
      <c r="Y54" s="318">
        <v>0</v>
      </c>
      <c r="Z54" s="315" t="s">
        <v>2456</v>
      </c>
      <c r="AA54" s="310">
        <v>54</v>
      </c>
      <c r="AB54" s="310">
        <v>0</v>
      </c>
      <c r="AC54" s="66">
        <v>0</v>
      </c>
      <c r="AD54" s="66"/>
      <c r="AE54" s="310">
        <v>0</v>
      </c>
      <c r="AF54" s="310" t="s">
        <v>283</v>
      </c>
      <c r="AG54" s="311" t="s">
        <v>283</v>
      </c>
      <c r="AH54" s="311"/>
      <c r="AI54" s="310"/>
      <c r="AJ54" s="310"/>
      <c r="AK54" s="841">
        <v>0.75</v>
      </c>
      <c r="AL54" s="842" t="s">
        <v>291</v>
      </c>
      <c r="AM54" s="842">
        <v>0</v>
      </c>
      <c r="AN54" s="863">
        <v>7</v>
      </c>
      <c r="AO54" s="863">
        <v>2</v>
      </c>
      <c r="AP54" s="843"/>
      <c r="AQ54" s="843"/>
      <c r="AR54" s="843"/>
      <c r="AS54" s="843"/>
      <c r="AT54" s="843"/>
      <c r="AU54" s="843"/>
      <c r="AV54" s="844" t="s">
        <v>2466</v>
      </c>
      <c r="AW54" s="208" t="str">
        <f>IFERROR(WWWW[[#This Row],['# of Water passed at source]]/WWWW[[#This Row],['# of Water tested at source]],"no test")</f>
        <v>no test</v>
      </c>
      <c r="AX54" s="211" t="str">
        <f>IFERROR(WWWW[[#This Row],['# of Water passed at HH]]/WWWW[[#This Row],['# of Water tested at HH]],"no test")</f>
        <v>no test</v>
      </c>
      <c r="AY54" s="210" t="str">
        <f>IF(AND(WWWW[[#This Row],[%of Water samples which passed at water source]]="no test",WWWW[[#This Row],[%Water samples which passed at HH]]="no test"),"No Test","Tested")</f>
        <v>No Test</v>
      </c>
      <c r="AZ5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5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54" s="211">
        <f>IF(WWWW[[#This Row],[Location Type 1]]="Village",WWWW[[#This Row],[Access to safe drinking water for Village]],WWWW[[#This Row],[Access to safe drinking water for Camp]])</f>
        <v>1</v>
      </c>
      <c r="BC54" s="209">
        <f>WWWW[[#This Row],[%Equitable and continuous access to sufficient quantity of safe drinking water]]*WWWW[[#This Row],[Total PoP ]]</f>
        <v>803</v>
      </c>
      <c r="BD54" s="211">
        <f>IF((WWWW[[#This Row],['# Existing protected/fenced ponds ]]*250)/WWWW[[#This Row],[Total PoP ]]&gt;1,1,WWWW[[#This Row],['# Existing protected/fenced ponds ]]*250/WWWW[[#This Row],[Total PoP ]])</f>
        <v>0</v>
      </c>
      <c r="BE54" s="209">
        <f>WWWW[[#This Row],[Access to unimproved water points]]*WWWW[[#This Row],[Total PoP ]]</f>
        <v>0</v>
      </c>
      <c r="BF5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5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803</v>
      </c>
      <c r="BH54" s="209">
        <f>ROUND(WWWW[[#This Row],['#people Equitable and continuous access to sufficient quantity of domestic water borehole n ponds_2]]/500,0)</f>
        <v>2</v>
      </c>
      <c r="BI54" s="208">
        <f>1-WWWW[[#This Row],[%Equitable and continuous access to sufficient quantity of domestic water borehole n ponds]]</f>
        <v>0</v>
      </c>
      <c r="BJ54" s="209">
        <f>WWWW[[#This Row],[%equitable and continuous access to sufficient quantity of safe drinking and domestic water''s GAP]]*WWWW[[#This Row],[Total PoP ]]</f>
        <v>0</v>
      </c>
      <c r="BK54" s="210">
        <f>IF(WWWW[[#This Row],[Total required water points]]-WWWW[[#This Row],['#Water points coverage]]&lt;0,0,WWWW[[#This Row],[Total required water points]]-WWWW[[#This Row],['#Water points coverage]])</f>
        <v>0</v>
      </c>
      <c r="BL54" s="210">
        <f>ROUND(IF(WWWW[[#This Row],[Total PoP ]]&lt;500,1,WWWW[[#This Row],[Total PoP ]]/500),0)</f>
        <v>2</v>
      </c>
      <c r="BM54" s="210">
        <f>WWWW[[#This Row],['# Existing functional latrines]]+WWWW[[#This Row],['# Existing latrines dysfunctional]]</f>
        <v>54</v>
      </c>
      <c r="BN5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54" s="352">
        <f>WWWW[[#This Row],[% people access to functioning Latrine]]*WWWW[[#This Row],[Total PoP ]]</f>
        <v>803</v>
      </c>
      <c r="BP5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54" s="209">
        <f>IF(WWWW[[#This Row],[Total required Latrines]]-WWWW[[#This Row],[Total '# of latrine]]&lt;0,0,WWWW[[#This Row],[Total required Latrines]]-WWWW[[#This Row],[Total '# of latrine]])</f>
        <v>0</v>
      </c>
      <c r="BR54" s="210">
        <f>ROUND(IF(WWWW[[#This Row],[Location Type 1]]="camp",WWWW[[#This Row],[Total PoP ]]/20,WWWW[[#This Row],[Total PoP ]]/6),0)</f>
        <v>40</v>
      </c>
      <c r="BS54" s="212">
        <f>IF(OR(WWWW[[#This Row],['# Existing latrines dysfunctional]]="",WWWW[[#This Row],['# Existing latrines dysfunctional]]=0),0,WWWW[[#This Row],['# Existing latrines dysfunctional]]/WWWW[[#This Row],[Total '# of latrine]])</f>
        <v>0</v>
      </c>
      <c r="BT5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54" s="209">
        <f>IF(500*WWWW[[#This Row],['# Hygiene Promoters ]]&gt;WWWW[[#This Row],[Total PoP ]],WWWW[[#This Row],[Total PoP ]],500*WWWW[[#This Row],['# Hygiene Promoters ]])</f>
        <v>803</v>
      </c>
      <c r="BV54" s="209">
        <f>IF(WWWW[[#This Row],[% of HH with access to Sanitary Pad]]&gt;=100%,1,0)</f>
        <v>0</v>
      </c>
      <c r="BW54" s="209">
        <f>IF(WWWW[[#This Row],[Total PoP ]]=0,0,IF(WWWW[[#This Row],['# Hygiene Promoters ]]=0,0,IF(WWWW[[#This Row],[Location Type 1]]="Village",IF(WWWW[[#This Row],[Total PoP ]]/WWWW[[#This Row],['# Hygiene Promoters ]]&lt;1000,1,0),IF(WWWW[[#This Row],[Total PoP ]]/WWWW[[#This Row],['# Hygiene Promoters ]]&lt;600,1,0))))</f>
        <v>1</v>
      </c>
      <c r="BX54" s="209">
        <f>IF(WWWW[[#This Row],[%HH with access to soap]]&gt;=100%,1,0)</f>
        <v>0</v>
      </c>
      <c r="BY54" s="209">
        <f>IF(WWWW[[#This Row],[% of HHs with access to Sanitary pad more than '#%]]+WWWW[[#This Row],[Ratio of Hyiene promoters to people less than '#]]+WWWW[[#This Row],[% of HHs with access to soap more than '#%]]&gt;=2,WWWW[[#This Row],[Total PoP ]],0)</f>
        <v>0</v>
      </c>
      <c r="BZ54" s="208">
        <f>WWWW[[#This Row],[People adopt basic personal and community hygiene practices]]/WWWW[[#This Row],[Total PoP ]]</f>
        <v>0</v>
      </c>
      <c r="CA54" s="212">
        <f>1-WWWW[[#This Row],[Hygiene Coverage%]]</f>
        <v>1</v>
      </c>
      <c r="CB54" s="211">
        <f>WWWW[[#This Row],['# people reached by regular dedicated hygiene promotion_5]]/WWWW[[#This Row],[Total PoP ]]</f>
        <v>1</v>
      </c>
      <c r="CC54" s="211">
        <f>IF(WWWW[[#This Row],['# HH received soaps]]/WWWW[[#This Row],[Total HH]]&gt;1,1,WWWW[[#This Row],['# HH received soaps]]/WWWW[[#This Row],[Total HH]])</f>
        <v>0</v>
      </c>
      <c r="CD54" s="211">
        <f>IF(WWWW[[#This Row],['# HH received Sanitary Pads]]/WWWW[[#This Row],[Total HH]]&gt;1,1,WWWW[[#This Row],['# HH received Sanitary Pads]]/WWWW[[#This Row],[Total HH]])</f>
        <v>0</v>
      </c>
      <c r="CE54" s="210">
        <f>WWWW[[#This Row],['# HH received soaps]]*5</f>
        <v>0</v>
      </c>
      <c r="CF54" s="210">
        <f>WWWW[[#This Row],['# HH received Sanitary Pads]]*5</f>
        <v>0</v>
      </c>
      <c r="CG54" s="210">
        <f>IF(WWWW[[#This Row],['# People with access to soap]]&gt;WWWW[[#This Row],['# People with access to Sanity Pads]],WWWW[[#This Row],['# People with access to soap]],WWWW[[#This Row],['# People with access to Sanity Pads]])</f>
        <v>0</v>
      </c>
      <c r="CH54" s="209">
        <f>WWWW[[#This Row],[Total HH]]*WWWW[[#This Row],[%HHs with access to functional hand washing stations]]</f>
        <v>129</v>
      </c>
      <c r="CI54" s="699" t="str">
        <f>VLOOKUP(WWWW[[#This Row],[Site Name]],SiteDB6[[Site Name]:[CCCM Management]],6,FALSE)</f>
        <v>Yes</v>
      </c>
      <c r="CJ54" s="699" t="str">
        <f>VLOOKUP(WWWW[[#This Row],[Site Name]],SiteDB6[[Site Name]:[CCCM Focal Agency]],7,FALSE)</f>
        <v>KMSS-BMO</v>
      </c>
      <c r="CK54" s="699" t="str">
        <f>VLOOKUP(WWWW[[#This Row],[Site Name]],SiteDB6[[Site Name]:[Location Type]],8,FALSE)</f>
        <v>Camp</v>
      </c>
      <c r="CL54" s="699" t="str">
        <f>VLOOKUP(WWWW[[#This Row],[Site Name]],SiteDB6[[Site Name]:[Location Type 1]],9,FALSE)</f>
        <v>Camp</v>
      </c>
      <c r="CM54" s="699" t="str">
        <f>VLOOKUP(WWWW[[#This Row],[Site Name]],SiteDB6[[Site Name]:[Type of Accommodation]],10,FALSE)</f>
        <v>Camp</v>
      </c>
      <c r="CN54" s="699" t="str">
        <f>VLOOKUP(WWWW[[#This Row],[Site Name]],SiteDB6[[Site Name]:[Ethnic or GCA/NGCA]],11,FALSE)</f>
        <v>GCA</v>
      </c>
      <c r="CO54" s="699">
        <f>VLOOKUP(WWWW[[#This Row],[Site Name]],SiteDB6[[Site Name]:[Lat]],12,FALSE)</f>
        <v>23.976571</v>
      </c>
      <c r="CP54" s="699">
        <f>VLOOKUP(WWWW[[#This Row],[Site Name]],SiteDB6[[Site Name]:[Long]],13,FALSE)</f>
        <v>97.227057000000002</v>
      </c>
      <c r="CQ54" s="699" t="str">
        <f>VLOOKUP(WWWW[[#This Row],[Site Name]],SiteDB6[[Site Name]:[Pcode]],3,FALSE)</f>
        <v>MMR001CMP223</v>
      </c>
      <c r="CR54" s="660" t="str">
        <f t="shared" si="0"/>
        <v>Covered</v>
      </c>
      <c r="CS54" s="660" t="s">
        <v>2482</v>
      </c>
      <c r="CT54" s="24"/>
      <c r="CU54" s="24"/>
      <c r="CV54" s="24"/>
    </row>
    <row r="55" spans="1:100" ht="15.75" customHeight="1" x14ac:dyDescent="0.25">
      <c r="A55" s="833" t="s">
        <v>3206</v>
      </c>
      <c r="B55" s="206" t="s">
        <v>447</v>
      </c>
      <c r="C55" s="206" t="s">
        <v>44</v>
      </c>
      <c r="D55" s="206" t="s">
        <v>45</v>
      </c>
      <c r="E55" s="206" t="s">
        <v>448</v>
      </c>
      <c r="F55" s="206">
        <v>127</v>
      </c>
      <c r="G55" s="209">
        <v>647</v>
      </c>
      <c r="H55" s="206">
        <v>245</v>
      </c>
      <c r="I55" s="206" t="s">
        <v>449</v>
      </c>
      <c r="J55" s="207">
        <v>43421</v>
      </c>
      <c r="K55" s="206"/>
      <c r="L55" s="206" t="s">
        <v>48</v>
      </c>
      <c r="M55" s="208">
        <v>0.2</v>
      </c>
      <c r="N55" s="208">
        <v>0.2</v>
      </c>
      <c r="O55" s="316">
        <v>0</v>
      </c>
      <c r="P55" s="317">
        <v>1</v>
      </c>
      <c r="Q55" s="317">
        <v>9000</v>
      </c>
      <c r="R55" s="318"/>
      <c r="S55" s="318">
        <v>1</v>
      </c>
      <c r="T55" s="318"/>
      <c r="U55" s="318">
        <v>0</v>
      </c>
      <c r="V55" s="318">
        <v>0</v>
      </c>
      <c r="W55" s="318">
        <v>0</v>
      </c>
      <c r="X55" s="318">
        <v>0</v>
      </c>
      <c r="Y55" s="318">
        <v>0</v>
      </c>
      <c r="Z55" s="318"/>
      <c r="AA55" s="310">
        <v>18</v>
      </c>
      <c r="AB55" s="310"/>
      <c r="AC55" s="66">
        <v>18</v>
      </c>
      <c r="AD55" s="66" t="s">
        <v>2787</v>
      </c>
      <c r="AE55" s="310">
        <v>18</v>
      </c>
      <c r="AF55" s="310" t="s">
        <v>283</v>
      </c>
      <c r="AG55" s="311" t="s">
        <v>283</v>
      </c>
      <c r="AH55" s="311">
        <v>0</v>
      </c>
      <c r="AI55" s="310">
        <v>0</v>
      </c>
      <c r="AJ55" s="310"/>
      <c r="AK55" s="841">
        <v>1</v>
      </c>
      <c r="AL55" s="842" t="s">
        <v>376</v>
      </c>
      <c r="AM55" s="842">
        <v>0</v>
      </c>
      <c r="AN55" s="874">
        <f>4+1</f>
        <v>5</v>
      </c>
      <c r="AO55" s="874">
        <v>1</v>
      </c>
      <c r="AP55" s="838">
        <v>127</v>
      </c>
      <c r="AQ55" s="843">
        <v>0</v>
      </c>
      <c r="AR55" s="843"/>
      <c r="AS55" s="843"/>
      <c r="AT55" s="843"/>
      <c r="AU55" s="843"/>
      <c r="AV55" s="844"/>
      <c r="AW55" s="208" t="str">
        <f>IFERROR(WWWW[[#This Row],['# of Water passed at source]]/WWWW[[#This Row],['# of Water tested at source]],"no test")</f>
        <v>no test</v>
      </c>
      <c r="AX55" s="211" t="str">
        <f>IFERROR(WWWW[[#This Row],['# of Water passed at HH]]/WWWW[[#This Row],['# of Water tested at HH]],"no test")</f>
        <v>no test</v>
      </c>
      <c r="AY55" s="210" t="str">
        <f>IF(AND(WWWW[[#This Row],[%of Water samples which passed at water source]]="no test",WWWW[[#This Row],[%Water samples which passed at HH]]="no test"),"No Test","Tested")</f>
        <v>No Test</v>
      </c>
      <c r="AZ5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5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55" s="211">
        <f>IF(WWWW[[#This Row],[Location Type 1]]="Village",WWWW[[#This Row],[Access to safe drinking water for Village]],WWWW[[#This Row],[Access to safe drinking water for Camp]])</f>
        <v>1</v>
      </c>
      <c r="BC55" s="209">
        <f>WWWW[[#This Row],[%Equitable and continuous access to sufficient quantity of safe drinking water]]*WWWW[[#This Row],[Total PoP ]]</f>
        <v>647</v>
      </c>
      <c r="BD55" s="211">
        <f>IF((WWWW[[#This Row],['# Existing protected/fenced ponds ]]*250)/WWWW[[#This Row],[Total PoP ]]&gt;1,1,WWWW[[#This Row],['# Existing protected/fenced ponds ]]*250/WWWW[[#This Row],[Total PoP ]])</f>
        <v>0</v>
      </c>
      <c r="BE55" s="209">
        <f>WWWW[[#This Row],[Access to unimproved water points]]*WWWW[[#This Row],[Total PoP ]]</f>
        <v>0</v>
      </c>
      <c r="BF5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5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647</v>
      </c>
      <c r="BH55" s="209">
        <f>WWWW[[#This Row],['#people Equitable and continuous access to sufficient quantity of domestic water borehole n ponds_2]]/500</f>
        <v>1.294</v>
      </c>
      <c r="BI55" s="208">
        <f>1-WWWW[[#This Row],[%Equitable and continuous access to sufficient quantity of domestic water borehole n ponds]]</f>
        <v>0</v>
      </c>
      <c r="BJ55" s="209">
        <f>WWWW[[#This Row],[%equitable and continuous access to sufficient quantity of safe drinking and domestic water''s GAP]]*WWWW[[#This Row],[Total PoP ]]</f>
        <v>0</v>
      </c>
      <c r="BK55" s="210">
        <f>IF(WWWW[[#This Row],[Total required water points]]-WWWW[[#This Row],['#Water points coverage]]&lt;0,0,WWWW[[#This Row],[Total required water points]]-WWWW[[#This Row],['#Water points coverage]])</f>
        <v>0</v>
      </c>
      <c r="BL55" s="210">
        <f>ROUND(IF(WWWW[[#This Row],[Total PoP ]]&lt;500,1,WWWW[[#This Row],[Total PoP ]]/500),0)</f>
        <v>1</v>
      </c>
      <c r="BM55" s="210">
        <f>WWWW[[#This Row],['# Existing functional latrines]]+WWWW[[#This Row],['# Existing latrines dysfunctional]]</f>
        <v>18</v>
      </c>
      <c r="BN5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0.55641421947449765</v>
      </c>
      <c r="BO55" s="352">
        <f>WWWW[[#This Row],[% people access to functioning Latrine]]*WWWW[[#This Row],[Total PoP ]]</f>
        <v>360</v>
      </c>
      <c r="BP5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0.43276661514683151</v>
      </c>
      <c r="BQ55" s="209">
        <f>IF(WWWW[[#This Row],[Total required Latrines]]-WWWW[[#This Row],[Total '# of latrine]]&lt;0,0,WWWW[[#This Row],[Total required Latrines]]-WWWW[[#This Row],[Total '# of latrine]])</f>
        <v>14</v>
      </c>
      <c r="BR55" s="210">
        <f>ROUND(IF(WWWW[[#This Row],[Location Type 1]]="camp",WWWW[[#This Row],[Total PoP ]]/20,WWWW[[#This Row],[Total PoP ]]/6),0)</f>
        <v>32</v>
      </c>
      <c r="BS55" s="212">
        <f>IF(OR(WWWW[[#This Row],['# Existing latrines dysfunctional]]="",WWWW[[#This Row],['# Existing latrines dysfunctional]]=0),0,WWWW[[#This Row],['# Existing latrines dysfunctional]]/WWWW[[#This Row],[Total '# of latrine]])</f>
        <v>0</v>
      </c>
      <c r="BT5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360</v>
      </c>
      <c r="BU55" s="209">
        <f>IF(500*WWWW[[#This Row],['# Hygiene Promoters ]]&gt;WWWW[[#This Row],[Total PoP ]],WWWW[[#This Row],[Total PoP ]],500*WWWW[[#This Row],['# Hygiene Promoters ]])</f>
        <v>500</v>
      </c>
      <c r="BV55" s="209">
        <f>IF(WWWW[[#This Row],[% of HH with access to Sanitary Pad]]&gt;=100%,1,0)</f>
        <v>0</v>
      </c>
      <c r="BW55" s="209">
        <f>IF(WWWW[[#This Row],[Total PoP ]]=0,0,IF(WWWW[[#This Row],['# Hygiene Promoters ]]=0,0,IF(WWWW[[#This Row],[Location Type 1]]="Village",IF(WWWW[[#This Row],[Total PoP ]]/WWWW[[#This Row],['# Hygiene Promoters ]]&lt;1000,1,0),IF(WWWW[[#This Row],[Total PoP ]]/WWWW[[#This Row],['# Hygiene Promoters ]]&lt;600,1,0))))</f>
        <v>0</v>
      </c>
      <c r="BX55" s="209">
        <f>IF(WWWW[[#This Row],[%HH with access to soap]]&gt;=100%,1,0)</f>
        <v>1</v>
      </c>
      <c r="BY55" s="209">
        <f>IF(WWWW[[#This Row],[% of HHs with access to Sanitary pad more than '#%]]+WWWW[[#This Row],[Ratio of Hyiene promoters to people less than '#]]+WWWW[[#This Row],[% of HHs with access to soap more than '#%]]&gt;=2,WWWW[[#This Row],[Total PoP ]],0)</f>
        <v>0</v>
      </c>
      <c r="BZ55" s="208">
        <f>WWWW[[#This Row],[People adopt basic personal and community hygiene practices]]/WWWW[[#This Row],[Total PoP ]]</f>
        <v>0</v>
      </c>
      <c r="CA55" s="212">
        <f>1-WWWW[[#This Row],[Hygiene Coverage%]]</f>
        <v>1</v>
      </c>
      <c r="CB55" s="211">
        <f>WWWW[[#This Row],['# people reached by regular dedicated hygiene promotion_5]]/WWWW[[#This Row],[Total PoP ]]</f>
        <v>0.77279752704791349</v>
      </c>
      <c r="CC55" s="211">
        <f>IF(WWWW[[#This Row],['# HH received soaps]]/WWWW[[#This Row],[Total HH]]&gt;1,1,WWWW[[#This Row],['# HH received soaps]]/WWWW[[#This Row],[Total HH]])</f>
        <v>1</v>
      </c>
      <c r="CD55" s="211">
        <f>IF(WWWW[[#This Row],['# HH received Sanitary Pads]]/WWWW[[#This Row],[Total HH]]&gt;1,1,WWWW[[#This Row],['# HH received Sanitary Pads]]/WWWW[[#This Row],[Total HH]])</f>
        <v>0</v>
      </c>
      <c r="CE55" s="210">
        <f>WWWW[[#This Row],['# HH received soaps]]*5</f>
        <v>635</v>
      </c>
      <c r="CF55" s="210">
        <f>WWWW[[#This Row],['# HH received Sanitary Pads]]*5</f>
        <v>0</v>
      </c>
      <c r="CG55" s="210">
        <f>IF(WWWW[[#This Row],['# People with access to soap]]&gt;WWWW[[#This Row],['# People with access to Sanity Pads]],WWWW[[#This Row],['# People with access to soap]],WWWW[[#This Row],['# People with access to Sanity Pads]])</f>
        <v>635</v>
      </c>
      <c r="CH55" s="209">
        <f>WWWW[[#This Row],[Total HH]]*WWWW[[#This Row],[%HHs with access to functional hand washing stations]]</f>
        <v>127</v>
      </c>
      <c r="CI55" s="699" t="str">
        <f>VLOOKUP(WWWW[[#This Row],[Site Name]],SiteDB6[[Site Name]:[CCCM Management]],6,FALSE)</f>
        <v>Yes</v>
      </c>
      <c r="CJ55" s="699" t="str">
        <f>VLOOKUP(WWWW[[#This Row],[Site Name]],SiteDB6[[Site Name]:[CCCM Focal Agency]],7,FALSE)</f>
        <v>KBC</v>
      </c>
      <c r="CK55" s="699" t="str">
        <f>VLOOKUP(WWWW[[#This Row],[Site Name]],SiteDB6[[Site Name]:[Location Type]],8,FALSE)</f>
        <v>Camp</v>
      </c>
      <c r="CL55" s="699" t="str">
        <f>VLOOKUP(WWWW[[#This Row],[Site Name]],SiteDB6[[Site Name]:[Location Type 1]],9,FALSE)</f>
        <v>Camp</v>
      </c>
      <c r="CM55" s="699" t="str">
        <f>VLOOKUP(WWWW[[#This Row],[Site Name]],SiteDB6[[Site Name]:[Type of Accommodation]],10,FALSE)</f>
        <v>Camp</v>
      </c>
      <c r="CN55" s="699" t="str">
        <f>VLOOKUP(WWWW[[#This Row],[Site Name]],SiteDB6[[Site Name]:[Ethnic or GCA/NGCA]],11,FALSE)</f>
        <v>GCA</v>
      </c>
      <c r="CO55" s="699">
        <f>VLOOKUP(WWWW[[#This Row],[Site Name]],SiteDB6[[Site Name]:[Lat]],12,FALSE)</f>
        <v>23.83013</v>
      </c>
      <c r="CP55" s="699">
        <f>VLOOKUP(WWWW[[#This Row],[Site Name]],SiteDB6[[Site Name]:[Long]],13,FALSE)</f>
        <v>97.589979999999997</v>
      </c>
      <c r="CQ55" s="699" t="str">
        <f>VLOOKUP(WWWW[[#This Row],[Site Name]],SiteDB6[[Site Name]:[Pcode]],3,FALSE)</f>
        <v>MMR001CMP133</v>
      </c>
      <c r="CR55" s="660" t="str">
        <f t="shared" si="0"/>
        <v>Covered</v>
      </c>
      <c r="CS55" s="660"/>
      <c r="CT55" s="24"/>
      <c r="CU55" s="24"/>
      <c r="CV55" s="24"/>
    </row>
    <row r="56" spans="1:100" ht="15.75" customHeight="1" x14ac:dyDescent="0.25">
      <c r="A56" s="833" t="s">
        <v>3206</v>
      </c>
      <c r="B56" s="206" t="s">
        <v>447</v>
      </c>
      <c r="C56" s="206" t="s">
        <v>44</v>
      </c>
      <c r="D56" s="206" t="s">
        <v>45</v>
      </c>
      <c r="E56" s="206" t="s">
        <v>450</v>
      </c>
      <c r="F56" s="206">
        <v>117</v>
      </c>
      <c r="G56" s="209">
        <v>524</v>
      </c>
      <c r="H56" s="206">
        <v>190</v>
      </c>
      <c r="I56" s="206" t="s">
        <v>449</v>
      </c>
      <c r="J56" s="207">
        <v>43421</v>
      </c>
      <c r="K56" s="206"/>
      <c r="L56" s="206" t="s">
        <v>48</v>
      </c>
      <c r="M56" s="208">
        <v>0.56999999999999995</v>
      </c>
      <c r="N56" s="208">
        <v>0.43</v>
      </c>
      <c r="O56" s="316"/>
      <c r="P56" s="317">
        <v>3</v>
      </c>
      <c r="Q56" s="317">
        <v>153600</v>
      </c>
      <c r="R56" s="318"/>
      <c r="S56" s="318">
        <v>3</v>
      </c>
      <c r="T56" s="318"/>
      <c r="U56" s="318"/>
      <c r="V56" s="318"/>
      <c r="W56" s="318"/>
      <c r="X56" s="318"/>
      <c r="Y56" s="318"/>
      <c r="Z56" s="318"/>
      <c r="AA56" s="310">
        <v>29</v>
      </c>
      <c r="AB56" s="310">
        <v>5</v>
      </c>
      <c r="AC56" s="66">
        <v>15</v>
      </c>
      <c r="AD56" s="66" t="s">
        <v>2787</v>
      </c>
      <c r="AE56" s="310">
        <v>29</v>
      </c>
      <c r="AF56" s="310" t="s">
        <v>283</v>
      </c>
      <c r="AG56" s="311" t="s">
        <v>1358</v>
      </c>
      <c r="AH56" s="311"/>
      <c r="AI56" s="310"/>
      <c r="AJ56" s="310"/>
      <c r="AK56" s="841">
        <v>1</v>
      </c>
      <c r="AL56" s="842" t="s">
        <v>376</v>
      </c>
      <c r="AM56" s="842"/>
      <c r="AN56" s="874">
        <v>4</v>
      </c>
      <c r="AO56" s="874">
        <v>1</v>
      </c>
      <c r="AP56" s="838">
        <v>117</v>
      </c>
      <c r="AQ56" s="843"/>
      <c r="AR56" s="843"/>
      <c r="AS56" s="843"/>
      <c r="AT56" s="843"/>
      <c r="AU56" s="843"/>
      <c r="AV56" s="844"/>
      <c r="AW56" s="208" t="str">
        <f>IFERROR(WWWW[[#This Row],['# of Water passed at source]]/WWWW[[#This Row],['# of Water tested at source]],"no test")</f>
        <v>no test</v>
      </c>
      <c r="AX56" s="211" t="str">
        <f>IFERROR(WWWW[[#This Row],['# of Water passed at HH]]/WWWW[[#This Row],['# of Water tested at HH]],"no test")</f>
        <v>no test</v>
      </c>
      <c r="AY56" s="210" t="str">
        <f>IF(AND(WWWW[[#This Row],[%of Water samples which passed at water source]]="no test",WWWW[[#This Row],[%Water samples which passed at HH]]="no test"),"No Test","Tested")</f>
        <v>No Test</v>
      </c>
      <c r="AZ5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5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56" s="211">
        <f>IF(WWWW[[#This Row],[Location Type 1]]="Village",WWWW[[#This Row],[Access to safe drinking water for Village]],WWWW[[#This Row],[Access to safe drinking water for Camp]])</f>
        <v>1</v>
      </c>
      <c r="BC56" s="209">
        <f>WWWW[[#This Row],[%Equitable and continuous access to sufficient quantity of safe drinking water]]*WWWW[[#This Row],[Total PoP ]]</f>
        <v>524</v>
      </c>
      <c r="BD56" s="211">
        <f>IF((WWWW[[#This Row],['# Existing protected/fenced ponds ]]*250)/WWWW[[#This Row],[Total PoP ]]&gt;1,1,WWWW[[#This Row],['# Existing protected/fenced ponds ]]*250/WWWW[[#This Row],[Total PoP ]])</f>
        <v>0</v>
      </c>
      <c r="BE56" s="209">
        <f>WWWW[[#This Row],[Access to unimproved water points]]*WWWW[[#This Row],[Total PoP ]]</f>
        <v>0</v>
      </c>
      <c r="BF5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5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524</v>
      </c>
      <c r="BH56" s="209">
        <f>WWWW[[#This Row],['#people Equitable and continuous access to sufficient quantity of domestic water borehole n ponds_2]]/500</f>
        <v>1.048</v>
      </c>
      <c r="BI56" s="208">
        <f>1-WWWW[[#This Row],[%Equitable and continuous access to sufficient quantity of domestic water borehole n ponds]]</f>
        <v>0</v>
      </c>
      <c r="BJ56" s="209">
        <f>WWWW[[#This Row],[%equitable and continuous access to sufficient quantity of safe drinking and domestic water''s GAP]]*WWWW[[#This Row],[Total PoP ]]</f>
        <v>0</v>
      </c>
      <c r="BK56" s="210">
        <f>IF(WWWW[[#This Row],[Total required water points]]-WWWW[[#This Row],['#Water points coverage]]&lt;0,0,WWWW[[#This Row],[Total required water points]]-WWWW[[#This Row],['#Water points coverage]])</f>
        <v>0</v>
      </c>
      <c r="BL56" s="210">
        <f>ROUND(IF(WWWW[[#This Row],[Total PoP ]]&lt;500,1,WWWW[[#This Row],[Total PoP ]]/500),0)</f>
        <v>1</v>
      </c>
      <c r="BM56" s="210">
        <f>WWWW[[#This Row],['# Existing functional latrines]]+WWWW[[#This Row],['# Existing latrines dysfunctional]]</f>
        <v>34</v>
      </c>
      <c r="BN5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56" s="352">
        <f>WWWW[[#This Row],[% people access to functioning Latrine]]*WWWW[[#This Row],[Total PoP ]]</f>
        <v>524</v>
      </c>
      <c r="BP5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56" s="209">
        <f>IF(WWWW[[#This Row],[Total required Latrines]]-WWWW[[#This Row],[Total '# of latrine]]&lt;0,0,WWWW[[#This Row],[Total required Latrines]]-WWWW[[#This Row],[Total '# of latrine]])</f>
        <v>0</v>
      </c>
      <c r="BR56" s="210">
        <f>ROUND(IF(WWWW[[#This Row],[Location Type 1]]="camp",WWWW[[#This Row],[Total PoP ]]/20,WWWW[[#This Row],[Total PoP ]]/6),0)</f>
        <v>26</v>
      </c>
      <c r="BS56" s="212">
        <f>IF(OR(WWWW[[#This Row],['# Existing latrines dysfunctional]]="",WWWW[[#This Row],['# Existing latrines dysfunctional]]=0),0,WWWW[[#This Row],['# Existing latrines dysfunctional]]/WWWW[[#This Row],[Total '# of latrine]])</f>
        <v>0.14705882352941177</v>
      </c>
      <c r="BT5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300</v>
      </c>
      <c r="BU56" s="209">
        <f>IF(500*WWWW[[#This Row],['# Hygiene Promoters ]]&gt;WWWW[[#This Row],[Total PoP ]],WWWW[[#This Row],[Total PoP ]],500*WWWW[[#This Row],['# Hygiene Promoters ]])</f>
        <v>500</v>
      </c>
      <c r="BV56" s="209">
        <f>IF(WWWW[[#This Row],[% of HH with access to Sanitary Pad]]&gt;=100%,1,0)</f>
        <v>0</v>
      </c>
      <c r="BW56" s="209">
        <f>IF(WWWW[[#This Row],[Total PoP ]]=0,0,IF(WWWW[[#This Row],['# Hygiene Promoters ]]=0,0,IF(WWWW[[#This Row],[Location Type 1]]="Village",IF(WWWW[[#This Row],[Total PoP ]]/WWWW[[#This Row],['# Hygiene Promoters ]]&lt;1000,1,0),IF(WWWW[[#This Row],[Total PoP ]]/WWWW[[#This Row],['# Hygiene Promoters ]]&lt;600,1,0))))</f>
        <v>1</v>
      </c>
      <c r="BX56" s="209">
        <f>IF(WWWW[[#This Row],[%HH with access to soap]]&gt;=100%,1,0)</f>
        <v>1</v>
      </c>
      <c r="BY56" s="209">
        <f>IF(WWWW[[#This Row],[% of HHs with access to Sanitary pad more than '#%]]+WWWW[[#This Row],[Ratio of Hyiene promoters to people less than '#]]+WWWW[[#This Row],[% of HHs with access to soap more than '#%]]&gt;=2,WWWW[[#This Row],[Total PoP ]],0)</f>
        <v>524</v>
      </c>
      <c r="BZ56" s="208">
        <f>WWWW[[#This Row],[People adopt basic personal and community hygiene practices]]/WWWW[[#This Row],[Total PoP ]]</f>
        <v>1</v>
      </c>
      <c r="CA56" s="212">
        <f>1-WWWW[[#This Row],[Hygiene Coverage%]]</f>
        <v>0</v>
      </c>
      <c r="CB56" s="211">
        <f>WWWW[[#This Row],['# people reached by regular dedicated hygiene promotion_5]]/WWWW[[#This Row],[Total PoP ]]</f>
        <v>0.95419847328244278</v>
      </c>
      <c r="CC56" s="211">
        <f>IF(WWWW[[#This Row],['# HH received soaps]]/WWWW[[#This Row],[Total HH]]&gt;1,1,WWWW[[#This Row],['# HH received soaps]]/WWWW[[#This Row],[Total HH]])</f>
        <v>1</v>
      </c>
      <c r="CD56" s="211">
        <f>IF(WWWW[[#This Row],['# HH received Sanitary Pads]]/WWWW[[#This Row],[Total HH]]&gt;1,1,WWWW[[#This Row],['# HH received Sanitary Pads]]/WWWW[[#This Row],[Total HH]])</f>
        <v>0</v>
      </c>
      <c r="CE56" s="210">
        <f>WWWW[[#This Row],['# HH received soaps]]*5</f>
        <v>585</v>
      </c>
      <c r="CF56" s="210">
        <f>WWWW[[#This Row],['# HH received Sanitary Pads]]*5</f>
        <v>0</v>
      </c>
      <c r="CG56" s="210">
        <f>IF(WWWW[[#This Row],['# People with access to soap]]&gt;WWWW[[#This Row],['# People with access to Sanity Pads]],WWWW[[#This Row],['# People with access to soap]],WWWW[[#This Row],['# People with access to Sanity Pads]])</f>
        <v>585</v>
      </c>
      <c r="CH56" s="209">
        <f>WWWW[[#This Row],[Total HH]]*WWWW[[#This Row],[%HHs with access to functional hand washing stations]]</f>
        <v>117</v>
      </c>
      <c r="CI56" s="699" t="str">
        <f>VLOOKUP(WWWW[[#This Row],[Site Name]],SiteDB6[[Site Name]:[CCCM Management]],6,FALSE)</f>
        <v>Yes</v>
      </c>
      <c r="CJ56" s="699" t="str">
        <f>VLOOKUP(WWWW[[#This Row],[Site Name]],SiteDB6[[Site Name]:[CCCM Focal Agency]],7,FALSE)</f>
        <v>KBC</v>
      </c>
      <c r="CK56" s="699" t="str">
        <f>VLOOKUP(WWWW[[#This Row],[Site Name]],SiteDB6[[Site Name]:[Location Type]],8,FALSE)</f>
        <v>Camp</v>
      </c>
      <c r="CL56" s="699" t="str">
        <f>VLOOKUP(WWWW[[#This Row],[Site Name]],SiteDB6[[Site Name]:[Location Type 1]],9,FALSE)</f>
        <v>Camp</v>
      </c>
      <c r="CM56" s="699" t="str">
        <f>VLOOKUP(WWWW[[#This Row],[Site Name]],SiteDB6[[Site Name]:[Type of Accommodation]],10,FALSE)</f>
        <v>Camp</v>
      </c>
      <c r="CN56" s="699" t="str">
        <f>VLOOKUP(WWWW[[#This Row],[Site Name]],SiteDB6[[Site Name]:[Ethnic or GCA/NGCA]],11,FALSE)</f>
        <v>GCA</v>
      </c>
      <c r="CO56" s="699">
        <f>VLOOKUP(WWWW[[#This Row],[Site Name]],SiteDB6[[Site Name]:[Lat]],12,FALSE)</f>
        <v>23.829599000000002</v>
      </c>
      <c r="CP56" s="699">
        <f>VLOOKUP(WWWW[[#This Row],[Site Name]],SiteDB6[[Site Name]:[Long]],13,FALSE)</f>
        <v>97.590767</v>
      </c>
      <c r="CQ56" s="699" t="str">
        <f>VLOOKUP(WWWW[[#This Row],[Site Name]],SiteDB6[[Site Name]:[Pcode]],3,FALSE)</f>
        <v>MMR001CMP230</v>
      </c>
      <c r="CR56" s="660" t="str">
        <f t="shared" si="0"/>
        <v>Covered</v>
      </c>
      <c r="CS56" s="660"/>
      <c r="CT56" s="24"/>
      <c r="CU56" s="24"/>
      <c r="CV56" s="24"/>
    </row>
    <row r="57" spans="1:100" ht="15.75" customHeight="1" x14ac:dyDescent="0.25">
      <c r="A57" s="833" t="s">
        <v>3206</v>
      </c>
      <c r="B57" s="206" t="s">
        <v>447</v>
      </c>
      <c r="C57" s="206" t="s">
        <v>44</v>
      </c>
      <c r="D57" s="206" t="s">
        <v>45</v>
      </c>
      <c r="E57" s="206" t="s">
        <v>451</v>
      </c>
      <c r="F57" s="206">
        <v>443</v>
      </c>
      <c r="G57" s="209">
        <v>2338</v>
      </c>
      <c r="H57" s="206"/>
      <c r="I57" s="206" t="s">
        <v>449</v>
      </c>
      <c r="J57" s="207">
        <v>43421</v>
      </c>
      <c r="K57" s="206"/>
      <c r="L57" s="206" t="s">
        <v>48</v>
      </c>
      <c r="M57" s="208">
        <v>0.14000000000000001</v>
      </c>
      <c r="N57" s="208">
        <v>0.14000000000000001</v>
      </c>
      <c r="O57" s="316">
        <v>1</v>
      </c>
      <c r="P57" s="317">
        <v>3</v>
      </c>
      <c r="Q57" s="317">
        <v>65500</v>
      </c>
      <c r="R57" s="318"/>
      <c r="S57" s="318">
        <v>5</v>
      </c>
      <c r="T57" s="318"/>
      <c r="U57" s="318">
        <v>0</v>
      </c>
      <c r="V57" s="318">
        <v>0</v>
      </c>
      <c r="W57" s="318">
        <v>0</v>
      </c>
      <c r="X57" s="318">
        <v>0</v>
      </c>
      <c r="Y57" s="318">
        <v>0</v>
      </c>
      <c r="Z57" s="318"/>
      <c r="AA57" s="310">
        <v>184</v>
      </c>
      <c r="AB57" s="310"/>
      <c r="AC57" s="66">
        <v>30</v>
      </c>
      <c r="AD57" s="66" t="s">
        <v>2785</v>
      </c>
      <c r="AE57" s="310">
        <v>184</v>
      </c>
      <c r="AF57" s="310" t="s">
        <v>283</v>
      </c>
      <c r="AG57" s="311" t="s">
        <v>283</v>
      </c>
      <c r="AH57" s="311">
        <v>0</v>
      </c>
      <c r="AI57" s="310">
        <v>0</v>
      </c>
      <c r="AJ57" s="310"/>
      <c r="AK57" s="841">
        <v>1</v>
      </c>
      <c r="AL57" s="842" t="s">
        <v>376</v>
      </c>
      <c r="AM57" s="842">
        <v>0</v>
      </c>
      <c r="AN57" s="874">
        <f>16+2</f>
        <v>18</v>
      </c>
      <c r="AO57" s="874">
        <v>2</v>
      </c>
      <c r="AP57" s="843">
        <v>443</v>
      </c>
      <c r="AQ57" s="843">
        <v>0</v>
      </c>
      <c r="AR57" s="843"/>
      <c r="AS57" s="843"/>
      <c r="AT57" s="843"/>
      <c r="AU57" s="843"/>
      <c r="AV57" s="844"/>
      <c r="AW57" s="208" t="str">
        <f>IFERROR(WWWW[[#This Row],['# of Water passed at source]]/WWWW[[#This Row],['# of Water tested at source]],"no test")</f>
        <v>no test</v>
      </c>
      <c r="AX57" s="211" t="str">
        <f>IFERROR(WWWW[[#This Row],['# of Water passed at HH]]/WWWW[[#This Row],['# of Water tested at HH]],"no test")</f>
        <v>no test</v>
      </c>
      <c r="AY57" s="210" t="str">
        <f>IF(AND(WWWW[[#This Row],[%of Water samples which passed at water source]]="no test",WWWW[[#This Row],[%Water samples which passed at HH]]="no test"),"No Test","Tested")</f>
        <v>No Test</v>
      </c>
      <c r="AZ5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5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57" s="211">
        <f>IF(WWWW[[#This Row],[Location Type 1]]="Village",WWWW[[#This Row],[Access to safe drinking water for Village]],WWWW[[#This Row],[Access to safe drinking water for Camp]])</f>
        <v>1</v>
      </c>
      <c r="BC57" s="209">
        <f>WWWW[[#This Row],[%Equitable and continuous access to sufficient quantity of safe drinking water]]*WWWW[[#This Row],[Total PoP ]]</f>
        <v>2338</v>
      </c>
      <c r="BD57" s="211">
        <f>IF((WWWW[[#This Row],['# Existing protected/fenced ponds ]]*250)/WWWW[[#This Row],[Total PoP ]]&gt;1,1,WWWW[[#This Row],['# Existing protected/fenced ponds ]]*250/WWWW[[#This Row],[Total PoP ]])</f>
        <v>0</v>
      </c>
      <c r="BE57" s="209">
        <f>WWWW[[#This Row],[Access to unimproved water points]]*WWWW[[#This Row],[Total PoP ]]</f>
        <v>0</v>
      </c>
      <c r="BF5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5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2338</v>
      </c>
      <c r="BH57" s="209">
        <f>WWWW[[#This Row],['#people Equitable and continuous access to sufficient quantity of domestic water borehole n ponds_2]]/500</f>
        <v>4.6760000000000002</v>
      </c>
      <c r="BI57" s="208">
        <f>1-WWWW[[#This Row],[%Equitable and continuous access to sufficient quantity of domestic water borehole n ponds]]</f>
        <v>0</v>
      </c>
      <c r="BJ57" s="209">
        <f>WWWW[[#This Row],[%equitable and continuous access to sufficient quantity of safe drinking and domestic water''s GAP]]*WWWW[[#This Row],[Total PoP ]]</f>
        <v>0</v>
      </c>
      <c r="BK57" s="210">
        <f>IF(WWWW[[#This Row],[Total required water points]]-WWWW[[#This Row],['#Water points coverage]]&lt;0,0,WWWW[[#This Row],[Total required water points]]-WWWW[[#This Row],['#Water points coverage]])</f>
        <v>0.32399999999999984</v>
      </c>
      <c r="BL57" s="210">
        <f>ROUND(IF(WWWW[[#This Row],[Total PoP ]]&lt;500,1,WWWW[[#This Row],[Total PoP ]]/500),0)</f>
        <v>5</v>
      </c>
      <c r="BM57" s="210">
        <f>WWWW[[#This Row],['# Existing functional latrines]]+WWWW[[#This Row],['# Existing latrines dysfunctional]]</f>
        <v>184</v>
      </c>
      <c r="BN5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57" s="352">
        <f>WWWW[[#This Row],[% people access to functioning Latrine]]*WWWW[[#This Row],[Total PoP ]]</f>
        <v>2338</v>
      </c>
      <c r="BP5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57" s="209">
        <f>IF(WWWW[[#This Row],[Total required Latrines]]-WWWW[[#This Row],[Total '# of latrine]]&lt;0,0,WWWW[[#This Row],[Total required Latrines]]-WWWW[[#This Row],[Total '# of latrine]])</f>
        <v>0</v>
      </c>
      <c r="BR57" s="210">
        <f>ROUND(IF(WWWW[[#This Row],[Location Type 1]]="camp",WWWW[[#This Row],[Total PoP ]]/20,WWWW[[#This Row],[Total PoP ]]/6),0)</f>
        <v>117</v>
      </c>
      <c r="BS57" s="212">
        <f>IF(OR(WWWW[[#This Row],['# Existing latrines dysfunctional]]="",WWWW[[#This Row],['# Existing latrines dysfunctional]]=0),0,WWWW[[#This Row],['# Existing latrines dysfunctional]]/WWWW[[#This Row],[Total '# of latrine]])</f>
        <v>0</v>
      </c>
      <c r="BT5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600</v>
      </c>
      <c r="BU57" s="209">
        <f>IF(500*WWWW[[#This Row],['# Hygiene Promoters ]]&gt;WWWW[[#This Row],[Total PoP ]],WWWW[[#This Row],[Total PoP ]],500*WWWW[[#This Row],['# Hygiene Promoters ]])</f>
        <v>1000</v>
      </c>
      <c r="BV57" s="209">
        <f>IF(WWWW[[#This Row],[% of HH with access to Sanitary Pad]]&gt;=100%,1,0)</f>
        <v>0</v>
      </c>
      <c r="BW57" s="209">
        <f>IF(WWWW[[#This Row],[Total PoP ]]=0,0,IF(WWWW[[#This Row],['# Hygiene Promoters ]]=0,0,IF(WWWW[[#This Row],[Location Type 1]]="Village",IF(WWWW[[#This Row],[Total PoP ]]/WWWW[[#This Row],['# Hygiene Promoters ]]&lt;1000,1,0),IF(WWWW[[#This Row],[Total PoP ]]/WWWW[[#This Row],['# Hygiene Promoters ]]&lt;600,1,0))))</f>
        <v>0</v>
      </c>
      <c r="BX57" s="209">
        <f>IF(WWWW[[#This Row],[%HH with access to soap]]&gt;=100%,1,0)</f>
        <v>1</v>
      </c>
      <c r="BY57" s="209">
        <f>IF(WWWW[[#This Row],[% of HHs with access to Sanitary pad more than '#%]]+WWWW[[#This Row],[Ratio of Hyiene promoters to people less than '#]]+WWWW[[#This Row],[% of HHs with access to soap more than '#%]]&gt;=2,WWWW[[#This Row],[Total PoP ]],0)</f>
        <v>0</v>
      </c>
      <c r="BZ57" s="208">
        <f>WWWW[[#This Row],[People adopt basic personal and community hygiene practices]]/WWWW[[#This Row],[Total PoP ]]</f>
        <v>0</v>
      </c>
      <c r="CA57" s="212">
        <f>1-WWWW[[#This Row],[Hygiene Coverage%]]</f>
        <v>1</v>
      </c>
      <c r="CB57" s="211">
        <f>WWWW[[#This Row],['# people reached by regular dedicated hygiene promotion_5]]/WWWW[[#This Row],[Total PoP ]]</f>
        <v>0.42771599657827203</v>
      </c>
      <c r="CC57" s="211">
        <f>IF(WWWW[[#This Row],['# HH received soaps]]/WWWW[[#This Row],[Total HH]]&gt;1,1,WWWW[[#This Row],['# HH received soaps]]/WWWW[[#This Row],[Total HH]])</f>
        <v>1</v>
      </c>
      <c r="CD57" s="211">
        <f>IF(WWWW[[#This Row],['# HH received Sanitary Pads]]/WWWW[[#This Row],[Total HH]]&gt;1,1,WWWW[[#This Row],['# HH received Sanitary Pads]]/WWWW[[#This Row],[Total HH]])</f>
        <v>0</v>
      </c>
      <c r="CE57" s="210">
        <f>WWWW[[#This Row],['# HH received soaps]]*5</f>
        <v>2215</v>
      </c>
      <c r="CF57" s="210">
        <f>WWWW[[#This Row],['# HH received Sanitary Pads]]*5</f>
        <v>0</v>
      </c>
      <c r="CG57" s="210">
        <f>IF(WWWW[[#This Row],['# People with access to soap]]&gt;WWWW[[#This Row],['# People with access to Sanity Pads]],WWWW[[#This Row],['# People with access to soap]],WWWW[[#This Row],['# People with access to Sanity Pads]])</f>
        <v>2215</v>
      </c>
      <c r="CH57" s="209">
        <f>WWWW[[#This Row],[Total HH]]*WWWW[[#This Row],[%HHs with access to functional hand washing stations]]</f>
        <v>443</v>
      </c>
      <c r="CI57" s="699" t="str">
        <f>VLOOKUP(WWWW[[#This Row],[Site Name]],SiteDB6[[Site Name]:[CCCM Management]],6,FALSE)</f>
        <v>Yes</v>
      </c>
      <c r="CJ57" s="699" t="str">
        <f>VLOOKUP(WWWW[[#This Row],[Site Name]],SiteDB6[[Site Name]:[CCCM Focal Agency]],7,FALSE)</f>
        <v>KMSS-BMO</v>
      </c>
      <c r="CK57" s="699" t="str">
        <f>VLOOKUP(WWWW[[#This Row],[Site Name]],SiteDB6[[Site Name]:[Location Type]],8,FALSE)</f>
        <v>Camp</v>
      </c>
      <c r="CL57" s="699" t="str">
        <f>VLOOKUP(WWWW[[#This Row],[Site Name]],SiteDB6[[Site Name]:[Location Type 1]],9,FALSE)</f>
        <v>Camp</v>
      </c>
      <c r="CM57" s="699" t="str">
        <f>VLOOKUP(WWWW[[#This Row],[Site Name]],SiteDB6[[Site Name]:[Type of Accommodation]],10,FALSE)</f>
        <v>Camp</v>
      </c>
      <c r="CN57" s="699" t="str">
        <f>VLOOKUP(WWWW[[#This Row],[Site Name]],SiteDB6[[Site Name]:[Ethnic or GCA/NGCA]],11,FALSE)</f>
        <v>GCA</v>
      </c>
      <c r="CO57" s="699">
        <f>VLOOKUP(WWWW[[#This Row],[Site Name]],SiteDB6[[Site Name]:[Lat]],12,FALSE)</f>
        <v>23.835319999999999</v>
      </c>
      <c r="CP57" s="699">
        <f>VLOOKUP(WWWW[[#This Row],[Site Name]],SiteDB6[[Site Name]:[Long]],13,FALSE)</f>
        <v>97.578490000000002</v>
      </c>
      <c r="CQ57" s="699" t="str">
        <f>VLOOKUP(WWWW[[#This Row],[Site Name]],SiteDB6[[Site Name]:[Pcode]],3,FALSE)</f>
        <v>MMR001CMP132</v>
      </c>
      <c r="CR57" s="660" t="str">
        <f t="shared" si="0"/>
        <v>Covered</v>
      </c>
      <c r="CS57" s="660"/>
      <c r="CT57" s="24"/>
      <c r="CU57" s="24"/>
      <c r="CV57" s="24"/>
    </row>
    <row r="58" spans="1:100" ht="15.75" customHeight="1" x14ac:dyDescent="0.25">
      <c r="A58" s="833" t="s">
        <v>3206</v>
      </c>
      <c r="B58" s="206" t="s">
        <v>447</v>
      </c>
      <c r="C58" s="206" t="s">
        <v>44</v>
      </c>
      <c r="D58" s="206" t="s">
        <v>45</v>
      </c>
      <c r="E58" s="206" t="s">
        <v>452</v>
      </c>
      <c r="F58" s="206">
        <v>119</v>
      </c>
      <c r="G58" s="209">
        <v>637</v>
      </c>
      <c r="H58" s="201">
        <v>177</v>
      </c>
      <c r="I58" s="206" t="s">
        <v>449</v>
      </c>
      <c r="J58" s="207">
        <v>43421</v>
      </c>
      <c r="K58" s="206"/>
      <c r="L58" s="206" t="s">
        <v>48</v>
      </c>
      <c r="M58" s="208">
        <v>0.28999999999999998</v>
      </c>
      <c r="N58" s="208">
        <v>0.28999999999999998</v>
      </c>
      <c r="O58" s="316">
        <v>1</v>
      </c>
      <c r="P58" s="317">
        <v>2</v>
      </c>
      <c r="Q58" s="317">
        <v>14286</v>
      </c>
      <c r="R58" s="318"/>
      <c r="S58" s="318">
        <v>3</v>
      </c>
      <c r="T58" s="318"/>
      <c r="U58" s="318"/>
      <c r="V58" s="318"/>
      <c r="W58" s="318"/>
      <c r="X58" s="318"/>
      <c r="Y58" s="318"/>
      <c r="Z58" s="318"/>
      <c r="AA58" s="310">
        <v>44</v>
      </c>
      <c r="AB58" s="310"/>
      <c r="AC58" s="66"/>
      <c r="AD58" s="66" t="s">
        <v>2787</v>
      </c>
      <c r="AE58" s="310">
        <v>44</v>
      </c>
      <c r="AF58" s="310" t="s">
        <v>283</v>
      </c>
      <c r="AG58" s="311" t="s">
        <v>1358</v>
      </c>
      <c r="AH58" s="311"/>
      <c r="AI58" s="310"/>
      <c r="AJ58" s="310"/>
      <c r="AK58" s="841">
        <v>1</v>
      </c>
      <c r="AL58" s="842" t="s">
        <v>376</v>
      </c>
      <c r="AM58" s="842"/>
      <c r="AN58" s="874">
        <f>3+3</f>
        <v>6</v>
      </c>
      <c r="AO58" s="874">
        <v>1</v>
      </c>
      <c r="AP58" s="838">
        <v>119</v>
      </c>
      <c r="AQ58" s="843"/>
      <c r="AR58" s="843"/>
      <c r="AS58" s="843"/>
      <c r="AT58" s="843"/>
      <c r="AU58" s="843"/>
      <c r="AV58" s="844"/>
      <c r="AW58" s="208" t="str">
        <f>IFERROR(WWWW[[#This Row],['# of Water passed at source]]/WWWW[[#This Row],['# of Water tested at source]],"no test")</f>
        <v>no test</v>
      </c>
      <c r="AX58" s="211" t="str">
        <f>IFERROR(WWWW[[#This Row],['# of Water passed at HH]]/WWWW[[#This Row],['# of Water tested at HH]],"no test")</f>
        <v>no test</v>
      </c>
      <c r="AY58" s="210" t="str">
        <f>IF(AND(WWWW[[#This Row],[%of Water samples which passed at water source]]="no test",WWWW[[#This Row],[%Water samples which passed at HH]]="no test"),"No Test","Tested")</f>
        <v>No Test</v>
      </c>
      <c r="AZ5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5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58" s="211">
        <f>IF(WWWW[[#This Row],[Location Type 1]]="Village",WWWW[[#This Row],[Access to safe drinking water for Village]],WWWW[[#This Row],[Access to safe drinking water for Camp]])</f>
        <v>1</v>
      </c>
      <c r="BC58" s="209">
        <f>WWWW[[#This Row],[%Equitable and continuous access to sufficient quantity of safe drinking water]]*WWWW[[#This Row],[Total PoP ]]</f>
        <v>637</v>
      </c>
      <c r="BD58" s="211">
        <f>IF((WWWW[[#This Row],['# Existing protected/fenced ponds ]]*250)/WWWW[[#This Row],[Total PoP ]]&gt;1,1,WWWW[[#This Row],['# Existing protected/fenced ponds ]]*250/WWWW[[#This Row],[Total PoP ]])</f>
        <v>0</v>
      </c>
      <c r="BE58" s="209">
        <f>WWWW[[#This Row],[Access to unimproved water points]]*WWWW[[#This Row],[Total PoP ]]</f>
        <v>0</v>
      </c>
      <c r="BF5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5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637</v>
      </c>
      <c r="BH58" s="209">
        <f>WWWW[[#This Row],['#people Equitable and continuous access to sufficient quantity of domestic water borehole n ponds_2]]/500</f>
        <v>1.274</v>
      </c>
      <c r="BI58" s="208">
        <f>1-WWWW[[#This Row],[%Equitable and continuous access to sufficient quantity of domestic water borehole n ponds]]</f>
        <v>0</v>
      </c>
      <c r="BJ58" s="209">
        <f>WWWW[[#This Row],[%equitable and continuous access to sufficient quantity of safe drinking and domestic water''s GAP]]*WWWW[[#This Row],[Total PoP ]]</f>
        <v>0</v>
      </c>
      <c r="BK58" s="210">
        <f>IF(WWWW[[#This Row],[Total required water points]]-WWWW[[#This Row],['#Water points coverage]]&lt;0,0,WWWW[[#This Row],[Total required water points]]-WWWW[[#This Row],['#Water points coverage]])</f>
        <v>0</v>
      </c>
      <c r="BL58" s="210">
        <f>ROUND(IF(WWWW[[#This Row],[Total PoP ]]&lt;500,1,WWWW[[#This Row],[Total PoP ]]/500),0)</f>
        <v>1</v>
      </c>
      <c r="BM58" s="210">
        <f>WWWW[[#This Row],['# Existing functional latrines]]+WWWW[[#This Row],['# Existing latrines dysfunctional]]</f>
        <v>44</v>
      </c>
      <c r="BN5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58" s="352">
        <f>WWWW[[#This Row],[% people access to functioning Latrine]]*WWWW[[#This Row],[Total PoP ]]</f>
        <v>637</v>
      </c>
      <c r="BP5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58" s="209">
        <f>IF(WWWW[[#This Row],[Total required Latrines]]-WWWW[[#This Row],[Total '# of latrine]]&lt;0,0,WWWW[[#This Row],[Total required Latrines]]-WWWW[[#This Row],[Total '# of latrine]])</f>
        <v>0</v>
      </c>
      <c r="BR58" s="210">
        <f>ROUND(IF(WWWW[[#This Row],[Location Type 1]]="camp",WWWW[[#This Row],[Total PoP ]]/20,WWWW[[#This Row],[Total PoP ]]/6),0)</f>
        <v>32</v>
      </c>
      <c r="BS58" s="212">
        <f>IF(OR(WWWW[[#This Row],['# Existing latrines dysfunctional]]="",WWWW[[#This Row],['# Existing latrines dysfunctional]]=0),0,WWWW[[#This Row],['# Existing latrines dysfunctional]]/WWWW[[#This Row],[Total '# of latrine]])</f>
        <v>0</v>
      </c>
      <c r="BT5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58" s="209">
        <f>IF(500*WWWW[[#This Row],['# Hygiene Promoters ]]&gt;WWWW[[#This Row],[Total PoP ]],WWWW[[#This Row],[Total PoP ]],500*WWWW[[#This Row],['# Hygiene Promoters ]])</f>
        <v>500</v>
      </c>
      <c r="BV58" s="209">
        <f>IF(WWWW[[#This Row],[% of HH with access to Sanitary Pad]]&gt;=100%,1,0)</f>
        <v>0</v>
      </c>
      <c r="BW58" s="209">
        <f>IF(WWWW[[#This Row],[Total PoP ]]=0,0,IF(WWWW[[#This Row],['# Hygiene Promoters ]]=0,0,IF(WWWW[[#This Row],[Location Type 1]]="Village",IF(WWWW[[#This Row],[Total PoP ]]/WWWW[[#This Row],['# Hygiene Promoters ]]&lt;1000,1,0),IF(WWWW[[#This Row],[Total PoP ]]/WWWW[[#This Row],['# Hygiene Promoters ]]&lt;600,1,0))))</f>
        <v>0</v>
      </c>
      <c r="BX58" s="209">
        <f>IF(WWWW[[#This Row],[%HH with access to soap]]&gt;=100%,1,0)</f>
        <v>1</v>
      </c>
      <c r="BY58" s="209">
        <f>IF(WWWW[[#This Row],[% of HHs with access to Sanitary pad more than '#%]]+WWWW[[#This Row],[Ratio of Hyiene promoters to people less than '#]]+WWWW[[#This Row],[% of HHs with access to soap more than '#%]]&gt;=2,WWWW[[#This Row],[Total PoP ]],0)</f>
        <v>0</v>
      </c>
      <c r="BZ58" s="208">
        <f>WWWW[[#This Row],[People adopt basic personal and community hygiene practices]]/WWWW[[#This Row],[Total PoP ]]</f>
        <v>0</v>
      </c>
      <c r="CA58" s="212">
        <f>1-WWWW[[#This Row],[Hygiene Coverage%]]</f>
        <v>1</v>
      </c>
      <c r="CB58" s="211">
        <f>WWWW[[#This Row],['# people reached by regular dedicated hygiene promotion_5]]/WWWW[[#This Row],[Total PoP ]]</f>
        <v>0.78492935635792782</v>
      </c>
      <c r="CC58" s="211">
        <f>IF(WWWW[[#This Row],['# HH received soaps]]/WWWW[[#This Row],[Total HH]]&gt;1,1,WWWW[[#This Row],['# HH received soaps]]/WWWW[[#This Row],[Total HH]])</f>
        <v>1</v>
      </c>
      <c r="CD58" s="211">
        <f>IF(WWWW[[#This Row],['# HH received Sanitary Pads]]/WWWW[[#This Row],[Total HH]]&gt;1,1,WWWW[[#This Row],['# HH received Sanitary Pads]]/WWWW[[#This Row],[Total HH]])</f>
        <v>0</v>
      </c>
      <c r="CE58" s="210">
        <f>WWWW[[#This Row],['# HH received soaps]]*5</f>
        <v>595</v>
      </c>
      <c r="CF58" s="210">
        <f>WWWW[[#This Row],['# HH received Sanitary Pads]]*5</f>
        <v>0</v>
      </c>
      <c r="CG58" s="210">
        <f>IF(WWWW[[#This Row],['# People with access to soap]]&gt;WWWW[[#This Row],['# People with access to Sanity Pads]],WWWW[[#This Row],['# People with access to soap]],WWWW[[#This Row],['# People with access to Sanity Pads]])</f>
        <v>595</v>
      </c>
      <c r="CH58" s="209">
        <f>WWWW[[#This Row],[Total HH]]*WWWW[[#This Row],[%HHs with access to functional hand washing stations]]</f>
        <v>119</v>
      </c>
      <c r="CI58" s="699" t="str">
        <f>VLOOKUP(WWWW[[#This Row],[Site Name]],SiteDB6[[Site Name]:[CCCM Management]],6,FALSE)</f>
        <v>Yes</v>
      </c>
      <c r="CJ58" s="699" t="str">
        <f>VLOOKUP(WWWW[[#This Row],[Site Name]],SiteDB6[[Site Name]:[CCCM Focal Agency]],7,FALSE)</f>
        <v>KMSS-BMO</v>
      </c>
      <c r="CK58" s="699" t="str">
        <f>VLOOKUP(WWWW[[#This Row],[Site Name]],SiteDB6[[Site Name]:[Location Type]],8,FALSE)</f>
        <v>Camp</v>
      </c>
      <c r="CL58" s="699" t="str">
        <f>VLOOKUP(WWWW[[#This Row],[Site Name]],SiteDB6[[Site Name]:[Location Type 1]],9,FALSE)</f>
        <v>Camp</v>
      </c>
      <c r="CM58" s="699" t="str">
        <f>VLOOKUP(WWWW[[#This Row],[Site Name]],SiteDB6[[Site Name]:[Type of Accommodation]],10,FALSE)</f>
        <v>Camp</v>
      </c>
      <c r="CN58" s="699" t="str">
        <f>VLOOKUP(WWWW[[#This Row],[Site Name]],SiteDB6[[Site Name]:[Ethnic or GCA/NGCA]],11,FALSE)</f>
        <v>GCA</v>
      </c>
      <c r="CO58" s="699">
        <f>VLOOKUP(WWWW[[#This Row],[Site Name]],SiteDB6[[Site Name]:[Lat]],12,FALSE)</f>
        <v>23.833477999999999</v>
      </c>
      <c r="CP58" s="699">
        <f>VLOOKUP(WWWW[[#This Row],[Site Name]],SiteDB6[[Site Name]:[Long]],13,FALSE)</f>
        <v>97.578367</v>
      </c>
      <c r="CQ58" s="699" t="str">
        <f>VLOOKUP(WWWW[[#This Row],[Site Name]],SiteDB6[[Site Name]:[Pcode]],3,FALSE)</f>
        <v>MMR001CMP228</v>
      </c>
      <c r="CR58" s="660" t="str">
        <f t="shared" si="0"/>
        <v>Covered</v>
      </c>
      <c r="CS58" s="660"/>
      <c r="CT58" s="24"/>
      <c r="CU58" s="24"/>
      <c r="CV58" s="24"/>
    </row>
    <row r="59" spans="1:100" ht="15.75" customHeight="1" x14ac:dyDescent="0.25">
      <c r="A59" s="833" t="s">
        <v>3206</v>
      </c>
      <c r="B59" s="206" t="s">
        <v>460</v>
      </c>
      <c r="C59" s="206" t="s">
        <v>44</v>
      </c>
      <c r="D59" s="206" t="s">
        <v>45</v>
      </c>
      <c r="E59" s="206" t="s">
        <v>1148</v>
      </c>
      <c r="F59" s="206">
        <v>175</v>
      </c>
      <c r="G59" s="209">
        <v>834</v>
      </c>
      <c r="H59" s="201"/>
      <c r="I59" s="201"/>
      <c r="J59" s="207"/>
      <c r="K59" s="206"/>
      <c r="L59" s="206" t="s">
        <v>282</v>
      </c>
      <c r="M59" s="208">
        <v>0</v>
      </c>
      <c r="N59" s="208">
        <v>0</v>
      </c>
      <c r="O59" s="316"/>
      <c r="P59" s="317"/>
      <c r="Q59" s="317"/>
      <c r="R59" s="318"/>
      <c r="S59" s="318"/>
      <c r="T59" s="318"/>
      <c r="U59" s="318"/>
      <c r="V59" s="318"/>
      <c r="W59" s="318"/>
      <c r="X59" s="318"/>
      <c r="Y59" s="318"/>
      <c r="Z59" s="318"/>
      <c r="AA59" s="310">
        <v>0</v>
      </c>
      <c r="AB59" s="310"/>
      <c r="AC59" s="66"/>
      <c r="AD59" s="66"/>
      <c r="AE59" s="310"/>
      <c r="AF59" s="310" t="s">
        <v>286</v>
      </c>
      <c r="AG59" s="311" t="s">
        <v>286</v>
      </c>
      <c r="AH59" s="311"/>
      <c r="AI59" s="310"/>
      <c r="AJ59" s="310"/>
      <c r="AK59" s="841"/>
      <c r="AL59" s="842"/>
      <c r="AM59" s="842"/>
      <c r="AN59" s="863"/>
      <c r="AO59" s="863"/>
      <c r="AP59" s="838"/>
      <c r="AQ59" s="843"/>
      <c r="AR59" s="843"/>
      <c r="AS59" s="843"/>
      <c r="AT59" s="843"/>
      <c r="AU59" s="843"/>
      <c r="AV59" s="844"/>
      <c r="AW59" s="208" t="str">
        <f>IFERROR(WWWW[[#This Row],['# of Water passed at source]]/WWWW[[#This Row],['# of Water tested at source]],"no test")</f>
        <v>no test</v>
      </c>
      <c r="AX59" s="211" t="str">
        <f>IFERROR(WWWW[[#This Row],['# of Water passed at HH]]/WWWW[[#This Row],['# of Water tested at HH]],"no test")</f>
        <v>no test</v>
      </c>
      <c r="AY59" s="210" t="str">
        <f>IF(AND(WWWW[[#This Row],[%of Water samples which passed at water source]]="no test",WWWW[[#This Row],[%Water samples which passed at HH]]="no test"),"No Test","Tested")</f>
        <v>No Test</v>
      </c>
      <c r="AZ5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5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59" s="211">
        <f>IF(WWWW[[#This Row],[Location Type 1]]="Village",WWWW[[#This Row],[Access to safe drinking water for Village]],WWWW[[#This Row],[Access to safe drinking water for Camp]])</f>
        <v>0</v>
      </c>
      <c r="BC59" s="209">
        <f>WWWW[[#This Row],[%Equitable and continuous access to sufficient quantity of safe drinking water]]*WWWW[[#This Row],[Total PoP ]]</f>
        <v>0</v>
      </c>
      <c r="BD59" s="211">
        <f>IF((WWWW[[#This Row],['# Existing protected/fenced ponds ]]*250)/WWWW[[#This Row],[Total PoP ]]&gt;1,1,WWWW[[#This Row],['# Existing protected/fenced ponds ]]*250/WWWW[[#This Row],[Total PoP ]])</f>
        <v>0</v>
      </c>
      <c r="BE59" s="209">
        <f>WWWW[[#This Row],[Access to unimproved water points]]*WWWW[[#This Row],[Total PoP ]]</f>
        <v>0</v>
      </c>
      <c r="BF5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5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59" s="209">
        <f>ROUND(WWWW[[#This Row],['#people Equitable and continuous access to sufficient quantity of domestic water borehole n ponds_2]]/500,0)</f>
        <v>0</v>
      </c>
      <c r="BI59" s="208">
        <f>1-WWWW[[#This Row],[%Equitable and continuous access to sufficient quantity of domestic water borehole n ponds]]</f>
        <v>1</v>
      </c>
      <c r="BJ59" s="209">
        <f>WWWW[[#This Row],[%equitable and continuous access to sufficient quantity of safe drinking and domestic water''s GAP]]*WWWW[[#This Row],[Total PoP ]]</f>
        <v>834</v>
      </c>
      <c r="BK59" s="210">
        <f>IF(WWWW[[#This Row],[Total required water points]]-WWWW[[#This Row],['#Water points coverage]]&lt;0,0,WWWW[[#This Row],[Total required water points]]-WWWW[[#This Row],['#Water points coverage]])</f>
        <v>2</v>
      </c>
      <c r="BL59" s="210">
        <f>ROUND(IF(WWWW[[#This Row],[Total PoP ]]&lt;500,1,WWWW[[#This Row],[Total PoP ]]/500),0)</f>
        <v>2</v>
      </c>
      <c r="BM59" s="210">
        <f>WWWW[[#This Row],['# Existing functional latrines]]+WWWW[[#This Row],['# Existing latrines dysfunctional]]</f>
        <v>0</v>
      </c>
      <c r="BN5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59" s="352">
        <f>WWWW[[#This Row],[% people access to functioning Latrine]]*WWWW[[#This Row],[Total PoP ]]</f>
        <v>0</v>
      </c>
      <c r="BP5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59" s="209">
        <f>IF(WWWW[[#This Row],[Total required Latrines]]-WWWW[[#This Row],[Total '# of latrine]]&lt;0,0,WWWW[[#This Row],[Total required Latrines]]-WWWW[[#This Row],[Total '# of latrine]])</f>
        <v>42</v>
      </c>
      <c r="BR59" s="210">
        <f>ROUND(IF(WWWW[[#This Row],[Location Type 1]]="camp",WWWW[[#This Row],[Total PoP ]]/20,WWWW[[#This Row],[Total PoP ]]/6),0)</f>
        <v>42</v>
      </c>
      <c r="BS59" s="212">
        <f>IF(OR(WWWW[[#This Row],['# Existing latrines dysfunctional]]="",WWWW[[#This Row],['# Existing latrines dysfunctional]]=0),0,WWWW[[#This Row],['# Existing latrines dysfunctional]]/WWWW[[#This Row],[Total '# of latrine]])</f>
        <v>0</v>
      </c>
      <c r="BT5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59" s="209">
        <f>IF(500*WWWW[[#This Row],['# Hygiene Promoters ]]&gt;WWWW[[#This Row],[Total PoP ]],WWWW[[#This Row],[Total PoP ]],500*WWWW[[#This Row],['# Hygiene Promoters ]])</f>
        <v>0</v>
      </c>
      <c r="BV59" s="209">
        <f>IF(WWWW[[#This Row],[% of HH with access to Sanitary Pad]]&gt;=100%,1,0)</f>
        <v>0</v>
      </c>
      <c r="BW59" s="209">
        <f>IF(WWWW[[#This Row],[Total PoP ]]=0,0,IF(WWWW[[#This Row],['# Hygiene Promoters ]]=0,0,IF(WWWW[[#This Row],[Location Type 1]]="Village",IF(WWWW[[#This Row],[Total PoP ]]/WWWW[[#This Row],['# Hygiene Promoters ]]&lt;1000,1,0),IF(WWWW[[#This Row],[Total PoP ]]/WWWW[[#This Row],['# Hygiene Promoters ]]&lt;600,1,0))))</f>
        <v>0</v>
      </c>
      <c r="BX59" s="209">
        <f>IF(WWWW[[#This Row],[%HH with access to soap]]&gt;=100%,1,0)</f>
        <v>0</v>
      </c>
      <c r="BY59" s="209">
        <f>IF(WWWW[[#This Row],[% of HHs with access to Sanitary pad more than '#%]]+WWWW[[#This Row],[Ratio of Hyiene promoters to people less than '#]]+WWWW[[#This Row],[% of HHs with access to soap more than '#%]]&gt;=2,WWWW[[#This Row],[Total PoP ]],0)</f>
        <v>0</v>
      </c>
      <c r="BZ59" s="208">
        <f>WWWW[[#This Row],[People adopt basic personal and community hygiene practices]]/WWWW[[#This Row],[Total PoP ]]</f>
        <v>0</v>
      </c>
      <c r="CA59" s="212">
        <f>1-WWWW[[#This Row],[Hygiene Coverage%]]</f>
        <v>1</v>
      </c>
      <c r="CB59" s="211">
        <f>WWWW[[#This Row],['# people reached by regular dedicated hygiene promotion_5]]/WWWW[[#This Row],[Total PoP ]]</f>
        <v>0</v>
      </c>
      <c r="CC59" s="211">
        <f>IF(WWWW[[#This Row],['# HH received soaps]]/WWWW[[#This Row],[Total HH]]&gt;1,1,WWWW[[#This Row],['# HH received soaps]]/WWWW[[#This Row],[Total HH]])</f>
        <v>0</v>
      </c>
      <c r="CD59" s="211">
        <f>IF(WWWW[[#This Row],['# HH received Sanitary Pads]]/WWWW[[#This Row],[Total HH]]&gt;1,1,WWWW[[#This Row],['# HH received Sanitary Pads]]/WWWW[[#This Row],[Total HH]])</f>
        <v>0</v>
      </c>
      <c r="CE59" s="210">
        <f>WWWW[[#This Row],['# HH received soaps]]*5</f>
        <v>0</v>
      </c>
      <c r="CF59" s="210">
        <f>WWWW[[#This Row],['# HH received Sanitary Pads]]*5</f>
        <v>0</v>
      </c>
      <c r="CG59" s="210">
        <f>IF(WWWW[[#This Row],['# People with access to soap]]&gt;WWWW[[#This Row],['# People with access to Sanity Pads]],WWWW[[#This Row],['# People with access to soap]],WWWW[[#This Row],['# People with access to Sanity Pads]])</f>
        <v>0</v>
      </c>
      <c r="CH59" s="209">
        <f>WWWW[[#This Row],[Total HH]]*WWWW[[#This Row],[%HHs with access to functional hand washing stations]]</f>
        <v>0</v>
      </c>
      <c r="CI59" s="699">
        <f>VLOOKUP(WWWW[[#This Row],[Site Name]],SiteDB6[[Site Name]:[CCCM Management]],6,FALSE)</f>
        <v>0</v>
      </c>
      <c r="CJ59" s="699" t="str">
        <f>VLOOKUP(WWWW[[#This Row],[Site Name]],SiteDB6[[Site Name]:[CCCM Focal Agency]],7,FALSE)</f>
        <v>uncovered</v>
      </c>
      <c r="CK59" s="699" t="str">
        <f>VLOOKUP(WWWW[[#This Row],[Site Name]],SiteDB6[[Site Name]:[Location Type]],8,FALSE)</f>
        <v>Camp</v>
      </c>
      <c r="CL59" s="699" t="str">
        <f>VLOOKUP(WWWW[[#This Row],[Site Name]],SiteDB6[[Site Name]:[Location Type 1]],9,FALSE)</f>
        <v>Camp</v>
      </c>
      <c r="CM59" s="699" t="str">
        <f>VLOOKUP(WWWW[[#This Row],[Site Name]],SiteDB6[[Site Name]:[Type of Accommodation]],10,FALSE)</f>
        <v>Host Families</v>
      </c>
      <c r="CN59" s="699" t="str">
        <f>VLOOKUP(WWWW[[#This Row],[Site Name]],SiteDB6[[Site Name]:[Ethnic or GCA/NGCA]],11,FALSE)</f>
        <v>GCA</v>
      </c>
      <c r="CO59" s="699">
        <f>VLOOKUP(WWWW[[#This Row],[Site Name]],SiteDB6[[Site Name]:[Lat]],12,FALSE)</f>
        <v>23.827870999999998</v>
      </c>
      <c r="CP59" s="699">
        <f>VLOOKUP(WWWW[[#This Row],[Site Name]],SiteDB6[[Site Name]:[Long]],13,FALSE)</f>
        <v>97.588291999999996</v>
      </c>
      <c r="CQ59" s="699" t="str">
        <f>VLOOKUP(WWWW[[#This Row],[Site Name]],SiteDB6[[Site Name]:[Pcode]],3,FALSE)</f>
        <v>MMR001CMP134</v>
      </c>
      <c r="CR59" s="660" t="str">
        <f t="shared" si="0"/>
        <v>Notcovered</v>
      </c>
      <c r="CS59" s="660"/>
      <c r="CT59" s="24"/>
      <c r="CU59" s="24"/>
      <c r="CV59" s="24"/>
    </row>
    <row r="60" spans="1:100" ht="15.75" customHeight="1" x14ac:dyDescent="0.25">
      <c r="A60" s="833" t="s">
        <v>3206</v>
      </c>
      <c r="B60" s="206" t="s">
        <v>338</v>
      </c>
      <c r="C60" s="206" t="s">
        <v>44</v>
      </c>
      <c r="D60" s="206" t="s">
        <v>45</v>
      </c>
      <c r="E60" s="206" t="s">
        <v>339</v>
      </c>
      <c r="F60" s="206">
        <v>185</v>
      </c>
      <c r="G60" s="209">
        <v>823</v>
      </c>
      <c r="H60" s="201"/>
      <c r="I60" s="201" t="s">
        <v>2479</v>
      </c>
      <c r="J60" s="207" t="s">
        <v>2476</v>
      </c>
      <c r="K60" s="206">
        <v>0</v>
      </c>
      <c r="L60" s="206" t="s">
        <v>48</v>
      </c>
      <c r="M60" s="208">
        <v>0.8</v>
      </c>
      <c r="N60" s="208">
        <v>0.8</v>
      </c>
      <c r="O60" s="316">
        <v>3</v>
      </c>
      <c r="P60" s="317">
        <v>6</v>
      </c>
      <c r="Q60" s="317">
        <v>0</v>
      </c>
      <c r="R60" s="318">
        <v>0</v>
      </c>
      <c r="S60" s="318">
        <v>0</v>
      </c>
      <c r="T60" s="318"/>
      <c r="U60" s="318"/>
      <c r="V60" s="318"/>
      <c r="W60" s="318"/>
      <c r="X60" s="318"/>
      <c r="Y60" s="318"/>
      <c r="Z60" s="318"/>
      <c r="AA60" s="310">
        <v>44</v>
      </c>
      <c r="AB60" s="310">
        <v>0</v>
      </c>
      <c r="AC60" s="66">
        <v>2</v>
      </c>
      <c r="AD60" s="66"/>
      <c r="AE60" s="310">
        <v>0</v>
      </c>
      <c r="AF60" s="310" t="s">
        <v>283</v>
      </c>
      <c r="AG60" s="311" t="s">
        <v>283</v>
      </c>
      <c r="AH60" s="311"/>
      <c r="AI60" s="310"/>
      <c r="AJ60" s="310"/>
      <c r="AK60" s="841">
        <v>1</v>
      </c>
      <c r="AL60" s="842" t="s">
        <v>291</v>
      </c>
      <c r="AM60" s="842">
        <v>0</v>
      </c>
      <c r="AN60" s="863">
        <v>7</v>
      </c>
      <c r="AO60" s="863">
        <v>3</v>
      </c>
      <c r="AP60" s="838">
        <v>185</v>
      </c>
      <c r="AQ60" s="843">
        <v>185</v>
      </c>
      <c r="AR60" s="843"/>
      <c r="AS60" s="843"/>
      <c r="AT60" s="843"/>
      <c r="AU60" s="843"/>
      <c r="AV60" s="844"/>
      <c r="AW60" s="208" t="str">
        <f>IFERROR(WWWW[[#This Row],['# of Water passed at source]]/WWWW[[#This Row],['# of Water tested at source]],"no test")</f>
        <v>no test</v>
      </c>
      <c r="AX60" s="211" t="str">
        <f>IFERROR(WWWW[[#This Row],['# of Water passed at HH]]/WWWW[[#This Row],['# of Water tested at HH]],"no test")</f>
        <v>no test</v>
      </c>
      <c r="AY60" s="210" t="str">
        <f>IF(AND(WWWW[[#This Row],[%of Water samples which passed at water source]]="no test",WWWW[[#This Row],[%Water samples which passed at HH]]="no test"),"No Test","Tested")</f>
        <v>No Test</v>
      </c>
      <c r="AZ6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6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60" s="211">
        <f>IF(WWWW[[#This Row],[Location Type 1]]="Village",WWWW[[#This Row],[Access to safe drinking water for Village]],WWWW[[#This Row],[Access to safe drinking water for Camp]])</f>
        <v>1</v>
      </c>
      <c r="BC60" s="209">
        <f>WWWW[[#This Row],[%Equitable and continuous access to sufficient quantity of safe drinking water]]*WWWW[[#This Row],[Total PoP ]]</f>
        <v>823</v>
      </c>
      <c r="BD60" s="211">
        <f>IF((WWWW[[#This Row],['# Existing protected/fenced ponds ]]*250)/WWWW[[#This Row],[Total PoP ]]&gt;1,1,WWWW[[#This Row],['# Existing protected/fenced ponds ]]*250/WWWW[[#This Row],[Total PoP ]])</f>
        <v>0</v>
      </c>
      <c r="BE60" s="209">
        <f>WWWW[[#This Row],[Access to unimproved water points]]*WWWW[[#This Row],[Total PoP ]]</f>
        <v>0</v>
      </c>
      <c r="BF6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6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823</v>
      </c>
      <c r="BH60" s="209">
        <f>WWWW[[#This Row],['#people Equitable and continuous access to sufficient quantity of domestic water borehole n ponds_2]]/500</f>
        <v>1.6459999999999999</v>
      </c>
      <c r="BI60" s="208">
        <f>1-WWWW[[#This Row],[%Equitable and continuous access to sufficient quantity of domestic water borehole n ponds]]</f>
        <v>0</v>
      </c>
      <c r="BJ60" s="209">
        <f>WWWW[[#This Row],[%equitable and continuous access to sufficient quantity of safe drinking and domestic water''s GAP]]*WWWW[[#This Row],[Total PoP ]]</f>
        <v>0</v>
      </c>
      <c r="BK60" s="210">
        <f>IF(WWWW[[#This Row],[Total required water points]]-WWWW[[#This Row],['#Water points coverage]]&lt;0,0,WWWW[[#This Row],[Total required water points]]-WWWW[[#This Row],['#Water points coverage]])</f>
        <v>0.35400000000000009</v>
      </c>
      <c r="BL60" s="210">
        <f>ROUND(IF(WWWW[[#This Row],[Total PoP ]]&lt;500,1,WWWW[[#This Row],[Total PoP ]]/500),0)</f>
        <v>2</v>
      </c>
      <c r="BM60" s="210">
        <f>WWWW[[#This Row],['# Existing functional latrines]]+WWWW[[#This Row],['# Existing latrines dysfunctional]]</f>
        <v>44</v>
      </c>
      <c r="BN6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60" s="352">
        <f>WWWW[[#This Row],[% people access to functioning Latrine]]*WWWW[[#This Row],[Total PoP ]]</f>
        <v>823</v>
      </c>
      <c r="BP6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60" s="209">
        <f>IF(WWWW[[#This Row],[Total required Latrines]]-WWWW[[#This Row],[Total '# of latrine]]&lt;0,0,WWWW[[#This Row],[Total required Latrines]]-WWWW[[#This Row],[Total '# of latrine]])</f>
        <v>0</v>
      </c>
      <c r="BR60" s="210">
        <f>ROUND(IF(WWWW[[#This Row],[Location Type 1]]="camp",WWWW[[#This Row],[Total PoP ]]/20,WWWW[[#This Row],[Total PoP ]]/6),0)</f>
        <v>41</v>
      </c>
      <c r="BS60" s="212">
        <f>IF(OR(WWWW[[#This Row],['# Existing latrines dysfunctional]]="",WWWW[[#This Row],['# Existing latrines dysfunctional]]=0),0,WWWW[[#This Row],['# Existing latrines dysfunctional]]/WWWW[[#This Row],[Total '# of latrine]])</f>
        <v>0</v>
      </c>
      <c r="BT6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U60" s="209">
        <f>IF(500*WWWW[[#This Row],['# Hygiene Promoters ]]&gt;WWWW[[#This Row],[Total PoP ]],WWWW[[#This Row],[Total PoP ]],500*WWWW[[#This Row],['# Hygiene Promoters ]])</f>
        <v>823</v>
      </c>
      <c r="BV60" s="209">
        <f>IF(WWWW[[#This Row],[% of HH with access to Sanitary Pad]]&gt;=100%,1,0)</f>
        <v>1</v>
      </c>
      <c r="BW60" s="209">
        <f>IF(WWWW[[#This Row],[Total PoP ]]=0,0,IF(WWWW[[#This Row],['# Hygiene Promoters ]]=0,0,IF(WWWW[[#This Row],[Location Type 1]]="Village",IF(WWWW[[#This Row],[Total PoP ]]/WWWW[[#This Row],['# Hygiene Promoters ]]&lt;1000,1,0),IF(WWWW[[#This Row],[Total PoP ]]/WWWW[[#This Row],['# Hygiene Promoters ]]&lt;600,1,0))))</f>
        <v>1</v>
      </c>
      <c r="BX60" s="209">
        <f>IF(WWWW[[#This Row],[%HH with access to soap]]&gt;=100%,1,0)</f>
        <v>1</v>
      </c>
      <c r="BY60" s="209">
        <f>IF(WWWW[[#This Row],[% of HHs with access to Sanitary pad more than '#%]]+WWWW[[#This Row],[Ratio of Hyiene promoters to people less than '#]]+WWWW[[#This Row],[% of HHs with access to soap more than '#%]]&gt;=2,WWWW[[#This Row],[Total PoP ]],0)</f>
        <v>823</v>
      </c>
      <c r="BZ60" s="208">
        <f>WWWW[[#This Row],[People adopt basic personal and community hygiene practices]]/WWWW[[#This Row],[Total PoP ]]</f>
        <v>1</v>
      </c>
      <c r="CA60" s="212">
        <f>1-WWWW[[#This Row],[Hygiene Coverage%]]</f>
        <v>0</v>
      </c>
      <c r="CB60" s="211">
        <f>WWWW[[#This Row],['# people reached by regular dedicated hygiene promotion_5]]/WWWW[[#This Row],[Total PoP ]]</f>
        <v>1</v>
      </c>
      <c r="CC60" s="211">
        <f>IF(WWWW[[#This Row],['# HH received soaps]]/WWWW[[#This Row],[Total HH]]&gt;1,1,WWWW[[#This Row],['# HH received soaps]]/WWWW[[#This Row],[Total HH]])</f>
        <v>1</v>
      </c>
      <c r="CD60" s="211">
        <f>IF(WWWW[[#This Row],['# HH received Sanitary Pads]]/WWWW[[#This Row],[Total HH]]&gt;1,1,WWWW[[#This Row],['# HH received Sanitary Pads]]/WWWW[[#This Row],[Total HH]])</f>
        <v>1</v>
      </c>
      <c r="CE60" s="210">
        <f>WWWW[[#This Row],['# HH received soaps]]*5</f>
        <v>925</v>
      </c>
      <c r="CF60" s="210">
        <f>WWWW[[#This Row],['# HH received Sanitary Pads]]*5</f>
        <v>925</v>
      </c>
      <c r="CG60" s="210">
        <f>IF(WWWW[[#This Row],['# People with access to soap]]&gt;WWWW[[#This Row],['# People with access to Sanity Pads]],WWWW[[#This Row],['# People with access to soap]],WWWW[[#This Row],['# People with access to Sanity Pads]])</f>
        <v>925</v>
      </c>
      <c r="CH60" s="209">
        <f>WWWW[[#This Row],[Total HH]]*WWWW[[#This Row],[%HHs with access to functional hand washing stations]]</f>
        <v>185</v>
      </c>
      <c r="CI60" s="699" t="str">
        <f>VLOOKUP(WWWW[[#This Row],[Site Name]],SiteDB6[[Site Name]:[CCCM Management]],6,FALSE)</f>
        <v>Yes</v>
      </c>
      <c r="CJ60" s="699" t="str">
        <f>VLOOKUP(WWWW[[#This Row],[Site Name]],SiteDB6[[Site Name]:[CCCM Focal Agency]],7,FALSE)</f>
        <v>KBC</v>
      </c>
      <c r="CK60" s="699" t="str">
        <f>VLOOKUP(WWWW[[#This Row],[Site Name]],SiteDB6[[Site Name]:[Location Type]],8,FALSE)</f>
        <v>Camp</v>
      </c>
      <c r="CL60" s="699" t="str">
        <f>VLOOKUP(WWWW[[#This Row],[Site Name]],SiteDB6[[Site Name]:[Location Type 1]],9,FALSE)</f>
        <v>Camp</v>
      </c>
      <c r="CM60" s="699" t="str">
        <f>VLOOKUP(WWWW[[#This Row],[Site Name]],SiteDB6[[Site Name]:[Type of Accommodation]],10,FALSE)</f>
        <v>Camp</v>
      </c>
      <c r="CN60" s="699" t="str">
        <f>VLOOKUP(WWWW[[#This Row],[Site Name]],SiteDB6[[Site Name]:[Ethnic or GCA/NGCA]],11,FALSE)</f>
        <v>GCA</v>
      </c>
      <c r="CO60" s="699">
        <f>VLOOKUP(WWWW[[#This Row],[Site Name]],SiteDB6[[Site Name]:[Lat]],12,FALSE)</f>
        <v>24.129059999999999</v>
      </c>
      <c r="CP60" s="699">
        <f>VLOOKUP(WWWW[[#This Row],[Site Name]],SiteDB6[[Site Name]:[Long]],13,FALSE)</f>
        <v>97.291820000000001</v>
      </c>
      <c r="CQ60" s="699" t="str">
        <f>VLOOKUP(WWWW[[#This Row],[Site Name]],SiteDB6[[Site Name]:[Pcode]],3,FALSE)</f>
        <v>MMR001CMP066</v>
      </c>
      <c r="CR60" s="660" t="str">
        <f t="shared" si="0"/>
        <v>Covered</v>
      </c>
      <c r="CS60" s="660"/>
      <c r="CT60" s="24"/>
      <c r="CU60" s="24"/>
      <c r="CV60" s="24"/>
    </row>
    <row r="61" spans="1:100" ht="15.75" customHeight="1" x14ac:dyDescent="0.25">
      <c r="A61" s="833" t="s">
        <v>3206</v>
      </c>
      <c r="B61" s="206" t="s">
        <v>460</v>
      </c>
      <c r="C61" s="206" t="s">
        <v>44</v>
      </c>
      <c r="D61" s="206" t="s">
        <v>45</v>
      </c>
      <c r="E61" s="206" t="s">
        <v>1166</v>
      </c>
      <c r="F61" s="206">
        <v>80</v>
      </c>
      <c r="G61" s="209">
        <v>290</v>
      </c>
      <c r="H61" s="201"/>
      <c r="I61" s="201"/>
      <c r="J61" s="207"/>
      <c r="K61" s="206"/>
      <c r="L61" s="206" t="s">
        <v>282</v>
      </c>
      <c r="M61" s="208">
        <v>0</v>
      </c>
      <c r="N61" s="208">
        <v>0</v>
      </c>
      <c r="O61" s="316"/>
      <c r="P61" s="317"/>
      <c r="Q61" s="317"/>
      <c r="R61" s="318"/>
      <c r="S61" s="318"/>
      <c r="T61" s="318"/>
      <c r="U61" s="318"/>
      <c r="V61" s="318"/>
      <c r="W61" s="318"/>
      <c r="X61" s="318"/>
      <c r="Y61" s="318"/>
      <c r="Z61" s="318"/>
      <c r="AA61" s="310">
        <v>0</v>
      </c>
      <c r="AB61" s="310"/>
      <c r="AC61" s="66"/>
      <c r="AD61" s="66"/>
      <c r="AE61" s="310"/>
      <c r="AF61" s="310" t="s">
        <v>286</v>
      </c>
      <c r="AG61" s="311" t="s">
        <v>286</v>
      </c>
      <c r="AH61" s="311"/>
      <c r="AI61" s="310"/>
      <c r="AJ61" s="310"/>
      <c r="AK61" s="841"/>
      <c r="AL61" s="842"/>
      <c r="AM61" s="842"/>
      <c r="AN61" s="863"/>
      <c r="AO61" s="863"/>
      <c r="AP61" s="838"/>
      <c r="AQ61" s="843"/>
      <c r="AR61" s="843"/>
      <c r="AS61" s="843"/>
      <c r="AT61" s="843"/>
      <c r="AU61" s="843"/>
      <c r="AV61" s="844"/>
      <c r="AW61" s="208" t="str">
        <f>IFERROR(WWWW[[#This Row],['# of Water passed at source]]/WWWW[[#This Row],['# of Water tested at source]],"no test")</f>
        <v>no test</v>
      </c>
      <c r="AX61" s="211" t="str">
        <f>IFERROR(WWWW[[#This Row],['# of Water passed at HH]]/WWWW[[#This Row],['# of Water tested at HH]],"no test")</f>
        <v>no test</v>
      </c>
      <c r="AY61" s="210" t="str">
        <f>IF(AND(WWWW[[#This Row],[%of Water samples which passed at water source]]="no test",WWWW[[#This Row],[%Water samples which passed at HH]]="no test"),"No Test","Tested")</f>
        <v>No Test</v>
      </c>
      <c r="AZ6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6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61" s="211">
        <f>IF(WWWW[[#This Row],[Location Type 1]]="Village",WWWW[[#This Row],[Access to safe drinking water for Village]],WWWW[[#This Row],[Access to safe drinking water for Camp]])</f>
        <v>0</v>
      </c>
      <c r="BC61" s="209">
        <f>WWWW[[#This Row],[%Equitable and continuous access to sufficient quantity of safe drinking water]]*WWWW[[#This Row],[Total PoP ]]</f>
        <v>0</v>
      </c>
      <c r="BD61" s="211">
        <f>IF((WWWW[[#This Row],['# Existing protected/fenced ponds ]]*250)/WWWW[[#This Row],[Total PoP ]]&gt;1,1,WWWW[[#This Row],['# Existing protected/fenced ponds ]]*250/WWWW[[#This Row],[Total PoP ]])</f>
        <v>0</v>
      </c>
      <c r="BE61" s="209">
        <f>WWWW[[#This Row],[Access to unimproved water points]]*WWWW[[#This Row],[Total PoP ]]</f>
        <v>0</v>
      </c>
      <c r="BF6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6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61" s="209">
        <f>ROUND(WWWW[[#This Row],['#people Equitable and continuous access to sufficient quantity of domestic water borehole n ponds_2]]/500,0)</f>
        <v>0</v>
      </c>
      <c r="BI61" s="208">
        <f>1-WWWW[[#This Row],[%Equitable and continuous access to sufficient quantity of domestic water borehole n ponds]]</f>
        <v>1</v>
      </c>
      <c r="BJ61" s="209">
        <f>WWWW[[#This Row],[%equitable and continuous access to sufficient quantity of safe drinking and domestic water''s GAP]]*WWWW[[#This Row],[Total PoP ]]</f>
        <v>290</v>
      </c>
      <c r="BK61" s="210">
        <f>IF(WWWW[[#This Row],[Total required water points]]-WWWW[[#This Row],['#Water points coverage]]&lt;0,0,WWWW[[#This Row],[Total required water points]]-WWWW[[#This Row],['#Water points coverage]])</f>
        <v>1</v>
      </c>
      <c r="BL61" s="210">
        <f>ROUND(IF(WWWW[[#This Row],[Total PoP ]]&lt;500,1,WWWW[[#This Row],[Total PoP ]]/500),0)</f>
        <v>1</v>
      </c>
      <c r="BM61" s="210">
        <f>WWWW[[#This Row],['# Existing functional latrines]]+WWWW[[#This Row],['# Existing latrines dysfunctional]]</f>
        <v>0</v>
      </c>
      <c r="BN6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61" s="352">
        <f>WWWW[[#This Row],[% people access to functioning Latrine]]*WWWW[[#This Row],[Total PoP ]]</f>
        <v>0</v>
      </c>
      <c r="BP6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61" s="209">
        <f>IF(WWWW[[#This Row],[Total required Latrines]]-WWWW[[#This Row],[Total '# of latrine]]&lt;0,0,WWWW[[#This Row],[Total required Latrines]]-WWWW[[#This Row],[Total '# of latrine]])</f>
        <v>15</v>
      </c>
      <c r="BR61" s="210">
        <f>ROUND(IF(WWWW[[#This Row],[Location Type 1]]="camp",WWWW[[#This Row],[Total PoP ]]/20,WWWW[[#This Row],[Total PoP ]]/6),0)</f>
        <v>15</v>
      </c>
      <c r="BS61" s="212">
        <f>IF(OR(WWWW[[#This Row],['# Existing latrines dysfunctional]]="",WWWW[[#This Row],['# Existing latrines dysfunctional]]=0),0,WWWW[[#This Row],['# Existing latrines dysfunctional]]/WWWW[[#This Row],[Total '# of latrine]])</f>
        <v>0</v>
      </c>
      <c r="BT6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61" s="209">
        <f>IF(500*WWWW[[#This Row],['# Hygiene Promoters ]]&gt;WWWW[[#This Row],[Total PoP ]],WWWW[[#This Row],[Total PoP ]],500*WWWW[[#This Row],['# Hygiene Promoters ]])</f>
        <v>0</v>
      </c>
      <c r="BV61" s="209">
        <f>IF(WWWW[[#This Row],[% of HH with access to Sanitary Pad]]&gt;=100%,1,0)</f>
        <v>0</v>
      </c>
      <c r="BW61" s="209">
        <f>IF(WWWW[[#This Row],[Total PoP ]]=0,0,IF(WWWW[[#This Row],['# Hygiene Promoters ]]=0,0,IF(WWWW[[#This Row],[Location Type 1]]="Village",IF(WWWW[[#This Row],[Total PoP ]]/WWWW[[#This Row],['# Hygiene Promoters ]]&lt;1000,1,0),IF(WWWW[[#This Row],[Total PoP ]]/WWWW[[#This Row],['# Hygiene Promoters ]]&lt;600,1,0))))</f>
        <v>0</v>
      </c>
      <c r="BX61" s="209">
        <f>IF(WWWW[[#This Row],[%HH with access to soap]]&gt;=100%,1,0)</f>
        <v>0</v>
      </c>
      <c r="BY61" s="209">
        <f>IF(WWWW[[#This Row],[% of HHs with access to Sanitary pad more than '#%]]+WWWW[[#This Row],[Ratio of Hyiene promoters to people less than '#]]+WWWW[[#This Row],[% of HHs with access to soap more than '#%]]&gt;=2,WWWW[[#This Row],[Total PoP ]],0)</f>
        <v>0</v>
      </c>
      <c r="BZ61" s="208">
        <f>WWWW[[#This Row],[People adopt basic personal and community hygiene practices]]/WWWW[[#This Row],[Total PoP ]]</f>
        <v>0</v>
      </c>
      <c r="CA61" s="212">
        <f>1-WWWW[[#This Row],[Hygiene Coverage%]]</f>
        <v>1</v>
      </c>
      <c r="CB61" s="211">
        <f>WWWW[[#This Row],['# people reached by regular dedicated hygiene promotion_5]]/WWWW[[#This Row],[Total PoP ]]</f>
        <v>0</v>
      </c>
      <c r="CC61" s="211">
        <f>IF(WWWW[[#This Row],['# HH received soaps]]/WWWW[[#This Row],[Total HH]]&gt;1,1,WWWW[[#This Row],['# HH received soaps]]/WWWW[[#This Row],[Total HH]])</f>
        <v>0</v>
      </c>
      <c r="CD61" s="211">
        <f>IF(WWWW[[#This Row],['# HH received Sanitary Pads]]/WWWW[[#This Row],[Total HH]]&gt;1,1,WWWW[[#This Row],['# HH received Sanitary Pads]]/WWWW[[#This Row],[Total HH]])</f>
        <v>0</v>
      </c>
      <c r="CE61" s="210">
        <f>WWWW[[#This Row],['# HH received soaps]]*5</f>
        <v>0</v>
      </c>
      <c r="CF61" s="210">
        <f>WWWW[[#This Row],['# HH received Sanitary Pads]]*5</f>
        <v>0</v>
      </c>
      <c r="CG61" s="210">
        <f>IF(WWWW[[#This Row],['# People with access to soap]]&gt;WWWW[[#This Row],['# People with access to Sanity Pads]],WWWW[[#This Row],['# People with access to soap]],WWWW[[#This Row],['# People with access to Sanity Pads]])</f>
        <v>0</v>
      </c>
      <c r="CH61" s="209">
        <f>WWWW[[#This Row],[Total HH]]*WWWW[[#This Row],[%HHs with access to functional hand washing stations]]</f>
        <v>0</v>
      </c>
      <c r="CI61" s="699">
        <f>VLOOKUP(WWWW[[#This Row],[Site Name]],SiteDB6[[Site Name]:[CCCM Management]],6,FALSE)</f>
        <v>0</v>
      </c>
      <c r="CJ61" s="699" t="str">
        <f>VLOOKUP(WWWW[[#This Row],[Site Name]],SiteDB6[[Site Name]:[CCCM Focal Agency]],7,FALSE)</f>
        <v>uncovered</v>
      </c>
      <c r="CK61" s="699" t="str">
        <f>VLOOKUP(WWWW[[#This Row],[Site Name]],SiteDB6[[Site Name]:[Location Type]],8,FALSE)</f>
        <v>Camp</v>
      </c>
      <c r="CL61" s="699" t="str">
        <f>VLOOKUP(WWWW[[#This Row],[Site Name]],SiteDB6[[Site Name]:[Location Type 1]],9,FALSE)</f>
        <v>Camp</v>
      </c>
      <c r="CM61" s="699" t="str">
        <f>VLOOKUP(WWWW[[#This Row],[Site Name]],SiteDB6[[Site Name]:[Type of Accommodation]],10,FALSE)</f>
        <v>Host Families</v>
      </c>
      <c r="CN61" s="699" t="str">
        <f>VLOOKUP(WWWW[[#This Row],[Site Name]],SiteDB6[[Site Name]:[Ethnic or GCA/NGCA]],11,FALSE)</f>
        <v>GCA</v>
      </c>
      <c r="CO61" s="699">
        <f>VLOOKUP(WWWW[[#This Row],[Site Name]],SiteDB6[[Site Name]:[Lat]],12,FALSE)</f>
        <v>24.118618999999999</v>
      </c>
      <c r="CP61" s="699">
        <f>VLOOKUP(WWWW[[#This Row],[Site Name]],SiteDB6[[Site Name]:[Long]],13,FALSE)</f>
        <v>97.298055000000005</v>
      </c>
      <c r="CQ61" s="699" t="str">
        <f>VLOOKUP(WWWW[[#This Row],[Site Name]],SiteDB6[[Site Name]:[Pcode]],3,FALSE)</f>
        <v>MMR001CMP196</v>
      </c>
      <c r="CR61" s="660" t="str">
        <f t="shared" si="0"/>
        <v>Notcovered</v>
      </c>
      <c r="CS61" s="660"/>
      <c r="CT61" s="24"/>
      <c r="CU61" s="24"/>
      <c r="CV61" s="24"/>
    </row>
    <row r="62" spans="1:100" ht="15.75" customHeight="1" x14ac:dyDescent="0.25">
      <c r="A62" s="833" t="s">
        <v>3206</v>
      </c>
      <c r="B62" s="206" t="s">
        <v>43</v>
      </c>
      <c r="C62" s="206" t="s">
        <v>44</v>
      </c>
      <c r="D62" s="206" t="s">
        <v>45</v>
      </c>
      <c r="E62" s="206" t="s">
        <v>285</v>
      </c>
      <c r="F62" s="206">
        <v>19</v>
      </c>
      <c r="G62" s="209">
        <v>101</v>
      </c>
      <c r="H62" s="201"/>
      <c r="I62" s="201" t="s">
        <v>47</v>
      </c>
      <c r="J62" s="207">
        <v>43008</v>
      </c>
      <c r="K62" s="206">
        <v>0</v>
      </c>
      <c r="L62" s="206" t="s">
        <v>282</v>
      </c>
      <c r="M62" s="208">
        <v>0</v>
      </c>
      <c r="N62" s="208">
        <v>0</v>
      </c>
      <c r="O62" s="316">
        <v>1</v>
      </c>
      <c r="P62" s="317">
        <v>0</v>
      </c>
      <c r="Q62" s="317"/>
      <c r="R62" s="318">
        <v>0</v>
      </c>
      <c r="S62" s="318"/>
      <c r="T62" s="318"/>
      <c r="U62" s="318">
        <v>0</v>
      </c>
      <c r="V62" s="318">
        <v>0</v>
      </c>
      <c r="W62" s="318">
        <v>0</v>
      </c>
      <c r="X62" s="318">
        <v>0</v>
      </c>
      <c r="Y62" s="318">
        <v>0</v>
      </c>
      <c r="Z62" s="318" t="s">
        <v>2457</v>
      </c>
      <c r="AA62" s="310">
        <v>6</v>
      </c>
      <c r="AB62" s="310">
        <v>0</v>
      </c>
      <c r="AC62" s="66">
        <v>0</v>
      </c>
      <c r="AD62" s="66"/>
      <c r="AE62" s="310">
        <v>0</v>
      </c>
      <c r="AF62" s="310" t="s">
        <v>286</v>
      </c>
      <c r="AG62" s="311" t="s">
        <v>286</v>
      </c>
      <c r="AH62" s="311"/>
      <c r="AI62" s="310"/>
      <c r="AJ62" s="310"/>
      <c r="AK62" s="841">
        <v>0.5</v>
      </c>
      <c r="AL62" s="842" t="s">
        <v>291</v>
      </c>
      <c r="AM62" s="842">
        <v>0</v>
      </c>
      <c r="AN62" s="863">
        <v>1</v>
      </c>
      <c r="AO62" s="863">
        <v>1</v>
      </c>
      <c r="AP62" s="838"/>
      <c r="AQ62" s="843"/>
      <c r="AR62" s="843"/>
      <c r="AS62" s="843"/>
      <c r="AT62" s="843"/>
      <c r="AU62" s="843"/>
      <c r="AV62" s="844"/>
      <c r="AW62" s="208" t="str">
        <f>IFERROR(WWWW[[#This Row],['# of Water passed at source]]/WWWW[[#This Row],['# of Water tested at source]],"no test")</f>
        <v>no test</v>
      </c>
      <c r="AX62" s="211" t="str">
        <f>IFERROR(WWWW[[#This Row],['# of Water passed at HH]]/WWWW[[#This Row],['# of Water tested at HH]],"no test")</f>
        <v>no test</v>
      </c>
      <c r="AY62" s="210" t="str">
        <f>IF(AND(WWWW[[#This Row],[%of Water samples which passed at water source]]="no test",WWWW[[#This Row],[%Water samples which passed at HH]]="no test"),"No Test","Tested")</f>
        <v>No Test</v>
      </c>
      <c r="AZ6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6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62" s="211">
        <f>IF(WWWW[[#This Row],[Location Type 1]]="Village",WWWW[[#This Row],[Access to safe drinking water for Village]],WWWW[[#This Row],[Access to safe drinking water for Camp]])</f>
        <v>1</v>
      </c>
      <c r="BC62" s="209">
        <f>WWWW[[#This Row],[%Equitable and continuous access to sufficient quantity of safe drinking water]]*WWWW[[#This Row],[Total PoP ]]</f>
        <v>101</v>
      </c>
      <c r="BD62" s="211">
        <f>IF((WWWW[[#This Row],['# Existing protected/fenced ponds ]]*250)/WWWW[[#This Row],[Total PoP ]]&gt;1,1,WWWW[[#This Row],['# Existing protected/fenced ponds ]]*250/WWWW[[#This Row],[Total PoP ]])</f>
        <v>0</v>
      </c>
      <c r="BE62" s="209">
        <f>WWWW[[#This Row],[Access to unimproved water points]]*WWWW[[#This Row],[Total PoP ]]</f>
        <v>0</v>
      </c>
      <c r="BF6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6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101</v>
      </c>
      <c r="BH62" s="209">
        <f>WWWW[[#This Row],['#people Equitable and continuous access to sufficient quantity of domestic water borehole n ponds_2]]/500</f>
        <v>0.20200000000000001</v>
      </c>
      <c r="BI62" s="208">
        <f>1-WWWW[[#This Row],[%Equitable and continuous access to sufficient quantity of domestic water borehole n ponds]]</f>
        <v>0</v>
      </c>
      <c r="BJ62" s="209">
        <f>WWWW[[#This Row],[%equitable and continuous access to sufficient quantity of safe drinking and domestic water''s GAP]]*WWWW[[#This Row],[Total PoP ]]</f>
        <v>0</v>
      </c>
      <c r="BK62" s="210">
        <f>IF(WWWW[[#This Row],[Total required water points]]-WWWW[[#This Row],['#Water points coverage]]&lt;0,0,WWWW[[#This Row],[Total required water points]]-WWWW[[#This Row],['#Water points coverage]])</f>
        <v>0.79800000000000004</v>
      </c>
      <c r="BL62" s="210">
        <f>ROUND(IF(WWWW[[#This Row],[Total PoP ]]&lt;500,1,WWWW[[#This Row],[Total PoP ]]/500),0)</f>
        <v>1</v>
      </c>
      <c r="BM62" s="210">
        <f>WWWW[[#This Row],['# Existing functional latrines]]+WWWW[[#This Row],['# Existing latrines dysfunctional]]</f>
        <v>6</v>
      </c>
      <c r="BN6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62" s="352">
        <f>WWWW[[#This Row],[% people access to functioning Latrine]]*WWWW[[#This Row],[Total PoP ]]</f>
        <v>101</v>
      </c>
      <c r="BP6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62" s="209">
        <f>IF(WWWW[[#This Row],[Total required Latrines]]-WWWW[[#This Row],[Total '# of latrine]]&lt;0,0,WWWW[[#This Row],[Total required Latrines]]-WWWW[[#This Row],[Total '# of latrine]])</f>
        <v>0</v>
      </c>
      <c r="BR62" s="210">
        <f>ROUND(IF(WWWW[[#This Row],[Location Type 1]]="camp",WWWW[[#This Row],[Total PoP ]]/20,WWWW[[#This Row],[Total PoP ]]/6),0)</f>
        <v>5</v>
      </c>
      <c r="BS62" s="212">
        <f>IF(OR(WWWW[[#This Row],['# Existing latrines dysfunctional]]="",WWWW[[#This Row],['# Existing latrines dysfunctional]]=0),0,WWWW[[#This Row],['# Existing latrines dysfunctional]]/WWWW[[#This Row],[Total '# of latrine]])</f>
        <v>0</v>
      </c>
      <c r="BT6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62" s="209">
        <f>IF(500*WWWW[[#This Row],['# Hygiene Promoters ]]&gt;WWWW[[#This Row],[Total PoP ]],WWWW[[#This Row],[Total PoP ]],500*WWWW[[#This Row],['# Hygiene Promoters ]])</f>
        <v>101</v>
      </c>
      <c r="BV62" s="209">
        <f>IF(WWWW[[#This Row],[% of HH with access to Sanitary Pad]]&gt;=100%,1,0)</f>
        <v>0</v>
      </c>
      <c r="BW62" s="209">
        <f>IF(WWWW[[#This Row],[Total PoP ]]=0,0,IF(WWWW[[#This Row],['# Hygiene Promoters ]]=0,0,IF(WWWW[[#This Row],[Location Type 1]]="Village",IF(WWWW[[#This Row],[Total PoP ]]/WWWW[[#This Row],['# Hygiene Promoters ]]&lt;1000,1,0),IF(WWWW[[#This Row],[Total PoP ]]/WWWW[[#This Row],['# Hygiene Promoters ]]&lt;600,1,0))))</f>
        <v>1</v>
      </c>
      <c r="BX62" s="209">
        <f>IF(WWWW[[#This Row],[%HH with access to soap]]&gt;=100%,1,0)</f>
        <v>0</v>
      </c>
      <c r="BY62" s="209">
        <f>IF(WWWW[[#This Row],[% of HHs with access to Sanitary pad more than '#%]]+WWWW[[#This Row],[Ratio of Hyiene promoters to people less than '#]]+WWWW[[#This Row],[% of HHs with access to soap more than '#%]]&gt;=2,WWWW[[#This Row],[Total PoP ]],0)</f>
        <v>0</v>
      </c>
      <c r="BZ62" s="208">
        <f>WWWW[[#This Row],[People adopt basic personal and community hygiene practices]]/WWWW[[#This Row],[Total PoP ]]</f>
        <v>0</v>
      </c>
      <c r="CA62" s="212">
        <f>1-WWWW[[#This Row],[Hygiene Coverage%]]</f>
        <v>1</v>
      </c>
      <c r="CB62" s="211">
        <f>WWWW[[#This Row],['# people reached by regular dedicated hygiene promotion_5]]/WWWW[[#This Row],[Total PoP ]]</f>
        <v>1</v>
      </c>
      <c r="CC62" s="211">
        <f>IF(WWWW[[#This Row],['# HH received soaps]]/WWWW[[#This Row],[Total HH]]&gt;1,1,WWWW[[#This Row],['# HH received soaps]]/WWWW[[#This Row],[Total HH]])</f>
        <v>0</v>
      </c>
      <c r="CD62" s="211">
        <f>IF(WWWW[[#This Row],['# HH received Sanitary Pads]]/WWWW[[#This Row],[Total HH]]&gt;1,1,WWWW[[#This Row],['# HH received Sanitary Pads]]/WWWW[[#This Row],[Total HH]])</f>
        <v>0</v>
      </c>
      <c r="CE62" s="210">
        <f>WWWW[[#This Row],['# HH received soaps]]*5</f>
        <v>0</v>
      </c>
      <c r="CF62" s="210">
        <f>WWWW[[#This Row],['# HH received Sanitary Pads]]*5</f>
        <v>0</v>
      </c>
      <c r="CG62" s="210">
        <f>IF(WWWW[[#This Row],['# People with access to soap]]&gt;WWWW[[#This Row],['# People with access to Sanity Pads]],WWWW[[#This Row],['# People with access to soap]],WWWW[[#This Row],['# People with access to Sanity Pads]])</f>
        <v>0</v>
      </c>
      <c r="CH62" s="209">
        <f>WWWW[[#This Row],[Total HH]]*WWWW[[#This Row],[%HHs with access to functional hand washing stations]]</f>
        <v>9.5</v>
      </c>
      <c r="CI62" s="699">
        <f>VLOOKUP(WWWW[[#This Row],[Site Name]],SiteDB6[[Site Name]:[CCCM Management]],6,FALSE)</f>
        <v>0</v>
      </c>
      <c r="CJ62" s="699">
        <f>VLOOKUP(WWWW[[#This Row],[Site Name]],SiteDB6[[Site Name]:[CCCM Focal Agency]],7,FALSE)</f>
        <v>0</v>
      </c>
      <c r="CK62" s="699" t="str">
        <f>VLOOKUP(WWWW[[#This Row],[Site Name]],SiteDB6[[Site Name]:[Location Type]],8,FALSE)</f>
        <v>Camp_not registered</v>
      </c>
      <c r="CL62" s="699" t="str">
        <f>VLOOKUP(WWWW[[#This Row],[Site Name]],SiteDB6[[Site Name]:[Location Type 1]],9,FALSE)</f>
        <v>Camp</v>
      </c>
      <c r="CM62" s="699" t="str">
        <f>VLOOKUP(WWWW[[#This Row],[Site Name]],SiteDB6[[Site Name]:[Type of Accommodation]],10,FALSE)</f>
        <v>Camp</v>
      </c>
      <c r="CN62" s="699" t="str">
        <f>VLOOKUP(WWWW[[#This Row],[Site Name]],SiteDB6[[Site Name]:[Ethnic or GCA/NGCA]],11,FALSE)</f>
        <v>GCA</v>
      </c>
      <c r="CO62" s="699">
        <f>VLOOKUP(WWWW[[#This Row],[Site Name]],SiteDB6[[Site Name]:[Lat]],12,FALSE)</f>
        <v>0</v>
      </c>
      <c r="CP62" s="699">
        <f>VLOOKUP(WWWW[[#This Row],[Site Name]],SiteDB6[[Site Name]:[Long]],13,FALSE)</f>
        <v>0</v>
      </c>
      <c r="CQ62" s="699">
        <f>VLOOKUP(WWWW[[#This Row],[Site Name]],SiteDB6[[Site Name]:[Pcode]],3,FALSE)</f>
        <v>0</v>
      </c>
      <c r="CR62" s="660" t="str">
        <f t="shared" si="0"/>
        <v>Covered</v>
      </c>
      <c r="CS62" s="660" t="s">
        <v>2482</v>
      </c>
      <c r="CT62" s="24"/>
      <c r="CU62" s="24"/>
      <c r="CV62" s="24"/>
    </row>
    <row r="63" spans="1:100" ht="15.75" customHeight="1" x14ac:dyDescent="0.25">
      <c r="A63" s="833" t="s">
        <v>3206</v>
      </c>
      <c r="B63" s="206" t="s">
        <v>43</v>
      </c>
      <c r="C63" s="206" t="s">
        <v>44</v>
      </c>
      <c r="D63" s="206" t="s">
        <v>298</v>
      </c>
      <c r="E63" s="206" t="s">
        <v>2669</v>
      </c>
      <c r="F63" s="206">
        <v>31</v>
      </c>
      <c r="G63" s="209">
        <v>96</v>
      </c>
      <c r="H63" s="201"/>
      <c r="I63" s="201" t="s">
        <v>388</v>
      </c>
      <c r="J63" s="207">
        <v>43465</v>
      </c>
      <c r="K63" s="206">
        <v>0</v>
      </c>
      <c r="L63" s="206" t="s">
        <v>48</v>
      </c>
      <c r="M63" s="212">
        <v>0.5</v>
      </c>
      <c r="N63" s="212">
        <v>0.5</v>
      </c>
      <c r="O63" s="316">
        <v>1</v>
      </c>
      <c r="P63" s="317">
        <v>0</v>
      </c>
      <c r="Q63" s="317">
        <v>5000</v>
      </c>
      <c r="R63" s="318">
        <v>0</v>
      </c>
      <c r="S63" s="318">
        <v>0</v>
      </c>
      <c r="T63" s="318"/>
      <c r="U63" s="318">
        <v>0</v>
      </c>
      <c r="V63" s="318">
        <v>0</v>
      </c>
      <c r="W63" s="318">
        <v>0</v>
      </c>
      <c r="X63" s="318">
        <v>0</v>
      </c>
      <c r="Y63" s="318">
        <v>0</v>
      </c>
      <c r="Z63" s="318"/>
      <c r="AA63" s="310">
        <v>4</v>
      </c>
      <c r="AB63" s="310">
        <v>0</v>
      </c>
      <c r="AC63" s="66">
        <v>0</v>
      </c>
      <c r="AD63" s="66"/>
      <c r="AE63" s="310">
        <v>0</v>
      </c>
      <c r="AF63" s="310" t="s">
        <v>283</v>
      </c>
      <c r="AG63" s="311" t="s">
        <v>1358</v>
      </c>
      <c r="AH63" s="311">
        <v>0</v>
      </c>
      <c r="AI63" s="310"/>
      <c r="AJ63" s="310"/>
      <c r="AK63" s="841"/>
      <c r="AL63" s="842" t="s">
        <v>376</v>
      </c>
      <c r="AM63" s="842">
        <v>0</v>
      </c>
      <c r="AN63" s="863">
        <v>1</v>
      </c>
      <c r="AO63" s="863">
        <v>2</v>
      </c>
      <c r="AP63" s="838">
        <v>0</v>
      </c>
      <c r="AQ63" s="843">
        <v>0</v>
      </c>
      <c r="AR63" s="843"/>
      <c r="AS63" s="843"/>
      <c r="AT63" s="843"/>
      <c r="AU63" s="843"/>
      <c r="AV63" s="844" t="s">
        <v>2795</v>
      </c>
      <c r="AW63" s="208" t="str">
        <f>IFERROR(WWWW[[#This Row],['# of Water passed at source]]/WWWW[[#This Row],['# of Water tested at source]],"no test")</f>
        <v>no test</v>
      </c>
      <c r="AX63" s="211" t="str">
        <f>IFERROR(WWWW[[#This Row],['# of Water passed at HH]]/WWWW[[#This Row],['# of Water tested at HH]],"no test")</f>
        <v>no test</v>
      </c>
      <c r="AY63" s="210" t="str">
        <f>IF(AND(WWWW[[#This Row],[%of Water samples which passed at water source]]="no test",WWWW[[#This Row],[%Water samples which passed at HH]]="no test"),"No Test","Tested")</f>
        <v>No Test</v>
      </c>
      <c r="AZ6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6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63" s="211">
        <f>IF(WWWW[[#This Row],[Location Type 1]]="Village",WWWW[[#This Row],[Access to safe drinking water for Village]],WWWW[[#This Row],[Access to safe drinking water for Camp]])</f>
        <v>1</v>
      </c>
      <c r="BC63" s="209">
        <f>WWWW[[#This Row],[%Equitable and continuous access to sufficient quantity of safe drinking water]]*WWWW[[#This Row],[Total PoP ]]</f>
        <v>96</v>
      </c>
      <c r="BD63" s="211">
        <f>IF((WWWW[[#This Row],['# Existing protected/fenced ponds ]]*250)/WWWW[[#This Row],[Total PoP ]]&gt;1,1,WWWW[[#This Row],['# Existing protected/fenced ponds ]]*250/WWWW[[#This Row],[Total PoP ]])</f>
        <v>0</v>
      </c>
      <c r="BE63" s="209">
        <f>WWWW[[#This Row],[Access to unimproved water points]]*WWWW[[#This Row],[Total PoP ]]</f>
        <v>0</v>
      </c>
      <c r="BF6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6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96</v>
      </c>
      <c r="BH63" s="209">
        <f>WWWW[[#This Row],['#people Equitable and continuous access to sufficient quantity of domestic water borehole n ponds_2]]/500</f>
        <v>0.192</v>
      </c>
      <c r="BI63" s="208">
        <f>1-WWWW[[#This Row],[%Equitable and continuous access to sufficient quantity of domestic water borehole n ponds]]</f>
        <v>0</v>
      </c>
      <c r="BJ63" s="209">
        <f>WWWW[[#This Row],[%equitable and continuous access to sufficient quantity of safe drinking and domestic water''s GAP]]*WWWW[[#This Row],[Total PoP ]]</f>
        <v>0</v>
      </c>
      <c r="BK63" s="210">
        <f>IF(WWWW[[#This Row],[Total required water points]]-WWWW[[#This Row],['#Water points coverage]]&lt;0,0,WWWW[[#This Row],[Total required water points]]-WWWW[[#This Row],['#Water points coverage]])</f>
        <v>0.80800000000000005</v>
      </c>
      <c r="BL63" s="210">
        <f>ROUND(IF(WWWW[[#This Row],[Total PoP ]]&lt;500,1,WWWW[[#This Row],[Total PoP ]]/500),0)</f>
        <v>1</v>
      </c>
      <c r="BM63" s="210">
        <f>WWWW[[#This Row],['# Existing functional latrines]]+WWWW[[#This Row],['# Existing latrines dysfunctional]]</f>
        <v>4</v>
      </c>
      <c r="BN6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0.83333333333333337</v>
      </c>
      <c r="BO63" s="352">
        <f>WWWW[[#This Row],[% people access to functioning Latrine]]*WWWW[[#This Row],[Total PoP ]]</f>
        <v>80</v>
      </c>
      <c r="BP6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0.20833333333333334</v>
      </c>
      <c r="BQ63" s="209">
        <f>IF(WWWW[[#This Row],[Total required Latrines]]-WWWW[[#This Row],[Total '# of latrine]]&lt;0,0,WWWW[[#This Row],[Total required Latrines]]-WWWW[[#This Row],[Total '# of latrine]])</f>
        <v>1</v>
      </c>
      <c r="BR63" s="210">
        <f>ROUND(IF(WWWW[[#This Row],[Location Type 1]]="camp",WWWW[[#This Row],[Total PoP ]]/20,WWWW[[#This Row],[Total PoP ]]/6),0)</f>
        <v>5</v>
      </c>
      <c r="BS63" s="212">
        <f>IF(OR(WWWW[[#This Row],['# Existing latrines dysfunctional]]="",WWWW[[#This Row],['# Existing latrines dysfunctional]]=0),0,WWWW[[#This Row],['# Existing latrines dysfunctional]]/WWWW[[#This Row],[Total '# of latrine]])</f>
        <v>0</v>
      </c>
      <c r="BT6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63" s="209">
        <f>IF(500*WWWW[[#This Row],['# Hygiene Promoters ]]&gt;WWWW[[#This Row],[Total PoP ]],WWWW[[#This Row],[Total PoP ]],500*WWWW[[#This Row],['# Hygiene Promoters ]])</f>
        <v>96</v>
      </c>
      <c r="BV63" s="209">
        <f>IF(WWWW[[#This Row],[% of HH with access to Sanitary Pad]]&gt;=100%,1,0)</f>
        <v>0</v>
      </c>
      <c r="BW63" s="209">
        <f>IF(WWWW[[#This Row],[Total PoP ]]=0,0,IF(WWWW[[#This Row],['# Hygiene Promoters ]]=0,0,IF(WWWW[[#This Row],[Location Type 1]]="Village",IF(WWWW[[#This Row],[Total PoP ]]/WWWW[[#This Row],['# Hygiene Promoters ]]&lt;1000,1,0),IF(WWWW[[#This Row],[Total PoP ]]/WWWW[[#This Row],['# Hygiene Promoters ]]&lt;600,1,0))))</f>
        <v>1</v>
      </c>
      <c r="BX63" s="209">
        <f>IF(WWWW[[#This Row],[%HH with access to soap]]&gt;=100%,1,0)</f>
        <v>0</v>
      </c>
      <c r="BY63" s="209">
        <f>IF(WWWW[[#This Row],[% of HHs with access to Sanitary pad more than '#%]]+WWWW[[#This Row],[Ratio of Hyiene promoters to people less than '#]]+WWWW[[#This Row],[% of HHs with access to soap more than '#%]]&gt;=2,WWWW[[#This Row],[Total PoP ]],0)</f>
        <v>0</v>
      </c>
      <c r="BZ63" s="208">
        <f>WWWW[[#This Row],[People adopt basic personal and community hygiene practices]]/WWWW[[#This Row],[Total PoP ]]</f>
        <v>0</v>
      </c>
      <c r="CA63" s="212">
        <f>1-WWWW[[#This Row],[Hygiene Coverage%]]</f>
        <v>1</v>
      </c>
      <c r="CB63" s="211">
        <f>WWWW[[#This Row],['# people reached by regular dedicated hygiene promotion_5]]/WWWW[[#This Row],[Total PoP ]]</f>
        <v>1</v>
      </c>
      <c r="CC63" s="211">
        <f>IF(WWWW[[#This Row],['# HH received soaps]]/WWWW[[#This Row],[Total HH]]&gt;1,1,WWWW[[#This Row],['# HH received soaps]]/WWWW[[#This Row],[Total HH]])</f>
        <v>0</v>
      </c>
      <c r="CD63" s="211">
        <f>IF(WWWW[[#This Row],['# HH received Sanitary Pads]]/WWWW[[#This Row],[Total HH]]&gt;1,1,WWWW[[#This Row],['# HH received Sanitary Pads]]/WWWW[[#This Row],[Total HH]])</f>
        <v>0</v>
      </c>
      <c r="CE63" s="210">
        <f>WWWW[[#This Row],['# HH received soaps]]*5</f>
        <v>0</v>
      </c>
      <c r="CF63" s="210">
        <f>WWWW[[#This Row],['# HH received Sanitary Pads]]*5</f>
        <v>0</v>
      </c>
      <c r="CG63" s="210">
        <f>IF(WWWW[[#This Row],['# People with access to soap]]&gt;WWWW[[#This Row],['# People with access to Sanity Pads]],WWWW[[#This Row],['# People with access to soap]],WWWW[[#This Row],['# People with access to Sanity Pads]])</f>
        <v>0</v>
      </c>
      <c r="CH63" s="209">
        <f>WWWW[[#This Row],[Total HH]]*WWWW[[#This Row],[%HHs with access to functional hand washing stations]]</f>
        <v>0</v>
      </c>
      <c r="CI63" s="699">
        <f>VLOOKUP(WWWW[[#This Row],[Site Name]],SiteDB6[[Site Name]:[CCCM Management]],6,FALSE)</f>
        <v>0</v>
      </c>
      <c r="CJ63" s="699" t="str">
        <f>VLOOKUP(WWWW[[#This Row],[Site Name]],SiteDB6[[Site Name]:[CCCM Focal Agency]],7,FALSE)</f>
        <v>uncovered</v>
      </c>
      <c r="CK63" s="699" t="str">
        <f>VLOOKUP(WWWW[[#This Row],[Site Name]],SiteDB6[[Site Name]:[Location Type]],8,FALSE)</f>
        <v>Camp</v>
      </c>
      <c r="CL63" s="699" t="str">
        <f>VLOOKUP(WWWW[[#This Row],[Site Name]],SiteDB6[[Site Name]:[Location Type 1]],9,FALSE)</f>
        <v>Camp</v>
      </c>
      <c r="CM63" s="699" t="str">
        <f>VLOOKUP(WWWW[[#This Row],[Site Name]],SiteDB6[[Site Name]:[Type of Accommodation]],10,FALSE)</f>
        <v>Camp like setting</v>
      </c>
      <c r="CN63" s="699" t="str">
        <f>VLOOKUP(WWWW[[#This Row],[Site Name]],SiteDB6[[Site Name]:[Ethnic or GCA/NGCA]],11,FALSE)</f>
        <v>GCA</v>
      </c>
      <c r="CO63" s="699">
        <f>VLOOKUP(WWWW[[#This Row],[Site Name]],SiteDB6[[Site Name]:[Lat]],12,FALSE)</f>
        <v>0</v>
      </c>
      <c r="CP63" s="699">
        <f>VLOOKUP(WWWW[[#This Row],[Site Name]],SiteDB6[[Site Name]:[Long]],13,FALSE)</f>
        <v>0</v>
      </c>
      <c r="CQ63" s="699" t="str">
        <f>VLOOKUP(WWWW[[#This Row],[Site Name]],SiteDB6[[Site Name]:[Pcode]],3,FALSE)</f>
        <v>MMR001CMP262</v>
      </c>
      <c r="CR63" s="660" t="str">
        <f t="shared" si="0"/>
        <v>Covered</v>
      </c>
      <c r="CS63" s="660"/>
      <c r="CT63" s="24"/>
      <c r="CU63" s="24"/>
      <c r="CV63" s="24"/>
    </row>
    <row r="64" spans="1:100" ht="15.75" customHeight="1" x14ac:dyDescent="0.25">
      <c r="A64" s="833" t="s">
        <v>3206</v>
      </c>
      <c r="B64" s="206" t="s">
        <v>287</v>
      </c>
      <c r="C64" s="206" t="s">
        <v>44</v>
      </c>
      <c r="D64" s="206" t="s">
        <v>298</v>
      </c>
      <c r="E64" s="206" t="s">
        <v>299</v>
      </c>
      <c r="F64" s="206">
        <v>13</v>
      </c>
      <c r="G64" s="209">
        <v>66</v>
      </c>
      <c r="H64" s="201"/>
      <c r="I64" s="201" t="s">
        <v>296</v>
      </c>
      <c r="J64" s="207">
        <v>43465</v>
      </c>
      <c r="K64" s="206">
        <v>0</v>
      </c>
      <c r="L64" s="206" t="s">
        <v>48</v>
      </c>
      <c r="M64" s="208">
        <v>0.8</v>
      </c>
      <c r="N64" s="208">
        <v>0.8</v>
      </c>
      <c r="O64" s="316">
        <v>0</v>
      </c>
      <c r="P64" s="317">
        <v>2</v>
      </c>
      <c r="Q64" s="317">
        <v>2000</v>
      </c>
      <c r="R64" s="318">
        <v>0</v>
      </c>
      <c r="S64" s="318">
        <v>0</v>
      </c>
      <c r="T64" s="318"/>
      <c r="U64" s="318">
        <v>0</v>
      </c>
      <c r="V64" s="318">
        <v>0</v>
      </c>
      <c r="W64" s="318">
        <v>0</v>
      </c>
      <c r="X64" s="318">
        <v>0</v>
      </c>
      <c r="Y64" s="318">
        <v>0</v>
      </c>
      <c r="Z64" s="318"/>
      <c r="AA64" s="310">
        <v>6</v>
      </c>
      <c r="AB64" s="310">
        <v>0</v>
      </c>
      <c r="AC64" s="66">
        <v>4</v>
      </c>
      <c r="AD64" s="66"/>
      <c r="AE64" s="310">
        <v>0</v>
      </c>
      <c r="AF64" s="310" t="s">
        <v>283</v>
      </c>
      <c r="AG64" s="311" t="s">
        <v>1358</v>
      </c>
      <c r="AH64" s="311"/>
      <c r="AI64" s="310"/>
      <c r="AJ64" s="310"/>
      <c r="AK64" s="841">
        <v>0.6</v>
      </c>
      <c r="AL64" s="842" t="s">
        <v>376</v>
      </c>
      <c r="AM64" s="842">
        <v>0</v>
      </c>
      <c r="AN64" s="863">
        <v>2</v>
      </c>
      <c r="AO64" s="863">
        <v>1</v>
      </c>
      <c r="AP64" s="838">
        <v>0</v>
      </c>
      <c r="AQ64" s="843">
        <v>0</v>
      </c>
      <c r="AR64" s="843"/>
      <c r="AS64" s="843"/>
      <c r="AT64" s="843"/>
      <c r="AU64" s="843"/>
      <c r="AV64" s="844"/>
      <c r="AW64" s="208" t="str">
        <f>IFERROR(WWWW[[#This Row],['# of Water passed at source]]/WWWW[[#This Row],['# of Water tested at source]],"no test")</f>
        <v>no test</v>
      </c>
      <c r="AX64" s="211" t="str">
        <f>IFERROR(WWWW[[#This Row],['# of Water passed at HH]]/WWWW[[#This Row],['# of Water tested at HH]],"no test")</f>
        <v>no test</v>
      </c>
      <c r="AY64" s="210" t="str">
        <f>IF(AND(WWWW[[#This Row],[%of Water samples which passed at water source]]="no test",WWWW[[#This Row],[%Water samples which passed at HH]]="no test"),"No Test","Tested")</f>
        <v>No Test</v>
      </c>
      <c r="AZ6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6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64" s="211">
        <f>IF(WWWW[[#This Row],[Location Type 1]]="Village",WWWW[[#This Row],[Access to safe drinking water for Village]],WWWW[[#This Row],[Access to safe drinking water for Camp]])</f>
        <v>1</v>
      </c>
      <c r="BC64" s="209">
        <f>WWWW[[#This Row],[%Equitable and continuous access to sufficient quantity of safe drinking water]]*WWWW[[#This Row],[Total PoP ]]</f>
        <v>66</v>
      </c>
      <c r="BD64" s="211">
        <f>IF((WWWW[[#This Row],['# Existing protected/fenced ponds ]]*250)/WWWW[[#This Row],[Total PoP ]]&gt;1,1,WWWW[[#This Row],['# Existing protected/fenced ponds ]]*250/WWWW[[#This Row],[Total PoP ]])</f>
        <v>0</v>
      </c>
      <c r="BE64" s="209">
        <f>WWWW[[#This Row],[Access to unimproved water points]]*WWWW[[#This Row],[Total PoP ]]</f>
        <v>0</v>
      </c>
      <c r="BF6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6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66</v>
      </c>
      <c r="BH64" s="209">
        <f>WWWW[[#This Row],['#people Equitable and continuous access to sufficient quantity of domestic water borehole n ponds_2]]/500</f>
        <v>0.13200000000000001</v>
      </c>
      <c r="BI64" s="208">
        <f>1-WWWW[[#This Row],[%Equitable and continuous access to sufficient quantity of domestic water borehole n ponds]]</f>
        <v>0</v>
      </c>
      <c r="BJ64" s="209">
        <f>WWWW[[#This Row],[%equitable and continuous access to sufficient quantity of safe drinking and domestic water''s GAP]]*WWWW[[#This Row],[Total PoP ]]</f>
        <v>0</v>
      </c>
      <c r="BK64" s="210">
        <f>IF(WWWW[[#This Row],[Total required water points]]-WWWW[[#This Row],['#Water points coverage]]&lt;0,0,WWWW[[#This Row],[Total required water points]]-WWWW[[#This Row],['#Water points coverage]])</f>
        <v>0.86799999999999999</v>
      </c>
      <c r="BL64" s="210">
        <f>ROUND(IF(WWWW[[#This Row],[Total PoP ]]&lt;500,1,WWWW[[#This Row],[Total PoP ]]/500),0)</f>
        <v>1</v>
      </c>
      <c r="BM64" s="210">
        <f>WWWW[[#This Row],['# Existing functional latrines]]+WWWW[[#This Row],['# Existing latrines dysfunctional]]</f>
        <v>6</v>
      </c>
      <c r="BN6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64" s="352">
        <f>WWWW[[#This Row],[% people access to functioning Latrine]]*WWWW[[#This Row],[Total PoP ]]</f>
        <v>66</v>
      </c>
      <c r="BP6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64" s="209">
        <f>IF(WWWW[[#This Row],[Total required Latrines]]-WWWW[[#This Row],[Total '# of latrine]]&lt;0,0,WWWW[[#This Row],[Total required Latrines]]-WWWW[[#This Row],[Total '# of latrine]])</f>
        <v>0</v>
      </c>
      <c r="BR64" s="210">
        <f>ROUND(IF(WWWW[[#This Row],[Location Type 1]]="camp",WWWW[[#This Row],[Total PoP ]]/20,WWWW[[#This Row],[Total PoP ]]/6),0)</f>
        <v>3</v>
      </c>
      <c r="BS64" s="212">
        <f>IF(OR(WWWW[[#This Row],['# Existing latrines dysfunctional]]="",WWWW[[#This Row],['# Existing latrines dysfunctional]]=0),0,WWWW[[#This Row],['# Existing latrines dysfunctional]]/WWWW[[#This Row],[Total '# of latrine]])</f>
        <v>0</v>
      </c>
      <c r="BT6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66</v>
      </c>
      <c r="BU64" s="209">
        <f>IF(500*WWWW[[#This Row],['# Hygiene Promoters ]]&gt;WWWW[[#This Row],[Total PoP ]],WWWW[[#This Row],[Total PoP ]],500*WWWW[[#This Row],['# Hygiene Promoters ]])</f>
        <v>66</v>
      </c>
      <c r="BV64" s="209">
        <f>IF(WWWW[[#This Row],[% of HH with access to Sanitary Pad]]&gt;=100%,1,0)</f>
        <v>0</v>
      </c>
      <c r="BW64" s="209">
        <f>IF(WWWW[[#This Row],[Total PoP ]]=0,0,IF(WWWW[[#This Row],['# Hygiene Promoters ]]=0,0,IF(WWWW[[#This Row],[Location Type 1]]="Village",IF(WWWW[[#This Row],[Total PoP ]]/WWWW[[#This Row],['# Hygiene Promoters ]]&lt;1000,1,0),IF(WWWW[[#This Row],[Total PoP ]]/WWWW[[#This Row],['# Hygiene Promoters ]]&lt;600,1,0))))</f>
        <v>1</v>
      </c>
      <c r="BX64" s="209">
        <f>IF(WWWW[[#This Row],[%HH with access to soap]]&gt;=100%,1,0)</f>
        <v>0</v>
      </c>
      <c r="BY64" s="209">
        <f>IF(WWWW[[#This Row],[% of HHs with access to Sanitary pad more than '#%]]+WWWW[[#This Row],[Ratio of Hyiene promoters to people less than '#]]+WWWW[[#This Row],[% of HHs with access to soap more than '#%]]&gt;=2,WWWW[[#This Row],[Total PoP ]],0)</f>
        <v>0</v>
      </c>
      <c r="BZ64" s="208">
        <f>WWWW[[#This Row],[People adopt basic personal and community hygiene practices]]/WWWW[[#This Row],[Total PoP ]]</f>
        <v>0</v>
      </c>
      <c r="CA64" s="212">
        <f>1-WWWW[[#This Row],[Hygiene Coverage%]]</f>
        <v>1</v>
      </c>
      <c r="CB64" s="211">
        <f>WWWW[[#This Row],['# people reached by regular dedicated hygiene promotion_5]]/WWWW[[#This Row],[Total PoP ]]</f>
        <v>1</v>
      </c>
      <c r="CC64" s="211">
        <f>IF(WWWW[[#This Row],['# HH received soaps]]/WWWW[[#This Row],[Total HH]]&gt;1,1,WWWW[[#This Row],['# HH received soaps]]/WWWW[[#This Row],[Total HH]])</f>
        <v>0</v>
      </c>
      <c r="CD64" s="211">
        <f>IF(WWWW[[#This Row],['# HH received Sanitary Pads]]/WWWW[[#This Row],[Total HH]]&gt;1,1,WWWW[[#This Row],['# HH received Sanitary Pads]]/WWWW[[#This Row],[Total HH]])</f>
        <v>0</v>
      </c>
      <c r="CE64" s="210">
        <f>WWWW[[#This Row],['# HH received soaps]]*5</f>
        <v>0</v>
      </c>
      <c r="CF64" s="210">
        <f>WWWW[[#This Row],['# HH received Sanitary Pads]]*5</f>
        <v>0</v>
      </c>
      <c r="CG64" s="210">
        <f>IF(WWWW[[#This Row],['# People with access to soap]]&gt;WWWW[[#This Row],['# People with access to Sanity Pads]],WWWW[[#This Row],['# People with access to soap]],WWWW[[#This Row],['# People with access to Sanity Pads]])</f>
        <v>0</v>
      </c>
      <c r="CH64" s="209">
        <f>WWWW[[#This Row],[Total HH]]*WWWW[[#This Row],[%HHs with access to functional hand washing stations]]</f>
        <v>7.8</v>
      </c>
      <c r="CI64" s="699" t="str">
        <f>VLOOKUP(WWWW[[#This Row],[Site Name]],SiteDB6[[Site Name]:[CCCM Management]],6,FALSE)</f>
        <v>Yes</v>
      </c>
      <c r="CJ64" s="699" t="str">
        <f>VLOOKUP(WWWW[[#This Row],[Site Name]],SiteDB6[[Site Name]:[CCCM Focal Agency]],7,FALSE)</f>
        <v>KBC</v>
      </c>
      <c r="CK64" s="699" t="str">
        <f>VLOOKUP(WWWW[[#This Row],[Site Name]],SiteDB6[[Site Name]:[Location Type]],8,FALSE)</f>
        <v>Camp</v>
      </c>
      <c r="CL64" s="699" t="str">
        <f>VLOOKUP(WWWW[[#This Row],[Site Name]],SiteDB6[[Site Name]:[Location Type 1]],9,FALSE)</f>
        <v>Camp</v>
      </c>
      <c r="CM64" s="699" t="str">
        <f>VLOOKUP(WWWW[[#This Row],[Site Name]],SiteDB6[[Site Name]:[Type of Accommodation]],10,FALSE)</f>
        <v>Camp</v>
      </c>
      <c r="CN64" s="699" t="str">
        <f>VLOOKUP(WWWW[[#This Row],[Site Name]],SiteDB6[[Site Name]:[Ethnic or GCA/NGCA]],11,FALSE)</f>
        <v>GCA</v>
      </c>
      <c r="CO64" s="699">
        <f>VLOOKUP(WWWW[[#This Row],[Site Name]],SiteDB6[[Site Name]:[Lat]],12,FALSE)</f>
        <v>25.305669999999999</v>
      </c>
      <c r="CP64" s="699">
        <f>VLOOKUP(WWWW[[#This Row],[Site Name]],SiteDB6[[Site Name]:[Long]],13,FALSE)</f>
        <v>96.922619999999995</v>
      </c>
      <c r="CQ64" s="699" t="str">
        <f>VLOOKUP(WWWW[[#This Row],[Site Name]],SiteDB6[[Site Name]:[Pcode]],3,FALSE)</f>
        <v>MMR001CMP078</v>
      </c>
      <c r="CR64" s="660" t="str">
        <f t="shared" si="0"/>
        <v>Covered</v>
      </c>
      <c r="CS64" s="660"/>
      <c r="CT64" s="24"/>
      <c r="CU64" s="24"/>
      <c r="CV64" s="24"/>
    </row>
    <row r="65" spans="1:100" ht="15.75" customHeight="1" x14ac:dyDescent="0.25">
      <c r="A65" s="833" t="s">
        <v>3206</v>
      </c>
      <c r="B65" s="206" t="s">
        <v>460</v>
      </c>
      <c r="C65" s="206" t="s">
        <v>44</v>
      </c>
      <c r="D65" s="206" t="s">
        <v>298</v>
      </c>
      <c r="E65" s="206" t="s">
        <v>2717</v>
      </c>
      <c r="F65" s="206">
        <v>79</v>
      </c>
      <c r="G65" s="209">
        <v>419</v>
      </c>
      <c r="H65" s="201"/>
      <c r="I65" s="201"/>
      <c r="J65" s="207"/>
      <c r="K65" s="206"/>
      <c r="L65" s="206"/>
      <c r="M65" s="208"/>
      <c r="N65" s="208"/>
      <c r="O65" s="316"/>
      <c r="P65" s="317"/>
      <c r="Q65" s="317"/>
      <c r="R65" s="318"/>
      <c r="S65" s="318"/>
      <c r="T65" s="318"/>
      <c r="U65" s="318"/>
      <c r="V65" s="318"/>
      <c r="W65" s="318"/>
      <c r="X65" s="318"/>
      <c r="Y65" s="318"/>
      <c r="Z65" s="318"/>
      <c r="AA65" s="310"/>
      <c r="AB65" s="310"/>
      <c r="AC65" s="66"/>
      <c r="AD65" s="66"/>
      <c r="AE65" s="310"/>
      <c r="AF65" s="310"/>
      <c r="AG65" s="311"/>
      <c r="AH65" s="311"/>
      <c r="AI65" s="310"/>
      <c r="AJ65" s="310"/>
      <c r="AK65" s="841"/>
      <c r="AL65" s="842"/>
      <c r="AM65" s="842"/>
      <c r="AN65" s="863"/>
      <c r="AO65" s="863"/>
      <c r="AP65" s="838"/>
      <c r="AQ65" s="843"/>
      <c r="AR65" s="843"/>
      <c r="AS65" s="843"/>
      <c r="AT65" s="843"/>
      <c r="AU65" s="843"/>
      <c r="AV65" s="844"/>
      <c r="AW65" s="208" t="str">
        <f>IFERROR(WWWW[[#This Row],['# of Water passed at source]]/WWWW[[#This Row],['# of Water tested at source]],"no test")</f>
        <v>no test</v>
      </c>
      <c r="AX65" s="211" t="str">
        <f>IFERROR(WWWW[[#This Row],['# of Water passed at HH]]/WWWW[[#This Row],['# of Water tested at HH]],"no test")</f>
        <v>no test</v>
      </c>
      <c r="AY65" s="210" t="str">
        <f>IF(AND(WWWW[[#This Row],[%of Water samples which passed at water source]]="no test",WWWW[[#This Row],[%Water samples which passed at HH]]="no test"),"No Test","Tested")</f>
        <v>No Test</v>
      </c>
      <c r="AZ6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6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65" s="211">
        <f>IF(WWWW[[#This Row],[Location Type 1]]="Village",WWWW[[#This Row],[Access to safe drinking water for Village]],WWWW[[#This Row],[Access to safe drinking water for Camp]])</f>
        <v>0</v>
      </c>
      <c r="BC65" s="209">
        <f>WWWW[[#This Row],[%Equitable and continuous access to sufficient quantity of safe drinking water]]*WWWW[[#This Row],[Total PoP ]]</f>
        <v>0</v>
      </c>
      <c r="BD65" s="211">
        <f>IF((WWWW[[#This Row],['# Existing protected/fenced ponds ]]*250)/WWWW[[#This Row],[Total PoP ]]&gt;1,1,WWWW[[#This Row],['# Existing protected/fenced ponds ]]*250/WWWW[[#This Row],[Total PoP ]])</f>
        <v>0</v>
      </c>
      <c r="BE65" s="209">
        <f>WWWW[[#This Row],[Access to unimproved water points]]*WWWW[[#This Row],[Total PoP ]]</f>
        <v>0</v>
      </c>
      <c r="BF6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6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65" s="209">
        <f>WWWW[[#This Row],['#people Equitable and continuous access to sufficient quantity of domestic water borehole n ponds_2]]/500</f>
        <v>0</v>
      </c>
      <c r="BI65" s="208">
        <f>1-WWWW[[#This Row],[%Equitable and continuous access to sufficient quantity of domestic water borehole n ponds]]</f>
        <v>1</v>
      </c>
      <c r="BJ65" s="209">
        <f>WWWW[[#This Row],[%equitable and continuous access to sufficient quantity of safe drinking and domestic water''s GAP]]*WWWW[[#This Row],[Total PoP ]]</f>
        <v>419</v>
      </c>
      <c r="BK65" s="210">
        <f>IF(WWWW[[#This Row],[Total required water points]]-WWWW[[#This Row],['#Water points coverage]]&lt;0,0,WWWW[[#This Row],[Total required water points]]-WWWW[[#This Row],['#Water points coverage]])</f>
        <v>1</v>
      </c>
      <c r="BL65" s="210">
        <f>ROUND(IF(WWWW[[#This Row],[Total PoP ]]&lt;500,1,WWWW[[#This Row],[Total PoP ]]/500),0)</f>
        <v>1</v>
      </c>
      <c r="BM65" s="210">
        <f>WWWW[[#This Row],['# Existing functional latrines]]+WWWW[[#This Row],['# Existing latrines dysfunctional]]</f>
        <v>0</v>
      </c>
      <c r="BN6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65" s="352">
        <f>WWWW[[#This Row],[% people access to functioning Latrine]]*WWWW[[#This Row],[Total PoP ]]</f>
        <v>0</v>
      </c>
      <c r="BP6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65" s="209">
        <f>IF(WWWW[[#This Row],[Total required Latrines]]-WWWW[[#This Row],[Total '# of latrine]]&lt;0,0,WWWW[[#This Row],[Total required Latrines]]-WWWW[[#This Row],[Total '# of latrine]])</f>
        <v>21</v>
      </c>
      <c r="BR65" s="210">
        <f>ROUND(IF(WWWW[[#This Row],[Location Type 1]]="camp",WWWW[[#This Row],[Total PoP ]]/20,WWWW[[#This Row],[Total PoP ]]/6),0)</f>
        <v>21</v>
      </c>
      <c r="BS65" s="212">
        <f>IF(OR(WWWW[[#This Row],['# Existing latrines dysfunctional]]="",WWWW[[#This Row],['# Existing latrines dysfunctional]]=0),0,WWWW[[#This Row],['# Existing latrines dysfunctional]]/WWWW[[#This Row],[Total '# of latrine]])</f>
        <v>0</v>
      </c>
      <c r="BT6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65" s="209">
        <f>IF(500*WWWW[[#This Row],['# Hygiene Promoters ]]&gt;WWWW[[#This Row],[Total PoP ]],WWWW[[#This Row],[Total PoP ]],500*WWWW[[#This Row],['# Hygiene Promoters ]])</f>
        <v>0</v>
      </c>
      <c r="BV65" s="209">
        <f>IF(WWWW[[#This Row],[% of HH with access to Sanitary Pad]]&gt;=100%,1,0)</f>
        <v>0</v>
      </c>
      <c r="BW65" s="209">
        <f>IF(WWWW[[#This Row],[Total PoP ]]=0,0,IF(WWWW[[#This Row],['# Hygiene Promoters ]]=0,0,IF(WWWW[[#This Row],[Location Type 1]]="Village",IF(WWWW[[#This Row],[Total PoP ]]/WWWW[[#This Row],['# Hygiene Promoters ]]&lt;1000,1,0),IF(WWWW[[#This Row],[Total PoP ]]/WWWW[[#This Row],['# Hygiene Promoters ]]&lt;600,1,0))))</f>
        <v>0</v>
      </c>
      <c r="BX65" s="209">
        <f>IF(WWWW[[#This Row],[%HH with access to soap]]&gt;=100%,1,0)</f>
        <v>0</v>
      </c>
      <c r="BY65" s="209">
        <f>IF(WWWW[[#This Row],[% of HHs with access to Sanitary pad more than '#%]]+WWWW[[#This Row],[Ratio of Hyiene promoters to people less than '#]]+WWWW[[#This Row],[% of HHs with access to soap more than '#%]]&gt;=2,WWWW[[#This Row],[Total PoP ]],0)</f>
        <v>0</v>
      </c>
      <c r="BZ65" s="208">
        <f>WWWW[[#This Row],[People adopt basic personal and community hygiene practices]]/WWWW[[#This Row],[Total PoP ]]</f>
        <v>0</v>
      </c>
      <c r="CA65" s="212">
        <f>1-WWWW[[#This Row],[Hygiene Coverage%]]</f>
        <v>1</v>
      </c>
      <c r="CB65" s="211">
        <f>WWWW[[#This Row],['# people reached by regular dedicated hygiene promotion_5]]/WWWW[[#This Row],[Total PoP ]]</f>
        <v>0</v>
      </c>
      <c r="CC65" s="211">
        <f>IF(WWWW[[#This Row],['# HH received soaps]]/WWWW[[#This Row],[Total HH]]&gt;1,1,WWWW[[#This Row],['# HH received soaps]]/WWWW[[#This Row],[Total HH]])</f>
        <v>0</v>
      </c>
      <c r="CD65" s="211">
        <f>IF(WWWW[[#This Row],['# HH received Sanitary Pads]]/WWWW[[#This Row],[Total HH]]&gt;1,1,WWWW[[#This Row],['# HH received Sanitary Pads]]/WWWW[[#This Row],[Total HH]])</f>
        <v>0</v>
      </c>
      <c r="CE65" s="210">
        <f>WWWW[[#This Row],['# HH received soaps]]*5</f>
        <v>0</v>
      </c>
      <c r="CF65" s="210">
        <f>WWWW[[#This Row],['# HH received Sanitary Pads]]*5</f>
        <v>0</v>
      </c>
      <c r="CG65" s="210">
        <f>IF(WWWW[[#This Row],['# People with access to soap]]&gt;WWWW[[#This Row],['# People with access to Sanity Pads]],WWWW[[#This Row],['# People with access to soap]],WWWW[[#This Row],['# People with access to Sanity Pads]])</f>
        <v>0</v>
      </c>
      <c r="CH65" s="209">
        <f>WWWW[[#This Row],[Total HH]]*WWWW[[#This Row],[%HHs with access to functional hand washing stations]]</f>
        <v>0</v>
      </c>
      <c r="CI65" s="699">
        <f>VLOOKUP(WWWW[[#This Row],[Site Name]],SiteDB6[[Site Name]:[CCCM Management]],6,FALSE)</f>
        <v>0</v>
      </c>
      <c r="CJ65" s="699">
        <f>VLOOKUP(WWWW[[#This Row],[Site Name]],SiteDB6[[Site Name]:[CCCM Focal Agency]],7,FALSE)</f>
        <v>0</v>
      </c>
      <c r="CK65" s="699" t="str">
        <f>VLOOKUP(WWWW[[#This Row],[Site Name]],SiteDB6[[Site Name]:[Location Type]],8,FALSE)</f>
        <v>Camp_not registered</v>
      </c>
      <c r="CL65" s="699" t="str">
        <f>VLOOKUP(WWWW[[#This Row],[Site Name]],SiteDB6[[Site Name]:[Location Type 1]],9,FALSE)</f>
        <v>Camp</v>
      </c>
      <c r="CM65" s="699" t="str">
        <f>VLOOKUP(WWWW[[#This Row],[Site Name]],SiteDB6[[Site Name]:[Type of Accommodation]],10,FALSE)</f>
        <v>Camp like setting</v>
      </c>
      <c r="CN65" s="699" t="s">
        <v>51</v>
      </c>
      <c r="CO65" s="699">
        <f>VLOOKUP(WWWW[[#This Row],[Site Name]],SiteDB6[[Site Name]:[Lat]],12,FALSE)</f>
        <v>0</v>
      </c>
      <c r="CP65" s="699">
        <f>VLOOKUP(WWWW[[#This Row],[Site Name]],SiteDB6[[Site Name]:[Long]],13,FALSE)</f>
        <v>0</v>
      </c>
      <c r="CQ65" s="699">
        <f>VLOOKUP(WWWW[[#This Row],[Site Name]],SiteDB6[[Site Name]:[Pcode]],3,FALSE)</f>
        <v>0</v>
      </c>
      <c r="CR65" s="660" t="str">
        <f t="shared" si="0"/>
        <v>Notcovered</v>
      </c>
      <c r="CS65" s="660"/>
      <c r="CT65" s="24"/>
      <c r="CU65" s="24"/>
      <c r="CV65" s="24"/>
    </row>
    <row r="66" spans="1:100" ht="15.75" customHeight="1" x14ac:dyDescent="0.25">
      <c r="A66" s="833" t="s">
        <v>3206</v>
      </c>
      <c r="B66" s="206" t="s">
        <v>43</v>
      </c>
      <c r="C66" s="206" t="s">
        <v>44</v>
      </c>
      <c r="D66" s="206" t="s">
        <v>298</v>
      </c>
      <c r="E66" s="206" t="s">
        <v>2668</v>
      </c>
      <c r="F66" s="206">
        <v>79</v>
      </c>
      <c r="G66" s="209">
        <v>321</v>
      </c>
      <c r="H66" s="206"/>
      <c r="I66" s="206" t="s">
        <v>388</v>
      </c>
      <c r="J66" s="207">
        <v>43465</v>
      </c>
      <c r="K66" s="206">
        <v>0</v>
      </c>
      <c r="L66" s="206" t="s">
        <v>48</v>
      </c>
      <c r="M66" s="212">
        <v>0.4</v>
      </c>
      <c r="N66" s="212">
        <v>0.4</v>
      </c>
      <c r="O66" s="316">
        <v>1</v>
      </c>
      <c r="P66" s="317">
        <v>0</v>
      </c>
      <c r="Q66" s="317">
        <v>5000</v>
      </c>
      <c r="R66" s="318">
        <v>0</v>
      </c>
      <c r="S66" s="318">
        <v>0</v>
      </c>
      <c r="T66" s="318"/>
      <c r="U66" s="318">
        <v>0</v>
      </c>
      <c r="V66" s="318">
        <v>0</v>
      </c>
      <c r="W66" s="318">
        <v>0</v>
      </c>
      <c r="X66" s="318">
        <v>0</v>
      </c>
      <c r="Y66" s="318">
        <v>0</v>
      </c>
      <c r="Z66" s="318"/>
      <c r="AA66" s="310">
        <v>8</v>
      </c>
      <c r="AB66" s="310">
        <v>0</v>
      </c>
      <c r="AC66" s="66">
        <v>0</v>
      </c>
      <c r="AD66" s="66"/>
      <c r="AE66" s="310">
        <v>0</v>
      </c>
      <c r="AF66" s="310" t="s">
        <v>283</v>
      </c>
      <c r="AG66" s="311" t="s">
        <v>1358</v>
      </c>
      <c r="AH66" s="311"/>
      <c r="AI66" s="310"/>
      <c r="AJ66" s="310"/>
      <c r="AK66" s="841"/>
      <c r="AL66" s="842" t="s">
        <v>376</v>
      </c>
      <c r="AM66" s="842">
        <v>1</v>
      </c>
      <c r="AN66" s="863">
        <v>0</v>
      </c>
      <c r="AO66" s="863">
        <v>2</v>
      </c>
      <c r="AP66" s="838">
        <v>0</v>
      </c>
      <c r="AQ66" s="843">
        <v>0</v>
      </c>
      <c r="AR66" s="843"/>
      <c r="AS66" s="843"/>
      <c r="AT66" s="843"/>
      <c r="AU66" s="843"/>
      <c r="AV66" s="844" t="s">
        <v>2795</v>
      </c>
      <c r="AW66" s="208" t="str">
        <f>IFERROR(WWWW[[#This Row],['# of Water passed at source]]/WWWW[[#This Row],['# of Water tested at source]],"no test")</f>
        <v>no test</v>
      </c>
      <c r="AX66" s="211" t="str">
        <f>IFERROR(WWWW[[#This Row],['# of Water passed at HH]]/WWWW[[#This Row],['# of Water tested at HH]],"no test")</f>
        <v>no test</v>
      </c>
      <c r="AY66" s="210" t="str">
        <f>IF(AND(WWWW[[#This Row],[%of Water samples which passed at water source]]="no test",WWWW[[#This Row],[%Water samples which passed at HH]]="no test"),"No Test","Tested")</f>
        <v>No Test</v>
      </c>
      <c r="AZ6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6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66" s="211">
        <f>IF(WWWW[[#This Row],[Location Type 1]]="Village",WWWW[[#This Row],[Access to safe drinking water for Village]],WWWW[[#This Row],[Access to safe drinking water for Camp]])</f>
        <v>1</v>
      </c>
      <c r="BC66" s="209">
        <f>WWWW[[#This Row],[%Equitable and continuous access to sufficient quantity of safe drinking water]]*WWWW[[#This Row],[Total PoP ]]</f>
        <v>321</v>
      </c>
      <c r="BD66" s="211">
        <f>IF((WWWW[[#This Row],['# Existing protected/fenced ponds ]]*250)/WWWW[[#This Row],[Total PoP ]]&gt;1,1,WWWW[[#This Row],['# Existing protected/fenced ponds ]]*250/WWWW[[#This Row],[Total PoP ]])</f>
        <v>0</v>
      </c>
      <c r="BE66" s="209">
        <f>WWWW[[#This Row],[Access to unimproved water points]]*WWWW[[#This Row],[Total PoP ]]</f>
        <v>0</v>
      </c>
      <c r="BF6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6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321</v>
      </c>
      <c r="BH66" s="209">
        <f>WWWW[[#This Row],['#people Equitable and continuous access to sufficient quantity of domestic water borehole n ponds_2]]/500</f>
        <v>0.64200000000000002</v>
      </c>
      <c r="BI66" s="208">
        <f>1-WWWW[[#This Row],[%Equitable and continuous access to sufficient quantity of domestic water borehole n ponds]]</f>
        <v>0</v>
      </c>
      <c r="BJ66" s="209">
        <f>WWWW[[#This Row],[%equitable and continuous access to sufficient quantity of safe drinking and domestic water''s GAP]]*WWWW[[#This Row],[Total PoP ]]</f>
        <v>0</v>
      </c>
      <c r="BK66" s="210">
        <f>IF(WWWW[[#This Row],[Total required water points]]-WWWW[[#This Row],['#Water points coverage]]&lt;0,0,WWWW[[#This Row],[Total required water points]]-WWWW[[#This Row],['#Water points coverage]])</f>
        <v>0.35799999999999998</v>
      </c>
      <c r="BL66" s="210">
        <f>ROUND(IF(WWWW[[#This Row],[Total PoP ]]&lt;500,1,WWWW[[#This Row],[Total PoP ]]/500),0)</f>
        <v>1</v>
      </c>
      <c r="BM66" s="210">
        <f>WWWW[[#This Row],['# Existing functional latrines]]+WWWW[[#This Row],['# Existing latrines dysfunctional]]</f>
        <v>8</v>
      </c>
      <c r="BN6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0.49844236760124611</v>
      </c>
      <c r="BO66" s="352">
        <f>WWWW[[#This Row],[% people access to functioning Latrine]]*WWWW[[#This Row],[Total PoP ]]</f>
        <v>160</v>
      </c>
      <c r="BP6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0.49844236760124611</v>
      </c>
      <c r="BQ66" s="209">
        <f>IF(WWWW[[#This Row],[Total required Latrines]]-WWWW[[#This Row],[Total '# of latrine]]&lt;0,0,WWWW[[#This Row],[Total required Latrines]]-WWWW[[#This Row],[Total '# of latrine]])</f>
        <v>8</v>
      </c>
      <c r="BR66" s="210">
        <f>ROUND(IF(WWWW[[#This Row],[Location Type 1]]="camp",WWWW[[#This Row],[Total PoP ]]/20,WWWW[[#This Row],[Total PoP ]]/6),0)</f>
        <v>16</v>
      </c>
      <c r="BS66" s="212">
        <f>IF(OR(WWWW[[#This Row],['# Existing latrines dysfunctional]]="",WWWW[[#This Row],['# Existing latrines dysfunctional]]=0),0,WWWW[[#This Row],['# Existing latrines dysfunctional]]/WWWW[[#This Row],[Total '# of latrine]])</f>
        <v>0</v>
      </c>
      <c r="BT6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66" s="209">
        <f>IF(500*WWWW[[#This Row],['# Hygiene Promoters ]]&gt;WWWW[[#This Row],[Total PoP ]],WWWW[[#This Row],[Total PoP ]],500*WWWW[[#This Row],['# Hygiene Promoters ]])</f>
        <v>321</v>
      </c>
      <c r="BV66" s="209">
        <f>IF(WWWW[[#This Row],[% of HH with access to Sanitary Pad]]&gt;=100%,1,0)</f>
        <v>0</v>
      </c>
      <c r="BW66" s="209">
        <f>IF(WWWW[[#This Row],[Total PoP ]]=0,0,IF(WWWW[[#This Row],['# Hygiene Promoters ]]=0,0,IF(WWWW[[#This Row],[Location Type 1]]="Village",IF(WWWW[[#This Row],[Total PoP ]]/WWWW[[#This Row],['# Hygiene Promoters ]]&lt;1000,1,0),IF(WWWW[[#This Row],[Total PoP ]]/WWWW[[#This Row],['# Hygiene Promoters ]]&lt;600,1,0))))</f>
        <v>1</v>
      </c>
      <c r="BX66" s="209">
        <f>IF(WWWW[[#This Row],[%HH with access to soap]]&gt;=100%,1,0)</f>
        <v>0</v>
      </c>
      <c r="BY66" s="209">
        <f>IF(WWWW[[#This Row],[% of HHs with access to Sanitary pad more than '#%]]+WWWW[[#This Row],[Ratio of Hyiene promoters to people less than '#]]+WWWW[[#This Row],[% of HHs with access to soap more than '#%]]&gt;=2,WWWW[[#This Row],[Total PoP ]],0)</f>
        <v>0</v>
      </c>
      <c r="BZ66" s="208">
        <f>WWWW[[#This Row],[People adopt basic personal and community hygiene practices]]/WWWW[[#This Row],[Total PoP ]]</f>
        <v>0</v>
      </c>
      <c r="CA66" s="212">
        <f>1-WWWW[[#This Row],[Hygiene Coverage%]]</f>
        <v>1</v>
      </c>
      <c r="CB66" s="211">
        <f>WWWW[[#This Row],['# people reached by regular dedicated hygiene promotion_5]]/WWWW[[#This Row],[Total PoP ]]</f>
        <v>1</v>
      </c>
      <c r="CC66" s="211">
        <f>IF(WWWW[[#This Row],['# HH received soaps]]/WWWW[[#This Row],[Total HH]]&gt;1,1,WWWW[[#This Row],['# HH received soaps]]/WWWW[[#This Row],[Total HH]])</f>
        <v>0</v>
      </c>
      <c r="CD66" s="211">
        <f>IF(WWWW[[#This Row],['# HH received Sanitary Pads]]/WWWW[[#This Row],[Total HH]]&gt;1,1,WWWW[[#This Row],['# HH received Sanitary Pads]]/WWWW[[#This Row],[Total HH]])</f>
        <v>0</v>
      </c>
      <c r="CE66" s="210">
        <f>WWWW[[#This Row],['# HH received soaps]]*5</f>
        <v>0</v>
      </c>
      <c r="CF66" s="210">
        <f>WWWW[[#This Row],['# HH received Sanitary Pads]]*5</f>
        <v>0</v>
      </c>
      <c r="CG66" s="210">
        <f>IF(WWWW[[#This Row],['# People with access to soap]]&gt;WWWW[[#This Row],['# People with access to Sanity Pads]],WWWW[[#This Row],['# People with access to soap]],WWWW[[#This Row],['# People with access to Sanity Pads]])</f>
        <v>0</v>
      </c>
      <c r="CH66" s="209">
        <f>WWWW[[#This Row],[Total HH]]*WWWW[[#This Row],[%HHs with access to functional hand washing stations]]</f>
        <v>0</v>
      </c>
      <c r="CI66" s="699">
        <f>VLOOKUP(WWWW[[#This Row],[Site Name]],SiteDB6[[Site Name]:[CCCM Management]],6,FALSE)</f>
        <v>0</v>
      </c>
      <c r="CJ66" s="699" t="str">
        <f>VLOOKUP(WWWW[[#This Row],[Site Name]],SiteDB6[[Site Name]:[CCCM Focal Agency]],7,FALSE)</f>
        <v>uncovered</v>
      </c>
      <c r="CK66" s="699" t="str">
        <f>VLOOKUP(WWWW[[#This Row],[Site Name]],SiteDB6[[Site Name]:[Location Type]],8,FALSE)</f>
        <v>Camp</v>
      </c>
      <c r="CL66" s="699" t="str">
        <f>VLOOKUP(WWWW[[#This Row],[Site Name]],SiteDB6[[Site Name]:[Location Type 1]],9,FALSE)</f>
        <v>Camp</v>
      </c>
      <c r="CM66" s="699" t="str">
        <f>VLOOKUP(WWWW[[#This Row],[Site Name]],SiteDB6[[Site Name]:[Type of Accommodation]],10,FALSE)</f>
        <v>Camp like setting</v>
      </c>
      <c r="CN66" s="699" t="str">
        <f>VLOOKUP(WWWW[[#This Row],[Site Name]],SiteDB6[[Site Name]:[Ethnic or GCA/NGCA]],11,FALSE)</f>
        <v>GCA</v>
      </c>
      <c r="CO66" s="699">
        <f>VLOOKUP(WWWW[[#This Row],[Site Name]],SiteDB6[[Site Name]:[Lat]],12,FALSE)</f>
        <v>97.013800000000003</v>
      </c>
      <c r="CP66" s="699">
        <f>VLOOKUP(WWWW[[#This Row],[Site Name]],SiteDB6[[Site Name]:[Long]],13,FALSE)</f>
        <v>25.383465999999999</v>
      </c>
      <c r="CQ66" s="699" t="str">
        <f>VLOOKUP(WWWW[[#This Row],[Site Name]],SiteDB6[[Site Name]:[Pcode]],3,FALSE)</f>
        <v>MMR001CMP260</v>
      </c>
      <c r="CR66" s="660" t="str">
        <f t="shared" si="0"/>
        <v>Covered</v>
      </c>
      <c r="CS66" s="660"/>
      <c r="CT66" s="24"/>
      <c r="CU66" s="24"/>
      <c r="CV66" s="24"/>
    </row>
    <row r="67" spans="1:100" ht="15.75" customHeight="1" x14ac:dyDescent="0.25">
      <c r="A67" s="833" t="s">
        <v>3206</v>
      </c>
      <c r="B67" s="206" t="s">
        <v>287</v>
      </c>
      <c r="C67" s="206" t="s">
        <v>44</v>
      </c>
      <c r="D67" s="206" t="s">
        <v>298</v>
      </c>
      <c r="E67" s="206" t="s">
        <v>2953</v>
      </c>
      <c r="F67" s="206">
        <v>16</v>
      </c>
      <c r="G67" s="209">
        <v>98</v>
      </c>
      <c r="H67" s="206"/>
      <c r="I67" s="206" t="s">
        <v>296</v>
      </c>
      <c r="J67" s="207">
        <v>43465</v>
      </c>
      <c r="K67" s="206">
        <v>0</v>
      </c>
      <c r="L67" s="206" t="s">
        <v>48</v>
      </c>
      <c r="M67" s="208">
        <v>0.8</v>
      </c>
      <c r="N67" s="208">
        <v>0.8</v>
      </c>
      <c r="O67" s="316">
        <v>0</v>
      </c>
      <c r="P67" s="317">
        <v>2</v>
      </c>
      <c r="Q67" s="317">
        <v>2000</v>
      </c>
      <c r="R67" s="318">
        <v>0</v>
      </c>
      <c r="S67" s="318">
        <v>0</v>
      </c>
      <c r="T67" s="318"/>
      <c r="U67" s="318">
        <v>0</v>
      </c>
      <c r="V67" s="318">
        <v>0</v>
      </c>
      <c r="W67" s="318">
        <v>0</v>
      </c>
      <c r="X67" s="318">
        <v>0</v>
      </c>
      <c r="Y67" s="318">
        <v>0</v>
      </c>
      <c r="Z67" s="318"/>
      <c r="AA67" s="310">
        <v>2</v>
      </c>
      <c r="AB67" s="310">
        <v>0</v>
      </c>
      <c r="AC67" s="66">
        <v>0</v>
      </c>
      <c r="AD67" s="66"/>
      <c r="AE67" s="310">
        <v>0</v>
      </c>
      <c r="AF67" s="310" t="s">
        <v>283</v>
      </c>
      <c r="AG67" s="311" t="s">
        <v>1358</v>
      </c>
      <c r="AH67" s="311"/>
      <c r="AI67" s="310"/>
      <c r="AJ67" s="310"/>
      <c r="AK67" s="841">
        <v>0.6</v>
      </c>
      <c r="AL67" s="842" t="s">
        <v>376</v>
      </c>
      <c r="AM67" s="842">
        <v>0</v>
      </c>
      <c r="AN67" s="863">
        <v>2</v>
      </c>
      <c r="AO67" s="863">
        <v>1</v>
      </c>
      <c r="AP67" s="838">
        <v>0</v>
      </c>
      <c r="AQ67" s="843">
        <v>0</v>
      </c>
      <c r="AR67" s="843"/>
      <c r="AS67" s="843"/>
      <c r="AT67" s="843"/>
      <c r="AU67" s="843"/>
      <c r="AV67" s="844"/>
      <c r="AW67" s="208" t="str">
        <f>IFERROR(WWWW[[#This Row],['# of Water passed at source]]/WWWW[[#This Row],['# of Water tested at source]],"no test")</f>
        <v>no test</v>
      </c>
      <c r="AX67" s="211" t="str">
        <f>IFERROR(WWWW[[#This Row],['# of Water passed at HH]]/WWWW[[#This Row],['# of Water tested at HH]],"no test")</f>
        <v>no test</v>
      </c>
      <c r="AY67" s="210" t="str">
        <f>IF(AND(WWWW[[#This Row],[%of Water samples which passed at water source]]="no test",WWWW[[#This Row],[%Water samples which passed at HH]]="no test"),"No Test","Tested")</f>
        <v>No Test</v>
      </c>
      <c r="AZ6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6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67" s="211">
        <f>IF(WWWW[[#This Row],[Location Type 1]]="Village",WWWW[[#This Row],[Access to safe drinking water for Village]],WWWW[[#This Row],[Access to safe drinking water for Camp]])</f>
        <v>1</v>
      </c>
      <c r="BC67" s="209">
        <f>WWWW[[#This Row],[%Equitable and continuous access to sufficient quantity of safe drinking water]]*WWWW[[#This Row],[Total PoP ]]</f>
        <v>98</v>
      </c>
      <c r="BD67" s="211">
        <f>IF((WWWW[[#This Row],['# Existing protected/fenced ponds ]]*250)/WWWW[[#This Row],[Total PoP ]]&gt;1,1,WWWW[[#This Row],['# Existing protected/fenced ponds ]]*250/WWWW[[#This Row],[Total PoP ]])</f>
        <v>0</v>
      </c>
      <c r="BE67" s="209">
        <f>WWWW[[#This Row],[Access to unimproved water points]]*WWWW[[#This Row],[Total PoP ]]</f>
        <v>0</v>
      </c>
      <c r="BF6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6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98</v>
      </c>
      <c r="BH67" s="209">
        <f>WWWW[[#This Row],['#people Equitable and continuous access to sufficient quantity of domestic water borehole n ponds_2]]/500</f>
        <v>0.19600000000000001</v>
      </c>
      <c r="BI67" s="208">
        <f>1-WWWW[[#This Row],[%Equitable and continuous access to sufficient quantity of domestic water borehole n ponds]]</f>
        <v>0</v>
      </c>
      <c r="BJ67" s="209">
        <f>WWWW[[#This Row],[%equitable and continuous access to sufficient quantity of safe drinking and domestic water''s GAP]]*WWWW[[#This Row],[Total PoP ]]</f>
        <v>0</v>
      </c>
      <c r="BK67" s="210">
        <f>IF(WWWW[[#This Row],[Total required water points]]-WWWW[[#This Row],['#Water points coverage]]&lt;0,0,WWWW[[#This Row],[Total required water points]]-WWWW[[#This Row],['#Water points coverage]])</f>
        <v>0.80400000000000005</v>
      </c>
      <c r="BL67" s="210">
        <f>ROUND(IF(WWWW[[#This Row],[Total PoP ]]&lt;500,1,WWWW[[#This Row],[Total PoP ]]/500),0)</f>
        <v>1</v>
      </c>
      <c r="BM67" s="210">
        <f>WWWW[[#This Row],['# Existing functional latrines]]+WWWW[[#This Row],['# Existing latrines dysfunctional]]</f>
        <v>2</v>
      </c>
      <c r="BN6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0.40816326530612246</v>
      </c>
      <c r="BO67" s="352">
        <f>WWWW[[#This Row],[% people access to functioning Latrine]]*WWWW[[#This Row],[Total PoP ]]</f>
        <v>40</v>
      </c>
      <c r="BP6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0.61224489795918358</v>
      </c>
      <c r="BQ67" s="209">
        <f>IF(WWWW[[#This Row],[Total required Latrines]]-WWWW[[#This Row],[Total '# of latrine]]&lt;0,0,WWWW[[#This Row],[Total required Latrines]]-WWWW[[#This Row],[Total '# of latrine]])</f>
        <v>3</v>
      </c>
      <c r="BR67" s="210">
        <f>ROUND(IF(WWWW[[#This Row],[Location Type 1]]="camp",WWWW[[#This Row],[Total PoP ]]/20,WWWW[[#This Row],[Total PoP ]]/6),0)</f>
        <v>5</v>
      </c>
      <c r="BS67" s="212">
        <f>IF(OR(WWWW[[#This Row],['# Existing latrines dysfunctional]]="",WWWW[[#This Row],['# Existing latrines dysfunctional]]=0),0,WWWW[[#This Row],['# Existing latrines dysfunctional]]/WWWW[[#This Row],[Total '# of latrine]])</f>
        <v>0</v>
      </c>
      <c r="BT6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67" s="209">
        <f>IF(500*WWWW[[#This Row],['# Hygiene Promoters ]]&gt;WWWW[[#This Row],[Total PoP ]],WWWW[[#This Row],[Total PoP ]],500*WWWW[[#This Row],['# Hygiene Promoters ]])</f>
        <v>98</v>
      </c>
      <c r="BV67" s="209">
        <f>IF(WWWW[[#This Row],[% of HH with access to Sanitary Pad]]&gt;=100%,1,0)</f>
        <v>0</v>
      </c>
      <c r="BW67" s="209">
        <f>IF(WWWW[[#This Row],[Total PoP ]]=0,0,IF(WWWW[[#This Row],['# Hygiene Promoters ]]=0,0,IF(WWWW[[#This Row],[Location Type 1]]="Village",IF(WWWW[[#This Row],[Total PoP ]]/WWWW[[#This Row],['# Hygiene Promoters ]]&lt;1000,1,0),IF(WWWW[[#This Row],[Total PoP ]]/WWWW[[#This Row],['# Hygiene Promoters ]]&lt;600,1,0))))</f>
        <v>1</v>
      </c>
      <c r="BX67" s="209">
        <f>IF(WWWW[[#This Row],[%HH with access to soap]]&gt;=100%,1,0)</f>
        <v>0</v>
      </c>
      <c r="BY67" s="209">
        <f>IF(WWWW[[#This Row],[% of HHs with access to Sanitary pad more than '#%]]+WWWW[[#This Row],[Ratio of Hyiene promoters to people less than '#]]+WWWW[[#This Row],[% of HHs with access to soap more than '#%]]&gt;=2,WWWW[[#This Row],[Total PoP ]],0)</f>
        <v>0</v>
      </c>
      <c r="BZ67" s="208">
        <f>WWWW[[#This Row],[People adopt basic personal and community hygiene practices]]/WWWW[[#This Row],[Total PoP ]]</f>
        <v>0</v>
      </c>
      <c r="CA67" s="212">
        <f>1-WWWW[[#This Row],[Hygiene Coverage%]]</f>
        <v>1</v>
      </c>
      <c r="CB67" s="211">
        <f>WWWW[[#This Row],['# people reached by regular dedicated hygiene promotion_5]]/WWWW[[#This Row],[Total PoP ]]</f>
        <v>1</v>
      </c>
      <c r="CC67" s="211">
        <f>IF(WWWW[[#This Row],['# HH received soaps]]/WWWW[[#This Row],[Total HH]]&gt;1,1,WWWW[[#This Row],['# HH received soaps]]/WWWW[[#This Row],[Total HH]])</f>
        <v>0</v>
      </c>
      <c r="CD67" s="211">
        <f>IF(WWWW[[#This Row],['# HH received Sanitary Pads]]/WWWW[[#This Row],[Total HH]]&gt;1,1,WWWW[[#This Row],['# HH received Sanitary Pads]]/WWWW[[#This Row],[Total HH]])</f>
        <v>0</v>
      </c>
      <c r="CE67" s="210">
        <f>WWWW[[#This Row],['# HH received soaps]]*5</f>
        <v>0</v>
      </c>
      <c r="CF67" s="210">
        <f>WWWW[[#This Row],['# HH received Sanitary Pads]]*5</f>
        <v>0</v>
      </c>
      <c r="CG67" s="210">
        <f>IF(WWWW[[#This Row],['# People with access to soap]]&gt;WWWW[[#This Row],['# People with access to Sanity Pads]],WWWW[[#This Row],['# People with access to soap]],WWWW[[#This Row],['# People with access to Sanity Pads]])</f>
        <v>0</v>
      </c>
      <c r="CH67" s="209">
        <f>WWWW[[#This Row],[Total HH]]*WWWW[[#This Row],[%HHs with access to functional hand washing stations]]</f>
        <v>9.6</v>
      </c>
      <c r="CI67" s="699" t="str">
        <f>VLOOKUP(WWWW[[#This Row],[Site Name]],SiteDB6[[Site Name]:[CCCM Management]],6,FALSE)</f>
        <v>Yes</v>
      </c>
      <c r="CJ67" s="699" t="str">
        <f>VLOOKUP(WWWW[[#This Row],[Site Name]],SiteDB6[[Site Name]:[CCCM Focal Agency]],7,FALSE)</f>
        <v>KBC</v>
      </c>
      <c r="CK67" s="699" t="str">
        <f>VLOOKUP(WWWW[[#This Row],[Site Name]],SiteDB6[[Site Name]:[Location Type]],8,FALSE)</f>
        <v>Camp</v>
      </c>
      <c r="CL67" s="699" t="str">
        <f>VLOOKUP(WWWW[[#This Row],[Site Name]],SiteDB6[[Site Name]:[Location Type 1]],9,FALSE)</f>
        <v>Camp</v>
      </c>
      <c r="CM67" s="699" t="str">
        <f>VLOOKUP(WWWW[[#This Row],[Site Name]],SiteDB6[[Site Name]:[Type of Accommodation]],10,FALSE)</f>
        <v>Camp</v>
      </c>
      <c r="CN67" s="699" t="str">
        <f>VLOOKUP(WWWW[[#This Row],[Site Name]],SiteDB6[[Site Name]:[Ethnic or GCA/NGCA]],11,FALSE)</f>
        <v>GCA</v>
      </c>
      <c r="CO67" s="699">
        <f>VLOOKUP(WWWW[[#This Row],[Site Name]],SiteDB6[[Site Name]:[Lat]],12,FALSE)</f>
        <v>25.296579999999999</v>
      </c>
      <c r="CP67" s="699">
        <f>VLOOKUP(WWWW[[#This Row],[Site Name]],SiteDB6[[Site Name]:[Long]],13,FALSE)</f>
        <v>96.942279999999997</v>
      </c>
      <c r="CQ67" s="699" t="str">
        <f>VLOOKUP(WWWW[[#This Row],[Site Name]],SiteDB6[[Site Name]:[Pcode]],3,FALSE)</f>
        <v>MMR001CMP077</v>
      </c>
      <c r="CR67" s="660" t="str">
        <f t="shared" si="0"/>
        <v>Covered</v>
      </c>
      <c r="CS67" s="660"/>
      <c r="CT67" s="24"/>
      <c r="CU67" s="24"/>
      <c r="CV67" s="24"/>
    </row>
    <row r="68" spans="1:100" ht="15.75" customHeight="1" x14ac:dyDescent="0.25">
      <c r="A68" s="833" t="s">
        <v>3206</v>
      </c>
      <c r="B68" s="206" t="s">
        <v>43</v>
      </c>
      <c r="C68" s="206" t="s">
        <v>44</v>
      </c>
      <c r="D68" s="206" t="s">
        <v>298</v>
      </c>
      <c r="E68" s="206" t="s">
        <v>387</v>
      </c>
      <c r="F68" s="206">
        <v>20</v>
      </c>
      <c r="G68" s="209">
        <v>105</v>
      </c>
      <c r="H68" s="206"/>
      <c r="I68" s="206" t="s">
        <v>388</v>
      </c>
      <c r="J68" s="207">
        <v>43465</v>
      </c>
      <c r="K68" s="206">
        <v>0</v>
      </c>
      <c r="L68" s="206" t="s">
        <v>48</v>
      </c>
      <c r="M68" s="208">
        <v>0.4</v>
      </c>
      <c r="N68" s="208">
        <v>0.1</v>
      </c>
      <c r="O68" s="316">
        <v>3</v>
      </c>
      <c r="P68" s="317">
        <v>0</v>
      </c>
      <c r="Q68" s="317">
        <v>6000</v>
      </c>
      <c r="R68" s="318">
        <v>0</v>
      </c>
      <c r="S68" s="318">
        <v>0</v>
      </c>
      <c r="T68" s="318"/>
      <c r="U68" s="318">
        <v>0</v>
      </c>
      <c r="V68" s="318">
        <v>0</v>
      </c>
      <c r="W68" s="318">
        <v>0</v>
      </c>
      <c r="X68" s="318">
        <v>0</v>
      </c>
      <c r="Y68" s="318">
        <v>0</v>
      </c>
      <c r="Z68" s="318"/>
      <c r="AA68" s="310">
        <v>20</v>
      </c>
      <c r="AB68" s="310">
        <v>0</v>
      </c>
      <c r="AC68" s="66">
        <v>0</v>
      </c>
      <c r="AD68" s="66"/>
      <c r="AE68" s="310">
        <v>0</v>
      </c>
      <c r="AF68" s="310" t="s">
        <v>283</v>
      </c>
      <c r="AG68" s="311" t="s">
        <v>1358</v>
      </c>
      <c r="AH68" s="311">
        <v>0</v>
      </c>
      <c r="AI68" s="310">
        <v>0</v>
      </c>
      <c r="AJ68" s="310"/>
      <c r="AK68" s="841">
        <v>0</v>
      </c>
      <c r="AL68" s="842" t="s">
        <v>376</v>
      </c>
      <c r="AM68" s="842">
        <v>0</v>
      </c>
      <c r="AN68" s="863">
        <v>0</v>
      </c>
      <c r="AO68" s="863">
        <v>0</v>
      </c>
      <c r="AP68" s="838">
        <v>0</v>
      </c>
      <c r="AQ68" s="843">
        <v>0</v>
      </c>
      <c r="AR68" s="843" t="s">
        <v>282</v>
      </c>
      <c r="AS68" s="843"/>
      <c r="AT68" s="843"/>
      <c r="AU68" s="843"/>
      <c r="AV68" s="844"/>
      <c r="AW68" s="208" t="str">
        <f>IFERROR(WWWW[[#This Row],['# of Water passed at source]]/WWWW[[#This Row],['# of Water tested at source]],"no test")</f>
        <v>no test</v>
      </c>
      <c r="AX68" s="211" t="str">
        <f>IFERROR(WWWW[[#This Row],['# of Water passed at HH]]/WWWW[[#This Row],['# of Water tested at HH]],"no test")</f>
        <v>no test</v>
      </c>
      <c r="AY68" s="210" t="str">
        <f>IF(AND(WWWW[[#This Row],[%of Water samples which passed at water source]]="no test",WWWW[[#This Row],[%Water samples which passed at HH]]="no test"),"No Test","Tested")</f>
        <v>No Test</v>
      </c>
      <c r="AZ6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6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68" s="211">
        <f>IF(WWWW[[#This Row],[Location Type 1]]="Village",WWWW[[#This Row],[Access to safe drinking water for Village]],WWWW[[#This Row],[Access to safe drinking water for Camp]])</f>
        <v>1</v>
      </c>
      <c r="BC68" s="209">
        <f>WWWW[[#This Row],[%Equitable and continuous access to sufficient quantity of safe drinking water]]*WWWW[[#This Row],[Total PoP ]]</f>
        <v>105</v>
      </c>
      <c r="BD68" s="211">
        <f>IF((WWWW[[#This Row],['# Existing protected/fenced ponds ]]*250)/WWWW[[#This Row],[Total PoP ]]&gt;1,1,WWWW[[#This Row],['# Existing protected/fenced ponds ]]*250/WWWW[[#This Row],[Total PoP ]])</f>
        <v>0</v>
      </c>
      <c r="BE68" s="209">
        <f>WWWW[[#This Row],[Access to unimproved water points]]*WWWW[[#This Row],[Total PoP ]]</f>
        <v>0</v>
      </c>
      <c r="BF6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6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105</v>
      </c>
      <c r="BH68" s="209">
        <f>WWWW[[#This Row],['#people Equitable and continuous access to sufficient quantity of domestic water borehole n ponds_2]]/500</f>
        <v>0.21</v>
      </c>
      <c r="BI68" s="208">
        <f>1-WWWW[[#This Row],[%Equitable and continuous access to sufficient quantity of domestic water borehole n ponds]]</f>
        <v>0</v>
      </c>
      <c r="BJ68" s="209">
        <f>WWWW[[#This Row],[%equitable and continuous access to sufficient quantity of safe drinking and domestic water''s GAP]]*WWWW[[#This Row],[Total PoP ]]</f>
        <v>0</v>
      </c>
      <c r="BK68" s="210">
        <f>IF(WWWW[[#This Row],[Total required water points]]-WWWW[[#This Row],['#Water points coverage]]&lt;0,0,WWWW[[#This Row],[Total required water points]]-WWWW[[#This Row],['#Water points coverage]])</f>
        <v>0.79</v>
      </c>
      <c r="BL68" s="210">
        <f>ROUND(IF(WWWW[[#This Row],[Total PoP ]]&lt;500,1,WWWW[[#This Row],[Total PoP ]]/500),0)</f>
        <v>1</v>
      </c>
      <c r="BM68" s="210">
        <f>WWWW[[#This Row],['# Existing functional latrines]]+WWWW[[#This Row],['# Existing latrines dysfunctional]]</f>
        <v>20</v>
      </c>
      <c r="BN6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68" s="352">
        <f>WWWW[[#This Row],[% people access to functioning Latrine]]*WWWW[[#This Row],[Total PoP ]]</f>
        <v>105</v>
      </c>
      <c r="BP6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68" s="209">
        <f>IF(WWWW[[#This Row],[Total required Latrines]]-WWWW[[#This Row],[Total '# of latrine]]&lt;0,0,WWWW[[#This Row],[Total required Latrines]]-WWWW[[#This Row],[Total '# of latrine]])</f>
        <v>0</v>
      </c>
      <c r="BR68" s="210">
        <f>ROUND(IF(WWWW[[#This Row],[Location Type 1]]="camp",WWWW[[#This Row],[Total PoP ]]/20,WWWW[[#This Row],[Total PoP ]]/6),0)</f>
        <v>5</v>
      </c>
      <c r="BS68" s="212">
        <f>IF(OR(WWWW[[#This Row],['# Existing latrines dysfunctional]]="",WWWW[[#This Row],['# Existing latrines dysfunctional]]=0),0,WWWW[[#This Row],['# Existing latrines dysfunctional]]/WWWW[[#This Row],[Total '# of latrine]])</f>
        <v>0</v>
      </c>
      <c r="BT6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68" s="209">
        <f>IF(500*WWWW[[#This Row],['# Hygiene Promoters ]]&gt;WWWW[[#This Row],[Total PoP ]],WWWW[[#This Row],[Total PoP ]],500*WWWW[[#This Row],['# Hygiene Promoters ]])</f>
        <v>0</v>
      </c>
      <c r="BV68" s="209">
        <f>IF(WWWW[[#This Row],[% of HH with access to Sanitary Pad]]&gt;=100%,1,0)</f>
        <v>0</v>
      </c>
      <c r="BW68" s="209">
        <f>IF(WWWW[[#This Row],[Total PoP ]]=0,0,IF(WWWW[[#This Row],['# Hygiene Promoters ]]=0,0,IF(WWWW[[#This Row],[Location Type 1]]="Village",IF(WWWW[[#This Row],[Total PoP ]]/WWWW[[#This Row],['# Hygiene Promoters ]]&lt;1000,1,0),IF(WWWW[[#This Row],[Total PoP ]]/WWWW[[#This Row],['# Hygiene Promoters ]]&lt;600,1,0))))</f>
        <v>0</v>
      </c>
      <c r="BX68" s="209">
        <f>IF(WWWW[[#This Row],[%HH with access to soap]]&gt;=100%,1,0)</f>
        <v>0</v>
      </c>
      <c r="BY68" s="209">
        <f>IF(WWWW[[#This Row],[% of HHs with access to Sanitary pad more than '#%]]+WWWW[[#This Row],[Ratio of Hyiene promoters to people less than '#]]+WWWW[[#This Row],[% of HHs with access to soap more than '#%]]&gt;=2,WWWW[[#This Row],[Total PoP ]],0)</f>
        <v>0</v>
      </c>
      <c r="BZ68" s="208">
        <f>WWWW[[#This Row],[People adopt basic personal and community hygiene practices]]/WWWW[[#This Row],[Total PoP ]]</f>
        <v>0</v>
      </c>
      <c r="CA68" s="212">
        <f>1-WWWW[[#This Row],[Hygiene Coverage%]]</f>
        <v>1</v>
      </c>
      <c r="CB68" s="211">
        <f>WWWW[[#This Row],['# people reached by regular dedicated hygiene promotion_5]]/WWWW[[#This Row],[Total PoP ]]</f>
        <v>0</v>
      </c>
      <c r="CC68" s="211">
        <f>IF(WWWW[[#This Row],['# HH received soaps]]/WWWW[[#This Row],[Total HH]]&gt;1,1,WWWW[[#This Row],['# HH received soaps]]/WWWW[[#This Row],[Total HH]])</f>
        <v>0</v>
      </c>
      <c r="CD68" s="211">
        <f>IF(WWWW[[#This Row],['# HH received Sanitary Pads]]/WWWW[[#This Row],[Total HH]]&gt;1,1,WWWW[[#This Row],['# HH received Sanitary Pads]]/WWWW[[#This Row],[Total HH]])</f>
        <v>0</v>
      </c>
      <c r="CE68" s="210">
        <f>WWWW[[#This Row],['# HH received soaps]]*5</f>
        <v>0</v>
      </c>
      <c r="CF68" s="210">
        <f>WWWW[[#This Row],['# HH received Sanitary Pads]]*5</f>
        <v>0</v>
      </c>
      <c r="CG68" s="210">
        <f>IF(WWWW[[#This Row],['# People with access to soap]]&gt;WWWW[[#This Row],['# People with access to Sanity Pads]],WWWW[[#This Row],['# People with access to soap]],WWWW[[#This Row],['# People with access to Sanity Pads]])</f>
        <v>0</v>
      </c>
      <c r="CH68" s="209">
        <f>WWWW[[#This Row],[Total HH]]*WWWW[[#This Row],[%HHs with access to functional hand washing stations]]</f>
        <v>0</v>
      </c>
      <c r="CI68" s="699">
        <f>VLOOKUP(WWWW[[#This Row],[Site Name]],SiteDB6[[Site Name]:[CCCM Management]],6,FALSE)</f>
        <v>0</v>
      </c>
      <c r="CJ68" s="699">
        <f>VLOOKUP(WWWW[[#This Row],[Site Name]],SiteDB6[[Site Name]:[CCCM Focal Agency]],7,FALSE)</f>
        <v>0</v>
      </c>
      <c r="CK68" s="699" t="str">
        <f>VLOOKUP(WWWW[[#This Row],[Site Name]],SiteDB6[[Site Name]:[Location Type]],8,FALSE)</f>
        <v>Camp</v>
      </c>
      <c r="CL68" s="699" t="str">
        <f>VLOOKUP(WWWW[[#This Row],[Site Name]],SiteDB6[[Site Name]:[Location Type 1]],9,FALSE)</f>
        <v>Camp</v>
      </c>
      <c r="CM68" s="699" t="str">
        <f>VLOOKUP(WWWW[[#This Row],[Site Name]],SiteDB6[[Site Name]:[Type of Accommodation]],10,FALSE)</f>
        <v>Closed Camp</v>
      </c>
      <c r="CN68" s="699" t="str">
        <f>VLOOKUP(WWWW[[#This Row],[Site Name]],SiteDB6[[Site Name]:[Ethnic or GCA/NGCA]],11,FALSE)</f>
        <v>GCA</v>
      </c>
      <c r="CO68" s="699">
        <f>VLOOKUP(WWWW[[#This Row],[Site Name]],SiteDB6[[Site Name]:[Lat]],12,FALSE)</f>
        <v>25.299679999999999</v>
      </c>
      <c r="CP68" s="699">
        <f>VLOOKUP(WWWW[[#This Row],[Site Name]],SiteDB6[[Site Name]:[Long]],13,FALSE)</f>
        <v>96.942279999999997</v>
      </c>
      <c r="CQ68" s="699" t="str">
        <f>VLOOKUP(WWWW[[#This Row],[Site Name]],SiteDB6[[Site Name]:[Pcode]],3,FALSE)</f>
        <v>MMR001CMP237</v>
      </c>
      <c r="CR68" s="660" t="str">
        <f t="shared" si="0"/>
        <v>Covered</v>
      </c>
      <c r="CS68" s="660"/>
      <c r="CT68" s="24"/>
      <c r="CU68" s="24"/>
      <c r="CV68" s="24"/>
    </row>
    <row r="69" spans="1:100" ht="15.75" customHeight="1" x14ac:dyDescent="0.25">
      <c r="A69" s="833" t="s">
        <v>3206</v>
      </c>
      <c r="B69" s="206" t="s">
        <v>43</v>
      </c>
      <c r="C69" s="206" t="s">
        <v>44</v>
      </c>
      <c r="D69" s="206" t="s">
        <v>298</v>
      </c>
      <c r="E69" s="206" t="s">
        <v>2667</v>
      </c>
      <c r="F69" s="206">
        <v>45</v>
      </c>
      <c r="G69" s="209">
        <v>220</v>
      </c>
      <c r="H69" s="206"/>
      <c r="I69" s="206" t="s">
        <v>388</v>
      </c>
      <c r="J69" s="207">
        <v>43465</v>
      </c>
      <c r="K69" s="206">
        <v>0</v>
      </c>
      <c r="L69" s="206" t="s">
        <v>48</v>
      </c>
      <c r="M69" s="208">
        <v>0.4</v>
      </c>
      <c r="N69" s="208">
        <v>0.4</v>
      </c>
      <c r="O69" s="316">
        <v>3</v>
      </c>
      <c r="P69" s="317">
        <v>0</v>
      </c>
      <c r="Q69" s="317">
        <v>8000</v>
      </c>
      <c r="R69" s="318">
        <v>0</v>
      </c>
      <c r="S69" s="318">
        <v>0</v>
      </c>
      <c r="T69" s="318"/>
      <c r="U69" s="318">
        <v>0</v>
      </c>
      <c r="V69" s="318">
        <v>0</v>
      </c>
      <c r="W69" s="318">
        <v>0</v>
      </c>
      <c r="X69" s="318">
        <v>0</v>
      </c>
      <c r="Y69" s="318">
        <v>0</v>
      </c>
      <c r="Z69" s="318"/>
      <c r="AA69" s="310">
        <v>7</v>
      </c>
      <c r="AB69" s="310">
        <v>1</v>
      </c>
      <c r="AC69" s="66">
        <v>0</v>
      </c>
      <c r="AD69" s="66"/>
      <c r="AE69" s="310">
        <v>0</v>
      </c>
      <c r="AF69" s="310" t="s">
        <v>283</v>
      </c>
      <c r="AG69" s="311" t="s">
        <v>1358</v>
      </c>
      <c r="AH69" s="311">
        <v>0</v>
      </c>
      <c r="AI69" s="310">
        <v>0</v>
      </c>
      <c r="AJ69" s="310"/>
      <c r="AK69" s="841"/>
      <c r="AL69" s="842" t="s">
        <v>376</v>
      </c>
      <c r="AM69" s="842">
        <v>1</v>
      </c>
      <c r="AN69" s="863">
        <v>0</v>
      </c>
      <c r="AO69" s="863">
        <v>2</v>
      </c>
      <c r="AP69" s="838">
        <v>0</v>
      </c>
      <c r="AQ69" s="843">
        <v>0</v>
      </c>
      <c r="AR69" s="843"/>
      <c r="AS69" s="843"/>
      <c r="AT69" s="843"/>
      <c r="AU69" s="843"/>
      <c r="AV69" s="844" t="s">
        <v>2795</v>
      </c>
      <c r="AW69" s="208" t="str">
        <f>IFERROR(WWWW[[#This Row],['# of Water passed at source]]/WWWW[[#This Row],['# of Water tested at source]],"no test")</f>
        <v>no test</v>
      </c>
      <c r="AX69" s="211" t="str">
        <f>IFERROR(WWWW[[#This Row],['# of Water passed at HH]]/WWWW[[#This Row],['# of Water tested at HH]],"no test")</f>
        <v>no test</v>
      </c>
      <c r="AY69" s="210" t="str">
        <f>IF(AND(WWWW[[#This Row],[%of Water samples which passed at water source]]="no test",WWWW[[#This Row],[%Water samples which passed at HH]]="no test"),"No Test","Tested")</f>
        <v>No Test</v>
      </c>
      <c r="AZ6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6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69" s="211">
        <f>IF(WWWW[[#This Row],[Location Type 1]]="Village",WWWW[[#This Row],[Access to safe drinking water for Village]],WWWW[[#This Row],[Access to safe drinking water for Camp]])</f>
        <v>1</v>
      </c>
      <c r="BC69" s="209">
        <f>WWWW[[#This Row],[%Equitable and continuous access to sufficient quantity of safe drinking water]]*WWWW[[#This Row],[Total PoP ]]</f>
        <v>220</v>
      </c>
      <c r="BD69" s="211">
        <f>IF((WWWW[[#This Row],['# Existing protected/fenced ponds ]]*250)/WWWW[[#This Row],[Total PoP ]]&gt;1,1,WWWW[[#This Row],['# Existing protected/fenced ponds ]]*250/WWWW[[#This Row],[Total PoP ]])</f>
        <v>0</v>
      </c>
      <c r="BE69" s="209">
        <f>WWWW[[#This Row],[Access to unimproved water points]]*WWWW[[#This Row],[Total PoP ]]</f>
        <v>0</v>
      </c>
      <c r="BF6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6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220</v>
      </c>
      <c r="BH69" s="209">
        <f>WWWW[[#This Row],['#people Equitable and continuous access to sufficient quantity of domestic water borehole n ponds_2]]/500</f>
        <v>0.44</v>
      </c>
      <c r="BI69" s="208">
        <f>1-WWWW[[#This Row],[%Equitable and continuous access to sufficient quantity of domestic water borehole n ponds]]</f>
        <v>0</v>
      </c>
      <c r="BJ69" s="209">
        <f>WWWW[[#This Row],[%equitable and continuous access to sufficient quantity of safe drinking and domestic water''s GAP]]*WWWW[[#This Row],[Total PoP ]]</f>
        <v>0</v>
      </c>
      <c r="BK69" s="210">
        <f>IF(WWWW[[#This Row],[Total required water points]]-WWWW[[#This Row],['#Water points coverage]]&lt;0,0,WWWW[[#This Row],[Total required water points]]-WWWW[[#This Row],['#Water points coverage]])</f>
        <v>0.56000000000000005</v>
      </c>
      <c r="BL69" s="210">
        <f>ROUND(IF(WWWW[[#This Row],[Total PoP ]]&lt;500,1,WWWW[[#This Row],[Total PoP ]]/500),0)</f>
        <v>1</v>
      </c>
      <c r="BM69" s="210">
        <f>WWWW[[#This Row],['# Existing functional latrines]]+WWWW[[#This Row],['# Existing latrines dysfunctional]]</f>
        <v>8</v>
      </c>
      <c r="BN6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0.63636363636363635</v>
      </c>
      <c r="BO69" s="352">
        <f>WWWW[[#This Row],[% people access to functioning Latrine]]*WWWW[[#This Row],[Total PoP ]]</f>
        <v>140</v>
      </c>
      <c r="BP6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0.27272727272727271</v>
      </c>
      <c r="BQ69" s="209">
        <f>IF(WWWW[[#This Row],[Total required Latrines]]-WWWW[[#This Row],[Total '# of latrine]]&lt;0,0,WWWW[[#This Row],[Total required Latrines]]-WWWW[[#This Row],[Total '# of latrine]])</f>
        <v>3</v>
      </c>
      <c r="BR69" s="210">
        <f>ROUND(IF(WWWW[[#This Row],[Location Type 1]]="camp",WWWW[[#This Row],[Total PoP ]]/20,WWWW[[#This Row],[Total PoP ]]/6),0)</f>
        <v>11</v>
      </c>
      <c r="BS69" s="212">
        <f>IF(OR(WWWW[[#This Row],['# Existing latrines dysfunctional]]="",WWWW[[#This Row],['# Existing latrines dysfunctional]]=0),0,WWWW[[#This Row],['# Existing latrines dysfunctional]]/WWWW[[#This Row],[Total '# of latrine]])</f>
        <v>0.125</v>
      </c>
      <c r="BT6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69" s="209">
        <f>IF(500*WWWW[[#This Row],['# Hygiene Promoters ]]&gt;WWWW[[#This Row],[Total PoP ]],WWWW[[#This Row],[Total PoP ]],500*WWWW[[#This Row],['# Hygiene Promoters ]])</f>
        <v>220</v>
      </c>
      <c r="BV69" s="209">
        <f>IF(WWWW[[#This Row],[% of HH with access to Sanitary Pad]]&gt;=100%,1,0)</f>
        <v>0</v>
      </c>
      <c r="BW69" s="209">
        <f>IF(WWWW[[#This Row],[Total PoP ]]=0,0,IF(WWWW[[#This Row],['# Hygiene Promoters ]]=0,0,IF(WWWW[[#This Row],[Location Type 1]]="Village",IF(WWWW[[#This Row],[Total PoP ]]/WWWW[[#This Row],['# Hygiene Promoters ]]&lt;1000,1,0),IF(WWWW[[#This Row],[Total PoP ]]/WWWW[[#This Row],['# Hygiene Promoters ]]&lt;600,1,0))))</f>
        <v>1</v>
      </c>
      <c r="BX69" s="209">
        <f>IF(WWWW[[#This Row],[%HH with access to soap]]&gt;=100%,1,0)</f>
        <v>0</v>
      </c>
      <c r="BY69" s="209">
        <f>IF(WWWW[[#This Row],[% of HHs with access to Sanitary pad more than '#%]]+WWWW[[#This Row],[Ratio of Hyiene promoters to people less than '#]]+WWWW[[#This Row],[% of HHs with access to soap more than '#%]]&gt;=2,WWWW[[#This Row],[Total PoP ]],0)</f>
        <v>0</v>
      </c>
      <c r="BZ69" s="208">
        <f>WWWW[[#This Row],[People adopt basic personal and community hygiene practices]]/WWWW[[#This Row],[Total PoP ]]</f>
        <v>0</v>
      </c>
      <c r="CA69" s="212">
        <f>1-WWWW[[#This Row],[Hygiene Coverage%]]</f>
        <v>1</v>
      </c>
      <c r="CB69" s="211">
        <f>WWWW[[#This Row],['# people reached by regular dedicated hygiene promotion_5]]/WWWW[[#This Row],[Total PoP ]]</f>
        <v>1</v>
      </c>
      <c r="CC69" s="211">
        <f>IF(WWWW[[#This Row],['# HH received soaps]]/WWWW[[#This Row],[Total HH]]&gt;1,1,WWWW[[#This Row],['# HH received soaps]]/WWWW[[#This Row],[Total HH]])</f>
        <v>0</v>
      </c>
      <c r="CD69" s="211">
        <f>IF(WWWW[[#This Row],['# HH received Sanitary Pads]]/WWWW[[#This Row],[Total HH]]&gt;1,1,WWWW[[#This Row],['# HH received Sanitary Pads]]/WWWW[[#This Row],[Total HH]])</f>
        <v>0</v>
      </c>
      <c r="CE69" s="210">
        <f>WWWW[[#This Row],['# HH received soaps]]*5</f>
        <v>0</v>
      </c>
      <c r="CF69" s="210">
        <f>WWWW[[#This Row],['# HH received Sanitary Pads]]*5</f>
        <v>0</v>
      </c>
      <c r="CG69" s="210">
        <f>IF(WWWW[[#This Row],['# People with access to soap]]&gt;WWWW[[#This Row],['# People with access to Sanity Pads]],WWWW[[#This Row],['# People with access to soap]],WWWW[[#This Row],['# People with access to Sanity Pads]])</f>
        <v>0</v>
      </c>
      <c r="CH69" s="209">
        <f>WWWW[[#This Row],[Total HH]]*WWWW[[#This Row],[%HHs with access to functional hand washing stations]]</f>
        <v>0</v>
      </c>
      <c r="CI69" s="699">
        <f>VLOOKUP(WWWW[[#This Row],[Site Name]],SiteDB6[[Site Name]:[CCCM Management]],6,FALSE)</f>
        <v>0</v>
      </c>
      <c r="CJ69" s="699" t="str">
        <f>VLOOKUP(WWWW[[#This Row],[Site Name]],SiteDB6[[Site Name]:[CCCM Focal Agency]],7,FALSE)</f>
        <v>uncovered</v>
      </c>
      <c r="CK69" s="699" t="str">
        <f>VLOOKUP(WWWW[[#This Row],[Site Name]],SiteDB6[[Site Name]:[Location Type]],8,FALSE)</f>
        <v>Camp</v>
      </c>
      <c r="CL69" s="699" t="str">
        <f>VLOOKUP(WWWW[[#This Row],[Site Name]],SiteDB6[[Site Name]:[Location Type 1]],9,FALSE)</f>
        <v>Camp</v>
      </c>
      <c r="CM69" s="699" t="str">
        <f>VLOOKUP(WWWW[[#This Row],[Site Name]],SiteDB6[[Site Name]:[Type of Accommodation]],10,FALSE)</f>
        <v>Camp like setting</v>
      </c>
      <c r="CN69" s="699" t="str">
        <f>VLOOKUP(WWWW[[#This Row],[Site Name]],SiteDB6[[Site Name]:[Ethnic or GCA/NGCA]],11,FALSE)</f>
        <v>GCA</v>
      </c>
      <c r="CO69" s="699">
        <f>VLOOKUP(WWWW[[#This Row],[Site Name]],SiteDB6[[Site Name]:[Lat]],12,FALSE)</f>
        <v>97.010629910000006</v>
      </c>
      <c r="CP69" s="699">
        <f>VLOOKUP(WWWW[[#This Row],[Site Name]],SiteDB6[[Site Name]:[Long]],13,FALSE)</f>
        <v>25.370330525559201</v>
      </c>
      <c r="CQ69" s="699" t="str">
        <f>VLOOKUP(WWWW[[#This Row],[Site Name]],SiteDB6[[Site Name]:[Pcode]],3,FALSE)</f>
        <v>MMR001CMP259</v>
      </c>
      <c r="CR69" s="660" t="str">
        <f t="shared" si="0"/>
        <v>Covered</v>
      </c>
      <c r="CS69" s="660"/>
      <c r="CT69" s="24"/>
      <c r="CU69" s="24"/>
      <c r="CV69" s="24"/>
    </row>
    <row r="70" spans="1:100" ht="15.75" customHeight="1" x14ac:dyDescent="0.25">
      <c r="A70" s="833" t="s">
        <v>3206</v>
      </c>
      <c r="B70" s="206" t="s">
        <v>287</v>
      </c>
      <c r="C70" s="206" t="s">
        <v>44</v>
      </c>
      <c r="D70" s="206" t="s">
        <v>298</v>
      </c>
      <c r="E70" s="206" t="s">
        <v>2799</v>
      </c>
      <c r="F70" s="206">
        <v>33</v>
      </c>
      <c r="G70" s="209">
        <v>154</v>
      </c>
      <c r="H70" s="206"/>
      <c r="I70" s="206" t="s">
        <v>296</v>
      </c>
      <c r="J70" s="207">
        <v>43465</v>
      </c>
      <c r="K70" s="206"/>
      <c r="L70" s="206" t="s">
        <v>48</v>
      </c>
      <c r="M70" s="208">
        <v>0.8</v>
      </c>
      <c r="N70" s="208">
        <v>0.6</v>
      </c>
      <c r="O70" s="316"/>
      <c r="P70" s="317">
        <v>3</v>
      </c>
      <c r="Q70" s="317"/>
      <c r="R70" s="318"/>
      <c r="S70" s="318"/>
      <c r="T70" s="318"/>
      <c r="U70" s="318"/>
      <c r="V70" s="318"/>
      <c r="W70" s="318"/>
      <c r="X70" s="318"/>
      <c r="Y70" s="318"/>
      <c r="Z70" s="318"/>
      <c r="AA70" s="310">
        <v>2</v>
      </c>
      <c r="AB70" s="310"/>
      <c r="AC70" s="66"/>
      <c r="AD70" s="66"/>
      <c r="AE70" s="310"/>
      <c r="AF70" s="310"/>
      <c r="AG70" s="311"/>
      <c r="AH70" s="311"/>
      <c r="AI70" s="310"/>
      <c r="AJ70" s="310"/>
      <c r="AK70" s="841"/>
      <c r="AL70" s="842"/>
      <c r="AM70" s="842"/>
      <c r="AN70" s="863"/>
      <c r="AO70" s="863"/>
      <c r="AP70" s="838"/>
      <c r="AQ70" s="843"/>
      <c r="AR70" s="843"/>
      <c r="AS70" s="843"/>
      <c r="AT70" s="843"/>
      <c r="AU70" s="843"/>
      <c r="AV70" s="844"/>
      <c r="AW70" s="208" t="str">
        <f>IFERROR(WWWW[[#This Row],['# of Water passed at source]]/WWWW[[#This Row],['# of Water tested at source]],"no test")</f>
        <v>no test</v>
      </c>
      <c r="AX70" s="211" t="str">
        <f>IFERROR(WWWW[[#This Row],['# of Water passed at HH]]/WWWW[[#This Row],['# of Water tested at HH]],"no test")</f>
        <v>no test</v>
      </c>
      <c r="AY70" s="210" t="str">
        <f>IF(AND(WWWW[[#This Row],[%of Water samples which passed at water source]]="no test",WWWW[[#This Row],[%Water samples which passed at HH]]="no test"),"No Test","Tested")</f>
        <v>No Test</v>
      </c>
      <c r="AZ7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7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70" s="211">
        <f>IF(WWWW[[#This Row],[Location Type 1]]="Village",WWWW[[#This Row],[Access to safe drinking water for Village]],WWWW[[#This Row],[Access to safe drinking water for Camp]])</f>
        <v>1</v>
      </c>
      <c r="BC70" s="209">
        <f>WWWW[[#This Row],[%Equitable and continuous access to sufficient quantity of safe drinking water]]*WWWW[[#This Row],[Total PoP ]]</f>
        <v>154</v>
      </c>
      <c r="BD70" s="211">
        <f>IF((WWWW[[#This Row],['# Existing protected/fenced ponds ]]*250)/WWWW[[#This Row],[Total PoP ]]&gt;1,1,WWWW[[#This Row],['# Existing protected/fenced ponds ]]*250/WWWW[[#This Row],[Total PoP ]])</f>
        <v>0</v>
      </c>
      <c r="BE70" s="209">
        <f>WWWW[[#This Row],[Access to unimproved water points]]*WWWW[[#This Row],[Total PoP ]]</f>
        <v>0</v>
      </c>
      <c r="BF7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7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154</v>
      </c>
      <c r="BH70" s="209">
        <f>WWWW[[#This Row],['#people Equitable and continuous access to sufficient quantity of domestic water borehole n ponds_2]]/500</f>
        <v>0.308</v>
      </c>
      <c r="BI70" s="208">
        <f>1-WWWW[[#This Row],[%Equitable and continuous access to sufficient quantity of domestic water borehole n ponds]]</f>
        <v>0</v>
      </c>
      <c r="BJ70" s="209">
        <f>WWWW[[#This Row],[%equitable and continuous access to sufficient quantity of safe drinking and domestic water''s GAP]]*WWWW[[#This Row],[Total PoP ]]</f>
        <v>0</v>
      </c>
      <c r="BK70" s="210">
        <f>IF(WWWW[[#This Row],[Total required water points]]-WWWW[[#This Row],['#Water points coverage]]&lt;0,0,WWWW[[#This Row],[Total required water points]]-WWWW[[#This Row],['#Water points coverage]])</f>
        <v>0.69199999999999995</v>
      </c>
      <c r="BL70" s="210">
        <f>ROUND(IF(WWWW[[#This Row],[Total PoP ]]&lt;500,1,WWWW[[#This Row],[Total PoP ]]/500),0)</f>
        <v>1</v>
      </c>
      <c r="BM70" s="210">
        <f>WWWW[[#This Row],['# Existing functional latrines]]+WWWW[[#This Row],['# Existing latrines dysfunctional]]</f>
        <v>2</v>
      </c>
      <c r="BN7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0.25974025974025972</v>
      </c>
      <c r="BO70" s="352">
        <f>WWWW[[#This Row],[% people access to functioning Latrine]]*WWWW[[#This Row],[Total PoP ]]</f>
        <v>39.999999999999993</v>
      </c>
      <c r="BP7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0.77922077922077926</v>
      </c>
      <c r="BQ70" s="209">
        <f>IF(WWWW[[#This Row],[Total required Latrines]]-WWWW[[#This Row],[Total '# of latrine]]&lt;0,0,WWWW[[#This Row],[Total required Latrines]]-WWWW[[#This Row],[Total '# of latrine]])</f>
        <v>6</v>
      </c>
      <c r="BR70" s="210">
        <f>ROUND(IF(WWWW[[#This Row],[Location Type 1]]="camp",WWWW[[#This Row],[Total PoP ]]/20,WWWW[[#This Row],[Total PoP ]]/6),0)</f>
        <v>8</v>
      </c>
      <c r="BS70" s="212">
        <f>IF(OR(WWWW[[#This Row],['# Existing latrines dysfunctional]]="",WWWW[[#This Row],['# Existing latrines dysfunctional]]=0),0,WWWW[[#This Row],['# Existing latrines dysfunctional]]/WWWW[[#This Row],[Total '# of latrine]])</f>
        <v>0</v>
      </c>
      <c r="BT7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0" s="209">
        <f>IF(500*WWWW[[#This Row],['# Hygiene Promoters ]]&gt;WWWW[[#This Row],[Total PoP ]],WWWW[[#This Row],[Total PoP ]],500*WWWW[[#This Row],['# Hygiene Promoters ]])</f>
        <v>0</v>
      </c>
      <c r="BV70" s="209">
        <f>IF(WWWW[[#This Row],[% of HH with access to Sanitary Pad]]&gt;=100%,1,0)</f>
        <v>0</v>
      </c>
      <c r="BW70" s="209">
        <f>IF(WWWW[[#This Row],[Total PoP ]]=0,0,IF(WWWW[[#This Row],['# Hygiene Promoters ]]=0,0,IF(WWWW[[#This Row],[Location Type 1]]="Village",IF(WWWW[[#This Row],[Total PoP ]]/WWWW[[#This Row],['# Hygiene Promoters ]]&lt;1000,1,0),IF(WWWW[[#This Row],[Total PoP ]]/WWWW[[#This Row],['# Hygiene Promoters ]]&lt;600,1,0))))</f>
        <v>0</v>
      </c>
      <c r="BX70" s="209">
        <f>IF(WWWW[[#This Row],[%HH with access to soap]]&gt;=100%,1,0)</f>
        <v>0</v>
      </c>
      <c r="BY70" s="209">
        <f>IF(WWWW[[#This Row],[% of HHs with access to Sanitary pad more than '#%]]+WWWW[[#This Row],[Ratio of Hyiene promoters to people less than '#]]+WWWW[[#This Row],[% of HHs with access to soap more than '#%]]&gt;=2,WWWW[[#This Row],[Total PoP ]],0)</f>
        <v>0</v>
      </c>
      <c r="BZ70" s="208">
        <f>WWWW[[#This Row],[People adopt basic personal and community hygiene practices]]/WWWW[[#This Row],[Total PoP ]]</f>
        <v>0</v>
      </c>
      <c r="CA70" s="212">
        <f>1-WWWW[[#This Row],[Hygiene Coverage%]]</f>
        <v>1</v>
      </c>
      <c r="CB70" s="211">
        <f>WWWW[[#This Row],['# people reached by regular dedicated hygiene promotion_5]]/WWWW[[#This Row],[Total PoP ]]</f>
        <v>0</v>
      </c>
      <c r="CC70" s="211">
        <f>IF(WWWW[[#This Row],['# HH received soaps]]/WWWW[[#This Row],[Total HH]]&gt;1,1,WWWW[[#This Row],['# HH received soaps]]/WWWW[[#This Row],[Total HH]])</f>
        <v>0</v>
      </c>
      <c r="CD70" s="211">
        <f>IF(WWWW[[#This Row],['# HH received Sanitary Pads]]/WWWW[[#This Row],[Total HH]]&gt;1,1,WWWW[[#This Row],['# HH received Sanitary Pads]]/WWWW[[#This Row],[Total HH]])</f>
        <v>0</v>
      </c>
      <c r="CE70" s="210">
        <f>WWWW[[#This Row],['# HH received soaps]]*5</f>
        <v>0</v>
      </c>
      <c r="CF70" s="210">
        <f>WWWW[[#This Row],['# HH received Sanitary Pads]]*5</f>
        <v>0</v>
      </c>
      <c r="CG70" s="210">
        <f>IF(WWWW[[#This Row],['# People with access to soap]]&gt;WWWW[[#This Row],['# People with access to Sanity Pads]],WWWW[[#This Row],['# People with access to soap]],WWWW[[#This Row],['# People with access to Sanity Pads]])</f>
        <v>0</v>
      </c>
      <c r="CH70" s="209">
        <f>WWWW[[#This Row],[Total HH]]*WWWW[[#This Row],[%HHs with access to functional hand washing stations]]</f>
        <v>0</v>
      </c>
      <c r="CI70" s="699">
        <f>VLOOKUP(WWWW[[#This Row],[Site Name]],SiteDB6[[Site Name]:[CCCM Management]],6,FALSE)</f>
        <v>0</v>
      </c>
      <c r="CJ70" s="699">
        <f>VLOOKUP(WWWW[[#This Row],[Site Name]],SiteDB6[[Site Name]:[CCCM Focal Agency]],7,FALSE)</f>
        <v>0</v>
      </c>
      <c r="CK70" s="699" t="str">
        <f>VLOOKUP(WWWW[[#This Row],[Site Name]],SiteDB6[[Site Name]:[Location Type]],8,FALSE)</f>
        <v>Camp_not registered</v>
      </c>
      <c r="CL70" s="699" t="str">
        <f>VLOOKUP(WWWW[[#This Row],[Site Name]],SiteDB6[[Site Name]:[Location Type 1]],9,FALSE)</f>
        <v>Camp</v>
      </c>
      <c r="CM70" s="699" t="str">
        <f>VLOOKUP(WWWW[[#This Row],[Site Name]],SiteDB6[[Site Name]:[Type of Accommodation]],10,FALSE)</f>
        <v>Camp like setting</v>
      </c>
      <c r="CN70" s="699" t="str">
        <f>VLOOKUP(WWWW[[#This Row],[Site Name]],SiteDB6[[Site Name]:[Ethnic or GCA/NGCA]],11,FALSE)</f>
        <v>GCA</v>
      </c>
      <c r="CO70" s="699">
        <f>VLOOKUP(WWWW[[#This Row],[Site Name]],SiteDB6[[Site Name]:[Lat]],12,FALSE)</f>
        <v>0</v>
      </c>
      <c r="CP70" s="699">
        <f>VLOOKUP(WWWW[[#This Row],[Site Name]],SiteDB6[[Site Name]:[Long]],13,FALSE)</f>
        <v>0</v>
      </c>
      <c r="CQ70" s="699">
        <f>VLOOKUP(WWWW[[#This Row],[Site Name]],SiteDB6[[Site Name]:[Pcode]],3,FALSE)</f>
        <v>0</v>
      </c>
      <c r="CR70" s="660" t="str">
        <f t="shared" si="0"/>
        <v>Covered</v>
      </c>
      <c r="CS70" s="660"/>
      <c r="CT70" s="24"/>
      <c r="CU70" s="24"/>
      <c r="CV70" s="24"/>
    </row>
    <row r="71" spans="1:100" ht="15.75" customHeight="1" x14ac:dyDescent="0.25">
      <c r="A71" s="833" t="s">
        <v>3206</v>
      </c>
      <c r="B71" s="206" t="s">
        <v>3182</v>
      </c>
      <c r="C71" s="206" t="s">
        <v>44</v>
      </c>
      <c r="D71" s="206" t="s">
        <v>298</v>
      </c>
      <c r="E71" s="206" t="s">
        <v>2952</v>
      </c>
      <c r="F71" s="206">
        <v>112</v>
      </c>
      <c r="G71" s="209">
        <v>474</v>
      </c>
      <c r="H71" s="206"/>
      <c r="I71" s="206" t="s">
        <v>3183</v>
      </c>
      <c r="J71" s="207">
        <v>43465</v>
      </c>
      <c r="K71" s="206">
        <v>0</v>
      </c>
      <c r="L71" s="206" t="s">
        <v>48</v>
      </c>
      <c r="M71" s="212">
        <v>0.5</v>
      </c>
      <c r="N71" s="212">
        <v>0.6</v>
      </c>
      <c r="O71" s="316">
        <v>1</v>
      </c>
      <c r="P71" s="317">
        <v>1</v>
      </c>
      <c r="Q71" s="317"/>
      <c r="R71" s="318">
        <v>0</v>
      </c>
      <c r="S71" s="318">
        <v>0</v>
      </c>
      <c r="T71" s="318">
        <v>0</v>
      </c>
      <c r="U71" s="318">
        <v>0</v>
      </c>
      <c r="V71" s="318">
        <v>0</v>
      </c>
      <c r="W71" s="318">
        <v>0</v>
      </c>
      <c r="X71" s="318">
        <v>0</v>
      </c>
      <c r="Y71" s="318">
        <v>0</v>
      </c>
      <c r="Z71" s="318"/>
      <c r="AA71" s="310">
        <v>12</v>
      </c>
      <c r="AB71" s="310">
        <v>0</v>
      </c>
      <c r="AC71" s="66">
        <v>0</v>
      </c>
      <c r="AD71" s="66"/>
      <c r="AE71" s="310">
        <v>8</v>
      </c>
      <c r="AF71" s="310" t="s">
        <v>283</v>
      </c>
      <c r="AG71" s="311" t="s">
        <v>1358</v>
      </c>
      <c r="AH71" s="311">
        <v>0</v>
      </c>
      <c r="AI71" s="310">
        <v>0</v>
      </c>
      <c r="AJ71" s="310"/>
      <c r="AK71" s="841"/>
      <c r="AL71" s="842" t="s">
        <v>376</v>
      </c>
      <c r="AM71" s="842">
        <v>0</v>
      </c>
      <c r="AN71" s="863">
        <v>1</v>
      </c>
      <c r="AO71" s="863">
        <v>2</v>
      </c>
      <c r="AP71" s="838">
        <v>0</v>
      </c>
      <c r="AQ71" s="843">
        <v>0</v>
      </c>
      <c r="AR71" s="843"/>
      <c r="AS71" s="843"/>
      <c r="AT71" s="843"/>
      <c r="AU71" s="843"/>
      <c r="AV71" s="844" t="s">
        <v>2795</v>
      </c>
      <c r="AW71" s="208" t="str">
        <f>IFERROR(WWWW[[#This Row],['# of Water passed at source]]/WWWW[[#This Row],['# of Water tested at source]],"no test")</f>
        <v>no test</v>
      </c>
      <c r="AX71" s="211" t="str">
        <f>IFERROR(WWWW[[#This Row],['# of Water passed at HH]]/WWWW[[#This Row],['# of Water tested at HH]],"no test")</f>
        <v>no test</v>
      </c>
      <c r="AY71" s="210" t="str">
        <f>IF(AND(WWWW[[#This Row],[%of Water samples which passed at water source]]="no test",WWWW[[#This Row],[%Water samples which passed at HH]]="no test"),"No Test","Tested")</f>
        <v>No Test</v>
      </c>
      <c r="AZ7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7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71" s="211">
        <f>IF(WWWW[[#This Row],[Location Type 1]]="Village",WWWW[[#This Row],[Access to safe drinking water for Village]],WWWW[[#This Row],[Access to safe drinking water for Camp]])</f>
        <v>1</v>
      </c>
      <c r="BC71" s="209">
        <f>WWWW[[#This Row],[%Equitable and continuous access to sufficient quantity of safe drinking water]]*WWWW[[#This Row],[Total PoP ]]</f>
        <v>474</v>
      </c>
      <c r="BD71" s="211">
        <f>IF((WWWW[[#This Row],['# Existing protected/fenced ponds ]]*250)/WWWW[[#This Row],[Total PoP ]]&gt;1,1,WWWW[[#This Row],['# Existing protected/fenced ponds ]]*250/WWWW[[#This Row],[Total PoP ]])</f>
        <v>0</v>
      </c>
      <c r="BE71" s="209">
        <f>WWWW[[#This Row],[Access to unimproved water points]]*WWWW[[#This Row],[Total PoP ]]</f>
        <v>0</v>
      </c>
      <c r="BF7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7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474</v>
      </c>
      <c r="BH71" s="209">
        <f>WWWW[[#This Row],['#people Equitable and continuous access to sufficient quantity of domestic water borehole n ponds_2]]/500</f>
        <v>0.94799999999999995</v>
      </c>
      <c r="BI71" s="208">
        <f>1-WWWW[[#This Row],[%Equitable and continuous access to sufficient quantity of domestic water borehole n ponds]]</f>
        <v>0</v>
      </c>
      <c r="BJ71" s="209">
        <f>WWWW[[#This Row],[%equitable and continuous access to sufficient quantity of safe drinking and domestic water''s GAP]]*WWWW[[#This Row],[Total PoP ]]</f>
        <v>0</v>
      </c>
      <c r="BK71" s="210">
        <f>IF(WWWW[[#This Row],[Total required water points]]-WWWW[[#This Row],['#Water points coverage]]&lt;0,0,WWWW[[#This Row],[Total required water points]]-WWWW[[#This Row],['#Water points coverage]])</f>
        <v>5.2000000000000046E-2</v>
      </c>
      <c r="BL71" s="210">
        <f>ROUND(IF(WWWW[[#This Row],[Total PoP ]]&lt;500,1,WWWW[[#This Row],[Total PoP ]]/500),0)</f>
        <v>1</v>
      </c>
      <c r="BM71" s="210">
        <f>WWWW[[#This Row],['# Existing functional latrines]]+WWWW[[#This Row],['# Existing latrines dysfunctional]]</f>
        <v>12</v>
      </c>
      <c r="BN7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0.50632911392405067</v>
      </c>
      <c r="BO71" s="352">
        <f>WWWW[[#This Row],[% people access to functioning Latrine]]*WWWW[[#This Row],[Total PoP ]]</f>
        <v>240.00000000000003</v>
      </c>
      <c r="BP7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0.50632911392405067</v>
      </c>
      <c r="BQ71" s="209">
        <f>IF(WWWW[[#This Row],[Total required Latrines]]-WWWW[[#This Row],[Total '# of latrine]]&lt;0,0,WWWW[[#This Row],[Total required Latrines]]-WWWW[[#This Row],[Total '# of latrine]])</f>
        <v>12</v>
      </c>
      <c r="BR71" s="210">
        <f>ROUND(IF(WWWW[[#This Row],[Location Type 1]]="camp",WWWW[[#This Row],[Total PoP ]]/20,WWWW[[#This Row],[Total PoP ]]/6),0)</f>
        <v>24</v>
      </c>
      <c r="BS71" s="212">
        <f>IF(OR(WWWW[[#This Row],['# Existing latrines dysfunctional]]="",WWWW[[#This Row],['# Existing latrines dysfunctional]]=0),0,WWWW[[#This Row],['# Existing latrines dysfunctional]]/WWWW[[#This Row],[Total '# of latrine]])</f>
        <v>0</v>
      </c>
      <c r="BT7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1" s="209">
        <f>IF(500*WWWW[[#This Row],['# Hygiene Promoters ]]&gt;WWWW[[#This Row],[Total PoP ]],WWWW[[#This Row],[Total PoP ]],500*WWWW[[#This Row],['# Hygiene Promoters ]])</f>
        <v>474</v>
      </c>
      <c r="BV71" s="209">
        <f>IF(WWWW[[#This Row],[% of HH with access to Sanitary Pad]]&gt;=100%,1,0)</f>
        <v>0</v>
      </c>
      <c r="BW71" s="209">
        <f>IF(WWWW[[#This Row],[Total PoP ]]=0,0,IF(WWWW[[#This Row],['# Hygiene Promoters ]]=0,0,IF(WWWW[[#This Row],[Location Type 1]]="Village",IF(WWWW[[#This Row],[Total PoP ]]/WWWW[[#This Row],['# Hygiene Promoters ]]&lt;1000,1,0),IF(WWWW[[#This Row],[Total PoP ]]/WWWW[[#This Row],['# Hygiene Promoters ]]&lt;600,1,0))))</f>
        <v>1</v>
      </c>
      <c r="BX71" s="209">
        <f>IF(WWWW[[#This Row],[%HH with access to soap]]&gt;=100%,1,0)</f>
        <v>0</v>
      </c>
      <c r="BY71" s="209">
        <f>IF(WWWW[[#This Row],[% of HHs with access to Sanitary pad more than '#%]]+WWWW[[#This Row],[Ratio of Hyiene promoters to people less than '#]]+WWWW[[#This Row],[% of HHs with access to soap more than '#%]]&gt;=2,WWWW[[#This Row],[Total PoP ]],0)</f>
        <v>0</v>
      </c>
      <c r="BZ71" s="208">
        <f>WWWW[[#This Row],[People adopt basic personal and community hygiene practices]]/WWWW[[#This Row],[Total PoP ]]</f>
        <v>0</v>
      </c>
      <c r="CA71" s="212">
        <f>1-WWWW[[#This Row],[Hygiene Coverage%]]</f>
        <v>1</v>
      </c>
      <c r="CB71" s="211">
        <f>WWWW[[#This Row],['# people reached by regular dedicated hygiene promotion_5]]/WWWW[[#This Row],[Total PoP ]]</f>
        <v>1</v>
      </c>
      <c r="CC71" s="211">
        <f>IF(WWWW[[#This Row],['# HH received soaps]]/WWWW[[#This Row],[Total HH]]&gt;1,1,WWWW[[#This Row],['# HH received soaps]]/WWWW[[#This Row],[Total HH]])</f>
        <v>0</v>
      </c>
      <c r="CD71" s="211">
        <f>IF(WWWW[[#This Row],['# HH received Sanitary Pads]]/WWWW[[#This Row],[Total HH]]&gt;1,1,WWWW[[#This Row],['# HH received Sanitary Pads]]/WWWW[[#This Row],[Total HH]])</f>
        <v>0</v>
      </c>
      <c r="CE71" s="210">
        <f>WWWW[[#This Row],['# HH received soaps]]*5</f>
        <v>0</v>
      </c>
      <c r="CF71" s="210">
        <f>WWWW[[#This Row],['# HH received Sanitary Pads]]*5</f>
        <v>0</v>
      </c>
      <c r="CG71" s="210">
        <f>IF(WWWW[[#This Row],['# People with access to soap]]&gt;WWWW[[#This Row],['# People with access to Sanity Pads]],WWWW[[#This Row],['# People with access to soap]],WWWW[[#This Row],['# People with access to Sanity Pads]])</f>
        <v>0</v>
      </c>
      <c r="CH71" s="209">
        <f>WWWW[[#This Row],[Total HH]]*WWWW[[#This Row],[%HHs with access to functional hand washing stations]]</f>
        <v>0</v>
      </c>
      <c r="CI71" s="699">
        <f>VLOOKUP(WWWW[[#This Row],[Site Name]],SiteDB6[[Site Name]:[CCCM Management]],6,FALSE)</f>
        <v>0</v>
      </c>
      <c r="CJ71" s="699" t="str">
        <f>VLOOKUP(WWWW[[#This Row],[Site Name]],SiteDB6[[Site Name]:[CCCM Focal Agency]],7,FALSE)</f>
        <v>KBC</v>
      </c>
      <c r="CK71" s="699" t="str">
        <f>VLOOKUP(WWWW[[#This Row],[Site Name]],SiteDB6[[Site Name]:[Location Type]],8,FALSE)</f>
        <v>Camp</v>
      </c>
      <c r="CL71" s="699" t="str">
        <f>VLOOKUP(WWWW[[#This Row],[Site Name]],SiteDB6[[Site Name]:[Location Type 1]],9,FALSE)</f>
        <v>Camp</v>
      </c>
      <c r="CM71" s="699" t="str">
        <f>VLOOKUP(WWWW[[#This Row],[Site Name]],SiteDB6[[Site Name]:[Type of Accommodation]],10,FALSE)</f>
        <v>Camp</v>
      </c>
      <c r="CN71" s="699" t="str">
        <f>VLOOKUP(WWWW[[#This Row],[Site Name]],SiteDB6[[Site Name]:[Ethnic or GCA/NGCA]],11,FALSE)</f>
        <v>GCA</v>
      </c>
      <c r="CO71" s="699">
        <f>VLOOKUP(WWWW[[#This Row],[Site Name]],SiteDB6[[Site Name]:[Lat]],12,FALSE)</f>
        <v>97.104997409999996</v>
      </c>
      <c r="CP71" s="699">
        <f>VLOOKUP(WWWW[[#This Row],[Site Name]],SiteDB6[[Site Name]:[Long]],13,FALSE)</f>
        <v>25.379014999999999</v>
      </c>
      <c r="CQ71" s="699" t="str">
        <f>VLOOKUP(WWWW[[#This Row],[Site Name]],SiteDB6[[Site Name]:[Pcode]],3,FALSE)</f>
        <v>MMR001CMP261</v>
      </c>
      <c r="CR71" s="660" t="str">
        <f t="shared" ref="CR71:CR134" si="1">IF(B71="none","Notcovered","Covered")</f>
        <v>Covered</v>
      </c>
      <c r="CS71" s="660"/>
      <c r="CT71" s="24"/>
      <c r="CU71" s="24"/>
      <c r="CV71" s="24"/>
    </row>
    <row r="72" spans="1:100" ht="15.75" customHeight="1" x14ac:dyDescent="0.25">
      <c r="A72" s="833" t="s">
        <v>3206</v>
      </c>
      <c r="B72" s="206" t="s">
        <v>287</v>
      </c>
      <c r="C72" s="206" t="s">
        <v>44</v>
      </c>
      <c r="D72" s="206" t="s">
        <v>298</v>
      </c>
      <c r="E72" s="206" t="s">
        <v>301</v>
      </c>
      <c r="F72" s="206">
        <v>11</v>
      </c>
      <c r="G72" s="209">
        <v>33</v>
      </c>
      <c r="H72" s="206"/>
      <c r="I72" s="206" t="s">
        <v>296</v>
      </c>
      <c r="J72" s="207">
        <v>43465</v>
      </c>
      <c r="K72" s="206">
        <v>0</v>
      </c>
      <c r="L72" s="206" t="s">
        <v>48</v>
      </c>
      <c r="M72" s="208">
        <v>0.8</v>
      </c>
      <c r="N72" s="208">
        <v>0.8</v>
      </c>
      <c r="O72" s="316">
        <v>1</v>
      </c>
      <c r="P72" s="317">
        <v>2</v>
      </c>
      <c r="Q72" s="317">
        <v>2000</v>
      </c>
      <c r="R72" s="318">
        <v>0</v>
      </c>
      <c r="S72" s="318">
        <v>0</v>
      </c>
      <c r="T72" s="318"/>
      <c r="U72" s="318">
        <v>0</v>
      </c>
      <c r="V72" s="318">
        <v>0</v>
      </c>
      <c r="W72" s="318">
        <v>0</v>
      </c>
      <c r="X72" s="318">
        <v>0</v>
      </c>
      <c r="Y72" s="318">
        <v>0</v>
      </c>
      <c r="Z72" s="318"/>
      <c r="AA72" s="310">
        <v>3</v>
      </c>
      <c r="AB72" s="310">
        <v>0</v>
      </c>
      <c r="AC72" s="66">
        <v>0</v>
      </c>
      <c r="AD72" s="66"/>
      <c r="AE72" s="310">
        <v>0</v>
      </c>
      <c r="AF72" s="310" t="s">
        <v>283</v>
      </c>
      <c r="AG72" s="311" t="s">
        <v>1358</v>
      </c>
      <c r="AH72" s="311"/>
      <c r="AI72" s="310"/>
      <c r="AJ72" s="310"/>
      <c r="AK72" s="841">
        <v>0.6</v>
      </c>
      <c r="AL72" s="842" t="s">
        <v>376</v>
      </c>
      <c r="AM72" s="842">
        <v>0</v>
      </c>
      <c r="AN72" s="863">
        <v>2</v>
      </c>
      <c r="AO72" s="863">
        <v>1</v>
      </c>
      <c r="AP72" s="838">
        <v>0</v>
      </c>
      <c r="AQ72" s="843">
        <v>0</v>
      </c>
      <c r="AR72" s="843"/>
      <c r="AS72" s="843"/>
      <c r="AT72" s="843"/>
      <c r="AU72" s="843"/>
      <c r="AV72" s="844"/>
      <c r="AW72" s="208" t="str">
        <f>IFERROR(WWWW[[#This Row],['# of Water passed at source]]/WWWW[[#This Row],['# of Water tested at source]],"no test")</f>
        <v>no test</v>
      </c>
      <c r="AX72" s="211" t="str">
        <f>IFERROR(WWWW[[#This Row],['# of Water passed at HH]]/WWWW[[#This Row],['# of Water tested at HH]],"no test")</f>
        <v>no test</v>
      </c>
      <c r="AY72" s="210" t="str">
        <f>IF(AND(WWWW[[#This Row],[%of Water samples which passed at water source]]="no test",WWWW[[#This Row],[%Water samples which passed at HH]]="no test"),"No Test","Tested")</f>
        <v>No Test</v>
      </c>
      <c r="AZ7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7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72" s="211">
        <f>IF(WWWW[[#This Row],[Location Type 1]]="Village",WWWW[[#This Row],[Access to safe drinking water for Village]],WWWW[[#This Row],[Access to safe drinking water for Camp]])</f>
        <v>1</v>
      </c>
      <c r="BC72" s="209">
        <f>WWWW[[#This Row],[%Equitable and continuous access to sufficient quantity of safe drinking water]]*WWWW[[#This Row],[Total PoP ]]</f>
        <v>33</v>
      </c>
      <c r="BD72" s="211">
        <f>IF((WWWW[[#This Row],['# Existing protected/fenced ponds ]]*250)/WWWW[[#This Row],[Total PoP ]]&gt;1,1,WWWW[[#This Row],['# Existing protected/fenced ponds ]]*250/WWWW[[#This Row],[Total PoP ]])</f>
        <v>0</v>
      </c>
      <c r="BE72" s="209">
        <f>WWWW[[#This Row],[Access to unimproved water points]]*WWWW[[#This Row],[Total PoP ]]</f>
        <v>0</v>
      </c>
      <c r="BF7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7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v>
      </c>
      <c r="BH72" s="209">
        <f>WWWW[[#This Row],['#people Equitable and continuous access to sufficient quantity of domestic water borehole n ponds_2]]/500</f>
        <v>6.6000000000000003E-2</v>
      </c>
      <c r="BI72" s="208">
        <f>1-WWWW[[#This Row],[%Equitable and continuous access to sufficient quantity of domestic water borehole n ponds]]</f>
        <v>0</v>
      </c>
      <c r="BJ72" s="209">
        <f>WWWW[[#This Row],[%equitable and continuous access to sufficient quantity of safe drinking and domestic water''s GAP]]*WWWW[[#This Row],[Total PoP ]]</f>
        <v>0</v>
      </c>
      <c r="BK72" s="210">
        <f>IF(WWWW[[#This Row],[Total required water points]]-WWWW[[#This Row],['#Water points coverage]]&lt;0,0,WWWW[[#This Row],[Total required water points]]-WWWW[[#This Row],['#Water points coverage]])</f>
        <v>0.93399999999999994</v>
      </c>
      <c r="BL72" s="210">
        <f>ROUND(IF(WWWW[[#This Row],[Total PoP ]]&lt;500,1,WWWW[[#This Row],[Total PoP ]]/500),0)</f>
        <v>1</v>
      </c>
      <c r="BM72" s="210">
        <f>WWWW[[#This Row],['# Existing functional latrines]]+WWWW[[#This Row],['# Existing latrines dysfunctional]]</f>
        <v>3</v>
      </c>
      <c r="BN7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72" s="352">
        <f>WWWW[[#This Row],[% people access to functioning Latrine]]*WWWW[[#This Row],[Total PoP ]]</f>
        <v>33</v>
      </c>
      <c r="BP7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72" s="209">
        <f>IF(WWWW[[#This Row],[Total required Latrines]]-WWWW[[#This Row],[Total '# of latrine]]&lt;0,0,WWWW[[#This Row],[Total required Latrines]]-WWWW[[#This Row],[Total '# of latrine]])</f>
        <v>0</v>
      </c>
      <c r="BR72" s="210">
        <f>ROUND(IF(WWWW[[#This Row],[Location Type 1]]="camp",WWWW[[#This Row],[Total PoP ]]/20,WWWW[[#This Row],[Total PoP ]]/6),0)</f>
        <v>2</v>
      </c>
      <c r="BS72" s="212">
        <f>IF(OR(WWWW[[#This Row],['# Existing latrines dysfunctional]]="",WWWW[[#This Row],['# Existing latrines dysfunctional]]=0),0,WWWW[[#This Row],['# Existing latrines dysfunctional]]/WWWW[[#This Row],[Total '# of latrine]])</f>
        <v>0</v>
      </c>
      <c r="BT7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2" s="209">
        <f>IF(500*WWWW[[#This Row],['# Hygiene Promoters ]]&gt;WWWW[[#This Row],[Total PoP ]],WWWW[[#This Row],[Total PoP ]],500*WWWW[[#This Row],['# Hygiene Promoters ]])</f>
        <v>33</v>
      </c>
      <c r="BV72" s="209">
        <f>IF(WWWW[[#This Row],[% of HH with access to Sanitary Pad]]&gt;=100%,1,0)</f>
        <v>0</v>
      </c>
      <c r="BW72" s="209">
        <f>IF(WWWW[[#This Row],[Total PoP ]]=0,0,IF(WWWW[[#This Row],['# Hygiene Promoters ]]=0,0,IF(WWWW[[#This Row],[Location Type 1]]="Village",IF(WWWW[[#This Row],[Total PoP ]]/WWWW[[#This Row],['# Hygiene Promoters ]]&lt;1000,1,0),IF(WWWW[[#This Row],[Total PoP ]]/WWWW[[#This Row],['# Hygiene Promoters ]]&lt;600,1,0))))</f>
        <v>1</v>
      </c>
      <c r="BX72" s="209">
        <f>IF(WWWW[[#This Row],[%HH with access to soap]]&gt;=100%,1,0)</f>
        <v>0</v>
      </c>
      <c r="BY72" s="209">
        <f>IF(WWWW[[#This Row],[% of HHs with access to Sanitary pad more than '#%]]+WWWW[[#This Row],[Ratio of Hyiene promoters to people less than '#]]+WWWW[[#This Row],[% of HHs with access to soap more than '#%]]&gt;=2,WWWW[[#This Row],[Total PoP ]],0)</f>
        <v>0</v>
      </c>
      <c r="BZ72" s="208">
        <f>WWWW[[#This Row],[People adopt basic personal and community hygiene practices]]/WWWW[[#This Row],[Total PoP ]]</f>
        <v>0</v>
      </c>
      <c r="CA72" s="212">
        <f>1-WWWW[[#This Row],[Hygiene Coverage%]]</f>
        <v>1</v>
      </c>
      <c r="CB72" s="211">
        <f>WWWW[[#This Row],['# people reached by regular dedicated hygiene promotion_5]]/WWWW[[#This Row],[Total PoP ]]</f>
        <v>1</v>
      </c>
      <c r="CC72" s="211">
        <f>IF(WWWW[[#This Row],['# HH received soaps]]/WWWW[[#This Row],[Total HH]]&gt;1,1,WWWW[[#This Row],['# HH received soaps]]/WWWW[[#This Row],[Total HH]])</f>
        <v>0</v>
      </c>
      <c r="CD72" s="211">
        <f>IF(WWWW[[#This Row],['# HH received Sanitary Pads]]/WWWW[[#This Row],[Total HH]]&gt;1,1,WWWW[[#This Row],['# HH received Sanitary Pads]]/WWWW[[#This Row],[Total HH]])</f>
        <v>0</v>
      </c>
      <c r="CE72" s="210">
        <f>WWWW[[#This Row],['# HH received soaps]]*5</f>
        <v>0</v>
      </c>
      <c r="CF72" s="210">
        <f>WWWW[[#This Row],['# HH received Sanitary Pads]]*5</f>
        <v>0</v>
      </c>
      <c r="CG72" s="210">
        <f>IF(WWWW[[#This Row],['# People with access to soap]]&gt;WWWW[[#This Row],['# People with access to Sanity Pads]],WWWW[[#This Row],['# People with access to soap]],WWWW[[#This Row],['# People with access to Sanity Pads]])</f>
        <v>0</v>
      </c>
      <c r="CH72" s="209">
        <f>WWWW[[#This Row],[Total HH]]*WWWW[[#This Row],[%HHs with access to functional hand washing stations]]</f>
        <v>6.6</v>
      </c>
      <c r="CI72" s="699" t="str">
        <f>VLOOKUP(WWWW[[#This Row],[Site Name]],SiteDB6[[Site Name]:[CCCM Management]],6,FALSE)</f>
        <v>Yes</v>
      </c>
      <c r="CJ72" s="699" t="str">
        <f>VLOOKUP(WWWW[[#This Row],[Site Name]],SiteDB6[[Site Name]:[CCCM Focal Agency]],7,FALSE)</f>
        <v>KBC</v>
      </c>
      <c r="CK72" s="699" t="str">
        <f>VLOOKUP(WWWW[[#This Row],[Site Name]],SiteDB6[[Site Name]:[Location Type]],8,FALSE)</f>
        <v>Camp</v>
      </c>
      <c r="CL72" s="699" t="str">
        <f>VLOOKUP(WWWW[[#This Row],[Site Name]],SiteDB6[[Site Name]:[Location Type 1]],9,FALSE)</f>
        <v>Camp</v>
      </c>
      <c r="CM72" s="699" t="str">
        <f>VLOOKUP(WWWW[[#This Row],[Site Name]],SiteDB6[[Site Name]:[Type of Accommodation]],10,FALSE)</f>
        <v>Camp</v>
      </c>
      <c r="CN72" s="699" t="str">
        <f>VLOOKUP(WWWW[[#This Row],[Site Name]],SiteDB6[[Site Name]:[Ethnic or GCA/NGCA]],11,FALSE)</f>
        <v>GCA</v>
      </c>
      <c r="CO72" s="699">
        <f>VLOOKUP(WWWW[[#This Row],[Site Name]],SiteDB6[[Site Name]:[Lat]],12,FALSE)</f>
        <v>25.30442</v>
      </c>
      <c r="CP72" s="699">
        <f>VLOOKUP(WWWW[[#This Row],[Site Name]],SiteDB6[[Site Name]:[Long]],13,FALSE)</f>
        <v>96.948740000000001</v>
      </c>
      <c r="CQ72" s="699" t="str">
        <f>VLOOKUP(WWWW[[#This Row],[Site Name]],SiteDB6[[Site Name]:[Pcode]],3,FALSE)</f>
        <v>MMR001CMP079</v>
      </c>
      <c r="CR72" s="660" t="str">
        <f t="shared" si="1"/>
        <v>Covered</v>
      </c>
      <c r="CS72" s="660"/>
      <c r="CT72" s="24"/>
      <c r="CU72" s="24"/>
      <c r="CV72" s="24"/>
    </row>
    <row r="73" spans="1:100" ht="15.75" customHeight="1" x14ac:dyDescent="0.25">
      <c r="A73" s="833" t="s">
        <v>3206</v>
      </c>
      <c r="B73" s="206" t="s">
        <v>287</v>
      </c>
      <c r="C73" s="206" t="s">
        <v>44</v>
      </c>
      <c r="D73" s="206" t="s">
        <v>298</v>
      </c>
      <c r="E73" s="206" t="s">
        <v>302</v>
      </c>
      <c r="F73" s="206">
        <v>28</v>
      </c>
      <c r="G73" s="209">
        <v>129</v>
      </c>
      <c r="H73" s="206"/>
      <c r="I73" s="206" t="s">
        <v>296</v>
      </c>
      <c r="J73" s="207">
        <v>43465</v>
      </c>
      <c r="K73" s="206">
        <v>0</v>
      </c>
      <c r="L73" s="206" t="s">
        <v>48</v>
      </c>
      <c r="M73" s="208">
        <v>0.8</v>
      </c>
      <c r="N73" s="208">
        <v>0.8</v>
      </c>
      <c r="O73" s="316">
        <v>1</v>
      </c>
      <c r="P73" s="317">
        <v>2</v>
      </c>
      <c r="Q73" s="317">
        <v>3000</v>
      </c>
      <c r="R73" s="318">
        <v>0</v>
      </c>
      <c r="S73" s="318">
        <v>0</v>
      </c>
      <c r="T73" s="318"/>
      <c r="U73" s="318">
        <v>0</v>
      </c>
      <c r="V73" s="318">
        <v>0</v>
      </c>
      <c r="W73" s="318">
        <v>0</v>
      </c>
      <c r="X73" s="318">
        <v>0</v>
      </c>
      <c r="Y73" s="318">
        <v>0</v>
      </c>
      <c r="Z73" s="318"/>
      <c r="AA73" s="310">
        <v>8</v>
      </c>
      <c r="AB73" s="310">
        <v>0</v>
      </c>
      <c r="AC73" s="66">
        <v>0</v>
      </c>
      <c r="AD73" s="66"/>
      <c r="AE73" s="310">
        <v>0</v>
      </c>
      <c r="AF73" s="310" t="s">
        <v>283</v>
      </c>
      <c r="AG73" s="311" t="s">
        <v>1358</v>
      </c>
      <c r="AH73" s="311"/>
      <c r="AI73" s="310"/>
      <c r="AJ73" s="310"/>
      <c r="AK73" s="841">
        <v>0.6</v>
      </c>
      <c r="AL73" s="842" t="s">
        <v>376</v>
      </c>
      <c r="AM73" s="842">
        <v>0</v>
      </c>
      <c r="AN73" s="863">
        <v>2</v>
      </c>
      <c r="AO73" s="863">
        <v>1</v>
      </c>
      <c r="AP73" s="838">
        <v>0</v>
      </c>
      <c r="AQ73" s="843">
        <v>0</v>
      </c>
      <c r="AR73" s="843"/>
      <c r="AS73" s="843"/>
      <c r="AT73" s="843"/>
      <c r="AU73" s="843"/>
      <c r="AV73" s="844"/>
      <c r="AW73" s="208" t="str">
        <f>IFERROR(WWWW[[#This Row],['# of Water passed at source]]/WWWW[[#This Row],['# of Water tested at source]],"no test")</f>
        <v>no test</v>
      </c>
      <c r="AX73" s="211" t="str">
        <f>IFERROR(WWWW[[#This Row],['# of Water passed at HH]]/WWWW[[#This Row],['# of Water tested at HH]],"no test")</f>
        <v>no test</v>
      </c>
      <c r="AY73" s="210" t="str">
        <f>IF(AND(WWWW[[#This Row],[%of Water samples which passed at water source]]="no test",WWWW[[#This Row],[%Water samples which passed at HH]]="no test"),"No Test","Tested")</f>
        <v>No Test</v>
      </c>
      <c r="AZ7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7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73" s="211">
        <f>IF(WWWW[[#This Row],[Location Type 1]]="Village",WWWW[[#This Row],[Access to safe drinking water for Village]],WWWW[[#This Row],[Access to safe drinking water for Camp]])</f>
        <v>1</v>
      </c>
      <c r="BC73" s="209">
        <f>WWWW[[#This Row],[%Equitable and continuous access to sufficient quantity of safe drinking water]]*WWWW[[#This Row],[Total PoP ]]</f>
        <v>129</v>
      </c>
      <c r="BD73" s="211">
        <f>IF((WWWW[[#This Row],['# Existing protected/fenced ponds ]]*250)/WWWW[[#This Row],[Total PoP ]]&gt;1,1,WWWW[[#This Row],['# Existing protected/fenced ponds ]]*250/WWWW[[#This Row],[Total PoP ]])</f>
        <v>0</v>
      </c>
      <c r="BE73" s="209">
        <f>WWWW[[#This Row],[Access to unimproved water points]]*WWWW[[#This Row],[Total PoP ]]</f>
        <v>0</v>
      </c>
      <c r="BF7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7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129</v>
      </c>
      <c r="BH73" s="209">
        <f>WWWW[[#This Row],['#people Equitable and continuous access to sufficient quantity of domestic water borehole n ponds_2]]/500</f>
        <v>0.25800000000000001</v>
      </c>
      <c r="BI73" s="208">
        <f>1-WWWW[[#This Row],[%Equitable and continuous access to sufficient quantity of domestic water borehole n ponds]]</f>
        <v>0</v>
      </c>
      <c r="BJ73" s="209">
        <f>WWWW[[#This Row],[%equitable and continuous access to sufficient quantity of safe drinking and domestic water''s GAP]]*WWWW[[#This Row],[Total PoP ]]</f>
        <v>0</v>
      </c>
      <c r="BK73" s="210">
        <f>IF(WWWW[[#This Row],[Total required water points]]-WWWW[[#This Row],['#Water points coverage]]&lt;0,0,WWWW[[#This Row],[Total required water points]]-WWWW[[#This Row],['#Water points coverage]])</f>
        <v>0.74199999999999999</v>
      </c>
      <c r="BL73" s="210">
        <f>ROUND(IF(WWWW[[#This Row],[Total PoP ]]&lt;500,1,WWWW[[#This Row],[Total PoP ]]/500),0)</f>
        <v>1</v>
      </c>
      <c r="BM73" s="210">
        <f>WWWW[[#This Row],['# Existing functional latrines]]+WWWW[[#This Row],['# Existing latrines dysfunctional]]</f>
        <v>8</v>
      </c>
      <c r="BN7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73" s="352">
        <f>WWWW[[#This Row],[% people access to functioning Latrine]]*WWWW[[#This Row],[Total PoP ]]</f>
        <v>129</v>
      </c>
      <c r="BP7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73" s="209">
        <f>IF(WWWW[[#This Row],[Total required Latrines]]-WWWW[[#This Row],[Total '# of latrine]]&lt;0,0,WWWW[[#This Row],[Total required Latrines]]-WWWW[[#This Row],[Total '# of latrine]])</f>
        <v>0</v>
      </c>
      <c r="BR73" s="210">
        <f>ROUND(IF(WWWW[[#This Row],[Location Type 1]]="camp",WWWW[[#This Row],[Total PoP ]]/20,WWWW[[#This Row],[Total PoP ]]/6),0)</f>
        <v>6</v>
      </c>
      <c r="BS73" s="212">
        <f>IF(OR(WWWW[[#This Row],['# Existing latrines dysfunctional]]="",WWWW[[#This Row],['# Existing latrines dysfunctional]]=0),0,WWWW[[#This Row],['# Existing latrines dysfunctional]]/WWWW[[#This Row],[Total '# of latrine]])</f>
        <v>0</v>
      </c>
      <c r="BT7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3" s="209">
        <f>IF(500*WWWW[[#This Row],['# Hygiene Promoters ]]&gt;WWWW[[#This Row],[Total PoP ]],WWWW[[#This Row],[Total PoP ]],500*WWWW[[#This Row],['# Hygiene Promoters ]])</f>
        <v>129</v>
      </c>
      <c r="BV73" s="209">
        <f>IF(WWWW[[#This Row],[% of HH with access to Sanitary Pad]]&gt;=100%,1,0)</f>
        <v>0</v>
      </c>
      <c r="BW73" s="209">
        <f>IF(WWWW[[#This Row],[Total PoP ]]=0,0,IF(WWWW[[#This Row],['# Hygiene Promoters ]]=0,0,IF(WWWW[[#This Row],[Location Type 1]]="Village",IF(WWWW[[#This Row],[Total PoP ]]/WWWW[[#This Row],['# Hygiene Promoters ]]&lt;1000,1,0),IF(WWWW[[#This Row],[Total PoP ]]/WWWW[[#This Row],['# Hygiene Promoters ]]&lt;600,1,0))))</f>
        <v>1</v>
      </c>
      <c r="BX73" s="209">
        <f>IF(WWWW[[#This Row],[%HH with access to soap]]&gt;=100%,1,0)</f>
        <v>0</v>
      </c>
      <c r="BY73" s="209">
        <f>IF(WWWW[[#This Row],[% of HHs with access to Sanitary pad more than '#%]]+WWWW[[#This Row],[Ratio of Hyiene promoters to people less than '#]]+WWWW[[#This Row],[% of HHs with access to soap more than '#%]]&gt;=2,WWWW[[#This Row],[Total PoP ]],0)</f>
        <v>0</v>
      </c>
      <c r="BZ73" s="208">
        <f>WWWW[[#This Row],[People adopt basic personal and community hygiene practices]]/WWWW[[#This Row],[Total PoP ]]</f>
        <v>0</v>
      </c>
      <c r="CA73" s="212">
        <f>1-WWWW[[#This Row],[Hygiene Coverage%]]</f>
        <v>1</v>
      </c>
      <c r="CB73" s="211">
        <f>WWWW[[#This Row],['# people reached by regular dedicated hygiene promotion_5]]/WWWW[[#This Row],[Total PoP ]]</f>
        <v>1</v>
      </c>
      <c r="CC73" s="211">
        <f>IF(WWWW[[#This Row],['# HH received soaps]]/WWWW[[#This Row],[Total HH]]&gt;1,1,WWWW[[#This Row],['# HH received soaps]]/WWWW[[#This Row],[Total HH]])</f>
        <v>0</v>
      </c>
      <c r="CD73" s="211">
        <f>IF(WWWW[[#This Row],['# HH received Sanitary Pads]]/WWWW[[#This Row],[Total HH]]&gt;1,1,WWWW[[#This Row],['# HH received Sanitary Pads]]/WWWW[[#This Row],[Total HH]])</f>
        <v>0</v>
      </c>
      <c r="CE73" s="210">
        <f>WWWW[[#This Row],['# HH received soaps]]*5</f>
        <v>0</v>
      </c>
      <c r="CF73" s="210">
        <f>WWWW[[#This Row],['# HH received Sanitary Pads]]*5</f>
        <v>0</v>
      </c>
      <c r="CG73" s="210">
        <f>IF(WWWW[[#This Row],['# People with access to soap]]&gt;WWWW[[#This Row],['# People with access to Sanity Pads]],WWWW[[#This Row],['# People with access to soap]],WWWW[[#This Row],['# People with access to Sanity Pads]])</f>
        <v>0</v>
      </c>
      <c r="CH73" s="209">
        <f>WWWW[[#This Row],[Total HH]]*WWWW[[#This Row],[%HHs with access to functional hand washing stations]]</f>
        <v>16.8</v>
      </c>
      <c r="CI73" s="699" t="str">
        <f>VLOOKUP(WWWW[[#This Row],[Site Name]],SiteDB6[[Site Name]:[CCCM Management]],6,FALSE)</f>
        <v>Yes</v>
      </c>
      <c r="CJ73" s="699" t="str">
        <f>VLOOKUP(WWWW[[#This Row],[Site Name]],SiteDB6[[Site Name]:[CCCM Focal Agency]],7,FALSE)</f>
        <v>KBC</v>
      </c>
      <c r="CK73" s="699" t="str">
        <f>VLOOKUP(WWWW[[#This Row],[Site Name]],SiteDB6[[Site Name]:[Location Type]],8,FALSE)</f>
        <v>Camp</v>
      </c>
      <c r="CL73" s="699" t="str">
        <f>VLOOKUP(WWWW[[#This Row],[Site Name]],SiteDB6[[Site Name]:[Location Type 1]],9,FALSE)</f>
        <v>Camp</v>
      </c>
      <c r="CM73" s="699" t="str">
        <f>VLOOKUP(WWWW[[#This Row],[Site Name]],SiteDB6[[Site Name]:[Type of Accommodation]],10,FALSE)</f>
        <v>Camp</v>
      </c>
      <c r="CN73" s="699" t="str">
        <f>VLOOKUP(WWWW[[#This Row],[Site Name]],SiteDB6[[Site Name]:[Ethnic or GCA/NGCA]],11,FALSE)</f>
        <v>GCA</v>
      </c>
      <c r="CO73" s="699">
        <f>VLOOKUP(WWWW[[#This Row],[Site Name]],SiteDB6[[Site Name]:[Lat]],12,FALSE)</f>
        <v>25.225000000000001</v>
      </c>
      <c r="CP73" s="699">
        <f>VLOOKUP(WWWW[[#This Row],[Site Name]],SiteDB6[[Site Name]:[Long]],13,FALSE)</f>
        <v>96.793999999999997</v>
      </c>
      <c r="CQ73" s="699" t="str">
        <f>VLOOKUP(WWWW[[#This Row],[Site Name]],SiteDB6[[Site Name]:[Pcode]],3,FALSE)</f>
        <v>MMR001CMP236</v>
      </c>
      <c r="CR73" s="660" t="str">
        <f t="shared" si="1"/>
        <v>Covered</v>
      </c>
      <c r="CS73" s="660"/>
      <c r="CT73" s="24"/>
      <c r="CU73" s="24"/>
      <c r="CV73" s="24"/>
    </row>
    <row r="74" spans="1:100" ht="15.75" customHeight="1" x14ac:dyDescent="0.25">
      <c r="A74" s="833" t="s">
        <v>3206</v>
      </c>
      <c r="B74" s="206" t="s">
        <v>460</v>
      </c>
      <c r="C74" s="206" t="s">
        <v>44</v>
      </c>
      <c r="D74" s="206" t="s">
        <v>303</v>
      </c>
      <c r="E74" s="206" t="s">
        <v>1205</v>
      </c>
      <c r="F74" s="206">
        <v>27</v>
      </c>
      <c r="G74" s="209">
        <v>121</v>
      </c>
      <c r="H74" s="206"/>
      <c r="I74" s="206"/>
      <c r="J74" s="207"/>
      <c r="K74" s="206"/>
      <c r="L74" s="206" t="s">
        <v>282</v>
      </c>
      <c r="M74" s="208">
        <v>0</v>
      </c>
      <c r="N74" s="208">
        <v>0</v>
      </c>
      <c r="O74" s="316"/>
      <c r="P74" s="317"/>
      <c r="Q74" s="317"/>
      <c r="R74" s="318"/>
      <c r="S74" s="318"/>
      <c r="T74" s="318"/>
      <c r="U74" s="318"/>
      <c r="V74" s="318"/>
      <c r="W74" s="318"/>
      <c r="X74" s="318"/>
      <c r="Y74" s="318"/>
      <c r="Z74" s="318"/>
      <c r="AA74" s="310">
        <v>0</v>
      </c>
      <c r="AB74" s="310"/>
      <c r="AC74" s="66"/>
      <c r="AD74" s="66"/>
      <c r="AE74" s="310"/>
      <c r="AF74" s="310" t="s">
        <v>286</v>
      </c>
      <c r="AG74" s="311" t="s">
        <v>286</v>
      </c>
      <c r="AH74" s="311"/>
      <c r="AI74" s="310"/>
      <c r="AJ74" s="310"/>
      <c r="AK74" s="841"/>
      <c r="AL74" s="842"/>
      <c r="AM74" s="842"/>
      <c r="AN74" s="863"/>
      <c r="AO74" s="863"/>
      <c r="AP74" s="838"/>
      <c r="AQ74" s="843"/>
      <c r="AR74" s="843"/>
      <c r="AS74" s="843"/>
      <c r="AT74" s="843"/>
      <c r="AU74" s="843"/>
      <c r="AV74" s="844"/>
      <c r="AW74" s="208" t="str">
        <f>IFERROR(WWWW[[#This Row],['# of Water passed at source]]/WWWW[[#This Row],['# of Water tested at source]],"no test")</f>
        <v>no test</v>
      </c>
      <c r="AX74" s="211" t="str">
        <f>IFERROR(WWWW[[#This Row],['# of Water passed at HH]]/WWWW[[#This Row],['# of Water tested at HH]],"no test")</f>
        <v>no test</v>
      </c>
      <c r="AY74" s="210" t="str">
        <f>IF(AND(WWWW[[#This Row],[%of Water samples which passed at water source]]="no test",WWWW[[#This Row],[%Water samples which passed at HH]]="no test"),"No Test","Tested")</f>
        <v>No Test</v>
      </c>
      <c r="AZ7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7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74" s="211">
        <f>IF(WWWW[[#This Row],[Location Type 1]]="Village",WWWW[[#This Row],[Access to safe drinking water for Village]],WWWW[[#This Row],[Access to safe drinking water for Camp]])</f>
        <v>0</v>
      </c>
      <c r="BC74" s="209">
        <f>WWWW[[#This Row],[%Equitable and continuous access to sufficient quantity of safe drinking water]]*WWWW[[#This Row],[Total PoP ]]</f>
        <v>0</v>
      </c>
      <c r="BD74" s="211">
        <f>IF((WWWW[[#This Row],['# Existing protected/fenced ponds ]]*250)/WWWW[[#This Row],[Total PoP ]]&gt;1,1,WWWW[[#This Row],['# Existing protected/fenced ponds ]]*250/WWWW[[#This Row],[Total PoP ]])</f>
        <v>0</v>
      </c>
      <c r="BE74" s="209">
        <f>WWWW[[#This Row],[Access to unimproved water points]]*WWWW[[#This Row],[Total PoP ]]</f>
        <v>0</v>
      </c>
      <c r="BF7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7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74" s="209">
        <f>WWWW[[#This Row],['#people Equitable and continuous access to sufficient quantity of domestic water borehole n ponds_2]]/500</f>
        <v>0</v>
      </c>
      <c r="BI74" s="208">
        <f>1-WWWW[[#This Row],[%Equitable and continuous access to sufficient quantity of domestic water borehole n ponds]]</f>
        <v>1</v>
      </c>
      <c r="BJ74" s="209">
        <f>WWWW[[#This Row],[%equitable and continuous access to sufficient quantity of safe drinking and domestic water''s GAP]]*WWWW[[#This Row],[Total PoP ]]</f>
        <v>121</v>
      </c>
      <c r="BK74" s="210">
        <f>IF(WWWW[[#This Row],[Total required water points]]-WWWW[[#This Row],['#Water points coverage]]&lt;0,0,WWWW[[#This Row],[Total required water points]]-WWWW[[#This Row],['#Water points coverage]])</f>
        <v>1</v>
      </c>
      <c r="BL74" s="210">
        <f>ROUND(IF(WWWW[[#This Row],[Total PoP ]]&lt;500,1,WWWW[[#This Row],[Total PoP ]]/500),0)</f>
        <v>1</v>
      </c>
      <c r="BM74" s="210">
        <f>WWWW[[#This Row],['# Existing functional latrines]]+WWWW[[#This Row],['# Existing latrines dysfunctional]]</f>
        <v>0</v>
      </c>
      <c r="BN7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74" s="352">
        <f>WWWW[[#This Row],[% people access to functioning Latrine]]*WWWW[[#This Row],[Total PoP ]]</f>
        <v>0</v>
      </c>
      <c r="BP7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0.99173553719008267</v>
      </c>
      <c r="BQ74" s="209">
        <f>IF(WWWW[[#This Row],[Total required Latrines]]-WWWW[[#This Row],[Total '# of latrine]]&lt;0,0,WWWW[[#This Row],[Total required Latrines]]-WWWW[[#This Row],[Total '# of latrine]])</f>
        <v>6</v>
      </c>
      <c r="BR74" s="210">
        <f>ROUND(IF(WWWW[[#This Row],[Location Type 1]]="camp",WWWW[[#This Row],[Total PoP ]]/20,WWWW[[#This Row],[Total PoP ]]/6),0)</f>
        <v>6</v>
      </c>
      <c r="BS74" s="212">
        <f>IF(OR(WWWW[[#This Row],['# Existing latrines dysfunctional]]="",WWWW[[#This Row],['# Existing latrines dysfunctional]]=0),0,WWWW[[#This Row],['# Existing latrines dysfunctional]]/WWWW[[#This Row],[Total '# of latrine]])</f>
        <v>0</v>
      </c>
      <c r="BT7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4" s="209">
        <f>IF(500*WWWW[[#This Row],['# Hygiene Promoters ]]&gt;WWWW[[#This Row],[Total PoP ]],WWWW[[#This Row],[Total PoP ]],500*WWWW[[#This Row],['# Hygiene Promoters ]])</f>
        <v>0</v>
      </c>
      <c r="BV74" s="209">
        <f>IF(WWWW[[#This Row],[% of HH with access to Sanitary Pad]]&gt;=100%,1,0)</f>
        <v>0</v>
      </c>
      <c r="BW74" s="209">
        <f>IF(WWWW[[#This Row],[Total PoP ]]=0,0,IF(WWWW[[#This Row],['# Hygiene Promoters ]]=0,0,IF(WWWW[[#This Row],[Location Type 1]]="Village",IF(WWWW[[#This Row],[Total PoP ]]/WWWW[[#This Row],['# Hygiene Promoters ]]&lt;1000,1,0),IF(WWWW[[#This Row],[Total PoP ]]/WWWW[[#This Row],['# Hygiene Promoters ]]&lt;600,1,0))))</f>
        <v>0</v>
      </c>
      <c r="BX74" s="209">
        <f>IF(WWWW[[#This Row],[%HH with access to soap]]&gt;=100%,1,0)</f>
        <v>0</v>
      </c>
      <c r="BY74" s="209">
        <f>IF(WWWW[[#This Row],[% of HHs with access to Sanitary pad more than '#%]]+WWWW[[#This Row],[Ratio of Hyiene promoters to people less than '#]]+WWWW[[#This Row],[% of HHs with access to soap more than '#%]]&gt;=2,WWWW[[#This Row],[Total PoP ]],0)</f>
        <v>0</v>
      </c>
      <c r="BZ74" s="208">
        <f>WWWW[[#This Row],[People adopt basic personal and community hygiene practices]]/WWWW[[#This Row],[Total PoP ]]</f>
        <v>0</v>
      </c>
      <c r="CA74" s="212">
        <f>1-WWWW[[#This Row],[Hygiene Coverage%]]</f>
        <v>1</v>
      </c>
      <c r="CB74" s="211">
        <f>WWWW[[#This Row],['# people reached by regular dedicated hygiene promotion_5]]/WWWW[[#This Row],[Total PoP ]]</f>
        <v>0</v>
      </c>
      <c r="CC74" s="211">
        <f>IF(WWWW[[#This Row],['# HH received soaps]]/WWWW[[#This Row],[Total HH]]&gt;1,1,WWWW[[#This Row],['# HH received soaps]]/WWWW[[#This Row],[Total HH]])</f>
        <v>0</v>
      </c>
      <c r="CD74" s="211">
        <f>IF(WWWW[[#This Row],['# HH received Sanitary Pads]]/WWWW[[#This Row],[Total HH]]&gt;1,1,WWWW[[#This Row],['# HH received Sanitary Pads]]/WWWW[[#This Row],[Total HH]])</f>
        <v>0</v>
      </c>
      <c r="CE74" s="210">
        <f>WWWW[[#This Row],['# HH received soaps]]*5</f>
        <v>0</v>
      </c>
      <c r="CF74" s="210">
        <f>WWWW[[#This Row],['# HH received Sanitary Pads]]*5</f>
        <v>0</v>
      </c>
      <c r="CG74" s="210">
        <f>IF(WWWW[[#This Row],['# People with access to soap]]&gt;WWWW[[#This Row],['# People with access to Sanity Pads]],WWWW[[#This Row],['# People with access to soap]],WWWW[[#This Row],['# People with access to Sanity Pads]])</f>
        <v>0</v>
      </c>
      <c r="CH74" s="209">
        <f>WWWW[[#This Row],[Total HH]]*WWWW[[#This Row],[%HHs with access to functional hand washing stations]]</f>
        <v>0</v>
      </c>
      <c r="CI74" s="699">
        <f>VLOOKUP(WWWW[[#This Row],[Site Name]],SiteDB6[[Site Name]:[CCCM Management]],6,FALSE)</f>
        <v>0</v>
      </c>
      <c r="CJ74" s="699" t="str">
        <f>VLOOKUP(WWWW[[#This Row],[Site Name]],SiteDB6[[Site Name]:[CCCM Focal Agency]],7,FALSE)</f>
        <v>uncovered</v>
      </c>
      <c r="CK74" s="699" t="str">
        <f>VLOOKUP(WWWW[[#This Row],[Site Name]],SiteDB6[[Site Name]:[Location Type]],8,FALSE)</f>
        <v>Camp</v>
      </c>
      <c r="CL74" s="699" t="str">
        <f>VLOOKUP(WWWW[[#This Row],[Site Name]],SiteDB6[[Site Name]:[Location Type 1]],9,FALSE)</f>
        <v>Camp</v>
      </c>
      <c r="CM74" s="699" t="str">
        <f>VLOOKUP(WWWW[[#This Row],[Site Name]],SiteDB6[[Site Name]:[Type of Accommodation]],10,FALSE)</f>
        <v>Host Families</v>
      </c>
      <c r="CN74" s="699" t="str">
        <f>VLOOKUP(WWWW[[#This Row],[Site Name]],SiteDB6[[Site Name]:[Ethnic or GCA/NGCA]],11,FALSE)</f>
        <v>GCA</v>
      </c>
      <c r="CO74" s="699">
        <f>VLOOKUP(WWWW[[#This Row],[Site Name]],SiteDB6[[Site Name]:[Lat]],12,FALSE)</f>
        <v>24.996279999999999</v>
      </c>
      <c r="CP74" s="699">
        <f>VLOOKUP(WWWW[[#This Row],[Site Name]],SiteDB6[[Site Name]:[Long]],13,FALSE)</f>
        <v>96.52534</v>
      </c>
      <c r="CQ74" s="699" t="str">
        <f>VLOOKUP(WWWW[[#This Row],[Site Name]],SiteDB6[[Site Name]:[Pcode]],3,FALSE)</f>
        <v>MMR001CMP232</v>
      </c>
      <c r="CR74" s="660" t="str">
        <f t="shared" si="1"/>
        <v>Notcovered</v>
      </c>
      <c r="CS74" s="660"/>
      <c r="CT74" s="24"/>
      <c r="CU74" s="24"/>
      <c r="CV74" s="24"/>
    </row>
    <row r="75" spans="1:100" ht="15.75" customHeight="1" x14ac:dyDescent="0.25">
      <c r="A75" s="878" t="s">
        <v>3206</v>
      </c>
      <c r="B75" s="206" t="s">
        <v>287</v>
      </c>
      <c r="C75" s="206" t="s">
        <v>44</v>
      </c>
      <c r="D75" s="206" t="s">
        <v>303</v>
      </c>
      <c r="E75" s="206" t="s">
        <v>2806</v>
      </c>
      <c r="F75" s="206">
        <v>39</v>
      </c>
      <c r="G75" s="209">
        <v>121</v>
      </c>
      <c r="H75" s="206"/>
      <c r="I75" s="206"/>
      <c r="J75" s="207"/>
      <c r="K75" s="206"/>
      <c r="L75" s="206"/>
      <c r="M75" s="208"/>
      <c r="N75" s="208"/>
      <c r="O75" s="316"/>
      <c r="P75" s="317"/>
      <c r="Q75" s="317"/>
      <c r="R75" s="318"/>
      <c r="S75" s="318"/>
      <c r="T75" s="318"/>
      <c r="U75" s="318"/>
      <c r="V75" s="318"/>
      <c r="W75" s="318"/>
      <c r="X75" s="318"/>
      <c r="Y75" s="318"/>
      <c r="Z75" s="318"/>
      <c r="AA75" s="310"/>
      <c r="AB75" s="310"/>
      <c r="AC75" s="66"/>
      <c r="AD75" s="66"/>
      <c r="AE75" s="310"/>
      <c r="AF75" s="310"/>
      <c r="AG75" s="311"/>
      <c r="AH75" s="311"/>
      <c r="AI75" s="310"/>
      <c r="AJ75" s="310"/>
      <c r="AK75" s="841"/>
      <c r="AL75" s="842"/>
      <c r="AM75" s="842"/>
      <c r="AN75" s="863"/>
      <c r="AO75" s="863"/>
      <c r="AP75" s="838"/>
      <c r="AQ75" s="843"/>
      <c r="AR75" s="843"/>
      <c r="AS75" s="843"/>
      <c r="AT75" s="843"/>
      <c r="AU75" s="843"/>
      <c r="AV75" s="844"/>
      <c r="AW75" s="208" t="str">
        <f>IFERROR(WWWW[[#This Row],['# of Water passed at source]]/WWWW[[#This Row],['# of Water tested at source]],"no test")</f>
        <v>no test</v>
      </c>
      <c r="AX75" s="211" t="str">
        <f>IFERROR(WWWW[[#This Row],['# of Water passed at HH]]/WWWW[[#This Row],['# of Water tested at HH]],"no test")</f>
        <v>no test</v>
      </c>
      <c r="AY75" s="210" t="str">
        <f>IF(AND(WWWW[[#This Row],[%of Water samples which passed at water source]]="no test",WWWW[[#This Row],[%Water samples which passed at HH]]="no test"),"No Test","Tested")</f>
        <v>No Test</v>
      </c>
      <c r="AZ7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7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75" s="211">
        <f>IF(WWWW[[#This Row],[Location Type 1]]="Village",WWWW[[#This Row],[Access to safe drinking water for Village]],WWWW[[#This Row],[Access to safe drinking water for Camp]])</f>
        <v>0</v>
      </c>
      <c r="BC75" s="209">
        <f>WWWW[[#This Row],[%Equitable and continuous access to sufficient quantity of safe drinking water]]*WWWW[[#This Row],[Total PoP ]]</f>
        <v>0</v>
      </c>
      <c r="BD75" s="211">
        <f>IF((WWWW[[#This Row],['# Existing protected/fenced ponds ]]*250)/WWWW[[#This Row],[Total PoP ]]&gt;1,1,WWWW[[#This Row],['# Existing protected/fenced ponds ]]*250/WWWW[[#This Row],[Total PoP ]])</f>
        <v>0</v>
      </c>
      <c r="BE75" s="209">
        <f>WWWW[[#This Row],[Access to unimproved water points]]*WWWW[[#This Row],[Total PoP ]]</f>
        <v>0</v>
      </c>
      <c r="BF7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7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75" s="209">
        <f>WWWW[[#This Row],['#people Equitable and continuous access to sufficient quantity of domestic water borehole n ponds_2]]/500</f>
        <v>0</v>
      </c>
      <c r="BI75" s="208">
        <f>1-WWWW[[#This Row],[%Equitable and continuous access to sufficient quantity of domestic water borehole n ponds]]</f>
        <v>1</v>
      </c>
      <c r="BJ75" s="209">
        <f>WWWW[[#This Row],[%equitable and continuous access to sufficient quantity of safe drinking and domestic water''s GAP]]*WWWW[[#This Row],[Total PoP ]]</f>
        <v>121</v>
      </c>
      <c r="BK75" s="210">
        <f>IF(WWWW[[#This Row],[Total required water points]]-WWWW[[#This Row],['#Water points coverage]]&lt;0,0,WWWW[[#This Row],[Total required water points]]-WWWW[[#This Row],['#Water points coverage]])</f>
        <v>1</v>
      </c>
      <c r="BL75" s="210">
        <f>ROUND(IF(WWWW[[#This Row],[Total PoP ]]&lt;500,1,WWWW[[#This Row],[Total PoP ]]/500),0)</f>
        <v>1</v>
      </c>
      <c r="BM75" s="210">
        <f>WWWW[[#This Row],['# Existing functional latrines]]+WWWW[[#This Row],['# Existing latrines dysfunctional]]</f>
        <v>0</v>
      </c>
      <c r="BN7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75" s="352">
        <f>WWWW[[#This Row],[% people access to functioning Latrine]]*WWWW[[#This Row],[Total PoP ]]</f>
        <v>0</v>
      </c>
      <c r="BP7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0.99173553719008267</v>
      </c>
      <c r="BQ75" s="209">
        <f>IF(WWWW[[#This Row],[Total required Latrines]]-WWWW[[#This Row],[Total '# of latrine]]&lt;0,0,WWWW[[#This Row],[Total required Latrines]]-WWWW[[#This Row],[Total '# of latrine]])</f>
        <v>6</v>
      </c>
      <c r="BR75" s="210">
        <f>ROUND(IF(WWWW[[#This Row],[Location Type 1]]="camp",WWWW[[#This Row],[Total PoP ]]/20,WWWW[[#This Row],[Total PoP ]]/6),0)</f>
        <v>6</v>
      </c>
      <c r="BS75" s="212">
        <f>IF(OR(WWWW[[#This Row],['# Existing latrines dysfunctional]]="",WWWW[[#This Row],['# Existing latrines dysfunctional]]=0),0,WWWW[[#This Row],['# Existing latrines dysfunctional]]/WWWW[[#This Row],[Total '# of latrine]])</f>
        <v>0</v>
      </c>
      <c r="BT7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5" s="209">
        <f>IF(500*WWWW[[#This Row],['# Hygiene Promoters ]]&gt;WWWW[[#This Row],[Total PoP ]],WWWW[[#This Row],[Total PoP ]],500*WWWW[[#This Row],['# Hygiene Promoters ]])</f>
        <v>0</v>
      </c>
      <c r="BV75" s="209">
        <f>IF(WWWW[[#This Row],[% of HH with access to Sanitary Pad]]&gt;=100%,1,0)</f>
        <v>0</v>
      </c>
      <c r="BW75" s="209">
        <f>IF(WWWW[[#This Row],[Total PoP ]]=0,0,IF(WWWW[[#This Row],['# Hygiene Promoters ]]=0,0,IF(WWWW[[#This Row],[Location Type 1]]="Village",IF(WWWW[[#This Row],[Total PoP ]]/WWWW[[#This Row],['# Hygiene Promoters ]]&lt;1000,1,0),IF(WWWW[[#This Row],[Total PoP ]]/WWWW[[#This Row],['# Hygiene Promoters ]]&lt;600,1,0))))</f>
        <v>0</v>
      </c>
      <c r="BX75" s="209">
        <f>IF(WWWW[[#This Row],[%HH with access to soap]]&gt;=100%,1,0)</f>
        <v>0</v>
      </c>
      <c r="BY75" s="209">
        <f>IF(WWWW[[#This Row],[% of HHs with access to Sanitary pad more than '#%]]+WWWW[[#This Row],[Ratio of Hyiene promoters to people less than '#]]+WWWW[[#This Row],[% of HHs with access to soap more than '#%]]&gt;=2,WWWW[[#This Row],[Total PoP ]],0)</f>
        <v>0</v>
      </c>
      <c r="BZ75" s="208">
        <f>WWWW[[#This Row],[People adopt basic personal and community hygiene practices]]/WWWW[[#This Row],[Total PoP ]]</f>
        <v>0</v>
      </c>
      <c r="CA75" s="212">
        <f>1-WWWW[[#This Row],[Hygiene Coverage%]]</f>
        <v>1</v>
      </c>
      <c r="CB75" s="211">
        <f>WWWW[[#This Row],['# people reached by regular dedicated hygiene promotion_5]]/WWWW[[#This Row],[Total PoP ]]</f>
        <v>0</v>
      </c>
      <c r="CC75" s="211">
        <f>IF(WWWW[[#This Row],['# HH received soaps]]/WWWW[[#This Row],[Total HH]]&gt;1,1,WWWW[[#This Row],['# HH received soaps]]/WWWW[[#This Row],[Total HH]])</f>
        <v>0</v>
      </c>
      <c r="CD75" s="211">
        <f>IF(WWWW[[#This Row],['# HH received Sanitary Pads]]/WWWW[[#This Row],[Total HH]]&gt;1,1,WWWW[[#This Row],['# HH received Sanitary Pads]]/WWWW[[#This Row],[Total HH]])</f>
        <v>0</v>
      </c>
      <c r="CE75" s="210">
        <f>WWWW[[#This Row],['# HH received soaps]]*5</f>
        <v>0</v>
      </c>
      <c r="CF75" s="210">
        <f>WWWW[[#This Row],['# HH received Sanitary Pads]]*5</f>
        <v>0</v>
      </c>
      <c r="CG75" s="210">
        <f>IF(WWWW[[#This Row],['# People with access to soap]]&gt;WWWW[[#This Row],['# People with access to Sanity Pads]],WWWW[[#This Row],['# People with access to soap]],WWWW[[#This Row],['# People with access to Sanity Pads]])</f>
        <v>0</v>
      </c>
      <c r="CH75" s="209">
        <f>WWWW[[#This Row],[Total HH]]*WWWW[[#This Row],[%HHs with access to functional hand washing stations]]</f>
        <v>0</v>
      </c>
      <c r="CI75" s="699">
        <f>VLOOKUP(WWWW[[#This Row],[Site Name]],SiteDB6[[Site Name]:[CCCM Management]],6,FALSE)</f>
        <v>0</v>
      </c>
      <c r="CJ75" s="699">
        <f>VLOOKUP(WWWW[[#This Row],[Site Name]],SiteDB6[[Site Name]:[CCCM Focal Agency]],7,FALSE)</f>
        <v>0</v>
      </c>
      <c r="CK75" s="699" t="str">
        <f>VLOOKUP(WWWW[[#This Row],[Site Name]],SiteDB6[[Site Name]:[Location Type]],8,FALSE)</f>
        <v>Camp_not registered</v>
      </c>
      <c r="CL75" s="699" t="str">
        <f>VLOOKUP(WWWW[[#This Row],[Site Name]],SiteDB6[[Site Name]:[Location Type 1]],9,FALSE)</f>
        <v>Camp</v>
      </c>
      <c r="CM75" s="699" t="str">
        <f>VLOOKUP(WWWW[[#This Row],[Site Name]],SiteDB6[[Site Name]:[Type of Accommodation]],10,FALSE)</f>
        <v>Camp like setting</v>
      </c>
      <c r="CN75" s="699" t="s">
        <v>949</v>
      </c>
      <c r="CO75" s="699">
        <f>VLOOKUP(WWWW[[#This Row],[Site Name]],SiteDB6[[Site Name]:[Lat]],12,FALSE)</f>
        <v>0</v>
      </c>
      <c r="CP75" s="699">
        <f>VLOOKUP(WWWW[[#This Row],[Site Name]],SiteDB6[[Site Name]:[Long]],13,FALSE)</f>
        <v>0</v>
      </c>
      <c r="CQ75" s="699">
        <f>VLOOKUP(WWWW[[#This Row],[Site Name]],SiteDB6[[Site Name]:[Pcode]],3,FALSE)</f>
        <v>0</v>
      </c>
      <c r="CR75" s="660" t="str">
        <f t="shared" si="1"/>
        <v>Covered</v>
      </c>
      <c r="CS75" s="660"/>
      <c r="CT75" s="24"/>
      <c r="CU75" s="24"/>
      <c r="CV75" s="24"/>
    </row>
    <row r="76" spans="1:100" ht="15.75" customHeight="1" x14ac:dyDescent="0.25">
      <c r="A76" s="833" t="s">
        <v>3206</v>
      </c>
      <c r="B76" s="206" t="s">
        <v>460</v>
      </c>
      <c r="C76" s="206" t="s">
        <v>44</v>
      </c>
      <c r="D76" s="206" t="s">
        <v>303</v>
      </c>
      <c r="E76" s="206" t="s">
        <v>1201</v>
      </c>
      <c r="F76" s="206">
        <v>14</v>
      </c>
      <c r="G76" s="209">
        <v>63</v>
      </c>
      <c r="H76" s="206"/>
      <c r="I76" s="206"/>
      <c r="J76" s="207"/>
      <c r="K76" s="206"/>
      <c r="L76" s="206" t="s">
        <v>282</v>
      </c>
      <c r="M76" s="208">
        <v>0</v>
      </c>
      <c r="N76" s="208">
        <v>0</v>
      </c>
      <c r="O76" s="316"/>
      <c r="P76" s="317"/>
      <c r="Q76" s="317"/>
      <c r="R76" s="318"/>
      <c r="S76" s="318"/>
      <c r="T76" s="318"/>
      <c r="U76" s="318"/>
      <c r="V76" s="318"/>
      <c r="W76" s="318"/>
      <c r="X76" s="318"/>
      <c r="Y76" s="318"/>
      <c r="Z76" s="318"/>
      <c r="AA76" s="310">
        <v>0</v>
      </c>
      <c r="AB76" s="310"/>
      <c r="AC76" s="66"/>
      <c r="AD76" s="66"/>
      <c r="AE76" s="310"/>
      <c r="AF76" s="310" t="s">
        <v>286</v>
      </c>
      <c r="AG76" s="311" t="s">
        <v>286</v>
      </c>
      <c r="AH76" s="311"/>
      <c r="AI76" s="310"/>
      <c r="AJ76" s="310"/>
      <c r="AK76" s="841"/>
      <c r="AL76" s="842"/>
      <c r="AM76" s="842"/>
      <c r="AN76" s="863"/>
      <c r="AO76" s="863"/>
      <c r="AP76" s="838"/>
      <c r="AQ76" s="843"/>
      <c r="AR76" s="843"/>
      <c r="AS76" s="843"/>
      <c r="AT76" s="843"/>
      <c r="AU76" s="843"/>
      <c r="AV76" s="844"/>
      <c r="AW76" s="208" t="str">
        <f>IFERROR(WWWW[[#This Row],['# of Water passed at source]]/WWWW[[#This Row],['# of Water tested at source]],"no test")</f>
        <v>no test</v>
      </c>
      <c r="AX76" s="211" t="str">
        <f>IFERROR(WWWW[[#This Row],['# of Water passed at HH]]/WWWW[[#This Row],['# of Water tested at HH]],"no test")</f>
        <v>no test</v>
      </c>
      <c r="AY76" s="210" t="str">
        <f>IF(AND(WWWW[[#This Row],[%of Water samples which passed at water source]]="no test",WWWW[[#This Row],[%Water samples which passed at HH]]="no test"),"No Test","Tested")</f>
        <v>No Test</v>
      </c>
      <c r="AZ7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7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76" s="211">
        <f>IF(WWWW[[#This Row],[Location Type 1]]="Village",WWWW[[#This Row],[Access to safe drinking water for Village]],WWWW[[#This Row],[Access to safe drinking water for Camp]])</f>
        <v>0</v>
      </c>
      <c r="BC76" s="209">
        <f>WWWW[[#This Row],[%Equitable and continuous access to sufficient quantity of safe drinking water]]*WWWW[[#This Row],[Total PoP ]]</f>
        <v>0</v>
      </c>
      <c r="BD76" s="211">
        <f>IF((WWWW[[#This Row],['# Existing protected/fenced ponds ]]*250)/WWWW[[#This Row],[Total PoP ]]&gt;1,1,WWWW[[#This Row],['# Existing protected/fenced ponds ]]*250/WWWW[[#This Row],[Total PoP ]])</f>
        <v>0</v>
      </c>
      <c r="BE76" s="209">
        <f>WWWW[[#This Row],[Access to unimproved water points]]*WWWW[[#This Row],[Total PoP ]]</f>
        <v>0</v>
      </c>
      <c r="BF7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7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76" s="209">
        <f>WWWW[[#This Row],['#people Equitable and continuous access to sufficient quantity of domestic water borehole n ponds_2]]/500</f>
        <v>0</v>
      </c>
      <c r="BI76" s="208">
        <f>1-WWWW[[#This Row],[%Equitable and continuous access to sufficient quantity of domestic water borehole n ponds]]</f>
        <v>1</v>
      </c>
      <c r="BJ76" s="209">
        <f>WWWW[[#This Row],[%equitable and continuous access to sufficient quantity of safe drinking and domestic water''s GAP]]*WWWW[[#This Row],[Total PoP ]]</f>
        <v>63</v>
      </c>
      <c r="BK76" s="210">
        <f>IF(WWWW[[#This Row],[Total required water points]]-WWWW[[#This Row],['#Water points coverage]]&lt;0,0,WWWW[[#This Row],[Total required water points]]-WWWW[[#This Row],['#Water points coverage]])</f>
        <v>1</v>
      </c>
      <c r="BL76" s="210">
        <f>ROUND(IF(WWWW[[#This Row],[Total PoP ]]&lt;500,1,WWWW[[#This Row],[Total PoP ]]/500),0)</f>
        <v>1</v>
      </c>
      <c r="BM76" s="210">
        <f>WWWW[[#This Row],['# Existing functional latrines]]+WWWW[[#This Row],['# Existing latrines dysfunctional]]</f>
        <v>0</v>
      </c>
      <c r="BN7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76" s="352">
        <f>WWWW[[#This Row],[% people access to functioning Latrine]]*WWWW[[#This Row],[Total PoP ]]</f>
        <v>0</v>
      </c>
      <c r="BP7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0.95238095238095244</v>
      </c>
      <c r="BQ76" s="209">
        <f>IF(WWWW[[#This Row],[Total required Latrines]]-WWWW[[#This Row],[Total '# of latrine]]&lt;0,0,WWWW[[#This Row],[Total required Latrines]]-WWWW[[#This Row],[Total '# of latrine]])</f>
        <v>3</v>
      </c>
      <c r="BR76" s="210">
        <f>ROUND(IF(WWWW[[#This Row],[Location Type 1]]="camp",WWWW[[#This Row],[Total PoP ]]/20,WWWW[[#This Row],[Total PoP ]]/6),0)</f>
        <v>3</v>
      </c>
      <c r="BS76" s="212">
        <f>IF(OR(WWWW[[#This Row],['# Existing latrines dysfunctional]]="",WWWW[[#This Row],['# Existing latrines dysfunctional]]=0),0,WWWW[[#This Row],['# Existing latrines dysfunctional]]/WWWW[[#This Row],[Total '# of latrine]])</f>
        <v>0</v>
      </c>
      <c r="BT7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6" s="209">
        <f>IF(500*WWWW[[#This Row],['# Hygiene Promoters ]]&gt;WWWW[[#This Row],[Total PoP ]],WWWW[[#This Row],[Total PoP ]],500*WWWW[[#This Row],['# Hygiene Promoters ]])</f>
        <v>0</v>
      </c>
      <c r="BV76" s="209">
        <f>IF(WWWW[[#This Row],[% of HH with access to Sanitary Pad]]&gt;=100%,1,0)</f>
        <v>0</v>
      </c>
      <c r="BW76" s="209">
        <f>IF(WWWW[[#This Row],[Total PoP ]]=0,0,IF(WWWW[[#This Row],['# Hygiene Promoters ]]=0,0,IF(WWWW[[#This Row],[Location Type 1]]="Village",IF(WWWW[[#This Row],[Total PoP ]]/WWWW[[#This Row],['# Hygiene Promoters ]]&lt;1000,1,0),IF(WWWW[[#This Row],[Total PoP ]]/WWWW[[#This Row],['# Hygiene Promoters ]]&lt;600,1,0))))</f>
        <v>0</v>
      </c>
      <c r="BX76" s="209">
        <f>IF(WWWW[[#This Row],[%HH with access to soap]]&gt;=100%,1,0)</f>
        <v>0</v>
      </c>
      <c r="BY76" s="209">
        <f>IF(WWWW[[#This Row],[% of HHs with access to Sanitary pad more than '#%]]+WWWW[[#This Row],[Ratio of Hyiene promoters to people less than '#]]+WWWW[[#This Row],[% of HHs with access to soap more than '#%]]&gt;=2,WWWW[[#This Row],[Total PoP ]],0)</f>
        <v>0</v>
      </c>
      <c r="BZ76" s="208">
        <f>WWWW[[#This Row],[People adopt basic personal and community hygiene practices]]/WWWW[[#This Row],[Total PoP ]]</f>
        <v>0</v>
      </c>
      <c r="CA76" s="212">
        <f>1-WWWW[[#This Row],[Hygiene Coverage%]]</f>
        <v>1</v>
      </c>
      <c r="CB76" s="211">
        <f>WWWW[[#This Row],['# people reached by regular dedicated hygiene promotion_5]]/WWWW[[#This Row],[Total PoP ]]</f>
        <v>0</v>
      </c>
      <c r="CC76" s="211">
        <f>IF(WWWW[[#This Row],['# HH received soaps]]/WWWW[[#This Row],[Total HH]]&gt;1,1,WWWW[[#This Row],['# HH received soaps]]/WWWW[[#This Row],[Total HH]])</f>
        <v>0</v>
      </c>
      <c r="CD76" s="211">
        <f>IF(WWWW[[#This Row],['# HH received Sanitary Pads]]/WWWW[[#This Row],[Total HH]]&gt;1,1,WWWW[[#This Row],['# HH received Sanitary Pads]]/WWWW[[#This Row],[Total HH]])</f>
        <v>0</v>
      </c>
      <c r="CE76" s="210">
        <f>WWWW[[#This Row],['# HH received soaps]]*5</f>
        <v>0</v>
      </c>
      <c r="CF76" s="210">
        <f>WWWW[[#This Row],['# HH received Sanitary Pads]]*5</f>
        <v>0</v>
      </c>
      <c r="CG76" s="210">
        <f>IF(WWWW[[#This Row],['# People with access to soap]]&gt;WWWW[[#This Row],['# People with access to Sanity Pads]],WWWW[[#This Row],['# People with access to soap]],WWWW[[#This Row],['# People with access to Sanity Pads]])</f>
        <v>0</v>
      </c>
      <c r="CH76" s="209">
        <f>WWWW[[#This Row],[Total HH]]*WWWW[[#This Row],[%HHs with access to functional hand washing stations]]</f>
        <v>0</v>
      </c>
      <c r="CI76" s="699">
        <f>VLOOKUP(WWWW[[#This Row],[Site Name]],SiteDB6[[Site Name]:[CCCM Management]],6,FALSE)</f>
        <v>0</v>
      </c>
      <c r="CJ76" s="699" t="str">
        <f>VLOOKUP(WWWW[[#This Row],[Site Name]],SiteDB6[[Site Name]:[CCCM Focal Agency]],7,FALSE)</f>
        <v>uncovered</v>
      </c>
      <c r="CK76" s="699" t="str">
        <f>VLOOKUP(WWWW[[#This Row],[Site Name]],SiteDB6[[Site Name]:[Location Type]],8,FALSE)</f>
        <v>Camp</v>
      </c>
      <c r="CL76" s="699" t="str">
        <f>VLOOKUP(WWWW[[#This Row],[Site Name]],SiteDB6[[Site Name]:[Location Type 1]],9,FALSE)</f>
        <v>Camp</v>
      </c>
      <c r="CM76" s="699" t="str">
        <f>VLOOKUP(WWWW[[#This Row],[Site Name]],SiteDB6[[Site Name]:[Type of Accommodation]],10,FALSE)</f>
        <v>Host Families</v>
      </c>
      <c r="CN76" s="699" t="str">
        <f>VLOOKUP(WWWW[[#This Row],[Site Name]],SiteDB6[[Site Name]:[Ethnic or GCA/NGCA]],11,FALSE)</f>
        <v>GCA</v>
      </c>
      <c r="CO76" s="699">
        <f>VLOOKUP(WWWW[[#This Row],[Site Name]],SiteDB6[[Site Name]:[Lat]],12,FALSE)</f>
        <v>24.764959999999999</v>
      </c>
      <c r="CP76" s="699">
        <f>VLOOKUP(WWWW[[#This Row],[Site Name]],SiteDB6[[Site Name]:[Long]],13,FALSE)</f>
        <v>96.366919999999993</v>
      </c>
      <c r="CQ76" s="699" t="str">
        <f>VLOOKUP(WWWW[[#This Row],[Site Name]],SiteDB6[[Site Name]:[Pcode]],3,FALSE)</f>
        <v>MMR001CMP233</v>
      </c>
      <c r="CR76" s="660" t="str">
        <f t="shared" si="1"/>
        <v>Notcovered</v>
      </c>
      <c r="CS76" s="660"/>
      <c r="CT76" s="24"/>
      <c r="CU76" s="24"/>
      <c r="CV76" s="24"/>
    </row>
    <row r="77" spans="1:100" ht="15.75" customHeight="1" x14ac:dyDescent="0.25">
      <c r="A77" s="878" t="s">
        <v>3206</v>
      </c>
      <c r="B77" s="206" t="s">
        <v>287</v>
      </c>
      <c r="C77" s="206" t="s">
        <v>44</v>
      </c>
      <c r="D77" s="206" t="s">
        <v>303</v>
      </c>
      <c r="E77" s="206" t="s">
        <v>304</v>
      </c>
      <c r="F77" s="206">
        <v>19</v>
      </c>
      <c r="G77" s="209">
        <v>115</v>
      </c>
      <c r="H77" s="206"/>
      <c r="I77" s="206" t="s">
        <v>296</v>
      </c>
      <c r="J77" s="207">
        <v>43465</v>
      </c>
      <c r="K77" s="206">
        <v>0</v>
      </c>
      <c r="L77" s="206" t="s">
        <v>48</v>
      </c>
      <c r="M77" s="208">
        <v>0.6</v>
      </c>
      <c r="N77" s="208">
        <v>0.5</v>
      </c>
      <c r="O77" s="316">
        <v>0</v>
      </c>
      <c r="P77" s="317">
        <v>2</v>
      </c>
      <c r="Q77" s="317">
        <v>0</v>
      </c>
      <c r="R77" s="318">
        <v>0</v>
      </c>
      <c r="S77" s="318">
        <v>0</v>
      </c>
      <c r="T77" s="318"/>
      <c r="U77" s="318">
        <v>0</v>
      </c>
      <c r="V77" s="318">
        <v>0</v>
      </c>
      <c r="W77" s="318">
        <v>0</v>
      </c>
      <c r="X77" s="318">
        <v>0</v>
      </c>
      <c r="Y77" s="318">
        <v>0</v>
      </c>
      <c r="Z77" s="318"/>
      <c r="AA77" s="310">
        <v>5</v>
      </c>
      <c r="AB77" s="310">
        <v>0</v>
      </c>
      <c r="AC77" s="66">
        <v>0</v>
      </c>
      <c r="AD77" s="66"/>
      <c r="AE77" s="310">
        <v>0</v>
      </c>
      <c r="AF77" s="310" t="s">
        <v>283</v>
      </c>
      <c r="AG77" s="311" t="s">
        <v>1358</v>
      </c>
      <c r="AH77" s="311"/>
      <c r="AI77" s="310"/>
      <c r="AJ77" s="310"/>
      <c r="AK77" s="841">
        <v>0.6</v>
      </c>
      <c r="AL77" s="842" t="s">
        <v>376</v>
      </c>
      <c r="AM77" s="842">
        <v>0</v>
      </c>
      <c r="AN77" s="863">
        <v>2</v>
      </c>
      <c r="AO77" s="863">
        <v>1</v>
      </c>
      <c r="AP77" s="838">
        <v>0</v>
      </c>
      <c r="AQ77" s="843">
        <v>0</v>
      </c>
      <c r="AR77" s="843"/>
      <c r="AS77" s="843"/>
      <c r="AT77" s="843"/>
      <c r="AU77" s="843"/>
      <c r="AV77" s="844"/>
      <c r="AW77" s="208" t="str">
        <f>IFERROR(WWWW[[#This Row],['# of Water passed at source]]/WWWW[[#This Row],['# of Water tested at source]],"no test")</f>
        <v>no test</v>
      </c>
      <c r="AX77" s="211" t="str">
        <f>IFERROR(WWWW[[#This Row],['# of Water passed at HH]]/WWWW[[#This Row],['# of Water tested at HH]],"no test")</f>
        <v>no test</v>
      </c>
      <c r="AY77" s="210" t="str">
        <f>IF(AND(WWWW[[#This Row],[%of Water samples which passed at water source]]="no test",WWWW[[#This Row],[%Water samples which passed at HH]]="no test"),"No Test","Tested")</f>
        <v>No Test</v>
      </c>
      <c r="AZ7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7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77" s="211">
        <f>IF(WWWW[[#This Row],[Location Type 1]]="Village",WWWW[[#This Row],[Access to safe drinking water for Village]],WWWW[[#This Row],[Access to safe drinking water for Camp]])</f>
        <v>1</v>
      </c>
      <c r="BC77" s="209">
        <f>WWWW[[#This Row],[%Equitable and continuous access to sufficient quantity of safe drinking water]]*WWWW[[#This Row],[Total PoP ]]</f>
        <v>115</v>
      </c>
      <c r="BD77" s="211">
        <f>IF((WWWW[[#This Row],['# Existing protected/fenced ponds ]]*250)/WWWW[[#This Row],[Total PoP ]]&gt;1,1,WWWW[[#This Row],['# Existing protected/fenced ponds ]]*250/WWWW[[#This Row],[Total PoP ]])</f>
        <v>0</v>
      </c>
      <c r="BE77" s="209">
        <f>WWWW[[#This Row],[Access to unimproved water points]]*WWWW[[#This Row],[Total PoP ]]</f>
        <v>0</v>
      </c>
      <c r="BF7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7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115</v>
      </c>
      <c r="BH77" s="209">
        <f>WWWW[[#This Row],['#people Equitable and continuous access to sufficient quantity of domestic water borehole n ponds_2]]/500</f>
        <v>0.23</v>
      </c>
      <c r="BI77" s="208">
        <f>1-WWWW[[#This Row],[%Equitable and continuous access to sufficient quantity of domestic water borehole n ponds]]</f>
        <v>0</v>
      </c>
      <c r="BJ77" s="209">
        <f>WWWW[[#This Row],[%equitable and continuous access to sufficient quantity of safe drinking and domestic water''s GAP]]*WWWW[[#This Row],[Total PoP ]]</f>
        <v>0</v>
      </c>
      <c r="BK77" s="210">
        <f>IF(WWWW[[#This Row],[Total required water points]]-WWWW[[#This Row],['#Water points coverage]]&lt;0,0,WWWW[[#This Row],[Total required water points]]-WWWW[[#This Row],['#Water points coverage]])</f>
        <v>0.77</v>
      </c>
      <c r="BL77" s="210">
        <f>ROUND(IF(WWWW[[#This Row],[Total PoP ]]&lt;500,1,WWWW[[#This Row],[Total PoP ]]/500),0)</f>
        <v>1</v>
      </c>
      <c r="BM77" s="210">
        <f>WWWW[[#This Row],['# Existing functional latrines]]+WWWW[[#This Row],['# Existing latrines dysfunctional]]</f>
        <v>5</v>
      </c>
      <c r="BN7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0.86956521739130432</v>
      </c>
      <c r="BO77" s="352">
        <f>WWWW[[#This Row],[% people access to functioning Latrine]]*WWWW[[#This Row],[Total PoP ]]</f>
        <v>100</v>
      </c>
      <c r="BP7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0.17391304347826086</v>
      </c>
      <c r="BQ77" s="209">
        <f>IF(WWWW[[#This Row],[Total required Latrines]]-WWWW[[#This Row],[Total '# of latrine]]&lt;0,0,WWWW[[#This Row],[Total required Latrines]]-WWWW[[#This Row],[Total '# of latrine]])</f>
        <v>1</v>
      </c>
      <c r="BR77" s="210">
        <f>ROUND(IF(WWWW[[#This Row],[Location Type 1]]="camp",WWWW[[#This Row],[Total PoP ]]/20,WWWW[[#This Row],[Total PoP ]]/6),0)</f>
        <v>6</v>
      </c>
      <c r="BS77" s="212">
        <f>IF(OR(WWWW[[#This Row],['# Existing latrines dysfunctional]]="",WWWW[[#This Row],['# Existing latrines dysfunctional]]=0),0,WWWW[[#This Row],['# Existing latrines dysfunctional]]/WWWW[[#This Row],[Total '# of latrine]])</f>
        <v>0</v>
      </c>
      <c r="BT7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7" s="209">
        <f>IF(500*WWWW[[#This Row],['# Hygiene Promoters ]]&gt;WWWW[[#This Row],[Total PoP ]],WWWW[[#This Row],[Total PoP ]],500*WWWW[[#This Row],['# Hygiene Promoters ]])</f>
        <v>115</v>
      </c>
      <c r="BV77" s="209">
        <f>IF(WWWW[[#This Row],[% of HH with access to Sanitary Pad]]&gt;=100%,1,0)</f>
        <v>0</v>
      </c>
      <c r="BW77" s="209">
        <f>IF(WWWW[[#This Row],[Total PoP ]]=0,0,IF(WWWW[[#This Row],['# Hygiene Promoters ]]=0,0,IF(WWWW[[#This Row],[Location Type 1]]="Village",IF(WWWW[[#This Row],[Total PoP ]]/WWWW[[#This Row],['# Hygiene Promoters ]]&lt;1000,1,0),IF(WWWW[[#This Row],[Total PoP ]]/WWWW[[#This Row],['# Hygiene Promoters ]]&lt;600,1,0))))</f>
        <v>1</v>
      </c>
      <c r="BX77" s="209">
        <f>IF(WWWW[[#This Row],[%HH with access to soap]]&gt;=100%,1,0)</f>
        <v>0</v>
      </c>
      <c r="BY77" s="209">
        <f>IF(WWWW[[#This Row],[% of HHs with access to Sanitary pad more than '#%]]+WWWW[[#This Row],[Ratio of Hyiene promoters to people less than '#]]+WWWW[[#This Row],[% of HHs with access to soap more than '#%]]&gt;=2,WWWW[[#This Row],[Total PoP ]],0)</f>
        <v>0</v>
      </c>
      <c r="BZ77" s="208">
        <f>WWWW[[#This Row],[People adopt basic personal and community hygiene practices]]/WWWW[[#This Row],[Total PoP ]]</f>
        <v>0</v>
      </c>
      <c r="CA77" s="212">
        <f>1-WWWW[[#This Row],[Hygiene Coverage%]]</f>
        <v>1</v>
      </c>
      <c r="CB77" s="211">
        <f>WWWW[[#This Row],['# people reached by regular dedicated hygiene promotion_5]]/WWWW[[#This Row],[Total PoP ]]</f>
        <v>1</v>
      </c>
      <c r="CC77" s="211">
        <f>IF(WWWW[[#This Row],['# HH received soaps]]/WWWW[[#This Row],[Total HH]]&gt;1,1,WWWW[[#This Row],['# HH received soaps]]/WWWW[[#This Row],[Total HH]])</f>
        <v>0</v>
      </c>
      <c r="CD77" s="211">
        <f>IF(WWWW[[#This Row],['# HH received Sanitary Pads]]/WWWW[[#This Row],[Total HH]]&gt;1,1,WWWW[[#This Row],['# HH received Sanitary Pads]]/WWWW[[#This Row],[Total HH]])</f>
        <v>0</v>
      </c>
      <c r="CE77" s="210">
        <f>WWWW[[#This Row],['# HH received soaps]]*5</f>
        <v>0</v>
      </c>
      <c r="CF77" s="210">
        <f>WWWW[[#This Row],['# HH received Sanitary Pads]]*5</f>
        <v>0</v>
      </c>
      <c r="CG77" s="210">
        <f>IF(WWWW[[#This Row],['# People with access to soap]]&gt;WWWW[[#This Row],['# People with access to Sanity Pads]],WWWW[[#This Row],['# People with access to soap]],WWWW[[#This Row],['# People with access to Sanity Pads]])</f>
        <v>0</v>
      </c>
      <c r="CH77" s="209">
        <f>WWWW[[#This Row],[Total HH]]*WWWW[[#This Row],[%HHs with access to functional hand washing stations]]</f>
        <v>11.4</v>
      </c>
      <c r="CI77" s="699" t="str">
        <f>VLOOKUP(WWWW[[#This Row],[Site Name]],SiteDB6[[Site Name]:[CCCM Management]],6,FALSE)</f>
        <v>Yes</v>
      </c>
      <c r="CJ77" s="699" t="str">
        <f>VLOOKUP(WWWW[[#This Row],[Site Name]],SiteDB6[[Site Name]:[CCCM Focal Agency]],7,FALSE)</f>
        <v>KBC</v>
      </c>
      <c r="CK77" s="699" t="str">
        <f>VLOOKUP(WWWW[[#This Row],[Site Name]],SiteDB6[[Site Name]:[Location Type]],8,FALSE)</f>
        <v>Camp</v>
      </c>
      <c r="CL77" s="699" t="str">
        <f>VLOOKUP(WWWW[[#This Row],[Site Name]],SiteDB6[[Site Name]:[Location Type 1]],9,FALSE)</f>
        <v>Camp</v>
      </c>
      <c r="CM77" s="699" t="str">
        <f>VLOOKUP(WWWW[[#This Row],[Site Name]],SiteDB6[[Site Name]:[Type of Accommodation]],10,FALSE)</f>
        <v>Camp</v>
      </c>
      <c r="CN77" s="699" t="str">
        <f>VLOOKUP(WWWW[[#This Row],[Site Name]],SiteDB6[[Site Name]:[Ethnic or GCA/NGCA]],11,FALSE)</f>
        <v>GCA</v>
      </c>
      <c r="CO77" s="699">
        <f>VLOOKUP(WWWW[[#This Row],[Site Name]],SiteDB6[[Site Name]:[Lat]],12,FALSE)</f>
        <v>24.998349999999999</v>
      </c>
      <c r="CP77" s="699">
        <f>VLOOKUP(WWWW[[#This Row],[Site Name]],SiteDB6[[Site Name]:[Long]],13,FALSE)</f>
        <v>96.364949999999993</v>
      </c>
      <c r="CQ77" s="699" t="str">
        <f>VLOOKUP(WWWW[[#This Row],[Site Name]],SiteDB6[[Site Name]:[Pcode]],3,FALSE)</f>
        <v>MMR001CMP152</v>
      </c>
      <c r="CR77" s="660" t="str">
        <f t="shared" si="1"/>
        <v>Covered</v>
      </c>
      <c r="CS77" s="660"/>
      <c r="CT77" s="24"/>
      <c r="CU77" s="24"/>
      <c r="CV77" s="24"/>
    </row>
    <row r="78" spans="1:100" ht="15.75" customHeight="1" x14ac:dyDescent="0.25">
      <c r="A78" s="833" t="s">
        <v>3206</v>
      </c>
      <c r="B78" s="206" t="s">
        <v>43</v>
      </c>
      <c r="C78" s="206" t="s">
        <v>44</v>
      </c>
      <c r="D78" s="206" t="s">
        <v>303</v>
      </c>
      <c r="E78" s="206" t="s">
        <v>386</v>
      </c>
      <c r="F78" s="206">
        <v>11</v>
      </c>
      <c r="G78" s="209">
        <v>50</v>
      </c>
      <c r="H78" s="206"/>
      <c r="I78" s="206" t="s">
        <v>372</v>
      </c>
      <c r="J78" s="207">
        <v>43465</v>
      </c>
      <c r="K78" s="206">
        <v>0</v>
      </c>
      <c r="L78" s="206" t="s">
        <v>48</v>
      </c>
      <c r="M78" s="208">
        <v>0.3</v>
      </c>
      <c r="N78" s="208">
        <v>0.6</v>
      </c>
      <c r="O78" s="316">
        <v>1</v>
      </c>
      <c r="P78" s="317">
        <v>1</v>
      </c>
      <c r="Q78" s="317">
        <v>3000</v>
      </c>
      <c r="R78" s="318">
        <v>0</v>
      </c>
      <c r="S78" s="318">
        <v>2</v>
      </c>
      <c r="T78" s="318"/>
      <c r="U78" s="318">
        <v>0</v>
      </c>
      <c r="V78" s="318">
        <v>0</v>
      </c>
      <c r="W78" s="318">
        <v>0</v>
      </c>
      <c r="X78" s="318">
        <v>0</v>
      </c>
      <c r="Y78" s="318">
        <v>0</v>
      </c>
      <c r="Z78" s="318"/>
      <c r="AA78" s="310">
        <v>7</v>
      </c>
      <c r="AB78" s="310">
        <v>2</v>
      </c>
      <c r="AC78" s="66">
        <v>0</v>
      </c>
      <c r="AD78" s="66" t="s">
        <v>2789</v>
      </c>
      <c r="AE78" s="310">
        <v>4</v>
      </c>
      <c r="AF78" s="310" t="s">
        <v>283</v>
      </c>
      <c r="AG78" s="311" t="s">
        <v>1358</v>
      </c>
      <c r="AH78" s="311">
        <v>0</v>
      </c>
      <c r="AI78" s="310">
        <v>0</v>
      </c>
      <c r="AJ78" s="310"/>
      <c r="AK78" s="841">
        <v>0</v>
      </c>
      <c r="AL78" s="842" t="s">
        <v>376</v>
      </c>
      <c r="AM78" s="842">
        <v>0</v>
      </c>
      <c r="AN78" s="863">
        <v>2</v>
      </c>
      <c r="AO78" s="863">
        <v>1</v>
      </c>
      <c r="AP78" s="838">
        <v>0</v>
      </c>
      <c r="AQ78" s="843">
        <v>0</v>
      </c>
      <c r="AR78" s="843" t="s">
        <v>282</v>
      </c>
      <c r="AS78" s="843"/>
      <c r="AT78" s="843"/>
      <c r="AU78" s="843"/>
      <c r="AV78" s="844"/>
      <c r="AW78" s="208" t="str">
        <f>IFERROR(WWWW[[#This Row],['# of Water passed at source]]/WWWW[[#This Row],['# of Water tested at source]],"no test")</f>
        <v>no test</v>
      </c>
      <c r="AX78" s="211" t="str">
        <f>IFERROR(WWWW[[#This Row],['# of Water passed at HH]]/WWWW[[#This Row],['# of Water tested at HH]],"no test")</f>
        <v>no test</v>
      </c>
      <c r="AY78" s="210" t="str">
        <f>IF(AND(WWWW[[#This Row],[%of Water samples which passed at water source]]="no test",WWWW[[#This Row],[%Water samples which passed at HH]]="no test"),"No Test","Tested")</f>
        <v>No Test</v>
      </c>
      <c r="AZ7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7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78" s="211">
        <f>IF(WWWW[[#This Row],[Location Type 1]]="Village",WWWW[[#This Row],[Access to safe drinking water for Village]],WWWW[[#This Row],[Access to safe drinking water for Camp]])</f>
        <v>1</v>
      </c>
      <c r="BC78" s="209">
        <f>WWWW[[#This Row],[%Equitable and continuous access to sufficient quantity of safe drinking water]]*WWWW[[#This Row],[Total PoP ]]</f>
        <v>50</v>
      </c>
      <c r="BD78" s="211">
        <f>IF((WWWW[[#This Row],['# Existing protected/fenced ponds ]]*250)/WWWW[[#This Row],[Total PoP ]]&gt;1,1,WWWW[[#This Row],['# Existing protected/fenced ponds ]]*250/WWWW[[#This Row],[Total PoP ]])</f>
        <v>0</v>
      </c>
      <c r="BE78" s="209">
        <f>WWWW[[#This Row],[Access to unimproved water points]]*WWWW[[#This Row],[Total PoP ]]</f>
        <v>0</v>
      </c>
      <c r="BF7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7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v>
      </c>
      <c r="BH78" s="209">
        <f>WWWW[[#This Row],['#people Equitable and continuous access to sufficient quantity of domestic water borehole n ponds_2]]/500</f>
        <v>0.1</v>
      </c>
      <c r="BI78" s="208">
        <f>1-WWWW[[#This Row],[%Equitable and continuous access to sufficient quantity of domestic water borehole n ponds]]</f>
        <v>0</v>
      </c>
      <c r="BJ78" s="209">
        <f>WWWW[[#This Row],[%equitable and continuous access to sufficient quantity of safe drinking and domestic water''s GAP]]*WWWW[[#This Row],[Total PoP ]]</f>
        <v>0</v>
      </c>
      <c r="BK78" s="210">
        <f>IF(WWWW[[#This Row],[Total required water points]]-WWWW[[#This Row],['#Water points coverage]]&lt;0,0,WWWW[[#This Row],[Total required water points]]-WWWW[[#This Row],['#Water points coverage]])</f>
        <v>0.9</v>
      </c>
      <c r="BL78" s="210">
        <f>ROUND(IF(WWWW[[#This Row],[Total PoP ]]&lt;500,1,WWWW[[#This Row],[Total PoP ]]/500),0)</f>
        <v>1</v>
      </c>
      <c r="BM78" s="210">
        <f>WWWW[[#This Row],['# Existing functional latrines]]+WWWW[[#This Row],['# Existing latrines dysfunctional]]</f>
        <v>9</v>
      </c>
      <c r="BN7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78" s="352">
        <f>WWWW[[#This Row],[% people access to functioning Latrine]]*WWWW[[#This Row],[Total PoP ]]</f>
        <v>50</v>
      </c>
      <c r="BP7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78" s="209">
        <f>IF(WWWW[[#This Row],[Total required Latrines]]-WWWW[[#This Row],[Total '# of latrine]]&lt;0,0,WWWW[[#This Row],[Total required Latrines]]-WWWW[[#This Row],[Total '# of latrine]])</f>
        <v>0</v>
      </c>
      <c r="BR78" s="210">
        <f>ROUND(IF(WWWW[[#This Row],[Location Type 1]]="camp",WWWW[[#This Row],[Total PoP ]]/20,WWWW[[#This Row],[Total PoP ]]/6),0)</f>
        <v>3</v>
      </c>
      <c r="BS78" s="212">
        <f>IF(OR(WWWW[[#This Row],['# Existing latrines dysfunctional]]="",WWWW[[#This Row],['# Existing latrines dysfunctional]]=0),0,WWWW[[#This Row],['# Existing latrines dysfunctional]]/WWWW[[#This Row],[Total '# of latrine]])</f>
        <v>0.22222222222222221</v>
      </c>
      <c r="BT7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78" s="209">
        <f>IF(500*WWWW[[#This Row],['# Hygiene Promoters ]]&gt;WWWW[[#This Row],[Total PoP ]],WWWW[[#This Row],[Total PoP ]],500*WWWW[[#This Row],['# Hygiene Promoters ]])</f>
        <v>50</v>
      </c>
      <c r="BV78" s="209">
        <f>IF(WWWW[[#This Row],[% of HH with access to Sanitary Pad]]&gt;=100%,1,0)</f>
        <v>0</v>
      </c>
      <c r="BW78" s="209">
        <f>IF(WWWW[[#This Row],[Total PoP ]]=0,0,IF(WWWW[[#This Row],['# Hygiene Promoters ]]=0,0,IF(WWWW[[#This Row],[Location Type 1]]="Village",IF(WWWW[[#This Row],[Total PoP ]]/WWWW[[#This Row],['# Hygiene Promoters ]]&lt;1000,1,0),IF(WWWW[[#This Row],[Total PoP ]]/WWWW[[#This Row],['# Hygiene Promoters ]]&lt;600,1,0))))</f>
        <v>1</v>
      </c>
      <c r="BX78" s="209">
        <f>IF(WWWW[[#This Row],[%HH with access to soap]]&gt;=100%,1,0)</f>
        <v>0</v>
      </c>
      <c r="BY78" s="209">
        <f>IF(WWWW[[#This Row],[% of HHs with access to Sanitary pad more than '#%]]+WWWW[[#This Row],[Ratio of Hyiene promoters to people less than '#]]+WWWW[[#This Row],[% of HHs with access to soap more than '#%]]&gt;=2,WWWW[[#This Row],[Total PoP ]],0)</f>
        <v>0</v>
      </c>
      <c r="BZ78" s="208">
        <f>WWWW[[#This Row],[People adopt basic personal and community hygiene practices]]/WWWW[[#This Row],[Total PoP ]]</f>
        <v>0</v>
      </c>
      <c r="CA78" s="212">
        <f>1-WWWW[[#This Row],[Hygiene Coverage%]]</f>
        <v>1</v>
      </c>
      <c r="CB78" s="211">
        <f>WWWW[[#This Row],['# people reached by regular dedicated hygiene promotion_5]]/WWWW[[#This Row],[Total PoP ]]</f>
        <v>1</v>
      </c>
      <c r="CC78" s="211">
        <f>IF(WWWW[[#This Row],['# HH received soaps]]/WWWW[[#This Row],[Total HH]]&gt;1,1,WWWW[[#This Row],['# HH received soaps]]/WWWW[[#This Row],[Total HH]])</f>
        <v>0</v>
      </c>
      <c r="CD78" s="211">
        <f>IF(WWWW[[#This Row],['# HH received Sanitary Pads]]/WWWW[[#This Row],[Total HH]]&gt;1,1,WWWW[[#This Row],['# HH received Sanitary Pads]]/WWWW[[#This Row],[Total HH]])</f>
        <v>0</v>
      </c>
      <c r="CE78" s="210">
        <f>WWWW[[#This Row],['# HH received soaps]]*5</f>
        <v>0</v>
      </c>
      <c r="CF78" s="210">
        <f>WWWW[[#This Row],['# HH received Sanitary Pads]]*5</f>
        <v>0</v>
      </c>
      <c r="CG78" s="210">
        <f>IF(WWWW[[#This Row],['# People with access to soap]]&gt;WWWW[[#This Row],['# People with access to Sanity Pads]],WWWW[[#This Row],['# People with access to soap]],WWWW[[#This Row],['# People with access to Sanity Pads]])</f>
        <v>0</v>
      </c>
      <c r="CH78" s="209">
        <f>WWWW[[#This Row],[Total HH]]*WWWW[[#This Row],[%HHs with access to functional hand washing stations]]</f>
        <v>0</v>
      </c>
      <c r="CI78" s="699" t="str">
        <f>VLOOKUP(WWWW[[#This Row],[Site Name]],SiteDB6[[Site Name]:[CCCM Management]],6,FALSE)</f>
        <v>Yes</v>
      </c>
      <c r="CJ78" s="699" t="str">
        <f>VLOOKUP(WWWW[[#This Row],[Site Name]],SiteDB6[[Site Name]:[CCCM Focal Agency]],7,FALSE)</f>
        <v>KMSS-MYT</v>
      </c>
      <c r="CK78" s="699" t="str">
        <f>VLOOKUP(WWWW[[#This Row],[Site Name]],SiteDB6[[Site Name]:[Location Type]],8,FALSE)</f>
        <v>Camp</v>
      </c>
      <c r="CL78" s="699" t="str">
        <f>VLOOKUP(WWWW[[#This Row],[Site Name]],SiteDB6[[Site Name]:[Location Type 1]],9,FALSE)</f>
        <v>Camp</v>
      </c>
      <c r="CM78" s="699" t="str">
        <f>VLOOKUP(WWWW[[#This Row],[Site Name]],SiteDB6[[Site Name]:[Type of Accommodation]],10,FALSE)</f>
        <v>Camp</v>
      </c>
      <c r="CN78" s="699" t="str">
        <f>VLOOKUP(WWWW[[#This Row],[Site Name]],SiteDB6[[Site Name]:[Ethnic or GCA/NGCA]],11,FALSE)</f>
        <v>GCA</v>
      </c>
      <c r="CO78" s="699">
        <f>VLOOKUP(WWWW[[#This Row],[Site Name]],SiteDB6[[Site Name]:[Lat]],12,FALSE)</f>
        <v>24.764800000000001</v>
      </c>
      <c r="CP78" s="699">
        <f>VLOOKUP(WWWW[[#This Row],[Site Name]],SiteDB6[[Site Name]:[Long]],13,FALSE)</f>
        <v>96.367059999999995</v>
      </c>
      <c r="CQ78" s="699" t="str">
        <f>VLOOKUP(WWWW[[#This Row],[Site Name]],SiteDB6[[Site Name]:[Pcode]],3,FALSE)</f>
        <v>MMR001CMP080</v>
      </c>
      <c r="CR78" s="660" t="str">
        <f t="shared" si="1"/>
        <v>Covered</v>
      </c>
      <c r="CS78" s="660"/>
      <c r="CT78" s="24"/>
      <c r="CU78" s="24"/>
      <c r="CV78" s="24"/>
    </row>
    <row r="79" spans="1:100" ht="15.75" customHeight="1" x14ac:dyDescent="0.25">
      <c r="A79" s="833" t="s">
        <v>3206</v>
      </c>
      <c r="B79" s="206" t="s">
        <v>338</v>
      </c>
      <c r="C79" s="206" t="s">
        <v>44</v>
      </c>
      <c r="D79" s="206" t="s">
        <v>351</v>
      </c>
      <c r="E79" s="206" t="s">
        <v>352</v>
      </c>
      <c r="F79" s="206">
        <v>141</v>
      </c>
      <c r="G79" s="209">
        <v>665</v>
      </c>
      <c r="H79" s="206"/>
      <c r="I79" s="206" t="s">
        <v>340</v>
      </c>
      <c r="J79" s="207" t="s">
        <v>2474</v>
      </c>
      <c r="K79" s="206">
        <v>0</v>
      </c>
      <c r="L79" s="206" t="s">
        <v>48</v>
      </c>
      <c r="M79" s="208">
        <v>0.5</v>
      </c>
      <c r="N79" s="208">
        <v>0.5</v>
      </c>
      <c r="O79" s="316">
        <v>3</v>
      </c>
      <c r="P79" s="317">
        <v>2</v>
      </c>
      <c r="Q79" s="317">
        <v>0</v>
      </c>
      <c r="R79" s="318">
        <v>0</v>
      </c>
      <c r="S79" s="318">
        <v>0</v>
      </c>
      <c r="T79" s="318"/>
      <c r="U79" s="318"/>
      <c r="V79" s="318"/>
      <c r="W79" s="318"/>
      <c r="X79" s="318"/>
      <c r="Y79" s="318"/>
      <c r="Z79" s="318"/>
      <c r="AA79" s="310">
        <v>24</v>
      </c>
      <c r="AB79" s="310">
        <v>0</v>
      </c>
      <c r="AC79" s="66">
        <v>4</v>
      </c>
      <c r="AD79" s="66"/>
      <c r="AE79" s="310">
        <v>0</v>
      </c>
      <c r="AF79" s="310" t="s">
        <v>283</v>
      </c>
      <c r="AG79" s="311" t="s">
        <v>283</v>
      </c>
      <c r="AH79" s="311"/>
      <c r="AI79" s="310"/>
      <c r="AJ79" s="310"/>
      <c r="AK79" s="841">
        <v>1</v>
      </c>
      <c r="AL79" s="842" t="s">
        <v>291</v>
      </c>
      <c r="AM79" s="842">
        <v>0</v>
      </c>
      <c r="AN79" s="863">
        <v>3</v>
      </c>
      <c r="AO79" s="863">
        <v>2</v>
      </c>
      <c r="AP79" s="838">
        <v>141</v>
      </c>
      <c r="AQ79" s="843">
        <v>141</v>
      </c>
      <c r="AR79" s="843"/>
      <c r="AS79" s="843"/>
      <c r="AT79" s="843"/>
      <c r="AU79" s="843"/>
      <c r="AV79" s="844"/>
      <c r="AW79" s="208" t="str">
        <f>IFERROR(WWWW[[#This Row],['# of Water passed at source]]/WWWW[[#This Row],['# of Water tested at source]],"no test")</f>
        <v>no test</v>
      </c>
      <c r="AX79" s="211" t="str">
        <f>IFERROR(WWWW[[#This Row],['# of Water passed at HH]]/WWWW[[#This Row],['# of Water tested at HH]],"no test")</f>
        <v>no test</v>
      </c>
      <c r="AY79" s="210" t="str">
        <f>IF(AND(WWWW[[#This Row],[%of Water samples which passed at water source]]="no test",WWWW[[#This Row],[%Water samples which passed at HH]]="no test"),"No Test","Tested")</f>
        <v>No Test</v>
      </c>
      <c r="AZ7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7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79" s="211">
        <f>IF(WWWW[[#This Row],[Location Type 1]]="Village",WWWW[[#This Row],[Access to safe drinking water for Village]],WWWW[[#This Row],[Access to safe drinking water for Camp]])</f>
        <v>1</v>
      </c>
      <c r="BC79" s="209">
        <f>WWWW[[#This Row],[%Equitable and continuous access to sufficient quantity of safe drinking water]]*WWWW[[#This Row],[Total PoP ]]</f>
        <v>665</v>
      </c>
      <c r="BD79" s="211">
        <f>IF((WWWW[[#This Row],['# Existing protected/fenced ponds ]]*250)/WWWW[[#This Row],[Total PoP ]]&gt;1,1,WWWW[[#This Row],['# Existing protected/fenced ponds ]]*250/WWWW[[#This Row],[Total PoP ]])</f>
        <v>0</v>
      </c>
      <c r="BE79" s="209">
        <f>WWWW[[#This Row],[Access to unimproved water points]]*WWWW[[#This Row],[Total PoP ]]</f>
        <v>0</v>
      </c>
      <c r="BF7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7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665</v>
      </c>
      <c r="BH79" s="209">
        <f>WWWW[[#This Row],['#people Equitable and continuous access to sufficient quantity of domestic water borehole n ponds_2]]/500</f>
        <v>1.33</v>
      </c>
      <c r="BI79" s="208">
        <f>1-WWWW[[#This Row],[%Equitable and continuous access to sufficient quantity of domestic water borehole n ponds]]</f>
        <v>0</v>
      </c>
      <c r="BJ79" s="209">
        <f>WWWW[[#This Row],[%equitable and continuous access to sufficient quantity of safe drinking and domestic water''s GAP]]*WWWW[[#This Row],[Total PoP ]]</f>
        <v>0</v>
      </c>
      <c r="BK79" s="210">
        <f>IF(WWWW[[#This Row],[Total required water points]]-WWWW[[#This Row],['#Water points coverage]]&lt;0,0,WWWW[[#This Row],[Total required water points]]-WWWW[[#This Row],['#Water points coverage]])</f>
        <v>0</v>
      </c>
      <c r="BL79" s="210">
        <f>ROUND(IF(WWWW[[#This Row],[Total PoP ]]&lt;500,1,WWWW[[#This Row],[Total PoP ]]/500),0)</f>
        <v>1</v>
      </c>
      <c r="BM79" s="210">
        <f>WWWW[[#This Row],['# Existing functional latrines]]+WWWW[[#This Row],['# Existing latrines dysfunctional]]</f>
        <v>24</v>
      </c>
      <c r="BN7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0.72180451127819545</v>
      </c>
      <c r="BO79" s="352">
        <f>WWWW[[#This Row],[% people access to functioning Latrine]]*WWWW[[#This Row],[Total PoP ]]</f>
        <v>480</v>
      </c>
      <c r="BP7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0.27067669172932329</v>
      </c>
      <c r="BQ79" s="209">
        <f>IF(WWWW[[#This Row],[Total required Latrines]]-WWWW[[#This Row],[Total '# of latrine]]&lt;0,0,WWWW[[#This Row],[Total required Latrines]]-WWWW[[#This Row],[Total '# of latrine]])</f>
        <v>9</v>
      </c>
      <c r="BR79" s="210">
        <f>ROUND(IF(WWWW[[#This Row],[Location Type 1]]="camp",WWWW[[#This Row],[Total PoP ]]/20,WWWW[[#This Row],[Total PoP ]]/6),0)</f>
        <v>33</v>
      </c>
      <c r="BS79" s="212">
        <f>IF(OR(WWWW[[#This Row],['# Existing latrines dysfunctional]]="",WWWW[[#This Row],['# Existing latrines dysfunctional]]=0),0,WWWW[[#This Row],['# Existing latrines dysfunctional]]/WWWW[[#This Row],[Total '# of latrine]])</f>
        <v>0</v>
      </c>
      <c r="BT7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U79" s="209">
        <f>IF(500*WWWW[[#This Row],['# Hygiene Promoters ]]&gt;WWWW[[#This Row],[Total PoP ]],WWWW[[#This Row],[Total PoP ]],500*WWWW[[#This Row],['# Hygiene Promoters ]])</f>
        <v>665</v>
      </c>
      <c r="BV79" s="209">
        <f>IF(WWWW[[#This Row],[% of HH with access to Sanitary Pad]]&gt;=100%,1,0)</f>
        <v>1</v>
      </c>
      <c r="BW79" s="209">
        <f>IF(WWWW[[#This Row],[Total PoP ]]=0,0,IF(WWWW[[#This Row],['# Hygiene Promoters ]]=0,0,IF(WWWW[[#This Row],[Location Type 1]]="Village",IF(WWWW[[#This Row],[Total PoP ]]/WWWW[[#This Row],['# Hygiene Promoters ]]&lt;1000,1,0),IF(WWWW[[#This Row],[Total PoP ]]/WWWW[[#This Row],['# Hygiene Promoters ]]&lt;600,1,0))))</f>
        <v>1</v>
      </c>
      <c r="BX79" s="209">
        <f>IF(WWWW[[#This Row],[%HH with access to soap]]&gt;=100%,1,0)</f>
        <v>1</v>
      </c>
      <c r="BY79" s="209">
        <f>IF(WWWW[[#This Row],[% of HHs with access to Sanitary pad more than '#%]]+WWWW[[#This Row],[Ratio of Hyiene promoters to people less than '#]]+WWWW[[#This Row],[% of HHs with access to soap more than '#%]]&gt;=2,WWWW[[#This Row],[Total PoP ]],0)</f>
        <v>665</v>
      </c>
      <c r="BZ79" s="208">
        <f>WWWW[[#This Row],[People adopt basic personal and community hygiene practices]]/WWWW[[#This Row],[Total PoP ]]</f>
        <v>1</v>
      </c>
      <c r="CA79" s="212">
        <f>1-WWWW[[#This Row],[Hygiene Coverage%]]</f>
        <v>0</v>
      </c>
      <c r="CB79" s="211">
        <f>WWWW[[#This Row],['# people reached by regular dedicated hygiene promotion_5]]/WWWW[[#This Row],[Total PoP ]]</f>
        <v>1</v>
      </c>
      <c r="CC79" s="211">
        <f>IF(WWWW[[#This Row],['# HH received soaps]]/WWWW[[#This Row],[Total HH]]&gt;1,1,WWWW[[#This Row],['# HH received soaps]]/WWWW[[#This Row],[Total HH]])</f>
        <v>1</v>
      </c>
      <c r="CD79" s="211">
        <f>IF(WWWW[[#This Row],['# HH received Sanitary Pads]]/WWWW[[#This Row],[Total HH]]&gt;1,1,WWWW[[#This Row],['# HH received Sanitary Pads]]/WWWW[[#This Row],[Total HH]])</f>
        <v>1</v>
      </c>
      <c r="CE79" s="210">
        <f>WWWW[[#This Row],['# HH received soaps]]*5</f>
        <v>705</v>
      </c>
      <c r="CF79" s="210">
        <f>WWWW[[#This Row],['# HH received Sanitary Pads]]*5</f>
        <v>705</v>
      </c>
      <c r="CG79" s="210">
        <f>IF(WWWW[[#This Row],['# People with access to soap]]&gt;WWWW[[#This Row],['# People with access to Sanity Pads]],WWWW[[#This Row],['# People with access to soap]],WWWW[[#This Row],['# People with access to Sanity Pads]])</f>
        <v>705</v>
      </c>
      <c r="CH79" s="209">
        <f>WWWW[[#This Row],[Total HH]]*WWWW[[#This Row],[%HHs with access to functional hand washing stations]]</f>
        <v>141</v>
      </c>
      <c r="CI79" s="699">
        <f>VLOOKUP(WWWW[[#This Row],[Site Name]],SiteDB6[[Site Name]:[CCCM Management]],6,FALSE)</f>
        <v>0</v>
      </c>
      <c r="CJ79" s="699">
        <f>VLOOKUP(WWWW[[#This Row],[Site Name]],SiteDB6[[Site Name]:[CCCM Focal Agency]],7,FALSE)</f>
        <v>0</v>
      </c>
      <c r="CK79" s="699" t="str">
        <f>VLOOKUP(WWWW[[#This Row],[Site Name]],SiteDB6[[Site Name]:[Location Type]],8,FALSE)</f>
        <v>Camp_not registered</v>
      </c>
      <c r="CL79" s="699" t="str">
        <f>VLOOKUP(WWWW[[#This Row],[Site Name]],SiteDB6[[Site Name]:[Location Type 1]],9,FALSE)</f>
        <v>Camp</v>
      </c>
      <c r="CM79" s="699" t="str">
        <f>VLOOKUP(WWWW[[#This Row],[Site Name]],SiteDB6[[Site Name]:[Type of Accommodation]],10,FALSE)</f>
        <v>Camp</v>
      </c>
      <c r="CN79" s="699" t="str">
        <f>VLOOKUP(WWWW[[#This Row],[Site Name]],SiteDB6[[Site Name]:[Ethnic or GCA/NGCA]],11,FALSE)</f>
        <v>GCA</v>
      </c>
      <c r="CO79" s="699">
        <f>VLOOKUP(WWWW[[#This Row],[Site Name]],SiteDB6[[Site Name]:[Lat]],12,FALSE)</f>
        <v>0</v>
      </c>
      <c r="CP79" s="699">
        <f>VLOOKUP(WWWW[[#This Row],[Site Name]],SiteDB6[[Site Name]:[Long]],13,FALSE)</f>
        <v>0</v>
      </c>
      <c r="CQ79" s="699">
        <f>VLOOKUP(WWWW[[#This Row],[Site Name]],SiteDB6[[Site Name]:[Pcode]],3,FALSE)</f>
        <v>0</v>
      </c>
      <c r="CR79" s="660" t="str">
        <f t="shared" si="1"/>
        <v>Covered</v>
      </c>
      <c r="CS79" s="660"/>
      <c r="CT79" s="24"/>
      <c r="CU79" s="24"/>
      <c r="CV79" s="24"/>
    </row>
    <row r="80" spans="1:100" ht="15.75" customHeight="1" x14ac:dyDescent="0.25">
      <c r="A80" s="833" t="s">
        <v>3206</v>
      </c>
      <c r="B80" s="206" t="s">
        <v>43</v>
      </c>
      <c r="C80" s="206" t="s">
        <v>44</v>
      </c>
      <c r="D80" s="206" t="s">
        <v>351</v>
      </c>
      <c r="E80" s="206" t="s">
        <v>379</v>
      </c>
      <c r="F80" s="206">
        <v>98</v>
      </c>
      <c r="G80" s="209">
        <v>446</v>
      </c>
      <c r="H80" s="206"/>
      <c r="I80" s="206" t="s">
        <v>372</v>
      </c>
      <c r="J80" s="207">
        <v>43465</v>
      </c>
      <c r="K80" s="206">
        <v>0</v>
      </c>
      <c r="L80" s="206" t="s">
        <v>2452</v>
      </c>
      <c r="M80" s="208">
        <v>0.5</v>
      </c>
      <c r="N80" s="208">
        <v>0.3</v>
      </c>
      <c r="O80" s="316">
        <v>0</v>
      </c>
      <c r="P80" s="317">
        <v>0</v>
      </c>
      <c r="Q80" s="317">
        <v>10000</v>
      </c>
      <c r="R80" s="318">
        <v>0</v>
      </c>
      <c r="S80" s="318">
        <v>8</v>
      </c>
      <c r="T80" s="318">
        <v>2</v>
      </c>
      <c r="U80" s="318">
        <v>0</v>
      </c>
      <c r="V80" s="318">
        <v>0</v>
      </c>
      <c r="W80" s="318">
        <v>0</v>
      </c>
      <c r="X80" s="318">
        <v>0</v>
      </c>
      <c r="Y80" s="318">
        <v>0</v>
      </c>
      <c r="Z80" s="318"/>
      <c r="AA80" s="310">
        <v>93</v>
      </c>
      <c r="AB80" s="310">
        <v>0</v>
      </c>
      <c r="AC80" s="66">
        <v>0</v>
      </c>
      <c r="AD80" s="66"/>
      <c r="AE80" s="310">
        <v>0</v>
      </c>
      <c r="AF80" s="310" t="s">
        <v>283</v>
      </c>
      <c r="AG80" s="311" t="s">
        <v>1358</v>
      </c>
      <c r="AH80" s="311">
        <v>0</v>
      </c>
      <c r="AI80" s="310">
        <v>0</v>
      </c>
      <c r="AJ80" s="310"/>
      <c r="AK80" s="841">
        <v>0</v>
      </c>
      <c r="AL80" s="842" t="s">
        <v>376</v>
      </c>
      <c r="AM80" s="842">
        <v>0</v>
      </c>
      <c r="AN80" s="863">
        <v>2</v>
      </c>
      <c r="AO80" s="863">
        <v>2</v>
      </c>
      <c r="AP80" s="838">
        <v>0</v>
      </c>
      <c r="AQ80" s="843">
        <v>0</v>
      </c>
      <c r="AR80" s="843" t="s">
        <v>282</v>
      </c>
      <c r="AS80" s="843"/>
      <c r="AT80" s="843"/>
      <c r="AU80" s="843"/>
      <c r="AV80" s="844"/>
      <c r="AW80" s="208" t="str">
        <f>IFERROR(WWWW[[#This Row],['# of Water passed at source]]/WWWW[[#This Row],['# of Water tested at source]],"no test")</f>
        <v>no test</v>
      </c>
      <c r="AX80" s="211" t="str">
        <f>IFERROR(WWWW[[#This Row],['# of Water passed at HH]]/WWWW[[#This Row],['# of Water tested at HH]],"no test")</f>
        <v>no test</v>
      </c>
      <c r="AY80" s="210" t="str">
        <f>IF(AND(WWWW[[#This Row],[%of Water samples which passed at water source]]="no test",WWWW[[#This Row],[%Water samples which passed at HH]]="no test"),"No Test","Tested")</f>
        <v>No Test</v>
      </c>
      <c r="AZ8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80" s="211">
        <f>IF(WWWW[[#This Row],[Location Type 1]]="Village",WWWW[[#This Row],[Access to safe drinking water for Village]],WWWW[[#This Row],[Access to safe drinking water for Camp]])</f>
        <v>1</v>
      </c>
      <c r="BC80" s="209">
        <f>WWWW[[#This Row],[%Equitable and continuous access to sufficient quantity of safe drinking water]]*WWWW[[#This Row],[Total PoP ]]</f>
        <v>446</v>
      </c>
      <c r="BD80" s="211">
        <f>IF((WWWW[[#This Row],['# Existing protected/fenced ponds ]]*250)/WWWW[[#This Row],[Total PoP ]]&gt;1,1,WWWW[[#This Row],['# Existing protected/fenced ponds ]]*250/WWWW[[#This Row],[Total PoP ]])</f>
        <v>0</v>
      </c>
      <c r="BE80" s="209">
        <f>WWWW[[#This Row],[Access to unimproved water points]]*WWWW[[#This Row],[Total PoP ]]</f>
        <v>0</v>
      </c>
      <c r="BF8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446</v>
      </c>
      <c r="BH80" s="209">
        <f>WWWW[[#This Row],['#people Equitable and continuous access to sufficient quantity of domestic water borehole n ponds_2]]/500</f>
        <v>0.89200000000000002</v>
      </c>
      <c r="BI80" s="208">
        <f>1-WWWW[[#This Row],[%Equitable and continuous access to sufficient quantity of domestic water borehole n ponds]]</f>
        <v>0</v>
      </c>
      <c r="BJ80" s="209">
        <f>WWWW[[#This Row],[%equitable and continuous access to sufficient quantity of safe drinking and domestic water''s GAP]]*WWWW[[#This Row],[Total PoP ]]</f>
        <v>0</v>
      </c>
      <c r="BK80" s="210">
        <f>IF(WWWW[[#This Row],[Total required water points]]-WWWW[[#This Row],['#Water points coverage]]&lt;0,0,WWWW[[#This Row],[Total required water points]]-WWWW[[#This Row],['#Water points coverage]])</f>
        <v>0.10799999999999998</v>
      </c>
      <c r="BL80" s="210">
        <f>ROUND(IF(WWWW[[#This Row],[Total PoP ]]&lt;500,1,WWWW[[#This Row],[Total PoP ]]/500),0)</f>
        <v>1</v>
      </c>
      <c r="BM80" s="210">
        <f>WWWW[[#This Row],['# Existing functional latrines]]+WWWW[[#This Row],['# Existing latrines dysfunctional]]</f>
        <v>93</v>
      </c>
      <c r="BN8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80" s="352">
        <f>WWWW[[#This Row],[% people access to functioning Latrine]]*WWWW[[#This Row],[Total PoP ]]</f>
        <v>446</v>
      </c>
      <c r="BP8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80" s="209">
        <f>IF(WWWW[[#This Row],[Total required Latrines]]-WWWW[[#This Row],[Total '# of latrine]]&lt;0,0,WWWW[[#This Row],[Total required Latrines]]-WWWW[[#This Row],[Total '# of latrine]])</f>
        <v>0</v>
      </c>
      <c r="BR80" s="210">
        <f>ROUND(IF(WWWW[[#This Row],[Location Type 1]]="camp",WWWW[[#This Row],[Total PoP ]]/20,WWWW[[#This Row],[Total PoP ]]/6),0)</f>
        <v>22</v>
      </c>
      <c r="BS80" s="212">
        <f>IF(OR(WWWW[[#This Row],['# Existing latrines dysfunctional]]="",WWWW[[#This Row],['# Existing latrines dysfunctional]]=0),0,WWWW[[#This Row],['# Existing latrines dysfunctional]]/WWWW[[#This Row],[Total '# of latrine]])</f>
        <v>0</v>
      </c>
      <c r="BT8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80" s="209">
        <f>IF(500*WWWW[[#This Row],['# Hygiene Promoters ]]&gt;WWWW[[#This Row],[Total PoP ]],WWWW[[#This Row],[Total PoP ]],500*WWWW[[#This Row],['# Hygiene Promoters ]])</f>
        <v>446</v>
      </c>
      <c r="BV80" s="209">
        <f>IF(WWWW[[#This Row],[% of HH with access to Sanitary Pad]]&gt;=100%,1,0)</f>
        <v>0</v>
      </c>
      <c r="BW80" s="209">
        <f>IF(WWWW[[#This Row],[Total PoP ]]=0,0,IF(WWWW[[#This Row],['# Hygiene Promoters ]]=0,0,IF(WWWW[[#This Row],[Location Type 1]]="Village",IF(WWWW[[#This Row],[Total PoP ]]/WWWW[[#This Row],['# Hygiene Promoters ]]&lt;1000,1,0),IF(WWWW[[#This Row],[Total PoP ]]/WWWW[[#This Row],['# Hygiene Promoters ]]&lt;600,1,0))))</f>
        <v>1</v>
      </c>
      <c r="BX80" s="209">
        <f>IF(WWWW[[#This Row],[%HH with access to soap]]&gt;=100%,1,0)</f>
        <v>0</v>
      </c>
      <c r="BY80" s="209">
        <f>IF(WWWW[[#This Row],[% of HHs with access to Sanitary pad more than '#%]]+WWWW[[#This Row],[Ratio of Hyiene promoters to people less than '#]]+WWWW[[#This Row],[% of HHs with access to soap more than '#%]]&gt;=2,WWWW[[#This Row],[Total PoP ]],0)</f>
        <v>0</v>
      </c>
      <c r="BZ80" s="208">
        <f>WWWW[[#This Row],[People adopt basic personal and community hygiene practices]]/WWWW[[#This Row],[Total PoP ]]</f>
        <v>0</v>
      </c>
      <c r="CA80" s="212">
        <f>1-WWWW[[#This Row],[Hygiene Coverage%]]</f>
        <v>1</v>
      </c>
      <c r="CB80" s="211">
        <f>WWWW[[#This Row],['# people reached by regular dedicated hygiene promotion_5]]/WWWW[[#This Row],[Total PoP ]]</f>
        <v>1</v>
      </c>
      <c r="CC80" s="211">
        <f>IF(WWWW[[#This Row],['# HH received soaps]]/WWWW[[#This Row],[Total HH]]&gt;1,1,WWWW[[#This Row],['# HH received soaps]]/WWWW[[#This Row],[Total HH]])</f>
        <v>0</v>
      </c>
      <c r="CD80" s="211">
        <f>IF(WWWW[[#This Row],['# HH received Sanitary Pads]]/WWWW[[#This Row],[Total HH]]&gt;1,1,WWWW[[#This Row],['# HH received Sanitary Pads]]/WWWW[[#This Row],[Total HH]])</f>
        <v>0</v>
      </c>
      <c r="CE80" s="210">
        <f>WWWW[[#This Row],['# HH received soaps]]*5</f>
        <v>0</v>
      </c>
      <c r="CF80" s="210">
        <f>WWWW[[#This Row],['# HH received Sanitary Pads]]*5</f>
        <v>0</v>
      </c>
      <c r="CG80" s="210">
        <f>IF(WWWW[[#This Row],['# People with access to soap]]&gt;WWWW[[#This Row],['# People with access to Sanity Pads]],WWWW[[#This Row],['# People with access to soap]],WWWW[[#This Row],['# People with access to Sanity Pads]])</f>
        <v>0</v>
      </c>
      <c r="CH80" s="209">
        <f>WWWW[[#This Row],[Total HH]]*WWWW[[#This Row],[%HHs with access to functional hand washing stations]]</f>
        <v>0</v>
      </c>
      <c r="CI80" s="699" t="str">
        <f>VLOOKUP(WWWW[[#This Row],[Site Name]],SiteDB6[[Site Name]:[CCCM Management]],6,FALSE)</f>
        <v>Yes</v>
      </c>
      <c r="CJ80" s="699" t="str">
        <f>VLOOKUP(WWWW[[#This Row],[Site Name]],SiteDB6[[Site Name]:[CCCM Focal Agency]],7,FALSE)</f>
        <v>KMSS-MYT</v>
      </c>
      <c r="CK80" s="699" t="str">
        <f>VLOOKUP(WWWW[[#This Row],[Site Name]],SiteDB6[[Site Name]:[Location Type]],8,FALSE)</f>
        <v>Camp</v>
      </c>
      <c r="CL80" s="699" t="str">
        <f>VLOOKUP(WWWW[[#This Row],[Site Name]],SiteDB6[[Site Name]:[Location Type 1]],9,FALSE)</f>
        <v>Camp</v>
      </c>
      <c r="CM80" s="699" t="str">
        <f>VLOOKUP(WWWW[[#This Row],[Site Name]],SiteDB6[[Site Name]:[Type of Accommodation]],10,FALSE)</f>
        <v>Camp</v>
      </c>
      <c r="CN80" s="699" t="str">
        <f>VLOOKUP(WWWW[[#This Row],[Site Name]],SiteDB6[[Site Name]:[Ethnic or GCA/NGCA]],11,FALSE)</f>
        <v>NGCA</v>
      </c>
      <c r="CO80" s="699">
        <f>VLOOKUP(WWWW[[#This Row],[Site Name]],SiteDB6[[Site Name]:[Lat]],12,FALSE)</f>
        <v>24.461033</v>
      </c>
      <c r="CP80" s="699">
        <f>VLOOKUP(WWWW[[#This Row],[Site Name]],SiteDB6[[Site Name]:[Long]],13,FALSE)</f>
        <v>97.537099999999995</v>
      </c>
      <c r="CQ80" s="699" t="str">
        <f>VLOOKUP(WWWW[[#This Row],[Site Name]],SiteDB6[[Site Name]:[Pcode]],3,FALSE)</f>
        <v>MMR001CMP123</v>
      </c>
      <c r="CR80" s="660" t="str">
        <f t="shared" si="1"/>
        <v>Covered</v>
      </c>
      <c r="CS80" s="660"/>
      <c r="CT80" s="24"/>
      <c r="CU80" s="24"/>
      <c r="CV80" s="24"/>
    </row>
    <row r="81" spans="1:100" ht="15.75" customHeight="1" x14ac:dyDescent="0.25">
      <c r="A81" s="833" t="s">
        <v>3206</v>
      </c>
      <c r="B81" s="206" t="s">
        <v>338</v>
      </c>
      <c r="C81" s="206" t="s">
        <v>44</v>
      </c>
      <c r="D81" s="206" t="s">
        <v>351</v>
      </c>
      <c r="E81" s="206" t="s">
        <v>363</v>
      </c>
      <c r="F81" s="206">
        <v>664</v>
      </c>
      <c r="G81" s="209">
        <v>3294</v>
      </c>
      <c r="H81" s="206">
        <v>742</v>
      </c>
      <c r="I81" s="206" t="s">
        <v>3210</v>
      </c>
      <c r="J81" s="207">
        <v>43437</v>
      </c>
      <c r="K81" s="206">
        <v>0</v>
      </c>
      <c r="L81" s="206" t="s">
        <v>48</v>
      </c>
      <c r="M81" s="208">
        <v>0.4</v>
      </c>
      <c r="N81" s="208">
        <v>0.4</v>
      </c>
      <c r="O81" s="316">
        <v>3</v>
      </c>
      <c r="P81" s="317">
        <v>0</v>
      </c>
      <c r="Q81" s="317">
        <v>98820</v>
      </c>
      <c r="R81" s="318">
        <v>0</v>
      </c>
      <c r="S81" s="318">
        <v>0</v>
      </c>
      <c r="T81" s="318">
        <v>4</v>
      </c>
      <c r="U81" s="318">
        <v>1</v>
      </c>
      <c r="V81" s="318"/>
      <c r="W81" s="318"/>
      <c r="X81" s="318"/>
      <c r="Y81" s="318">
        <v>5</v>
      </c>
      <c r="Z81" s="318">
        <v>0</v>
      </c>
      <c r="AA81" s="310">
        <v>234</v>
      </c>
      <c r="AB81" s="310">
        <v>40</v>
      </c>
      <c r="AC81" s="66">
        <v>56</v>
      </c>
      <c r="AD81" s="66" t="s">
        <v>2789</v>
      </c>
      <c r="AE81" s="310">
        <v>234</v>
      </c>
      <c r="AF81" s="310" t="s">
        <v>283</v>
      </c>
      <c r="AG81" s="311" t="s">
        <v>283</v>
      </c>
      <c r="AH81" s="311">
        <v>2</v>
      </c>
      <c r="AI81" s="310">
        <v>10</v>
      </c>
      <c r="AJ81" s="310">
        <v>0</v>
      </c>
      <c r="AK81" s="841">
        <v>0.99</v>
      </c>
      <c r="AL81" s="842" t="s">
        <v>376</v>
      </c>
      <c r="AM81" s="842">
        <v>0</v>
      </c>
      <c r="AN81" s="863">
        <v>21</v>
      </c>
      <c r="AO81" s="863">
        <v>4</v>
      </c>
      <c r="AP81" s="838">
        <v>664</v>
      </c>
      <c r="AQ81" s="843">
        <v>339</v>
      </c>
      <c r="AR81" s="843" t="s">
        <v>282</v>
      </c>
      <c r="AS81" s="843"/>
      <c r="AT81" s="843"/>
      <c r="AU81" s="843"/>
      <c r="AV81" s="844">
        <v>0</v>
      </c>
      <c r="AW81" s="208">
        <f>IFERROR(WWWW[[#This Row],['# of Water passed at source]]/WWWW[[#This Row],['# of Water tested at source]],"no test")</f>
        <v>0</v>
      </c>
      <c r="AX81" s="211" t="str">
        <f>IFERROR(WWWW[[#This Row],['# of Water passed at HH]]/WWWW[[#This Row],['# of Water tested at HH]],"no test")</f>
        <v>no test</v>
      </c>
      <c r="AY81" s="210" t="str">
        <f>IF(AND(WWWW[[#This Row],[%of Water samples which passed at water source]]="no test",WWWW[[#This Row],[%Water samples which passed at HH]]="no test"),"No Test","Tested")</f>
        <v>Tested</v>
      </c>
      <c r="AZ8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81" s="211">
        <f>IF(WWWW[[#This Row],[Location Type 1]]="Village",WWWW[[#This Row],[Access to safe drinking water for Village]],WWWW[[#This Row],[Access to safe drinking water for Camp]])</f>
        <v>1</v>
      </c>
      <c r="BC81" s="209">
        <f>WWWW[[#This Row],[%Equitable and continuous access to sufficient quantity of safe drinking water]]*WWWW[[#This Row],[Total PoP ]]</f>
        <v>3294</v>
      </c>
      <c r="BD81" s="211">
        <f>IF((WWWW[[#This Row],['# Existing protected/fenced ponds ]]*250)/WWWW[[#This Row],[Total PoP ]]&gt;1,1,WWWW[[#This Row],['# Existing protected/fenced ponds ]]*250/WWWW[[#This Row],[Total PoP ]])</f>
        <v>0</v>
      </c>
      <c r="BE81" s="209">
        <f>WWWW[[#This Row],[Access to unimproved water points]]*WWWW[[#This Row],[Total PoP ]]</f>
        <v>0</v>
      </c>
      <c r="BF8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3294</v>
      </c>
      <c r="BH81" s="209">
        <f>ROUND(WWWW[[#This Row],['#people Equitable and continuous access to sufficient quantity of domestic water borehole n ponds_2]]/500,0)</f>
        <v>7</v>
      </c>
      <c r="BI81" s="208">
        <f>1-WWWW[[#This Row],[%Equitable and continuous access to sufficient quantity of domestic water borehole n ponds]]</f>
        <v>0</v>
      </c>
      <c r="BJ81" s="209">
        <f>WWWW[[#This Row],[%equitable and continuous access to sufficient quantity of safe drinking and domestic water''s GAP]]*WWWW[[#This Row],[Total PoP ]]</f>
        <v>0</v>
      </c>
      <c r="BK81" s="210">
        <f>IF(WWWW[[#This Row],[Total required water points]]-WWWW[[#This Row],['#Water points coverage]]&lt;0,0,WWWW[[#This Row],[Total required water points]]-WWWW[[#This Row],['#Water points coverage]])</f>
        <v>0</v>
      </c>
      <c r="BL81" s="210">
        <f>ROUND(IF(WWWW[[#This Row],[Total PoP ]]&lt;500,1,WWWW[[#This Row],[Total PoP ]]/500),0)</f>
        <v>7</v>
      </c>
      <c r="BM81" s="210">
        <f>WWWW[[#This Row],['# Existing functional latrines]]+WWWW[[#This Row],['# Existing latrines dysfunctional]]</f>
        <v>274</v>
      </c>
      <c r="BN8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81" s="352">
        <f>WWWW[[#This Row],[% people access to functioning Latrine]]*WWWW[[#This Row],[Total PoP ]]</f>
        <v>3294</v>
      </c>
      <c r="BP8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81" s="209">
        <f>IF(WWWW[[#This Row],[Total required Latrines]]-WWWW[[#This Row],[Total '# of latrine]]&lt;0,0,WWWW[[#This Row],[Total required Latrines]]-WWWW[[#This Row],[Total '# of latrine]])</f>
        <v>0</v>
      </c>
      <c r="BR81" s="210">
        <f>ROUND(IF(WWWW[[#This Row],[Location Type 1]]="camp",WWWW[[#This Row],[Total PoP ]]/20,WWWW[[#This Row],[Total PoP ]]/6),0)</f>
        <v>165</v>
      </c>
      <c r="BS81" s="212">
        <f>IF(OR(WWWW[[#This Row],['# Existing latrines dysfunctional]]="",WWWW[[#This Row],['# Existing latrines dysfunctional]]=0),0,WWWW[[#This Row],['# Existing latrines dysfunctional]]/WWWW[[#This Row],[Total '# of latrine]])</f>
        <v>0.145985401459854</v>
      </c>
      <c r="BT8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1120</v>
      </c>
      <c r="BU81" s="209">
        <f>IF(500*WWWW[[#This Row],['# Hygiene Promoters ]]&gt;WWWW[[#This Row],[Total PoP ]],WWWW[[#This Row],[Total PoP ]],500*WWWW[[#This Row],['# Hygiene Promoters ]])</f>
        <v>2000</v>
      </c>
      <c r="BV81" s="209">
        <f>IF(WWWW[[#This Row],[% of HH with access to Sanitary Pad]]&gt;=100%,1,0)</f>
        <v>0</v>
      </c>
      <c r="BW81" s="209">
        <f>IF(WWWW[[#This Row],[Total PoP ]]=0,0,IF(WWWW[[#This Row],['# Hygiene Promoters ]]=0,0,IF(WWWW[[#This Row],[Location Type 1]]="Village",IF(WWWW[[#This Row],[Total PoP ]]/WWWW[[#This Row],['# Hygiene Promoters ]]&lt;1000,1,0),IF(WWWW[[#This Row],[Total PoP ]]/WWWW[[#This Row],['# Hygiene Promoters ]]&lt;600,1,0))))</f>
        <v>0</v>
      </c>
      <c r="BX81" s="209">
        <f>IF(WWWW[[#This Row],[%HH with access to soap]]&gt;=100%,1,0)</f>
        <v>1</v>
      </c>
      <c r="BY81" s="209">
        <f>IF(WWWW[[#This Row],[% of HHs with access to Sanitary pad more than '#%]]+WWWW[[#This Row],[Ratio of Hyiene promoters to people less than '#]]+WWWW[[#This Row],[% of HHs with access to soap more than '#%]]&gt;=2,WWWW[[#This Row],[Total PoP ]],0)</f>
        <v>0</v>
      </c>
      <c r="BZ81" s="208">
        <f>WWWW[[#This Row],[People adopt basic personal and community hygiene practices]]/WWWW[[#This Row],[Total PoP ]]</f>
        <v>0</v>
      </c>
      <c r="CA81" s="212">
        <f>1-WWWW[[#This Row],[Hygiene Coverage%]]</f>
        <v>1</v>
      </c>
      <c r="CB81" s="211">
        <f>WWWW[[#This Row],['# people reached by regular dedicated hygiene promotion_5]]/WWWW[[#This Row],[Total PoP ]]</f>
        <v>0.60716454159077105</v>
      </c>
      <c r="CC81" s="211">
        <f>IF(WWWW[[#This Row],['# HH received soaps]]/WWWW[[#This Row],[Total HH]]&gt;1,1,WWWW[[#This Row],['# HH received soaps]]/WWWW[[#This Row],[Total HH]])</f>
        <v>1</v>
      </c>
      <c r="CD81" s="211">
        <f>IF(WWWW[[#This Row],['# HH received Sanitary Pads]]/WWWW[[#This Row],[Total HH]]&gt;1,1,WWWW[[#This Row],['# HH received Sanitary Pads]]/WWWW[[#This Row],[Total HH]])</f>
        <v>0.51054216867469882</v>
      </c>
      <c r="CE81" s="210">
        <f>WWWW[[#This Row],['# HH received soaps]]*5</f>
        <v>3320</v>
      </c>
      <c r="CF81" s="210">
        <f>WWWW[[#This Row],['# HH received Sanitary Pads]]*5</f>
        <v>1695</v>
      </c>
      <c r="CG81" s="210">
        <f>IF(WWWW[[#This Row],['# People with access to soap]]&gt;WWWW[[#This Row],['# People with access to Sanity Pads]],WWWW[[#This Row],['# People with access to soap]],WWWW[[#This Row],['# People with access to Sanity Pads]])</f>
        <v>3320</v>
      </c>
      <c r="CH81" s="209">
        <f>WWWW[[#This Row],[Total HH]]*WWWW[[#This Row],[%HHs with access to functional hand washing stations]]</f>
        <v>657.36</v>
      </c>
      <c r="CI81" s="699" t="str">
        <f>VLOOKUP(WWWW[[#This Row],[Site Name]],SiteDB6[[Site Name]:[CCCM Management]],6,FALSE)</f>
        <v>Yes</v>
      </c>
      <c r="CJ81" s="699" t="str">
        <f>VLOOKUP(WWWW[[#This Row],[Site Name]],SiteDB6[[Site Name]:[CCCM Focal Agency]],7,FALSE)</f>
        <v>KMSS-MYT</v>
      </c>
      <c r="CK81" s="699" t="str">
        <f>VLOOKUP(WWWW[[#This Row],[Site Name]],SiteDB6[[Site Name]:[Location Type]],8,FALSE)</f>
        <v>Camp</v>
      </c>
      <c r="CL81" s="699" t="str">
        <f>VLOOKUP(WWWW[[#This Row],[Site Name]],SiteDB6[[Site Name]:[Location Type 1]],9,FALSE)</f>
        <v>Camp</v>
      </c>
      <c r="CM81" s="699" t="str">
        <f>VLOOKUP(WWWW[[#This Row],[Site Name]],SiteDB6[[Site Name]:[Type of Accommodation]],10,FALSE)</f>
        <v>Camp</v>
      </c>
      <c r="CN81" s="699" t="str">
        <f>VLOOKUP(WWWW[[#This Row],[Site Name]],SiteDB6[[Site Name]:[Ethnic or GCA/NGCA]],11,FALSE)</f>
        <v>NGCA</v>
      </c>
      <c r="CO81" s="699">
        <f>VLOOKUP(WWWW[[#This Row],[Site Name]],SiteDB6[[Site Name]:[Lat]],12,FALSE)</f>
        <v>24.661905999999998</v>
      </c>
      <c r="CP81" s="699">
        <f>VLOOKUP(WWWW[[#This Row],[Site Name]],SiteDB6[[Site Name]:[Long]],13,FALSE)</f>
        <v>97.573126000000002</v>
      </c>
      <c r="CQ81" s="699" t="str">
        <f>VLOOKUP(WWWW[[#This Row],[Site Name]],SiteDB6[[Site Name]:[Pcode]],3,FALSE)</f>
        <v>MMR001CMP122</v>
      </c>
      <c r="CR81" s="660" t="str">
        <f t="shared" si="1"/>
        <v>Covered</v>
      </c>
      <c r="CS81" s="660"/>
      <c r="CT81" s="24"/>
      <c r="CU81" s="24"/>
      <c r="CV81" s="24"/>
    </row>
    <row r="82" spans="1:100" ht="15.75" customHeight="1" x14ac:dyDescent="0.25">
      <c r="A82" s="833" t="s">
        <v>3206</v>
      </c>
      <c r="B82" s="206" t="s">
        <v>1428</v>
      </c>
      <c r="C82" s="206" t="s">
        <v>44</v>
      </c>
      <c r="D82" s="206" t="s">
        <v>351</v>
      </c>
      <c r="E82" s="206" t="s">
        <v>440</v>
      </c>
      <c r="F82" s="206">
        <v>1490</v>
      </c>
      <c r="G82" s="209">
        <v>8486</v>
      </c>
      <c r="H82" s="206"/>
      <c r="I82" s="206" t="s">
        <v>391</v>
      </c>
      <c r="J82" s="207" t="s">
        <v>2813</v>
      </c>
      <c r="K82" s="206">
        <v>0</v>
      </c>
      <c r="L82" s="206" t="s">
        <v>48</v>
      </c>
      <c r="M82" s="208">
        <v>0.8</v>
      </c>
      <c r="N82" s="208">
        <v>0.6</v>
      </c>
      <c r="O82" s="316">
        <v>0</v>
      </c>
      <c r="P82" s="317">
        <v>3</v>
      </c>
      <c r="Q82" s="317">
        <v>9331200</v>
      </c>
      <c r="R82" s="318">
        <v>0</v>
      </c>
      <c r="S82" s="318">
        <v>0</v>
      </c>
      <c r="T82" s="318">
        <v>0</v>
      </c>
      <c r="U82" s="318">
        <v>0</v>
      </c>
      <c r="V82" s="318">
        <v>0</v>
      </c>
      <c r="W82" s="318">
        <v>69</v>
      </c>
      <c r="X82" s="318">
        <v>21</v>
      </c>
      <c r="Y82" s="318">
        <v>0</v>
      </c>
      <c r="Z82" s="318"/>
      <c r="AA82" s="310">
        <v>532</v>
      </c>
      <c r="AB82" s="310">
        <v>22</v>
      </c>
      <c r="AC82" s="66">
        <v>187</v>
      </c>
      <c r="AD82" s="66" t="s">
        <v>2787</v>
      </c>
      <c r="AE82" s="310">
        <v>0</v>
      </c>
      <c r="AF82" s="310" t="s">
        <v>283</v>
      </c>
      <c r="AG82" s="311" t="s">
        <v>283</v>
      </c>
      <c r="AH82" s="311">
        <v>0</v>
      </c>
      <c r="AI82" s="310">
        <v>0</v>
      </c>
      <c r="AJ82" s="310"/>
      <c r="AK82" s="841">
        <v>0.95</v>
      </c>
      <c r="AL82" s="842" t="s">
        <v>291</v>
      </c>
      <c r="AM82" s="842">
        <v>0</v>
      </c>
      <c r="AN82" s="863">
        <v>49</v>
      </c>
      <c r="AO82" s="863">
        <v>11</v>
      </c>
      <c r="AP82" s="838"/>
      <c r="AQ82" s="843"/>
      <c r="AR82" s="843"/>
      <c r="AS82" s="843"/>
      <c r="AT82" s="843">
        <v>21</v>
      </c>
      <c r="AU82" s="843">
        <v>0</v>
      </c>
      <c r="AV82" s="844" t="s">
        <v>2461</v>
      </c>
      <c r="AW82" s="208" t="str">
        <f>IFERROR(WWWW[[#This Row],['# of Water passed at source]]/WWWW[[#This Row],['# of Water tested at source]],"no test")</f>
        <v>no test</v>
      </c>
      <c r="AX82" s="211">
        <f>IFERROR(WWWW[[#This Row],['# of Water passed at HH]]/WWWW[[#This Row],['# of Water tested at HH]],"no test")</f>
        <v>0.30434782608695654</v>
      </c>
      <c r="AY82" s="210" t="str">
        <f>IF(AND(WWWW[[#This Row],[%of Water samples which passed at water source]]="no test",WWWW[[#This Row],[%Water samples which passed at HH]]="no test"),"No Test","Tested")</f>
        <v>Tested</v>
      </c>
      <c r="AZ8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82" s="211">
        <f>IF(WWWW[[#This Row],[Location Type 1]]="Village",WWWW[[#This Row],[Access to safe drinking water for Village]],WWWW[[#This Row],[Access to safe drinking water for Camp]])</f>
        <v>1</v>
      </c>
      <c r="BC82" s="209">
        <f>WWWW[[#This Row],[%Equitable and continuous access to sufficient quantity of safe drinking water]]*WWWW[[#This Row],[Total PoP ]]</f>
        <v>8486</v>
      </c>
      <c r="BD82" s="211">
        <f>IF((WWWW[[#This Row],['# Existing protected/fenced ponds ]]*250)/WWWW[[#This Row],[Total PoP ]]&gt;1,1,WWWW[[#This Row],['# Existing protected/fenced ponds ]]*250/WWWW[[#This Row],[Total PoP ]])</f>
        <v>0</v>
      </c>
      <c r="BE82" s="209">
        <f>WWWW[[#This Row],[Access to unimproved water points]]*WWWW[[#This Row],[Total PoP ]]</f>
        <v>0</v>
      </c>
      <c r="BF8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8486</v>
      </c>
      <c r="BH82" s="209">
        <f>WWWW[[#This Row],['#people Equitable and continuous access to sufficient quantity of domestic water borehole n ponds_2]]/500</f>
        <v>16.972000000000001</v>
      </c>
      <c r="BI82" s="208">
        <f>1-WWWW[[#This Row],[%Equitable and continuous access to sufficient quantity of domestic water borehole n ponds]]</f>
        <v>0</v>
      </c>
      <c r="BJ82" s="209">
        <f>WWWW[[#This Row],[%equitable and continuous access to sufficient quantity of safe drinking and domestic water''s GAP]]*WWWW[[#This Row],[Total PoP ]]</f>
        <v>0</v>
      </c>
      <c r="BK82" s="210">
        <f>IF(WWWW[[#This Row],[Total required water points]]-WWWW[[#This Row],['#Water points coverage]]&lt;0,0,WWWW[[#This Row],[Total required water points]]-WWWW[[#This Row],['#Water points coverage]])</f>
        <v>2.7999999999998693E-2</v>
      </c>
      <c r="BL82" s="210">
        <f>ROUND(IF(WWWW[[#This Row],[Total PoP ]]&lt;500,1,WWWW[[#This Row],[Total PoP ]]/500),0)</f>
        <v>17</v>
      </c>
      <c r="BM82" s="210">
        <f>WWWW[[#This Row],['# Existing functional latrines]]+WWWW[[#This Row],['# Existing latrines dysfunctional]]</f>
        <v>554</v>
      </c>
      <c r="BN8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82" s="352">
        <f>WWWW[[#This Row],[% people access to functioning Latrine]]*WWWW[[#This Row],[Total PoP ]]</f>
        <v>8486</v>
      </c>
      <c r="BP8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82" s="209">
        <f>IF(WWWW[[#This Row],[Total required Latrines]]-WWWW[[#This Row],[Total '# of latrine]]&lt;0,0,WWWW[[#This Row],[Total required Latrines]]-WWWW[[#This Row],[Total '# of latrine]])</f>
        <v>0</v>
      </c>
      <c r="BR82" s="210">
        <f>ROUND(IF(WWWW[[#This Row],[Location Type 1]]="camp",WWWW[[#This Row],[Total PoP ]]/20,WWWW[[#This Row],[Total PoP ]]/6),0)</f>
        <v>424</v>
      </c>
      <c r="BS82" s="212">
        <f>IF(OR(WWWW[[#This Row],['# Existing latrines dysfunctional]]="",WWWW[[#This Row],['# Existing latrines dysfunctional]]=0),0,WWWW[[#This Row],['# Existing latrines dysfunctional]]/WWWW[[#This Row],[Total '# of latrine]])</f>
        <v>3.9711191335740074E-2</v>
      </c>
      <c r="BT8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3740</v>
      </c>
      <c r="BU82" s="209">
        <f>IF(500*WWWW[[#This Row],['# Hygiene Promoters ]]&gt;WWWW[[#This Row],[Total PoP ]],WWWW[[#This Row],[Total PoP ]],500*WWWW[[#This Row],['# Hygiene Promoters ]])</f>
        <v>5500</v>
      </c>
      <c r="BV82" s="209">
        <f>IF(WWWW[[#This Row],[% of HH with access to Sanitary Pad]]&gt;=100%,1,0)</f>
        <v>0</v>
      </c>
      <c r="BW82" s="209">
        <f>IF(WWWW[[#This Row],[Total PoP ]]=0,0,IF(WWWW[[#This Row],['# Hygiene Promoters ]]=0,0,IF(WWWW[[#This Row],[Location Type 1]]="Village",IF(WWWW[[#This Row],[Total PoP ]]/WWWW[[#This Row],['# Hygiene Promoters ]]&lt;1000,1,0),IF(WWWW[[#This Row],[Total PoP ]]/WWWW[[#This Row],['# Hygiene Promoters ]]&lt;600,1,0))))</f>
        <v>0</v>
      </c>
      <c r="BX82" s="209">
        <f>IF(WWWW[[#This Row],[%HH with access to soap]]&gt;=100%,1,0)</f>
        <v>0</v>
      </c>
      <c r="BY82" s="209">
        <f>IF(WWWW[[#This Row],[% of HHs with access to Sanitary pad more than '#%]]+WWWW[[#This Row],[Ratio of Hyiene promoters to people less than '#]]+WWWW[[#This Row],[% of HHs with access to soap more than '#%]]&gt;=2,WWWW[[#This Row],[Total PoP ]],0)</f>
        <v>0</v>
      </c>
      <c r="BZ82" s="208">
        <f>WWWW[[#This Row],[People adopt basic personal and community hygiene practices]]/WWWW[[#This Row],[Total PoP ]]</f>
        <v>0</v>
      </c>
      <c r="CA82" s="212">
        <f>1-WWWW[[#This Row],[Hygiene Coverage%]]</f>
        <v>1</v>
      </c>
      <c r="CB82" s="211">
        <f>WWWW[[#This Row],['# people reached by regular dedicated hygiene promotion_5]]/WWWW[[#This Row],[Total PoP ]]</f>
        <v>0.64812632571293893</v>
      </c>
      <c r="CC82" s="211">
        <f>IF(WWWW[[#This Row],['# HH received soaps]]/WWWW[[#This Row],[Total HH]]&gt;1,1,WWWW[[#This Row],['# HH received soaps]]/WWWW[[#This Row],[Total HH]])</f>
        <v>0</v>
      </c>
      <c r="CD82" s="211">
        <f>IF(WWWW[[#This Row],['# HH received Sanitary Pads]]/WWWW[[#This Row],[Total HH]]&gt;1,1,WWWW[[#This Row],['# HH received Sanitary Pads]]/WWWW[[#This Row],[Total HH]])</f>
        <v>0</v>
      </c>
      <c r="CE82" s="210">
        <f>WWWW[[#This Row],['# HH received soaps]]*5</f>
        <v>0</v>
      </c>
      <c r="CF82" s="210">
        <f>WWWW[[#This Row],['# HH received Sanitary Pads]]*5</f>
        <v>0</v>
      </c>
      <c r="CG82" s="210">
        <f>IF(WWWW[[#This Row],['# People with access to soap]]&gt;WWWW[[#This Row],['# People with access to Sanity Pads]],WWWW[[#This Row],['# People with access to soap]],WWWW[[#This Row],['# People with access to Sanity Pads]])</f>
        <v>0</v>
      </c>
      <c r="CH82" s="209">
        <f>WWWW[[#This Row],[Total HH]]*WWWW[[#This Row],[%HHs with access to functional hand washing stations]]</f>
        <v>1415.5</v>
      </c>
      <c r="CI82" s="699" t="str">
        <f>VLOOKUP(WWWW[[#This Row],[Site Name]],SiteDB6[[Site Name]:[CCCM Management]],6,FALSE)</f>
        <v>Yes</v>
      </c>
      <c r="CJ82" s="699" t="str">
        <f>VLOOKUP(WWWW[[#This Row],[Site Name]],SiteDB6[[Site Name]:[CCCM Focal Agency]],7,FALSE)</f>
        <v>KMSS-MYT</v>
      </c>
      <c r="CK82" s="699" t="str">
        <f>VLOOKUP(WWWW[[#This Row],[Site Name]],SiteDB6[[Site Name]:[Location Type]],8,FALSE)</f>
        <v>Camp</v>
      </c>
      <c r="CL82" s="699" t="str">
        <f>VLOOKUP(WWWW[[#This Row],[Site Name]],SiteDB6[[Site Name]:[Location Type 1]],9,FALSE)</f>
        <v>Camp</v>
      </c>
      <c r="CM82" s="699" t="str">
        <f>VLOOKUP(WWWW[[#This Row],[Site Name]],SiteDB6[[Site Name]:[Type of Accommodation]],10,FALSE)</f>
        <v>Camp</v>
      </c>
      <c r="CN82" s="699" t="str">
        <f>VLOOKUP(WWWW[[#This Row],[Site Name]],SiteDB6[[Site Name]:[Ethnic or GCA/NGCA]],11,FALSE)</f>
        <v>NGCA</v>
      </c>
      <c r="CO82" s="699">
        <f>VLOOKUP(WWWW[[#This Row],[Site Name]],SiteDB6[[Site Name]:[Lat]],12,FALSE)</f>
        <v>24.688338999999999</v>
      </c>
      <c r="CP82" s="699">
        <f>VLOOKUP(WWWW[[#This Row],[Site Name]],SiteDB6[[Site Name]:[Long]],13,FALSE)</f>
        <v>97.568331999999998</v>
      </c>
      <c r="CQ82" s="699" t="str">
        <f>VLOOKUP(WWWW[[#This Row],[Site Name]],SiteDB6[[Site Name]:[Pcode]],3,FALSE)</f>
        <v>MMR001CMP121</v>
      </c>
      <c r="CR82" s="660" t="str">
        <f t="shared" si="1"/>
        <v>Covered</v>
      </c>
      <c r="CS82" s="660"/>
      <c r="CT82" s="24"/>
      <c r="CU82" s="24"/>
      <c r="CV82" s="24"/>
    </row>
    <row r="83" spans="1:100" ht="15.75" customHeight="1" x14ac:dyDescent="0.25">
      <c r="A83" s="833" t="s">
        <v>3206</v>
      </c>
      <c r="B83" s="206" t="s">
        <v>338</v>
      </c>
      <c r="C83" s="206" t="s">
        <v>44</v>
      </c>
      <c r="D83" s="206" t="s">
        <v>351</v>
      </c>
      <c r="E83" s="206" t="s">
        <v>353</v>
      </c>
      <c r="F83" s="206">
        <v>17</v>
      </c>
      <c r="G83" s="209">
        <v>106</v>
      </c>
      <c r="H83" s="206"/>
      <c r="I83" s="206" t="s">
        <v>354</v>
      </c>
      <c r="J83" s="207" t="s">
        <v>2474</v>
      </c>
      <c r="K83" s="206">
        <v>0</v>
      </c>
      <c r="L83" s="206" t="s">
        <v>282</v>
      </c>
      <c r="M83" s="208">
        <v>0</v>
      </c>
      <c r="N83" s="208">
        <v>0</v>
      </c>
      <c r="O83" s="316">
        <v>1</v>
      </c>
      <c r="P83" s="317">
        <v>0</v>
      </c>
      <c r="Q83" s="317">
        <v>0</v>
      </c>
      <c r="R83" s="318">
        <v>0</v>
      </c>
      <c r="S83" s="318">
        <v>0</v>
      </c>
      <c r="T83" s="318"/>
      <c r="U83" s="318"/>
      <c r="V83" s="318"/>
      <c r="W83" s="318"/>
      <c r="X83" s="318"/>
      <c r="Y83" s="318"/>
      <c r="Z83" s="318"/>
      <c r="AA83" s="310">
        <v>4</v>
      </c>
      <c r="AB83" s="310">
        <v>0</v>
      </c>
      <c r="AC83" s="66">
        <v>2</v>
      </c>
      <c r="AD83" s="66"/>
      <c r="AE83" s="310">
        <v>0</v>
      </c>
      <c r="AF83" s="310" t="s">
        <v>283</v>
      </c>
      <c r="AG83" s="311" t="s">
        <v>283</v>
      </c>
      <c r="AH83" s="311"/>
      <c r="AI83" s="310"/>
      <c r="AJ83" s="310"/>
      <c r="AK83" s="841">
        <v>1</v>
      </c>
      <c r="AL83" s="842" t="s">
        <v>291</v>
      </c>
      <c r="AM83" s="842">
        <v>0</v>
      </c>
      <c r="AN83" s="863">
        <v>2</v>
      </c>
      <c r="AO83" s="863">
        <v>1</v>
      </c>
      <c r="AP83" s="838">
        <v>17</v>
      </c>
      <c r="AQ83" s="843">
        <v>17</v>
      </c>
      <c r="AR83" s="843"/>
      <c r="AS83" s="843"/>
      <c r="AT83" s="843"/>
      <c r="AU83" s="843"/>
      <c r="AV83" s="844"/>
      <c r="AW83" s="208" t="str">
        <f>IFERROR(WWWW[[#This Row],['# of Water passed at source]]/WWWW[[#This Row],['# of Water tested at source]],"no test")</f>
        <v>no test</v>
      </c>
      <c r="AX83" s="211" t="str">
        <f>IFERROR(WWWW[[#This Row],['# of Water passed at HH]]/WWWW[[#This Row],['# of Water tested at HH]],"no test")</f>
        <v>no test</v>
      </c>
      <c r="AY83" s="210" t="str">
        <f>IF(AND(WWWW[[#This Row],[%of Water samples which passed at water source]]="no test",WWWW[[#This Row],[%Water samples which passed at HH]]="no test"),"No Test","Tested")</f>
        <v>No Test</v>
      </c>
      <c r="AZ8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83" s="211">
        <f>IF(WWWW[[#This Row],[Location Type 1]]="Village",WWWW[[#This Row],[Access to safe drinking water for Village]],WWWW[[#This Row],[Access to safe drinking water for Camp]])</f>
        <v>1</v>
      </c>
      <c r="BC83" s="209">
        <f>WWWW[[#This Row],[%Equitable and continuous access to sufficient quantity of safe drinking water]]*WWWW[[#This Row],[Total PoP ]]</f>
        <v>106</v>
      </c>
      <c r="BD83" s="211">
        <f>IF((WWWW[[#This Row],['# Existing protected/fenced ponds ]]*250)/WWWW[[#This Row],[Total PoP ]]&gt;1,1,WWWW[[#This Row],['# Existing protected/fenced ponds ]]*250/WWWW[[#This Row],[Total PoP ]])</f>
        <v>0</v>
      </c>
      <c r="BE83" s="209">
        <f>WWWW[[#This Row],[Access to unimproved water points]]*WWWW[[#This Row],[Total PoP ]]</f>
        <v>0</v>
      </c>
      <c r="BF8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106</v>
      </c>
      <c r="BH83" s="209">
        <f>WWWW[[#This Row],['#people Equitable and continuous access to sufficient quantity of domestic water borehole n ponds_2]]/500</f>
        <v>0.21199999999999999</v>
      </c>
      <c r="BI83" s="208">
        <f>1-WWWW[[#This Row],[%Equitable and continuous access to sufficient quantity of domestic water borehole n ponds]]</f>
        <v>0</v>
      </c>
      <c r="BJ83" s="209">
        <f>WWWW[[#This Row],[%equitable and continuous access to sufficient quantity of safe drinking and domestic water''s GAP]]*WWWW[[#This Row],[Total PoP ]]</f>
        <v>0</v>
      </c>
      <c r="BK83" s="210">
        <f>IF(WWWW[[#This Row],[Total required water points]]-WWWW[[#This Row],['#Water points coverage]]&lt;0,0,WWWW[[#This Row],[Total required water points]]-WWWW[[#This Row],['#Water points coverage]])</f>
        <v>0.78800000000000003</v>
      </c>
      <c r="BL83" s="210">
        <f>ROUND(IF(WWWW[[#This Row],[Total PoP ]]&lt;500,1,WWWW[[#This Row],[Total PoP ]]/500),0)</f>
        <v>1</v>
      </c>
      <c r="BM83" s="210">
        <f>WWWW[[#This Row],['# Existing functional latrines]]+WWWW[[#This Row],['# Existing latrines dysfunctional]]</f>
        <v>4</v>
      </c>
      <c r="BN8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0.75471698113207553</v>
      </c>
      <c r="BO83" s="352">
        <f>WWWW[[#This Row],[% people access to functioning Latrine]]*WWWW[[#This Row],[Total PoP ]]</f>
        <v>80</v>
      </c>
      <c r="BP8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0.18867924528301888</v>
      </c>
      <c r="BQ83" s="209">
        <f>IF(WWWW[[#This Row],[Total required Latrines]]-WWWW[[#This Row],[Total '# of latrine]]&lt;0,0,WWWW[[#This Row],[Total required Latrines]]-WWWW[[#This Row],[Total '# of latrine]])</f>
        <v>1</v>
      </c>
      <c r="BR83" s="210">
        <f>ROUND(IF(WWWW[[#This Row],[Location Type 1]]="camp",WWWW[[#This Row],[Total PoP ]]/20,WWWW[[#This Row],[Total PoP ]]/6),0)</f>
        <v>5</v>
      </c>
      <c r="BS83" s="212">
        <f>IF(OR(WWWW[[#This Row],['# Existing latrines dysfunctional]]="",WWWW[[#This Row],['# Existing latrines dysfunctional]]=0),0,WWWW[[#This Row],['# Existing latrines dysfunctional]]/WWWW[[#This Row],[Total '# of latrine]])</f>
        <v>0</v>
      </c>
      <c r="BT8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U83" s="209">
        <f>IF(500*WWWW[[#This Row],['# Hygiene Promoters ]]&gt;WWWW[[#This Row],[Total PoP ]],WWWW[[#This Row],[Total PoP ]],500*WWWW[[#This Row],['# Hygiene Promoters ]])</f>
        <v>106</v>
      </c>
      <c r="BV83" s="209">
        <f>IF(WWWW[[#This Row],[% of HH with access to Sanitary Pad]]&gt;=100%,1,0)</f>
        <v>1</v>
      </c>
      <c r="BW83" s="209">
        <f>IF(WWWW[[#This Row],[Total PoP ]]=0,0,IF(WWWW[[#This Row],['# Hygiene Promoters ]]=0,0,IF(WWWW[[#This Row],[Location Type 1]]="Village",IF(WWWW[[#This Row],[Total PoP ]]/WWWW[[#This Row],['# Hygiene Promoters ]]&lt;1000,1,0),IF(WWWW[[#This Row],[Total PoP ]]/WWWW[[#This Row],['# Hygiene Promoters ]]&lt;600,1,0))))</f>
        <v>1</v>
      </c>
      <c r="BX83" s="209">
        <f>IF(WWWW[[#This Row],[%HH with access to soap]]&gt;=100%,1,0)</f>
        <v>1</v>
      </c>
      <c r="BY83" s="209">
        <f>IF(WWWW[[#This Row],[% of HHs with access to Sanitary pad more than '#%]]+WWWW[[#This Row],[Ratio of Hyiene promoters to people less than '#]]+WWWW[[#This Row],[% of HHs with access to soap more than '#%]]&gt;=2,WWWW[[#This Row],[Total PoP ]],0)</f>
        <v>106</v>
      </c>
      <c r="BZ83" s="208">
        <f>WWWW[[#This Row],[People adopt basic personal and community hygiene practices]]/WWWW[[#This Row],[Total PoP ]]</f>
        <v>1</v>
      </c>
      <c r="CA83" s="212">
        <f>1-WWWW[[#This Row],[Hygiene Coverage%]]</f>
        <v>0</v>
      </c>
      <c r="CB83" s="211">
        <f>WWWW[[#This Row],['# people reached by regular dedicated hygiene promotion_5]]/WWWW[[#This Row],[Total PoP ]]</f>
        <v>1</v>
      </c>
      <c r="CC83" s="211">
        <f>IF(WWWW[[#This Row],['# HH received soaps]]/WWWW[[#This Row],[Total HH]]&gt;1,1,WWWW[[#This Row],['# HH received soaps]]/WWWW[[#This Row],[Total HH]])</f>
        <v>1</v>
      </c>
      <c r="CD83" s="211">
        <f>IF(WWWW[[#This Row],['# HH received Sanitary Pads]]/WWWW[[#This Row],[Total HH]]&gt;1,1,WWWW[[#This Row],['# HH received Sanitary Pads]]/WWWW[[#This Row],[Total HH]])</f>
        <v>1</v>
      </c>
      <c r="CE83" s="210">
        <f>WWWW[[#This Row],['# HH received soaps]]*5</f>
        <v>85</v>
      </c>
      <c r="CF83" s="210">
        <f>WWWW[[#This Row],['# HH received Sanitary Pads]]*5</f>
        <v>85</v>
      </c>
      <c r="CG83" s="210">
        <f>IF(WWWW[[#This Row],['# People with access to soap]]&gt;WWWW[[#This Row],['# People with access to Sanity Pads]],WWWW[[#This Row],['# People with access to soap]],WWWW[[#This Row],['# People with access to Sanity Pads]])</f>
        <v>85</v>
      </c>
      <c r="CH83" s="209">
        <f>WWWW[[#This Row],[Total HH]]*WWWW[[#This Row],[%HHs with access to functional hand washing stations]]</f>
        <v>17</v>
      </c>
      <c r="CI83" s="699">
        <f>VLOOKUP(WWWW[[#This Row],[Site Name]],SiteDB6[[Site Name]:[CCCM Management]],6,FALSE)</f>
        <v>0</v>
      </c>
      <c r="CJ83" s="699">
        <f>VLOOKUP(WWWW[[#This Row],[Site Name]],SiteDB6[[Site Name]:[CCCM Focal Agency]],7,FALSE)</f>
        <v>0</v>
      </c>
      <c r="CK83" s="699" t="str">
        <f>VLOOKUP(WWWW[[#This Row],[Site Name]],SiteDB6[[Site Name]:[Location Type]],8,FALSE)</f>
        <v>Camp_not registered</v>
      </c>
      <c r="CL83" s="699" t="str">
        <f>VLOOKUP(WWWW[[#This Row],[Site Name]],SiteDB6[[Site Name]:[Location Type 1]],9,FALSE)</f>
        <v>Camp</v>
      </c>
      <c r="CM83" s="699" t="str">
        <f>VLOOKUP(WWWW[[#This Row],[Site Name]],SiteDB6[[Site Name]:[Type of Accommodation]],10,FALSE)</f>
        <v>Camp</v>
      </c>
      <c r="CN83" s="699" t="str">
        <f>VLOOKUP(WWWW[[#This Row],[Site Name]],SiteDB6[[Site Name]:[Ethnic or GCA/NGCA]],11,FALSE)</f>
        <v>GCA</v>
      </c>
      <c r="CO83" s="699">
        <f>VLOOKUP(WWWW[[#This Row],[Site Name]],SiteDB6[[Site Name]:[Lat]],12,FALSE)</f>
        <v>0</v>
      </c>
      <c r="CP83" s="699">
        <f>VLOOKUP(WWWW[[#This Row],[Site Name]],SiteDB6[[Site Name]:[Long]],13,FALSE)</f>
        <v>0</v>
      </c>
      <c r="CQ83" s="699">
        <f>VLOOKUP(WWWW[[#This Row],[Site Name]],SiteDB6[[Site Name]:[Pcode]],3,FALSE)</f>
        <v>0</v>
      </c>
      <c r="CR83" s="660" t="str">
        <f t="shared" si="1"/>
        <v>Covered</v>
      </c>
      <c r="CS83" s="660"/>
      <c r="CT83" s="24"/>
      <c r="CU83" s="24"/>
      <c r="CV83" s="24"/>
    </row>
    <row r="84" spans="1:100" ht="15.75" customHeight="1" x14ac:dyDescent="0.25">
      <c r="A84" s="833" t="s">
        <v>3206</v>
      </c>
      <c r="B84" s="206" t="s">
        <v>338</v>
      </c>
      <c r="C84" s="206" t="s">
        <v>44</v>
      </c>
      <c r="D84" s="206" t="s">
        <v>351</v>
      </c>
      <c r="E84" s="206" t="s">
        <v>355</v>
      </c>
      <c r="F84" s="206">
        <v>19</v>
      </c>
      <c r="G84" s="209">
        <v>94</v>
      </c>
      <c r="H84" s="206"/>
      <c r="I84" s="206" t="s">
        <v>354</v>
      </c>
      <c r="J84" s="207" t="s">
        <v>2476</v>
      </c>
      <c r="K84" s="206">
        <v>0</v>
      </c>
      <c r="L84" s="206" t="s">
        <v>282</v>
      </c>
      <c r="M84" s="208">
        <v>0</v>
      </c>
      <c r="N84" s="208">
        <v>0</v>
      </c>
      <c r="O84" s="316">
        <v>5</v>
      </c>
      <c r="P84" s="317">
        <v>0</v>
      </c>
      <c r="Q84" s="317">
        <v>1350</v>
      </c>
      <c r="R84" s="318">
        <v>0</v>
      </c>
      <c r="S84" s="318">
        <v>0</v>
      </c>
      <c r="T84" s="318"/>
      <c r="U84" s="318"/>
      <c r="V84" s="318"/>
      <c r="W84" s="318"/>
      <c r="X84" s="318"/>
      <c r="Y84" s="318"/>
      <c r="Z84" s="318"/>
      <c r="AA84" s="310">
        <v>5</v>
      </c>
      <c r="AB84" s="310">
        <v>0</v>
      </c>
      <c r="AC84" s="66"/>
      <c r="AD84" s="66"/>
      <c r="AE84" s="310">
        <v>0</v>
      </c>
      <c r="AF84" s="310" t="s">
        <v>283</v>
      </c>
      <c r="AG84" s="311" t="s">
        <v>283</v>
      </c>
      <c r="AH84" s="311"/>
      <c r="AI84" s="310"/>
      <c r="AJ84" s="310"/>
      <c r="AK84" s="841">
        <v>1</v>
      </c>
      <c r="AL84" s="842" t="s">
        <v>291</v>
      </c>
      <c r="AM84" s="842">
        <v>0</v>
      </c>
      <c r="AN84" s="863">
        <v>1</v>
      </c>
      <c r="AO84" s="863">
        <v>1</v>
      </c>
      <c r="AP84" s="838">
        <v>19</v>
      </c>
      <c r="AQ84" s="843">
        <v>19</v>
      </c>
      <c r="AR84" s="843"/>
      <c r="AS84" s="843"/>
      <c r="AT84" s="843"/>
      <c r="AU84" s="843"/>
      <c r="AV84" s="844"/>
      <c r="AW84" s="208" t="str">
        <f>IFERROR(WWWW[[#This Row],['# of Water passed at source]]/WWWW[[#This Row],['# of Water tested at source]],"no test")</f>
        <v>no test</v>
      </c>
      <c r="AX84" s="211" t="str">
        <f>IFERROR(WWWW[[#This Row],['# of Water passed at HH]]/WWWW[[#This Row],['# of Water tested at HH]],"no test")</f>
        <v>no test</v>
      </c>
      <c r="AY84" s="210" t="str">
        <f>IF(AND(WWWW[[#This Row],[%of Water samples which passed at water source]]="no test",WWWW[[#This Row],[%Water samples which passed at HH]]="no test"),"No Test","Tested")</f>
        <v>No Test</v>
      </c>
      <c r="AZ8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84" s="211">
        <f>IF(WWWW[[#This Row],[Location Type 1]]="Village",WWWW[[#This Row],[Access to safe drinking water for Village]],WWWW[[#This Row],[Access to safe drinking water for Camp]])</f>
        <v>1</v>
      </c>
      <c r="BC84" s="209">
        <f>WWWW[[#This Row],[%Equitable and continuous access to sufficient quantity of safe drinking water]]*WWWW[[#This Row],[Total PoP ]]</f>
        <v>94</v>
      </c>
      <c r="BD84" s="211">
        <f>IF((WWWW[[#This Row],['# Existing protected/fenced ponds ]]*250)/WWWW[[#This Row],[Total PoP ]]&gt;1,1,WWWW[[#This Row],['# Existing protected/fenced ponds ]]*250/WWWW[[#This Row],[Total PoP ]])</f>
        <v>0</v>
      </c>
      <c r="BE84" s="209">
        <f>WWWW[[#This Row],[Access to unimproved water points]]*WWWW[[#This Row],[Total PoP ]]</f>
        <v>0</v>
      </c>
      <c r="BF8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94</v>
      </c>
      <c r="BH84" s="209">
        <f>WWWW[[#This Row],['#people Equitable and continuous access to sufficient quantity of domestic water borehole n ponds_2]]/500</f>
        <v>0.188</v>
      </c>
      <c r="BI84" s="208">
        <f>1-WWWW[[#This Row],[%Equitable and continuous access to sufficient quantity of domestic water borehole n ponds]]</f>
        <v>0</v>
      </c>
      <c r="BJ84" s="209">
        <f>WWWW[[#This Row],[%equitable and continuous access to sufficient quantity of safe drinking and domestic water''s GAP]]*WWWW[[#This Row],[Total PoP ]]</f>
        <v>0</v>
      </c>
      <c r="BK84" s="210">
        <f>IF(WWWW[[#This Row],[Total required water points]]-WWWW[[#This Row],['#Water points coverage]]&lt;0,0,WWWW[[#This Row],[Total required water points]]-WWWW[[#This Row],['#Water points coverage]])</f>
        <v>0.81200000000000006</v>
      </c>
      <c r="BL84" s="210">
        <f>ROUND(IF(WWWW[[#This Row],[Total PoP ]]&lt;500,1,WWWW[[#This Row],[Total PoP ]]/500),0)</f>
        <v>1</v>
      </c>
      <c r="BM84" s="210">
        <f>WWWW[[#This Row],['# Existing functional latrines]]+WWWW[[#This Row],['# Existing latrines dysfunctional]]</f>
        <v>5</v>
      </c>
      <c r="BN8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84" s="352">
        <f>WWWW[[#This Row],[% people access to functioning Latrine]]*WWWW[[#This Row],[Total PoP ]]</f>
        <v>94</v>
      </c>
      <c r="BP8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84" s="209">
        <f>IF(WWWW[[#This Row],[Total required Latrines]]-WWWW[[#This Row],[Total '# of latrine]]&lt;0,0,WWWW[[#This Row],[Total required Latrines]]-WWWW[[#This Row],[Total '# of latrine]])</f>
        <v>0</v>
      </c>
      <c r="BR84" s="210">
        <f>ROUND(IF(WWWW[[#This Row],[Location Type 1]]="camp",WWWW[[#This Row],[Total PoP ]]/20,WWWW[[#This Row],[Total PoP ]]/6),0)</f>
        <v>5</v>
      </c>
      <c r="BS84" s="212">
        <f>IF(OR(WWWW[[#This Row],['# Existing latrines dysfunctional]]="",WWWW[[#This Row],['# Existing latrines dysfunctional]]=0),0,WWWW[[#This Row],['# Existing latrines dysfunctional]]/WWWW[[#This Row],[Total '# of latrine]])</f>
        <v>0</v>
      </c>
      <c r="BT8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84" s="209">
        <f>IF(500*WWWW[[#This Row],['# Hygiene Promoters ]]&gt;WWWW[[#This Row],[Total PoP ]],WWWW[[#This Row],[Total PoP ]],500*WWWW[[#This Row],['# Hygiene Promoters ]])</f>
        <v>94</v>
      </c>
      <c r="BV84" s="209">
        <f>IF(WWWW[[#This Row],[% of HH with access to Sanitary Pad]]&gt;=100%,1,0)</f>
        <v>1</v>
      </c>
      <c r="BW84" s="209">
        <f>IF(WWWW[[#This Row],[Total PoP ]]=0,0,IF(WWWW[[#This Row],['# Hygiene Promoters ]]=0,0,IF(WWWW[[#This Row],[Location Type 1]]="Village",IF(WWWW[[#This Row],[Total PoP ]]/WWWW[[#This Row],['# Hygiene Promoters ]]&lt;1000,1,0),IF(WWWW[[#This Row],[Total PoP ]]/WWWW[[#This Row],['# Hygiene Promoters ]]&lt;600,1,0))))</f>
        <v>1</v>
      </c>
      <c r="BX84" s="209">
        <f>IF(WWWW[[#This Row],[%HH with access to soap]]&gt;=100%,1,0)</f>
        <v>1</v>
      </c>
      <c r="BY84" s="209">
        <f>IF(WWWW[[#This Row],[% of HHs with access to Sanitary pad more than '#%]]+WWWW[[#This Row],[Ratio of Hyiene promoters to people less than '#]]+WWWW[[#This Row],[% of HHs with access to soap more than '#%]]&gt;=2,WWWW[[#This Row],[Total PoP ]],0)</f>
        <v>94</v>
      </c>
      <c r="BZ84" s="208">
        <f>WWWW[[#This Row],[People adopt basic personal and community hygiene practices]]/WWWW[[#This Row],[Total PoP ]]</f>
        <v>1</v>
      </c>
      <c r="CA84" s="212">
        <f>1-WWWW[[#This Row],[Hygiene Coverage%]]</f>
        <v>0</v>
      </c>
      <c r="CB84" s="211">
        <f>WWWW[[#This Row],['# people reached by regular dedicated hygiene promotion_5]]/WWWW[[#This Row],[Total PoP ]]</f>
        <v>1</v>
      </c>
      <c r="CC84" s="211">
        <f>IF(WWWW[[#This Row],['# HH received soaps]]/WWWW[[#This Row],[Total HH]]&gt;1,1,WWWW[[#This Row],['# HH received soaps]]/WWWW[[#This Row],[Total HH]])</f>
        <v>1</v>
      </c>
      <c r="CD84" s="211">
        <f>IF(WWWW[[#This Row],['# HH received Sanitary Pads]]/WWWW[[#This Row],[Total HH]]&gt;1,1,WWWW[[#This Row],['# HH received Sanitary Pads]]/WWWW[[#This Row],[Total HH]])</f>
        <v>1</v>
      </c>
      <c r="CE84" s="210">
        <f>WWWW[[#This Row],['# HH received soaps]]*5</f>
        <v>95</v>
      </c>
      <c r="CF84" s="210">
        <f>WWWW[[#This Row],['# HH received Sanitary Pads]]*5</f>
        <v>95</v>
      </c>
      <c r="CG84" s="210">
        <f>IF(WWWW[[#This Row],['# People with access to soap]]&gt;WWWW[[#This Row],['# People with access to Sanity Pads]],WWWW[[#This Row],['# People with access to soap]],WWWW[[#This Row],['# People with access to Sanity Pads]])</f>
        <v>95</v>
      </c>
      <c r="CH84" s="209">
        <f>WWWW[[#This Row],[Total HH]]*WWWW[[#This Row],[%HHs with access to functional hand washing stations]]</f>
        <v>19</v>
      </c>
      <c r="CI84" s="699">
        <f>VLOOKUP(WWWW[[#This Row],[Site Name]],SiteDB6[[Site Name]:[CCCM Management]],6,FALSE)</f>
        <v>0</v>
      </c>
      <c r="CJ84" s="699">
        <f>VLOOKUP(WWWW[[#This Row],[Site Name]],SiteDB6[[Site Name]:[CCCM Focal Agency]],7,FALSE)</f>
        <v>0</v>
      </c>
      <c r="CK84" s="699" t="str">
        <f>VLOOKUP(WWWW[[#This Row],[Site Name]],SiteDB6[[Site Name]:[Location Type]],8,FALSE)</f>
        <v>Camp_not registered</v>
      </c>
      <c r="CL84" s="699" t="str">
        <f>VLOOKUP(WWWW[[#This Row],[Site Name]],SiteDB6[[Site Name]:[Location Type 1]],9,FALSE)</f>
        <v>Camp</v>
      </c>
      <c r="CM84" s="699" t="str">
        <f>VLOOKUP(WWWW[[#This Row],[Site Name]],SiteDB6[[Site Name]:[Type of Accommodation]],10,FALSE)</f>
        <v>Camp</v>
      </c>
      <c r="CN84" s="699" t="str">
        <f>VLOOKUP(WWWW[[#This Row],[Site Name]],SiteDB6[[Site Name]:[Ethnic or GCA/NGCA]],11,FALSE)</f>
        <v>GCA</v>
      </c>
      <c r="CO84" s="699">
        <f>VLOOKUP(WWWW[[#This Row],[Site Name]],SiteDB6[[Site Name]:[Lat]],12,FALSE)</f>
        <v>0</v>
      </c>
      <c r="CP84" s="699">
        <f>VLOOKUP(WWWW[[#This Row],[Site Name]],SiteDB6[[Site Name]:[Long]],13,FALSE)</f>
        <v>0</v>
      </c>
      <c r="CQ84" s="699">
        <f>VLOOKUP(WWWW[[#This Row],[Site Name]],SiteDB6[[Site Name]:[Pcode]],3,FALSE)</f>
        <v>0</v>
      </c>
      <c r="CR84" s="660" t="str">
        <f t="shared" si="1"/>
        <v>Covered</v>
      </c>
      <c r="CS84" s="660"/>
      <c r="CT84" s="24"/>
      <c r="CU84" s="24"/>
      <c r="CV84" s="24"/>
    </row>
    <row r="85" spans="1:100" ht="15.75" customHeight="1" x14ac:dyDescent="0.25">
      <c r="A85" s="833" t="s">
        <v>3206</v>
      </c>
      <c r="B85" s="206" t="s">
        <v>460</v>
      </c>
      <c r="C85" s="206" t="s">
        <v>44</v>
      </c>
      <c r="D85" s="206" t="s">
        <v>351</v>
      </c>
      <c r="E85" s="206" t="s">
        <v>1183</v>
      </c>
      <c r="F85" s="206">
        <v>3</v>
      </c>
      <c r="G85" s="209">
        <v>18</v>
      </c>
      <c r="H85" s="206"/>
      <c r="I85" s="206"/>
      <c r="J85" s="207"/>
      <c r="K85" s="206"/>
      <c r="L85" s="206" t="s">
        <v>282</v>
      </c>
      <c r="M85" s="208">
        <v>0</v>
      </c>
      <c r="N85" s="208">
        <v>0</v>
      </c>
      <c r="O85" s="316"/>
      <c r="P85" s="317"/>
      <c r="Q85" s="317"/>
      <c r="R85" s="318"/>
      <c r="S85" s="318"/>
      <c r="T85" s="318"/>
      <c r="U85" s="318"/>
      <c r="V85" s="318"/>
      <c r="W85" s="318"/>
      <c r="X85" s="318"/>
      <c r="Y85" s="318"/>
      <c r="Z85" s="318"/>
      <c r="AA85" s="310">
        <v>0</v>
      </c>
      <c r="AB85" s="310"/>
      <c r="AC85" s="66"/>
      <c r="AD85" s="66"/>
      <c r="AE85" s="310"/>
      <c r="AF85" s="310" t="s">
        <v>286</v>
      </c>
      <c r="AG85" s="311" t="s">
        <v>286</v>
      </c>
      <c r="AH85" s="311"/>
      <c r="AI85" s="310"/>
      <c r="AJ85" s="310"/>
      <c r="AK85" s="841"/>
      <c r="AL85" s="842"/>
      <c r="AM85" s="842"/>
      <c r="AN85" s="863"/>
      <c r="AO85" s="863"/>
      <c r="AP85" s="838"/>
      <c r="AQ85" s="843"/>
      <c r="AR85" s="843"/>
      <c r="AS85" s="843"/>
      <c r="AT85" s="843"/>
      <c r="AU85" s="843"/>
      <c r="AV85" s="844"/>
      <c r="AW85" s="208" t="str">
        <f>IFERROR(WWWW[[#This Row],['# of Water passed at source]]/WWWW[[#This Row],['# of Water tested at source]],"no test")</f>
        <v>no test</v>
      </c>
      <c r="AX85" s="211" t="str">
        <f>IFERROR(WWWW[[#This Row],['# of Water passed at HH]]/WWWW[[#This Row],['# of Water tested at HH]],"no test")</f>
        <v>no test</v>
      </c>
      <c r="AY85" s="210" t="str">
        <f>IF(AND(WWWW[[#This Row],[%of Water samples which passed at water source]]="no test",WWWW[[#This Row],[%Water samples which passed at HH]]="no test"),"No Test","Tested")</f>
        <v>No Test</v>
      </c>
      <c r="AZ8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8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85" s="211">
        <f>IF(WWWW[[#This Row],[Location Type 1]]="Village",WWWW[[#This Row],[Access to safe drinking water for Village]],WWWW[[#This Row],[Access to safe drinking water for Camp]])</f>
        <v>0</v>
      </c>
      <c r="BC85" s="209">
        <f>WWWW[[#This Row],[%Equitable and continuous access to sufficient quantity of safe drinking water]]*WWWW[[#This Row],[Total PoP ]]</f>
        <v>0</v>
      </c>
      <c r="BD85" s="211">
        <f>IF((WWWW[[#This Row],['# Existing protected/fenced ponds ]]*250)/WWWW[[#This Row],[Total PoP ]]&gt;1,1,WWWW[[#This Row],['# Existing protected/fenced ponds ]]*250/WWWW[[#This Row],[Total PoP ]])</f>
        <v>0</v>
      </c>
      <c r="BE85" s="209">
        <f>WWWW[[#This Row],[Access to unimproved water points]]*WWWW[[#This Row],[Total PoP ]]</f>
        <v>0</v>
      </c>
      <c r="BF8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8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85" s="209">
        <f>WWWW[[#This Row],['#people Equitable and continuous access to sufficient quantity of domestic water borehole n ponds_2]]/500</f>
        <v>0</v>
      </c>
      <c r="BI85" s="208">
        <f>1-WWWW[[#This Row],[%Equitable and continuous access to sufficient quantity of domestic water borehole n ponds]]</f>
        <v>1</v>
      </c>
      <c r="BJ85" s="209">
        <f>WWWW[[#This Row],[%equitable and continuous access to sufficient quantity of safe drinking and domestic water''s GAP]]*WWWW[[#This Row],[Total PoP ]]</f>
        <v>18</v>
      </c>
      <c r="BK85" s="210">
        <f>IF(WWWW[[#This Row],[Total required water points]]-WWWW[[#This Row],['#Water points coverage]]&lt;0,0,WWWW[[#This Row],[Total required water points]]-WWWW[[#This Row],['#Water points coverage]])</f>
        <v>1</v>
      </c>
      <c r="BL85" s="210">
        <f>ROUND(IF(WWWW[[#This Row],[Total PoP ]]&lt;500,1,WWWW[[#This Row],[Total PoP ]]/500),0)</f>
        <v>1</v>
      </c>
      <c r="BM85" s="210">
        <f>WWWW[[#This Row],['# Existing functional latrines]]+WWWW[[#This Row],['# Existing latrines dysfunctional]]</f>
        <v>0</v>
      </c>
      <c r="BN8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85" s="352">
        <f>WWWW[[#This Row],[% people access to functioning Latrine]]*WWWW[[#This Row],[Total PoP ]]</f>
        <v>0</v>
      </c>
      <c r="BP8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85" s="209">
        <f>IF(WWWW[[#This Row],[Total required Latrines]]-WWWW[[#This Row],[Total '# of latrine]]&lt;0,0,WWWW[[#This Row],[Total required Latrines]]-WWWW[[#This Row],[Total '# of latrine]])</f>
        <v>1</v>
      </c>
      <c r="BR85" s="210">
        <f>ROUND(IF(WWWW[[#This Row],[Location Type 1]]="camp",WWWW[[#This Row],[Total PoP ]]/20,WWWW[[#This Row],[Total PoP ]]/6),0)</f>
        <v>1</v>
      </c>
      <c r="BS85" s="212">
        <f>IF(OR(WWWW[[#This Row],['# Existing latrines dysfunctional]]="",WWWW[[#This Row],['# Existing latrines dysfunctional]]=0),0,WWWW[[#This Row],['# Existing latrines dysfunctional]]/WWWW[[#This Row],[Total '# of latrine]])</f>
        <v>0</v>
      </c>
      <c r="BT8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85" s="209">
        <f>IF(500*WWWW[[#This Row],['# Hygiene Promoters ]]&gt;WWWW[[#This Row],[Total PoP ]],WWWW[[#This Row],[Total PoP ]],500*WWWW[[#This Row],['# Hygiene Promoters ]])</f>
        <v>0</v>
      </c>
      <c r="BV85" s="209">
        <f>IF(WWWW[[#This Row],[% of HH with access to Sanitary Pad]]&gt;=100%,1,0)</f>
        <v>0</v>
      </c>
      <c r="BW85" s="209">
        <f>IF(WWWW[[#This Row],[Total PoP ]]=0,0,IF(WWWW[[#This Row],['# Hygiene Promoters ]]=0,0,IF(WWWW[[#This Row],[Location Type 1]]="Village",IF(WWWW[[#This Row],[Total PoP ]]/WWWW[[#This Row],['# Hygiene Promoters ]]&lt;1000,1,0),IF(WWWW[[#This Row],[Total PoP ]]/WWWW[[#This Row],['# Hygiene Promoters ]]&lt;600,1,0))))</f>
        <v>0</v>
      </c>
      <c r="BX85" s="209">
        <f>IF(WWWW[[#This Row],[%HH with access to soap]]&gt;=100%,1,0)</f>
        <v>0</v>
      </c>
      <c r="BY85" s="209">
        <f>IF(WWWW[[#This Row],[% of HHs with access to Sanitary pad more than '#%]]+WWWW[[#This Row],[Ratio of Hyiene promoters to people less than '#]]+WWWW[[#This Row],[% of HHs with access to soap more than '#%]]&gt;=2,WWWW[[#This Row],[Total PoP ]],0)</f>
        <v>0</v>
      </c>
      <c r="BZ85" s="208">
        <f>WWWW[[#This Row],[People adopt basic personal and community hygiene practices]]/WWWW[[#This Row],[Total PoP ]]</f>
        <v>0</v>
      </c>
      <c r="CA85" s="212">
        <f>1-WWWW[[#This Row],[Hygiene Coverage%]]</f>
        <v>1</v>
      </c>
      <c r="CB85" s="211">
        <f>WWWW[[#This Row],['# people reached by regular dedicated hygiene promotion_5]]/WWWW[[#This Row],[Total PoP ]]</f>
        <v>0</v>
      </c>
      <c r="CC85" s="211">
        <f>IF(WWWW[[#This Row],['# HH received soaps]]/WWWW[[#This Row],[Total HH]]&gt;1,1,WWWW[[#This Row],['# HH received soaps]]/WWWW[[#This Row],[Total HH]])</f>
        <v>0</v>
      </c>
      <c r="CD85" s="211">
        <f>IF(WWWW[[#This Row],['# HH received Sanitary Pads]]/WWWW[[#This Row],[Total HH]]&gt;1,1,WWWW[[#This Row],['# HH received Sanitary Pads]]/WWWW[[#This Row],[Total HH]])</f>
        <v>0</v>
      </c>
      <c r="CE85" s="210">
        <f>WWWW[[#This Row],['# HH received soaps]]*5</f>
        <v>0</v>
      </c>
      <c r="CF85" s="210">
        <f>WWWW[[#This Row],['# HH received Sanitary Pads]]*5</f>
        <v>0</v>
      </c>
      <c r="CG85" s="210">
        <f>IF(WWWW[[#This Row],['# People with access to soap]]&gt;WWWW[[#This Row],['# People with access to Sanity Pads]],WWWW[[#This Row],['# People with access to soap]],WWWW[[#This Row],['# People with access to Sanity Pads]])</f>
        <v>0</v>
      </c>
      <c r="CH85" s="209">
        <f>WWWW[[#This Row],[Total HH]]*WWWW[[#This Row],[%HHs with access to functional hand washing stations]]</f>
        <v>0</v>
      </c>
      <c r="CI85" s="699">
        <f>VLOOKUP(WWWW[[#This Row],[Site Name]],SiteDB6[[Site Name]:[CCCM Management]],6,FALSE)</f>
        <v>0</v>
      </c>
      <c r="CJ85" s="699" t="str">
        <f>VLOOKUP(WWWW[[#This Row],[Site Name]],SiteDB6[[Site Name]:[CCCM Focal Agency]],7,FALSE)</f>
        <v>uncovered</v>
      </c>
      <c r="CK85" s="699" t="str">
        <f>VLOOKUP(WWWW[[#This Row],[Site Name]],SiteDB6[[Site Name]:[Location Type]],8,FALSE)</f>
        <v>Camp</v>
      </c>
      <c r="CL85" s="699" t="str">
        <f>VLOOKUP(WWWW[[#This Row],[Site Name]],SiteDB6[[Site Name]:[Location Type 1]],9,FALSE)</f>
        <v>Camp</v>
      </c>
      <c r="CM85" s="699" t="str">
        <f>VLOOKUP(WWWW[[#This Row],[Site Name]],SiteDB6[[Site Name]:[Type of Accommodation]],10,FALSE)</f>
        <v>Host Families</v>
      </c>
      <c r="CN85" s="699" t="str">
        <f>VLOOKUP(WWWW[[#This Row],[Site Name]],SiteDB6[[Site Name]:[Ethnic or GCA/NGCA]],11,FALSE)</f>
        <v>GCA</v>
      </c>
      <c r="CO85" s="699">
        <f>VLOOKUP(WWWW[[#This Row],[Site Name]],SiteDB6[[Site Name]:[Lat]],12,FALSE)</f>
        <v>24.377054000000001</v>
      </c>
      <c r="CP85" s="699">
        <f>VLOOKUP(WWWW[[#This Row],[Site Name]],SiteDB6[[Site Name]:[Long]],13,FALSE)</f>
        <v>97.343406999999999</v>
      </c>
      <c r="CQ85" s="699" t="str">
        <f>VLOOKUP(WWWW[[#This Row],[Site Name]],SiteDB6[[Site Name]:[Pcode]],3,FALSE)</f>
        <v>MMR001CMP200</v>
      </c>
      <c r="CR85" s="660" t="str">
        <f t="shared" si="1"/>
        <v>Notcovered</v>
      </c>
      <c r="CS85" s="660"/>
      <c r="CT85" s="24"/>
      <c r="CU85" s="24"/>
      <c r="CV85" s="24"/>
    </row>
    <row r="86" spans="1:100" ht="15.75" customHeight="1" x14ac:dyDescent="0.25">
      <c r="A86" s="833" t="s">
        <v>3206</v>
      </c>
      <c r="B86" s="206" t="s">
        <v>1428</v>
      </c>
      <c r="C86" s="206" t="s">
        <v>44</v>
      </c>
      <c r="D86" s="206" t="s">
        <v>351</v>
      </c>
      <c r="E86" s="206" t="s">
        <v>439</v>
      </c>
      <c r="F86" s="209">
        <v>440</v>
      </c>
      <c r="G86" s="209">
        <v>2199</v>
      </c>
      <c r="H86" s="206"/>
      <c r="I86" s="206" t="s">
        <v>391</v>
      </c>
      <c r="J86" s="207" t="s">
        <v>2813</v>
      </c>
      <c r="K86" s="206">
        <v>0</v>
      </c>
      <c r="L86" s="206" t="s">
        <v>282</v>
      </c>
      <c r="M86" s="208">
        <v>0</v>
      </c>
      <c r="N86" s="208">
        <v>0</v>
      </c>
      <c r="O86" s="316">
        <v>0</v>
      </c>
      <c r="P86" s="317">
        <v>1</v>
      </c>
      <c r="Q86" s="317">
        <v>0</v>
      </c>
      <c r="R86" s="318">
        <v>0</v>
      </c>
      <c r="S86" s="318">
        <v>0</v>
      </c>
      <c r="T86" s="318">
        <v>0</v>
      </c>
      <c r="U86" s="318">
        <v>0</v>
      </c>
      <c r="V86" s="318">
        <v>0</v>
      </c>
      <c r="W86" s="318"/>
      <c r="X86" s="318"/>
      <c r="Y86" s="318">
        <v>0</v>
      </c>
      <c r="Z86" s="318"/>
      <c r="AA86" s="310">
        <v>16</v>
      </c>
      <c r="AB86" s="310">
        <v>0</v>
      </c>
      <c r="AC86" s="66">
        <v>0</v>
      </c>
      <c r="AD86" s="66"/>
      <c r="AE86" s="310">
        <v>0</v>
      </c>
      <c r="AF86" s="310" t="s">
        <v>283</v>
      </c>
      <c r="AG86" s="311" t="s">
        <v>332</v>
      </c>
      <c r="AH86" s="311">
        <v>0</v>
      </c>
      <c r="AI86" s="310">
        <v>0</v>
      </c>
      <c r="AJ86" s="310"/>
      <c r="AK86" s="841">
        <v>0</v>
      </c>
      <c r="AL86" s="842" t="s">
        <v>291</v>
      </c>
      <c r="AM86" s="842">
        <v>0</v>
      </c>
      <c r="AN86" s="863" t="s">
        <v>2455</v>
      </c>
      <c r="AO86" s="863"/>
      <c r="AP86" s="838"/>
      <c r="AQ86" s="843">
        <v>0</v>
      </c>
      <c r="AR86" s="843"/>
      <c r="AS86" s="843"/>
      <c r="AT86" s="843">
        <v>0</v>
      </c>
      <c r="AU86" s="843">
        <v>0</v>
      </c>
      <c r="AV86" s="844" t="s">
        <v>2461</v>
      </c>
      <c r="AW86" s="208" t="str">
        <f>IFERROR(WWWW[[#This Row],['# of Water passed at source]]/WWWW[[#This Row],['# of Water tested at source]],"no test")</f>
        <v>no test</v>
      </c>
      <c r="AX86" s="211" t="str">
        <f>IFERROR(WWWW[[#This Row],['# of Water passed at HH]]/WWWW[[#This Row],['# of Water tested at HH]],"no test")</f>
        <v>no test</v>
      </c>
      <c r="AY86" s="210" t="str">
        <f>IF(AND(WWWW[[#This Row],[%of Water samples which passed at water source]]="no test",WWWW[[#This Row],[%Water samples which passed at HH]]="no test"),"No Test","Tested")</f>
        <v>No Test</v>
      </c>
      <c r="AZ8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0.11368804001819009</v>
      </c>
      <c r="BB86" s="211">
        <f>IF(WWWW[[#This Row],[Location Type 1]]="Village",WWWW[[#This Row],[Access to safe drinking water for Village]],WWWW[[#This Row],[Access to safe drinking water for Camp]])</f>
        <v>1</v>
      </c>
      <c r="BC86" s="209">
        <f>WWWW[[#This Row],[%Equitable and continuous access to sufficient quantity of safe drinking water]]*WWWW[[#This Row],[Total PoP ]]</f>
        <v>2199</v>
      </c>
      <c r="BD86" s="211">
        <f>IF((WWWW[[#This Row],['# Existing protected/fenced ponds ]]*250)/WWWW[[#This Row],[Total PoP ]]&gt;1,1,WWWW[[#This Row],['# Existing protected/fenced ponds ]]*250/WWWW[[#This Row],[Total PoP ]])</f>
        <v>0</v>
      </c>
      <c r="BE86" s="209">
        <f>WWWW[[#This Row],[Access to unimproved water points]]*WWWW[[#This Row],[Total PoP ]]</f>
        <v>0</v>
      </c>
      <c r="BF8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2199</v>
      </c>
      <c r="BH86" s="209">
        <f>WWWW[[#This Row],['#people Equitable and continuous access to sufficient quantity of domestic water borehole n ponds_2]]/500</f>
        <v>4.3979999999999997</v>
      </c>
      <c r="BI86" s="208">
        <f>1-WWWW[[#This Row],[%Equitable and continuous access to sufficient quantity of domestic water borehole n ponds]]</f>
        <v>0</v>
      </c>
      <c r="BJ86" s="209">
        <f>WWWW[[#This Row],[%equitable and continuous access to sufficient quantity of safe drinking and domestic water''s GAP]]*WWWW[[#This Row],[Total PoP ]]</f>
        <v>0</v>
      </c>
      <c r="BK86" s="210">
        <f>IF(WWWW[[#This Row],[Total required water points]]-WWWW[[#This Row],['#Water points coverage]]&lt;0,0,WWWW[[#This Row],[Total required water points]]-WWWW[[#This Row],['#Water points coverage]])</f>
        <v>0</v>
      </c>
      <c r="BL86" s="210">
        <f>ROUND(IF(WWWW[[#This Row],[Total PoP ]]&lt;500,1,WWWW[[#This Row],[Total PoP ]]/500),0)</f>
        <v>4</v>
      </c>
      <c r="BM86" s="210">
        <f>WWWW[[#This Row],['# Existing functional latrines]]+WWWW[[#This Row],['# Existing latrines dysfunctional]]</f>
        <v>16</v>
      </c>
      <c r="BN8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0.14552069122328332</v>
      </c>
      <c r="BO86" s="352">
        <f>WWWW[[#This Row],[% people access to functioning Latrine]]*WWWW[[#This Row],[Total PoP ]]</f>
        <v>320</v>
      </c>
      <c r="BP8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0.85493406093678947</v>
      </c>
      <c r="BQ86" s="209">
        <f>IF(WWWW[[#This Row],[Total required Latrines]]-WWWW[[#This Row],[Total '# of latrine]]&lt;0,0,WWWW[[#This Row],[Total required Latrines]]-WWWW[[#This Row],[Total '# of latrine]])</f>
        <v>94</v>
      </c>
      <c r="BR86" s="210">
        <f>ROUND(IF(WWWW[[#This Row],[Location Type 1]]="camp",WWWW[[#This Row],[Total PoP ]]/20,WWWW[[#This Row],[Total PoP ]]/6),0)</f>
        <v>110</v>
      </c>
      <c r="BS86" s="212">
        <f>IF(OR(WWWW[[#This Row],['# Existing latrines dysfunctional]]="",WWWW[[#This Row],['# Existing latrines dysfunctional]]=0),0,WWWW[[#This Row],['# Existing latrines dysfunctional]]/WWWW[[#This Row],[Total '# of latrine]])</f>
        <v>0</v>
      </c>
      <c r="BT8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86" s="209">
        <f>IF(500*WWWW[[#This Row],['# Hygiene Promoters ]]&gt;WWWW[[#This Row],[Total PoP ]],WWWW[[#This Row],[Total PoP ]],500*WWWW[[#This Row],['# Hygiene Promoters ]])</f>
        <v>0</v>
      </c>
      <c r="BV86" s="209">
        <f>IF(WWWW[[#This Row],[% of HH with access to Sanitary Pad]]&gt;=100%,1,0)</f>
        <v>0</v>
      </c>
      <c r="BW86" s="209">
        <f>IF(WWWW[[#This Row],[Total PoP ]]=0,0,IF(WWWW[[#This Row],['# Hygiene Promoters ]]=0,0,IF(WWWW[[#This Row],[Location Type 1]]="Village",IF(WWWW[[#This Row],[Total PoP ]]/WWWW[[#This Row],['# Hygiene Promoters ]]&lt;1000,1,0),IF(WWWW[[#This Row],[Total PoP ]]/WWWW[[#This Row],['# Hygiene Promoters ]]&lt;600,1,0))))</f>
        <v>0</v>
      </c>
      <c r="BX86" s="209">
        <f>IF(WWWW[[#This Row],[%HH with access to soap]]&gt;=100%,1,0)</f>
        <v>0</v>
      </c>
      <c r="BY86" s="209">
        <f>IF(WWWW[[#This Row],[% of HHs with access to Sanitary pad more than '#%]]+WWWW[[#This Row],[Ratio of Hyiene promoters to people less than '#]]+WWWW[[#This Row],[% of HHs with access to soap more than '#%]]&gt;=2,WWWW[[#This Row],[Total PoP ]],0)</f>
        <v>0</v>
      </c>
      <c r="BZ86" s="208">
        <f>WWWW[[#This Row],[People adopt basic personal and community hygiene practices]]/WWWW[[#This Row],[Total PoP ]]</f>
        <v>0</v>
      </c>
      <c r="CA86" s="212">
        <f>1-WWWW[[#This Row],[Hygiene Coverage%]]</f>
        <v>1</v>
      </c>
      <c r="CB86" s="211">
        <f>WWWW[[#This Row],['# people reached by regular dedicated hygiene promotion_5]]/WWWW[[#This Row],[Total PoP ]]</f>
        <v>0</v>
      </c>
      <c r="CC86" s="211">
        <f>IF(WWWW[[#This Row],['# HH received soaps]]/WWWW[[#This Row],[Total HH]]&gt;1,1,WWWW[[#This Row],['# HH received soaps]]/WWWW[[#This Row],[Total HH]])</f>
        <v>0</v>
      </c>
      <c r="CD86" s="211">
        <f>IF(WWWW[[#This Row],['# HH received Sanitary Pads]]/WWWW[[#This Row],[Total HH]]&gt;1,1,WWWW[[#This Row],['# HH received Sanitary Pads]]/WWWW[[#This Row],[Total HH]])</f>
        <v>0</v>
      </c>
      <c r="CE86" s="210">
        <f>WWWW[[#This Row],['# HH received soaps]]*5</f>
        <v>0</v>
      </c>
      <c r="CF86" s="210">
        <f>WWWW[[#This Row],['# HH received Sanitary Pads]]*5</f>
        <v>0</v>
      </c>
      <c r="CG86" s="210">
        <f>IF(WWWW[[#This Row],['# People with access to soap]]&gt;WWWW[[#This Row],['# People with access to Sanity Pads]],WWWW[[#This Row],['# People with access to soap]],WWWW[[#This Row],['# People with access to Sanity Pads]])</f>
        <v>0</v>
      </c>
      <c r="CH86" s="209">
        <f>WWWW[[#This Row],[Total HH]]*WWWW[[#This Row],[%HHs with access to functional hand washing stations]]</f>
        <v>0</v>
      </c>
      <c r="CI86" s="699">
        <f>VLOOKUP(WWWW[[#This Row],[Site Name]],SiteDB6[[Site Name]:[CCCM Management]],6,FALSE)</f>
        <v>0</v>
      </c>
      <c r="CJ86" s="699">
        <f>VLOOKUP(WWWW[[#This Row],[Site Name]],SiteDB6[[Site Name]:[CCCM Focal Agency]],7,FALSE)</f>
        <v>0</v>
      </c>
      <c r="CK86" s="699" t="str">
        <f>VLOOKUP(WWWW[[#This Row],[Site Name]],SiteDB6[[Site Name]:[Location Type]],8,FALSE)</f>
        <v>Camp_not registered</v>
      </c>
      <c r="CL86" s="699" t="str">
        <f>VLOOKUP(WWWW[[#This Row],[Site Name]],SiteDB6[[Site Name]:[Location Type 1]],9,FALSE)</f>
        <v>Camp</v>
      </c>
      <c r="CM86" s="699" t="str">
        <f>VLOOKUP(WWWW[[#This Row],[Site Name]],SiteDB6[[Site Name]:[Type of Accommodation]],10,FALSE)</f>
        <v>School</v>
      </c>
      <c r="CN86" s="699" t="str">
        <f>VLOOKUP(WWWW[[#This Row],[Site Name]],SiteDB6[[Site Name]:[Ethnic or GCA/NGCA]],11,FALSE)</f>
        <v>NGCA</v>
      </c>
      <c r="CO86" s="699">
        <f>VLOOKUP(WWWW[[#This Row],[Site Name]],SiteDB6[[Site Name]:[Lat]],12,FALSE)</f>
        <v>0</v>
      </c>
      <c r="CP86" s="699">
        <f>VLOOKUP(WWWW[[#This Row],[Site Name]],SiteDB6[[Site Name]:[Long]],13,FALSE)</f>
        <v>0</v>
      </c>
      <c r="CQ86" s="699">
        <f>VLOOKUP(WWWW[[#This Row],[Site Name]],SiteDB6[[Site Name]:[Pcode]],3,FALSE)</f>
        <v>0</v>
      </c>
      <c r="CR86" s="660" t="str">
        <f t="shared" si="1"/>
        <v>Covered</v>
      </c>
      <c r="CS86" s="660"/>
      <c r="CT86" s="24"/>
      <c r="CU86" s="24"/>
      <c r="CV86" s="24"/>
    </row>
    <row r="87" spans="1:100" ht="15.75" customHeight="1" x14ac:dyDescent="0.25">
      <c r="A87" s="833" t="s">
        <v>3206</v>
      </c>
      <c r="B87" s="206" t="s">
        <v>426</v>
      </c>
      <c r="C87" s="206" t="s">
        <v>44</v>
      </c>
      <c r="D87" s="206" t="s">
        <v>351</v>
      </c>
      <c r="E87" s="206" t="s">
        <v>431</v>
      </c>
      <c r="F87" s="206">
        <v>40</v>
      </c>
      <c r="G87" s="209">
        <v>240</v>
      </c>
      <c r="H87" s="206"/>
      <c r="I87" s="206" t="s">
        <v>428</v>
      </c>
      <c r="J87" s="207" t="s">
        <v>2809</v>
      </c>
      <c r="K87" s="206">
        <v>0</v>
      </c>
      <c r="L87" s="206" t="s">
        <v>48</v>
      </c>
      <c r="M87" s="208">
        <v>0.66666666666666663</v>
      </c>
      <c r="N87" s="208">
        <v>1</v>
      </c>
      <c r="O87" s="323">
        <v>0</v>
      </c>
      <c r="P87" s="317">
        <v>1</v>
      </c>
      <c r="Q87" s="317">
        <v>271500</v>
      </c>
      <c r="R87" s="318">
        <v>0</v>
      </c>
      <c r="S87" s="318">
        <v>0</v>
      </c>
      <c r="T87" s="318"/>
      <c r="U87" s="318">
        <v>0</v>
      </c>
      <c r="V87" s="318">
        <v>0</v>
      </c>
      <c r="W87" s="318">
        <v>8</v>
      </c>
      <c r="X87" s="318">
        <v>7</v>
      </c>
      <c r="Y87" s="318">
        <v>0</v>
      </c>
      <c r="Z87" s="318"/>
      <c r="AA87" s="310">
        <v>18</v>
      </c>
      <c r="AB87" s="311">
        <v>0</v>
      </c>
      <c r="AC87" s="66">
        <v>8</v>
      </c>
      <c r="AD87" s="66" t="s">
        <v>2785</v>
      </c>
      <c r="AE87" s="310">
        <v>0</v>
      </c>
      <c r="AF87" s="310" t="s">
        <v>283</v>
      </c>
      <c r="AG87" s="311" t="s">
        <v>283</v>
      </c>
      <c r="AH87" s="66">
        <v>0</v>
      </c>
      <c r="AI87" s="66">
        <v>0</v>
      </c>
      <c r="AJ87" s="311" t="s">
        <v>2460</v>
      </c>
      <c r="AK87" s="841">
        <v>1</v>
      </c>
      <c r="AL87" s="846" t="s">
        <v>291</v>
      </c>
      <c r="AM87" s="844">
        <v>0</v>
      </c>
      <c r="AN87" s="863">
        <v>1</v>
      </c>
      <c r="AO87" s="863">
        <v>1</v>
      </c>
      <c r="AP87" s="838">
        <v>33</v>
      </c>
      <c r="AQ87" s="843">
        <v>32</v>
      </c>
      <c r="AR87" s="843"/>
      <c r="AS87" s="843"/>
      <c r="AT87" s="843">
        <v>1</v>
      </c>
      <c r="AU87" s="843">
        <v>0</v>
      </c>
      <c r="AV87" s="844" t="s">
        <v>2461</v>
      </c>
      <c r="AW87" s="208" t="str">
        <f>IFERROR(WWWW[[#This Row],['# of Water passed at source]]/WWWW[[#This Row],['# of Water tested at source]],"no test")</f>
        <v>no test</v>
      </c>
      <c r="AX87" s="211">
        <f>IFERROR(WWWW[[#This Row],['# of Water passed at HH]]/WWWW[[#This Row],['# of Water tested at HH]],"no test")</f>
        <v>0.875</v>
      </c>
      <c r="AY87" s="210" t="str">
        <f>IF(AND(WWWW[[#This Row],[%of Water samples which passed at water source]]="no test",WWWW[[#This Row],[%Water samples which passed at HH]]="no test"),"No Test","Tested")</f>
        <v>Tested</v>
      </c>
      <c r="AZ8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87" s="211">
        <f>WWWW[[#This Row],[Access to safe drinking water for Village]]</f>
        <v>1</v>
      </c>
      <c r="BC87" s="209">
        <f>WWWW[[#This Row],[%Equitable and continuous access to sufficient quantity of safe drinking water]]*WWWW[[#This Row],[Total PoP ]]</f>
        <v>240</v>
      </c>
      <c r="BD87" s="211">
        <f>IF((WWWW[[#This Row],['# Existing protected/fenced ponds ]]*250)/WWWW[[#This Row],[Total PoP ]]&gt;1,1,WWWW[[#This Row],['# Existing protected/fenced ponds ]]*250/WWWW[[#This Row],[Total PoP ]])</f>
        <v>0</v>
      </c>
      <c r="BE87" s="209">
        <f>WWWW[[#This Row],[Access to unimproved water points]]*WWWW[[#This Row],[Total PoP ]]</f>
        <v>0</v>
      </c>
      <c r="BF8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240</v>
      </c>
      <c r="BH87" s="209">
        <f>ROUND(WWWW[[#This Row],['#people Equitable and continuous access to sufficient quantity of domestic water borehole n ponds_2]]/500,0)</f>
        <v>0</v>
      </c>
      <c r="BI87" s="208">
        <f>1-WWWW[[#This Row],[%Equitable and continuous access to sufficient quantity of domestic water borehole n ponds]]</f>
        <v>0</v>
      </c>
      <c r="BJ87" s="209">
        <f>WWWW[[#This Row],[%equitable and continuous access to sufficient quantity of safe drinking and domestic water''s GAP]]*WWWW[[#This Row],[Total PoP ]]</f>
        <v>0</v>
      </c>
      <c r="BK87" s="210">
        <f>IF(WWWW[[#This Row],[Total required water points]]-WWWW[[#This Row],['#Water points coverage]]&lt;0,0,WWWW[[#This Row],[Total required water points]]-WWWW[[#This Row],['#Water points coverage]])</f>
        <v>1</v>
      </c>
      <c r="BL87" s="210">
        <f>ROUND(IF(WWWW[[#This Row],[Total PoP ]]&lt;500,1,WWWW[[#This Row],[Total PoP ]]/500),0)</f>
        <v>1</v>
      </c>
      <c r="BM87" s="210">
        <f>WWWW[[#This Row],['# Existing functional latrines]]+WWWW[[#This Row],['# Existing latrines dysfunctional]]</f>
        <v>18</v>
      </c>
      <c r="BN8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87" s="352">
        <f>WWWW[[#This Row],[% people access to functioning Latrine]]*WWWW[[#This Row],[Total PoP ]]</f>
        <v>240</v>
      </c>
      <c r="BP8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87" s="209">
        <f>IF(WWWW[[#This Row],[Total required Latrines]]-WWWW[[#This Row],[Total '# of latrine]]&lt;0,0,WWWW[[#This Row],[Total required Latrines]]-WWWW[[#This Row],[Total '# of latrine]])</f>
        <v>0</v>
      </c>
      <c r="BR87" s="210">
        <f>ROUND(IF(WWWW[[#This Row],[Location Type 1]]="camp",WWWW[[#This Row],[Total PoP ]]/20,WWWW[[#This Row],[Total PoP ]]/6),0)</f>
        <v>12</v>
      </c>
      <c r="BS87" s="212">
        <f>IF(OR(WWWW[[#This Row],['# Existing latrines dysfunctional]]="",WWWW[[#This Row],['# Existing latrines dysfunctional]]=0),0,WWWW[[#This Row],['# Existing latrines dysfunctional]]/WWWW[[#This Row],[Total '# of latrine]])</f>
        <v>0</v>
      </c>
      <c r="BT8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160</v>
      </c>
      <c r="BU87" s="209">
        <f>IF(500*WWWW[[#This Row],['# Hygiene Promoters ]]&gt;WWWW[[#This Row],[Total PoP ]],WWWW[[#This Row],[Total PoP ]],500*WWWW[[#This Row],['# Hygiene Promoters ]])</f>
        <v>240</v>
      </c>
      <c r="BV87" s="209">
        <f>IF(WWWW[[#This Row],[% of HH with access to Sanitary Pad]]&gt;=100%,1,0)</f>
        <v>0</v>
      </c>
      <c r="BW87" s="209">
        <f>IF(WWWW[[#This Row],[Total PoP ]]=0,0,IF(WWWW[[#This Row],['# Hygiene Promoters ]]=0,0,IF(WWWW[[#This Row],[Location Type 1]]="Village",IF(WWWW[[#This Row],[Total PoP ]]/WWWW[[#This Row],['# Hygiene Promoters ]]&lt;1000,1,0),IF(WWWW[[#This Row],[Total PoP ]]/WWWW[[#This Row],['# Hygiene Promoters ]]&lt;600,1,0))))</f>
        <v>1</v>
      </c>
      <c r="BX87" s="209">
        <f>IF(WWWW[[#This Row],[%HH with access to soap]]&gt;=100%,1,0)</f>
        <v>0</v>
      </c>
      <c r="BY87" s="209">
        <f>IF(WWWW[[#This Row],[% of HHs with access to Sanitary pad more than '#%]]+WWWW[[#This Row],[Ratio of Hyiene promoters to people less than '#]]+WWWW[[#This Row],[% of HHs with access to soap more than '#%]]&gt;=2,WWWW[[#This Row],[Total PoP ]],0)</f>
        <v>0</v>
      </c>
      <c r="BZ87" s="208">
        <f>WWWW[[#This Row],[People adopt basic personal and community hygiene practices]]/WWWW[[#This Row],[Total PoP ]]</f>
        <v>0</v>
      </c>
      <c r="CA87" s="212">
        <f>1-WWWW[[#This Row],[Hygiene Coverage%]]</f>
        <v>1</v>
      </c>
      <c r="CB87" s="211">
        <f>WWWW[[#This Row],['# people reached by regular dedicated hygiene promotion_5]]/WWWW[[#This Row],[Total PoP ]]</f>
        <v>1</v>
      </c>
      <c r="CC87" s="211">
        <f>IF(WWWW[[#This Row],['# HH received soaps]]/WWWW[[#This Row],[Total HH]]&gt;1,1,WWWW[[#This Row],['# HH received soaps]]/WWWW[[#This Row],[Total HH]])</f>
        <v>0.82499999999999996</v>
      </c>
      <c r="CD87" s="211">
        <f>IF(WWWW[[#This Row],['# HH received Sanitary Pads]]/WWWW[[#This Row],[Total HH]]&gt;1,1,WWWW[[#This Row],['# HH received Sanitary Pads]]/WWWW[[#This Row],[Total HH]])</f>
        <v>0.8</v>
      </c>
      <c r="CE87" s="210">
        <f>WWWW[[#This Row],['# HH received soaps]]*5</f>
        <v>165</v>
      </c>
      <c r="CF87" s="210">
        <f>WWWW[[#This Row],['# HH received Sanitary Pads]]*5</f>
        <v>160</v>
      </c>
      <c r="CG87" s="210">
        <f>IF(WWWW[[#This Row],['# People with access to soap]]&gt;WWWW[[#This Row],['# People with access to Sanity Pads]],WWWW[[#This Row],['# People with access to soap]],WWWW[[#This Row],['# People with access to Sanity Pads]])</f>
        <v>165</v>
      </c>
      <c r="CH87" s="209">
        <f>WWWW[[#This Row],[Total HH]]*WWWW[[#This Row],[%HHs with access to functional hand washing stations]]</f>
        <v>40</v>
      </c>
      <c r="CI87" s="699" t="str">
        <f>VLOOKUP(WWWW[[#This Row],[Site Name]],SiteDB6[[Site Name]:[CCCM Management]],6,FALSE)</f>
        <v>Yes</v>
      </c>
      <c r="CJ87" s="699" t="str">
        <f>VLOOKUP(WWWW[[#This Row],[Site Name]],SiteDB6[[Site Name]:[CCCM Focal Agency]],7,FALSE)</f>
        <v>KBC</v>
      </c>
      <c r="CK87" s="699" t="str">
        <f>VLOOKUP(WWWW[[#This Row],[Site Name]],SiteDB6[[Site Name]:[Location Type]],8,FALSE)</f>
        <v>Camp</v>
      </c>
      <c r="CL87" s="699" t="str">
        <f>VLOOKUP(WWWW[[#This Row],[Site Name]],SiteDB6[[Site Name]:[Location Type 1]],9,FALSE)</f>
        <v>Camp</v>
      </c>
      <c r="CM87" s="699" t="str">
        <f>VLOOKUP(WWWW[[#This Row],[Site Name]],SiteDB6[[Site Name]:[Type of Accommodation]],10,FALSE)</f>
        <v>Camp</v>
      </c>
      <c r="CN87" s="699" t="str">
        <f>VLOOKUP(WWWW[[#This Row],[Site Name]],SiteDB6[[Site Name]:[Ethnic or GCA/NGCA]],11,FALSE)</f>
        <v>GCA</v>
      </c>
      <c r="CO87" s="699">
        <f>VLOOKUP(WWWW[[#This Row],[Site Name]],SiteDB6[[Site Name]:[Lat]],12,FALSE)</f>
        <v>24.200972</v>
      </c>
      <c r="CP87" s="699">
        <f>VLOOKUP(WWWW[[#This Row],[Site Name]],SiteDB6[[Site Name]:[Long]],13,FALSE)</f>
        <v>97.718582999999995</v>
      </c>
      <c r="CQ87" s="699" t="str">
        <f>VLOOKUP(WWWW[[#This Row],[Site Name]],SiteDB6[[Site Name]:[Pcode]],3,FALSE)</f>
        <v>MMR001CMP071</v>
      </c>
      <c r="CR87" s="660" t="str">
        <f t="shared" si="1"/>
        <v>Covered</v>
      </c>
      <c r="CS87" s="699" t="s">
        <v>2490</v>
      </c>
      <c r="CT87" s="24"/>
      <c r="CU87" s="24"/>
      <c r="CV87" s="24"/>
    </row>
    <row r="88" spans="1:100" ht="15.75" customHeight="1" x14ac:dyDescent="0.25">
      <c r="A88" s="833" t="s">
        <v>3206</v>
      </c>
      <c r="B88" s="206" t="s">
        <v>426</v>
      </c>
      <c r="C88" s="206" t="s">
        <v>44</v>
      </c>
      <c r="D88" s="206" t="s">
        <v>351</v>
      </c>
      <c r="E88" s="206" t="s">
        <v>432</v>
      </c>
      <c r="F88" s="206">
        <v>67</v>
      </c>
      <c r="G88" s="209">
        <v>379</v>
      </c>
      <c r="H88" s="206"/>
      <c r="I88" s="206" t="s">
        <v>428</v>
      </c>
      <c r="J88" s="207" t="s">
        <v>2809</v>
      </c>
      <c r="K88" s="206">
        <v>0</v>
      </c>
      <c r="L88" s="206" t="s">
        <v>48</v>
      </c>
      <c r="M88" s="208">
        <v>0.375</v>
      </c>
      <c r="N88" s="208">
        <v>0</v>
      </c>
      <c r="O88" s="323">
        <v>0</v>
      </c>
      <c r="P88" s="317">
        <v>1</v>
      </c>
      <c r="Q88" s="317">
        <v>274980</v>
      </c>
      <c r="R88" s="318">
        <v>0</v>
      </c>
      <c r="S88" s="318">
        <v>0</v>
      </c>
      <c r="T88" s="318"/>
      <c r="U88" s="318">
        <v>0</v>
      </c>
      <c r="V88" s="318">
        <v>0</v>
      </c>
      <c r="W88" s="318">
        <v>9</v>
      </c>
      <c r="X88" s="318">
        <v>8</v>
      </c>
      <c r="Y88" s="318">
        <v>0</v>
      </c>
      <c r="Z88" s="318"/>
      <c r="AA88" s="310">
        <v>16</v>
      </c>
      <c r="AB88" s="311">
        <v>0</v>
      </c>
      <c r="AC88" s="66">
        <v>12</v>
      </c>
      <c r="AD88" s="66" t="s">
        <v>2785</v>
      </c>
      <c r="AE88" s="310">
        <v>0</v>
      </c>
      <c r="AF88" s="310" t="s">
        <v>283</v>
      </c>
      <c r="AG88" s="311" t="s">
        <v>283</v>
      </c>
      <c r="AH88" s="66">
        <v>0</v>
      </c>
      <c r="AI88" s="66">
        <v>0</v>
      </c>
      <c r="AJ88" s="311" t="s">
        <v>2460</v>
      </c>
      <c r="AK88" s="841">
        <v>1</v>
      </c>
      <c r="AL88" s="846" t="s">
        <v>291</v>
      </c>
      <c r="AM88" s="844">
        <v>0</v>
      </c>
      <c r="AN88" s="863">
        <v>3</v>
      </c>
      <c r="AO88" s="863">
        <v>2</v>
      </c>
      <c r="AP88" s="838">
        <v>50</v>
      </c>
      <c r="AQ88" s="843">
        <v>50</v>
      </c>
      <c r="AR88" s="843"/>
      <c r="AS88" s="843"/>
      <c r="AT88" s="843">
        <v>2</v>
      </c>
      <c r="AU88" s="843">
        <v>0</v>
      </c>
      <c r="AV88" s="844" t="s">
        <v>2461</v>
      </c>
      <c r="AW88" s="208" t="str">
        <f>IFERROR(WWWW[[#This Row],['# of Water passed at source]]/WWWW[[#This Row],['# of Water tested at source]],"no test")</f>
        <v>no test</v>
      </c>
      <c r="AX88" s="211">
        <f>IFERROR(WWWW[[#This Row],['# of Water passed at HH]]/WWWW[[#This Row],['# of Water tested at HH]],"no test")</f>
        <v>0.88888888888888884</v>
      </c>
      <c r="AY88" s="210" t="str">
        <f>IF(AND(WWWW[[#This Row],[%of Water samples which passed at water source]]="no test",WWWW[[#This Row],[%Water samples which passed at HH]]="no test"),"No Test","Tested")</f>
        <v>Tested</v>
      </c>
      <c r="AZ8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88" s="211">
        <f>WWWW[[#This Row],[Access to safe drinking water for Village]]</f>
        <v>1</v>
      </c>
      <c r="BC88" s="209">
        <f>WWWW[[#This Row],[%Equitable and continuous access to sufficient quantity of safe drinking water]]*WWWW[[#This Row],[Total PoP ]]</f>
        <v>379</v>
      </c>
      <c r="BD88" s="211">
        <f>IF((WWWW[[#This Row],['# Existing protected/fenced ponds ]]*250)/WWWW[[#This Row],[Total PoP ]]&gt;1,1,WWWW[[#This Row],['# Existing protected/fenced ponds ]]*250/WWWW[[#This Row],[Total PoP ]])</f>
        <v>0</v>
      </c>
      <c r="BE88" s="209">
        <f>WWWW[[#This Row],[Access to unimproved water points]]*WWWW[[#This Row],[Total PoP ]]</f>
        <v>0</v>
      </c>
      <c r="BF8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379</v>
      </c>
      <c r="BH88" s="209">
        <f>ROUND(WWWW[[#This Row],['#people Equitable and continuous access to sufficient quantity of domestic water borehole n ponds_2]]/500,0)</f>
        <v>1</v>
      </c>
      <c r="BI88" s="208">
        <f>1-WWWW[[#This Row],[%Equitable and continuous access to sufficient quantity of domestic water borehole n ponds]]</f>
        <v>0</v>
      </c>
      <c r="BJ88" s="209">
        <f>WWWW[[#This Row],[%equitable and continuous access to sufficient quantity of safe drinking and domestic water''s GAP]]*WWWW[[#This Row],[Total PoP ]]</f>
        <v>0</v>
      </c>
      <c r="BK88" s="210">
        <f>IF(WWWW[[#This Row],[Total required water points]]-WWWW[[#This Row],['#Water points coverage]]&lt;0,0,WWWW[[#This Row],[Total required water points]]-WWWW[[#This Row],['#Water points coverage]])</f>
        <v>0</v>
      </c>
      <c r="BL88" s="210">
        <f>ROUND(IF(WWWW[[#This Row],[Total PoP ]]&lt;500,1,WWWW[[#This Row],[Total PoP ]]/500),0)</f>
        <v>1</v>
      </c>
      <c r="BM88" s="210">
        <f>WWWW[[#This Row],['# Existing functional latrines]]+WWWW[[#This Row],['# Existing latrines dysfunctional]]</f>
        <v>16</v>
      </c>
      <c r="BN8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0.84432717678100266</v>
      </c>
      <c r="BO88" s="352">
        <f>WWWW[[#This Row],[% people access to functioning Latrine]]*WWWW[[#This Row],[Total PoP ]]</f>
        <v>320</v>
      </c>
      <c r="BP8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0.15831134564643801</v>
      </c>
      <c r="BQ88" s="209">
        <f>IF(WWWW[[#This Row],[Total required Latrines]]-WWWW[[#This Row],[Total '# of latrine]]&lt;0,0,WWWW[[#This Row],[Total required Latrines]]-WWWW[[#This Row],[Total '# of latrine]])</f>
        <v>3</v>
      </c>
      <c r="BR88" s="210">
        <f>ROUND(IF(WWWW[[#This Row],[Location Type 1]]="camp",WWWW[[#This Row],[Total PoP ]]/20,WWWW[[#This Row],[Total PoP ]]/6),0)</f>
        <v>19</v>
      </c>
      <c r="BS88" s="212">
        <f>IF(OR(WWWW[[#This Row],['# Existing latrines dysfunctional]]="",WWWW[[#This Row],['# Existing latrines dysfunctional]]=0),0,WWWW[[#This Row],['# Existing latrines dysfunctional]]/WWWW[[#This Row],[Total '# of latrine]])</f>
        <v>0</v>
      </c>
      <c r="BT8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240</v>
      </c>
      <c r="BU88" s="209">
        <f>IF(500*WWWW[[#This Row],['# Hygiene Promoters ]]&gt;WWWW[[#This Row],[Total PoP ]],WWWW[[#This Row],[Total PoP ]],500*WWWW[[#This Row],['# Hygiene Promoters ]])</f>
        <v>379</v>
      </c>
      <c r="BV88" s="209">
        <f>IF(WWWW[[#This Row],[% of HH with access to Sanitary Pad]]&gt;=100%,1,0)</f>
        <v>0</v>
      </c>
      <c r="BW88" s="209">
        <f>IF(WWWW[[#This Row],[Total PoP ]]=0,0,IF(WWWW[[#This Row],['# Hygiene Promoters ]]=0,0,IF(WWWW[[#This Row],[Location Type 1]]="Village",IF(WWWW[[#This Row],[Total PoP ]]/WWWW[[#This Row],['# Hygiene Promoters ]]&lt;1000,1,0),IF(WWWW[[#This Row],[Total PoP ]]/WWWW[[#This Row],['# Hygiene Promoters ]]&lt;600,1,0))))</f>
        <v>1</v>
      </c>
      <c r="BX88" s="209">
        <f>IF(WWWW[[#This Row],[%HH with access to soap]]&gt;=100%,1,0)</f>
        <v>0</v>
      </c>
      <c r="BY88" s="209">
        <f>IF(WWWW[[#This Row],[% of HHs with access to Sanitary pad more than '#%]]+WWWW[[#This Row],[Ratio of Hyiene promoters to people less than '#]]+WWWW[[#This Row],[% of HHs with access to soap more than '#%]]&gt;=2,WWWW[[#This Row],[Total PoP ]],0)</f>
        <v>0</v>
      </c>
      <c r="BZ88" s="208">
        <f>WWWW[[#This Row],[People adopt basic personal and community hygiene practices]]/WWWW[[#This Row],[Total PoP ]]</f>
        <v>0</v>
      </c>
      <c r="CA88" s="212">
        <f>1-WWWW[[#This Row],[Hygiene Coverage%]]</f>
        <v>1</v>
      </c>
      <c r="CB88" s="211">
        <f>WWWW[[#This Row],['# people reached by regular dedicated hygiene promotion_5]]/WWWW[[#This Row],[Total PoP ]]</f>
        <v>1</v>
      </c>
      <c r="CC88" s="211">
        <f>IF(WWWW[[#This Row],['# HH received soaps]]/WWWW[[#This Row],[Total HH]]&gt;1,1,WWWW[[#This Row],['# HH received soaps]]/WWWW[[#This Row],[Total HH]])</f>
        <v>0.74626865671641796</v>
      </c>
      <c r="CD88" s="211">
        <f>IF(WWWW[[#This Row],['# HH received Sanitary Pads]]/WWWW[[#This Row],[Total HH]]&gt;1,1,WWWW[[#This Row],['# HH received Sanitary Pads]]/WWWW[[#This Row],[Total HH]])</f>
        <v>0.74626865671641796</v>
      </c>
      <c r="CE88" s="210">
        <f>WWWW[[#This Row],['# HH received soaps]]*5</f>
        <v>250</v>
      </c>
      <c r="CF88" s="210">
        <f>WWWW[[#This Row],['# HH received Sanitary Pads]]*5</f>
        <v>250</v>
      </c>
      <c r="CG88" s="210">
        <f>IF(WWWW[[#This Row],['# People with access to soap]]&gt;WWWW[[#This Row],['# People with access to Sanity Pads]],WWWW[[#This Row],['# People with access to soap]],WWWW[[#This Row],['# People with access to Sanity Pads]])</f>
        <v>250</v>
      </c>
      <c r="CH88" s="209">
        <f>WWWW[[#This Row],[Total HH]]*WWWW[[#This Row],[%HHs with access to functional hand washing stations]]</f>
        <v>67</v>
      </c>
      <c r="CI88" s="699" t="str">
        <f>VLOOKUP(WWWW[[#This Row],[Site Name]],SiteDB6[[Site Name]:[CCCM Management]],6,FALSE)</f>
        <v>Yes</v>
      </c>
      <c r="CJ88" s="699" t="str">
        <f>VLOOKUP(WWWW[[#This Row],[Site Name]],SiteDB6[[Site Name]:[CCCM Focal Agency]],7,FALSE)</f>
        <v>KMSS-BMO</v>
      </c>
      <c r="CK88" s="699" t="str">
        <f>VLOOKUP(WWWW[[#This Row],[Site Name]],SiteDB6[[Site Name]:[Location Type]],8,FALSE)</f>
        <v>Camp</v>
      </c>
      <c r="CL88" s="699" t="str">
        <f>VLOOKUP(WWWW[[#This Row],[Site Name]],SiteDB6[[Site Name]:[Location Type 1]],9,FALSE)</f>
        <v>Camp</v>
      </c>
      <c r="CM88" s="699" t="str">
        <f>VLOOKUP(WWWW[[#This Row],[Site Name]],SiteDB6[[Site Name]:[Type of Accommodation]],10,FALSE)</f>
        <v>Camp</v>
      </c>
      <c r="CN88" s="699" t="str">
        <f>VLOOKUP(WWWW[[#This Row],[Site Name]],SiteDB6[[Site Name]:[Ethnic or GCA/NGCA]],11,FALSE)</f>
        <v>GCA</v>
      </c>
      <c r="CO88" s="699">
        <f>VLOOKUP(WWWW[[#This Row],[Site Name]],SiteDB6[[Site Name]:[Lat]],12,FALSE)</f>
        <v>24.205417000000001</v>
      </c>
      <c r="CP88" s="699">
        <f>VLOOKUP(WWWW[[#This Row],[Site Name]],SiteDB6[[Site Name]:[Long]],13,FALSE)</f>
        <v>97.724566999999993</v>
      </c>
      <c r="CQ88" s="699" t="str">
        <f>VLOOKUP(WWWW[[#This Row],[Site Name]],SiteDB6[[Site Name]:[Pcode]],3,FALSE)</f>
        <v>MMR001CMP069</v>
      </c>
      <c r="CR88" s="660" t="str">
        <f t="shared" si="1"/>
        <v>Covered</v>
      </c>
      <c r="CS88" s="699" t="s">
        <v>2490</v>
      </c>
      <c r="CT88" s="24"/>
      <c r="CU88" s="24"/>
      <c r="CV88" s="24"/>
    </row>
    <row r="89" spans="1:100" ht="15.75" customHeight="1" x14ac:dyDescent="0.25">
      <c r="A89" s="833" t="s">
        <v>3206</v>
      </c>
      <c r="B89" s="206" t="s">
        <v>426</v>
      </c>
      <c r="C89" s="206" t="s">
        <v>44</v>
      </c>
      <c r="D89" s="206" t="s">
        <v>351</v>
      </c>
      <c r="E89" s="206" t="s">
        <v>433</v>
      </c>
      <c r="F89" s="206">
        <v>203</v>
      </c>
      <c r="G89" s="209">
        <v>1138</v>
      </c>
      <c r="H89" s="206"/>
      <c r="I89" s="206" t="s">
        <v>428</v>
      </c>
      <c r="J89" s="207" t="s">
        <v>2809</v>
      </c>
      <c r="K89" s="206">
        <v>0</v>
      </c>
      <c r="L89" s="206" t="s">
        <v>48</v>
      </c>
      <c r="M89" s="208">
        <v>0.6</v>
      </c>
      <c r="N89" s="208">
        <v>0</v>
      </c>
      <c r="O89" s="316">
        <v>2</v>
      </c>
      <c r="P89" s="317">
        <v>3</v>
      </c>
      <c r="Q89" s="317">
        <v>1978965</v>
      </c>
      <c r="R89" s="318">
        <v>0</v>
      </c>
      <c r="S89" s="318">
        <v>0</v>
      </c>
      <c r="T89" s="318"/>
      <c r="U89" s="318">
        <v>0</v>
      </c>
      <c r="V89" s="318">
        <v>0</v>
      </c>
      <c r="W89" s="318">
        <v>34</v>
      </c>
      <c r="X89" s="318">
        <v>34</v>
      </c>
      <c r="Y89" s="318">
        <v>0</v>
      </c>
      <c r="Z89" s="318" t="s">
        <v>2814</v>
      </c>
      <c r="AA89" s="310">
        <v>40</v>
      </c>
      <c r="AB89" s="310">
        <v>0</v>
      </c>
      <c r="AC89" s="66">
        <v>22</v>
      </c>
      <c r="AD89" s="66" t="s">
        <v>2785</v>
      </c>
      <c r="AE89" s="310">
        <v>0</v>
      </c>
      <c r="AF89" s="310" t="s">
        <v>283</v>
      </c>
      <c r="AG89" s="311" t="s">
        <v>283</v>
      </c>
      <c r="AH89" s="311">
        <v>0</v>
      </c>
      <c r="AI89" s="310">
        <v>0</v>
      </c>
      <c r="AJ89" s="310"/>
      <c r="AK89" s="841">
        <v>1</v>
      </c>
      <c r="AL89" s="842" t="s">
        <v>291</v>
      </c>
      <c r="AM89" s="842">
        <v>0</v>
      </c>
      <c r="AN89" s="863">
        <v>5</v>
      </c>
      <c r="AO89" s="863">
        <v>4</v>
      </c>
      <c r="AP89" s="838">
        <v>151</v>
      </c>
      <c r="AQ89" s="843">
        <v>150</v>
      </c>
      <c r="AR89" s="843"/>
      <c r="AS89" s="843"/>
      <c r="AT89" s="843">
        <v>4</v>
      </c>
      <c r="AU89" s="843">
        <v>0</v>
      </c>
      <c r="AV89" s="844" t="s">
        <v>2461</v>
      </c>
      <c r="AW89" s="208" t="str">
        <f>IFERROR(WWWW[[#This Row],['# of Water passed at source]]/WWWW[[#This Row],['# of Water tested at source]],"no test")</f>
        <v>no test</v>
      </c>
      <c r="AX89" s="211">
        <f>IFERROR(WWWW[[#This Row],['# of Water passed at HH]]/WWWW[[#This Row],['# of Water tested at HH]],"no test")</f>
        <v>1</v>
      </c>
      <c r="AY89" s="210" t="str">
        <f>IF(AND(WWWW[[#This Row],[%of Water samples which passed at water source]]="no test",WWWW[[#This Row],[%Water samples which passed at HH]]="no test"),"No Test","Tested")</f>
        <v>Tested</v>
      </c>
      <c r="AZ8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8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89" s="211">
        <f>IF(WWWW[[#This Row],[Location Type 1]]="Village",WWWW[[#This Row],[Access to safe drinking water for Village]],WWWW[[#This Row],[Access to safe drinking water for Camp]])</f>
        <v>1</v>
      </c>
      <c r="BC89" s="209">
        <f>WWWW[[#This Row],[%Equitable and continuous access to sufficient quantity of safe drinking water]]*WWWW[[#This Row],[Total PoP ]]</f>
        <v>1138</v>
      </c>
      <c r="BD89" s="211">
        <f>IF((WWWW[[#This Row],['# Existing protected/fenced ponds ]]*250)/WWWW[[#This Row],[Total PoP ]]&gt;1,1,WWWW[[#This Row],['# Existing protected/fenced ponds ]]*250/WWWW[[#This Row],[Total PoP ]])</f>
        <v>0</v>
      </c>
      <c r="BE89" s="209">
        <f>WWWW[[#This Row],[Access to unimproved water points]]*WWWW[[#This Row],[Total PoP ]]</f>
        <v>0</v>
      </c>
      <c r="BF8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8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1138</v>
      </c>
      <c r="BH89" s="209">
        <f>WWWW[[#This Row],['#people Equitable and continuous access to sufficient quantity of domestic water borehole n ponds_2]]/500</f>
        <v>2.2759999999999998</v>
      </c>
      <c r="BI89" s="208">
        <f>1-WWWW[[#This Row],[%Equitable and continuous access to sufficient quantity of domestic water borehole n ponds]]</f>
        <v>0</v>
      </c>
      <c r="BJ89" s="209">
        <f>WWWW[[#This Row],[%equitable and continuous access to sufficient quantity of safe drinking and domestic water''s GAP]]*WWWW[[#This Row],[Total PoP ]]</f>
        <v>0</v>
      </c>
      <c r="BK89" s="210">
        <f>IF(WWWW[[#This Row],[Total required water points]]-WWWW[[#This Row],['#Water points coverage]]&lt;0,0,WWWW[[#This Row],[Total required water points]]-WWWW[[#This Row],['#Water points coverage]])</f>
        <v>0</v>
      </c>
      <c r="BL89" s="210">
        <f>ROUND(IF(WWWW[[#This Row],[Total PoP ]]&lt;500,1,WWWW[[#This Row],[Total PoP ]]/500),0)</f>
        <v>2</v>
      </c>
      <c r="BM89" s="210">
        <f>WWWW[[#This Row],['# Existing functional latrines]]+WWWW[[#This Row],['# Existing latrines dysfunctional]]</f>
        <v>40</v>
      </c>
      <c r="BN8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0.70298769771529002</v>
      </c>
      <c r="BO89" s="352">
        <f>WWWW[[#This Row],[% people access to functioning Latrine]]*WWWW[[#This Row],[Total PoP ]]</f>
        <v>800</v>
      </c>
      <c r="BP8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0.29876977152899825</v>
      </c>
      <c r="BQ89" s="209">
        <f>IF(WWWW[[#This Row],[Total required Latrines]]-WWWW[[#This Row],[Total '# of latrine]]&lt;0,0,WWWW[[#This Row],[Total required Latrines]]-WWWW[[#This Row],[Total '# of latrine]])</f>
        <v>17</v>
      </c>
      <c r="BR89" s="210">
        <f>ROUND(IF(WWWW[[#This Row],[Location Type 1]]="camp",WWWW[[#This Row],[Total PoP ]]/20,WWWW[[#This Row],[Total PoP ]]/6),0)</f>
        <v>57</v>
      </c>
      <c r="BS89" s="212">
        <f>IF(OR(WWWW[[#This Row],['# Existing latrines dysfunctional]]="",WWWW[[#This Row],['# Existing latrines dysfunctional]]=0),0,WWWW[[#This Row],['# Existing latrines dysfunctional]]/WWWW[[#This Row],[Total '# of latrine]])</f>
        <v>0</v>
      </c>
      <c r="BT8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440</v>
      </c>
      <c r="BU89" s="209">
        <f>IF(500*WWWW[[#This Row],['# Hygiene Promoters ]]&gt;WWWW[[#This Row],[Total PoP ]],WWWW[[#This Row],[Total PoP ]],500*WWWW[[#This Row],['# Hygiene Promoters ]])</f>
        <v>1138</v>
      </c>
      <c r="BV89" s="209">
        <f>IF(WWWW[[#This Row],[% of HH with access to Sanitary Pad]]&gt;=100%,1,0)</f>
        <v>0</v>
      </c>
      <c r="BW89" s="209">
        <f>IF(WWWW[[#This Row],[Total PoP ]]=0,0,IF(WWWW[[#This Row],['# Hygiene Promoters ]]=0,0,IF(WWWW[[#This Row],[Location Type 1]]="Village",IF(WWWW[[#This Row],[Total PoP ]]/WWWW[[#This Row],['# Hygiene Promoters ]]&lt;1000,1,0),IF(WWWW[[#This Row],[Total PoP ]]/WWWW[[#This Row],['# Hygiene Promoters ]]&lt;600,1,0))))</f>
        <v>1</v>
      </c>
      <c r="BX89" s="209">
        <f>IF(WWWW[[#This Row],[%HH with access to soap]]&gt;=100%,1,0)</f>
        <v>0</v>
      </c>
      <c r="BY89" s="209">
        <f>IF(WWWW[[#This Row],[% of HHs with access to Sanitary pad more than '#%]]+WWWW[[#This Row],[Ratio of Hyiene promoters to people less than '#]]+WWWW[[#This Row],[% of HHs with access to soap more than '#%]]&gt;=2,WWWW[[#This Row],[Total PoP ]],0)</f>
        <v>0</v>
      </c>
      <c r="BZ89" s="208">
        <f>WWWW[[#This Row],[People adopt basic personal and community hygiene practices]]/WWWW[[#This Row],[Total PoP ]]</f>
        <v>0</v>
      </c>
      <c r="CA89" s="212">
        <f>1-WWWW[[#This Row],[Hygiene Coverage%]]</f>
        <v>1</v>
      </c>
      <c r="CB89" s="211">
        <f>WWWW[[#This Row],['# people reached by regular dedicated hygiene promotion_5]]/WWWW[[#This Row],[Total PoP ]]</f>
        <v>1</v>
      </c>
      <c r="CC89" s="211">
        <f>IF(WWWW[[#This Row],['# HH received soaps]]/WWWW[[#This Row],[Total HH]]&gt;1,1,WWWW[[#This Row],['# HH received soaps]]/WWWW[[#This Row],[Total HH]])</f>
        <v>0.74384236453201968</v>
      </c>
      <c r="CD89" s="211">
        <f>IF(WWWW[[#This Row],['# HH received Sanitary Pads]]/WWWW[[#This Row],[Total HH]]&gt;1,1,WWWW[[#This Row],['# HH received Sanitary Pads]]/WWWW[[#This Row],[Total HH]])</f>
        <v>0.73891625615763545</v>
      </c>
      <c r="CE89" s="210">
        <f>WWWW[[#This Row],['# HH received soaps]]*5</f>
        <v>755</v>
      </c>
      <c r="CF89" s="210">
        <f>WWWW[[#This Row],['# HH received Sanitary Pads]]*5</f>
        <v>750</v>
      </c>
      <c r="CG89" s="210">
        <f>IF(WWWW[[#This Row],['# People with access to soap]]&gt;WWWW[[#This Row],['# People with access to Sanity Pads]],WWWW[[#This Row],['# People with access to soap]],WWWW[[#This Row],['# People with access to Sanity Pads]])</f>
        <v>755</v>
      </c>
      <c r="CH89" s="209">
        <f>WWWW[[#This Row],[Total HH]]*WWWW[[#This Row],[%HHs with access to functional hand washing stations]]</f>
        <v>203</v>
      </c>
      <c r="CI89" s="699" t="str">
        <f>VLOOKUP(WWWW[[#This Row],[Site Name]],SiteDB6[[Site Name]:[CCCM Management]],6,FALSE)</f>
        <v>Yes</v>
      </c>
      <c r="CJ89" s="699" t="str">
        <f>VLOOKUP(WWWW[[#This Row],[Site Name]],SiteDB6[[Site Name]:[CCCM Focal Agency]],7,FALSE)</f>
        <v>KBC</v>
      </c>
      <c r="CK89" s="699" t="str">
        <f>VLOOKUP(WWWW[[#This Row],[Site Name]],SiteDB6[[Site Name]:[Location Type]],8,FALSE)</f>
        <v>Camp</v>
      </c>
      <c r="CL89" s="699" t="str">
        <f>VLOOKUP(WWWW[[#This Row],[Site Name]],SiteDB6[[Site Name]:[Location Type 1]],9,FALSE)</f>
        <v>Camp</v>
      </c>
      <c r="CM89" s="699" t="str">
        <f>VLOOKUP(WWWW[[#This Row],[Site Name]],SiteDB6[[Site Name]:[Type of Accommodation]],10,FALSE)</f>
        <v>Camp</v>
      </c>
      <c r="CN89" s="699" t="str">
        <f>VLOOKUP(WWWW[[#This Row],[Site Name]],SiteDB6[[Site Name]:[Ethnic or GCA/NGCA]],11,FALSE)</f>
        <v>GCA</v>
      </c>
      <c r="CO89" s="699">
        <f>VLOOKUP(WWWW[[#This Row],[Site Name]],SiteDB6[[Site Name]:[Lat]],12,FALSE)</f>
        <v>24.200433</v>
      </c>
      <c r="CP89" s="699">
        <f>VLOOKUP(WWWW[[#This Row],[Site Name]],SiteDB6[[Site Name]:[Long]],13,FALSE)</f>
        <v>97.717133000000004</v>
      </c>
      <c r="CQ89" s="699" t="str">
        <f>VLOOKUP(WWWW[[#This Row],[Site Name]],SiteDB6[[Site Name]:[Pcode]],3,FALSE)</f>
        <v>MMR001CMP070</v>
      </c>
      <c r="CR89" s="660" t="str">
        <f t="shared" si="1"/>
        <v>Covered</v>
      </c>
      <c r="CS89" s="660"/>
      <c r="CT89" s="24"/>
      <c r="CU89" s="24"/>
      <c r="CV89" s="24"/>
    </row>
    <row r="90" spans="1:100" ht="15.75" customHeight="1" x14ac:dyDescent="0.25">
      <c r="A90" s="833" t="s">
        <v>3206</v>
      </c>
      <c r="B90" s="206" t="s">
        <v>426</v>
      </c>
      <c r="C90" s="206" t="s">
        <v>44</v>
      </c>
      <c r="D90" s="206" t="s">
        <v>351</v>
      </c>
      <c r="E90" s="206" t="s">
        <v>438</v>
      </c>
      <c r="F90" s="206">
        <v>470</v>
      </c>
      <c r="G90" s="209">
        <v>2350</v>
      </c>
      <c r="H90" s="206"/>
      <c r="I90" s="206" t="s">
        <v>391</v>
      </c>
      <c r="J90" s="207" t="s">
        <v>2813</v>
      </c>
      <c r="K90" s="206">
        <v>0</v>
      </c>
      <c r="L90" s="206" t="s">
        <v>282</v>
      </c>
      <c r="M90" s="208">
        <v>0</v>
      </c>
      <c r="N90" s="208">
        <v>0</v>
      </c>
      <c r="O90" s="316">
        <v>0</v>
      </c>
      <c r="P90" s="317">
        <v>1</v>
      </c>
      <c r="Q90" s="317">
        <v>0</v>
      </c>
      <c r="R90" s="318">
        <v>0</v>
      </c>
      <c r="S90" s="318">
        <v>0</v>
      </c>
      <c r="T90" s="318"/>
      <c r="U90" s="318">
        <v>0</v>
      </c>
      <c r="V90" s="318">
        <v>0</v>
      </c>
      <c r="W90" s="318">
        <v>0</v>
      </c>
      <c r="X90" s="318">
        <v>0</v>
      </c>
      <c r="Y90" s="318">
        <v>51</v>
      </c>
      <c r="Z90" s="318"/>
      <c r="AA90" s="310">
        <v>36</v>
      </c>
      <c r="AB90" s="310">
        <v>0</v>
      </c>
      <c r="AC90" s="66">
        <v>0</v>
      </c>
      <c r="AD90" s="66" t="s">
        <v>2785</v>
      </c>
      <c r="AE90" s="310">
        <v>0</v>
      </c>
      <c r="AF90" s="310" t="s">
        <v>283</v>
      </c>
      <c r="AG90" s="311" t="s">
        <v>332</v>
      </c>
      <c r="AH90" s="311">
        <v>0</v>
      </c>
      <c r="AI90" s="310">
        <v>0</v>
      </c>
      <c r="AJ90" s="310"/>
      <c r="AK90" s="841">
        <v>1</v>
      </c>
      <c r="AL90" s="842" t="s">
        <v>291</v>
      </c>
      <c r="AM90" s="842">
        <v>0</v>
      </c>
      <c r="AN90" s="863">
        <v>0</v>
      </c>
      <c r="AO90" s="863">
        <v>0</v>
      </c>
      <c r="AP90" s="838"/>
      <c r="AQ90" s="843">
        <v>0</v>
      </c>
      <c r="AR90" s="843"/>
      <c r="AS90" s="843"/>
      <c r="AT90" s="843">
        <v>0</v>
      </c>
      <c r="AU90" s="843">
        <v>0</v>
      </c>
      <c r="AV90" s="844" t="s">
        <v>2461</v>
      </c>
      <c r="AW90" s="208" t="str">
        <f>IFERROR(WWWW[[#This Row],['# of Water passed at source]]/WWWW[[#This Row],['# of Water tested at source]],"no test")</f>
        <v>no test</v>
      </c>
      <c r="AX90" s="211" t="str">
        <f>IFERROR(WWWW[[#This Row],['# of Water passed at HH]]/WWWW[[#This Row],['# of Water tested at HH]],"no test")</f>
        <v>no test</v>
      </c>
      <c r="AY90" s="210" t="str">
        <f>IF(AND(WWWW[[#This Row],[%of Water samples which passed at water source]]="no test",WWWW[[#This Row],[%Water samples which passed at HH]]="no test"),"No Test","Tested")</f>
        <v>No Test</v>
      </c>
      <c r="AZ9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9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0.10638297872340426</v>
      </c>
      <c r="BB90" s="211">
        <f>IF(WWWW[[#This Row],[Location Type 1]]="Village",WWWW[[#This Row],[Access to safe drinking water for Village]],WWWW[[#This Row],[Access to safe drinking water for Camp]])</f>
        <v>1</v>
      </c>
      <c r="BC90" s="209">
        <f>WWWW[[#This Row],[%Equitable and continuous access to sufficient quantity of safe drinking water]]*WWWW[[#This Row],[Total PoP ]]</f>
        <v>2350</v>
      </c>
      <c r="BD90" s="211">
        <f>IF((WWWW[[#This Row],['# Existing protected/fenced ponds ]]*250)/WWWW[[#This Row],[Total PoP ]]&gt;1,1,WWWW[[#This Row],['# Existing protected/fenced ponds ]]*250/WWWW[[#This Row],[Total PoP ]])</f>
        <v>0</v>
      </c>
      <c r="BE90" s="209">
        <f>WWWW[[#This Row],[Access to unimproved water points]]*WWWW[[#This Row],[Total PoP ]]</f>
        <v>0</v>
      </c>
      <c r="BF9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9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2350</v>
      </c>
      <c r="BH90" s="209">
        <f>WWWW[[#This Row],['#people Equitable and continuous access to sufficient quantity of domestic water borehole n ponds_2]]/500</f>
        <v>4.7</v>
      </c>
      <c r="BI90" s="208">
        <f>1-WWWW[[#This Row],[%Equitable and continuous access to sufficient quantity of domestic water borehole n ponds]]</f>
        <v>0</v>
      </c>
      <c r="BJ90" s="209">
        <f>WWWW[[#This Row],[%equitable and continuous access to sufficient quantity of safe drinking and domestic water''s GAP]]*WWWW[[#This Row],[Total PoP ]]</f>
        <v>0</v>
      </c>
      <c r="BK90" s="210">
        <f>IF(WWWW[[#This Row],[Total required water points]]-WWWW[[#This Row],['#Water points coverage]]&lt;0,0,WWWW[[#This Row],[Total required water points]]-WWWW[[#This Row],['#Water points coverage]])</f>
        <v>0.29999999999999982</v>
      </c>
      <c r="BL90" s="210">
        <f>ROUND(IF(WWWW[[#This Row],[Total PoP ]]&lt;500,1,WWWW[[#This Row],[Total PoP ]]/500),0)</f>
        <v>5</v>
      </c>
      <c r="BM90" s="210">
        <f>WWWW[[#This Row],['# Existing functional latrines]]+WWWW[[#This Row],['# Existing latrines dysfunctional]]</f>
        <v>36</v>
      </c>
      <c r="BN9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0.30638297872340425</v>
      </c>
      <c r="BO90" s="352">
        <f>WWWW[[#This Row],[% people access to functioning Latrine]]*WWWW[[#This Row],[Total PoP ]]</f>
        <v>720</v>
      </c>
      <c r="BP9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0.69787234042553192</v>
      </c>
      <c r="BQ90" s="209">
        <f>IF(WWWW[[#This Row],[Total required Latrines]]-WWWW[[#This Row],[Total '# of latrine]]&lt;0,0,WWWW[[#This Row],[Total required Latrines]]-WWWW[[#This Row],[Total '# of latrine]])</f>
        <v>82</v>
      </c>
      <c r="BR90" s="210">
        <f>ROUND(IF(WWWW[[#This Row],[Location Type 1]]="camp",WWWW[[#This Row],[Total PoP ]]/20,WWWW[[#This Row],[Total PoP ]]/6),0)</f>
        <v>118</v>
      </c>
      <c r="BS90" s="212">
        <f>IF(OR(WWWW[[#This Row],['# Existing latrines dysfunctional]]="",WWWW[[#This Row],['# Existing latrines dysfunctional]]=0),0,WWWW[[#This Row],['# Existing latrines dysfunctional]]/WWWW[[#This Row],[Total '# of latrine]])</f>
        <v>0</v>
      </c>
      <c r="BT9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90" s="209">
        <f>IF(500*WWWW[[#This Row],['# Hygiene Promoters ]]&gt;WWWW[[#This Row],[Total PoP ]],WWWW[[#This Row],[Total PoP ]],500*WWWW[[#This Row],['# Hygiene Promoters ]])</f>
        <v>0</v>
      </c>
      <c r="BV90" s="209">
        <f>IF(WWWW[[#This Row],[% of HH with access to Sanitary Pad]]&gt;=100%,1,0)</f>
        <v>0</v>
      </c>
      <c r="BW90" s="209">
        <f>IF(WWWW[[#This Row],[Total PoP ]]=0,0,IF(WWWW[[#This Row],['# Hygiene Promoters ]]=0,0,IF(WWWW[[#This Row],[Location Type 1]]="Village",IF(WWWW[[#This Row],[Total PoP ]]/WWWW[[#This Row],['# Hygiene Promoters ]]&lt;1000,1,0),IF(WWWW[[#This Row],[Total PoP ]]/WWWW[[#This Row],['# Hygiene Promoters ]]&lt;600,1,0))))</f>
        <v>0</v>
      </c>
      <c r="BX90" s="209">
        <f>IF(WWWW[[#This Row],[%HH with access to soap]]&gt;=100%,1,0)</f>
        <v>0</v>
      </c>
      <c r="BY90" s="209">
        <f>IF(WWWW[[#This Row],[% of HHs with access to Sanitary pad more than '#%]]+WWWW[[#This Row],[Ratio of Hyiene promoters to people less than '#]]+WWWW[[#This Row],[% of HHs with access to soap more than '#%]]&gt;=2,WWWW[[#This Row],[Total PoP ]],0)</f>
        <v>0</v>
      </c>
      <c r="BZ90" s="208">
        <f>WWWW[[#This Row],[People adopt basic personal and community hygiene practices]]/WWWW[[#This Row],[Total PoP ]]</f>
        <v>0</v>
      </c>
      <c r="CA90" s="212">
        <f>1-WWWW[[#This Row],[Hygiene Coverage%]]</f>
        <v>1</v>
      </c>
      <c r="CB90" s="211">
        <f>WWWW[[#This Row],['# people reached by regular dedicated hygiene promotion_5]]/WWWW[[#This Row],[Total PoP ]]</f>
        <v>0</v>
      </c>
      <c r="CC90" s="211">
        <f>IF(WWWW[[#This Row],['# HH received soaps]]/WWWW[[#This Row],[Total HH]]&gt;1,1,WWWW[[#This Row],['# HH received soaps]]/WWWW[[#This Row],[Total HH]])</f>
        <v>0</v>
      </c>
      <c r="CD90" s="211">
        <f>IF(WWWW[[#This Row],['# HH received Sanitary Pads]]/WWWW[[#This Row],[Total HH]]&gt;1,1,WWWW[[#This Row],['# HH received Sanitary Pads]]/WWWW[[#This Row],[Total HH]])</f>
        <v>0</v>
      </c>
      <c r="CE90" s="210">
        <f>WWWW[[#This Row],['# HH received soaps]]*5</f>
        <v>0</v>
      </c>
      <c r="CF90" s="210">
        <f>WWWW[[#This Row],['# HH received Sanitary Pads]]*5</f>
        <v>0</v>
      </c>
      <c r="CG90" s="210">
        <f>IF(WWWW[[#This Row],['# People with access to soap]]&gt;WWWW[[#This Row],['# People with access to Sanity Pads]],WWWW[[#This Row],['# People with access to soap]],WWWW[[#This Row],['# People with access to Sanity Pads]])</f>
        <v>0</v>
      </c>
      <c r="CH90" s="209">
        <f>WWWW[[#This Row],[Total HH]]*WWWW[[#This Row],[%HHs with access to functional hand washing stations]]</f>
        <v>470</v>
      </c>
      <c r="CI90" s="699">
        <f>VLOOKUP(WWWW[[#This Row],[Site Name]],SiteDB6[[Site Name]:[CCCM Management]],6,FALSE)</f>
        <v>0</v>
      </c>
      <c r="CJ90" s="699">
        <f>VLOOKUP(WWWW[[#This Row],[Site Name]],SiteDB6[[Site Name]:[CCCM Focal Agency]],7,FALSE)</f>
        <v>0</v>
      </c>
      <c r="CK90" s="699" t="str">
        <f>VLOOKUP(WWWW[[#This Row],[Site Name]],SiteDB6[[Site Name]:[Location Type]],8,FALSE)</f>
        <v>Camp_not registered</v>
      </c>
      <c r="CL90" s="699" t="str">
        <f>VLOOKUP(WWWW[[#This Row],[Site Name]],SiteDB6[[Site Name]:[Location Type 1]],9,FALSE)</f>
        <v>Camp</v>
      </c>
      <c r="CM90" s="699" t="str">
        <f>VLOOKUP(WWWW[[#This Row],[Site Name]],SiteDB6[[Site Name]:[Type of Accommodation]],10,FALSE)</f>
        <v>School</v>
      </c>
      <c r="CN90" s="699" t="str">
        <f>VLOOKUP(WWWW[[#This Row],[Site Name]],SiteDB6[[Site Name]:[Ethnic or GCA/NGCA]],11,FALSE)</f>
        <v>GCA</v>
      </c>
      <c r="CO90" s="699">
        <f>VLOOKUP(WWWW[[#This Row],[Site Name]],SiteDB6[[Site Name]:[Lat]],12,FALSE)</f>
        <v>0</v>
      </c>
      <c r="CP90" s="699">
        <f>VLOOKUP(WWWW[[#This Row],[Site Name]],SiteDB6[[Site Name]:[Long]],13,FALSE)</f>
        <v>0</v>
      </c>
      <c r="CQ90" s="699">
        <f>VLOOKUP(WWWW[[#This Row],[Site Name]],SiteDB6[[Site Name]:[Pcode]],3,FALSE)</f>
        <v>0</v>
      </c>
      <c r="CR90" s="660" t="str">
        <f t="shared" si="1"/>
        <v>Covered</v>
      </c>
      <c r="CS90" s="660"/>
      <c r="CT90" s="24"/>
      <c r="CU90" s="24"/>
      <c r="CV90" s="24"/>
    </row>
    <row r="91" spans="1:100" ht="15.75" customHeight="1" x14ac:dyDescent="0.25">
      <c r="A91" s="833" t="s">
        <v>3206</v>
      </c>
      <c r="B91" s="206" t="s">
        <v>338</v>
      </c>
      <c r="C91" s="206" t="s">
        <v>44</v>
      </c>
      <c r="D91" s="206" t="s">
        <v>351</v>
      </c>
      <c r="E91" s="206" t="s">
        <v>356</v>
      </c>
      <c r="F91" s="206">
        <v>217</v>
      </c>
      <c r="G91" s="209">
        <v>1172</v>
      </c>
      <c r="H91" s="206"/>
      <c r="I91" s="206" t="s">
        <v>2453</v>
      </c>
      <c r="J91" s="207" t="s">
        <v>2476</v>
      </c>
      <c r="K91" s="206">
        <v>0</v>
      </c>
      <c r="L91" s="206" t="s">
        <v>48</v>
      </c>
      <c r="M91" s="208">
        <v>0.6</v>
      </c>
      <c r="N91" s="208">
        <v>0</v>
      </c>
      <c r="O91" s="316">
        <v>1</v>
      </c>
      <c r="P91" s="317">
        <v>3</v>
      </c>
      <c r="Q91" s="317">
        <v>0</v>
      </c>
      <c r="R91" s="318">
        <v>0</v>
      </c>
      <c r="S91" s="318">
        <v>0</v>
      </c>
      <c r="T91" s="318"/>
      <c r="U91" s="318"/>
      <c r="V91" s="318"/>
      <c r="W91" s="318"/>
      <c r="X91" s="318"/>
      <c r="Y91" s="318"/>
      <c r="Z91" s="318"/>
      <c r="AA91" s="310">
        <v>47</v>
      </c>
      <c r="AB91" s="310">
        <v>0</v>
      </c>
      <c r="AC91" s="66">
        <v>3</v>
      </c>
      <c r="AD91" s="66"/>
      <c r="AE91" s="310">
        <v>0</v>
      </c>
      <c r="AF91" s="310" t="s">
        <v>283</v>
      </c>
      <c r="AG91" s="311" t="s">
        <v>283</v>
      </c>
      <c r="AH91" s="311"/>
      <c r="AI91" s="310"/>
      <c r="AJ91" s="310"/>
      <c r="AK91" s="841">
        <v>1</v>
      </c>
      <c r="AL91" s="842" t="s">
        <v>291</v>
      </c>
      <c r="AM91" s="842">
        <v>0</v>
      </c>
      <c r="AN91" s="863">
        <v>7</v>
      </c>
      <c r="AO91" s="863">
        <v>2</v>
      </c>
      <c r="AP91" s="838">
        <v>217</v>
      </c>
      <c r="AQ91" s="843">
        <v>217</v>
      </c>
      <c r="AR91" s="843"/>
      <c r="AS91" s="843"/>
      <c r="AT91" s="843"/>
      <c r="AU91" s="843"/>
      <c r="AV91" s="844"/>
      <c r="AW91" s="208" t="str">
        <f>IFERROR(WWWW[[#This Row],['# of Water passed at source]]/WWWW[[#This Row],['# of Water tested at source]],"no test")</f>
        <v>no test</v>
      </c>
      <c r="AX91" s="211" t="str">
        <f>IFERROR(WWWW[[#This Row],['# of Water passed at HH]]/WWWW[[#This Row],['# of Water tested at HH]],"no test")</f>
        <v>no test</v>
      </c>
      <c r="AY91" s="210" t="str">
        <f>IF(AND(WWWW[[#This Row],[%of Water samples which passed at water source]]="no test",WWWW[[#This Row],[%Water samples which passed at HH]]="no test"),"No Test","Tested")</f>
        <v>No Test</v>
      </c>
      <c r="AZ9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9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0.85324232081911267</v>
      </c>
      <c r="BB91" s="211">
        <f>IF(WWWW[[#This Row],[Location Type 1]]="Village",WWWW[[#This Row],[Access to safe drinking water for Village]],WWWW[[#This Row],[Access to safe drinking water for Camp]])</f>
        <v>1</v>
      </c>
      <c r="BC91" s="209">
        <f>WWWW[[#This Row],[%Equitable and continuous access to sufficient quantity of safe drinking water]]*WWWW[[#This Row],[Total PoP ]]</f>
        <v>1172</v>
      </c>
      <c r="BD91" s="211">
        <f>IF((WWWW[[#This Row],['# Existing protected/fenced ponds ]]*250)/WWWW[[#This Row],[Total PoP ]]&gt;1,1,WWWW[[#This Row],['# Existing protected/fenced ponds ]]*250/WWWW[[#This Row],[Total PoP ]])</f>
        <v>0</v>
      </c>
      <c r="BE91" s="209">
        <f>WWWW[[#This Row],[Access to unimproved water points]]*WWWW[[#This Row],[Total PoP ]]</f>
        <v>0</v>
      </c>
      <c r="BF9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9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1172</v>
      </c>
      <c r="BH91" s="209">
        <f>WWWW[[#This Row],['#people Equitable and continuous access to sufficient quantity of domestic water borehole n ponds_2]]/500</f>
        <v>2.3439999999999999</v>
      </c>
      <c r="BI91" s="208">
        <f>1-WWWW[[#This Row],[%Equitable and continuous access to sufficient quantity of domestic water borehole n ponds]]</f>
        <v>0</v>
      </c>
      <c r="BJ91" s="209">
        <f>WWWW[[#This Row],[%equitable and continuous access to sufficient quantity of safe drinking and domestic water''s GAP]]*WWWW[[#This Row],[Total PoP ]]</f>
        <v>0</v>
      </c>
      <c r="BK91" s="210">
        <f>IF(WWWW[[#This Row],[Total required water points]]-WWWW[[#This Row],['#Water points coverage]]&lt;0,0,WWWW[[#This Row],[Total required water points]]-WWWW[[#This Row],['#Water points coverage]])</f>
        <v>0</v>
      </c>
      <c r="BL91" s="210">
        <f>ROUND(IF(WWWW[[#This Row],[Total PoP ]]&lt;500,1,WWWW[[#This Row],[Total PoP ]]/500),0)</f>
        <v>2</v>
      </c>
      <c r="BM91" s="210">
        <f>WWWW[[#This Row],['# Existing functional latrines]]+WWWW[[#This Row],['# Existing latrines dysfunctional]]</f>
        <v>47</v>
      </c>
      <c r="BN9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0.80204778156996592</v>
      </c>
      <c r="BO91" s="352">
        <f>WWWW[[#This Row],[% people access to functioning Latrine]]*WWWW[[#This Row],[Total PoP ]]</f>
        <v>940.00000000000011</v>
      </c>
      <c r="BP9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0.20477815699658702</v>
      </c>
      <c r="BQ91" s="209">
        <f>IF(WWWW[[#This Row],[Total required Latrines]]-WWWW[[#This Row],[Total '# of latrine]]&lt;0,0,WWWW[[#This Row],[Total required Latrines]]-WWWW[[#This Row],[Total '# of latrine]])</f>
        <v>12</v>
      </c>
      <c r="BR91" s="210">
        <f>ROUND(IF(WWWW[[#This Row],[Location Type 1]]="camp",WWWW[[#This Row],[Total PoP ]]/20,WWWW[[#This Row],[Total PoP ]]/6),0)</f>
        <v>59</v>
      </c>
      <c r="BS91" s="212">
        <f>IF(OR(WWWW[[#This Row],['# Existing latrines dysfunctional]]="",WWWW[[#This Row],['# Existing latrines dysfunctional]]=0),0,WWWW[[#This Row],['# Existing latrines dysfunctional]]/WWWW[[#This Row],[Total '# of latrine]])</f>
        <v>0</v>
      </c>
      <c r="BT9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U91" s="209">
        <f>IF(500*WWWW[[#This Row],['# Hygiene Promoters ]]&gt;WWWW[[#This Row],[Total PoP ]],WWWW[[#This Row],[Total PoP ]],500*WWWW[[#This Row],['# Hygiene Promoters ]])</f>
        <v>1000</v>
      </c>
      <c r="BV91" s="209">
        <f>IF(WWWW[[#This Row],[% of HH with access to Sanitary Pad]]&gt;=100%,1,0)</f>
        <v>1</v>
      </c>
      <c r="BW91" s="209">
        <f>IF(WWWW[[#This Row],[Total PoP ]]=0,0,IF(WWWW[[#This Row],['# Hygiene Promoters ]]=0,0,IF(WWWW[[#This Row],[Location Type 1]]="Village",IF(WWWW[[#This Row],[Total PoP ]]/WWWW[[#This Row],['# Hygiene Promoters ]]&lt;1000,1,0),IF(WWWW[[#This Row],[Total PoP ]]/WWWW[[#This Row],['# Hygiene Promoters ]]&lt;600,1,0))))</f>
        <v>1</v>
      </c>
      <c r="BX91" s="209">
        <f>IF(WWWW[[#This Row],[%HH with access to soap]]&gt;=100%,1,0)</f>
        <v>1</v>
      </c>
      <c r="BY91" s="209">
        <f>IF(WWWW[[#This Row],[% of HHs with access to Sanitary pad more than '#%]]+WWWW[[#This Row],[Ratio of Hyiene promoters to people less than '#]]+WWWW[[#This Row],[% of HHs with access to soap more than '#%]]&gt;=2,WWWW[[#This Row],[Total PoP ]],0)</f>
        <v>1172</v>
      </c>
      <c r="BZ91" s="208">
        <f>WWWW[[#This Row],[People adopt basic personal and community hygiene practices]]/WWWW[[#This Row],[Total PoP ]]</f>
        <v>1</v>
      </c>
      <c r="CA91" s="212">
        <f>1-WWWW[[#This Row],[Hygiene Coverage%]]</f>
        <v>0</v>
      </c>
      <c r="CB91" s="211">
        <f>WWWW[[#This Row],['# people reached by regular dedicated hygiene promotion_5]]/WWWW[[#This Row],[Total PoP ]]</f>
        <v>0.85324232081911267</v>
      </c>
      <c r="CC91" s="211">
        <f>IF(WWWW[[#This Row],['# HH received soaps]]/WWWW[[#This Row],[Total HH]]&gt;1,1,WWWW[[#This Row],['# HH received soaps]]/WWWW[[#This Row],[Total HH]])</f>
        <v>1</v>
      </c>
      <c r="CD91" s="211">
        <f>IF(WWWW[[#This Row],['# HH received Sanitary Pads]]/WWWW[[#This Row],[Total HH]]&gt;1,1,WWWW[[#This Row],['# HH received Sanitary Pads]]/WWWW[[#This Row],[Total HH]])</f>
        <v>1</v>
      </c>
      <c r="CE91" s="210">
        <f>WWWW[[#This Row],['# HH received soaps]]*5</f>
        <v>1085</v>
      </c>
      <c r="CF91" s="210">
        <f>WWWW[[#This Row],['# HH received Sanitary Pads]]*5</f>
        <v>1085</v>
      </c>
      <c r="CG91" s="210">
        <f>IF(WWWW[[#This Row],['# People with access to soap]]&gt;WWWW[[#This Row],['# People with access to Sanity Pads]],WWWW[[#This Row],['# People with access to soap]],WWWW[[#This Row],['# People with access to Sanity Pads]])</f>
        <v>1085</v>
      </c>
      <c r="CH91" s="209">
        <f>WWWW[[#This Row],[Total HH]]*WWWW[[#This Row],[%HHs with access to functional hand washing stations]]</f>
        <v>217</v>
      </c>
      <c r="CI91" s="699" t="str">
        <f>VLOOKUP(WWWW[[#This Row],[Site Name]],SiteDB6[[Site Name]:[CCCM Management]],6,FALSE)</f>
        <v>Yes</v>
      </c>
      <c r="CJ91" s="699" t="str">
        <f>VLOOKUP(WWWW[[#This Row],[Site Name]],SiteDB6[[Site Name]:[CCCM Focal Agency]],7,FALSE)</f>
        <v>KMSS-BMO</v>
      </c>
      <c r="CK91" s="699" t="str">
        <f>VLOOKUP(WWWW[[#This Row],[Site Name]],SiteDB6[[Site Name]:[Location Type]],8,FALSE)</f>
        <v>Camp</v>
      </c>
      <c r="CL91" s="699" t="str">
        <f>VLOOKUP(WWWW[[#This Row],[Site Name]],SiteDB6[[Site Name]:[Location Type 1]],9,FALSE)</f>
        <v>Camp</v>
      </c>
      <c r="CM91" s="699" t="str">
        <f>VLOOKUP(WWWW[[#This Row],[Site Name]],SiteDB6[[Site Name]:[Type of Accommodation]],10,FALSE)</f>
        <v>Camp</v>
      </c>
      <c r="CN91" s="699" t="str">
        <f>VLOOKUP(WWWW[[#This Row],[Site Name]],SiteDB6[[Site Name]:[Ethnic or GCA/NGCA]],11,FALSE)</f>
        <v>GCA</v>
      </c>
      <c r="CO91" s="699">
        <f>VLOOKUP(WWWW[[#This Row],[Site Name]],SiteDB6[[Site Name]:[Lat]],12,FALSE)</f>
        <v>24.245100000000001</v>
      </c>
      <c r="CP91" s="699">
        <f>VLOOKUP(WWWW[[#This Row],[Site Name]],SiteDB6[[Site Name]:[Long]],13,FALSE)</f>
        <v>97.325019999999995</v>
      </c>
      <c r="CQ91" s="699" t="str">
        <f>VLOOKUP(WWWW[[#This Row],[Site Name]],SiteDB6[[Site Name]:[Pcode]],3,FALSE)</f>
        <v>MMR001CMP062</v>
      </c>
      <c r="CR91" s="660" t="str">
        <f t="shared" si="1"/>
        <v>Covered</v>
      </c>
      <c r="CS91" s="660"/>
      <c r="CT91" s="24"/>
      <c r="CU91" s="24"/>
      <c r="CV91" s="24"/>
    </row>
    <row r="92" spans="1:100" ht="15.75" customHeight="1" x14ac:dyDescent="0.25">
      <c r="A92" s="833" t="s">
        <v>3206</v>
      </c>
      <c r="B92" s="206" t="s">
        <v>426</v>
      </c>
      <c r="C92" s="206" t="s">
        <v>44</v>
      </c>
      <c r="D92" s="206" t="s">
        <v>351</v>
      </c>
      <c r="E92" s="206" t="s">
        <v>437</v>
      </c>
      <c r="F92" s="206">
        <v>117</v>
      </c>
      <c r="G92" s="209">
        <v>650</v>
      </c>
      <c r="H92" s="206"/>
      <c r="I92" s="206" t="s">
        <v>428</v>
      </c>
      <c r="J92" s="207" t="s">
        <v>2809</v>
      </c>
      <c r="K92" s="206">
        <v>0</v>
      </c>
      <c r="L92" s="206" t="s">
        <v>48</v>
      </c>
      <c r="M92" s="208">
        <v>0.5714285714285714</v>
      </c>
      <c r="N92" s="208">
        <v>0</v>
      </c>
      <c r="O92" s="316">
        <v>1</v>
      </c>
      <c r="P92" s="317">
        <v>1</v>
      </c>
      <c r="Q92" s="317">
        <v>4333500</v>
      </c>
      <c r="R92" s="318">
        <v>0</v>
      </c>
      <c r="S92" s="318">
        <v>0</v>
      </c>
      <c r="T92" s="318"/>
      <c r="U92" s="318">
        <v>0</v>
      </c>
      <c r="V92" s="318">
        <v>0</v>
      </c>
      <c r="W92" s="318">
        <v>16</v>
      </c>
      <c r="X92" s="318">
        <v>13</v>
      </c>
      <c r="Y92" s="318">
        <v>0</v>
      </c>
      <c r="Z92" s="318"/>
      <c r="AA92" s="310">
        <v>28</v>
      </c>
      <c r="AB92" s="310">
        <v>0</v>
      </c>
      <c r="AC92" s="66">
        <v>27</v>
      </c>
      <c r="AD92" s="66"/>
      <c r="AE92" s="310">
        <v>0</v>
      </c>
      <c r="AF92" s="310" t="s">
        <v>283</v>
      </c>
      <c r="AG92" s="311" t="s">
        <v>332</v>
      </c>
      <c r="AH92" s="311">
        <v>0</v>
      </c>
      <c r="AI92" s="310">
        <v>0</v>
      </c>
      <c r="AJ92" s="310"/>
      <c r="AK92" s="841">
        <v>1</v>
      </c>
      <c r="AL92" s="842" t="s">
        <v>291</v>
      </c>
      <c r="AM92" s="842">
        <v>0</v>
      </c>
      <c r="AN92" s="863">
        <v>4</v>
      </c>
      <c r="AO92" s="863">
        <v>2</v>
      </c>
      <c r="AP92" s="838"/>
      <c r="AQ92" s="843">
        <v>110</v>
      </c>
      <c r="AR92" s="843"/>
      <c r="AS92" s="843"/>
      <c r="AT92" s="843">
        <v>3</v>
      </c>
      <c r="AU92" s="843">
        <v>0</v>
      </c>
      <c r="AV92" s="844" t="s">
        <v>2461</v>
      </c>
      <c r="AW92" s="208" t="str">
        <f>IFERROR(WWWW[[#This Row],['# of Water passed at source]]/WWWW[[#This Row],['# of Water tested at source]],"no test")</f>
        <v>no test</v>
      </c>
      <c r="AX92" s="211">
        <f>IFERROR(WWWW[[#This Row],['# of Water passed at HH]]/WWWW[[#This Row],['# of Water tested at HH]],"no test")</f>
        <v>0.8125</v>
      </c>
      <c r="AY92" s="210" t="str">
        <f>IF(AND(WWWW[[#This Row],[%of Water samples which passed at water source]]="no test",WWWW[[#This Row],[%Water samples which passed at HH]]="no test"),"No Test","Tested")</f>
        <v>Tested</v>
      </c>
      <c r="AZ9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9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92" s="211">
        <f>IF(WWWW[[#This Row],[Location Type 1]]="Village",WWWW[[#This Row],[Access to safe drinking water for Village]],WWWW[[#This Row],[Access to safe drinking water for Camp]])</f>
        <v>1</v>
      </c>
      <c r="BC92" s="209">
        <f>WWWW[[#This Row],[%Equitable and continuous access to sufficient quantity of safe drinking water]]*WWWW[[#This Row],[Total PoP ]]</f>
        <v>650</v>
      </c>
      <c r="BD92" s="211">
        <f>IF((WWWW[[#This Row],['# Existing protected/fenced ponds ]]*250)/WWWW[[#This Row],[Total PoP ]]&gt;1,1,WWWW[[#This Row],['# Existing protected/fenced ponds ]]*250/WWWW[[#This Row],[Total PoP ]])</f>
        <v>0</v>
      </c>
      <c r="BE92" s="209">
        <f>WWWW[[#This Row],[Access to unimproved water points]]*WWWW[[#This Row],[Total PoP ]]</f>
        <v>0</v>
      </c>
      <c r="BF9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9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650</v>
      </c>
      <c r="BH92" s="209">
        <f>WWWW[[#This Row],['#people Equitable and continuous access to sufficient quantity of domestic water borehole n ponds_2]]/500</f>
        <v>1.3</v>
      </c>
      <c r="BI92" s="208">
        <f>1-WWWW[[#This Row],[%Equitable and continuous access to sufficient quantity of domestic water borehole n ponds]]</f>
        <v>0</v>
      </c>
      <c r="BJ92" s="209">
        <f>WWWW[[#This Row],[%equitable and continuous access to sufficient quantity of safe drinking and domestic water''s GAP]]*WWWW[[#This Row],[Total PoP ]]</f>
        <v>0</v>
      </c>
      <c r="BK92" s="210">
        <f>IF(WWWW[[#This Row],[Total required water points]]-WWWW[[#This Row],['#Water points coverage]]&lt;0,0,WWWW[[#This Row],[Total required water points]]-WWWW[[#This Row],['#Water points coverage]])</f>
        <v>0</v>
      </c>
      <c r="BL92" s="210">
        <f>ROUND(IF(WWWW[[#This Row],[Total PoP ]]&lt;500,1,WWWW[[#This Row],[Total PoP ]]/500),0)</f>
        <v>1</v>
      </c>
      <c r="BM92" s="210">
        <f>WWWW[[#This Row],['# Existing functional latrines]]+WWWW[[#This Row],['# Existing latrines dysfunctional]]</f>
        <v>28</v>
      </c>
      <c r="BN9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0.86153846153846159</v>
      </c>
      <c r="BO92" s="352">
        <f>WWWW[[#This Row],[% people access to functioning Latrine]]*WWWW[[#This Row],[Total PoP ]]</f>
        <v>560</v>
      </c>
      <c r="BP9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0.15384615384615385</v>
      </c>
      <c r="BQ92" s="209">
        <f>IF(WWWW[[#This Row],[Total required Latrines]]-WWWW[[#This Row],[Total '# of latrine]]&lt;0,0,WWWW[[#This Row],[Total required Latrines]]-WWWW[[#This Row],[Total '# of latrine]])</f>
        <v>5</v>
      </c>
      <c r="BR92" s="210">
        <f>ROUND(IF(WWWW[[#This Row],[Location Type 1]]="camp",WWWW[[#This Row],[Total PoP ]]/20,WWWW[[#This Row],[Total PoP ]]/6),0)</f>
        <v>33</v>
      </c>
      <c r="BS92" s="212">
        <f>IF(OR(WWWW[[#This Row],['# Existing latrines dysfunctional]]="",WWWW[[#This Row],['# Existing latrines dysfunctional]]=0),0,WWWW[[#This Row],['# Existing latrines dysfunctional]]/WWWW[[#This Row],[Total '# of latrine]])</f>
        <v>0</v>
      </c>
      <c r="BT9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540</v>
      </c>
      <c r="BU92" s="209">
        <f>IF(500*WWWW[[#This Row],['# Hygiene Promoters ]]&gt;WWWW[[#This Row],[Total PoP ]],WWWW[[#This Row],[Total PoP ]],500*WWWW[[#This Row],['# Hygiene Promoters ]])</f>
        <v>650</v>
      </c>
      <c r="BV92" s="209">
        <f>IF(WWWW[[#This Row],[% of HH with access to Sanitary Pad]]&gt;=100%,1,0)</f>
        <v>0</v>
      </c>
      <c r="BW92" s="209">
        <f>IF(WWWW[[#This Row],[Total PoP ]]=0,0,IF(WWWW[[#This Row],['# Hygiene Promoters ]]=0,0,IF(WWWW[[#This Row],[Location Type 1]]="Village",IF(WWWW[[#This Row],[Total PoP ]]/WWWW[[#This Row],['# Hygiene Promoters ]]&lt;1000,1,0),IF(WWWW[[#This Row],[Total PoP ]]/WWWW[[#This Row],['# Hygiene Promoters ]]&lt;600,1,0))))</f>
        <v>1</v>
      </c>
      <c r="BX92" s="209">
        <f>IF(WWWW[[#This Row],[%HH with access to soap]]&gt;=100%,1,0)</f>
        <v>0</v>
      </c>
      <c r="BY92" s="209">
        <f>IF(WWWW[[#This Row],[% of HHs with access to Sanitary pad more than '#%]]+WWWW[[#This Row],[Ratio of Hyiene promoters to people less than '#]]+WWWW[[#This Row],[% of HHs with access to soap more than '#%]]&gt;=2,WWWW[[#This Row],[Total PoP ]],0)</f>
        <v>0</v>
      </c>
      <c r="BZ92" s="208">
        <f>WWWW[[#This Row],[People adopt basic personal and community hygiene practices]]/WWWW[[#This Row],[Total PoP ]]</f>
        <v>0</v>
      </c>
      <c r="CA92" s="212">
        <f>1-WWWW[[#This Row],[Hygiene Coverage%]]</f>
        <v>1</v>
      </c>
      <c r="CB92" s="211">
        <f>WWWW[[#This Row],['# people reached by regular dedicated hygiene promotion_5]]/WWWW[[#This Row],[Total PoP ]]</f>
        <v>1</v>
      </c>
      <c r="CC92" s="211">
        <f>IF(WWWW[[#This Row],['# HH received soaps]]/WWWW[[#This Row],[Total HH]]&gt;1,1,WWWW[[#This Row],['# HH received soaps]]/WWWW[[#This Row],[Total HH]])</f>
        <v>0</v>
      </c>
      <c r="CD92" s="211">
        <f>IF(WWWW[[#This Row],['# HH received Sanitary Pads]]/WWWW[[#This Row],[Total HH]]&gt;1,1,WWWW[[#This Row],['# HH received Sanitary Pads]]/WWWW[[#This Row],[Total HH]])</f>
        <v>0.94017094017094016</v>
      </c>
      <c r="CE92" s="210">
        <f>WWWW[[#This Row],['# HH received soaps]]*5</f>
        <v>0</v>
      </c>
      <c r="CF92" s="210">
        <f>WWWW[[#This Row],['# HH received Sanitary Pads]]*5</f>
        <v>550</v>
      </c>
      <c r="CG92" s="210">
        <f>IF(WWWW[[#This Row],['# People with access to soap]]&gt;WWWW[[#This Row],['# People with access to Sanity Pads]],WWWW[[#This Row],['# People with access to soap]],WWWW[[#This Row],['# People with access to Sanity Pads]])</f>
        <v>550</v>
      </c>
      <c r="CH92" s="209">
        <f>WWWW[[#This Row],[Total HH]]*WWWW[[#This Row],[%HHs with access to functional hand washing stations]]</f>
        <v>117</v>
      </c>
      <c r="CI92" s="699">
        <f>VLOOKUP(WWWW[[#This Row],[Site Name]],SiteDB6[[Site Name]:[CCCM Management]],6,FALSE)</f>
        <v>0</v>
      </c>
      <c r="CJ92" s="699">
        <f>VLOOKUP(WWWW[[#This Row],[Site Name]],SiteDB6[[Site Name]:[CCCM Focal Agency]],7,FALSE)</f>
        <v>0</v>
      </c>
      <c r="CK92" s="699" t="str">
        <f>VLOOKUP(WWWW[[#This Row],[Site Name]],SiteDB6[[Site Name]:[Location Type]],8,FALSE)</f>
        <v>Camp_not registered</v>
      </c>
      <c r="CL92" s="699" t="str">
        <f>VLOOKUP(WWWW[[#This Row],[Site Name]],SiteDB6[[Site Name]:[Location Type 1]],9,FALSE)</f>
        <v>Camp</v>
      </c>
      <c r="CM92" s="699" t="str">
        <f>VLOOKUP(WWWW[[#This Row],[Site Name]],SiteDB6[[Site Name]:[Type of Accommodation]],10,FALSE)</f>
        <v>Camp</v>
      </c>
      <c r="CN92" s="699" t="str">
        <f>VLOOKUP(WWWW[[#This Row],[Site Name]],SiteDB6[[Site Name]:[Ethnic or GCA/NGCA]],11,FALSE)</f>
        <v>GCA</v>
      </c>
      <c r="CO92" s="699">
        <f>VLOOKUP(WWWW[[#This Row],[Site Name]],SiteDB6[[Site Name]:[Lat]],12,FALSE)</f>
        <v>0</v>
      </c>
      <c r="CP92" s="699">
        <f>VLOOKUP(WWWW[[#This Row],[Site Name]],SiteDB6[[Site Name]:[Long]],13,FALSE)</f>
        <v>0</v>
      </c>
      <c r="CQ92" s="699">
        <f>VLOOKUP(WWWW[[#This Row],[Site Name]],SiteDB6[[Site Name]:[Pcode]],3,FALSE)</f>
        <v>0</v>
      </c>
      <c r="CR92" s="660" t="str">
        <f t="shared" si="1"/>
        <v>Covered</v>
      </c>
      <c r="CS92" s="660"/>
      <c r="CT92" s="24"/>
      <c r="CU92" s="24"/>
      <c r="CV92" s="24"/>
    </row>
    <row r="93" spans="1:100" ht="15.75" customHeight="1" x14ac:dyDescent="0.25">
      <c r="A93" s="833" t="s">
        <v>3206</v>
      </c>
      <c r="B93" s="206" t="s">
        <v>338</v>
      </c>
      <c r="C93" s="206" t="s">
        <v>44</v>
      </c>
      <c r="D93" s="206" t="s">
        <v>351</v>
      </c>
      <c r="E93" s="206" t="s">
        <v>357</v>
      </c>
      <c r="F93" s="206">
        <v>3</v>
      </c>
      <c r="G93" s="209">
        <v>13</v>
      </c>
      <c r="H93" s="206"/>
      <c r="I93" s="206" t="s">
        <v>2475</v>
      </c>
      <c r="J93" s="207">
        <v>43344</v>
      </c>
      <c r="K93" s="206">
        <v>0</v>
      </c>
      <c r="L93" s="206" t="s">
        <v>282</v>
      </c>
      <c r="M93" s="208">
        <v>0</v>
      </c>
      <c r="N93" s="208">
        <v>0</v>
      </c>
      <c r="O93" s="316">
        <v>2</v>
      </c>
      <c r="P93" s="317">
        <v>0</v>
      </c>
      <c r="Q93" s="317">
        <v>0</v>
      </c>
      <c r="R93" s="318">
        <v>0</v>
      </c>
      <c r="S93" s="318">
        <v>0</v>
      </c>
      <c r="T93" s="318"/>
      <c r="U93" s="318"/>
      <c r="V93" s="318"/>
      <c r="W93" s="318"/>
      <c r="X93" s="318"/>
      <c r="Y93" s="318"/>
      <c r="Z93" s="318"/>
      <c r="AA93" s="310">
        <v>2</v>
      </c>
      <c r="AB93" s="310">
        <v>0</v>
      </c>
      <c r="AC93" s="66"/>
      <c r="AD93" s="66"/>
      <c r="AE93" s="310">
        <v>0</v>
      </c>
      <c r="AF93" s="310" t="s">
        <v>283</v>
      </c>
      <c r="AG93" s="311" t="s">
        <v>283</v>
      </c>
      <c r="AH93" s="311"/>
      <c r="AI93" s="310"/>
      <c r="AJ93" s="310"/>
      <c r="AK93" s="841">
        <v>1</v>
      </c>
      <c r="AL93" s="842" t="s">
        <v>291</v>
      </c>
      <c r="AM93" s="842">
        <v>0</v>
      </c>
      <c r="AN93" s="863">
        <v>1</v>
      </c>
      <c r="AO93" s="863">
        <v>0</v>
      </c>
      <c r="AP93" s="838">
        <v>3</v>
      </c>
      <c r="AQ93" s="843">
        <v>3</v>
      </c>
      <c r="AR93" s="843"/>
      <c r="AS93" s="843"/>
      <c r="AT93" s="843"/>
      <c r="AU93" s="843"/>
      <c r="AV93" s="844"/>
      <c r="AW93" s="208" t="str">
        <f>IFERROR(WWWW[[#This Row],['# of Water passed at source]]/WWWW[[#This Row],['# of Water tested at source]],"no test")</f>
        <v>no test</v>
      </c>
      <c r="AX93" s="211" t="str">
        <f>IFERROR(WWWW[[#This Row],['# of Water passed at HH]]/WWWW[[#This Row],['# of Water tested at HH]],"no test")</f>
        <v>no test</v>
      </c>
      <c r="AY93" s="210" t="str">
        <f>IF(AND(WWWW[[#This Row],[%of Water samples which passed at water source]]="no test",WWWW[[#This Row],[%Water samples which passed at HH]]="no test"),"No Test","Tested")</f>
        <v>No Test</v>
      </c>
      <c r="AZ9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9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93" s="211">
        <f>IF(WWWW[[#This Row],[Location Type 1]]="Village",WWWW[[#This Row],[Access to safe drinking water for Village]],WWWW[[#This Row],[Access to safe drinking water for Camp]])</f>
        <v>1</v>
      </c>
      <c r="BC93" s="209">
        <f>WWWW[[#This Row],[%Equitable and continuous access to sufficient quantity of safe drinking water]]*WWWW[[#This Row],[Total PoP ]]</f>
        <v>13</v>
      </c>
      <c r="BD93" s="211">
        <f>IF((WWWW[[#This Row],['# Existing protected/fenced ponds ]]*250)/WWWW[[#This Row],[Total PoP ]]&gt;1,1,WWWW[[#This Row],['# Existing protected/fenced ponds ]]*250/WWWW[[#This Row],[Total PoP ]])</f>
        <v>0</v>
      </c>
      <c r="BE93" s="209">
        <f>WWWW[[#This Row],[Access to unimproved water points]]*WWWW[[#This Row],[Total PoP ]]</f>
        <v>0</v>
      </c>
      <c r="BF9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9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v>
      </c>
      <c r="BH93" s="209">
        <f>WWWW[[#This Row],['#people Equitable and continuous access to sufficient quantity of domestic water borehole n ponds_2]]/500</f>
        <v>2.5999999999999999E-2</v>
      </c>
      <c r="BI93" s="208">
        <f>1-WWWW[[#This Row],[%Equitable and continuous access to sufficient quantity of domestic water borehole n ponds]]</f>
        <v>0</v>
      </c>
      <c r="BJ93" s="209">
        <f>WWWW[[#This Row],[%equitable and continuous access to sufficient quantity of safe drinking and domestic water''s GAP]]*WWWW[[#This Row],[Total PoP ]]</f>
        <v>0</v>
      </c>
      <c r="BK93" s="210">
        <f>IF(WWWW[[#This Row],[Total required water points]]-WWWW[[#This Row],['#Water points coverage]]&lt;0,0,WWWW[[#This Row],[Total required water points]]-WWWW[[#This Row],['#Water points coverage]])</f>
        <v>0.97399999999999998</v>
      </c>
      <c r="BL93" s="210">
        <f>ROUND(IF(WWWW[[#This Row],[Total PoP ]]&lt;500,1,WWWW[[#This Row],[Total PoP ]]/500),0)</f>
        <v>1</v>
      </c>
      <c r="BM93" s="210">
        <f>WWWW[[#This Row],['# Existing functional latrines]]+WWWW[[#This Row],['# Existing latrines dysfunctional]]</f>
        <v>2</v>
      </c>
      <c r="BN9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93" s="352">
        <f>WWWW[[#This Row],[% people access to functioning Latrine]]*WWWW[[#This Row],[Total PoP ]]</f>
        <v>13</v>
      </c>
      <c r="BP9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93" s="209">
        <f>IF(WWWW[[#This Row],[Total required Latrines]]-WWWW[[#This Row],[Total '# of latrine]]&lt;0,0,WWWW[[#This Row],[Total required Latrines]]-WWWW[[#This Row],[Total '# of latrine]])</f>
        <v>0</v>
      </c>
      <c r="BR93" s="210">
        <f>ROUND(IF(WWWW[[#This Row],[Location Type 1]]="camp",WWWW[[#This Row],[Total PoP ]]/20,WWWW[[#This Row],[Total PoP ]]/6),0)</f>
        <v>1</v>
      </c>
      <c r="BS93" s="212">
        <f>IF(OR(WWWW[[#This Row],['# Existing latrines dysfunctional]]="",WWWW[[#This Row],['# Existing latrines dysfunctional]]=0),0,WWWW[[#This Row],['# Existing latrines dysfunctional]]/WWWW[[#This Row],[Total '# of latrine]])</f>
        <v>0</v>
      </c>
      <c r="BT9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93" s="209">
        <f>IF(500*WWWW[[#This Row],['# Hygiene Promoters ]]&gt;WWWW[[#This Row],[Total PoP ]],WWWW[[#This Row],[Total PoP ]],500*WWWW[[#This Row],['# Hygiene Promoters ]])</f>
        <v>0</v>
      </c>
      <c r="BV93" s="209">
        <f>IF(WWWW[[#This Row],[% of HH with access to Sanitary Pad]]&gt;=100%,1,0)</f>
        <v>1</v>
      </c>
      <c r="BW93" s="209">
        <f>IF(WWWW[[#This Row],[Total PoP ]]=0,0,IF(WWWW[[#This Row],['# Hygiene Promoters ]]=0,0,IF(WWWW[[#This Row],[Location Type 1]]="Village",IF(WWWW[[#This Row],[Total PoP ]]/WWWW[[#This Row],['# Hygiene Promoters ]]&lt;1000,1,0),IF(WWWW[[#This Row],[Total PoP ]]/WWWW[[#This Row],['# Hygiene Promoters ]]&lt;600,1,0))))</f>
        <v>0</v>
      </c>
      <c r="BX93" s="209">
        <f>IF(WWWW[[#This Row],[%HH with access to soap]]&gt;=100%,1,0)</f>
        <v>1</v>
      </c>
      <c r="BY93" s="209">
        <f>IF(WWWW[[#This Row],[% of HHs with access to Sanitary pad more than '#%]]+WWWW[[#This Row],[Ratio of Hyiene promoters to people less than '#]]+WWWW[[#This Row],[% of HHs with access to soap more than '#%]]&gt;=2,WWWW[[#This Row],[Total PoP ]],0)</f>
        <v>13</v>
      </c>
      <c r="BZ93" s="208">
        <f>WWWW[[#This Row],[People adopt basic personal and community hygiene practices]]/WWWW[[#This Row],[Total PoP ]]</f>
        <v>1</v>
      </c>
      <c r="CA93" s="212">
        <f>1-WWWW[[#This Row],[Hygiene Coverage%]]</f>
        <v>0</v>
      </c>
      <c r="CB93" s="211">
        <f>WWWW[[#This Row],['# people reached by regular dedicated hygiene promotion_5]]/WWWW[[#This Row],[Total PoP ]]</f>
        <v>0</v>
      </c>
      <c r="CC93" s="211">
        <f>IF(WWWW[[#This Row],['# HH received soaps]]/WWWW[[#This Row],[Total HH]]&gt;1,1,WWWW[[#This Row],['# HH received soaps]]/WWWW[[#This Row],[Total HH]])</f>
        <v>1</v>
      </c>
      <c r="CD93" s="211">
        <f>IF(WWWW[[#This Row],['# HH received Sanitary Pads]]/WWWW[[#This Row],[Total HH]]&gt;1,1,WWWW[[#This Row],['# HH received Sanitary Pads]]/WWWW[[#This Row],[Total HH]])</f>
        <v>1</v>
      </c>
      <c r="CE93" s="210">
        <f>WWWW[[#This Row],['# HH received soaps]]*5</f>
        <v>15</v>
      </c>
      <c r="CF93" s="210">
        <f>WWWW[[#This Row],['# HH received Sanitary Pads]]*5</f>
        <v>15</v>
      </c>
      <c r="CG93" s="210">
        <f>IF(WWWW[[#This Row],['# People with access to soap]]&gt;WWWW[[#This Row],['# People with access to Sanity Pads]],WWWW[[#This Row],['# People with access to soap]],WWWW[[#This Row],['# People with access to Sanity Pads]])</f>
        <v>15</v>
      </c>
      <c r="CH93" s="209">
        <f>WWWW[[#This Row],[Total HH]]*WWWW[[#This Row],[%HHs with access to functional hand washing stations]]</f>
        <v>3</v>
      </c>
      <c r="CI93" s="699">
        <f>VLOOKUP(WWWW[[#This Row],[Site Name]],SiteDB6[[Site Name]:[CCCM Management]],6,FALSE)</f>
        <v>0</v>
      </c>
      <c r="CJ93" s="699">
        <f>VLOOKUP(WWWW[[#This Row],[Site Name]],SiteDB6[[Site Name]:[CCCM Focal Agency]],7,FALSE)</f>
        <v>0</v>
      </c>
      <c r="CK93" s="699" t="str">
        <f>VLOOKUP(WWWW[[#This Row],[Site Name]],SiteDB6[[Site Name]:[Location Type]],8,FALSE)</f>
        <v>Camp</v>
      </c>
      <c r="CL93" s="699" t="str">
        <f>VLOOKUP(WWWW[[#This Row],[Site Name]],SiteDB6[[Site Name]:[Location Type 1]],9,FALSE)</f>
        <v>Camp</v>
      </c>
      <c r="CM93" s="699" t="str">
        <f>VLOOKUP(WWWW[[#This Row],[Site Name]],SiteDB6[[Site Name]:[Type of Accommodation]],10,FALSE)</f>
        <v>Closed Camp</v>
      </c>
      <c r="CN93" s="699" t="str">
        <f>VLOOKUP(WWWW[[#This Row],[Site Name]],SiteDB6[[Site Name]:[Ethnic or GCA/NGCA]],11,FALSE)</f>
        <v>GCA</v>
      </c>
      <c r="CO93" s="699">
        <f>VLOOKUP(WWWW[[#This Row],[Site Name]],SiteDB6[[Site Name]:[Lat]],12,FALSE)</f>
        <v>24.251860000000001</v>
      </c>
      <c r="CP93" s="699">
        <f>VLOOKUP(WWWW[[#This Row],[Site Name]],SiteDB6[[Site Name]:[Long]],13,FALSE)</f>
        <v>97.346940000000004</v>
      </c>
      <c r="CQ93" s="699" t="str">
        <f>VLOOKUP(WWWW[[#This Row],[Site Name]],SiteDB6[[Site Name]:[Pcode]],3,FALSE)</f>
        <v>MMR001CMP058</v>
      </c>
      <c r="CR93" s="660" t="str">
        <f t="shared" si="1"/>
        <v>Covered</v>
      </c>
      <c r="CS93" s="660"/>
      <c r="CT93" s="24"/>
      <c r="CU93" s="24"/>
      <c r="CV93" s="24"/>
    </row>
    <row r="94" spans="1:100" ht="15.75" customHeight="1" x14ac:dyDescent="0.25">
      <c r="A94" s="833" t="s">
        <v>3206</v>
      </c>
      <c r="B94" s="206" t="s">
        <v>338</v>
      </c>
      <c r="C94" s="206" t="s">
        <v>44</v>
      </c>
      <c r="D94" s="206" t="s">
        <v>351</v>
      </c>
      <c r="E94" s="206" t="s">
        <v>359</v>
      </c>
      <c r="F94" s="206">
        <v>109</v>
      </c>
      <c r="G94" s="209">
        <v>453</v>
      </c>
      <c r="H94" s="206"/>
      <c r="I94" s="206" t="s">
        <v>340</v>
      </c>
      <c r="J94" s="207" t="s">
        <v>2476</v>
      </c>
      <c r="K94" s="206">
        <v>0</v>
      </c>
      <c r="L94" s="206" t="s">
        <v>48</v>
      </c>
      <c r="M94" s="208">
        <v>0.5</v>
      </c>
      <c r="N94" s="208">
        <v>0.5</v>
      </c>
      <c r="O94" s="316">
        <v>1</v>
      </c>
      <c r="P94" s="317">
        <v>1</v>
      </c>
      <c r="Q94" s="317">
        <v>0</v>
      </c>
      <c r="R94" s="318">
        <v>0</v>
      </c>
      <c r="S94" s="318">
        <v>0</v>
      </c>
      <c r="T94" s="318"/>
      <c r="U94" s="318"/>
      <c r="V94" s="318"/>
      <c r="W94" s="318"/>
      <c r="X94" s="318"/>
      <c r="Y94" s="318"/>
      <c r="Z94" s="318"/>
      <c r="AA94" s="310">
        <v>10</v>
      </c>
      <c r="AB94" s="310">
        <v>0</v>
      </c>
      <c r="AC94" s="66"/>
      <c r="AD94" s="66"/>
      <c r="AE94" s="310">
        <v>0</v>
      </c>
      <c r="AF94" s="310" t="s">
        <v>283</v>
      </c>
      <c r="AG94" s="311" t="s">
        <v>283</v>
      </c>
      <c r="AH94" s="311"/>
      <c r="AI94" s="310"/>
      <c r="AJ94" s="310"/>
      <c r="AK94" s="841">
        <v>1</v>
      </c>
      <c r="AL94" s="842" t="s">
        <v>291</v>
      </c>
      <c r="AM94" s="842">
        <v>0</v>
      </c>
      <c r="AN94" s="863">
        <v>4</v>
      </c>
      <c r="AO94" s="863">
        <v>2</v>
      </c>
      <c r="AP94" s="838">
        <v>109</v>
      </c>
      <c r="AQ94" s="843">
        <v>109</v>
      </c>
      <c r="AR94" s="843"/>
      <c r="AS94" s="843"/>
      <c r="AT94" s="843"/>
      <c r="AU94" s="843"/>
      <c r="AV94" s="844"/>
      <c r="AW94" s="208" t="str">
        <f>IFERROR(WWWW[[#This Row],['# of Water passed at source]]/WWWW[[#This Row],['# of Water tested at source]],"no test")</f>
        <v>no test</v>
      </c>
      <c r="AX94" s="211" t="str">
        <f>IFERROR(WWWW[[#This Row],['# of Water passed at HH]]/WWWW[[#This Row],['# of Water tested at HH]],"no test")</f>
        <v>no test</v>
      </c>
      <c r="AY94" s="210" t="str">
        <f>IF(AND(WWWW[[#This Row],[%of Water samples which passed at water source]]="no test",WWWW[[#This Row],[%Water samples which passed at HH]]="no test"),"No Test","Tested")</f>
        <v>No Test</v>
      </c>
      <c r="AZ9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9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94" s="211">
        <f>IF(WWWW[[#This Row],[Location Type 1]]="Village",WWWW[[#This Row],[Access to safe drinking water for Village]],WWWW[[#This Row],[Access to safe drinking water for Camp]])</f>
        <v>1</v>
      </c>
      <c r="BC94" s="209">
        <f>WWWW[[#This Row],[%Equitable and continuous access to sufficient quantity of safe drinking water]]*WWWW[[#This Row],[Total PoP ]]</f>
        <v>453</v>
      </c>
      <c r="BD94" s="211">
        <f>IF((WWWW[[#This Row],['# Existing protected/fenced ponds ]]*250)/WWWW[[#This Row],[Total PoP ]]&gt;1,1,WWWW[[#This Row],['# Existing protected/fenced ponds ]]*250/WWWW[[#This Row],[Total PoP ]])</f>
        <v>0</v>
      </c>
      <c r="BE94" s="209">
        <f>WWWW[[#This Row],[Access to unimproved water points]]*WWWW[[#This Row],[Total PoP ]]</f>
        <v>0</v>
      </c>
      <c r="BF9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9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453</v>
      </c>
      <c r="BH94" s="209">
        <f>WWWW[[#This Row],['#people Equitable and continuous access to sufficient quantity of domestic water borehole n ponds_2]]/500</f>
        <v>0.90600000000000003</v>
      </c>
      <c r="BI94" s="208">
        <f>1-WWWW[[#This Row],[%Equitable and continuous access to sufficient quantity of domestic water borehole n ponds]]</f>
        <v>0</v>
      </c>
      <c r="BJ94" s="209">
        <f>WWWW[[#This Row],[%equitable and continuous access to sufficient quantity of safe drinking and domestic water''s GAP]]*WWWW[[#This Row],[Total PoP ]]</f>
        <v>0</v>
      </c>
      <c r="BK94" s="210">
        <f>IF(WWWW[[#This Row],[Total required water points]]-WWWW[[#This Row],['#Water points coverage]]&lt;0,0,WWWW[[#This Row],[Total required water points]]-WWWW[[#This Row],['#Water points coverage]])</f>
        <v>9.3999999999999972E-2</v>
      </c>
      <c r="BL94" s="210">
        <f>ROUND(IF(WWWW[[#This Row],[Total PoP ]]&lt;500,1,WWWW[[#This Row],[Total PoP ]]/500),0)</f>
        <v>1</v>
      </c>
      <c r="BM94" s="210">
        <f>WWWW[[#This Row],['# Existing functional latrines]]+WWWW[[#This Row],['# Existing latrines dysfunctional]]</f>
        <v>10</v>
      </c>
      <c r="BN9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0.44150110375275936</v>
      </c>
      <c r="BO94" s="352">
        <f>WWWW[[#This Row],[% people access to functioning Latrine]]*WWWW[[#This Row],[Total PoP ]]</f>
        <v>200</v>
      </c>
      <c r="BP9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0.57395143487858724</v>
      </c>
      <c r="BQ94" s="209">
        <f>IF(WWWW[[#This Row],[Total required Latrines]]-WWWW[[#This Row],[Total '# of latrine]]&lt;0,0,WWWW[[#This Row],[Total required Latrines]]-WWWW[[#This Row],[Total '# of latrine]])</f>
        <v>13</v>
      </c>
      <c r="BR94" s="210">
        <f>ROUND(IF(WWWW[[#This Row],[Location Type 1]]="camp",WWWW[[#This Row],[Total PoP ]]/20,WWWW[[#This Row],[Total PoP ]]/6),0)</f>
        <v>23</v>
      </c>
      <c r="BS94" s="212">
        <f>IF(OR(WWWW[[#This Row],['# Existing latrines dysfunctional]]="",WWWW[[#This Row],['# Existing latrines dysfunctional]]=0),0,WWWW[[#This Row],['# Existing latrines dysfunctional]]/WWWW[[#This Row],[Total '# of latrine]])</f>
        <v>0</v>
      </c>
      <c r="BT9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94" s="209">
        <f>IF(500*WWWW[[#This Row],['# Hygiene Promoters ]]&gt;WWWW[[#This Row],[Total PoP ]],WWWW[[#This Row],[Total PoP ]],500*WWWW[[#This Row],['# Hygiene Promoters ]])</f>
        <v>453</v>
      </c>
      <c r="BV94" s="209">
        <f>IF(WWWW[[#This Row],[% of HH with access to Sanitary Pad]]&gt;=100%,1,0)</f>
        <v>1</v>
      </c>
      <c r="BW94" s="209">
        <f>IF(WWWW[[#This Row],[Total PoP ]]=0,0,IF(WWWW[[#This Row],['# Hygiene Promoters ]]=0,0,IF(WWWW[[#This Row],[Location Type 1]]="Village",IF(WWWW[[#This Row],[Total PoP ]]/WWWW[[#This Row],['# Hygiene Promoters ]]&lt;1000,1,0),IF(WWWW[[#This Row],[Total PoP ]]/WWWW[[#This Row],['# Hygiene Promoters ]]&lt;600,1,0))))</f>
        <v>1</v>
      </c>
      <c r="BX94" s="209">
        <f>IF(WWWW[[#This Row],[%HH with access to soap]]&gt;=100%,1,0)</f>
        <v>1</v>
      </c>
      <c r="BY94" s="209">
        <f>IF(WWWW[[#This Row],[% of HHs with access to Sanitary pad more than '#%]]+WWWW[[#This Row],[Ratio of Hyiene promoters to people less than '#]]+WWWW[[#This Row],[% of HHs with access to soap more than '#%]]&gt;=2,WWWW[[#This Row],[Total PoP ]],0)</f>
        <v>453</v>
      </c>
      <c r="BZ94" s="208">
        <f>WWWW[[#This Row],[People adopt basic personal and community hygiene practices]]/WWWW[[#This Row],[Total PoP ]]</f>
        <v>1</v>
      </c>
      <c r="CA94" s="212">
        <f>1-WWWW[[#This Row],[Hygiene Coverage%]]</f>
        <v>0</v>
      </c>
      <c r="CB94" s="211">
        <f>WWWW[[#This Row],['# people reached by regular dedicated hygiene promotion_5]]/WWWW[[#This Row],[Total PoP ]]</f>
        <v>1</v>
      </c>
      <c r="CC94" s="211">
        <f>IF(WWWW[[#This Row],['# HH received soaps]]/WWWW[[#This Row],[Total HH]]&gt;1,1,WWWW[[#This Row],['# HH received soaps]]/WWWW[[#This Row],[Total HH]])</f>
        <v>1</v>
      </c>
      <c r="CD94" s="211">
        <f>IF(WWWW[[#This Row],['# HH received Sanitary Pads]]/WWWW[[#This Row],[Total HH]]&gt;1,1,WWWW[[#This Row],['# HH received Sanitary Pads]]/WWWW[[#This Row],[Total HH]])</f>
        <v>1</v>
      </c>
      <c r="CE94" s="210">
        <f>WWWW[[#This Row],['# HH received soaps]]*5</f>
        <v>545</v>
      </c>
      <c r="CF94" s="210">
        <f>WWWW[[#This Row],['# HH received Sanitary Pads]]*5</f>
        <v>545</v>
      </c>
      <c r="CG94" s="210">
        <f>IF(WWWW[[#This Row],['# People with access to soap]]&gt;WWWW[[#This Row],['# People with access to Sanity Pads]],WWWW[[#This Row],['# People with access to soap]],WWWW[[#This Row],['# People with access to Sanity Pads]])</f>
        <v>545</v>
      </c>
      <c r="CH94" s="209">
        <f>WWWW[[#This Row],[Total HH]]*WWWW[[#This Row],[%HHs with access to functional hand washing stations]]</f>
        <v>109</v>
      </c>
      <c r="CI94" s="699" t="str">
        <f>VLOOKUP(WWWW[[#This Row],[Site Name]],SiteDB6[[Site Name]:[CCCM Management]],6,FALSE)</f>
        <v>Yes</v>
      </c>
      <c r="CJ94" s="699" t="str">
        <f>VLOOKUP(WWWW[[#This Row],[Site Name]],SiteDB6[[Site Name]:[CCCM Focal Agency]],7,FALSE)</f>
        <v>KBC</v>
      </c>
      <c r="CK94" s="699" t="str">
        <f>VLOOKUP(WWWW[[#This Row],[Site Name]],SiteDB6[[Site Name]:[Location Type]],8,FALSE)</f>
        <v>Camp</v>
      </c>
      <c r="CL94" s="699" t="str">
        <f>VLOOKUP(WWWW[[#This Row],[Site Name]],SiteDB6[[Site Name]:[Location Type 1]],9,FALSE)</f>
        <v>Camp</v>
      </c>
      <c r="CM94" s="699" t="str">
        <f>VLOOKUP(WWWW[[#This Row],[Site Name]],SiteDB6[[Site Name]:[Type of Accommodation]],10,FALSE)</f>
        <v>Camp</v>
      </c>
      <c r="CN94" s="699" t="str">
        <f>VLOOKUP(WWWW[[#This Row],[Site Name]],SiteDB6[[Site Name]:[Ethnic or GCA/NGCA]],11,FALSE)</f>
        <v>GCA</v>
      </c>
      <c r="CO94" s="699">
        <f>VLOOKUP(WWWW[[#This Row],[Site Name]],SiteDB6[[Site Name]:[Lat]],12,FALSE)</f>
        <v>24.250689999999999</v>
      </c>
      <c r="CP94" s="699">
        <f>VLOOKUP(WWWW[[#This Row],[Site Name]],SiteDB6[[Site Name]:[Long]],13,FALSE)</f>
        <v>97.344359999999995</v>
      </c>
      <c r="CQ94" s="699" t="str">
        <f>VLOOKUP(WWWW[[#This Row],[Site Name]],SiteDB6[[Site Name]:[Pcode]],3,FALSE)</f>
        <v>MMR001CMP056</v>
      </c>
      <c r="CR94" s="660" t="str">
        <f t="shared" si="1"/>
        <v>Covered</v>
      </c>
      <c r="CS94" s="660"/>
      <c r="CT94" s="24"/>
      <c r="CU94" s="24"/>
      <c r="CV94" s="24"/>
    </row>
    <row r="95" spans="1:100" ht="15.75" customHeight="1" x14ac:dyDescent="0.25">
      <c r="A95" s="833" t="s">
        <v>3206</v>
      </c>
      <c r="B95" s="206" t="s">
        <v>460</v>
      </c>
      <c r="C95" s="206" t="s">
        <v>44</v>
      </c>
      <c r="D95" s="206" t="s">
        <v>351</v>
      </c>
      <c r="E95" s="206" t="s">
        <v>1175</v>
      </c>
      <c r="F95" s="206">
        <v>223</v>
      </c>
      <c r="G95" s="209">
        <v>1067</v>
      </c>
      <c r="H95" s="206"/>
      <c r="I95" s="206"/>
      <c r="J95" s="207"/>
      <c r="K95" s="206"/>
      <c r="L95" s="206" t="s">
        <v>282</v>
      </c>
      <c r="M95" s="208">
        <v>0</v>
      </c>
      <c r="N95" s="208">
        <v>0</v>
      </c>
      <c r="O95" s="316"/>
      <c r="P95" s="317"/>
      <c r="Q95" s="317"/>
      <c r="R95" s="318"/>
      <c r="S95" s="318"/>
      <c r="T95" s="318"/>
      <c r="U95" s="318"/>
      <c r="V95" s="318"/>
      <c r="W95" s="318"/>
      <c r="X95" s="318"/>
      <c r="Y95" s="318"/>
      <c r="Z95" s="318"/>
      <c r="AA95" s="310">
        <v>0</v>
      </c>
      <c r="AB95" s="310"/>
      <c r="AC95" s="66"/>
      <c r="AD95" s="66"/>
      <c r="AE95" s="310"/>
      <c r="AF95" s="310" t="s">
        <v>286</v>
      </c>
      <c r="AG95" s="311" t="s">
        <v>286</v>
      </c>
      <c r="AH95" s="311"/>
      <c r="AI95" s="310"/>
      <c r="AJ95" s="310"/>
      <c r="AK95" s="841"/>
      <c r="AL95" s="842"/>
      <c r="AM95" s="842"/>
      <c r="AN95" s="863"/>
      <c r="AO95" s="863"/>
      <c r="AP95" s="838"/>
      <c r="AQ95" s="843"/>
      <c r="AR95" s="843"/>
      <c r="AS95" s="843"/>
      <c r="AT95" s="843"/>
      <c r="AU95" s="843"/>
      <c r="AV95" s="844"/>
      <c r="AW95" s="208" t="str">
        <f>IFERROR(WWWW[[#This Row],['# of Water passed at source]]/WWWW[[#This Row],['# of Water tested at source]],"no test")</f>
        <v>no test</v>
      </c>
      <c r="AX95" s="211" t="str">
        <f>IFERROR(WWWW[[#This Row],['# of Water passed at HH]]/WWWW[[#This Row],['# of Water tested at HH]],"no test")</f>
        <v>no test</v>
      </c>
      <c r="AY95" s="210" t="str">
        <f>IF(AND(WWWW[[#This Row],[%of Water samples which passed at water source]]="no test",WWWW[[#This Row],[%Water samples which passed at HH]]="no test"),"No Test","Tested")</f>
        <v>No Test</v>
      </c>
      <c r="AZ9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9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95" s="211">
        <f>IF(WWWW[[#This Row],[Location Type 1]]="Village",WWWW[[#This Row],[Access to safe drinking water for Village]],WWWW[[#This Row],[Access to safe drinking water for Camp]])</f>
        <v>0</v>
      </c>
      <c r="BC95" s="209">
        <f>WWWW[[#This Row],[%Equitable and continuous access to sufficient quantity of safe drinking water]]*WWWW[[#This Row],[Total PoP ]]</f>
        <v>0</v>
      </c>
      <c r="BD95" s="211">
        <f>IF((WWWW[[#This Row],['# Existing protected/fenced ponds ]]*250)/WWWW[[#This Row],[Total PoP ]]&gt;1,1,WWWW[[#This Row],['# Existing protected/fenced ponds ]]*250/WWWW[[#This Row],[Total PoP ]])</f>
        <v>0</v>
      </c>
      <c r="BE95" s="209">
        <f>WWWW[[#This Row],[Access to unimproved water points]]*WWWW[[#This Row],[Total PoP ]]</f>
        <v>0</v>
      </c>
      <c r="BF9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9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95" s="209">
        <f>WWWW[[#This Row],['#people Equitable and continuous access to sufficient quantity of domestic water borehole n ponds_2]]/500</f>
        <v>0</v>
      </c>
      <c r="BI95" s="208">
        <f>1-WWWW[[#This Row],[%Equitable and continuous access to sufficient quantity of domestic water borehole n ponds]]</f>
        <v>1</v>
      </c>
      <c r="BJ95" s="209">
        <f>WWWW[[#This Row],[%equitable and continuous access to sufficient quantity of safe drinking and domestic water''s GAP]]*WWWW[[#This Row],[Total PoP ]]</f>
        <v>1067</v>
      </c>
      <c r="BK95" s="210">
        <f>IF(WWWW[[#This Row],[Total required water points]]-WWWW[[#This Row],['#Water points coverage]]&lt;0,0,WWWW[[#This Row],[Total required water points]]-WWWW[[#This Row],['#Water points coverage]])</f>
        <v>2</v>
      </c>
      <c r="BL95" s="210">
        <f>ROUND(IF(WWWW[[#This Row],[Total PoP ]]&lt;500,1,WWWW[[#This Row],[Total PoP ]]/500),0)</f>
        <v>2</v>
      </c>
      <c r="BM95" s="210">
        <f>WWWW[[#This Row],['# Existing functional latrines]]+WWWW[[#This Row],['# Existing latrines dysfunctional]]</f>
        <v>0</v>
      </c>
      <c r="BN9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95" s="352">
        <f>WWWW[[#This Row],[% people access to functioning Latrine]]*WWWW[[#This Row],[Total PoP ]]</f>
        <v>0</v>
      </c>
      <c r="BP9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0.99343955014058105</v>
      </c>
      <c r="BQ95" s="209">
        <f>IF(WWWW[[#This Row],[Total required Latrines]]-WWWW[[#This Row],[Total '# of latrine]]&lt;0,0,WWWW[[#This Row],[Total required Latrines]]-WWWW[[#This Row],[Total '# of latrine]])</f>
        <v>53</v>
      </c>
      <c r="BR95" s="210">
        <f>ROUND(IF(WWWW[[#This Row],[Location Type 1]]="camp",WWWW[[#This Row],[Total PoP ]]/20,WWWW[[#This Row],[Total PoP ]]/6),0)</f>
        <v>53</v>
      </c>
      <c r="BS95" s="212">
        <f>IF(OR(WWWW[[#This Row],['# Existing latrines dysfunctional]]="",WWWW[[#This Row],['# Existing latrines dysfunctional]]=0),0,WWWW[[#This Row],['# Existing latrines dysfunctional]]/WWWW[[#This Row],[Total '# of latrine]])</f>
        <v>0</v>
      </c>
      <c r="BT9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95" s="209">
        <f>IF(500*WWWW[[#This Row],['# Hygiene Promoters ]]&gt;WWWW[[#This Row],[Total PoP ]],WWWW[[#This Row],[Total PoP ]],500*WWWW[[#This Row],['# Hygiene Promoters ]])</f>
        <v>0</v>
      </c>
      <c r="BV95" s="209">
        <f>IF(WWWW[[#This Row],[% of HH with access to Sanitary Pad]]&gt;=100%,1,0)</f>
        <v>0</v>
      </c>
      <c r="BW95" s="209">
        <f>IF(WWWW[[#This Row],[Total PoP ]]=0,0,IF(WWWW[[#This Row],['# Hygiene Promoters ]]=0,0,IF(WWWW[[#This Row],[Location Type 1]]="Village",IF(WWWW[[#This Row],[Total PoP ]]/WWWW[[#This Row],['# Hygiene Promoters ]]&lt;1000,1,0),IF(WWWW[[#This Row],[Total PoP ]]/WWWW[[#This Row],['# Hygiene Promoters ]]&lt;600,1,0))))</f>
        <v>0</v>
      </c>
      <c r="BX95" s="209">
        <f>IF(WWWW[[#This Row],[%HH with access to soap]]&gt;=100%,1,0)</f>
        <v>0</v>
      </c>
      <c r="BY95" s="209">
        <f>IF(WWWW[[#This Row],[% of HHs with access to Sanitary pad more than '#%]]+WWWW[[#This Row],[Ratio of Hyiene promoters to people less than '#]]+WWWW[[#This Row],[% of HHs with access to soap more than '#%]]&gt;=2,WWWW[[#This Row],[Total PoP ]],0)</f>
        <v>0</v>
      </c>
      <c r="BZ95" s="208">
        <f>WWWW[[#This Row],[People adopt basic personal and community hygiene practices]]/WWWW[[#This Row],[Total PoP ]]</f>
        <v>0</v>
      </c>
      <c r="CA95" s="212">
        <f>1-WWWW[[#This Row],[Hygiene Coverage%]]</f>
        <v>1</v>
      </c>
      <c r="CB95" s="211">
        <f>WWWW[[#This Row],['# people reached by regular dedicated hygiene promotion_5]]/WWWW[[#This Row],[Total PoP ]]</f>
        <v>0</v>
      </c>
      <c r="CC95" s="211">
        <f>IF(WWWW[[#This Row],['# HH received soaps]]/WWWW[[#This Row],[Total HH]]&gt;1,1,WWWW[[#This Row],['# HH received soaps]]/WWWW[[#This Row],[Total HH]])</f>
        <v>0</v>
      </c>
      <c r="CD95" s="211">
        <f>IF(WWWW[[#This Row],['# HH received Sanitary Pads]]/WWWW[[#This Row],[Total HH]]&gt;1,1,WWWW[[#This Row],['# HH received Sanitary Pads]]/WWWW[[#This Row],[Total HH]])</f>
        <v>0</v>
      </c>
      <c r="CE95" s="210">
        <f>WWWW[[#This Row],['# HH received soaps]]*5</f>
        <v>0</v>
      </c>
      <c r="CF95" s="210">
        <f>WWWW[[#This Row],['# HH received Sanitary Pads]]*5</f>
        <v>0</v>
      </c>
      <c r="CG95" s="210">
        <f>IF(WWWW[[#This Row],['# People with access to soap]]&gt;WWWW[[#This Row],['# People with access to Sanity Pads]],WWWW[[#This Row],['# People with access to soap]],WWWW[[#This Row],['# People with access to Sanity Pads]])</f>
        <v>0</v>
      </c>
      <c r="CH95" s="209">
        <f>WWWW[[#This Row],[Total HH]]*WWWW[[#This Row],[%HHs with access to functional hand washing stations]]</f>
        <v>0</v>
      </c>
      <c r="CI95" s="699">
        <f>VLOOKUP(WWWW[[#This Row],[Site Name]],SiteDB6[[Site Name]:[CCCM Management]],6,FALSE)</f>
        <v>0</v>
      </c>
      <c r="CJ95" s="699" t="str">
        <f>VLOOKUP(WWWW[[#This Row],[Site Name]],SiteDB6[[Site Name]:[CCCM Focal Agency]],7,FALSE)</f>
        <v>uncovered</v>
      </c>
      <c r="CK95" s="699" t="str">
        <f>VLOOKUP(WWWW[[#This Row],[Site Name]],SiteDB6[[Site Name]:[Location Type]],8,FALSE)</f>
        <v>Camp</v>
      </c>
      <c r="CL95" s="699" t="str">
        <f>VLOOKUP(WWWW[[#This Row],[Site Name]],SiteDB6[[Site Name]:[Location Type 1]],9,FALSE)</f>
        <v>Camp</v>
      </c>
      <c r="CM95" s="699" t="str">
        <f>VLOOKUP(WWWW[[#This Row],[Site Name]],SiteDB6[[Site Name]:[Type of Accommodation]],10,FALSE)</f>
        <v>Host Families</v>
      </c>
      <c r="CN95" s="699" t="str">
        <f>VLOOKUP(WWWW[[#This Row],[Site Name]],SiteDB6[[Site Name]:[Ethnic or GCA/NGCA]],11,FALSE)</f>
        <v>GCA</v>
      </c>
      <c r="CO95" s="699">
        <f>VLOOKUP(WWWW[[#This Row],[Site Name]],SiteDB6[[Site Name]:[Lat]],12,FALSE)</f>
        <v>24.251232000000002</v>
      </c>
      <c r="CP95" s="699">
        <f>VLOOKUP(WWWW[[#This Row],[Site Name]],SiteDB6[[Site Name]:[Long]],13,FALSE)</f>
        <v>97.348405</v>
      </c>
      <c r="CQ95" s="699" t="str">
        <f>VLOOKUP(WWWW[[#This Row],[Site Name]],SiteDB6[[Site Name]:[Pcode]],3,FALSE)</f>
        <v>MMR001CMP197</v>
      </c>
      <c r="CR95" s="660" t="str">
        <f t="shared" si="1"/>
        <v>Notcovered</v>
      </c>
      <c r="CS95" s="660"/>
      <c r="CT95" s="24"/>
      <c r="CU95" s="24"/>
      <c r="CV95" s="24"/>
    </row>
    <row r="96" spans="1:100" ht="15.75" customHeight="1" x14ac:dyDescent="0.25">
      <c r="A96" s="833" t="s">
        <v>3206</v>
      </c>
      <c r="B96" s="206" t="s">
        <v>460</v>
      </c>
      <c r="C96" s="206" t="s">
        <v>44</v>
      </c>
      <c r="D96" s="206" t="s">
        <v>351</v>
      </c>
      <c r="E96" s="206" t="s">
        <v>1185</v>
      </c>
      <c r="F96" s="206">
        <v>47</v>
      </c>
      <c r="G96" s="209">
        <v>153</v>
      </c>
      <c r="H96" s="206"/>
      <c r="I96" s="206"/>
      <c r="J96" s="207"/>
      <c r="K96" s="206"/>
      <c r="L96" s="206" t="s">
        <v>282</v>
      </c>
      <c r="M96" s="208">
        <v>0</v>
      </c>
      <c r="N96" s="208">
        <v>0</v>
      </c>
      <c r="O96" s="316"/>
      <c r="P96" s="317"/>
      <c r="Q96" s="317"/>
      <c r="R96" s="318"/>
      <c r="S96" s="318"/>
      <c r="T96" s="318"/>
      <c r="U96" s="318"/>
      <c r="V96" s="318"/>
      <c r="W96" s="318"/>
      <c r="X96" s="318"/>
      <c r="Y96" s="318"/>
      <c r="Z96" s="318"/>
      <c r="AA96" s="310">
        <v>0</v>
      </c>
      <c r="AB96" s="310"/>
      <c r="AC96" s="66"/>
      <c r="AD96" s="66"/>
      <c r="AE96" s="310"/>
      <c r="AF96" s="310" t="s">
        <v>286</v>
      </c>
      <c r="AG96" s="311" t="s">
        <v>286</v>
      </c>
      <c r="AH96" s="311"/>
      <c r="AI96" s="310"/>
      <c r="AJ96" s="310"/>
      <c r="AK96" s="841"/>
      <c r="AL96" s="842"/>
      <c r="AM96" s="842"/>
      <c r="AN96" s="863"/>
      <c r="AO96" s="863"/>
      <c r="AP96" s="838"/>
      <c r="AQ96" s="843"/>
      <c r="AR96" s="843"/>
      <c r="AS96" s="843"/>
      <c r="AT96" s="843"/>
      <c r="AU96" s="843"/>
      <c r="AV96" s="844"/>
      <c r="AW96" s="208" t="str">
        <f>IFERROR(WWWW[[#This Row],['# of Water passed at source]]/WWWW[[#This Row],['# of Water tested at source]],"no test")</f>
        <v>no test</v>
      </c>
      <c r="AX96" s="211" t="str">
        <f>IFERROR(WWWW[[#This Row],['# of Water passed at HH]]/WWWW[[#This Row],['# of Water tested at HH]],"no test")</f>
        <v>no test</v>
      </c>
      <c r="AY96" s="210" t="str">
        <f>IF(AND(WWWW[[#This Row],[%of Water samples which passed at water source]]="no test",WWWW[[#This Row],[%Water samples which passed at HH]]="no test"),"No Test","Tested")</f>
        <v>No Test</v>
      </c>
      <c r="AZ9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9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96" s="211">
        <f>IF(WWWW[[#This Row],[Location Type 1]]="Village",WWWW[[#This Row],[Access to safe drinking water for Village]],WWWW[[#This Row],[Access to safe drinking water for Camp]])</f>
        <v>0</v>
      </c>
      <c r="BC96" s="209">
        <f>WWWW[[#This Row],[%Equitable and continuous access to sufficient quantity of safe drinking water]]*WWWW[[#This Row],[Total PoP ]]</f>
        <v>0</v>
      </c>
      <c r="BD96" s="211">
        <f>IF((WWWW[[#This Row],['# Existing protected/fenced ponds ]]*250)/WWWW[[#This Row],[Total PoP ]]&gt;1,1,WWWW[[#This Row],['# Existing protected/fenced ponds ]]*250/WWWW[[#This Row],[Total PoP ]])</f>
        <v>0</v>
      </c>
      <c r="BE96" s="209">
        <f>WWWW[[#This Row],[Access to unimproved water points]]*WWWW[[#This Row],[Total PoP ]]</f>
        <v>0</v>
      </c>
      <c r="BF9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9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96" s="209">
        <f>WWWW[[#This Row],['#people Equitable and continuous access to sufficient quantity of domestic water borehole n ponds_2]]/500</f>
        <v>0</v>
      </c>
      <c r="BI96" s="208">
        <f>1-WWWW[[#This Row],[%Equitable and continuous access to sufficient quantity of domestic water borehole n ponds]]</f>
        <v>1</v>
      </c>
      <c r="BJ96" s="209">
        <f>WWWW[[#This Row],[%equitable and continuous access to sufficient quantity of safe drinking and domestic water''s GAP]]*WWWW[[#This Row],[Total PoP ]]</f>
        <v>153</v>
      </c>
      <c r="BK96" s="210">
        <f>IF(WWWW[[#This Row],[Total required water points]]-WWWW[[#This Row],['#Water points coverage]]&lt;0,0,WWWW[[#This Row],[Total required water points]]-WWWW[[#This Row],['#Water points coverage]])</f>
        <v>1</v>
      </c>
      <c r="BL96" s="210">
        <f>ROUND(IF(WWWW[[#This Row],[Total PoP ]]&lt;500,1,WWWW[[#This Row],[Total PoP ]]/500),0)</f>
        <v>1</v>
      </c>
      <c r="BM96" s="210">
        <f>WWWW[[#This Row],['# Existing functional latrines]]+WWWW[[#This Row],['# Existing latrines dysfunctional]]</f>
        <v>0</v>
      </c>
      <c r="BN9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96" s="352">
        <f>WWWW[[#This Row],[% people access to functioning Latrine]]*WWWW[[#This Row],[Total PoP ]]</f>
        <v>0</v>
      </c>
      <c r="BP9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96" s="209">
        <f>IF(WWWW[[#This Row],[Total required Latrines]]-WWWW[[#This Row],[Total '# of latrine]]&lt;0,0,WWWW[[#This Row],[Total required Latrines]]-WWWW[[#This Row],[Total '# of latrine]])</f>
        <v>8</v>
      </c>
      <c r="BR96" s="210">
        <f>ROUND(IF(WWWW[[#This Row],[Location Type 1]]="camp",WWWW[[#This Row],[Total PoP ]]/20,WWWW[[#This Row],[Total PoP ]]/6),0)</f>
        <v>8</v>
      </c>
      <c r="BS96" s="212">
        <f>IF(OR(WWWW[[#This Row],['# Existing latrines dysfunctional]]="",WWWW[[#This Row],['# Existing latrines dysfunctional]]=0),0,WWWW[[#This Row],['# Existing latrines dysfunctional]]/WWWW[[#This Row],[Total '# of latrine]])</f>
        <v>0</v>
      </c>
      <c r="BT9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96" s="209">
        <f>IF(500*WWWW[[#This Row],['# Hygiene Promoters ]]&gt;WWWW[[#This Row],[Total PoP ]],WWWW[[#This Row],[Total PoP ]],500*WWWW[[#This Row],['# Hygiene Promoters ]])</f>
        <v>0</v>
      </c>
      <c r="BV96" s="209">
        <f>IF(WWWW[[#This Row],[% of HH with access to Sanitary Pad]]&gt;=100%,1,0)</f>
        <v>0</v>
      </c>
      <c r="BW96" s="209">
        <f>IF(WWWW[[#This Row],[Total PoP ]]=0,0,IF(WWWW[[#This Row],['# Hygiene Promoters ]]=0,0,IF(WWWW[[#This Row],[Location Type 1]]="Village",IF(WWWW[[#This Row],[Total PoP ]]/WWWW[[#This Row],['# Hygiene Promoters ]]&lt;1000,1,0),IF(WWWW[[#This Row],[Total PoP ]]/WWWW[[#This Row],['# Hygiene Promoters ]]&lt;600,1,0))))</f>
        <v>0</v>
      </c>
      <c r="BX96" s="209">
        <f>IF(WWWW[[#This Row],[%HH with access to soap]]&gt;=100%,1,0)</f>
        <v>0</v>
      </c>
      <c r="BY96" s="209">
        <f>IF(WWWW[[#This Row],[% of HHs with access to Sanitary pad more than '#%]]+WWWW[[#This Row],[Ratio of Hyiene promoters to people less than '#]]+WWWW[[#This Row],[% of HHs with access to soap more than '#%]]&gt;=2,WWWW[[#This Row],[Total PoP ]],0)</f>
        <v>0</v>
      </c>
      <c r="BZ96" s="208">
        <f>WWWW[[#This Row],[People adopt basic personal and community hygiene practices]]/WWWW[[#This Row],[Total PoP ]]</f>
        <v>0</v>
      </c>
      <c r="CA96" s="212">
        <f>1-WWWW[[#This Row],[Hygiene Coverage%]]</f>
        <v>1</v>
      </c>
      <c r="CB96" s="211">
        <f>WWWW[[#This Row],['# people reached by regular dedicated hygiene promotion_5]]/WWWW[[#This Row],[Total PoP ]]</f>
        <v>0</v>
      </c>
      <c r="CC96" s="211">
        <f>IF(WWWW[[#This Row],['# HH received soaps]]/WWWW[[#This Row],[Total HH]]&gt;1,1,WWWW[[#This Row],['# HH received soaps]]/WWWW[[#This Row],[Total HH]])</f>
        <v>0</v>
      </c>
      <c r="CD96" s="211">
        <f>IF(WWWW[[#This Row],['# HH received Sanitary Pads]]/WWWW[[#This Row],[Total HH]]&gt;1,1,WWWW[[#This Row],['# HH received Sanitary Pads]]/WWWW[[#This Row],[Total HH]])</f>
        <v>0</v>
      </c>
      <c r="CE96" s="210">
        <f>WWWW[[#This Row],['# HH received soaps]]*5</f>
        <v>0</v>
      </c>
      <c r="CF96" s="210">
        <f>WWWW[[#This Row],['# HH received Sanitary Pads]]*5</f>
        <v>0</v>
      </c>
      <c r="CG96" s="210">
        <f>IF(WWWW[[#This Row],['# People with access to soap]]&gt;WWWW[[#This Row],['# People with access to Sanity Pads]],WWWW[[#This Row],['# People with access to soap]],WWWW[[#This Row],['# People with access to Sanity Pads]])</f>
        <v>0</v>
      </c>
      <c r="CH96" s="209">
        <f>WWWW[[#This Row],[Total HH]]*WWWW[[#This Row],[%HHs with access to functional hand washing stations]]</f>
        <v>0</v>
      </c>
      <c r="CI96" s="699">
        <f>VLOOKUP(WWWW[[#This Row],[Site Name]],SiteDB6[[Site Name]:[CCCM Management]],6,FALSE)</f>
        <v>0</v>
      </c>
      <c r="CJ96" s="699" t="str">
        <f>VLOOKUP(WWWW[[#This Row],[Site Name]],SiteDB6[[Site Name]:[CCCM Focal Agency]],7,FALSE)</f>
        <v>uncovered</v>
      </c>
      <c r="CK96" s="699" t="str">
        <f>VLOOKUP(WWWW[[#This Row],[Site Name]],SiteDB6[[Site Name]:[Location Type]],8,FALSE)</f>
        <v>Camp</v>
      </c>
      <c r="CL96" s="699" t="str">
        <f>VLOOKUP(WWWW[[#This Row],[Site Name]],SiteDB6[[Site Name]:[Location Type 1]],9,FALSE)</f>
        <v>Camp</v>
      </c>
      <c r="CM96" s="699" t="str">
        <f>VLOOKUP(WWWW[[#This Row],[Site Name]],SiteDB6[[Site Name]:[Type of Accommodation]],10,FALSE)</f>
        <v>Host Families</v>
      </c>
      <c r="CN96" s="699" t="str">
        <f>VLOOKUP(WWWW[[#This Row],[Site Name]],SiteDB6[[Site Name]:[Ethnic or GCA/NGCA]],11,FALSE)</f>
        <v>GCA</v>
      </c>
      <c r="CO96" s="699">
        <f>VLOOKUP(WWWW[[#This Row],[Site Name]],SiteDB6[[Site Name]:[Lat]],12,FALSE)</f>
        <v>24.404876999999999</v>
      </c>
      <c r="CP96" s="699">
        <f>VLOOKUP(WWWW[[#This Row],[Site Name]],SiteDB6[[Site Name]:[Long]],13,FALSE)</f>
        <v>97.407787999999996</v>
      </c>
      <c r="CQ96" s="699" t="str">
        <f>VLOOKUP(WWWW[[#This Row],[Site Name]],SiteDB6[[Site Name]:[Pcode]],3,FALSE)</f>
        <v>MMR001CMP061</v>
      </c>
      <c r="CR96" s="660" t="str">
        <f t="shared" si="1"/>
        <v>Notcovered</v>
      </c>
      <c r="CS96" s="660"/>
      <c r="CT96" s="24"/>
      <c r="CU96" s="24"/>
      <c r="CV96" s="24"/>
    </row>
    <row r="97" spans="1:100" ht="15.75" customHeight="1" x14ac:dyDescent="0.25">
      <c r="A97" s="833" t="s">
        <v>3206</v>
      </c>
      <c r="B97" s="206" t="s">
        <v>441</v>
      </c>
      <c r="C97" s="206" t="s">
        <v>44</v>
      </c>
      <c r="D97" s="206" t="s">
        <v>351</v>
      </c>
      <c r="E97" s="206" t="s">
        <v>445</v>
      </c>
      <c r="F97" s="206">
        <v>336</v>
      </c>
      <c r="G97" s="209">
        <v>1722</v>
      </c>
      <c r="H97" s="206">
        <v>505</v>
      </c>
      <c r="I97" s="206" t="s">
        <v>2407</v>
      </c>
      <c r="J97" s="207">
        <v>43799</v>
      </c>
      <c r="K97" s="206">
        <v>0</v>
      </c>
      <c r="L97" s="206" t="s">
        <v>48</v>
      </c>
      <c r="M97" s="208">
        <v>0.5</v>
      </c>
      <c r="N97" s="208">
        <v>0.1</v>
      </c>
      <c r="O97" s="316">
        <v>2</v>
      </c>
      <c r="P97" s="317">
        <v>0</v>
      </c>
      <c r="Q97" s="317">
        <v>27096</v>
      </c>
      <c r="R97" s="318">
        <v>6</v>
      </c>
      <c r="S97" s="318">
        <v>6</v>
      </c>
      <c r="T97" s="318">
        <v>2</v>
      </c>
      <c r="U97" s="318">
        <v>0</v>
      </c>
      <c r="V97" s="318">
        <v>0</v>
      </c>
      <c r="W97" s="318">
        <v>60</v>
      </c>
      <c r="X97" s="318">
        <v>8</v>
      </c>
      <c r="Y97" s="318">
        <v>4</v>
      </c>
      <c r="Z97" s="318"/>
      <c r="AA97" s="310">
        <v>98</v>
      </c>
      <c r="AB97" s="310">
        <v>25</v>
      </c>
      <c r="AC97" s="66">
        <v>2</v>
      </c>
      <c r="AD97" s="66"/>
      <c r="AE97" s="310">
        <v>0</v>
      </c>
      <c r="AF97" s="310" t="s">
        <v>332</v>
      </c>
      <c r="AG97" s="311" t="s">
        <v>332</v>
      </c>
      <c r="AH97" s="311">
        <v>0</v>
      </c>
      <c r="AI97" s="310">
        <v>0</v>
      </c>
      <c r="AJ97" s="310"/>
      <c r="AK97" s="841">
        <v>0.5</v>
      </c>
      <c r="AL97" s="842" t="s">
        <v>376</v>
      </c>
      <c r="AM97" s="842">
        <v>0</v>
      </c>
      <c r="AN97" s="863">
        <v>16</v>
      </c>
      <c r="AO97" s="863"/>
      <c r="AP97" s="838">
        <v>276</v>
      </c>
      <c r="AQ97" s="843">
        <v>0</v>
      </c>
      <c r="AR97" s="843" t="s">
        <v>282</v>
      </c>
      <c r="AS97" s="843">
        <v>9</v>
      </c>
      <c r="AT97" s="843">
        <v>60</v>
      </c>
      <c r="AU97" s="843"/>
      <c r="AV97" s="844"/>
      <c r="AW97" s="208" t="str">
        <f>IFERROR(WWWW[[#This Row],['# of Water passed at source]]/WWWW[[#This Row],['# of Water tested at source]],"no test")</f>
        <v>no test</v>
      </c>
      <c r="AX97" s="211">
        <f>IFERROR(WWWW[[#This Row],['# of Water passed at HH]]/WWWW[[#This Row],['# of Water tested at HH]],"no test")</f>
        <v>0.13333333333333333</v>
      </c>
      <c r="AY97" s="210" t="str">
        <f>IF(AND(WWWW[[#This Row],[%of Water samples which passed at water source]]="no test",WWWW[[#This Row],[%Water samples which passed at HH]]="no test"),"No Test","Tested")</f>
        <v>Tested</v>
      </c>
      <c r="AZ9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9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97" s="211">
        <f>IF(WWWW[[#This Row],[Location Type 1]]="Village",WWWW[[#This Row],[Access to safe drinking water for Village]],WWWW[[#This Row],[Access to safe drinking water for Camp]])</f>
        <v>1</v>
      </c>
      <c r="BC97" s="209">
        <f>WWWW[[#This Row],[%Equitable and continuous access to sufficient quantity of safe drinking water]]*WWWW[[#This Row],[Total PoP ]]</f>
        <v>1722</v>
      </c>
      <c r="BD97" s="211">
        <f>IF((WWWW[[#This Row],['# Existing protected/fenced ponds ]]*250)/WWWW[[#This Row],[Total PoP ]]&gt;1,1,WWWW[[#This Row],['# Existing protected/fenced ponds ]]*250/WWWW[[#This Row],[Total PoP ]])</f>
        <v>0.87108013937282225</v>
      </c>
      <c r="BE97" s="209">
        <f>WWWW[[#This Row],[Access to unimproved water points]]*WWWW[[#This Row],[Total PoP ]]</f>
        <v>1500</v>
      </c>
      <c r="BF9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9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1722</v>
      </c>
      <c r="BH97" s="209">
        <f>WWWW[[#This Row],['#people Equitable and continuous access to sufficient quantity of domestic water borehole n ponds_2]]/500</f>
        <v>3.444</v>
      </c>
      <c r="BI97" s="208">
        <f>1-WWWW[[#This Row],[%Equitable and continuous access to sufficient quantity of domestic water borehole n ponds]]</f>
        <v>0</v>
      </c>
      <c r="BJ97" s="209">
        <f>WWWW[[#This Row],[%equitable and continuous access to sufficient quantity of safe drinking and domestic water''s GAP]]*WWWW[[#This Row],[Total PoP ]]</f>
        <v>0</v>
      </c>
      <c r="BK97" s="210">
        <f>IF(WWWW[[#This Row],[Total required water points]]-WWWW[[#This Row],['#Water points coverage]]&lt;0,0,WWWW[[#This Row],[Total required water points]]-WWWW[[#This Row],['#Water points coverage]])</f>
        <v>0</v>
      </c>
      <c r="BL97" s="210">
        <f>ROUND(IF(WWWW[[#This Row],[Total PoP ]]&lt;500,1,WWWW[[#This Row],[Total PoP ]]/500),0)</f>
        <v>3</v>
      </c>
      <c r="BM97" s="210">
        <f>WWWW[[#This Row],['# Existing functional latrines]]+WWWW[[#This Row],['# Existing latrines dysfunctional]]</f>
        <v>123</v>
      </c>
      <c r="BN9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97" s="352">
        <f>WWWW[[#This Row],[% people access to functioning Latrine]]*WWWW[[#This Row],[Total PoP ]]</f>
        <v>1722</v>
      </c>
      <c r="BP9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97" s="209">
        <f>IF(WWWW[[#This Row],[Total required Latrines]]-WWWW[[#This Row],[Total '# of latrine]]&lt;0,0,WWWW[[#This Row],[Total required Latrines]]-WWWW[[#This Row],[Total '# of latrine]])</f>
        <v>0</v>
      </c>
      <c r="BR97" s="210">
        <f>ROUND(IF(WWWW[[#This Row],[Location Type 1]]="camp",WWWW[[#This Row],[Total PoP ]]/20,WWWW[[#This Row],[Total PoP ]]/6),0)</f>
        <v>86</v>
      </c>
      <c r="BS97" s="212">
        <f>IF(OR(WWWW[[#This Row],['# Existing latrines dysfunctional]]="",WWWW[[#This Row],['# Existing latrines dysfunctional]]=0),0,WWWW[[#This Row],['# Existing latrines dysfunctional]]/WWWW[[#This Row],[Total '# of latrine]])</f>
        <v>0.2032520325203252</v>
      </c>
      <c r="BT9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U97" s="209">
        <f>IF(500*WWWW[[#This Row],['# Hygiene Promoters ]]&gt;WWWW[[#This Row],[Total PoP ]],WWWW[[#This Row],[Total PoP ]],500*WWWW[[#This Row],['# Hygiene Promoters ]])</f>
        <v>0</v>
      </c>
      <c r="BV97" s="209">
        <f>IF(WWWW[[#This Row],[% of HH with access to Sanitary Pad]]&gt;=100%,1,0)</f>
        <v>0</v>
      </c>
      <c r="BW97" s="209">
        <f>IF(WWWW[[#This Row],[Total PoP ]]=0,0,IF(WWWW[[#This Row],['# Hygiene Promoters ]]=0,0,IF(WWWW[[#This Row],[Location Type 1]]="Village",IF(WWWW[[#This Row],[Total PoP ]]/WWWW[[#This Row],['# Hygiene Promoters ]]&lt;1000,1,0),IF(WWWW[[#This Row],[Total PoP ]]/WWWW[[#This Row],['# Hygiene Promoters ]]&lt;600,1,0))))</f>
        <v>0</v>
      </c>
      <c r="BX97" s="209">
        <f>IF(WWWW[[#This Row],[%HH with access to soap]]&gt;=100%,1,0)</f>
        <v>0</v>
      </c>
      <c r="BY97" s="209">
        <f>IF(WWWW[[#This Row],[% of HHs with access to Sanitary pad more than '#%]]+WWWW[[#This Row],[Ratio of Hyiene promoters to people less than '#]]+WWWW[[#This Row],[% of HHs with access to soap more than '#%]]&gt;=2,WWWW[[#This Row],[Total PoP ]],0)</f>
        <v>0</v>
      </c>
      <c r="BZ97" s="208">
        <f>WWWW[[#This Row],[People adopt basic personal and community hygiene practices]]/WWWW[[#This Row],[Total PoP ]]</f>
        <v>0</v>
      </c>
      <c r="CA97" s="212">
        <f>1-WWWW[[#This Row],[Hygiene Coverage%]]</f>
        <v>1</v>
      </c>
      <c r="CB97" s="211">
        <f>WWWW[[#This Row],['# people reached by regular dedicated hygiene promotion_5]]/WWWW[[#This Row],[Total PoP ]]</f>
        <v>0</v>
      </c>
      <c r="CC97" s="211">
        <f>IF(WWWW[[#This Row],['# HH received soaps]]/WWWW[[#This Row],[Total HH]]&gt;1,1,WWWW[[#This Row],['# HH received soaps]]/WWWW[[#This Row],[Total HH]])</f>
        <v>0.8214285714285714</v>
      </c>
      <c r="CD97" s="211">
        <f>IF(WWWW[[#This Row],['# HH received Sanitary Pads]]/WWWW[[#This Row],[Total HH]]&gt;1,1,WWWW[[#This Row],['# HH received Sanitary Pads]]/WWWW[[#This Row],[Total HH]])</f>
        <v>0</v>
      </c>
      <c r="CE97" s="210">
        <f>WWWW[[#This Row],['# HH received soaps]]*5</f>
        <v>1380</v>
      </c>
      <c r="CF97" s="210">
        <f>WWWW[[#This Row],['# HH received Sanitary Pads]]*5</f>
        <v>0</v>
      </c>
      <c r="CG97" s="210">
        <f>IF(WWWW[[#This Row],['# People with access to soap]]&gt;WWWW[[#This Row],['# People with access to Sanity Pads]],WWWW[[#This Row],['# People with access to soap]],WWWW[[#This Row],['# People with access to Sanity Pads]])</f>
        <v>1380</v>
      </c>
      <c r="CH97" s="209">
        <f>WWWW[[#This Row],[Total HH]]*WWWW[[#This Row],[%HHs with access to functional hand washing stations]]</f>
        <v>168</v>
      </c>
      <c r="CI97" s="699" t="str">
        <f>VLOOKUP(WWWW[[#This Row],[Site Name]],SiteDB6[[Site Name]:[CCCM Management]],6,FALSE)</f>
        <v>Yes</v>
      </c>
      <c r="CJ97" s="699" t="str">
        <f>VLOOKUP(WWWW[[#This Row],[Site Name]],SiteDB6[[Site Name]:[CCCM Focal Agency]],7,FALSE)</f>
        <v>KMSS-BMO</v>
      </c>
      <c r="CK97" s="699" t="str">
        <f>VLOOKUP(WWWW[[#This Row],[Site Name]],SiteDB6[[Site Name]:[Location Type]],8,FALSE)</f>
        <v>Camp</v>
      </c>
      <c r="CL97" s="699" t="str">
        <f>VLOOKUP(WWWW[[#This Row],[Site Name]],SiteDB6[[Site Name]:[Location Type 1]],9,FALSE)</f>
        <v>Camp</v>
      </c>
      <c r="CM97" s="699" t="str">
        <f>VLOOKUP(WWWW[[#This Row],[Site Name]],SiteDB6[[Site Name]:[Type of Accommodation]],10,FALSE)</f>
        <v>Camp</v>
      </c>
      <c r="CN97" s="699" t="str">
        <f>VLOOKUP(WWWW[[#This Row],[Site Name]],SiteDB6[[Site Name]:[Ethnic or GCA/NGCA]],11,FALSE)</f>
        <v>NGCA</v>
      </c>
      <c r="CO97" s="699">
        <f>VLOOKUP(WWWW[[#This Row],[Site Name]],SiteDB6[[Site Name]:[Lat]],12,FALSE)</f>
        <v>24.378167000000001</v>
      </c>
      <c r="CP97" s="699">
        <f>VLOOKUP(WWWW[[#This Row],[Site Name]],SiteDB6[[Site Name]:[Long]],13,FALSE)</f>
        <v>97.669366999999994</v>
      </c>
      <c r="CQ97" s="699" t="str">
        <f>VLOOKUP(WWWW[[#This Row],[Site Name]],SiteDB6[[Site Name]:[Pcode]],3,FALSE)</f>
        <v>MMR001CMP131</v>
      </c>
      <c r="CR97" s="660" t="str">
        <f t="shared" si="1"/>
        <v>Covered</v>
      </c>
      <c r="CS97" s="660"/>
      <c r="CT97" s="24"/>
      <c r="CU97" s="24"/>
      <c r="CV97" s="24"/>
    </row>
    <row r="98" spans="1:100" ht="15.75" customHeight="1" x14ac:dyDescent="0.25">
      <c r="A98" s="833" t="s">
        <v>3206</v>
      </c>
      <c r="B98" s="206" t="s">
        <v>426</v>
      </c>
      <c r="C98" s="206" t="s">
        <v>44</v>
      </c>
      <c r="D98" s="206" t="s">
        <v>351</v>
      </c>
      <c r="E98" s="206" t="s">
        <v>434</v>
      </c>
      <c r="F98" s="206">
        <v>49</v>
      </c>
      <c r="G98" s="209">
        <v>300</v>
      </c>
      <c r="H98" s="206"/>
      <c r="I98" s="206" t="s">
        <v>428</v>
      </c>
      <c r="J98" s="207" t="s">
        <v>2809</v>
      </c>
      <c r="K98" s="206">
        <v>0</v>
      </c>
      <c r="L98" s="206" t="s">
        <v>48</v>
      </c>
      <c r="M98" s="208">
        <v>0.63636363636363635</v>
      </c>
      <c r="N98" s="208">
        <v>1</v>
      </c>
      <c r="O98" s="316">
        <v>2</v>
      </c>
      <c r="P98" s="317">
        <v>0</v>
      </c>
      <c r="Q98" s="317">
        <v>106500</v>
      </c>
      <c r="R98" s="318">
        <v>0</v>
      </c>
      <c r="S98" s="318">
        <v>0</v>
      </c>
      <c r="T98" s="318"/>
      <c r="U98" s="318">
        <v>0</v>
      </c>
      <c r="V98" s="318">
        <v>0</v>
      </c>
      <c r="W98" s="318">
        <v>9</v>
      </c>
      <c r="X98" s="318">
        <v>5</v>
      </c>
      <c r="Y98" s="318">
        <v>0</v>
      </c>
      <c r="Z98" s="318"/>
      <c r="AA98" s="310">
        <v>22</v>
      </c>
      <c r="AB98" s="310">
        <v>0</v>
      </c>
      <c r="AC98" s="66">
        <v>13</v>
      </c>
      <c r="AD98" s="66" t="s">
        <v>2785</v>
      </c>
      <c r="AE98" s="310">
        <v>0</v>
      </c>
      <c r="AF98" s="310" t="s">
        <v>283</v>
      </c>
      <c r="AG98" s="311" t="s">
        <v>283</v>
      </c>
      <c r="AH98" s="311">
        <v>0</v>
      </c>
      <c r="AI98" s="310">
        <v>0</v>
      </c>
      <c r="AJ98" s="310"/>
      <c r="AK98" s="841">
        <v>1</v>
      </c>
      <c r="AL98" s="842" t="s">
        <v>291</v>
      </c>
      <c r="AM98" s="842">
        <v>0</v>
      </c>
      <c r="AN98" s="863">
        <v>3</v>
      </c>
      <c r="AO98" s="863">
        <v>1</v>
      </c>
      <c r="AP98" s="838">
        <v>32</v>
      </c>
      <c r="AQ98" s="843">
        <v>28</v>
      </c>
      <c r="AR98" s="843"/>
      <c r="AS98" s="843"/>
      <c r="AT98" s="843">
        <v>2</v>
      </c>
      <c r="AU98" s="843">
        <v>0</v>
      </c>
      <c r="AV98" s="844" t="s">
        <v>2461</v>
      </c>
      <c r="AW98" s="208" t="str">
        <f>IFERROR(WWWW[[#This Row],['# of Water passed at source]]/WWWW[[#This Row],['# of Water tested at source]],"no test")</f>
        <v>no test</v>
      </c>
      <c r="AX98" s="211">
        <f>IFERROR(WWWW[[#This Row],['# of Water passed at HH]]/WWWW[[#This Row],['# of Water tested at HH]],"no test")</f>
        <v>0.55555555555555558</v>
      </c>
      <c r="AY98" s="210" t="str">
        <f>IF(AND(WWWW[[#This Row],[%of Water samples which passed at water source]]="no test",WWWW[[#This Row],[%Water samples which passed at HH]]="no test"),"No Test","Tested")</f>
        <v>Tested</v>
      </c>
      <c r="AZ9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9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98" s="211">
        <f>IF(WWWW[[#This Row],[Location Type 1]]="Village",WWWW[[#This Row],[Access to safe drinking water for Village]],WWWW[[#This Row],[Access to safe drinking water for Camp]])</f>
        <v>1</v>
      </c>
      <c r="BC98" s="209">
        <f>WWWW[[#This Row],[%Equitable and continuous access to sufficient quantity of safe drinking water]]*WWWW[[#This Row],[Total PoP ]]</f>
        <v>300</v>
      </c>
      <c r="BD98" s="211">
        <f>IF((WWWW[[#This Row],['# Existing protected/fenced ponds ]]*250)/WWWW[[#This Row],[Total PoP ]]&gt;1,1,WWWW[[#This Row],['# Existing protected/fenced ponds ]]*250/WWWW[[#This Row],[Total PoP ]])</f>
        <v>0</v>
      </c>
      <c r="BE98" s="209">
        <f>WWWW[[#This Row],[Access to unimproved water points]]*WWWW[[#This Row],[Total PoP ]]</f>
        <v>0</v>
      </c>
      <c r="BF9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9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300</v>
      </c>
      <c r="BH98" s="209">
        <f>WWWW[[#This Row],['#people Equitable and continuous access to sufficient quantity of domestic water borehole n ponds_2]]/500</f>
        <v>0.6</v>
      </c>
      <c r="BI98" s="208">
        <f>1-WWWW[[#This Row],[%Equitable and continuous access to sufficient quantity of domestic water borehole n ponds]]</f>
        <v>0</v>
      </c>
      <c r="BJ98" s="209">
        <f>WWWW[[#This Row],[%equitable and continuous access to sufficient quantity of safe drinking and domestic water''s GAP]]*WWWW[[#This Row],[Total PoP ]]</f>
        <v>0</v>
      </c>
      <c r="BK98" s="210">
        <f>IF(WWWW[[#This Row],[Total required water points]]-WWWW[[#This Row],['#Water points coverage]]&lt;0,0,WWWW[[#This Row],[Total required water points]]-WWWW[[#This Row],['#Water points coverage]])</f>
        <v>0.4</v>
      </c>
      <c r="BL98" s="210">
        <f>ROUND(IF(WWWW[[#This Row],[Total PoP ]]&lt;500,1,WWWW[[#This Row],[Total PoP ]]/500),0)</f>
        <v>1</v>
      </c>
      <c r="BM98" s="210">
        <f>WWWW[[#This Row],['# Existing functional latrines]]+WWWW[[#This Row],['# Existing latrines dysfunctional]]</f>
        <v>22</v>
      </c>
      <c r="BN9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98" s="352">
        <f>WWWW[[#This Row],[% people access to functioning Latrine]]*WWWW[[#This Row],[Total PoP ]]</f>
        <v>300</v>
      </c>
      <c r="BP9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98" s="209">
        <f>IF(WWWW[[#This Row],[Total required Latrines]]-WWWW[[#This Row],[Total '# of latrine]]&lt;0,0,WWWW[[#This Row],[Total required Latrines]]-WWWW[[#This Row],[Total '# of latrine]])</f>
        <v>0</v>
      </c>
      <c r="BR98" s="210">
        <f>ROUND(IF(WWWW[[#This Row],[Location Type 1]]="camp",WWWW[[#This Row],[Total PoP ]]/20,WWWW[[#This Row],[Total PoP ]]/6),0)</f>
        <v>15</v>
      </c>
      <c r="BS98" s="212">
        <f>IF(OR(WWWW[[#This Row],['# Existing latrines dysfunctional]]="",WWWW[[#This Row],['# Existing latrines dysfunctional]]=0),0,WWWW[[#This Row],['# Existing latrines dysfunctional]]/WWWW[[#This Row],[Total '# of latrine]])</f>
        <v>0</v>
      </c>
      <c r="BT9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260</v>
      </c>
      <c r="BU98" s="209">
        <f>IF(500*WWWW[[#This Row],['# Hygiene Promoters ]]&gt;WWWW[[#This Row],[Total PoP ]],WWWW[[#This Row],[Total PoP ]],500*WWWW[[#This Row],['# Hygiene Promoters ]])</f>
        <v>300</v>
      </c>
      <c r="BV98" s="209">
        <f>IF(WWWW[[#This Row],[% of HH with access to Sanitary Pad]]&gt;=100%,1,0)</f>
        <v>0</v>
      </c>
      <c r="BW98" s="209">
        <f>IF(WWWW[[#This Row],[Total PoP ]]=0,0,IF(WWWW[[#This Row],['# Hygiene Promoters ]]=0,0,IF(WWWW[[#This Row],[Location Type 1]]="Village",IF(WWWW[[#This Row],[Total PoP ]]/WWWW[[#This Row],['# Hygiene Promoters ]]&lt;1000,1,0),IF(WWWW[[#This Row],[Total PoP ]]/WWWW[[#This Row],['# Hygiene Promoters ]]&lt;600,1,0))))</f>
        <v>1</v>
      </c>
      <c r="BX98" s="209">
        <f>IF(WWWW[[#This Row],[%HH with access to soap]]&gt;=100%,1,0)</f>
        <v>0</v>
      </c>
      <c r="BY98" s="209">
        <f>IF(WWWW[[#This Row],[% of HHs with access to Sanitary pad more than '#%]]+WWWW[[#This Row],[Ratio of Hyiene promoters to people less than '#]]+WWWW[[#This Row],[% of HHs with access to soap more than '#%]]&gt;=2,WWWW[[#This Row],[Total PoP ]],0)</f>
        <v>0</v>
      </c>
      <c r="BZ98" s="208">
        <f>WWWW[[#This Row],[People adopt basic personal and community hygiene practices]]/WWWW[[#This Row],[Total PoP ]]</f>
        <v>0</v>
      </c>
      <c r="CA98" s="212">
        <f>1-WWWW[[#This Row],[Hygiene Coverage%]]</f>
        <v>1</v>
      </c>
      <c r="CB98" s="211">
        <f>WWWW[[#This Row],['# people reached by regular dedicated hygiene promotion_5]]/WWWW[[#This Row],[Total PoP ]]</f>
        <v>1</v>
      </c>
      <c r="CC98" s="211">
        <f>IF(WWWW[[#This Row],['# HH received soaps]]/WWWW[[#This Row],[Total HH]]&gt;1,1,WWWW[[#This Row],['# HH received soaps]]/WWWW[[#This Row],[Total HH]])</f>
        <v>0.65306122448979587</v>
      </c>
      <c r="CD98" s="211">
        <f>IF(WWWW[[#This Row],['# HH received Sanitary Pads]]/WWWW[[#This Row],[Total HH]]&gt;1,1,WWWW[[#This Row],['# HH received Sanitary Pads]]/WWWW[[#This Row],[Total HH]])</f>
        <v>0.5714285714285714</v>
      </c>
      <c r="CE98" s="210">
        <f>WWWW[[#This Row],['# HH received soaps]]*5</f>
        <v>160</v>
      </c>
      <c r="CF98" s="210">
        <f>WWWW[[#This Row],['# HH received Sanitary Pads]]*5</f>
        <v>140</v>
      </c>
      <c r="CG98" s="210">
        <f>IF(WWWW[[#This Row],['# People with access to soap]]&gt;WWWW[[#This Row],['# People with access to Sanity Pads]],WWWW[[#This Row],['# People with access to soap]],WWWW[[#This Row],['# People with access to Sanity Pads]])</f>
        <v>160</v>
      </c>
      <c r="CH98" s="209">
        <f>WWWW[[#This Row],[Total HH]]*WWWW[[#This Row],[%HHs with access to functional hand washing stations]]</f>
        <v>49</v>
      </c>
      <c r="CI98" s="699" t="str">
        <f>VLOOKUP(WWWW[[#This Row],[Site Name]],SiteDB6[[Site Name]:[CCCM Management]],6,FALSE)</f>
        <v>Yes</v>
      </c>
      <c r="CJ98" s="699" t="str">
        <f>VLOOKUP(WWWW[[#This Row],[Site Name]],SiteDB6[[Site Name]:[CCCM Focal Agency]],7,FALSE)</f>
        <v>KBC</v>
      </c>
      <c r="CK98" s="699" t="str">
        <f>VLOOKUP(WWWW[[#This Row],[Site Name]],SiteDB6[[Site Name]:[Location Type]],8,FALSE)</f>
        <v>Camp</v>
      </c>
      <c r="CL98" s="699" t="str">
        <f>VLOOKUP(WWWW[[#This Row],[Site Name]],SiteDB6[[Site Name]:[Location Type 1]],9,FALSE)</f>
        <v>Camp</v>
      </c>
      <c r="CM98" s="699" t="str">
        <f>VLOOKUP(WWWW[[#This Row],[Site Name]],SiteDB6[[Site Name]:[Type of Accommodation]],10,FALSE)</f>
        <v>Camp</v>
      </c>
      <c r="CN98" s="699" t="str">
        <f>VLOOKUP(WWWW[[#This Row],[Site Name]],SiteDB6[[Site Name]:[Ethnic or GCA/NGCA]],11,FALSE)</f>
        <v>GCA</v>
      </c>
      <c r="CO98" s="699">
        <f>VLOOKUP(WWWW[[#This Row],[Site Name]],SiteDB6[[Site Name]:[Lat]],12,FALSE)</f>
        <v>24.205417000000001</v>
      </c>
      <c r="CP98" s="699">
        <f>VLOOKUP(WWWW[[#This Row],[Site Name]],SiteDB6[[Site Name]:[Long]],13,FALSE)</f>
        <v>97.724483000000006</v>
      </c>
      <c r="CQ98" s="699" t="str">
        <f>VLOOKUP(WWWW[[#This Row],[Site Name]],SiteDB6[[Site Name]:[Pcode]],3,FALSE)</f>
        <v>MMR001CMP072</v>
      </c>
      <c r="CR98" s="660" t="str">
        <f t="shared" si="1"/>
        <v>Covered</v>
      </c>
      <c r="CS98" s="660"/>
      <c r="CT98" s="24"/>
      <c r="CU98" s="24"/>
      <c r="CV98" s="24"/>
    </row>
    <row r="99" spans="1:100" ht="15.75" customHeight="1" x14ac:dyDescent="0.25">
      <c r="A99" s="833" t="s">
        <v>3206</v>
      </c>
      <c r="B99" s="206" t="s">
        <v>441</v>
      </c>
      <c r="C99" s="206" t="s">
        <v>44</v>
      </c>
      <c r="D99" s="206" t="s">
        <v>351</v>
      </c>
      <c r="E99" s="206" t="s">
        <v>446</v>
      </c>
      <c r="F99" s="206">
        <v>669</v>
      </c>
      <c r="G99" s="209">
        <v>3316</v>
      </c>
      <c r="H99" s="206">
        <v>944</v>
      </c>
      <c r="I99" s="206" t="s">
        <v>2407</v>
      </c>
      <c r="J99" s="207">
        <v>43799</v>
      </c>
      <c r="K99" s="206">
        <v>0</v>
      </c>
      <c r="L99" s="206" t="s">
        <v>48</v>
      </c>
      <c r="M99" s="208">
        <v>0.5</v>
      </c>
      <c r="N99" s="208">
        <v>0.1</v>
      </c>
      <c r="O99" s="316">
        <v>0</v>
      </c>
      <c r="P99" s="317">
        <v>2</v>
      </c>
      <c r="Q99" s="317">
        <v>5290</v>
      </c>
      <c r="R99" s="318">
        <v>1</v>
      </c>
      <c r="S99" s="318">
        <v>1</v>
      </c>
      <c r="T99" s="318">
        <v>6</v>
      </c>
      <c r="U99" s="318">
        <v>0</v>
      </c>
      <c r="V99" s="318">
        <v>0</v>
      </c>
      <c r="W99" s="318">
        <v>16</v>
      </c>
      <c r="X99" s="318">
        <v>5</v>
      </c>
      <c r="Y99" s="318">
        <v>21</v>
      </c>
      <c r="Z99" s="318"/>
      <c r="AA99" s="310">
        <v>220</v>
      </c>
      <c r="AB99" s="310">
        <v>37</v>
      </c>
      <c r="AC99" s="66">
        <v>3</v>
      </c>
      <c r="AD99" s="66"/>
      <c r="AE99" s="310">
        <v>0</v>
      </c>
      <c r="AF99" s="310" t="s">
        <v>332</v>
      </c>
      <c r="AG99" s="311" t="s">
        <v>283</v>
      </c>
      <c r="AH99" s="311">
        <v>0</v>
      </c>
      <c r="AI99" s="310">
        <v>0</v>
      </c>
      <c r="AJ99" s="310"/>
      <c r="AK99" s="841">
        <v>0.7</v>
      </c>
      <c r="AL99" s="842" t="s">
        <v>376</v>
      </c>
      <c r="AM99" s="842">
        <v>0</v>
      </c>
      <c r="AN99" s="863">
        <v>17</v>
      </c>
      <c r="AO99" s="863"/>
      <c r="AP99" s="838">
        <v>449</v>
      </c>
      <c r="AQ99" s="843">
        <v>0</v>
      </c>
      <c r="AR99" s="843" t="s">
        <v>282</v>
      </c>
      <c r="AS99" s="843">
        <v>9</v>
      </c>
      <c r="AT99" s="843">
        <v>50</v>
      </c>
      <c r="AU99" s="843"/>
      <c r="AV99" s="844"/>
      <c r="AW99" s="208" t="str">
        <f>IFERROR(WWWW[[#This Row],['# of Water passed at source]]/WWWW[[#This Row],['# of Water tested at source]],"no test")</f>
        <v>no test</v>
      </c>
      <c r="AX99" s="211">
        <f>IFERROR(WWWW[[#This Row],['# of Water passed at HH]]/WWWW[[#This Row],['# of Water tested at HH]],"no test")</f>
        <v>0.3125</v>
      </c>
      <c r="AY99" s="210" t="str">
        <f>IF(AND(WWWW[[#This Row],[%of Water samples which passed at water source]]="no test",WWWW[[#This Row],[%Water samples which passed at HH]]="no test"),"No Test","Tested")</f>
        <v>Tested</v>
      </c>
      <c r="AZ9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9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0.25713711298753522</v>
      </c>
      <c r="BB99" s="211">
        <f>IF(WWWW[[#This Row],[Location Type 1]]="Village",WWWW[[#This Row],[Access to safe drinking water for Village]],WWWW[[#This Row],[Access to safe drinking water for Camp]])</f>
        <v>1</v>
      </c>
      <c r="BC99" s="209">
        <f>WWWW[[#This Row],[%Equitable and continuous access to sufficient quantity of safe drinking water]]*WWWW[[#This Row],[Total PoP ]]</f>
        <v>3316</v>
      </c>
      <c r="BD99" s="211">
        <f>IF((WWWW[[#This Row],['# Existing protected/fenced ponds ]]*250)/WWWW[[#This Row],[Total PoP ]]&gt;1,1,WWWW[[#This Row],['# Existing protected/fenced ponds ]]*250/WWWW[[#This Row],[Total PoP ]])</f>
        <v>7.5392038600723757E-2</v>
      </c>
      <c r="BE99" s="209">
        <f>WWWW[[#This Row],[Access to unimproved water points]]*WWWW[[#This Row],[Total PoP ]]</f>
        <v>249.99999999999997</v>
      </c>
      <c r="BF9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9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3316</v>
      </c>
      <c r="BH99" s="209">
        <f>WWWW[[#This Row],['#people Equitable and continuous access to sufficient quantity of domestic water borehole n ponds_2]]/500</f>
        <v>6.6319999999999997</v>
      </c>
      <c r="BI99" s="208">
        <f>1-WWWW[[#This Row],[%Equitable and continuous access to sufficient quantity of domestic water borehole n ponds]]</f>
        <v>0</v>
      </c>
      <c r="BJ99" s="209">
        <f>WWWW[[#This Row],[%equitable and continuous access to sufficient quantity of safe drinking and domestic water''s GAP]]*WWWW[[#This Row],[Total PoP ]]</f>
        <v>0</v>
      </c>
      <c r="BK99" s="210">
        <f>IF(WWWW[[#This Row],[Total required water points]]-WWWW[[#This Row],['#Water points coverage]]&lt;0,0,WWWW[[#This Row],[Total required water points]]-WWWW[[#This Row],['#Water points coverage]])</f>
        <v>0.36800000000000033</v>
      </c>
      <c r="BL99" s="210">
        <f>ROUND(IF(WWWW[[#This Row],[Total PoP ]]&lt;500,1,WWWW[[#This Row],[Total PoP ]]/500),0)</f>
        <v>7</v>
      </c>
      <c r="BM99" s="210">
        <f>WWWW[[#This Row],['# Existing functional latrines]]+WWWW[[#This Row],['# Existing latrines dysfunctional]]</f>
        <v>257</v>
      </c>
      <c r="BN9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99" s="352">
        <f>WWWW[[#This Row],[% people access to functioning Latrine]]*WWWW[[#This Row],[Total PoP ]]</f>
        <v>3316</v>
      </c>
      <c r="BP9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99" s="209">
        <f>IF(WWWW[[#This Row],[Total required Latrines]]-WWWW[[#This Row],[Total '# of latrine]]&lt;0,0,WWWW[[#This Row],[Total required Latrines]]-WWWW[[#This Row],[Total '# of latrine]])</f>
        <v>0</v>
      </c>
      <c r="BR99" s="210">
        <f>ROUND(IF(WWWW[[#This Row],[Location Type 1]]="camp",WWWW[[#This Row],[Total PoP ]]/20,WWWW[[#This Row],[Total PoP ]]/6),0)</f>
        <v>166</v>
      </c>
      <c r="BS99" s="212">
        <f>IF(OR(WWWW[[#This Row],['# Existing latrines dysfunctional]]="",WWWW[[#This Row],['# Existing latrines dysfunctional]]=0),0,WWWW[[#This Row],['# Existing latrines dysfunctional]]/WWWW[[#This Row],[Total '# of latrine]])</f>
        <v>0.14396887159533073</v>
      </c>
      <c r="BT9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U99" s="209">
        <f>IF(500*WWWW[[#This Row],['# Hygiene Promoters ]]&gt;WWWW[[#This Row],[Total PoP ]],WWWW[[#This Row],[Total PoP ]],500*WWWW[[#This Row],['# Hygiene Promoters ]])</f>
        <v>0</v>
      </c>
      <c r="BV99" s="209">
        <f>IF(WWWW[[#This Row],[% of HH with access to Sanitary Pad]]&gt;=100%,1,0)</f>
        <v>0</v>
      </c>
      <c r="BW99" s="209">
        <f>IF(WWWW[[#This Row],[Total PoP ]]=0,0,IF(WWWW[[#This Row],['# Hygiene Promoters ]]=0,0,IF(WWWW[[#This Row],[Location Type 1]]="Village",IF(WWWW[[#This Row],[Total PoP ]]/WWWW[[#This Row],['# Hygiene Promoters ]]&lt;1000,1,0),IF(WWWW[[#This Row],[Total PoP ]]/WWWW[[#This Row],['# Hygiene Promoters ]]&lt;600,1,0))))</f>
        <v>0</v>
      </c>
      <c r="BX99" s="209">
        <f>IF(WWWW[[#This Row],[%HH with access to soap]]&gt;=100%,1,0)</f>
        <v>0</v>
      </c>
      <c r="BY99" s="209">
        <f>IF(WWWW[[#This Row],[% of HHs with access to Sanitary pad more than '#%]]+WWWW[[#This Row],[Ratio of Hyiene promoters to people less than '#]]+WWWW[[#This Row],[% of HHs with access to soap more than '#%]]&gt;=2,WWWW[[#This Row],[Total PoP ]],0)</f>
        <v>0</v>
      </c>
      <c r="BZ99" s="208">
        <f>WWWW[[#This Row],[People adopt basic personal and community hygiene practices]]/WWWW[[#This Row],[Total PoP ]]</f>
        <v>0</v>
      </c>
      <c r="CA99" s="212">
        <f>1-WWWW[[#This Row],[Hygiene Coverage%]]</f>
        <v>1</v>
      </c>
      <c r="CB99" s="211">
        <f>WWWW[[#This Row],['# people reached by regular dedicated hygiene promotion_5]]/WWWW[[#This Row],[Total PoP ]]</f>
        <v>0</v>
      </c>
      <c r="CC99" s="211">
        <f>IF(WWWW[[#This Row],['# HH received soaps]]/WWWW[[#This Row],[Total HH]]&gt;1,1,WWWW[[#This Row],['# HH received soaps]]/WWWW[[#This Row],[Total HH]])</f>
        <v>0.67115097159940207</v>
      </c>
      <c r="CD99" s="211">
        <f>IF(WWWW[[#This Row],['# HH received Sanitary Pads]]/WWWW[[#This Row],[Total HH]]&gt;1,1,WWWW[[#This Row],['# HH received Sanitary Pads]]/WWWW[[#This Row],[Total HH]])</f>
        <v>0</v>
      </c>
      <c r="CE99" s="210">
        <f>WWWW[[#This Row],['# HH received soaps]]*5</f>
        <v>2245</v>
      </c>
      <c r="CF99" s="210">
        <f>WWWW[[#This Row],['# HH received Sanitary Pads]]*5</f>
        <v>0</v>
      </c>
      <c r="CG99" s="210">
        <f>IF(WWWW[[#This Row],['# People with access to soap]]&gt;WWWW[[#This Row],['# People with access to Sanity Pads]],WWWW[[#This Row],['# People with access to soap]],WWWW[[#This Row],['# People with access to Sanity Pads]])</f>
        <v>2245</v>
      </c>
      <c r="CH99" s="209">
        <f>WWWW[[#This Row],[Total HH]]*WWWW[[#This Row],[%HHs with access to functional hand washing stations]]</f>
        <v>468.29999999999995</v>
      </c>
      <c r="CI99" s="699" t="str">
        <f>VLOOKUP(WWWW[[#This Row],[Site Name]],SiteDB6[[Site Name]:[CCCM Management]],6,FALSE)</f>
        <v>Yes</v>
      </c>
      <c r="CJ99" s="699" t="str">
        <f>VLOOKUP(WWWW[[#This Row],[Site Name]],SiteDB6[[Site Name]:[CCCM Focal Agency]],7,FALSE)</f>
        <v>KMSS-BMO</v>
      </c>
      <c r="CK99" s="699" t="str">
        <f>VLOOKUP(WWWW[[#This Row],[Site Name]],SiteDB6[[Site Name]:[Location Type]],8,FALSE)</f>
        <v>Camp</v>
      </c>
      <c r="CL99" s="699" t="str">
        <f>VLOOKUP(WWWW[[#This Row],[Site Name]],SiteDB6[[Site Name]:[Location Type 1]],9,FALSE)</f>
        <v>Camp</v>
      </c>
      <c r="CM99" s="699" t="str">
        <f>VLOOKUP(WWWW[[#This Row],[Site Name]],SiteDB6[[Site Name]:[Type of Accommodation]],10,FALSE)</f>
        <v>Camp</v>
      </c>
      <c r="CN99" s="699" t="str">
        <f>VLOOKUP(WWWW[[#This Row],[Site Name]],SiteDB6[[Site Name]:[Ethnic or GCA/NGCA]],11,FALSE)</f>
        <v>NGCA</v>
      </c>
      <c r="CO99" s="699">
        <f>VLOOKUP(WWWW[[#This Row],[Site Name]],SiteDB6[[Site Name]:[Lat]],12,FALSE)</f>
        <v>24.2744</v>
      </c>
      <c r="CP99" s="699">
        <f>VLOOKUP(WWWW[[#This Row],[Site Name]],SiteDB6[[Site Name]:[Long]],13,FALSE)</f>
        <v>97.752667000000002</v>
      </c>
      <c r="CQ99" s="699" t="str">
        <f>VLOOKUP(WWWW[[#This Row],[Site Name]],SiteDB6[[Site Name]:[Pcode]],3,FALSE)</f>
        <v>MMR001CMP126</v>
      </c>
      <c r="CR99" s="660" t="str">
        <f t="shared" si="1"/>
        <v>Covered</v>
      </c>
      <c r="CS99" s="660"/>
      <c r="CT99" s="24"/>
      <c r="CU99" s="24"/>
      <c r="CV99" s="24"/>
    </row>
    <row r="100" spans="1:100" ht="15.75" customHeight="1" x14ac:dyDescent="0.25">
      <c r="A100" s="833" t="s">
        <v>3206</v>
      </c>
      <c r="B100" s="206" t="s">
        <v>426</v>
      </c>
      <c r="C100" s="206" t="s">
        <v>44</v>
      </c>
      <c r="D100" s="206" t="s">
        <v>351</v>
      </c>
      <c r="E100" s="206" t="s">
        <v>436</v>
      </c>
      <c r="F100" s="206">
        <v>41</v>
      </c>
      <c r="G100" s="209">
        <v>253</v>
      </c>
      <c r="H100" s="206"/>
      <c r="I100" s="206" t="s">
        <v>428</v>
      </c>
      <c r="J100" s="207" t="s">
        <v>2809</v>
      </c>
      <c r="K100" s="206">
        <v>0</v>
      </c>
      <c r="L100" s="206" t="s">
        <v>48</v>
      </c>
      <c r="M100" s="208">
        <v>0.58333333333333337</v>
      </c>
      <c r="N100" s="208">
        <v>1</v>
      </c>
      <c r="O100" s="316">
        <v>1</v>
      </c>
      <c r="P100" s="317">
        <v>1</v>
      </c>
      <c r="Q100" s="317">
        <v>154500</v>
      </c>
      <c r="R100" s="318">
        <v>0</v>
      </c>
      <c r="S100" s="318">
        <v>0</v>
      </c>
      <c r="T100" s="318"/>
      <c r="U100" s="318">
        <v>0</v>
      </c>
      <c r="V100" s="318">
        <v>0</v>
      </c>
      <c r="W100" s="318">
        <v>8</v>
      </c>
      <c r="X100" s="318">
        <v>7</v>
      </c>
      <c r="Y100" s="318">
        <v>0</v>
      </c>
      <c r="Z100" s="318"/>
      <c r="AA100" s="310">
        <v>18</v>
      </c>
      <c r="AB100" s="310">
        <v>0</v>
      </c>
      <c r="AC100" s="66">
        <v>17</v>
      </c>
      <c r="AD100" s="66" t="s">
        <v>2785</v>
      </c>
      <c r="AE100" s="310">
        <v>0</v>
      </c>
      <c r="AF100" s="310" t="s">
        <v>283</v>
      </c>
      <c r="AG100" s="311" t="s">
        <v>283</v>
      </c>
      <c r="AH100" s="311">
        <v>0</v>
      </c>
      <c r="AI100" s="310">
        <v>0</v>
      </c>
      <c r="AJ100" s="310"/>
      <c r="AK100" s="841">
        <v>1</v>
      </c>
      <c r="AL100" s="842" t="s">
        <v>291</v>
      </c>
      <c r="AM100" s="842">
        <v>0</v>
      </c>
      <c r="AN100" s="863">
        <v>2</v>
      </c>
      <c r="AO100" s="863">
        <v>1</v>
      </c>
      <c r="AP100" s="838">
        <v>39</v>
      </c>
      <c r="AQ100" s="843">
        <v>38</v>
      </c>
      <c r="AR100" s="843"/>
      <c r="AS100" s="843"/>
      <c r="AT100" s="843">
        <v>2</v>
      </c>
      <c r="AU100" s="843">
        <v>0</v>
      </c>
      <c r="AV100" s="844" t="s">
        <v>2461</v>
      </c>
      <c r="AW100" s="208" t="str">
        <f>IFERROR(WWWW[[#This Row],['# of Water passed at source]]/WWWW[[#This Row],['# of Water tested at source]],"no test")</f>
        <v>no test</v>
      </c>
      <c r="AX100" s="211">
        <f>IFERROR(WWWW[[#This Row],['# of Water passed at HH]]/WWWW[[#This Row],['# of Water tested at HH]],"no test")</f>
        <v>0.875</v>
      </c>
      <c r="AY100" s="210" t="str">
        <f>IF(AND(WWWW[[#This Row],[%of Water samples which passed at water source]]="no test",WWWW[[#This Row],[%Water samples which passed at HH]]="no test"),"No Test","Tested")</f>
        <v>Tested</v>
      </c>
      <c r="AZ10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0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00" s="211">
        <f>IF(WWWW[[#This Row],[Location Type 1]]="Village",WWWW[[#This Row],[Access to safe drinking water for Village]],WWWW[[#This Row],[Access to safe drinking water for Camp]])</f>
        <v>1</v>
      </c>
      <c r="BC100" s="209">
        <f>WWWW[[#This Row],[%Equitable and continuous access to sufficient quantity of safe drinking water]]*WWWW[[#This Row],[Total PoP ]]</f>
        <v>253</v>
      </c>
      <c r="BD100" s="211">
        <f>IF((WWWW[[#This Row],['# Existing protected/fenced ponds ]]*250)/WWWW[[#This Row],[Total PoP ]]&gt;1,1,WWWW[[#This Row],['# Existing protected/fenced ponds ]]*250/WWWW[[#This Row],[Total PoP ]])</f>
        <v>0</v>
      </c>
      <c r="BE100" s="209">
        <f>WWWW[[#This Row],[Access to unimproved water points]]*WWWW[[#This Row],[Total PoP ]]</f>
        <v>0</v>
      </c>
      <c r="BF10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0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253</v>
      </c>
      <c r="BH100" s="209">
        <f>WWWW[[#This Row],['#people Equitable and continuous access to sufficient quantity of domestic water borehole n ponds_2]]/500</f>
        <v>0.50600000000000001</v>
      </c>
      <c r="BI100" s="208">
        <f>1-WWWW[[#This Row],[%Equitable and continuous access to sufficient quantity of domestic water borehole n ponds]]</f>
        <v>0</v>
      </c>
      <c r="BJ100" s="209">
        <f>WWWW[[#This Row],[%equitable and continuous access to sufficient quantity of safe drinking and domestic water''s GAP]]*WWWW[[#This Row],[Total PoP ]]</f>
        <v>0</v>
      </c>
      <c r="BK100" s="210">
        <f>IF(WWWW[[#This Row],[Total required water points]]-WWWW[[#This Row],['#Water points coverage]]&lt;0,0,WWWW[[#This Row],[Total required water points]]-WWWW[[#This Row],['#Water points coverage]])</f>
        <v>0.49399999999999999</v>
      </c>
      <c r="BL100" s="210">
        <f>ROUND(IF(WWWW[[#This Row],[Total PoP ]]&lt;500,1,WWWW[[#This Row],[Total PoP ]]/500),0)</f>
        <v>1</v>
      </c>
      <c r="BM100" s="210">
        <f>WWWW[[#This Row],['# Existing functional latrines]]+WWWW[[#This Row],['# Existing latrines dysfunctional]]</f>
        <v>18</v>
      </c>
      <c r="BN10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00" s="352">
        <f>WWWW[[#This Row],[% people access to functioning Latrine]]*WWWW[[#This Row],[Total PoP ]]</f>
        <v>253</v>
      </c>
      <c r="BP10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00" s="209">
        <f>IF(WWWW[[#This Row],[Total required Latrines]]-WWWW[[#This Row],[Total '# of latrine]]&lt;0,0,WWWW[[#This Row],[Total required Latrines]]-WWWW[[#This Row],[Total '# of latrine]])</f>
        <v>0</v>
      </c>
      <c r="BR100" s="210">
        <f>ROUND(IF(WWWW[[#This Row],[Location Type 1]]="camp",WWWW[[#This Row],[Total PoP ]]/20,WWWW[[#This Row],[Total PoP ]]/6),0)</f>
        <v>13</v>
      </c>
      <c r="BS100" s="212">
        <f>IF(OR(WWWW[[#This Row],['# Existing latrines dysfunctional]]="",WWWW[[#This Row],['# Existing latrines dysfunctional]]=0),0,WWWW[[#This Row],['# Existing latrines dysfunctional]]/WWWW[[#This Row],[Total '# of latrine]])</f>
        <v>0</v>
      </c>
      <c r="BT10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253</v>
      </c>
      <c r="BU100" s="209">
        <f>IF(500*WWWW[[#This Row],['# Hygiene Promoters ]]&gt;WWWW[[#This Row],[Total PoP ]],WWWW[[#This Row],[Total PoP ]],500*WWWW[[#This Row],['# Hygiene Promoters ]])</f>
        <v>253</v>
      </c>
      <c r="BV100" s="209">
        <f>IF(WWWW[[#This Row],[% of HH with access to Sanitary Pad]]&gt;=100%,1,0)</f>
        <v>0</v>
      </c>
      <c r="BW100" s="209">
        <f>IF(WWWW[[#This Row],[Total PoP ]]=0,0,IF(WWWW[[#This Row],['# Hygiene Promoters ]]=0,0,IF(WWWW[[#This Row],[Location Type 1]]="Village",IF(WWWW[[#This Row],[Total PoP ]]/WWWW[[#This Row],['# Hygiene Promoters ]]&lt;1000,1,0),IF(WWWW[[#This Row],[Total PoP ]]/WWWW[[#This Row],['# Hygiene Promoters ]]&lt;600,1,0))))</f>
        <v>1</v>
      </c>
      <c r="BX100" s="209">
        <f>IF(WWWW[[#This Row],[%HH with access to soap]]&gt;=100%,1,0)</f>
        <v>0</v>
      </c>
      <c r="BY100" s="209">
        <f>IF(WWWW[[#This Row],[% of HHs with access to Sanitary pad more than '#%]]+WWWW[[#This Row],[Ratio of Hyiene promoters to people less than '#]]+WWWW[[#This Row],[% of HHs with access to soap more than '#%]]&gt;=2,WWWW[[#This Row],[Total PoP ]],0)</f>
        <v>0</v>
      </c>
      <c r="BZ100" s="208">
        <f>WWWW[[#This Row],[People adopt basic personal and community hygiene practices]]/WWWW[[#This Row],[Total PoP ]]</f>
        <v>0</v>
      </c>
      <c r="CA100" s="212">
        <f>1-WWWW[[#This Row],[Hygiene Coverage%]]</f>
        <v>1</v>
      </c>
      <c r="CB100" s="211">
        <f>WWWW[[#This Row],['# people reached by regular dedicated hygiene promotion_5]]/WWWW[[#This Row],[Total PoP ]]</f>
        <v>1</v>
      </c>
      <c r="CC100" s="211">
        <f>IF(WWWW[[#This Row],['# HH received soaps]]/WWWW[[#This Row],[Total HH]]&gt;1,1,WWWW[[#This Row],['# HH received soaps]]/WWWW[[#This Row],[Total HH]])</f>
        <v>0.95121951219512191</v>
      </c>
      <c r="CD100" s="211">
        <f>IF(WWWW[[#This Row],['# HH received Sanitary Pads]]/WWWW[[#This Row],[Total HH]]&gt;1,1,WWWW[[#This Row],['# HH received Sanitary Pads]]/WWWW[[#This Row],[Total HH]])</f>
        <v>0.92682926829268297</v>
      </c>
      <c r="CE100" s="210">
        <f>WWWW[[#This Row],['# HH received soaps]]*5</f>
        <v>195</v>
      </c>
      <c r="CF100" s="210">
        <f>WWWW[[#This Row],['# HH received Sanitary Pads]]*5</f>
        <v>190</v>
      </c>
      <c r="CG100" s="210">
        <f>IF(WWWW[[#This Row],['# People with access to soap]]&gt;WWWW[[#This Row],['# People with access to Sanity Pads]],WWWW[[#This Row],['# People with access to soap]],WWWW[[#This Row],['# People with access to Sanity Pads]])</f>
        <v>195</v>
      </c>
      <c r="CH100" s="209">
        <f>WWWW[[#This Row],[Total HH]]*WWWW[[#This Row],[%HHs with access to functional hand washing stations]]</f>
        <v>41</v>
      </c>
      <c r="CI100" s="699" t="str">
        <f>VLOOKUP(WWWW[[#This Row],[Site Name]],SiteDB6[[Site Name]:[CCCM Management]],6,FALSE)</f>
        <v>Yes</v>
      </c>
      <c r="CJ100" s="699" t="str">
        <f>VLOOKUP(WWWW[[#This Row],[Site Name]],SiteDB6[[Site Name]:[CCCM Focal Agency]],7,FALSE)</f>
        <v>KBC</v>
      </c>
      <c r="CK100" s="699" t="str">
        <f>VLOOKUP(WWWW[[#This Row],[Site Name]],SiteDB6[[Site Name]:[Location Type]],8,FALSE)</f>
        <v>Camp</v>
      </c>
      <c r="CL100" s="699" t="str">
        <f>VLOOKUP(WWWW[[#This Row],[Site Name]],SiteDB6[[Site Name]:[Location Type 1]],9,FALSE)</f>
        <v>Camp</v>
      </c>
      <c r="CM100" s="699" t="str">
        <f>VLOOKUP(WWWW[[#This Row],[Site Name]],SiteDB6[[Site Name]:[Type of Accommodation]],10,FALSE)</f>
        <v>Camp</v>
      </c>
      <c r="CN100" s="699" t="str">
        <f>VLOOKUP(WWWW[[#This Row],[Site Name]],SiteDB6[[Site Name]:[Ethnic or GCA/NGCA]],11,FALSE)</f>
        <v>GCA</v>
      </c>
      <c r="CO100" s="699">
        <f>VLOOKUP(WWWW[[#This Row],[Site Name]],SiteDB6[[Site Name]:[Lat]],12,FALSE)</f>
        <v>24.207332999999998</v>
      </c>
      <c r="CP100" s="699">
        <f>VLOOKUP(WWWW[[#This Row],[Site Name]],SiteDB6[[Site Name]:[Long]],13,FALSE)</f>
        <v>97.710864000000001</v>
      </c>
      <c r="CQ100" s="699" t="str">
        <f>VLOOKUP(WWWW[[#This Row],[Site Name]],SiteDB6[[Site Name]:[Pcode]],3,FALSE)</f>
        <v>MMR001CMP073</v>
      </c>
      <c r="CR100" s="660" t="str">
        <f t="shared" si="1"/>
        <v>Covered</v>
      </c>
      <c r="CS100" s="660"/>
      <c r="CT100" s="24"/>
      <c r="CU100" s="24"/>
      <c r="CV100" s="24"/>
    </row>
    <row r="101" spans="1:100" ht="15.75" customHeight="1" x14ac:dyDescent="0.25">
      <c r="A101" s="833" t="s">
        <v>3206</v>
      </c>
      <c r="B101" s="206" t="s">
        <v>287</v>
      </c>
      <c r="C101" s="206" t="s">
        <v>44</v>
      </c>
      <c r="D101" s="206" t="s">
        <v>305</v>
      </c>
      <c r="E101" s="206" t="s">
        <v>2803</v>
      </c>
      <c r="F101" s="206">
        <v>24</v>
      </c>
      <c r="G101" s="209">
        <v>103</v>
      </c>
      <c r="H101" s="206"/>
      <c r="I101" s="206"/>
      <c r="J101" s="207"/>
      <c r="K101" s="206"/>
      <c r="L101" s="206"/>
      <c r="M101" s="208"/>
      <c r="N101" s="208"/>
      <c r="O101" s="316"/>
      <c r="P101" s="317"/>
      <c r="Q101" s="317"/>
      <c r="R101" s="318"/>
      <c r="S101" s="318"/>
      <c r="T101" s="318"/>
      <c r="U101" s="318"/>
      <c r="V101" s="318"/>
      <c r="W101" s="318"/>
      <c r="X101" s="318"/>
      <c r="Y101" s="318"/>
      <c r="Z101" s="318"/>
      <c r="AA101" s="310"/>
      <c r="AB101" s="310"/>
      <c r="AC101" s="66"/>
      <c r="AD101" s="66"/>
      <c r="AE101" s="310"/>
      <c r="AF101" s="310"/>
      <c r="AG101" s="311"/>
      <c r="AH101" s="311"/>
      <c r="AI101" s="310"/>
      <c r="AJ101" s="310"/>
      <c r="AK101" s="841"/>
      <c r="AL101" s="842"/>
      <c r="AM101" s="842"/>
      <c r="AN101" s="863"/>
      <c r="AO101" s="863"/>
      <c r="AP101" s="838"/>
      <c r="AQ101" s="843"/>
      <c r="AR101" s="843"/>
      <c r="AS101" s="843"/>
      <c r="AT101" s="843"/>
      <c r="AU101" s="843"/>
      <c r="AV101" s="844"/>
      <c r="AW101" s="208" t="str">
        <f>IFERROR(WWWW[[#This Row],['# of Water passed at source]]/WWWW[[#This Row],['# of Water tested at source]],"no test")</f>
        <v>no test</v>
      </c>
      <c r="AX101" s="211" t="str">
        <f>IFERROR(WWWW[[#This Row],['# of Water passed at HH]]/WWWW[[#This Row],['# of Water tested at HH]],"no test")</f>
        <v>no test</v>
      </c>
      <c r="AY101" s="210" t="str">
        <f>IF(AND(WWWW[[#This Row],[%of Water samples which passed at water source]]="no test",WWWW[[#This Row],[%Water samples which passed at HH]]="no test"),"No Test","Tested")</f>
        <v>No Test</v>
      </c>
      <c r="AZ10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0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01" s="211">
        <f>IF(WWWW[[#This Row],[Location Type 1]]="Village",WWWW[[#This Row],[Access to safe drinking water for Village]],WWWW[[#This Row],[Access to safe drinking water for Camp]])</f>
        <v>0</v>
      </c>
      <c r="BC101" s="209">
        <f>WWWW[[#This Row],[%Equitable and continuous access to sufficient quantity of safe drinking water]]*WWWW[[#This Row],[Total PoP ]]</f>
        <v>0</v>
      </c>
      <c r="BD101" s="211">
        <f>IF((WWWW[[#This Row],['# Existing protected/fenced ponds ]]*250)/WWWW[[#This Row],[Total PoP ]]&gt;1,1,WWWW[[#This Row],['# Existing protected/fenced ponds ]]*250/WWWW[[#This Row],[Total PoP ]])</f>
        <v>0</v>
      </c>
      <c r="BE101" s="209">
        <f>WWWW[[#This Row],[Access to unimproved water points]]*WWWW[[#This Row],[Total PoP ]]</f>
        <v>0</v>
      </c>
      <c r="BF10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0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01" s="209">
        <f>WWWW[[#This Row],['#people Equitable and continuous access to sufficient quantity of domestic water borehole n ponds_2]]/500</f>
        <v>0</v>
      </c>
      <c r="BI101" s="208">
        <f>1-WWWW[[#This Row],[%Equitable and continuous access to sufficient quantity of domestic water borehole n ponds]]</f>
        <v>1</v>
      </c>
      <c r="BJ101" s="209">
        <f>WWWW[[#This Row],[%equitable and continuous access to sufficient quantity of safe drinking and domestic water''s GAP]]*WWWW[[#This Row],[Total PoP ]]</f>
        <v>103</v>
      </c>
      <c r="BK101" s="210">
        <f>IF(WWWW[[#This Row],[Total required water points]]-WWWW[[#This Row],['#Water points coverage]]&lt;0,0,WWWW[[#This Row],[Total required water points]]-WWWW[[#This Row],['#Water points coverage]])</f>
        <v>1</v>
      </c>
      <c r="BL101" s="210">
        <f>ROUND(IF(WWWW[[#This Row],[Total PoP ]]&lt;500,1,WWWW[[#This Row],[Total PoP ]]/500),0)</f>
        <v>1</v>
      </c>
      <c r="BM101" s="210">
        <f>WWWW[[#This Row],['# Existing functional latrines]]+WWWW[[#This Row],['# Existing latrines dysfunctional]]</f>
        <v>0</v>
      </c>
      <c r="BN10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01" s="352">
        <f>WWWW[[#This Row],[% people access to functioning Latrine]]*WWWW[[#This Row],[Total PoP ]]</f>
        <v>0</v>
      </c>
      <c r="BP10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0.97087378640776689</v>
      </c>
      <c r="BQ101" s="209">
        <f>IF(WWWW[[#This Row],[Total required Latrines]]-WWWW[[#This Row],[Total '# of latrine]]&lt;0,0,WWWW[[#This Row],[Total required Latrines]]-WWWW[[#This Row],[Total '# of latrine]])</f>
        <v>5</v>
      </c>
      <c r="BR101" s="210">
        <f>ROUND(IF(WWWW[[#This Row],[Location Type 1]]="camp",WWWW[[#This Row],[Total PoP ]]/20,WWWW[[#This Row],[Total PoP ]]/6),0)</f>
        <v>5</v>
      </c>
      <c r="BS101" s="212">
        <f>IF(OR(WWWW[[#This Row],['# Existing latrines dysfunctional]]="",WWWW[[#This Row],['# Existing latrines dysfunctional]]=0),0,WWWW[[#This Row],['# Existing latrines dysfunctional]]/WWWW[[#This Row],[Total '# of latrine]])</f>
        <v>0</v>
      </c>
      <c r="BT10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1" s="209">
        <f>IF(500*WWWW[[#This Row],['# Hygiene Promoters ]]&gt;WWWW[[#This Row],[Total PoP ]],WWWW[[#This Row],[Total PoP ]],500*WWWW[[#This Row],['# Hygiene Promoters ]])</f>
        <v>0</v>
      </c>
      <c r="BV101" s="209">
        <f>IF(WWWW[[#This Row],[% of HH with access to Sanitary Pad]]&gt;=100%,1,0)</f>
        <v>0</v>
      </c>
      <c r="BW101" s="209">
        <f>IF(WWWW[[#This Row],[Total PoP ]]=0,0,IF(WWWW[[#This Row],['# Hygiene Promoters ]]=0,0,IF(WWWW[[#This Row],[Location Type 1]]="Village",IF(WWWW[[#This Row],[Total PoP ]]/WWWW[[#This Row],['# Hygiene Promoters ]]&lt;1000,1,0),IF(WWWW[[#This Row],[Total PoP ]]/WWWW[[#This Row],['# Hygiene Promoters ]]&lt;600,1,0))))</f>
        <v>0</v>
      </c>
      <c r="BX101" s="209">
        <f>IF(WWWW[[#This Row],[%HH with access to soap]]&gt;=100%,1,0)</f>
        <v>0</v>
      </c>
      <c r="BY101" s="209">
        <f>IF(WWWW[[#This Row],[% of HHs with access to Sanitary pad more than '#%]]+WWWW[[#This Row],[Ratio of Hyiene promoters to people less than '#]]+WWWW[[#This Row],[% of HHs with access to soap more than '#%]]&gt;=2,WWWW[[#This Row],[Total PoP ]],0)</f>
        <v>0</v>
      </c>
      <c r="BZ101" s="208">
        <f>WWWW[[#This Row],[People adopt basic personal and community hygiene practices]]/WWWW[[#This Row],[Total PoP ]]</f>
        <v>0</v>
      </c>
      <c r="CA101" s="212">
        <f>1-WWWW[[#This Row],[Hygiene Coverage%]]</f>
        <v>1</v>
      </c>
      <c r="CB101" s="211">
        <f>WWWW[[#This Row],['# people reached by regular dedicated hygiene promotion_5]]/WWWW[[#This Row],[Total PoP ]]</f>
        <v>0</v>
      </c>
      <c r="CC101" s="211">
        <f>IF(WWWW[[#This Row],['# HH received soaps]]/WWWW[[#This Row],[Total HH]]&gt;1,1,WWWW[[#This Row],['# HH received soaps]]/WWWW[[#This Row],[Total HH]])</f>
        <v>0</v>
      </c>
      <c r="CD101" s="211">
        <f>IF(WWWW[[#This Row],['# HH received Sanitary Pads]]/WWWW[[#This Row],[Total HH]]&gt;1,1,WWWW[[#This Row],['# HH received Sanitary Pads]]/WWWW[[#This Row],[Total HH]])</f>
        <v>0</v>
      </c>
      <c r="CE101" s="210">
        <f>WWWW[[#This Row],['# HH received soaps]]*5</f>
        <v>0</v>
      </c>
      <c r="CF101" s="210">
        <f>WWWW[[#This Row],['# HH received Sanitary Pads]]*5</f>
        <v>0</v>
      </c>
      <c r="CG101" s="210">
        <f>IF(WWWW[[#This Row],['# People with access to soap]]&gt;WWWW[[#This Row],['# People with access to Sanity Pads]],WWWW[[#This Row],['# People with access to soap]],WWWW[[#This Row],['# People with access to Sanity Pads]])</f>
        <v>0</v>
      </c>
      <c r="CH101" s="209">
        <f>WWWW[[#This Row],[Total HH]]*WWWW[[#This Row],[%HHs with access to functional hand washing stations]]</f>
        <v>0</v>
      </c>
      <c r="CI101" s="699">
        <f>VLOOKUP(WWWW[[#This Row],[Site Name]],SiteDB6[[Site Name]:[CCCM Management]],6,FALSE)</f>
        <v>0</v>
      </c>
      <c r="CJ101" s="699">
        <f>VLOOKUP(WWWW[[#This Row],[Site Name]],SiteDB6[[Site Name]:[CCCM Focal Agency]],7,FALSE)</f>
        <v>0</v>
      </c>
      <c r="CK101" s="699" t="str">
        <f>VLOOKUP(WWWW[[#This Row],[Site Name]],SiteDB6[[Site Name]:[Location Type]],8,FALSE)</f>
        <v>Camp_not registered</v>
      </c>
      <c r="CL101" s="699" t="str">
        <f>VLOOKUP(WWWW[[#This Row],[Site Name]],SiteDB6[[Site Name]:[Location Type 1]],9,FALSE)</f>
        <v>Camp</v>
      </c>
      <c r="CM101" s="699" t="str">
        <f>VLOOKUP(WWWW[[#This Row],[Site Name]],SiteDB6[[Site Name]:[Type of Accommodation]],10,FALSE)</f>
        <v>Camp like setting</v>
      </c>
      <c r="CN101" s="699" t="s">
        <v>949</v>
      </c>
      <c r="CO101" s="699">
        <f>VLOOKUP(WWWW[[#This Row],[Site Name]],SiteDB6[[Site Name]:[Lat]],12,FALSE)</f>
        <v>0</v>
      </c>
      <c r="CP101" s="699">
        <f>VLOOKUP(WWWW[[#This Row],[Site Name]],SiteDB6[[Site Name]:[Long]],13,FALSE)</f>
        <v>0</v>
      </c>
      <c r="CQ101" s="699">
        <f>VLOOKUP(WWWW[[#This Row],[Site Name]],SiteDB6[[Site Name]:[Pcode]],3,FALSE)</f>
        <v>0</v>
      </c>
      <c r="CR101" s="660" t="str">
        <f t="shared" si="1"/>
        <v>Covered</v>
      </c>
      <c r="CS101" s="660"/>
      <c r="CT101" s="24"/>
      <c r="CU101" s="24"/>
      <c r="CV101" s="24"/>
    </row>
    <row r="102" spans="1:100" ht="15.75" customHeight="1" x14ac:dyDescent="0.25">
      <c r="A102" s="833" t="s">
        <v>3206</v>
      </c>
      <c r="B102" s="206" t="s">
        <v>287</v>
      </c>
      <c r="C102" s="206" t="s">
        <v>44</v>
      </c>
      <c r="D102" s="206" t="s">
        <v>305</v>
      </c>
      <c r="E102" s="206" t="s">
        <v>306</v>
      </c>
      <c r="F102" s="206">
        <v>42</v>
      </c>
      <c r="G102" s="209">
        <v>185</v>
      </c>
      <c r="H102" s="206"/>
      <c r="I102" s="206" t="s">
        <v>290</v>
      </c>
      <c r="J102" s="207" t="s">
        <v>3253</v>
      </c>
      <c r="K102" s="206">
        <v>0</v>
      </c>
      <c r="L102" s="206" t="s">
        <v>48</v>
      </c>
      <c r="M102" s="208">
        <v>0.6</v>
      </c>
      <c r="N102" s="208">
        <v>0.5</v>
      </c>
      <c r="O102" s="316">
        <v>0</v>
      </c>
      <c r="P102" s="317">
        <v>3</v>
      </c>
      <c r="Q102" s="317">
        <v>4000</v>
      </c>
      <c r="R102" s="318">
        <v>0</v>
      </c>
      <c r="S102" s="318">
        <v>0</v>
      </c>
      <c r="T102" s="318"/>
      <c r="U102" s="318">
        <v>0</v>
      </c>
      <c r="V102" s="318">
        <v>0</v>
      </c>
      <c r="W102" s="318">
        <v>0</v>
      </c>
      <c r="X102" s="318">
        <v>0</v>
      </c>
      <c r="Y102" s="318">
        <v>0</v>
      </c>
      <c r="Z102" s="318"/>
      <c r="AA102" s="310">
        <v>7</v>
      </c>
      <c r="AB102" s="310">
        <v>0</v>
      </c>
      <c r="AC102" s="66">
        <v>0</v>
      </c>
      <c r="AD102" s="66"/>
      <c r="AE102" s="310">
        <v>0</v>
      </c>
      <c r="AF102" s="310" t="s">
        <v>283</v>
      </c>
      <c r="AG102" s="311" t="s">
        <v>1358</v>
      </c>
      <c r="AH102" s="311"/>
      <c r="AI102" s="310"/>
      <c r="AJ102" s="310"/>
      <c r="AK102" s="841">
        <v>0.6</v>
      </c>
      <c r="AL102" s="842" t="s">
        <v>376</v>
      </c>
      <c r="AM102" s="842">
        <v>0</v>
      </c>
      <c r="AN102" s="863">
        <v>3</v>
      </c>
      <c r="AO102" s="863">
        <v>1</v>
      </c>
      <c r="AP102" s="838">
        <v>0</v>
      </c>
      <c r="AQ102" s="843">
        <v>0</v>
      </c>
      <c r="AR102" s="843"/>
      <c r="AS102" s="843"/>
      <c r="AT102" s="843"/>
      <c r="AU102" s="843"/>
      <c r="AV102" s="844"/>
      <c r="AW102" s="208" t="str">
        <f>IFERROR(WWWW[[#This Row],['# of Water passed at source]]/WWWW[[#This Row],['# of Water tested at source]],"no test")</f>
        <v>no test</v>
      </c>
      <c r="AX102" s="211" t="str">
        <f>IFERROR(WWWW[[#This Row],['# of Water passed at HH]]/WWWW[[#This Row],['# of Water tested at HH]],"no test")</f>
        <v>no test</v>
      </c>
      <c r="AY102" s="210" t="str">
        <f>IF(AND(WWWW[[#This Row],[%of Water samples which passed at water source]]="no test",WWWW[[#This Row],[%Water samples which passed at HH]]="no test"),"No Test","Tested")</f>
        <v>No Test</v>
      </c>
      <c r="AZ10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0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02" s="211">
        <f>IF(WWWW[[#This Row],[Location Type 1]]="Village",WWWW[[#This Row],[Access to safe drinking water for Village]],WWWW[[#This Row],[Access to safe drinking water for Camp]])</f>
        <v>1</v>
      </c>
      <c r="BC102" s="209">
        <f>WWWW[[#This Row],[%Equitable and continuous access to sufficient quantity of safe drinking water]]*WWWW[[#This Row],[Total PoP ]]</f>
        <v>185</v>
      </c>
      <c r="BD102" s="211">
        <f>IF((WWWW[[#This Row],['# Existing protected/fenced ponds ]]*250)/WWWW[[#This Row],[Total PoP ]]&gt;1,1,WWWW[[#This Row],['# Existing protected/fenced ponds ]]*250/WWWW[[#This Row],[Total PoP ]])</f>
        <v>0</v>
      </c>
      <c r="BE102" s="209">
        <f>WWWW[[#This Row],[Access to unimproved water points]]*WWWW[[#This Row],[Total PoP ]]</f>
        <v>0</v>
      </c>
      <c r="BF10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0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185</v>
      </c>
      <c r="BH102" s="209">
        <f>WWWW[[#This Row],['#people Equitable and continuous access to sufficient quantity of domestic water borehole n ponds_2]]/500</f>
        <v>0.37</v>
      </c>
      <c r="BI102" s="208">
        <f>1-WWWW[[#This Row],[%Equitable and continuous access to sufficient quantity of domestic water borehole n ponds]]</f>
        <v>0</v>
      </c>
      <c r="BJ102" s="209">
        <f>WWWW[[#This Row],[%equitable and continuous access to sufficient quantity of safe drinking and domestic water''s GAP]]*WWWW[[#This Row],[Total PoP ]]</f>
        <v>0</v>
      </c>
      <c r="BK102" s="210">
        <f>IF(WWWW[[#This Row],[Total required water points]]-WWWW[[#This Row],['#Water points coverage]]&lt;0,0,WWWW[[#This Row],[Total required water points]]-WWWW[[#This Row],['#Water points coverage]])</f>
        <v>0.63</v>
      </c>
      <c r="BL102" s="210">
        <f>ROUND(IF(WWWW[[#This Row],[Total PoP ]]&lt;500,1,WWWW[[#This Row],[Total PoP ]]/500),0)</f>
        <v>1</v>
      </c>
      <c r="BM102" s="210">
        <f>WWWW[[#This Row],['# Existing functional latrines]]+WWWW[[#This Row],['# Existing latrines dysfunctional]]</f>
        <v>7</v>
      </c>
      <c r="BN10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0.7567567567567568</v>
      </c>
      <c r="BO102" s="352">
        <f>WWWW[[#This Row],[% people access to functioning Latrine]]*WWWW[[#This Row],[Total PoP ]]</f>
        <v>140</v>
      </c>
      <c r="BP10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0.21621621621621623</v>
      </c>
      <c r="BQ102" s="209">
        <f>IF(WWWW[[#This Row],[Total required Latrines]]-WWWW[[#This Row],[Total '# of latrine]]&lt;0,0,WWWW[[#This Row],[Total required Latrines]]-WWWW[[#This Row],[Total '# of latrine]])</f>
        <v>2</v>
      </c>
      <c r="BR102" s="210">
        <f>ROUND(IF(WWWW[[#This Row],[Location Type 1]]="camp",WWWW[[#This Row],[Total PoP ]]/20,WWWW[[#This Row],[Total PoP ]]/6),0)</f>
        <v>9</v>
      </c>
      <c r="BS102" s="212">
        <f>IF(OR(WWWW[[#This Row],['# Existing latrines dysfunctional]]="",WWWW[[#This Row],['# Existing latrines dysfunctional]]=0),0,WWWW[[#This Row],['# Existing latrines dysfunctional]]/WWWW[[#This Row],[Total '# of latrine]])</f>
        <v>0</v>
      </c>
      <c r="BT10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2" s="209">
        <f>IF(500*WWWW[[#This Row],['# Hygiene Promoters ]]&gt;WWWW[[#This Row],[Total PoP ]],WWWW[[#This Row],[Total PoP ]],500*WWWW[[#This Row],['# Hygiene Promoters ]])</f>
        <v>185</v>
      </c>
      <c r="BV102" s="209">
        <f>IF(WWWW[[#This Row],[% of HH with access to Sanitary Pad]]&gt;=100%,1,0)</f>
        <v>0</v>
      </c>
      <c r="BW102" s="209">
        <f>IF(WWWW[[#This Row],[Total PoP ]]=0,0,IF(WWWW[[#This Row],['# Hygiene Promoters ]]=0,0,IF(WWWW[[#This Row],[Location Type 1]]="Village",IF(WWWW[[#This Row],[Total PoP ]]/WWWW[[#This Row],['# Hygiene Promoters ]]&lt;1000,1,0),IF(WWWW[[#This Row],[Total PoP ]]/WWWW[[#This Row],['# Hygiene Promoters ]]&lt;600,1,0))))</f>
        <v>1</v>
      </c>
      <c r="BX102" s="209">
        <f>IF(WWWW[[#This Row],[%HH with access to soap]]&gt;=100%,1,0)</f>
        <v>0</v>
      </c>
      <c r="BY102" s="209">
        <f>IF(WWWW[[#This Row],[% of HHs with access to Sanitary pad more than '#%]]+WWWW[[#This Row],[Ratio of Hyiene promoters to people less than '#]]+WWWW[[#This Row],[% of HHs with access to soap more than '#%]]&gt;=2,WWWW[[#This Row],[Total PoP ]],0)</f>
        <v>0</v>
      </c>
      <c r="BZ102" s="208">
        <f>WWWW[[#This Row],[People adopt basic personal and community hygiene practices]]/WWWW[[#This Row],[Total PoP ]]</f>
        <v>0</v>
      </c>
      <c r="CA102" s="212">
        <f>1-WWWW[[#This Row],[Hygiene Coverage%]]</f>
        <v>1</v>
      </c>
      <c r="CB102" s="211">
        <f>WWWW[[#This Row],['# people reached by regular dedicated hygiene promotion_5]]/WWWW[[#This Row],[Total PoP ]]</f>
        <v>1</v>
      </c>
      <c r="CC102" s="211">
        <f>IF(WWWW[[#This Row],['# HH received soaps]]/WWWW[[#This Row],[Total HH]]&gt;1,1,WWWW[[#This Row],['# HH received soaps]]/WWWW[[#This Row],[Total HH]])</f>
        <v>0</v>
      </c>
      <c r="CD102" s="211">
        <f>IF(WWWW[[#This Row],['# HH received Sanitary Pads]]/WWWW[[#This Row],[Total HH]]&gt;1,1,WWWW[[#This Row],['# HH received Sanitary Pads]]/WWWW[[#This Row],[Total HH]])</f>
        <v>0</v>
      </c>
      <c r="CE102" s="210">
        <f>WWWW[[#This Row],['# HH received soaps]]*5</f>
        <v>0</v>
      </c>
      <c r="CF102" s="210">
        <f>WWWW[[#This Row],['# HH received Sanitary Pads]]*5</f>
        <v>0</v>
      </c>
      <c r="CG102" s="210">
        <f>IF(WWWW[[#This Row],['# People with access to soap]]&gt;WWWW[[#This Row],['# People with access to Sanity Pads]],WWWW[[#This Row],['# People with access to soap]],WWWW[[#This Row],['# People with access to Sanity Pads]])</f>
        <v>0</v>
      </c>
      <c r="CH102" s="209">
        <f>WWWW[[#This Row],[Total HH]]*WWWW[[#This Row],[%HHs with access to functional hand washing stations]]</f>
        <v>25.2</v>
      </c>
      <c r="CI102" s="699" t="str">
        <f>VLOOKUP(WWWW[[#This Row],[Site Name]],SiteDB6[[Site Name]:[CCCM Management]],6,FALSE)</f>
        <v>Yes</v>
      </c>
      <c r="CJ102" s="699" t="str">
        <f>VLOOKUP(WWWW[[#This Row],[Site Name]],SiteDB6[[Site Name]:[CCCM Focal Agency]],7,FALSE)</f>
        <v>KBC</v>
      </c>
      <c r="CK102" s="699" t="str">
        <f>VLOOKUP(WWWW[[#This Row],[Site Name]],SiteDB6[[Site Name]:[Location Type]],8,FALSE)</f>
        <v>Camp</v>
      </c>
      <c r="CL102" s="699" t="str">
        <f>VLOOKUP(WWWW[[#This Row],[Site Name]],SiteDB6[[Site Name]:[Location Type 1]],9,FALSE)</f>
        <v>Camp</v>
      </c>
      <c r="CM102" s="699" t="str">
        <f>VLOOKUP(WWWW[[#This Row],[Site Name]],SiteDB6[[Site Name]:[Type of Accommodation]],10,FALSE)</f>
        <v>Camp</v>
      </c>
      <c r="CN102" s="699" t="str">
        <f>VLOOKUP(WWWW[[#This Row],[Site Name]],SiteDB6[[Site Name]:[Ethnic or GCA/NGCA]],11,FALSE)</f>
        <v>GCA</v>
      </c>
      <c r="CO102" s="699">
        <f>VLOOKUP(WWWW[[#This Row],[Site Name]],SiteDB6[[Site Name]:[Lat]],12,FALSE)</f>
        <v>25.3959740909091</v>
      </c>
      <c r="CP102" s="699">
        <f>VLOOKUP(WWWW[[#This Row],[Site Name]],SiteDB6[[Site Name]:[Long]],13,FALSE)</f>
        <v>97.382997575757599</v>
      </c>
      <c r="CQ102" s="699" t="str">
        <f>VLOOKUP(WWWW[[#This Row],[Site Name]],SiteDB6[[Site Name]:[Pcode]],3,FALSE)</f>
        <v>MMR001CMP010</v>
      </c>
      <c r="CR102" s="660" t="str">
        <f t="shared" si="1"/>
        <v>Covered</v>
      </c>
      <c r="CS102" s="660"/>
      <c r="CT102" s="24"/>
      <c r="CU102" s="24"/>
      <c r="CV102" s="24"/>
    </row>
    <row r="103" spans="1:100" ht="15.75" customHeight="1" x14ac:dyDescent="0.25">
      <c r="A103" s="833" t="s">
        <v>3206</v>
      </c>
      <c r="B103" s="206" t="s">
        <v>287</v>
      </c>
      <c r="C103" s="206" t="s">
        <v>44</v>
      </c>
      <c r="D103" s="206" t="s">
        <v>305</v>
      </c>
      <c r="E103" s="206" t="s">
        <v>307</v>
      </c>
      <c r="F103" s="206">
        <v>198</v>
      </c>
      <c r="G103" s="209">
        <v>1114</v>
      </c>
      <c r="H103" s="206"/>
      <c r="I103" s="206" t="s">
        <v>290</v>
      </c>
      <c r="J103" s="207" t="s">
        <v>3253</v>
      </c>
      <c r="K103" s="206">
        <v>0</v>
      </c>
      <c r="L103" s="206" t="s">
        <v>48</v>
      </c>
      <c r="M103" s="208">
        <v>0.6</v>
      </c>
      <c r="N103" s="208">
        <v>0.5</v>
      </c>
      <c r="O103" s="316">
        <v>1</v>
      </c>
      <c r="P103" s="317">
        <v>4</v>
      </c>
      <c r="Q103" s="317">
        <v>3000</v>
      </c>
      <c r="R103" s="318">
        <v>0</v>
      </c>
      <c r="S103" s="318">
        <v>0</v>
      </c>
      <c r="T103" s="318"/>
      <c r="U103" s="318">
        <v>0</v>
      </c>
      <c r="V103" s="318">
        <v>0</v>
      </c>
      <c r="W103" s="318">
        <v>0</v>
      </c>
      <c r="X103" s="318">
        <v>0</v>
      </c>
      <c r="Y103" s="318">
        <v>0</v>
      </c>
      <c r="Z103" s="318"/>
      <c r="AA103" s="310">
        <v>43</v>
      </c>
      <c r="AB103" s="310">
        <v>0</v>
      </c>
      <c r="AC103" s="66">
        <v>0</v>
      </c>
      <c r="AD103" s="66"/>
      <c r="AE103" s="310">
        <v>0</v>
      </c>
      <c r="AF103" s="310" t="s">
        <v>283</v>
      </c>
      <c r="AG103" s="311" t="s">
        <v>283</v>
      </c>
      <c r="AH103" s="311"/>
      <c r="AI103" s="310"/>
      <c r="AJ103" s="310"/>
      <c r="AK103" s="841">
        <v>0.6</v>
      </c>
      <c r="AL103" s="842" t="s">
        <v>376</v>
      </c>
      <c r="AM103" s="842">
        <v>0</v>
      </c>
      <c r="AN103" s="863">
        <v>3</v>
      </c>
      <c r="AO103" s="863">
        <v>4</v>
      </c>
      <c r="AP103" s="838">
        <v>0</v>
      </c>
      <c r="AQ103" s="843">
        <v>0</v>
      </c>
      <c r="AR103" s="843"/>
      <c r="AS103" s="843"/>
      <c r="AT103" s="843"/>
      <c r="AU103" s="843"/>
      <c r="AV103" s="844"/>
      <c r="AW103" s="208" t="str">
        <f>IFERROR(WWWW[[#This Row],['# of Water passed at source]]/WWWW[[#This Row],['# of Water tested at source]],"no test")</f>
        <v>no test</v>
      </c>
      <c r="AX103" s="211" t="str">
        <f>IFERROR(WWWW[[#This Row],['# of Water passed at HH]]/WWWW[[#This Row],['# of Water tested at HH]],"no test")</f>
        <v>no test</v>
      </c>
      <c r="AY103" s="210" t="str">
        <f>IF(AND(WWWW[[#This Row],[%of Water samples which passed at water source]]="no test",WWWW[[#This Row],[%Water samples which passed at HH]]="no test"),"No Test","Tested")</f>
        <v>No Test</v>
      </c>
      <c r="AZ10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0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03" s="211">
        <f>IF(WWWW[[#This Row],[Location Type 1]]="Village",WWWW[[#This Row],[Access to safe drinking water for Village]],WWWW[[#This Row],[Access to safe drinking water for Camp]])</f>
        <v>1</v>
      </c>
      <c r="BC103" s="209">
        <f>WWWW[[#This Row],[%Equitable and continuous access to sufficient quantity of safe drinking water]]*WWWW[[#This Row],[Total PoP ]]</f>
        <v>1114</v>
      </c>
      <c r="BD103" s="211">
        <f>IF((WWWW[[#This Row],['# Existing protected/fenced ponds ]]*250)/WWWW[[#This Row],[Total PoP ]]&gt;1,1,WWWW[[#This Row],['# Existing protected/fenced ponds ]]*250/WWWW[[#This Row],[Total PoP ]])</f>
        <v>0</v>
      </c>
      <c r="BE103" s="209">
        <f>WWWW[[#This Row],[Access to unimproved water points]]*WWWW[[#This Row],[Total PoP ]]</f>
        <v>0</v>
      </c>
      <c r="BF10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0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1114</v>
      </c>
      <c r="BH103" s="209">
        <f>WWWW[[#This Row],['#people Equitable and continuous access to sufficient quantity of domestic water borehole n ponds_2]]/500</f>
        <v>2.2280000000000002</v>
      </c>
      <c r="BI103" s="208">
        <f>1-WWWW[[#This Row],[%Equitable and continuous access to sufficient quantity of domestic water borehole n ponds]]</f>
        <v>0</v>
      </c>
      <c r="BJ103" s="209">
        <f>WWWW[[#This Row],[%equitable and continuous access to sufficient quantity of safe drinking and domestic water''s GAP]]*WWWW[[#This Row],[Total PoP ]]</f>
        <v>0</v>
      </c>
      <c r="BK103" s="210">
        <f>IF(WWWW[[#This Row],[Total required water points]]-WWWW[[#This Row],['#Water points coverage]]&lt;0,0,WWWW[[#This Row],[Total required water points]]-WWWW[[#This Row],['#Water points coverage]])</f>
        <v>0</v>
      </c>
      <c r="BL103" s="210">
        <f>ROUND(IF(WWWW[[#This Row],[Total PoP ]]&lt;500,1,WWWW[[#This Row],[Total PoP ]]/500),0)</f>
        <v>2</v>
      </c>
      <c r="BM103" s="210">
        <f>WWWW[[#This Row],['# Existing functional latrines]]+WWWW[[#This Row],['# Existing latrines dysfunctional]]</f>
        <v>43</v>
      </c>
      <c r="BN10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0.7719928186714542</v>
      </c>
      <c r="BO103" s="352">
        <f>WWWW[[#This Row],[% people access to functioning Latrine]]*WWWW[[#This Row],[Total PoP ]]</f>
        <v>860</v>
      </c>
      <c r="BP10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0.23339317773788149</v>
      </c>
      <c r="BQ103" s="209">
        <f>IF(WWWW[[#This Row],[Total required Latrines]]-WWWW[[#This Row],[Total '# of latrine]]&lt;0,0,WWWW[[#This Row],[Total required Latrines]]-WWWW[[#This Row],[Total '# of latrine]])</f>
        <v>13</v>
      </c>
      <c r="BR103" s="210">
        <f>ROUND(IF(WWWW[[#This Row],[Location Type 1]]="camp",WWWW[[#This Row],[Total PoP ]]/20,WWWW[[#This Row],[Total PoP ]]/6),0)</f>
        <v>56</v>
      </c>
      <c r="BS103" s="212">
        <f>IF(OR(WWWW[[#This Row],['# Existing latrines dysfunctional]]="",WWWW[[#This Row],['# Existing latrines dysfunctional]]=0),0,WWWW[[#This Row],['# Existing latrines dysfunctional]]/WWWW[[#This Row],[Total '# of latrine]])</f>
        <v>0</v>
      </c>
      <c r="BT10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3" s="209">
        <f>IF(500*WWWW[[#This Row],['# Hygiene Promoters ]]&gt;WWWW[[#This Row],[Total PoP ]],WWWW[[#This Row],[Total PoP ]],500*WWWW[[#This Row],['# Hygiene Promoters ]])</f>
        <v>1114</v>
      </c>
      <c r="BV103" s="209">
        <f>IF(WWWW[[#This Row],[% of HH with access to Sanitary Pad]]&gt;=100%,1,0)</f>
        <v>0</v>
      </c>
      <c r="BW103" s="209">
        <f>IF(WWWW[[#This Row],[Total PoP ]]=0,0,IF(WWWW[[#This Row],['# Hygiene Promoters ]]=0,0,IF(WWWW[[#This Row],[Location Type 1]]="Village",IF(WWWW[[#This Row],[Total PoP ]]/WWWW[[#This Row],['# Hygiene Promoters ]]&lt;1000,1,0),IF(WWWW[[#This Row],[Total PoP ]]/WWWW[[#This Row],['# Hygiene Promoters ]]&lt;600,1,0))))</f>
        <v>1</v>
      </c>
      <c r="BX103" s="209">
        <f>IF(WWWW[[#This Row],[%HH with access to soap]]&gt;=100%,1,0)</f>
        <v>0</v>
      </c>
      <c r="BY103" s="209">
        <f>IF(WWWW[[#This Row],[% of HHs with access to Sanitary pad more than '#%]]+WWWW[[#This Row],[Ratio of Hyiene promoters to people less than '#]]+WWWW[[#This Row],[% of HHs with access to soap more than '#%]]&gt;=2,WWWW[[#This Row],[Total PoP ]],0)</f>
        <v>0</v>
      </c>
      <c r="BZ103" s="208">
        <f>WWWW[[#This Row],[People adopt basic personal and community hygiene practices]]/WWWW[[#This Row],[Total PoP ]]</f>
        <v>0</v>
      </c>
      <c r="CA103" s="212">
        <f>1-WWWW[[#This Row],[Hygiene Coverage%]]</f>
        <v>1</v>
      </c>
      <c r="CB103" s="211">
        <f>WWWW[[#This Row],['# people reached by regular dedicated hygiene promotion_5]]/WWWW[[#This Row],[Total PoP ]]</f>
        <v>1</v>
      </c>
      <c r="CC103" s="211">
        <f>IF(WWWW[[#This Row],['# HH received soaps]]/WWWW[[#This Row],[Total HH]]&gt;1,1,WWWW[[#This Row],['# HH received soaps]]/WWWW[[#This Row],[Total HH]])</f>
        <v>0</v>
      </c>
      <c r="CD103" s="211">
        <f>IF(WWWW[[#This Row],['# HH received Sanitary Pads]]/WWWW[[#This Row],[Total HH]]&gt;1,1,WWWW[[#This Row],['# HH received Sanitary Pads]]/WWWW[[#This Row],[Total HH]])</f>
        <v>0</v>
      </c>
      <c r="CE103" s="210">
        <f>WWWW[[#This Row],['# HH received soaps]]*5</f>
        <v>0</v>
      </c>
      <c r="CF103" s="210">
        <f>WWWW[[#This Row],['# HH received Sanitary Pads]]*5</f>
        <v>0</v>
      </c>
      <c r="CG103" s="210">
        <f>IF(WWWW[[#This Row],['# People with access to soap]]&gt;WWWW[[#This Row],['# People with access to Sanity Pads]],WWWW[[#This Row],['# People with access to soap]],WWWW[[#This Row],['# People with access to Sanity Pads]])</f>
        <v>0</v>
      </c>
      <c r="CH103" s="209">
        <f>WWWW[[#This Row],[Total HH]]*WWWW[[#This Row],[%HHs with access to functional hand washing stations]]</f>
        <v>118.8</v>
      </c>
      <c r="CI103" s="699" t="str">
        <f>VLOOKUP(WWWW[[#This Row],[Site Name]],SiteDB6[[Site Name]:[CCCM Management]],6,FALSE)</f>
        <v>Yes</v>
      </c>
      <c r="CJ103" s="699" t="str">
        <f>VLOOKUP(WWWW[[#This Row],[Site Name]],SiteDB6[[Site Name]:[CCCM Focal Agency]],7,FALSE)</f>
        <v>KBC</v>
      </c>
      <c r="CK103" s="699" t="str">
        <f>VLOOKUP(WWWW[[#This Row],[Site Name]],SiteDB6[[Site Name]:[Location Type]],8,FALSE)</f>
        <v>Camp</v>
      </c>
      <c r="CL103" s="699" t="str">
        <f>VLOOKUP(WWWW[[#This Row],[Site Name]],SiteDB6[[Site Name]:[Location Type 1]],9,FALSE)</f>
        <v>Camp</v>
      </c>
      <c r="CM103" s="699" t="str">
        <f>VLOOKUP(WWWW[[#This Row],[Site Name]],SiteDB6[[Site Name]:[Type of Accommodation]],10,FALSE)</f>
        <v>Camp</v>
      </c>
      <c r="CN103" s="699" t="str">
        <f>VLOOKUP(WWWW[[#This Row],[Site Name]],SiteDB6[[Site Name]:[Ethnic or GCA/NGCA]],11,FALSE)</f>
        <v>GCA</v>
      </c>
      <c r="CO103" s="699">
        <f>VLOOKUP(WWWW[[#This Row],[Site Name]],SiteDB6[[Site Name]:[Lat]],12,FALSE)</f>
        <v>25.403476999999999</v>
      </c>
      <c r="CP103" s="699">
        <f>VLOOKUP(WWWW[[#This Row],[Site Name]],SiteDB6[[Site Name]:[Long]],13,FALSE)</f>
        <v>97.373361000000003</v>
      </c>
      <c r="CQ103" s="699" t="str">
        <f>VLOOKUP(WWWW[[#This Row],[Site Name]],SiteDB6[[Site Name]:[Pcode]],3,FALSE)</f>
        <v>MMR001CMP018</v>
      </c>
      <c r="CR103" s="660" t="str">
        <f t="shared" si="1"/>
        <v>Covered</v>
      </c>
      <c r="CS103" s="660"/>
      <c r="CT103" s="24"/>
      <c r="CU103" s="24"/>
      <c r="CV103" s="24"/>
    </row>
    <row r="104" spans="1:100" ht="15.75" customHeight="1" x14ac:dyDescent="0.25">
      <c r="A104" s="833" t="s">
        <v>3206</v>
      </c>
      <c r="B104" s="206" t="s">
        <v>43</v>
      </c>
      <c r="C104" s="206" t="s">
        <v>44</v>
      </c>
      <c r="D104" s="206" t="s">
        <v>305</v>
      </c>
      <c r="E104" s="206" t="s">
        <v>380</v>
      </c>
      <c r="F104" s="206">
        <v>88</v>
      </c>
      <c r="G104" s="209">
        <v>430</v>
      </c>
      <c r="H104" s="206"/>
      <c r="I104" s="206" t="s">
        <v>372</v>
      </c>
      <c r="J104" s="207">
        <v>43465</v>
      </c>
      <c r="K104" s="206">
        <v>0</v>
      </c>
      <c r="L104" s="206" t="s">
        <v>2452</v>
      </c>
      <c r="M104" s="208">
        <v>0.5</v>
      </c>
      <c r="N104" s="208">
        <v>0.5</v>
      </c>
      <c r="O104" s="316">
        <v>1</v>
      </c>
      <c r="P104" s="317">
        <v>3</v>
      </c>
      <c r="Q104" s="317">
        <v>10000</v>
      </c>
      <c r="R104" s="318">
        <v>0</v>
      </c>
      <c r="S104" s="318">
        <v>4</v>
      </c>
      <c r="T104" s="318"/>
      <c r="U104" s="318">
        <v>0</v>
      </c>
      <c r="V104" s="318">
        <v>0</v>
      </c>
      <c r="W104" s="318">
        <v>0</v>
      </c>
      <c r="X104" s="318">
        <v>0</v>
      </c>
      <c r="Y104" s="318">
        <v>0</v>
      </c>
      <c r="Z104" s="318"/>
      <c r="AA104" s="310">
        <v>22</v>
      </c>
      <c r="AB104" s="310">
        <v>0</v>
      </c>
      <c r="AC104" s="66">
        <v>0</v>
      </c>
      <c r="AD104" s="66" t="s">
        <v>2789</v>
      </c>
      <c r="AE104" s="310">
        <v>10</v>
      </c>
      <c r="AF104" s="310" t="s">
        <v>283</v>
      </c>
      <c r="AG104" s="311" t="s">
        <v>283</v>
      </c>
      <c r="AH104" s="311">
        <v>0</v>
      </c>
      <c r="AI104" s="310">
        <v>0</v>
      </c>
      <c r="AJ104" s="310"/>
      <c r="AK104" s="841">
        <v>0</v>
      </c>
      <c r="AL104" s="842" t="s">
        <v>376</v>
      </c>
      <c r="AM104" s="842">
        <v>0</v>
      </c>
      <c r="AN104" s="863">
        <v>3</v>
      </c>
      <c r="AO104" s="863">
        <v>2</v>
      </c>
      <c r="AP104" s="838">
        <v>0</v>
      </c>
      <c r="AQ104" s="843">
        <v>0</v>
      </c>
      <c r="AR104" s="843" t="s">
        <v>282</v>
      </c>
      <c r="AS104" s="843"/>
      <c r="AT104" s="843"/>
      <c r="AU104" s="843"/>
      <c r="AV104" s="844"/>
      <c r="AW104" s="208" t="str">
        <f>IFERROR(WWWW[[#This Row],['# of Water passed at source]]/WWWW[[#This Row],['# of Water tested at source]],"no test")</f>
        <v>no test</v>
      </c>
      <c r="AX104" s="211" t="str">
        <f>IFERROR(WWWW[[#This Row],['# of Water passed at HH]]/WWWW[[#This Row],['# of Water tested at HH]],"no test")</f>
        <v>no test</v>
      </c>
      <c r="AY104" s="210" t="str">
        <f>IF(AND(WWWW[[#This Row],[%of Water samples which passed at water source]]="no test",WWWW[[#This Row],[%Water samples which passed at HH]]="no test"),"No Test","Tested")</f>
        <v>No Test</v>
      </c>
      <c r="AZ10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0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04" s="211">
        <f>IF(WWWW[[#This Row],[Location Type 1]]="Village",WWWW[[#This Row],[Access to safe drinking water for Village]],WWWW[[#This Row],[Access to safe drinking water for Camp]])</f>
        <v>1</v>
      </c>
      <c r="BC104" s="209">
        <f>WWWW[[#This Row],[%Equitable and continuous access to sufficient quantity of safe drinking water]]*WWWW[[#This Row],[Total PoP ]]</f>
        <v>430</v>
      </c>
      <c r="BD104" s="211">
        <f>IF((WWWW[[#This Row],['# Existing protected/fenced ponds ]]*250)/WWWW[[#This Row],[Total PoP ]]&gt;1,1,WWWW[[#This Row],['# Existing protected/fenced ponds ]]*250/WWWW[[#This Row],[Total PoP ]])</f>
        <v>0</v>
      </c>
      <c r="BE104" s="209">
        <f>WWWW[[#This Row],[Access to unimproved water points]]*WWWW[[#This Row],[Total PoP ]]</f>
        <v>0</v>
      </c>
      <c r="BF10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0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430</v>
      </c>
      <c r="BH104" s="209">
        <f>WWWW[[#This Row],['#people Equitable and continuous access to sufficient quantity of domestic water borehole n ponds_2]]/500</f>
        <v>0.86</v>
      </c>
      <c r="BI104" s="208">
        <f>1-WWWW[[#This Row],[%Equitable and continuous access to sufficient quantity of domestic water borehole n ponds]]</f>
        <v>0</v>
      </c>
      <c r="BJ104" s="209">
        <f>WWWW[[#This Row],[%equitable and continuous access to sufficient quantity of safe drinking and domestic water''s GAP]]*WWWW[[#This Row],[Total PoP ]]</f>
        <v>0</v>
      </c>
      <c r="BK104" s="210">
        <f>IF(WWWW[[#This Row],[Total required water points]]-WWWW[[#This Row],['#Water points coverage]]&lt;0,0,WWWW[[#This Row],[Total required water points]]-WWWW[[#This Row],['#Water points coverage]])</f>
        <v>0.14000000000000001</v>
      </c>
      <c r="BL104" s="210">
        <f>ROUND(IF(WWWW[[#This Row],[Total PoP ]]&lt;500,1,WWWW[[#This Row],[Total PoP ]]/500),0)</f>
        <v>1</v>
      </c>
      <c r="BM104" s="210">
        <f>WWWW[[#This Row],['# Existing functional latrines]]+WWWW[[#This Row],['# Existing latrines dysfunctional]]</f>
        <v>22</v>
      </c>
      <c r="BN10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04" s="352">
        <f>WWWW[[#This Row],[% people access to functioning Latrine]]*WWWW[[#This Row],[Total PoP ]]</f>
        <v>430</v>
      </c>
      <c r="BP10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04" s="209">
        <f>IF(WWWW[[#This Row],[Total required Latrines]]-WWWW[[#This Row],[Total '# of latrine]]&lt;0,0,WWWW[[#This Row],[Total required Latrines]]-WWWW[[#This Row],[Total '# of latrine]])</f>
        <v>0</v>
      </c>
      <c r="BR104" s="210">
        <f>ROUND(IF(WWWW[[#This Row],[Location Type 1]]="camp",WWWW[[#This Row],[Total PoP ]]/20,WWWW[[#This Row],[Total PoP ]]/6),0)</f>
        <v>22</v>
      </c>
      <c r="BS104" s="212">
        <f>IF(OR(WWWW[[#This Row],['# Existing latrines dysfunctional]]="",WWWW[[#This Row],['# Existing latrines dysfunctional]]=0),0,WWWW[[#This Row],['# Existing latrines dysfunctional]]/WWWW[[#This Row],[Total '# of latrine]])</f>
        <v>0</v>
      </c>
      <c r="BT10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4" s="209">
        <f>IF(500*WWWW[[#This Row],['# Hygiene Promoters ]]&gt;WWWW[[#This Row],[Total PoP ]],WWWW[[#This Row],[Total PoP ]],500*WWWW[[#This Row],['# Hygiene Promoters ]])</f>
        <v>430</v>
      </c>
      <c r="BV104" s="209">
        <f>IF(WWWW[[#This Row],[% of HH with access to Sanitary Pad]]&gt;=100%,1,0)</f>
        <v>0</v>
      </c>
      <c r="BW104" s="209">
        <f>IF(WWWW[[#This Row],[Total PoP ]]=0,0,IF(WWWW[[#This Row],['# Hygiene Promoters ]]=0,0,IF(WWWW[[#This Row],[Location Type 1]]="Village",IF(WWWW[[#This Row],[Total PoP ]]/WWWW[[#This Row],['# Hygiene Promoters ]]&lt;1000,1,0),IF(WWWW[[#This Row],[Total PoP ]]/WWWW[[#This Row],['# Hygiene Promoters ]]&lt;600,1,0))))</f>
        <v>1</v>
      </c>
      <c r="BX104" s="209">
        <f>IF(WWWW[[#This Row],[%HH with access to soap]]&gt;=100%,1,0)</f>
        <v>0</v>
      </c>
      <c r="BY104" s="209">
        <f>IF(WWWW[[#This Row],[% of HHs with access to Sanitary pad more than '#%]]+WWWW[[#This Row],[Ratio of Hyiene promoters to people less than '#]]+WWWW[[#This Row],[% of HHs with access to soap more than '#%]]&gt;=2,WWWW[[#This Row],[Total PoP ]],0)</f>
        <v>0</v>
      </c>
      <c r="BZ104" s="208">
        <f>WWWW[[#This Row],[People adopt basic personal and community hygiene practices]]/WWWW[[#This Row],[Total PoP ]]</f>
        <v>0</v>
      </c>
      <c r="CA104" s="212">
        <f>1-WWWW[[#This Row],[Hygiene Coverage%]]</f>
        <v>1</v>
      </c>
      <c r="CB104" s="211">
        <f>WWWW[[#This Row],['# people reached by regular dedicated hygiene promotion_5]]/WWWW[[#This Row],[Total PoP ]]</f>
        <v>1</v>
      </c>
      <c r="CC104" s="211">
        <f>IF(WWWW[[#This Row],['# HH received soaps]]/WWWW[[#This Row],[Total HH]]&gt;1,1,WWWW[[#This Row],['# HH received soaps]]/WWWW[[#This Row],[Total HH]])</f>
        <v>0</v>
      </c>
      <c r="CD104" s="211">
        <f>IF(WWWW[[#This Row],['# HH received Sanitary Pads]]/WWWW[[#This Row],[Total HH]]&gt;1,1,WWWW[[#This Row],['# HH received Sanitary Pads]]/WWWW[[#This Row],[Total HH]])</f>
        <v>0</v>
      </c>
      <c r="CE104" s="210">
        <f>WWWW[[#This Row],['# HH received soaps]]*5</f>
        <v>0</v>
      </c>
      <c r="CF104" s="210">
        <f>WWWW[[#This Row],['# HH received Sanitary Pads]]*5</f>
        <v>0</v>
      </c>
      <c r="CG104" s="210">
        <f>IF(WWWW[[#This Row],['# People with access to soap]]&gt;WWWW[[#This Row],['# People with access to Sanity Pads]],WWWW[[#This Row],['# People with access to soap]],WWWW[[#This Row],['# People with access to Sanity Pads]])</f>
        <v>0</v>
      </c>
      <c r="CH104" s="209">
        <f>WWWW[[#This Row],[Total HH]]*WWWW[[#This Row],[%HHs with access to functional hand washing stations]]</f>
        <v>0</v>
      </c>
      <c r="CI104" s="699" t="str">
        <f>VLOOKUP(WWWW[[#This Row],[Site Name]],SiteDB6[[Site Name]:[CCCM Management]],6,FALSE)</f>
        <v>Yes</v>
      </c>
      <c r="CJ104" s="699" t="str">
        <f>VLOOKUP(WWWW[[#This Row],[Site Name]],SiteDB6[[Site Name]:[CCCM Focal Agency]],7,FALSE)</f>
        <v>KMSS-MYT</v>
      </c>
      <c r="CK104" s="699" t="str">
        <f>VLOOKUP(WWWW[[#This Row],[Site Name]],SiteDB6[[Site Name]:[Location Type]],8,FALSE)</f>
        <v>Camp</v>
      </c>
      <c r="CL104" s="699" t="str">
        <f>VLOOKUP(WWWW[[#This Row],[Site Name]],SiteDB6[[Site Name]:[Location Type 1]],9,FALSE)</f>
        <v>Camp</v>
      </c>
      <c r="CM104" s="699" t="str">
        <f>VLOOKUP(WWWW[[#This Row],[Site Name]],SiteDB6[[Site Name]:[Type of Accommodation]],10,FALSE)</f>
        <v>Camp</v>
      </c>
      <c r="CN104" s="699" t="str">
        <f>VLOOKUP(WWWW[[#This Row],[Site Name]],SiteDB6[[Site Name]:[Ethnic or GCA/NGCA]],11,FALSE)</f>
        <v>GCA</v>
      </c>
      <c r="CO104" s="699">
        <f>VLOOKUP(WWWW[[#This Row],[Site Name]],SiteDB6[[Site Name]:[Lat]],12,FALSE)</f>
        <v>25.401061110000001</v>
      </c>
      <c r="CP104" s="699">
        <f>VLOOKUP(WWWW[[#This Row],[Site Name]],SiteDB6[[Site Name]:[Long]],13,FALSE)</f>
        <v>97.379594999999995</v>
      </c>
      <c r="CQ104" s="699" t="str">
        <f>VLOOKUP(WWWW[[#This Row],[Site Name]],SiteDB6[[Site Name]:[Pcode]],3,FALSE)</f>
        <v>MMR001CMP019</v>
      </c>
      <c r="CR104" s="660" t="str">
        <f t="shared" si="1"/>
        <v>Covered</v>
      </c>
      <c r="CS104" s="660"/>
      <c r="CT104" s="24"/>
      <c r="CU104" s="24"/>
      <c r="CV104" s="24"/>
    </row>
    <row r="105" spans="1:100" ht="15.75" customHeight="1" x14ac:dyDescent="0.25">
      <c r="A105" s="833" t="s">
        <v>3206</v>
      </c>
      <c r="B105" s="206" t="s">
        <v>287</v>
      </c>
      <c r="C105" s="206" t="s">
        <v>44</v>
      </c>
      <c r="D105" s="206" t="s">
        <v>305</v>
      </c>
      <c r="E105" s="206" t="s">
        <v>2943</v>
      </c>
      <c r="F105" s="206">
        <v>118</v>
      </c>
      <c r="G105" s="209">
        <v>489</v>
      </c>
      <c r="H105" s="206"/>
      <c r="I105" s="206" t="s">
        <v>296</v>
      </c>
      <c r="J105" s="207">
        <v>43465</v>
      </c>
      <c r="K105" s="206"/>
      <c r="L105" s="206" t="s">
        <v>48</v>
      </c>
      <c r="M105" s="208">
        <v>0.8</v>
      </c>
      <c r="N105" s="208">
        <v>0.6</v>
      </c>
      <c r="O105" s="316">
        <v>1</v>
      </c>
      <c r="P105" s="317"/>
      <c r="Q105" s="317"/>
      <c r="R105" s="318"/>
      <c r="S105" s="318"/>
      <c r="T105" s="318"/>
      <c r="U105" s="318"/>
      <c r="V105" s="318"/>
      <c r="W105" s="318"/>
      <c r="X105" s="318"/>
      <c r="Y105" s="318"/>
      <c r="Z105" s="318"/>
      <c r="AA105" s="310">
        <v>16</v>
      </c>
      <c r="AB105" s="310"/>
      <c r="AC105" s="66"/>
      <c r="AD105" s="66"/>
      <c r="AE105" s="310"/>
      <c r="AF105" s="310"/>
      <c r="AG105" s="311"/>
      <c r="AH105" s="311"/>
      <c r="AI105" s="310"/>
      <c r="AJ105" s="310"/>
      <c r="AK105" s="841"/>
      <c r="AL105" s="842"/>
      <c r="AM105" s="842"/>
      <c r="AN105" s="863"/>
      <c r="AO105" s="863"/>
      <c r="AP105" s="838"/>
      <c r="AQ105" s="843"/>
      <c r="AR105" s="843"/>
      <c r="AS105" s="843"/>
      <c r="AT105" s="843"/>
      <c r="AU105" s="843"/>
      <c r="AV105" s="844"/>
      <c r="AW105" s="208" t="str">
        <f>IFERROR(WWWW[[#This Row],['# of Water passed at source]]/WWWW[[#This Row],['# of Water tested at source]],"no test")</f>
        <v>no test</v>
      </c>
      <c r="AX105" s="211" t="str">
        <f>IFERROR(WWWW[[#This Row],['# of Water passed at HH]]/WWWW[[#This Row],['# of Water tested at HH]],"no test")</f>
        <v>no test</v>
      </c>
      <c r="AY105" s="210" t="str">
        <f>IF(AND(WWWW[[#This Row],[%of Water samples which passed at water source]]="no test",WWWW[[#This Row],[%Water samples which passed at HH]]="no test"),"No Test","Tested")</f>
        <v>No Test</v>
      </c>
      <c r="AZ10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0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0.5112474437627812</v>
      </c>
      <c r="BB105" s="211">
        <f>IF(WWWW[[#This Row],[Location Type 1]]="Village",WWWW[[#This Row],[Access to safe drinking water for Village]],WWWW[[#This Row],[Access to safe drinking water for Camp]])</f>
        <v>1</v>
      </c>
      <c r="BC105" s="209">
        <f>WWWW[[#This Row],[%Equitable and continuous access to sufficient quantity of safe drinking water]]*WWWW[[#This Row],[Total PoP ]]</f>
        <v>489</v>
      </c>
      <c r="BD105" s="211">
        <f>IF((WWWW[[#This Row],['# Existing protected/fenced ponds ]]*250)/WWWW[[#This Row],[Total PoP ]]&gt;1,1,WWWW[[#This Row],['# Existing protected/fenced ponds ]]*250/WWWW[[#This Row],[Total PoP ]])</f>
        <v>0</v>
      </c>
      <c r="BE105" s="209">
        <f>WWWW[[#This Row],[Access to unimproved water points]]*WWWW[[#This Row],[Total PoP ]]</f>
        <v>0</v>
      </c>
      <c r="BF10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0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489</v>
      </c>
      <c r="BH105" s="209">
        <f>WWWW[[#This Row],['#people Equitable and continuous access to sufficient quantity of domestic water borehole n ponds_2]]/500</f>
        <v>0.97799999999999998</v>
      </c>
      <c r="BI105" s="208">
        <f>1-WWWW[[#This Row],[%Equitable and continuous access to sufficient quantity of domestic water borehole n ponds]]</f>
        <v>0</v>
      </c>
      <c r="BJ105" s="209">
        <f>WWWW[[#This Row],[%equitable and continuous access to sufficient quantity of safe drinking and domestic water''s GAP]]*WWWW[[#This Row],[Total PoP ]]</f>
        <v>0</v>
      </c>
      <c r="BK105" s="210">
        <f>IF(WWWW[[#This Row],[Total required water points]]-WWWW[[#This Row],['#Water points coverage]]&lt;0,0,WWWW[[#This Row],[Total required water points]]-WWWW[[#This Row],['#Water points coverage]])</f>
        <v>2.200000000000002E-2</v>
      </c>
      <c r="BL105" s="210">
        <f>ROUND(IF(WWWW[[#This Row],[Total PoP ]]&lt;500,1,WWWW[[#This Row],[Total PoP ]]/500),0)</f>
        <v>1</v>
      </c>
      <c r="BM105" s="210">
        <f>WWWW[[#This Row],['# Existing functional latrines]]+WWWW[[#This Row],['# Existing latrines dysfunctional]]</f>
        <v>16</v>
      </c>
      <c r="BN10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0.65439672801635995</v>
      </c>
      <c r="BO105" s="352">
        <f>WWWW[[#This Row],[% people access to functioning Latrine]]*WWWW[[#This Row],[Total PoP ]]</f>
        <v>320</v>
      </c>
      <c r="BP10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0.32719836400817998</v>
      </c>
      <c r="BQ105" s="209">
        <f>IF(WWWW[[#This Row],[Total required Latrines]]-WWWW[[#This Row],[Total '# of latrine]]&lt;0,0,WWWW[[#This Row],[Total required Latrines]]-WWWW[[#This Row],[Total '# of latrine]])</f>
        <v>8</v>
      </c>
      <c r="BR105" s="210">
        <f>ROUND(IF(WWWW[[#This Row],[Location Type 1]]="camp",WWWW[[#This Row],[Total PoP ]]/20,WWWW[[#This Row],[Total PoP ]]/6),0)</f>
        <v>24</v>
      </c>
      <c r="BS105" s="212">
        <f>IF(OR(WWWW[[#This Row],['# Existing latrines dysfunctional]]="",WWWW[[#This Row],['# Existing latrines dysfunctional]]=0),0,WWWW[[#This Row],['# Existing latrines dysfunctional]]/WWWW[[#This Row],[Total '# of latrine]])</f>
        <v>0</v>
      </c>
      <c r="BT10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5" s="209">
        <f>IF(500*WWWW[[#This Row],['# Hygiene Promoters ]]&gt;WWWW[[#This Row],[Total PoP ]],WWWW[[#This Row],[Total PoP ]],500*WWWW[[#This Row],['# Hygiene Promoters ]])</f>
        <v>0</v>
      </c>
      <c r="BV105" s="209">
        <f>IF(WWWW[[#This Row],[% of HH with access to Sanitary Pad]]&gt;=100%,1,0)</f>
        <v>0</v>
      </c>
      <c r="BW105" s="209">
        <f>IF(WWWW[[#This Row],[Total PoP ]]=0,0,IF(WWWW[[#This Row],['# Hygiene Promoters ]]=0,0,IF(WWWW[[#This Row],[Location Type 1]]="Village",IF(WWWW[[#This Row],[Total PoP ]]/WWWW[[#This Row],['# Hygiene Promoters ]]&lt;1000,1,0),IF(WWWW[[#This Row],[Total PoP ]]/WWWW[[#This Row],['# Hygiene Promoters ]]&lt;600,1,0))))</f>
        <v>0</v>
      </c>
      <c r="BX105" s="209">
        <f>IF(WWWW[[#This Row],[%HH with access to soap]]&gt;=100%,1,0)</f>
        <v>0</v>
      </c>
      <c r="BY105" s="209">
        <f>IF(WWWW[[#This Row],[% of HHs with access to Sanitary pad more than '#%]]+WWWW[[#This Row],[Ratio of Hyiene promoters to people less than '#]]+WWWW[[#This Row],[% of HHs with access to soap more than '#%]]&gt;=2,WWWW[[#This Row],[Total PoP ]],0)</f>
        <v>0</v>
      </c>
      <c r="BZ105" s="208">
        <f>WWWW[[#This Row],[People adopt basic personal and community hygiene practices]]/WWWW[[#This Row],[Total PoP ]]</f>
        <v>0</v>
      </c>
      <c r="CA105" s="212">
        <f>1-WWWW[[#This Row],[Hygiene Coverage%]]</f>
        <v>1</v>
      </c>
      <c r="CB105" s="211">
        <f>WWWW[[#This Row],['# people reached by regular dedicated hygiene promotion_5]]/WWWW[[#This Row],[Total PoP ]]</f>
        <v>0</v>
      </c>
      <c r="CC105" s="211">
        <f>IF(WWWW[[#This Row],['# HH received soaps]]/WWWW[[#This Row],[Total HH]]&gt;1,1,WWWW[[#This Row],['# HH received soaps]]/WWWW[[#This Row],[Total HH]])</f>
        <v>0</v>
      </c>
      <c r="CD105" s="211">
        <f>IF(WWWW[[#This Row],['# HH received Sanitary Pads]]/WWWW[[#This Row],[Total HH]]&gt;1,1,WWWW[[#This Row],['# HH received Sanitary Pads]]/WWWW[[#This Row],[Total HH]])</f>
        <v>0</v>
      </c>
      <c r="CE105" s="210">
        <f>WWWW[[#This Row],['# HH received soaps]]*5</f>
        <v>0</v>
      </c>
      <c r="CF105" s="210">
        <f>WWWW[[#This Row],['# HH received Sanitary Pads]]*5</f>
        <v>0</v>
      </c>
      <c r="CG105" s="210">
        <f>IF(WWWW[[#This Row],['# People with access to soap]]&gt;WWWW[[#This Row],['# People with access to Sanity Pads]],WWWW[[#This Row],['# People with access to soap]],WWWW[[#This Row],['# People with access to Sanity Pads]])</f>
        <v>0</v>
      </c>
      <c r="CH105" s="209">
        <f>WWWW[[#This Row],[Total HH]]*WWWW[[#This Row],[%HHs with access to functional hand washing stations]]</f>
        <v>0</v>
      </c>
      <c r="CI105" s="699">
        <f>VLOOKUP(WWWW[[#This Row],[Site Name]],SiteDB6[[Site Name]:[CCCM Management]],6,FALSE)</f>
        <v>0</v>
      </c>
      <c r="CJ105" s="699" t="str">
        <f>VLOOKUP(WWWW[[#This Row],[Site Name]],SiteDB6[[Site Name]:[CCCM Focal Agency]],7,FALSE)</f>
        <v>KBC</v>
      </c>
      <c r="CK105" s="699" t="str">
        <f>VLOOKUP(WWWW[[#This Row],[Site Name]],SiteDB6[[Site Name]:[Location Type]],8,FALSE)</f>
        <v>Camp</v>
      </c>
      <c r="CL105" s="699" t="str">
        <f>VLOOKUP(WWWW[[#This Row],[Site Name]],SiteDB6[[Site Name]:[Location Type 1]],9,FALSE)</f>
        <v>Camp</v>
      </c>
      <c r="CM105" s="699" t="str">
        <f>VLOOKUP(WWWW[[#This Row],[Site Name]],SiteDB6[[Site Name]:[Type of Accommodation]],10,FALSE)</f>
        <v>Camp</v>
      </c>
      <c r="CN105" s="699" t="str">
        <f>VLOOKUP(WWWW[[#This Row],[Site Name]],SiteDB6[[Site Name]:[Ethnic or GCA/NGCA]],11,FALSE)</f>
        <v>GCA</v>
      </c>
      <c r="CO105" s="699">
        <f>VLOOKUP(WWWW[[#This Row],[Site Name]],SiteDB6[[Site Name]:[Lat]],12,FALSE)</f>
        <v>0</v>
      </c>
      <c r="CP105" s="699">
        <f>VLOOKUP(WWWW[[#This Row],[Site Name]],SiteDB6[[Site Name]:[Long]],13,FALSE)</f>
        <v>0</v>
      </c>
      <c r="CQ105" s="699" t="str">
        <f>VLOOKUP(WWWW[[#This Row],[Site Name]],SiteDB6[[Site Name]:[Pcode]],3,FALSE)</f>
        <v>MMR001CMP265</v>
      </c>
      <c r="CR105" s="660" t="str">
        <f t="shared" si="1"/>
        <v>Covered</v>
      </c>
      <c r="CS105" s="660"/>
      <c r="CT105" s="24"/>
      <c r="CU105" s="24"/>
      <c r="CV105" s="24"/>
    </row>
    <row r="106" spans="1:100" ht="15.75" customHeight="1" x14ac:dyDescent="0.25">
      <c r="A106" s="833" t="s">
        <v>3206</v>
      </c>
      <c r="B106" s="206" t="s">
        <v>460</v>
      </c>
      <c r="C106" s="206" t="s">
        <v>44</v>
      </c>
      <c r="D106" s="206" t="s">
        <v>305</v>
      </c>
      <c r="E106" s="206" t="s">
        <v>1274</v>
      </c>
      <c r="F106" s="206">
        <v>19</v>
      </c>
      <c r="G106" s="209">
        <v>46</v>
      </c>
      <c r="H106" s="206"/>
      <c r="I106" s="206"/>
      <c r="J106" s="207"/>
      <c r="K106" s="206"/>
      <c r="L106" s="206"/>
      <c r="M106" s="208"/>
      <c r="N106" s="208"/>
      <c r="O106" s="316"/>
      <c r="P106" s="317"/>
      <c r="Q106" s="317"/>
      <c r="R106" s="318"/>
      <c r="S106" s="318"/>
      <c r="T106" s="318"/>
      <c r="U106" s="318"/>
      <c r="V106" s="318"/>
      <c r="W106" s="318"/>
      <c r="X106" s="318"/>
      <c r="Y106" s="318"/>
      <c r="Z106" s="318"/>
      <c r="AA106" s="310"/>
      <c r="AB106" s="310"/>
      <c r="AC106" s="66"/>
      <c r="AD106" s="66"/>
      <c r="AE106" s="310"/>
      <c r="AF106" s="310"/>
      <c r="AG106" s="311"/>
      <c r="AH106" s="311"/>
      <c r="AI106" s="310"/>
      <c r="AJ106" s="310"/>
      <c r="AK106" s="841"/>
      <c r="AL106" s="842"/>
      <c r="AM106" s="842"/>
      <c r="AN106" s="863"/>
      <c r="AO106" s="863"/>
      <c r="AP106" s="838"/>
      <c r="AQ106" s="843"/>
      <c r="AR106" s="843"/>
      <c r="AS106" s="843"/>
      <c r="AT106" s="843"/>
      <c r="AU106" s="843"/>
      <c r="AV106" s="844"/>
      <c r="AW106" s="208" t="str">
        <f>IFERROR(WWWW[[#This Row],['# of Water passed at source]]/WWWW[[#This Row],['# of Water tested at source]],"no test")</f>
        <v>no test</v>
      </c>
      <c r="AX106" s="211" t="str">
        <f>IFERROR(WWWW[[#This Row],['# of Water passed at HH]]/WWWW[[#This Row],['# of Water tested at HH]],"no test")</f>
        <v>no test</v>
      </c>
      <c r="AY106" s="210" t="str">
        <f>IF(AND(WWWW[[#This Row],[%of Water samples which passed at water source]]="no test",WWWW[[#This Row],[%Water samples which passed at HH]]="no test"),"No Test","Tested")</f>
        <v>No Test</v>
      </c>
      <c r="AZ10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0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06" s="211">
        <f>IF(WWWW[[#This Row],[Location Type 1]]="Village",WWWW[[#This Row],[Access to safe drinking water for Village]],WWWW[[#This Row],[Access to safe drinking water for Camp]])</f>
        <v>0</v>
      </c>
      <c r="BC106" s="209">
        <f>WWWW[[#This Row],[%Equitable and continuous access to sufficient quantity of safe drinking water]]*WWWW[[#This Row],[Total PoP ]]</f>
        <v>0</v>
      </c>
      <c r="BD106" s="211">
        <f>IF((WWWW[[#This Row],['# Existing protected/fenced ponds ]]*250)/WWWW[[#This Row],[Total PoP ]]&gt;1,1,WWWW[[#This Row],['# Existing protected/fenced ponds ]]*250/WWWW[[#This Row],[Total PoP ]])</f>
        <v>0</v>
      </c>
      <c r="BE106" s="209">
        <f>WWWW[[#This Row],[Access to unimproved water points]]*WWWW[[#This Row],[Total PoP ]]</f>
        <v>0</v>
      </c>
      <c r="BF10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0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06" s="209">
        <f>WWWW[[#This Row],['#people Equitable and continuous access to sufficient quantity of domestic water borehole n ponds_2]]/500</f>
        <v>0</v>
      </c>
      <c r="BI106" s="208">
        <f>1-WWWW[[#This Row],[%Equitable and continuous access to sufficient quantity of domestic water borehole n ponds]]</f>
        <v>1</v>
      </c>
      <c r="BJ106" s="209">
        <f>WWWW[[#This Row],[%equitable and continuous access to sufficient quantity of safe drinking and domestic water''s GAP]]*WWWW[[#This Row],[Total PoP ]]</f>
        <v>46</v>
      </c>
      <c r="BK106" s="210">
        <f>IF(WWWW[[#This Row],[Total required water points]]-WWWW[[#This Row],['#Water points coverage]]&lt;0,0,WWWW[[#This Row],[Total required water points]]-WWWW[[#This Row],['#Water points coverage]])</f>
        <v>1</v>
      </c>
      <c r="BL106" s="210">
        <f>ROUND(IF(WWWW[[#This Row],[Total PoP ]]&lt;500,1,WWWW[[#This Row],[Total PoP ]]/500),0)</f>
        <v>1</v>
      </c>
      <c r="BM106" s="210">
        <f>WWWW[[#This Row],['# Existing functional latrines]]+WWWW[[#This Row],['# Existing latrines dysfunctional]]</f>
        <v>0</v>
      </c>
      <c r="BN10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06" s="352">
        <f>WWWW[[#This Row],[% people access to functioning Latrine]]*WWWW[[#This Row],[Total PoP ]]</f>
        <v>0</v>
      </c>
      <c r="BP10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0.86956521739130443</v>
      </c>
      <c r="BQ106" s="209">
        <f>IF(WWWW[[#This Row],[Total required Latrines]]-WWWW[[#This Row],[Total '# of latrine]]&lt;0,0,WWWW[[#This Row],[Total required Latrines]]-WWWW[[#This Row],[Total '# of latrine]])</f>
        <v>2</v>
      </c>
      <c r="BR106" s="210">
        <f>ROUND(IF(WWWW[[#This Row],[Location Type 1]]="camp",WWWW[[#This Row],[Total PoP ]]/20,WWWW[[#This Row],[Total PoP ]]/6),0)</f>
        <v>2</v>
      </c>
      <c r="BS106" s="212">
        <f>IF(OR(WWWW[[#This Row],['# Existing latrines dysfunctional]]="",WWWW[[#This Row],['# Existing latrines dysfunctional]]=0),0,WWWW[[#This Row],['# Existing latrines dysfunctional]]/WWWW[[#This Row],[Total '# of latrine]])</f>
        <v>0</v>
      </c>
      <c r="BT10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6" s="209">
        <f>IF(500*WWWW[[#This Row],['# Hygiene Promoters ]]&gt;WWWW[[#This Row],[Total PoP ]],WWWW[[#This Row],[Total PoP ]],500*WWWW[[#This Row],['# Hygiene Promoters ]])</f>
        <v>0</v>
      </c>
      <c r="BV106" s="209">
        <f>IF(WWWW[[#This Row],[% of HH with access to Sanitary Pad]]&gt;=100%,1,0)</f>
        <v>0</v>
      </c>
      <c r="BW106" s="209">
        <f>IF(WWWW[[#This Row],[Total PoP ]]=0,0,IF(WWWW[[#This Row],['# Hygiene Promoters ]]=0,0,IF(WWWW[[#This Row],[Location Type 1]]="Village",IF(WWWW[[#This Row],[Total PoP ]]/WWWW[[#This Row],['# Hygiene Promoters ]]&lt;1000,1,0),IF(WWWW[[#This Row],[Total PoP ]]/WWWW[[#This Row],['# Hygiene Promoters ]]&lt;600,1,0))))</f>
        <v>0</v>
      </c>
      <c r="BX106" s="209">
        <f>IF(WWWW[[#This Row],[%HH with access to soap]]&gt;=100%,1,0)</f>
        <v>0</v>
      </c>
      <c r="BY106" s="209">
        <f>IF(WWWW[[#This Row],[% of HHs with access to Sanitary pad more than '#%]]+WWWW[[#This Row],[Ratio of Hyiene promoters to people less than '#]]+WWWW[[#This Row],[% of HHs with access to soap more than '#%]]&gt;=2,WWWW[[#This Row],[Total PoP ]],0)</f>
        <v>0</v>
      </c>
      <c r="BZ106" s="208">
        <f>WWWW[[#This Row],[People adopt basic personal and community hygiene practices]]/WWWW[[#This Row],[Total PoP ]]</f>
        <v>0</v>
      </c>
      <c r="CA106" s="212">
        <f>1-WWWW[[#This Row],[Hygiene Coverage%]]</f>
        <v>1</v>
      </c>
      <c r="CB106" s="211">
        <f>WWWW[[#This Row],['# people reached by regular dedicated hygiene promotion_5]]/WWWW[[#This Row],[Total PoP ]]</f>
        <v>0</v>
      </c>
      <c r="CC106" s="211">
        <f>IF(WWWW[[#This Row],['# HH received soaps]]/WWWW[[#This Row],[Total HH]]&gt;1,1,WWWW[[#This Row],['# HH received soaps]]/WWWW[[#This Row],[Total HH]])</f>
        <v>0</v>
      </c>
      <c r="CD106" s="211">
        <f>IF(WWWW[[#This Row],['# HH received Sanitary Pads]]/WWWW[[#This Row],[Total HH]]&gt;1,1,WWWW[[#This Row],['# HH received Sanitary Pads]]/WWWW[[#This Row],[Total HH]])</f>
        <v>0</v>
      </c>
      <c r="CE106" s="210">
        <f>WWWW[[#This Row],['# HH received soaps]]*5</f>
        <v>0</v>
      </c>
      <c r="CF106" s="210">
        <f>WWWW[[#This Row],['# HH received Sanitary Pads]]*5</f>
        <v>0</v>
      </c>
      <c r="CG106" s="210">
        <f>IF(WWWW[[#This Row],['# People with access to soap]]&gt;WWWW[[#This Row],['# People with access to Sanity Pads]],WWWW[[#This Row],['# People with access to soap]],WWWW[[#This Row],['# People with access to Sanity Pads]])</f>
        <v>0</v>
      </c>
      <c r="CH106" s="209">
        <f>WWWW[[#This Row],[Total HH]]*WWWW[[#This Row],[%HHs with access to functional hand washing stations]]</f>
        <v>0</v>
      </c>
      <c r="CI106" s="699">
        <f>VLOOKUP(WWWW[[#This Row],[Site Name]],SiteDB6[[Site Name]:[CCCM Management]],6,FALSE)</f>
        <v>0</v>
      </c>
      <c r="CJ106" s="699" t="str">
        <f>VLOOKUP(WWWW[[#This Row],[Site Name]],SiteDB6[[Site Name]:[CCCM Focal Agency]],7,FALSE)</f>
        <v>uncovered</v>
      </c>
      <c r="CK106" s="699" t="str">
        <f>VLOOKUP(WWWW[[#This Row],[Site Name]],SiteDB6[[Site Name]:[Location Type]],8,FALSE)</f>
        <v>Camp</v>
      </c>
      <c r="CL106" s="699" t="str">
        <f>VLOOKUP(WWWW[[#This Row],[Site Name]],SiteDB6[[Site Name]:[Location Type 1]],9,FALSE)</f>
        <v>Camp</v>
      </c>
      <c r="CM106" s="699" t="str">
        <f>VLOOKUP(WWWW[[#This Row],[Site Name]],SiteDB6[[Site Name]:[Type of Accommodation]],10,FALSE)</f>
        <v>Camp like setting</v>
      </c>
      <c r="CN106" s="699" t="str">
        <f>VLOOKUP(WWWW[[#This Row],[Site Name]],SiteDB6[[Site Name]:[Ethnic or GCA/NGCA]],11,FALSE)</f>
        <v>GCA</v>
      </c>
      <c r="CO106" s="699">
        <f>VLOOKUP(WWWW[[#This Row],[Site Name]],SiteDB6[[Site Name]:[Lat]],12,FALSE)</f>
        <v>0</v>
      </c>
      <c r="CP106" s="699">
        <f>VLOOKUP(WWWW[[#This Row],[Site Name]],SiteDB6[[Site Name]:[Long]],13,FALSE)</f>
        <v>0</v>
      </c>
      <c r="CQ106" s="699" t="str">
        <f>VLOOKUP(WWWW[[#This Row],[Site Name]],SiteDB6[[Site Name]:[Pcode]],3,FALSE)</f>
        <v>MMR001CMP256</v>
      </c>
      <c r="CR106" s="660" t="str">
        <f t="shared" si="1"/>
        <v>Notcovered</v>
      </c>
      <c r="CS106" s="660"/>
      <c r="CT106" s="24"/>
      <c r="CU106" s="24"/>
      <c r="CV106" s="24"/>
    </row>
    <row r="107" spans="1:100" ht="15.75" customHeight="1" x14ac:dyDescent="0.25">
      <c r="A107" s="833" t="s">
        <v>3206</v>
      </c>
      <c r="B107" s="206" t="s">
        <v>287</v>
      </c>
      <c r="C107" s="206" t="s">
        <v>44</v>
      </c>
      <c r="D107" s="206" t="s">
        <v>305</v>
      </c>
      <c r="E107" s="206" t="s">
        <v>308</v>
      </c>
      <c r="F107" s="206">
        <v>44</v>
      </c>
      <c r="G107" s="209">
        <v>195</v>
      </c>
      <c r="H107" s="206"/>
      <c r="I107" s="206" t="s">
        <v>290</v>
      </c>
      <c r="J107" s="207" t="s">
        <v>3253</v>
      </c>
      <c r="K107" s="206">
        <v>0</v>
      </c>
      <c r="L107" s="206" t="s">
        <v>48</v>
      </c>
      <c r="M107" s="208">
        <v>0.6</v>
      </c>
      <c r="N107" s="208">
        <v>0.5</v>
      </c>
      <c r="O107" s="316">
        <v>1</v>
      </c>
      <c r="P107" s="317">
        <v>1</v>
      </c>
      <c r="Q107" s="317">
        <v>3000</v>
      </c>
      <c r="R107" s="318">
        <v>0</v>
      </c>
      <c r="S107" s="318">
        <v>0</v>
      </c>
      <c r="T107" s="318"/>
      <c r="U107" s="318">
        <v>0</v>
      </c>
      <c r="V107" s="318">
        <v>0</v>
      </c>
      <c r="W107" s="318">
        <v>0</v>
      </c>
      <c r="X107" s="318">
        <v>0</v>
      </c>
      <c r="Y107" s="318">
        <v>0</v>
      </c>
      <c r="Z107" s="318"/>
      <c r="AA107" s="310">
        <v>8</v>
      </c>
      <c r="AB107" s="310">
        <v>0</v>
      </c>
      <c r="AC107" s="66">
        <v>0</v>
      </c>
      <c r="AD107" s="66"/>
      <c r="AE107" s="310">
        <v>0</v>
      </c>
      <c r="AF107" s="310" t="s">
        <v>283</v>
      </c>
      <c r="AG107" s="311" t="s">
        <v>283</v>
      </c>
      <c r="AH107" s="311"/>
      <c r="AI107" s="310"/>
      <c r="AJ107" s="310"/>
      <c r="AK107" s="841">
        <v>0.6</v>
      </c>
      <c r="AL107" s="842" t="s">
        <v>376</v>
      </c>
      <c r="AM107" s="842">
        <v>0</v>
      </c>
      <c r="AN107" s="863">
        <v>1</v>
      </c>
      <c r="AO107" s="863">
        <v>1</v>
      </c>
      <c r="AP107" s="838">
        <v>0</v>
      </c>
      <c r="AQ107" s="843">
        <v>0</v>
      </c>
      <c r="AR107" s="843"/>
      <c r="AS107" s="843"/>
      <c r="AT107" s="843"/>
      <c r="AU107" s="843"/>
      <c r="AV107" s="844"/>
      <c r="AW107" s="208" t="str">
        <f>IFERROR(WWWW[[#This Row],['# of Water passed at source]]/WWWW[[#This Row],['# of Water tested at source]],"no test")</f>
        <v>no test</v>
      </c>
      <c r="AX107" s="211" t="str">
        <f>IFERROR(WWWW[[#This Row],['# of Water passed at HH]]/WWWW[[#This Row],['# of Water tested at HH]],"no test")</f>
        <v>no test</v>
      </c>
      <c r="AY107" s="210" t="str">
        <f>IF(AND(WWWW[[#This Row],[%of Water samples which passed at water source]]="no test",WWWW[[#This Row],[%Water samples which passed at HH]]="no test"),"No Test","Tested")</f>
        <v>No Test</v>
      </c>
      <c r="AZ10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0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07" s="211">
        <f>IF(WWWW[[#This Row],[Location Type 1]]="Village",WWWW[[#This Row],[Access to safe drinking water for Village]],WWWW[[#This Row],[Access to safe drinking water for Camp]])</f>
        <v>1</v>
      </c>
      <c r="BC107" s="209">
        <f>WWWW[[#This Row],[%Equitable and continuous access to sufficient quantity of safe drinking water]]*WWWW[[#This Row],[Total PoP ]]</f>
        <v>195</v>
      </c>
      <c r="BD107" s="211">
        <f>IF((WWWW[[#This Row],['# Existing protected/fenced ponds ]]*250)/WWWW[[#This Row],[Total PoP ]]&gt;1,1,WWWW[[#This Row],['# Existing protected/fenced ponds ]]*250/WWWW[[#This Row],[Total PoP ]])</f>
        <v>0</v>
      </c>
      <c r="BE107" s="209">
        <f>WWWW[[#This Row],[Access to unimproved water points]]*WWWW[[#This Row],[Total PoP ]]</f>
        <v>0</v>
      </c>
      <c r="BF10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0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195</v>
      </c>
      <c r="BH107" s="209">
        <f>WWWW[[#This Row],['#people Equitable and continuous access to sufficient quantity of domestic water borehole n ponds_2]]/500</f>
        <v>0.39</v>
      </c>
      <c r="BI107" s="208">
        <f>1-WWWW[[#This Row],[%Equitable and continuous access to sufficient quantity of domestic water borehole n ponds]]</f>
        <v>0</v>
      </c>
      <c r="BJ107" s="209">
        <f>WWWW[[#This Row],[%equitable and continuous access to sufficient quantity of safe drinking and domestic water''s GAP]]*WWWW[[#This Row],[Total PoP ]]</f>
        <v>0</v>
      </c>
      <c r="BK107" s="210">
        <f>IF(WWWW[[#This Row],[Total required water points]]-WWWW[[#This Row],['#Water points coverage]]&lt;0,0,WWWW[[#This Row],[Total required water points]]-WWWW[[#This Row],['#Water points coverage]])</f>
        <v>0.61</v>
      </c>
      <c r="BL107" s="210">
        <f>ROUND(IF(WWWW[[#This Row],[Total PoP ]]&lt;500,1,WWWW[[#This Row],[Total PoP ]]/500),0)</f>
        <v>1</v>
      </c>
      <c r="BM107" s="210">
        <f>WWWW[[#This Row],['# Existing functional latrines]]+WWWW[[#This Row],['# Existing latrines dysfunctional]]</f>
        <v>8</v>
      </c>
      <c r="BN10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0.82051282051282048</v>
      </c>
      <c r="BO107" s="352">
        <f>WWWW[[#This Row],[% people access to functioning Latrine]]*WWWW[[#This Row],[Total PoP ]]</f>
        <v>160</v>
      </c>
      <c r="BP10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0.20512820512820512</v>
      </c>
      <c r="BQ107" s="209">
        <f>IF(WWWW[[#This Row],[Total required Latrines]]-WWWW[[#This Row],[Total '# of latrine]]&lt;0,0,WWWW[[#This Row],[Total required Latrines]]-WWWW[[#This Row],[Total '# of latrine]])</f>
        <v>2</v>
      </c>
      <c r="BR107" s="210">
        <f>ROUND(IF(WWWW[[#This Row],[Location Type 1]]="camp",WWWW[[#This Row],[Total PoP ]]/20,WWWW[[#This Row],[Total PoP ]]/6),0)</f>
        <v>10</v>
      </c>
      <c r="BS107" s="212">
        <f>IF(OR(WWWW[[#This Row],['# Existing latrines dysfunctional]]="",WWWW[[#This Row],['# Existing latrines dysfunctional]]=0),0,WWWW[[#This Row],['# Existing latrines dysfunctional]]/WWWW[[#This Row],[Total '# of latrine]])</f>
        <v>0</v>
      </c>
      <c r="BT10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7" s="209">
        <f>IF(500*WWWW[[#This Row],['# Hygiene Promoters ]]&gt;WWWW[[#This Row],[Total PoP ]],WWWW[[#This Row],[Total PoP ]],500*WWWW[[#This Row],['# Hygiene Promoters ]])</f>
        <v>195</v>
      </c>
      <c r="BV107" s="209">
        <f>IF(WWWW[[#This Row],[% of HH with access to Sanitary Pad]]&gt;=100%,1,0)</f>
        <v>0</v>
      </c>
      <c r="BW107" s="209">
        <f>IF(WWWW[[#This Row],[Total PoP ]]=0,0,IF(WWWW[[#This Row],['# Hygiene Promoters ]]=0,0,IF(WWWW[[#This Row],[Location Type 1]]="Village",IF(WWWW[[#This Row],[Total PoP ]]/WWWW[[#This Row],['# Hygiene Promoters ]]&lt;1000,1,0),IF(WWWW[[#This Row],[Total PoP ]]/WWWW[[#This Row],['# Hygiene Promoters ]]&lt;600,1,0))))</f>
        <v>1</v>
      </c>
      <c r="BX107" s="209">
        <f>IF(WWWW[[#This Row],[%HH with access to soap]]&gt;=100%,1,0)</f>
        <v>0</v>
      </c>
      <c r="BY107" s="209">
        <f>IF(WWWW[[#This Row],[% of HHs with access to Sanitary pad more than '#%]]+WWWW[[#This Row],[Ratio of Hyiene promoters to people less than '#]]+WWWW[[#This Row],[% of HHs with access to soap more than '#%]]&gt;=2,WWWW[[#This Row],[Total PoP ]],0)</f>
        <v>0</v>
      </c>
      <c r="BZ107" s="208">
        <f>WWWW[[#This Row],[People adopt basic personal and community hygiene practices]]/WWWW[[#This Row],[Total PoP ]]</f>
        <v>0</v>
      </c>
      <c r="CA107" s="212">
        <f>1-WWWW[[#This Row],[Hygiene Coverage%]]</f>
        <v>1</v>
      </c>
      <c r="CB107" s="211">
        <f>WWWW[[#This Row],['# people reached by regular dedicated hygiene promotion_5]]/WWWW[[#This Row],[Total PoP ]]</f>
        <v>1</v>
      </c>
      <c r="CC107" s="211">
        <f>IF(WWWW[[#This Row],['# HH received soaps]]/WWWW[[#This Row],[Total HH]]&gt;1,1,WWWW[[#This Row],['# HH received soaps]]/WWWW[[#This Row],[Total HH]])</f>
        <v>0</v>
      </c>
      <c r="CD107" s="211">
        <f>IF(WWWW[[#This Row],['# HH received Sanitary Pads]]/WWWW[[#This Row],[Total HH]]&gt;1,1,WWWW[[#This Row],['# HH received Sanitary Pads]]/WWWW[[#This Row],[Total HH]])</f>
        <v>0</v>
      </c>
      <c r="CE107" s="210">
        <f>WWWW[[#This Row],['# HH received soaps]]*5</f>
        <v>0</v>
      </c>
      <c r="CF107" s="210">
        <f>WWWW[[#This Row],['# HH received Sanitary Pads]]*5</f>
        <v>0</v>
      </c>
      <c r="CG107" s="210">
        <f>IF(WWWW[[#This Row],['# People with access to soap]]&gt;WWWW[[#This Row],['# People with access to Sanity Pads]],WWWW[[#This Row],['# People with access to soap]],WWWW[[#This Row],['# People with access to Sanity Pads]])</f>
        <v>0</v>
      </c>
      <c r="CH107" s="209">
        <f>WWWW[[#This Row],[Total HH]]*WWWW[[#This Row],[%HHs with access to functional hand washing stations]]</f>
        <v>26.4</v>
      </c>
      <c r="CI107" s="699" t="str">
        <f>VLOOKUP(WWWW[[#This Row],[Site Name]],SiteDB6[[Site Name]:[CCCM Management]],6,FALSE)</f>
        <v>Yes</v>
      </c>
      <c r="CJ107" s="699" t="str">
        <f>VLOOKUP(WWWW[[#This Row],[Site Name]],SiteDB6[[Site Name]:[CCCM Focal Agency]],7,FALSE)</f>
        <v>KBC</v>
      </c>
      <c r="CK107" s="699" t="str">
        <f>VLOOKUP(WWWW[[#This Row],[Site Name]],SiteDB6[[Site Name]:[Location Type]],8,FALSE)</f>
        <v>Camp</v>
      </c>
      <c r="CL107" s="699" t="str">
        <f>VLOOKUP(WWWW[[#This Row],[Site Name]],SiteDB6[[Site Name]:[Location Type 1]],9,FALSE)</f>
        <v>Camp</v>
      </c>
      <c r="CM107" s="699" t="str">
        <f>VLOOKUP(WWWW[[#This Row],[Site Name]],SiteDB6[[Site Name]:[Type of Accommodation]],10,FALSE)</f>
        <v>Camp</v>
      </c>
      <c r="CN107" s="699" t="str">
        <f>VLOOKUP(WWWW[[#This Row],[Site Name]],SiteDB6[[Site Name]:[Ethnic or GCA/NGCA]],11,FALSE)</f>
        <v>GCA</v>
      </c>
      <c r="CO107" s="699">
        <f>VLOOKUP(WWWW[[#This Row],[Site Name]],SiteDB6[[Site Name]:[Lat]],12,FALSE)</f>
        <v>25.3660036111111</v>
      </c>
      <c r="CP107" s="699">
        <f>VLOOKUP(WWWW[[#This Row],[Site Name]],SiteDB6[[Site Name]:[Long]],13,FALSE)</f>
        <v>97.405202777777802</v>
      </c>
      <c r="CQ107" s="699" t="str">
        <f>VLOOKUP(WWWW[[#This Row],[Site Name]],SiteDB6[[Site Name]:[Pcode]],3,FALSE)</f>
        <v>MMR001CMP013</v>
      </c>
      <c r="CR107" s="660" t="str">
        <f t="shared" si="1"/>
        <v>Covered</v>
      </c>
      <c r="CS107" s="660"/>
      <c r="CT107" s="24"/>
      <c r="CU107" s="24"/>
      <c r="CV107" s="24"/>
    </row>
    <row r="108" spans="1:100" ht="15.75" customHeight="1" x14ac:dyDescent="0.25">
      <c r="A108" s="833" t="s">
        <v>3206</v>
      </c>
      <c r="B108" s="206" t="s">
        <v>460</v>
      </c>
      <c r="C108" s="206" t="s">
        <v>44</v>
      </c>
      <c r="D108" s="206" t="s">
        <v>305</v>
      </c>
      <c r="E108" s="206" t="s">
        <v>941</v>
      </c>
      <c r="F108" s="206">
        <v>375</v>
      </c>
      <c r="G108" s="209">
        <v>1691</v>
      </c>
      <c r="H108" s="206"/>
      <c r="I108" s="206"/>
      <c r="J108" s="207"/>
      <c r="K108" s="206"/>
      <c r="L108" s="206" t="s">
        <v>282</v>
      </c>
      <c r="M108" s="208">
        <v>0</v>
      </c>
      <c r="N108" s="208">
        <v>0</v>
      </c>
      <c r="O108" s="316"/>
      <c r="P108" s="317"/>
      <c r="Q108" s="317"/>
      <c r="R108" s="318"/>
      <c r="S108" s="318"/>
      <c r="T108" s="318"/>
      <c r="U108" s="318"/>
      <c r="V108" s="318"/>
      <c r="W108" s="318"/>
      <c r="X108" s="318"/>
      <c r="Y108" s="318"/>
      <c r="Z108" s="318"/>
      <c r="AA108" s="310">
        <v>0</v>
      </c>
      <c r="AB108" s="310"/>
      <c r="AC108" s="66"/>
      <c r="AD108" s="66"/>
      <c r="AE108" s="310"/>
      <c r="AF108" s="310" t="s">
        <v>286</v>
      </c>
      <c r="AG108" s="311" t="s">
        <v>286</v>
      </c>
      <c r="AH108" s="311"/>
      <c r="AI108" s="310"/>
      <c r="AJ108" s="310"/>
      <c r="AK108" s="841"/>
      <c r="AL108" s="842"/>
      <c r="AM108" s="842"/>
      <c r="AN108" s="863"/>
      <c r="AO108" s="863"/>
      <c r="AP108" s="838"/>
      <c r="AQ108" s="843"/>
      <c r="AR108" s="843"/>
      <c r="AS108" s="843"/>
      <c r="AT108" s="843"/>
      <c r="AU108" s="843"/>
      <c r="AV108" s="844"/>
      <c r="AW108" s="208" t="str">
        <f>IFERROR(WWWW[[#This Row],['# of Water passed at source]]/WWWW[[#This Row],['# of Water tested at source]],"no test")</f>
        <v>no test</v>
      </c>
      <c r="AX108" s="211" t="str">
        <f>IFERROR(WWWW[[#This Row],['# of Water passed at HH]]/WWWW[[#This Row],['# of Water tested at HH]],"no test")</f>
        <v>no test</v>
      </c>
      <c r="AY108" s="210" t="str">
        <f>IF(AND(WWWW[[#This Row],[%of Water samples which passed at water source]]="no test",WWWW[[#This Row],[%Water samples which passed at HH]]="no test"),"No Test","Tested")</f>
        <v>No Test</v>
      </c>
      <c r="AZ10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0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08" s="211">
        <f>IF(WWWW[[#This Row],[Location Type 1]]="Village",WWWW[[#This Row],[Access to safe drinking water for Village]],WWWW[[#This Row],[Access to safe drinking water for Camp]])</f>
        <v>0</v>
      </c>
      <c r="BC108" s="209">
        <f>WWWW[[#This Row],[%Equitable and continuous access to sufficient quantity of safe drinking water]]*WWWW[[#This Row],[Total PoP ]]</f>
        <v>0</v>
      </c>
      <c r="BD108" s="211">
        <f>IF((WWWW[[#This Row],['# Existing protected/fenced ponds ]]*250)/WWWW[[#This Row],[Total PoP ]]&gt;1,1,WWWW[[#This Row],['# Existing protected/fenced ponds ]]*250/WWWW[[#This Row],[Total PoP ]])</f>
        <v>0</v>
      </c>
      <c r="BE108" s="209">
        <f>WWWW[[#This Row],[Access to unimproved water points]]*WWWW[[#This Row],[Total PoP ]]</f>
        <v>0</v>
      </c>
      <c r="BF10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0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08" s="209">
        <f>WWWW[[#This Row],['#people Equitable and continuous access to sufficient quantity of domestic water borehole n ponds_2]]/500</f>
        <v>0</v>
      </c>
      <c r="BI108" s="208">
        <f>1-WWWW[[#This Row],[%Equitable and continuous access to sufficient quantity of domestic water borehole n ponds]]</f>
        <v>1</v>
      </c>
      <c r="BJ108" s="209">
        <f>WWWW[[#This Row],[%equitable and continuous access to sufficient quantity of safe drinking and domestic water''s GAP]]*WWWW[[#This Row],[Total PoP ]]</f>
        <v>1691</v>
      </c>
      <c r="BK108" s="210">
        <f>IF(WWWW[[#This Row],[Total required water points]]-WWWW[[#This Row],['#Water points coverage]]&lt;0,0,WWWW[[#This Row],[Total required water points]]-WWWW[[#This Row],['#Water points coverage]])</f>
        <v>3</v>
      </c>
      <c r="BL108" s="210">
        <f>ROUND(IF(WWWW[[#This Row],[Total PoP ]]&lt;500,1,WWWW[[#This Row],[Total PoP ]]/500),0)</f>
        <v>3</v>
      </c>
      <c r="BM108" s="210">
        <f>WWWW[[#This Row],['# Existing functional latrines]]+WWWW[[#This Row],['# Existing latrines dysfunctional]]</f>
        <v>0</v>
      </c>
      <c r="BN10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08" s="352">
        <f>WWWW[[#This Row],[% people access to functioning Latrine]]*WWWW[[#This Row],[Total PoP ]]</f>
        <v>0</v>
      </c>
      <c r="BP10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08" s="209">
        <f>IF(WWWW[[#This Row],[Total required Latrines]]-WWWW[[#This Row],[Total '# of latrine]]&lt;0,0,WWWW[[#This Row],[Total required Latrines]]-WWWW[[#This Row],[Total '# of latrine]])</f>
        <v>85</v>
      </c>
      <c r="BR108" s="210">
        <f>ROUND(IF(WWWW[[#This Row],[Location Type 1]]="camp",WWWW[[#This Row],[Total PoP ]]/20,WWWW[[#This Row],[Total PoP ]]/6),0)</f>
        <v>85</v>
      </c>
      <c r="BS108" s="212">
        <f>IF(OR(WWWW[[#This Row],['# Existing latrines dysfunctional]]="",WWWW[[#This Row],['# Existing latrines dysfunctional]]=0),0,WWWW[[#This Row],['# Existing latrines dysfunctional]]/WWWW[[#This Row],[Total '# of latrine]])</f>
        <v>0</v>
      </c>
      <c r="BT10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8" s="209">
        <f>IF(500*WWWW[[#This Row],['# Hygiene Promoters ]]&gt;WWWW[[#This Row],[Total PoP ]],WWWW[[#This Row],[Total PoP ]],500*WWWW[[#This Row],['# Hygiene Promoters ]])</f>
        <v>0</v>
      </c>
      <c r="BV108" s="209">
        <f>IF(WWWW[[#This Row],[% of HH with access to Sanitary Pad]]&gt;=100%,1,0)</f>
        <v>0</v>
      </c>
      <c r="BW108" s="209">
        <f>IF(WWWW[[#This Row],[Total PoP ]]=0,0,IF(WWWW[[#This Row],['# Hygiene Promoters ]]=0,0,IF(WWWW[[#This Row],[Location Type 1]]="Village",IF(WWWW[[#This Row],[Total PoP ]]/WWWW[[#This Row],['# Hygiene Promoters ]]&lt;1000,1,0),IF(WWWW[[#This Row],[Total PoP ]]/WWWW[[#This Row],['# Hygiene Promoters ]]&lt;600,1,0))))</f>
        <v>0</v>
      </c>
      <c r="BX108" s="209">
        <f>IF(WWWW[[#This Row],[%HH with access to soap]]&gt;=100%,1,0)</f>
        <v>0</v>
      </c>
      <c r="BY108" s="209">
        <f>IF(WWWW[[#This Row],[% of HHs with access to Sanitary pad more than '#%]]+WWWW[[#This Row],[Ratio of Hyiene promoters to people less than '#]]+WWWW[[#This Row],[% of HHs with access to soap more than '#%]]&gt;=2,WWWW[[#This Row],[Total PoP ]],0)</f>
        <v>0</v>
      </c>
      <c r="BZ108" s="208">
        <f>WWWW[[#This Row],[People adopt basic personal and community hygiene practices]]/WWWW[[#This Row],[Total PoP ]]</f>
        <v>0</v>
      </c>
      <c r="CA108" s="212">
        <f>1-WWWW[[#This Row],[Hygiene Coverage%]]</f>
        <v>1</v>
      </c>
      <c r="CB108" s="211">
        <f>WWWW[[#This Row],['# people reached by regular dedicated hygiene promotion_5]]/WWWW[[#This Row],[Total PoP ]]</f>
        <v>0</v>
      </c>
      <c r="CC108" s="211">
        <f>IF(WWWW[[#This Row],['# HH received soaps]]/WWWW[[#This Row],[Total HH]]&gt;1,1,WWWW[[#This Row],['# HH received soaps]]/WWWW[[#This Row],[Total HH]])</f>
        <v>0</v>
      </c>
      <c r="CD108" s="211">
        <f>IF(WWWW[[#This Row],['# HH received Sanitary Pads]]/WWWW[[#This Row],[Total HH]]&gt;1,1,WWWW[[#This Row],['# HH received Sanitary Pads]]/WWWW[[#This Row],[Total HH]])</f>
        <v>0</v>
      </c>
      <c r="CE108" s="210">
        <f>WWWW[[#This Row],['# HH received soaps]]*5</f>
        <v>0</v>
      </c>
      <c r="CF108" s="210">
        <f>WWWW[[#This Row],['# HH received Sanitary Pads]]*5</f>
        <v>0</v>
      </c>
      <c r="CG108" s="210">
        <f>IF(WWWW[[#This Row],['# People with access to soap]]&gt;WWWW[[#This Row],['# People with access to Sanity Pads]],WWWW[[#This Row],['# People with access to soap]],WWWW[[#This Row],['# People with access to Sanity Pads]])</f>
        <v>0</v>
      </c>
      <c r="CH108" s="209">
        <f>WWWW[[#This Row],[Total HH]]*WWWW[[#This Row],[%HHs with access to functional hand washing stations]]</f>
        <v>0</v>
      </c>
      <c r="CI108" s="699">
        <f>VLOOKUP(WWWW[[#This Row],[Site Name]],SiteDB6[[Site Name]:[CCCM Management]],6,FALSE)</f>
        <v>0</v>
      </c>
      <c r="CJ108" s="699" t="str">
        <f>VLOOKUP(WWWW[[#This Row],[Site Name]],SiteDB6[[Site Name]:[CCCM Focal Agency]],7,FALSE)</f>
        <v>uncovered</v>
      </c>
      <c r="CK108" s="699" t="str">
        <f>VLOOKUP(WWWW[[#This Row],[Site Name]],SiteDB6[[Site Name]:[Location Type]],8,FALSE)</f>
        <v>Camp</v>
      </c>
      <c r="CL108" s="699" t="str">
        <f>VLOOKUP(WWWW[[#This Row],[Site Name]],SiteDB6[[Site Name]:[Location Type 1]],9,FALSE)</f>
        <v>Camp</v>
      </c>
      <c r="CM108" s="699" t="str">
        <f>VLOOKUP(WWWW[[#This Row],[Site Name]],SiteDB6[[Site Name]:[Type of Accommodation]],10,FALSE)</f>
        <v>Host Families</v>
      </c>
      <c r="CN108" s="699" t="str">
        <f>VLOOKUP(WWWW[[#This Row],[Site Name]],SiteDB6[[Site Name]:[Ethnic or GCA/NGCA]],11,FALSE)</f>
        <v>GCA</v>
      </c>
      <c r="CO108" s="699">
        <f>VLOOKUP(WWWW[[#This Row],[Site Name]],SiteDB6[[Site Name]:[Lat]],12,FALSE)</f>
        <v>0</v>
      </c>
      <c r="CP108" s="699">
        <f>VLOOKUP(WWWW[[#This Row],[Site Name]],SiteDB6[[Site Name]:[Long]],13,FALSE)</f>
        <v>0</v>
      </c>
      <c r="CQ108" s="699" t="str">
        <f>VLOOKUP(WWWW[[#This Row],[Site Name]],SiteDB6[[Site Name]:[Pcode]],3,FALSE)</f>
        <v>MMR001CMP147</v>
      </c>
      <c r="CR108" s="660" t="str">
        <f t="shared" si="1"/>
        <v>Notcovered</v>
      </c>
      <c r="CS108" s="660"/>
      <c r="CT108" s="24"/>
      <c r="CU108" s="24"/>
      <c r="CV108" s="24"/>
    </row>
    <row r="109" spans="1:100" ht="15.75" customHeight="1" x14ac:dyDescent="0.25">
      <c r="A109" s="833" t="s">
        <v>3206</v>
      </c>
      <c r="B109" s="206" t="s">
        <v>287</v>
      </c>
      <c r="C109" s="206" t="s">
        <v>44</v>
      </c>
      <c r="D109" s="206" t="s">
        <v>305</v>
      </c>
      <c r="E109" s="206" t="s">
        <v>2807</v>
      </c>
      <c r="F109" s="206">
        <v>51</v>
      </c>
      <c r="G109" s="209">
        <v>252</v>
      </c>
      <c r="H109" s="206"/>
      <c r="I109" s="206"/>
      <c r="J109" s="207"/>
      <c r="K109" s="206"/>
      <c r="L109" s="206"/>
      <c r="M109" s="208"/>
      <c r="N109" s="208"/>
      <c r="O109" s="316"/>
      <c r="P109" s="317"/>
      <c r="Q109" s="317"/>
      <c r="R109" s="318"/>
      <c r="S109" s="318"/>
      <c r="T109" s="318"/>
      <c r="U109" s="318"/>
      <c r="V109" s="318"/>
      <c r="W109" s="318"/>
      <c r="X109" s="318"/>
      <c r="Y109" s="318"/>
      <c r="Z109" s="318"/>
      <c r="AA109" s="310"/>
      <c r="AB109" s="310"/>
      <c r="AC109" s="66"/>
      <c r="AD109" s="66"/>
      <c r="AE109" s="310"/>
      <c r="AF109" s="310"/>
      <c r="AG109" s="311"/>
      <c r="AH109" s="311"/>
      <c r="AI109" s="310"/>
      <c r="AJ109" s="310"/>
      <c r="AK109" s="841"/>
      <c r="AL109" s="842"/>
      <c r="AM109" s="842"/>
      <c r="AN109" s="863"/>
      <c r="AO109" s="863"/>
      <c r="AP109" s="838"/>
      <c r="AQ109" s="843"/>
      <c r="AR109" s="843"/>
      <c r="AS109" s="843"/>
      <c r="AT109" s="843"/>
      <c r="AU109" s="843"/>
      <c r="AV109" s="844"/>
      <c r="AW109" s="208" t="str">
        <f>IFERROR(WWWW[[#This Row],['# of Water passed at source]]/WWWW[[#This Row],['# of Water tested at source]],"no test")</f>
        <v>no test</v>
      </c>
      <c r="AX109" s="211" t="str">
        <f>IFERROR(WWWW[[#This Row],['# of Water passed at HH]]/WWWW[[#This Row],['# of Water tested at HH]],"no test")</f>
        <v>no test</v>
      </c>
      <c r="AY109" s="210" t="str">
        <f>IF(AND(WWWW[[#This Row],[%of Water samples which passed at water source]]="no test",WWWW[[#This Row],[%Water samples which passed at HH]]="no test"),"No Test","Tested")</f>
        <v>No Test</v>
      </c>
      <c r="AZ10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0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09" s="211">
        <f>IF(WWWW[[#This Row],[Location Type 1]]="Village",WWWW[[#This Row],[Access to safe drinking water for Village]],WWWW[[#This Row],[Access to safe drinking water for Camp]])</f>
        <v>0</v>
      </c>
      <c r="BC109" s="209">
        <f>WWWW[[#This Row],[%Equitable and continuous access to sufficient quantity of safe drinking water]]*WWWW[[#This Row],[Total PoP ]]</f>
        <v>0</v>
      </c>
      <c r="BD109" s="211">
        <f>IF((WWWW[[#This Row],['# Existing protected/fenced ponds ]]*250)/WWWW[[#This Row],[Total PoP ]]&gt;1,1,WWWW[[#This Row],['# Existing protected/fenced ponds ]]*250/WWWW[[#This Row],[Total PoP ]])</f>
        <v>0</v>
      </c>
      <c r="BE109" s="209">
        <f>WWWW[[#This Row],[Access to unimproved water points]]*WWWW[[#This Row],[Total PoP ]]</f>
        <v>0</v>
      </c>
      <c r="BF10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0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09" s="209">
        <f>WWWW[[#This Row],['#people Equitable and continuous access to sufficient quantity of domestic water borehole n ponds_2]]/500</f>
        <v>0</v>
      </c>
      <c r="BI109" s="208">
        <f>1-WWWW[[#This Row],[%Equitable and continuous access to sufficient quantity of domestic water borehole n ponds]]</f>
        <v>1</v>
      </c>
      <c r="BJ109" s="209">
        <f>WWWW[[#This Row],[%equitable and continuous access to sufficient quantity of safe drinking and domestic water''s GAP]]*WWWW[[#This Row],[Total PoP ]]</f>
        <v>252</v>
      </c>
      <c r="BK109" s="210">
        <f>IF(WWWW[[#This Row],[Total required water points]]-WWWW[[#This Row],['#Water points coverage]]&lt;0,0,WWWW[[#This Row],[Total required water points]]-WWWW[[#This Row],['#Water points coverage]])</f>
        <v>1</v>
      </c>
      <c r="BL109" s="210">
        <f>ROUND(IF(WWWW[[#This Row],[Total PoP ]]&lt;500,1,WWWW[[#This Row],[Total PoP ]]/500),0)</f>
        <v>1</v>
      </c>
      <c r="BM109" s="210">
        <f>WWWW[[#This Row],['# Existing functional latrines]]+WWWW[[#This Row],['# Existing latrines dysfunctional]]</f>
        <v>0</v>
      </c>
      <c r="BN10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09" s="352">
        <f>WWWW[[#This Row],[% people access to functioning Latrine]]*WWWW[[#This Row],[Total PoP ]]</f>
        <v>0</v>
      </c>
      <c r="BP10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09" s="209">
        <f>IF(WWWW[[#This Row],[Total required Latrines]]-WWWW[[#This Row],[Total '# of latrine]]&lt;0,0,WWWW[[#This Row],[Total required Latrines]]-WWWW[[#This Row],[Total '# of latrine]])</f>
        <v>13</v>
      </c>
      <c r="BR109" s="210">
        <f>ROUND(IF(WWWW[[#This Row],[Location Type 1]]="camp",WWWW[[#This Row],[Total PoP ]]/20,WWWW[[#This Row],[Total PoP ]]/6),0)</f>
        <v>13</v>
      </c>
      <c r="BS109" s="212">
        <f>IF(OR(WWWW[[#This Row],['# Existing latrines dysfunctional]]="",WWWW[[#This Row],['# Existing latrines dysfunctional]]=0),0,WWWW[[#This Row],['# Existing latrines dysfunctional]]/WWWW[[#This Row],[Total '# of latrine]])</f>
        <v>0</v>
      </c>
      <c r="BT10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09" s="209">
        <f>IF(500*WWWW[[#This Row],['# Hygiene Promoters ]]&gt;WWWW[[#This Row],[Total PoP ]],WWWW[[#This Row],[Total PoP ]],500*WWWW[[#This Row],['# Hygiene Promoters ]])</f>
        <v>0</v>
      </c>
      <c r="BV109" s="209">
        <f>IF(WWWW[[#This Row],[% of HH with access to Sanitary Pad]]&gt;=100%,1,0)</f>
        <v>0</v>
      </c>
      <c r="BW109" s="209">
        <f>IF(WWWW[[#This Row],[Total PoP ]]=0,0,IF(WWWW[[#This Row],['# Hygiene Promoters ]]=0,0,IF(WWWW[[#This Row],[Location Type 1]]="Village",IF(WWWW[[#This Row],[Total PoP ]]/WWWW[[#This Row],['# Hygiene Promoters ]]&lt;1000,1,0),IF(WWWW[[#This Row],[Total PoP ]]/WWWW[[#This Row],['# Hygiene Promoters ]]&lt;600,1,0))))</f>
        <v>0</v>
      </c>
      <c r="BX109" s="209">
        <f>IF(WWWW[[#This Row],[%HH with access to soap]]&gt;=100%,1,0)</f>
        <v>0</v>
      </c>
      <c r="BY109" s="209">
        <f>IF(WWWW[[#This Row],[% of HHs with access to Sanitary pad more than '#%]]+WWWW[[#This Row],[Ratio of Hyiene promoters to people less than '#]]+WWWW[[#This Row],[% of HHs with access to soap more than '#%]]&gt;=2,WWWW[[#This Row],[Total PoP ]],0)</f>
        <v>0</v>
      </c>
      <c r="BZ109" s="208">
        <f>WWWW[[#This Row],[People adopt basic personal and community hygiene practices]]/WWWW[[#This Row],[Total PoP ]]</f>
        <v>0</v>
      </c>
      <c r="CA109" s="212">
        <f>1-WWWW[[#This Row],[Hygiene Coverage%]]</f>
        <v>1</v>
      </c>
      <c r="CB109" s="211">
        <f>WWWW[[#This Row],['# people reached by regular dedicated hygiene promotion_5]]/WWWW[[#This Row],[Total PoP ]]</f>
        <v>0</v>
      </c>
      <c r="CC109" s="211">
        <f>IF(WWWW[[#This Row],['# HH received soaps]]/WWWW[[#This Row],[Total HH]]&gt;1,1,WWWW[[#This Row],['# HH received soaps]]/WWWW[[#This Row],[Total HH]])</f>
        <v>0</v>
      </c>
      <c r="CD109" s="211">
        <f>IF(WWWW[[#This Row],['# HH received Sanitary Pads]]/WWWW[[#This Row],[Total HH]]&gt;1,1,WWWW[[#This Row],['# HH received Sanitary Pads]]/WWWW[[#This Row],[Total HH]])</f>
        <v>0</v>
      </c>
      <c r="CE109" s="210">
        <f>WWWW[[#This Row],['# HH received soaps]]*5</f>
        <v>0</v>
      </c>
      <c r="CF109" s="210">
        <f>WWWW[[#This Row],['# HH received Sanitary Pads]]*5</f>
        <v>0</v>
      </c>
      <c r="CG109" s="210">
        <f>IF(WWWW[[#This Row],['# People with access to soap]]&gt;WWWW[[#This Row],['# People with access to Sanity Pads]],WWWW[[#This Row],['# People with access to soap]],WWWW[[#This Row],['# People with access to Sanity Pads]])</f>
        <v>0</v>
      </c>
      <c r="CH109" s="209">
        <f>WWWW[[#This Row],[Total HH]]*WWWW[[#This Row],[%HHs with access to functional hand washing stations]]</f>
        <v>0</v>
      </c>
      <c r="CI109" s="699">
        <f>VLOOKUP(WWWW[[#This Row],[Site Name]],SiteDB6[[Site Name]:[CCCM Management]],6,FALSE)</f>
        <v>0</v>
      </c>
      <c r="CJ109" s="699">
        <f>VLOOKUP(WWWW[[#This Row],[Site Name]],SiteDB6[[Site Name]:[CCCM Focal Agency]],7,FALSE)</f>
        <v>0</v>
      </c>
      <c r="CK109" s="699" t="str">
        <f>VLOOKUP(WWWW[[#This Row],[Site Name]],SiteDB6[[Site Name]:[Location Type]],8,FALSE)</f>
        <v>Camp_not registered</v>
      </c>
      <c r="CL109" s="699" t="str">
        <f>VLOOKUP(WWWW[[#This Row],[Site Name]],SiteDB6[[Site Name]:[Location Type 1]],9,FALSE)</f>
        <v>Camp</v>
      </c>
      <c r="CM109" s="699" t="str">
        <f>VLOOKUP(WWWW[[#This Row],[Site Name]],SiteDB6[[Site Name]:[Type of Accommodation]],10,FALSE)</f>
        <v>Camp like setting</v>
      </c>
      <c r="CN109" s="699" t="s">
        <v>949</v>
      </c>
      <c r="CO109" s="699">
        <f>VLOOKUP(WWWW[[#This Row],[Site Name]],SiteDB6[[Site Name]:[Lat]],12,FALSE)</f>
        <v>0</v>
      </c>
      <c r="CP109" s="699">
        <f>VLOOKUP(WWWW[[#This Row],[Site Name]],SiteDB6[[Site Name]:[Long]],13,FALSE)</f>
        <v>0</v>
      </c>
      <c r="CQ109" s="699">
        <f>VLOOKUP(WWWW[[#This Row],[Site Name]],SiteDB6[[Site Name]:[Pcode]],3,FALSE)</f>
        <v>0</v>
      </c>
      <c r="CR109" s="660" t="str">
        <f t="shared" si="1"/>
        <v>Covered</v>
      </c>
      <c r="CS109" s="660"/>
      <c r="CT109" s="24"/>
      <c r="CU109" s="24"/>
      <c r="CV109" s="24"/>
    </row>
    <row r="110" spans="1:100" ht="15.75" customHeight="1" x14ac:dyDescent="0.25">
      <c r="A110" s="833" t="s">
        <v>3206</v>
      </c>
      <c r="B110" s="206" t="s">
        <v>287</v>
      </c>
      <c r="C110" s="206" t="s">
        <v>44</v>
      </c>
      <c r="D110" s="206" t="s">
        <v>305</v>
      </c>
      <c r="E110" s="206" t="s">
        <v>309</v>
      </c>
      <c r="F110" s="206">
        <v>105</v>
      </c>
      <c r="G110" s="209">
        <v>578</v>
      </c>
      <c r="H110" s="206"/>
      <c r="I110" s="206" t="s">
        <v>290</v>
      </c>
      <c r="J110" s="207" t="s">
        <v>3253</v>
      </c>
      <c r="K110" s="206">
        <v>0</v>
      </c>
      <c r="L110" s="206" t="s">
        <v>48</v>
      </c>
      <c r="M110" s="208">
        <v>0.6</v>
      </c>
      <c r="N110" s="208">
        <v>0.5</v>
      </c>
      <c r="O110" s="316">
        <v>1</v>
      </c>
      <c r="P110" s="317">
        <v>1</v>
      </c>
      <c r="Q110" s="317">
        <v>4000</v>
      </c>
      <c r="R110" s="318">
        <v>0</v>
      </c>
      <c r="S110" s="318">
        <v>0</v>
      </c>
      <c r="T110" s="318"/>
      <c r="U110" s="318">
        <v>0</v>
      </c>
      <c r="V110" s="318">
        <v>0</v>
      </c>
      <c r="W110" s="318">
        <v>0</v>
      </c>
      <c r="X110" s="318">
        <v>0</v>
      </c>
      <c r="Y110" s="318">
        <v>0</v>
      </c>
      <c r="Z110" s="318"/>
      <c r="AA110" s="310">
        <v>8</v>
      </c>
      <c r="AB110" s="310">
        <v>0</v>
      </c>
      <c r="AC110" s="66">
        <v>0</v>
      </c>
      <c r="AD110" s="66"/>
      <c r="AE110" s="310">
        <v>0</v>
      </c>
      <c r="AF110" s="310" t="s">
        <v>283</v>
      </c>
      <c r="AG110" s="311" t="s">
        <v>283</v>
      </c>
      <c r="AH110" s="311"/>
      <c r="AI110" s="310"/>
      <c r="AJ110" s="310"/>
      <c r="AK110" s="841">
        <v>0.6</v>
      </c>
      <c r="AL110" s="842" t="s">
        <v>376</v>
      </c>
      <c r="AM110" s="842">
        <v>0</v>
      </c>
      <c r="AN110" s="863">
        <v>2</v>
      </c>
      <c r="AO110" s="863">
        <v>1</v>
      </c>
      <c r="AP110" s="838">
        <v>0</v>
      </c>
      <c r="AQ110" s="843">
        <v>0</v>
      </c>
      <c r="AR110" s="843"/>
      <c r="AS110" s="843"/>
      <c r="AT110" s="843"/>
      <c r="AU110" s="843"/>
      <c r="AV110" s="844"/>
      <c r="AW110" s="208" t="str">
        <f>IFERROR(WWWW[[#This Row],['# of Water passed at source]]/WWWW[[#This Row],['# of Water tested at source]],"no test")</f>
        <v>no test</v>
      </c>
      <c r="AX110" s="211" t="str">
        <f>IFERROR(WWWW[[#This Row],['# of Water passed at HH]]/WWWW[[#This Row],['# of Water tested at HH]],"no test")</f>
        <v>no test</v>
      </c>
      <c r="AY110" s="210" t="str">
        <f>IF(AND(WWWW[[#This Row],[%of Water samples which passed at water source]]="no test",WWWW[[#This Row],[%Water samples which passed at HH]]="no test"),"No Test","Tested")</f>
        <v>No Test</v>
      </c>
      <c r="AZ11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10" s="211">
        <f>IF(WWWW[[#This Row],[Location Type 1]]="Village",WWWW[[#This Row],[Access to safe drinking water for Village]],WWWW[[#This Row],[Access to safe drinking water for Camp]])</f>
        <v>1</v>
      </c>
      <c r="BC110" s="209">
        <f>WWWW[[#This Row],[%Equitable and continuous access to sufficient quantity of safe drinking water]]*WWWW[[#This Row],[Total PoP ]]</f>
        <v>578</v>
      </c>
      <c r="BD110" s="211">
        <f>IF((WWWW[[#This Row],['# Existing protected/fenced ponds ]]*250)/WWWW[[#This Row],[Total PoP ]]&gt;1,1,WWWW[[#This Row],['# Existing protected/fenced ponds ]]*250/WWWW[[#This Row],[Total PoP ]])</f>
        <v>0</v>
      </c>
      <c r="BE110" s="209">
        <f>WWWW[[#This Row],[Access to unimproved water points]]*WWWW[[#This Row],[Total PoP ]]</f>
        <v>0</v>
      </c>
      <c r="BF11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578</v>
      </c>
      <c r="BH110" s="209">
        <f>WWWW[[#This Row],['#people Equitable and continuous access to sufficient quantity of domestic water borehole n ponds_2]]/500</f>
        <v>1.1559999999999999</v>
      </c>
      <c r="BI110" s="208">
        <f>1-WWWW[[#This Row],[%Equitable and continuous access to sufficient quantity of domestic water borehole n ponds]]</f>
        <v>0</v>
      </c>
      <c r="BJ110" s="209">
        <f>WWWW[[#This Row],[%equitable and continuous access to sufficient quantity of safe drinking and domestic water''s GAP]]*WWWW[[#This Row],[Total PoP ]]</f>
        <v>0</v>
      </c>
      <c r="BK110" s="210">
        <f>IF(WWWW[[#This Row],[Total required water points]]-WWWW[[#This Row],['#Water points coverage]]&lt;0,0,WWWW[[#This Row],[Total required water points]]-WWWW[[#This Row],['#Water points coverage]])</f>
        <v>0</v>
      </c>
      <c r="BL110" s="210">
        <f>ROUND(IF(WWWW[[#This Row],[Total PoP ]]&lt;500,1,WWWW[[#This Row],[Total PoP ]]/500),0)</f>
        <v>1</v>
      </c>
      <c r="BM110" s="210">
        <f>WWWW[[#This Row],['# Existing functional latrines]]+WWWW[[#This Row],['# Existing latrines dysfunctional]]</f>
        <v>8</v>
      </c>
      <c r="BN11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0.27681660899653981</v>
      </c>
      <c r="BO110" s="352">
        <f>WWWW[[#This Row],[% people access to functioning Latrine]]*WWWW[[#This Row],[Total PoP ]]</f>
        <v>160</v>
      </c>
      <c r="BP11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0.72664359861591699</v>
      </c>
      <c r="BQ110" s="209">
        <f>IF(WWWW[[#This Row],[Total required Latrines]]-WWWW[[#This Row],[Total '# of latrine]]&lt;0,0,WWWW[[#This Row],[Total required Latrines]]-WWWW[[#This Row],[Total '# of latrine]])</f>
        <v>21</v>
      </c>
      <c r="BR110" s="210">
        <f>ROUND(IF(WWWW[[#This Row],[Location Type 1]]="camp",WWWW[[#This Row],[Total PoP ]]/20,WWWW[[#This Row],[Total PoP ]]/6),0)</f>
        <v>29</v>
      </c>
      <c r="BS110" s="212">
        <f>IF(OR(WWWW[[#This Row],['# Existing latrines dysfunctional]]="",WWWW[[#This Row],['# Existing latrines dysfunctional]]=0),0,WWWW[[#This Row],['# Existing latrines dysfunctional]]/WWWW[[#This Row],[Total '# of latrine]])</f>
        <v>0</v>
      </c>
      <c r="BT11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10" s="209">
        <f>IF(500*WWWW[[#This Row],['# Hygiene Promoters ]]&gt;WWWW[[#This Row],[Total PoP ]],WWWW[[#This Row],[Total PoP ]],500*WWWW[[#This Row],['# Hygiene Promoters ]])</f>
        <v>500</v>
      </c>
      <c r="BV110" s="209">
        <f>IF(WWWW[[#This Row],[% of HH with access to Sanitary Pad]]&gt;=100%,1,0)</f>
        <v>0</v>
      </c>
      <c r="BW110" s="209">
        <f>IF(WWWW[[#This Row],[Total PoP ]]=0,0,IF(WWWW[[#This Row],['# Hygiene Promoters ]]=0,0,IF(WWWW[[#This Row],[Location Type 1]]="Village",IF(WWWW[[#This Row],[Total PoP ]]/WWWW[[#This Row],['# Hygiene Promoters ]]&lt;1000,1,0),IF(WWWW[[#This Row],[Total PoP ]]/WWWW[[#This Row],['# Hygiene Promoters ]]&lt;600,1,0))))</f>
        <v>1</v>
      </c>
      <c r="BX110" s="209">
        <f>IF(WWWW[[#This Row],[%HH with access to soap]]&gt;=100%,1,0)</f>
        <v>0</v>
      </c>
      <c r="BY110" s="209">
        <f>IF(WWWW[[#This Row],[% of HHs with access to Sanitary pad more than '#%]]+WWWW[[#This Row],[Ratio of Hyiene promoters to people less than '#]]+WWWW[[#This Row],[% of HHs with access to soap more than '#%]]&gt;=2,WWWW[[#This Row],[Total PoP ]],0)</f>
        <v>0</v>
      </c>
      <c r="BZ110" s="208">
        <f>WWWW[[#This Row],[People adopt basic personal and community hygiene practices]]/WWWW[[#This Row],[Total PoP ]]</f>
        <v>0</v>
      </c>
      <c r="CA110" s="212">
        <f>1-WWWW[[#This Row],[Hygiene Coverage%]]</f>
        <v>1</v>
      </c>
      <c r="CB110" s="211">
        <f>WWWW[[#This Row],['# people reached by regular dedicated hygiene promotion_5]]/WWWW[[#This Row],[Total PoP ]]</f>
        <v>0.86505190311418689</v>
      </c>
      <c r="CC110" s="211">
        <f>IF(WWWW[[#This Row],['# HH received soaps]]/WWWW[[#This Row],[Total HH]]&gt;1,1,WWWW[[#This Row],['# HH received soaps]]/WWWW[[#This Row],[Total HH]])</f>
        <v>0</v>
      </c>
      <c r="CD110" s="211">
        <f>IF(WWWW[[#This Row],['# HH received Sanitary Pads]]/WWWW[[#This Row],[Total HH]]&gt;1,1,WWWW[[#This Row],['# HH received Sanitary Pads]]/WWWW[[#This Row],[Total HH]])</f>
        <v>0</v>
      </c>
      <c r="CE110" s="210">
        <f>WWWW[[#This Row],['# HH received soaps]]*5</f>
        <v>0</v>
      </c>
      <c r="CF110" s="210">
        <f>WWWW[[#This Row],['# HH received Sanitary Pads]]*5</f>
        <v>0</v>
      </c>
      <c r="CG110" s="210">
        <f>IF(WWWW[[#This Row],['# People with access to soap]]&gt;WWWW[[#This Row],['# People with access to Sanity Pads]],WWWW[[#This Row],['# People with access to soap]],WWWW[[#This Row],['# People with access to Sanity Pads]])</f>
        <v>0</v>
      </c>
      <c r="CH110" s="209">
        <f>WWWW[[#This Row],[Total HH]]*WWWW[[#This Row],[%HHs with access to functional hand washing stations]]</f>
        <v>63</v>
      </c>
      <c r="CI110" s="699" t="str">
        <f>VLOOKUP(WWWW[[#This Row],[Site Name]],SiteDB6[[Site Name]:[CCCM Management]],6,FALSE)</f>
        <v>Yes</v>
      </c>
      <c r="CJ110" s="699" t="str">
        <f>VLOOKUP(WWWW[[#This Row],[Site Name]],SiteDB6[[Site Name]:[CCCM Focal Agency]],7,FALSE)</f>
        <v>KBC</v>
      </c>
      <c r="CK110" s="699" t="str">
        <f>VLOOKUP(WWWW[[#This Row],[Site Name]],SiteDB6[[Site Name]:[Location Type]],8,FALSE)</f>
        <v>Camp</v>
      </c>
      <c r="CL110" s="699" t="str">
        <f>VLOOKUP(WWWW[[#This Row],[Site Name]],SiteDB6[[Site Name]:[Location Type 1]],9,FALSE)</f>
        <v>Camp</v>
      </c>
      <c r="CM110" s="699" t="str">
        <f>VLOOKUP(WWWW[[#This Row],[Site Name]],SiteDB6[[Site Name]:[Type of Accommodation]],10,FALSE)</f>
        <v>Camp</v>
      </c>
      <c r="CN110" s="699" t="str">
        <f>VLOOKUP(WWWW[[#This Row],[Site Name]],SiteDB6[[Site Name]:[Ethnic or GCA/NGCA]],11,FALSE)</f>
        <v>GCA</v>
      </c>
      <c r="CO110" s="699">
        <f>VLOOKUP(WWWW[[#This Row],[Site Name]],SiteDB6[[Site Name]:[Lat]],12,FALSE)</f>
        <v>25.362420757575801</v>
      </c>
      <c r="CP110" s="699">
        <f>VLOOKUP(WWWW[[#This Row],[Site Name]],SiteDB6[[Site Name]:[Long]],13,FALSE)</f>
        <v>97.409035000000003</v>
      </c>
      <c r="CQ110" s="699" t="str">
        <f>VLOOKUP(WWWW[[#This Row],[Site Name]],SiteDB6[[Site Name]:[Pcode]],3,FALSE)</f>
        <v>MMR001CMP015</v>
      </c>
      <c r="CR110" s="660" t="str">
        <f t="shared" si="1"/>
        <v>Covered</v>
      </c>
      <c r="CS110" s="660"/>
      <c r="CT110" s="24"/>
      <c r="CU110" s="24"/>
      <c r="CV110" s="24"/>
    </row>
    <row r="111" spans="1:100" ht="15.75" customHeight="1" x14ac:dyDescent="0.25">
      <c r="A111" s="833" t="s">
        <v>3206</v>
      </c>
      <c r="B111" s="206" t="s">
        <v>287</v>
      </c>
      <c r="C111" s="206" t="s">
        <v>44</v>
      </c>
      <c r="D111" s="206" t="s">
        <v>305</v>
      </c>
      <c r="E111" s="206" t="s">
        <v>310</v>
      </c>
      <c r="F111" s="206">
        <v>138</v>
      </c>
      <c r="G111" s="209">
        <v>697</v>
      </c>
      <c r="H111" s="206"/>
      <c r="I111" s="206" t="s">
        <v>290</v>
      </c>
      <c r="J111" s="207" t="s">
        <v>3253</v>
      </c>
      <c r="K111" s="206">
        <v>0</v>
      </c>
      <c r="L111" s="206" t="s">
        <v>48</v>
      </c>
      <c r="M111" s="208">
        <v>0.6</v>
      </c>
      <c r="N111" s="208">
        <v>0.5</v>
      </c>
      <c r="O111" s="316">
        <v>0</v>
      </c>
      <c r="P111" s="317">
        <v>2</v>
      </c>
      <c r="Q111" s="317">
        <v>2000</v>
      </c>
      <c r="R111" s="318">
        <v>0</v>
      </c>
      <c r="S111" s="318">
        <v>0</v>
      </c>
      <c r="T111" s="318"/>
      <c r="U111" s="318">
        <v>0</v>
      </c>
      <c r="V111" s="318">
        <v>0</v>
      </c>
      <c r="W111" s="318">
        <v>0</v>
      </c>
      <c r="X111" s="318">
        <v>0</v>
      </c>
      <c r="Y111" s="318">
        <v>0</v>
      </c>
      <c r="Z111" s="318"/>
      <c r="AA111" s="310">
        <v>32</v>
      </c>
      <c r="AB111" s="310">
        <v>0</v>
      </c>
      <c r="AC111" s="66">
        <v>0</v>
      </c>
      <c r="AD111" s="66"/>
      <c r="AE111" s="310">
        <v>0</v>
      </c>
      <c r="AF111" s="310" t="s">
        <v>283</v>
      </c>
      <c r="AG111" s="311" t="s">
        <v>283</v>
      </c>
      <c r="AH111" s="311"/>
      <c r="AI111" s="310"/>
      <c r="AJ111" s="310"/>
      <c r="AK111" s="841">
        <v>0.6</v>
      </c>
      <c r="AL111" s="842" t="s">
        <v>376</v>
      </c>
      <c r="AM111" s="842">
        <v>0</v>
      </c>
      <c r="AN111" s="863">
        <v>2</v>
      </c>
      <c r="AO111" s="863">
        <v>1</v>
      </c>
      <c r="AP111" s="838">
        <v>0</v>
      </c>
      <c r="AQ111" s="843">
        <v>0</v>
      </c>
      <c r="AR111" s="843"/>
      <c r="AS111" s="843"/>
      <c r="AT111" s="843"/>
      <c r="AU111" s="843"/>
      <c r="AV111" s="844"/>
      <c r="AW111" s="208" t="str">
        <f>IFERROR(WWWW[[#This Row],['# of Water passed at source]]/WWWW[[#This Row],['# of Water tested at source]],"no test")</f>
        <v>no test</v>
      </c>
      <c r="AX111" s="211" t="str">
        <f>IFERROR(WWWW[[#This Row],['# of Water passed at HH]]/WWWW[[#This Row],['# of Water tested at HH]],"no test")</f>
        <v>no test</v>
      </c>
      <c r="AY111" s="210" t="str">
        <f>IF(AND(WWWW[[#This Row],[%of Water samples which passed at water source]]="no test",WWWW[[#This Row],[%Water samples which passed at HH]]="no test"),"No Test","Tested")</f>
        <v>No Test</v>
      </c>
      <c r="AZ11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0.90865614538498329</v>
      </c>
      <c r="BB111" s="211">
        <f>IF(WWWW[[#This Row],[Location Type 1]]="Village",WWWW[[#This Row],[Access to safe drinking water for Village]],WWWW[[#This Row],[Access to safe drinking water for Camp]])</f>
        <v>1</v>
      </c>
      <c r="BC111" s="209">
        <f>WWWW[[#This Row],[%Equitable and continuous access to sufficient quantity of safe drinking water]]*WWWW[[#This Row],[Total PoP ]]</f>
        <v>697</v>
      </c>
      <c r="BD111" s="211">
        <f>IF((WWWW[[#This Row],['# Existing protected/fenced ponds ]]*250)/WWWW[[#This Row],[Total PoP ]]&gt;1,1,WWWW[[#This Row],['# Existing protected/fenced ponds ]]*250/WWWW[[#This Row],[Total PoP ]])</f>
        <v>0</v>
      </c>
      <c r="BE111" s="209">
        <f>WWWW[[#This Row],[Access to unimproved water points]]*WWWW[[#This Row],[Total PoP ]]</f>
        <v>0</v>
      </c>
      <c r="BF11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697</v>
      </c>
      <c r="BH111" s="209">
        <f>WWWW[[#This Row],['#people Equitable and continuous access to sufficient quantity of domestic water borehole n ponds_2]]/500</f>
        <v>1.3939999999999999</v>
      </c>
      <c r="BI111" s="208">
        <f>1-WWWW[[#This Row],[%Equitable and continuous access to sufficient quantity of domestic water borehole n ponds]]</f>
        <v>0</v>
      </c>
      <c r="BJ111" s="209">
        <f>WWWW[[#This Row],[%equitable and continuous access to sufficient quantity of safe drinking and domestic water''s GAP]]*WWWW[[#This Row],[Total PoP ]]</f>
        <v>0</v>
      </c>
      <c r="BK111" s="210">
        <f>IF(WWWW[[#This Row],[Total required water points]]-WWWW[[#This Row],['#Water points coverage]]&lt;0,0,WWWW[[#This Row],[Total required water points]]-WWWW[[#This Row],['#Water points coverage]])</f>
        <v>0</v>
      </c>
      <c r="BL111" s="210">
        <f>ROUND(IF(WWWW[[#This Row],[Total PoP ]]&lt;500,1,WWWW[[#This Row],[Total PoP ]]/500),0)</f>
        <v>1</v>
      </c>
      <c r="BM111" s="210">
        <f>WWWW[[#This Row],['# Existing functional latrines]]+WWWW[[#This Row],['# Existing latrines dysfunctional]]</f>
        <v>32</v>
      </c>
      <c r="BN11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0.9182209469153515</v>
      </c>
      <c r="BO111" s="352">
        <f>WWWW[[#This Row],[% people access to functioning Latrine]]*WWWW[[#This Row],[Total PoP ]]</f>
        <v>640</v>
      </c>
      <c r="BP11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8.6083213773314196E-2</v>
      </c>
      <c r="BQ111" s="209">
        <f>IF(WWWW[[#This Row],[Total required Latrines]]-WWWW[[#This Row],[Total '# of latrine]]&lt;0,0,WWWW[[#This Row],[Total required Latrines]]-WWWW[[#This Row],[Total '# of latrine]])</f>
        <v>3</v>
      </c>
      <c r="BR111" s="210">
        <f>ROUND(IF(WWWW[[#This Row],[Location Type 1]]="camp",WWWW[[#This Row],[Total PoP ]]/20,WWWW[[#This Row],[Total PoP ]]/6),0)</f>
        <v>35</v>
      </c>
      <c r="BS111" s="212">
        <f>IF(OR(WWWW[[#This Row],['# Existing latrines dysfunctional]]="",WWWW[[#This Row],['# Existing latrines dysfunctional]]=0),0,WWWW[[#This Row],['# Existing latrines dysfunctional]]/WWWW[[#This Row],[Total '# of latrine]])</f>
        <v>0</v>
      </c>
      <c r="BT11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11" s="209">
        <f>IF(500*WWWW[[#This Row],['# Hygiene Promoters ]]&gt;WWWW[[#This Row],[Total PoP ]],WWWW[[#This Row],[Total PoP ]],500*WWWW[[#This Row],['# Hygiene Promoters ]])</f>
        <v>500</v>
      </c>
      <c r="BV111" s="209">
        <f>IF(WWWW[[#This Row],[% of HH with access to Sanitary Pad]]&gt;=100%,1,0)</f>
        <v>0</v>
      </c>
      <c r="BW111" s="209">
        <f>IF(WWWW[[#This Row],[Total PoP ]]=0,0,IF(WWWW[[#This Row],['# Hygiene Promoters ]]=0,0,IF(WWWW[[#This Row],[Location Type 1]]="Village",IF(WWWW[[#This Row],[Total PoP ]]/WWWW[[#This Row],['# Hygiene Promoters ]]&lt;1000,1,0),IF(WWWW[[#This Row],[Total PoP ]]/WWWW[[#This Row],['# Hygiene Promoters ]]&lt;600,1,0))))</f>
        <v>0</v>
      </c>
      <c r="BX111" s="209">
        <f>IF(WWWW[[#This Row],[%HH with access to soap]]&gt;=100%,1,0)</f>
        <v>0</v>
      </c>
      <c r="BY111" s="209">
        <f>IF(WWWW[[#This Row],[% of HHs with access to Sanitary pad more than '#%]]+WWWW[[#This Row],[Ratio of Hyiene promoters to people less than '#]]+WWWW[[#This Row],[% of HHs with access to soap more than '#%]]&gt;=2,WWWW[[#This Row],[Total PoP ]],0)</f>
        <v>0</v>
      </c>
      <c r="BZ111" s="208">
        <f>WWWW[[#This Row],[People adopt basic personal and community hygiene practices]]/WWWW[[#This Row],[Total PoP ]]</f>
        <v>0</v>
      </c>
      <c r="CA111" s="212">
        <f>1-WWWW[[#This Row],[Hygiene Coverage%]]</f>
        <v>1</v>
      </c>
      <c r="CB111" s="211">
        <f>WWWW[[#This Row],['# people reached by regular dedicated hygiene promotion_5]]/WWWW[[#This Row],[Total PoP ]]</f>
        <v>0.71736011477761841</v>
      </c>
      <c r="CC111" s="211">
        <f>IF(WWWW[[#This Row],['# HH received soaps]]/WWWW[[#This Row],[Total HH]]&gt;1,1,WWWW[[#This Row],['# HH received soaps]]/WWWW[[#This Row],[Total HH]])</f>
        <v>0</v>
      </c>
      <c r="CD111" s="211">
        <f>IF(WWWW[[#This Row],['# HH received Sanitary Pads]]/WWWW[[#This Row],[Total HH]]&gt;1,1,WWWW[[#This Row],['# HH received Sanitary Pads]]/WWWW[[#This Row],[Total HH]])</f>
        <v>0</v>
      </c>
      <c r="CE111" s="210">
        <f>WWWW[[#This Row],['# HH received soaps]]*5</f>
        <v>0</v>
      </c>
      <c r="CF111" s="210">
        <f>WWWW[[#This Row],['# HH received Sanitary Pads]]*5</f>
        <v>0</v>
      </c>
      <c r="CG111" s="210">
        <f>IF(WWWW[[#This Row],['# People with access to soap]]&gt;WWWW[[#This Row],['# People with access to Sanity Pads]],WWWW[[#This Row],['# People with access to soap]],WWWW[[#This Row],['# People with access to Sanity Pads]])</f>
        <v>0</v>
      </c>
      <c r="CH111" s="209">
        <f>WWWW[[#This Row],[Total HH]]*WWWW[[#This Row],[%HHs with access to functional hand washing stations]]</f>
        <v>82.8</v>
      </c>
      <c r="CI111" s="699" t="str">
        <f>VLOOKUP(WWWW[[#This Row],[Site Name]],SiteDB6[[Site Name]:[CCCM Management]],6,FALSE)</f>
        <v>Yes</v>
      </c>
      <c r="CJ111" s="699" t="str">
        <f>VLOOKUP(WWWW[[#This Row],[Site Name]],SiteDB6[[Site Name]:[CCCM Focal Agency]],7,FALSE)</f>
        <v>KBC</v>
      </c>
      <c r="CK111" s="699" t="str">
        <f>VLOOKUP(WWWW[[#This Row],[Site Name]],SiteDB6[[Site Name]:[Location Type]],8,FALSE)</f>
        <v>Camp</v>
      </c>
      <c r="CL111" s="699" t="str">
        <f>VLOOKUP(WWWW[[#This Row],[Site Name]],SiteDB6[[Site Name]:[Location Type 1]],9,FALSE)</f>
        <v>Camp</v>
      </c>
      <c r="CM111" s="699" t="str">
        <f>VLOOKUP(WWWW[[#This Row],[Site Name]],SiteDB6[[Site Name]:[Type of Accommodation]],10,FALSE)</f>
        <v>Camp</v>
      </c>
      <c r="CN111" s="699" t="str">
        <f>VLOOKUP(WWWW[[#This Row],[Site Name]],SiteDB6[[Site Name]:[Ethnic or GCA/NGCA]],11,FALSE)</f>
        <v>GCA</v>
      </c>
      <c r="CO111" s="699">
        <f>VLOOKUP(WWWW[[#This Row],[Site Name]],SiteDB6[[Site Name]:[Lat]],12,FALSE)</f>
        <v>25.3510167948718</v>
      </c>
      <c r="CP111" s="699">
        <f>VLOOKUP(WWWW[[#This Row],[Site Name]],SiteDB6[[Site Name]:[Long]],13,FALSE)</f>
        <v>97.403402307692303</v>
      </c>
      <c r="CQ111" s="699" t="str">
        <f>VLOOKUP(WWWW[[#This Row],[Site Name]],SiteDB6[[Site Name]:[Pcode]],3,FALSE)</f>
        <v>MMR001CMP014</v>
      </c>
      <c r="CR111" s="660" t="str">
        <f t="shared" si="1"/>
        <v>Covered</v>
      </c>
      <c r="CS111" s="660"/>
      <c r="CT111" s="24"/>
      <c r="CU111" s="24"/>
      <c r="CV111" s="24"/>
    </row>
    <row r="112" spans="1:100" ht="15.75" customHeight="1" x14ac:dyDescent="0.25">
      <c r="A112" s="833" t="s">
        <v>3206</v>
      </c>
      <c r="B112" s="206" t="s">
        <v>287</v>
      </c>
      <c r="C112" s="206" t="s">
        <v>44</v>
      </c>
      <c r="D112" s="206" t="s">
        <v>305</v>
      </c>
      <c r="E112" s="206" t="s">
        <v>311</v>
      </c>
      <c r="F112" s="206">
        <v>61</v>
      </c>
      <c r="G112" s="209">
        <v>304</v>
      </c>
      <c r="H112" s="206"/>
      <c r="I112" s="206" t="s">
        <v>290</v>
      </c>
      <c r="J112" s="207" t="s">
        <v>3253</v>
      </c>
      <c r="K112" s="206">
        <v>0</v>
      </c>
      <c r="L112" s="206" t="s">
        <v>48</v>
      </c>
      <c r="M112" s="208">
        <v>0.6</v>
      </c>
      <c r="N112" s="208">
        <v>0.5</v>
      </c>
      <c r="O112" s="316">
        <v>1</v>
      </c>
      <c r="P112" s="317">
        <v>1</v>
      </c>
      <c r="Q112" s="317">
        <v>2000</v>
      </c>
      <c r="R112" s="318">
        <v>0</v>
      </c>
      <c r="S112" s="318">
        <v>0</v>
      </c>
      <c r="T112" s="318"/>
      <c r="U112" s="318">
        <v>0</v>
      </c>
      <c r="V112" s="318">
        <v>0</v>
      </c>
      <c r="W112" s="318">
        <v>0</v>
      </c>
      <c r="X112" s="318">
        <v>0</v>
      </c>
      <c r="Y112" s="318">
        <v>0</v>
      </c>
      <c r="Z112" s="318"/>
      <c r="AA112" s="310">
        <v>7</v>
      </c>
      <c r="AB112" s="310">
        <v>0</v>
      </c>
      <c r="AC112" s="66">
        <v>0</v>
      </c>
      <c r="AD112" s="66"/>
      <c r="AE112" s="310">
        <v>0</v>
      </c>
      <c r="AF112" s="310" t="s">
        <v>283</v>
      </c>
      <c r="AG112" s="311" t="s">
        <v>283</v>
      </c>
      <c r="AH112" s="311"/>
      <c r="AI112" s="310"/>
      <c r="AJ112" s="310"/>
      <c r="AK112" s="841">
        <v>0.6</v>
      </c>
      <c r="AL112" s="842" t="s">
        <v>376</v>
      </c>
      <c r="AM112" s="842">
        <v>0</v>
      </c>
      <c r="AN112" s="863">
        <v>3</v>
      </c>
      <c r="AO112" s="863">
        <v>2</v>
      </c>
      <c r="AP112" s="838">
        <v>0</v>
      </c>
      <c r="AQ112" s="843">
        <v>0</v>
      </c>
      <c r="AR112" s="843"/>
      <c r="AS112" s="843"/>
      <c r="AT112" s="843"/>
      <c r="AU112" s="843"/>
      <c r="AV112" s="844"/>
      <c r="AW112" s="208" t="str">
        <f>IFERROR(WWWW[[#This Row],['# of Water passed at source]]/WWWW[[#This Row],['# of Water tested at source]],"no test")</f>
        <v>no test</v>
      </c>
      <c r="AX112" s="211" t="str">
        <f>IFERROR(WWWW[[#This Row],['# of Water passed at HH]]/WWWW[[#This Row],['# of Water tested at HH]],"no test")</f>
        <v>no test</v>
      </c>
      <c r="AY112" s="210" t="str">
        <f>IF(AND(WWWW[[#This Row],[%of Water samples which passed at water source]]="no test",WWWW[[#This Row],[%Water samples which passed at HH]]="no test"),"No Test","Tested")</f>
        <v>No Test</v>
      </c>
      <c r="AZ11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12" s="211">
        <f>IF(WWWW[[#This Row],[Location Type 1]]="Village",WWWW[[#This Row],[Access to safe drinking water for Village]],WWWW[[#This Row],[Access to safe drinking water for Camp]])</f>
        <v>1</v>
      </c>
      <c r="BC112" s="209">
        <f>WWWW[[#This Row],[%Equitable and continuous access to sufficient quantity of safe drinking water]]*WWWW[[#This Row],[Total PoP ]]</f>
        <v>304</v>
      </c>
      <c r="BD112" s="211">
        <f>IF((WWWW[[#This Row],['# Existing protected/fenced ponds ]]*250)/WWWW[[#This Row],[Total PoP ]]&gt;1,1,WWWW[[#This Row],['# Existing protected/fenced ponds ]]*250/WWWW[[#This Row],[Total PoP ]])</f>
        <v>0</v>
      </c>
      <c r="BE112" s="209">
        <f>WWWW[[#This Row],[Access to unimproved water points]]*WWWW[[#This Row],[Total PoP ]]</f>
        <v>0</v>
      </c>
      <c r="BF11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304</v>
      </c>
      <c r="BH112" s="209">
        <f>WWWW[[#This Row],['#people Equitable and continuous access to sufficient quantity of domestic water borehole n ponds_2]]/500</f>
        <v>0.60799999999999998</v>
      </c>
      <c r="BI112" s="208">
        <f>1-WWWW[[#This Row],[%Equitable and continuous access to sufficient quantity of domestic water borehole n ponds]]</f>
        <v>0</v>
      </c>
      <c r="BJ112" s="209">
        <f>WWWW[[#This Row],[%equitable and continuous access to sufficient quantity of safe drinking and domestic water''s GAP]]*WWWW[[#This Row],[Total PoP ]]</f>
        <v>0</v>
      </c>
      <c r="BK112" s="210">
        <f>IF(WWWW[[#This Row],[Total required water points]]-WWWW[[#This Row],['#Water points coverage]]&lt;0,0,WWWW[[#This Row],[Total required water points]]-WWWW[[#This Row],['#Water points coverage]])</f>
        <v>0.39200000000000002</v>
      </c>
      <c r="BL112" s="210">
        <f>ROUND(IF(WWWW[[#This Row],[Total PoP ]]&lt;500,1,WWWW[[#This Row],[Total PoP ]]/500),0)</f>
        <v>1</v>
      </c>
      <c r="BM112" s="210">
        <f>WWWW[[#This Row],['# Existing functional latrines]]+WWWW[[#This Row],['# Existing latrines dysfunctional]]</f>
        <v>7</v>
      </c>
      <c r="BN11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0.46052631578947367</v>
      </c>
      <c r="BO112" s="352">
        <f>WWWW[[#This Row],[% people access to functioning Latrine]]*WWWW[[#This Row],[Total PoP ]]</f>
        <v>140</v>
      </c>
      <c r="BP11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0.52631578947368418</v>
      </c>
      <c r="BQ112" s="209">
        <f>IF(WWWW[[#This Row],[Total required Latrines]]-WWWW[[#This Row],[Total '# of latrine]]&lt;0,0,WWWW[[#This Row],[Total required Latrines]]-WWWW[[#This Row],[Total '# of latrine]])</f>
        <v>8</v>
      </c>
      <c r="BR112" s="210">
        <f>ROUND(IF(WWWW[[#This Row],[Location Type 1]]="camp",WWWW[[#This Row],[Total PoP ]]/20,WWWW[[#This Row],[Total PoP ]]/6),0)</f>
        <v>15</v>
      </c>
      <c r="BS112" s="212">
        <f>IF(OR(WWWW[[#This Row],['# Existing latrines dysfunctional]]="",WWWW[[#This Row],['# Existing latrines dysfunctional]]=0),0,WWWW[[#This Row],['# Existing latrines dysfunctional]]/WWWW[[#This Row],[Total '# of latrine]])</f>
        <v>0</v>
      </c>
      <c r="BT11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12" s="209">
        <f>IF(500*WWWW[[#This Row],['# Hygiene Promoters ]]&gt;WWWW[[#This Row],[Total PoP ]],WWWW[[#This Row],[Total PoP ]],500*WWWW[[#This Row],['# Hygiene Promoters ]])</f>
        <v>304</v>
      </c>
      <c r="BV112" s="209">
        <f>IF(WWWW[[#This Row],[% of HH with access to Sanitary Pad]]&gt;=100%,1,0)</f>
        <v>0</v>
      </c>
      <c r="BW112" s="209">
        <f>IF(WWWW[[#This Row],[Total PoP ]]=0,0,IF(WWWW[[#This Row],['# Hygiene Promoters ]]=0,0,IF(WWWW[[#This Row],[Location Type 1]]="Village",IF(WWWW[[#This Row],[Total PoP ]]/WWWW[[#This Row],['# Hygiene Promoters ]]&lt;1000,1,0),IF(WWWW[[#This Row],[Total PoP ]]/WWWW[[#This Row],['# Hygiene Promoters ]]&lt;600,1,0))))</f>
        <v>1</v>
      </c>
      <c r="BX112" s="209">
        <f>IF(WWWW[[#This Row],[%HH with access to soap]]&gt;=100%,1,0)</f>
        <v>0</v>
      </c>
      <c r="BY112" s="209">
        <f>IF(WWWW[[#This Row],[% of HHs with access to Sanitary pad more than '#%]]+WWWW[[#This Row],[Ratio of Hyiene promoters to people less than '#]]+WWWW[[#This Row],[% of HHs with access to soap more than '#%]]&gt;=2,WWWW[[#This Row],[Total PoP ]],0)</f>
        <v>0</v>
      </c>
      <c r="BZ112" s="208">
        <f>WWWW[[#This Row],[People adopt basic personal and community hygiene practices]]/WWWW[[#This Row],[Total PoP ]]</f>
        <v>0</v>
      </c>
      <c r="CA112" s="212">
        <f>1-WWWW[[#This Row],[Hygiene Coverage%]]</f>
        <v>1</v>
      </c>
      <c r="CB112" s="211">
        <f>WWWW[[#This Row],['# people reached by regular dedicated hygiene promotion_5]]/WWWW[[#This Row],[Total PoP ]]</f>
        <v>1</v>
      </c>
      <c r="CC112" s="211">
        <f>IF(WWWW[[#This Row],['# HH received soaps]]/WWWW[[#This Row],[Total HH]]&gt;1,1,WWWW[[#This Row],['# HH received soaps]]/WWWW[[#This Row],[Total HH]])</f>
        <v>0</v>
      </c>
      <c r="CD112" s="211">
        <f>IF(WWWW[[#This Row],['# HH received Sanitary Pads]]/WWWW[[#This Row],[Total HH]]&gt;1,1,WWWW[[#This Row],['# HH received Sanitary Pads]]/WWWW[[#This Row],[Total HH]])</f>
        <v>0</v>
      </c>
      <c r="CE112" s="210">
        <f>WWWW[[#This Row],['# HH received soaps]]*5</f>
        <v>0</v>
      </c>
      <c r="CF112" s="210">
        <f>WWWW[[#This Row],['# HH received Sanitary Pads]]*5</f>
        <v>0</v>
      </c>
      <c r="CG112" s="210">
        <f>IF(WWWW[[#This Row],['# People with access to soap]]&gt;WWWW[[#This Row],['# People with access to Sanity Pads]],WWWW[[#This Row],['# People with access to soap]],WWWW[[#This Row],['# People with access to Sanity Pads]])</f>
        <v>0</v>
      </c>
      <c r="CH112" s="209">
        <f>WWWW[[#This Row],[Total HH]]*WWWW[[#This Row],[%HHs with access to functional hand washing stations]]</f>
        <v>36.6</v>
      </c>
      <c r="CI112" s="699" t="str">
        <f>VLOOKUP(WWWW[[#This Row],[Site Name]],SiteDB6[[Site Name]:[CCCM Management]],6,FALSE)</f>
        <v>Yes</v>
      </c>
      <c r="CJ112" s="699" t="str">
        <f>VLOOKUP(WWWW[[#This Row],[Site Name]],SiteDB6[[Site Name]:[CCCM Focal Agency]],7,FALSE)</f>
        <v>KBC</v>
      </c>
      <c r="CK112" s="699" t="str">
        <f>VLOOKUP(WWWW[[#This Row],[Site Name]],SiteDB6[[Site Name]:[Location Type]],8,FALSE)</f>
        <v>Camp</v>
      </c>
      <c r="CL112" s="699" t="str">
        <f>VLOOKUP(WWWW[[#This Row],[Site Name]],SiteDB6[[Site Name]:[Location Type 1]],9,FALSE)</f>
        <v>Camp</v>
      </c>
      <c r="CM112" s="699" t="str">
        <f>VLOOKUP(WWWW[[#This Row],[Site Name]],SiteDB6[[Site Name]:[Type of Accommodation]],10,FALSE)</f>
        <v>Camp</v>
      </c>
      <c r="CN112" s="699" t="str">
        <f>VLOOKUP(WWWW[[#This Row],[Site Name]],SiteDB6[[Site Name]:[Ethnic or GCA/NGCA]],11,FALSE)</f>
        <v>GCA</v>
      </c>
      <c r="CO112" s="699">
        <f>VLOOKUP(WWWW[[#This Row],[Site Name]],SiteDB6[[Site Name]:[Lat]],12,FALSE)</f>
        <v>25.360463124999999</v>
      </c>
      <c r="CP112" s="699">
        <f>VLOOKUP(WWWW[[#This Row],[Site Name]],SiteDB6[[Site Name]:[Long]],13,FALSE)</f>
        <v>97.4113064583333</v>
      </c>
      <c r="CQ112" s="699" t="str">
        <f>VLOOKUP(WWWW[[#This Row],[Site Name]],SiteDB6[[Site Name]:[Pcode]],3,FALSE)</f>
        <v>MMR001CMP016</v>
      </c>
      <c r="CR112" s="660" t="str">
        <f t="shared" si="1"/>
        <v>Covered</v>
      </c>
      <c r="CS112" s="660"/>
      <c r="CT112" s="24"/>
      <c r="CU112" s="24"/>
      <c r="CV112" s="24"/>
    </row>
    <row r="113" spans="1:100" ht="15.75" customHeight="1" x14ac:dyDescent="0.25">
      <c r="A113" s="833" t="s">
        <v>3206</v>
      </c>
      <c r="B113" s="206" t="s">
        <v>287</v>
      </c>
      <c r="C113" s="206" t="s">
        <v>44</v>
      </c>
      <c r="D113" s="206" t="s">
        <v>305</v>
      </c>
      <c r="E113" s="206" t="s">
        <v>312</v>
      </c>
      <c r="F113" s="206">
        <v>103</v>
      </c>
      <c r="G113" s="209">
        <v>581</v>
      </c>
      <c r="H113" s="206"/>
      <c r="I113" s="206" t="s">
        <v>290</v>
      </c>
      <c r="J113" s="207" t="s">
        <v>3253</v>
      </c>
      <c r="K113" s="206">
        <v>0</v>
      </c>
      <c r="L113" s="206" t="s">
        <v>48</v>
      </c>
      <c r="M113" s="208">
        <v>0.6</v>
      </c>
      <c r="N113" s="208">
        <v>0.5</v>
      </c>
      <c r="O113" s="316">
        <v>1</v>
      </c>
      <c r="P113" s="317">
        <v>2</v>
      </c>
      <c r="Q113" s="317">
        <v>2000</v>
      </c>
      <c r="R113" s="318">
        <v>0</v>
      </c>
      <c r="S113" s="318">
        <v>0</v>
      </c>
      <c r="T113" s="318"/>
      <c r="U113" s="318">
        <v>0</v>
      </c>
      <c r="V113" s="318">
        <v>0</v>
      </c>
      <c r="W113" s="318">
        <v>0</v>
      </c>
      <c r="X113" s="318">
        <v>0</v>
      </c>
      <c r="Y113" s="318">
        <v>0</v>
      </c>
      <c r="Z113" s="318"/>
      <c r="AA113" s="310">
        <v>34</v>
      </c>
      <c r="AB113" s="310">
        <v>0</v>
      </c>
      <c r="AC113" s="66">
        <v>0</v>
      </c>
      <c r="AD113" s="66"/>
      <c r="AE113" s="310">
        <v>0</v>
      </c>
      <c r="AF113" s="310" t="s">
        <v>283</v>
      </c>
      <c r="AG113" s="311" t="s">
        <v>283</v>
      </c>
      <c r="AH113" s="311"/>
      <c r="AI113" s="310"/>
      <c r="AJ113" s="310"/>
      <c r="AK113" s="841">
        <v>0.6</v>
      </c>
      <c r="AL113" s="842" t="s">
        <v>376</v>
      </c>
      <c r="AM113" s="842">
        <v>0</v>
      </c>
      <c r="AN113" s="863">
        <v>2</v>
      </c>
      <c r="AO113" s="863">
        <v>2</v>
      </c>
      <c r="AP113" s="838">
        <v>0</v>
      </c>
      <c r="AQ113" s="843">
        <v>0</v>
      </c>
      <c r="AR113" s="843"/>
      <c r="AS113" s="843"/>
      <c r="AT113" s="843"/>
      <c r="AU113" s="843"/>
      <c r="AV113" s="844"/>
      <c r="AW113" s="208" t="str">
        <f>IFERROR(WWWW[[#This Row],['# of Water passed at source]]/WWWW[[#This Row],['# of Water tested at source]],"no test")</f>
        <v>no test</v>
      </c>
      <c r="AX113" s="211" t="str">
        <f>IFERROR(WWWW[[#This Row],['# of Water passed at HH]]/WWWW[[#This Row],['# of Water tested at HH]],"no test")</f>
        <v>no test</v>
      </c>
      <c r="AY113" s="210" t="str">
        <f>IF(AND(WWWW[[#This Row],[%of Water samples which passed at water source]]="no test",WWWW[[#This Row],[%Water samples which passed at HH]]="no test"),"No Test","Tested")</f>
        <v>No Test</v>
      </c>
      <c r="AZ11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13" s="211">
        <f>IF(WWWW[[#This Row],[Location Type 1]]="Village",WWWW[[#This Row],[Access to safe drinking water for Village]],WWWW[[#This Row],[Access to safe drinking water for Camp]])</f>
        <v>1</v>
      </c>
      <c r="BC113" s="209">
        <f>WWWW[[#This Row],[%Equitable and continuous access to sufficient quantity of safe drinking water]]*WWWW[[#This Row],[Total PoP ]]</f>
        <v>581</v>
      </c>
      <c r="BD113" s="211">
        <f>IF((WWWW[[#This Row],['# Existing protected/fenced ponds ]]*250)/WWWW[[#This Row],[Total PoP ]]&gt;1,1,WWWW[[#This Row],['# Existing protected/fenced ponds ]]*250/WWWW[[#This Row],[Total PoP ]])</f>
        <v>0</v>
      </c>
      <c r="BE113" s="209">
        <f>WWWW[[#This Row],[Access to unimproved water points]]*WWWW[[#This Row],[Total PoP ]]</f>
        <v>0</v>
      </c>
      <c r="BF11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581</v>
      </c>
      <c r="BH113" s="209">
        <f>WWWW[[#This Row],['#people Equitable and continuous access to sufficient quantity of domestic water borehole n ponds_2]]/500</f>
        <v>1.1619999999999999</v>
      </c>
      <c r="BI113" s="208">
        <f>1-WWWW[[#This Row],[%Equitable and continuous access to sufficient quantity of domestic water borehole n ponds]]</f>
        <v>0</v>
      </c>
      <c r="BJ113" s="209">
        <f>WWWW[[#This Row],[%equitable and continuous access to sufficient quantity of safe drinking and domestic water''s GAP]]*WWWW[[#This Row],[Total PoP ]]</f>
        <v>0</v>
      </c>
      <c r="BK113" s="210">
        <f>IF(WWWW[[#This Row],[Total required water points]]-WWWW[[#This Row],['#Water points coverage]]&lt;0,0,WWWW[[#This Row],[Total required water points]]-WWWW[[#This Row],['#Water points coverage]])</f>
        <v>0</v>
      </c>
      <c r="BL113" s="210">
        <f>ROUND(IF(WWWW[[#This Row],[Total PoP ]]&lt;500,1,WWWW[[#This Row],[Total PoP ]]/500),0)</f>
        <v>1</v>
      </c>
      <c r="BM113" s="210">
        <f>WWWW[[#This Row],['# Existing functional latrines]]+WWWW[[#This Row],['# Existing latrines dysfunctional]]</f>
        <v>34</v>
      </c>
      <c r="BN11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13" s="352">
        <f>WWWW[[#This Row],[% people access to functioning Latrine]]*WWWW[[#This Row],[Total PoP ]]</f>
        <v>581</v>
      </c>
      <c r="BP11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13" s="209">
        <f>IF(WWWW[[#This Row],[Total required Latrines]]-WWWW[[#This Row],[Total '# of latrine]]&lt;0,0,WWWW[[#This Row],[Total required Latrines]]-WWWW[[#This Row],[Total '# of latrine]])</f>
        <v>0</v>
      </c>
      <c r="BR113" s="210">
        <f>ROUND(IF(WWWW[[#This Row],[Location Type 1]]="camp",WWWW[[#This Row],[Total PoP ]]/20,WWWW[[#This Row],[Total PoP ]]/6),0)</f>
        <v>29</v>
      </c>
      <c r="BS113" s="212">
        <f>IF(OR(WWWW[[#This Row],['# Existing latrines dysfunctional]]="",WWWW[[#This Row],['# Existing latrines dysfunctional]]=0),0,WWWW[[#This Row],['# Existing latrines dysfunctional]]/WWWW[[#This Row],[Total '# of latrine]])</f>
        <v>0</v>
      </c>
      <c r="BT11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13" s="209">
        <f>IF(500*WWWW[[#This Row],['# Hygiene Promoters ]]&gt;WWWW[[#This Row],[Total PoP ]],WWWW[[#This Row],[Total PoP ]],500*WWWW[[#This Row],['# Hygiene Promoters ]])</f>
        <v>581</v>
      </c>
      <c r="BV113" s="209">
        <f>IF(WWWW[[#This Row],[% of HH with access to Sanitary Pad]]&gt;=100%,1,0)</f>
        <v>0</v>
      </c>
      <c r="BW113" s="209">
        <f>IF(WWWW[[#This Row],[Total PoP ]]=0,0,IF(WWWW[[#This Row],['# Hygiene Promoters ]]=0,0,IF(WWWW[[#This Row],[Location Type 1]]="Village",IF(WWWW[[#This Row],[Total PoP ]]/WWWW[[#This Row],['# Hygiene Promoters ]]&lt;1000,1,0),IF(WWWW[[#This Row],[Total PoP ]]/WWWW[[#This Row],['# Hygiene Promoters ]]&lt;600,1,0))))</f>
        <v>1</v>
      </c>
      <c r="BX113" s="209">
        <f>IF(WWWW[[#This Row],[%HH with access to soap]]&gt;=100%,1,0)</f>
        <v>0</v>
      </c>
      <c r="BY113" s="209">
        <f>IF(WWWW[[#This Row],[% of HHs with access to Sanitary pad more than '#%]]+WWWW[[#This Row],[Ratio of Hyiene promoters to people less than '#]]+WWWW[[#This Row],[% of HHs with access to soap more than '#%]]&gt;=2,WWWW[[#This Row],[Total PoP ]],0)</f>
        <v>0</v>
      </c>
      <c r="BZ113" s="208">
        <f>WWWW[[#This Row],[People adopt basic personal and community hygiene practices]]/WWWW[[#This Row],[Total PoP ]]</f>
        <v>0</v>
      </c>
      <c r="CA113" s="212">
        <f>1-WWWW[[#This Row],[Hygiene Coverage%]]</f>
        <v>1</v>
      </c>
      <c r="CB113" s="211">
        <f>WWWW[[#This Row],['# people reached by regular dedicated hygiene promotion_5]]/WWWW[[#This Row],[Total PoP ]]</f>
        <v>1</v>
      </c>
      <c r="CC113" s="211">
        <f>IF(WWWW[[#This Row],['# HH received soaps]]/WWWW[[#This Row],[Total HH]]&gt;1,1,WWWW[[#This Row],['# HH received soaps]]/WWWW[[#This Row],[Total HH]])</f>
        <v>0</v>
      </c>
      <c r="CD113" s="211">
        <f>IF(WWWW[[#This Row],['# HH received Sanitary Pads]]/WWWW[[#This Row],[Total HH]]&gt;1,1,WWWW[[#This Row],['# HH received Sanitary Pads]]/WWWW[[#This Row],[Total HH]])</f>
        <v>0</v>
      </c>
      <c r="CE113" s="210">
        <f>WWWW[[#This Row],['# HH received soaps]]*5</f>
        <v>0</v>
      </c>
      <c r="CF113" s="210">
        <f>WWWW[[#This Row],['# HH received Sanitary Pads]]*5</f>
        <v>0</v>
      </c>
      <c r="CG113" s="210">
        <f>IF(WWWW[[#This Row],['# People with access to soap]]&gt;WWWW[[#This Row],['# People with access to Sanity Pads]],WWWW[[#This Row],['# People with access to soap]],WWWW[[#This Row],['# People with access to Sanity Pads]])</f>
        <v>0</v>
      </c>
      <c r="CH113" s="209">
        <f>WWWW[[#This Row],[Total HH]]*WWWW[[#This Row],[%HHs with access to functional hand washing stations]]</f>
        <v>61.8</v>
      </c>
      <c r="CI113" s="699" t="str">
        <f>VLOOKUP(WWWW[[#This Row],[Site Name]],SiteDB6[[Site Name]:[CCCM Management]],6,FALSE)</f>
        <v>Yes</v>
      </c>
      <c r="CJ113" s="699" t="str">
        <f>VLOOKUP(WWWW[[#This Row],[Site Name]],SiteDB6[[Site Name]:[CCCM Focal Agency]],7,FALSE)</f>
        <v>KBC</v>
      </c>
      <c r="CK113" s="699" t="str">
        <f>VLOOKUP(WWWW[[#This Row],[Site Name]],SiteDB6[[Site Name]:[Location Type]],8,FALSE)</f>
        <v>Camp</v>
      </c>
      <c r="CL113" s="699" t="str">
        <f>VLOOKUP(WWWW[[#This Row],[Site Name]],SiteDB6[[Site Name]:[Location Type 1]],9,FALSE)</f>
        <v>Camp</v>
      </c>
      <c r="CM113" s="699" t="str">
        <f>VLOOKUP(WWWW[[#This Row],[Site Name]],SiteDB6[[Site Name]:[Type of Accommodation]],10,FALSE)</f>
        <v>Camp</v>
      </c>
      <c r="CN113" s="699" t="str">
        <f>VLOOKUP(WWWW[[#This Row],[Site Name]],SiteDB6[[Site Name]:[Ethnic or GCA/NGCA]],11,FALSE)</f>
        <v>GCA</v>
      </c>
      <c r="CO113" s="699">
        <f>VLOOKUP(WWWW[[#This Row],[Site Name]],SiteDB6[[Site Name]:[Lat]],12,FALSE)</f>
        <v>25.428910999999999</v>
      </c>
      <c r="CP113" s="699">
        <f>VLOOKUP(WWWW[[#This Row],[Site Name]],SiteDB6[[Site Name]:[Long]],13,FALSE)</f>
        <v>97.418694000000002</v>
      </c>
      <c r="CQ113" s="699" t="str">
        <f>VLOOKUP(WWWW[[#This Row],[Site Name]],SiteDB6[[Site Name]:[Pcode]],3,FALSE)</f>
        <v>MMR001CMP008</v>
      </c>
      <c r="CR113" s="660" t="str">
        <f t="shared" si="1"/>
        <v>Covered</v>
      </c>
      <c r="CS113" s="660"/>
      <c r="CT113" s="24"/>
      <c r="CU113" s="24"/>
      <c r="CV113" s="24"/>
    </row>
    <row r="114" spans="1:100" ht="15.75" customHeight="1" x14ac:dyDescent="0.25">
      <c r="A114" s="833" t="s">
        <v>3206</v>
      </c>
      <c r="B114" s="206" t="s">
        <v>389</v>
      </c>
      <c r="C114" s="206" t="s">
        <v>44</v>
      </c>
      <c r="D114" s="206" t="s">
        <v>305</v>
      </c>
      <c r="E114" s="206" t="s">
        <v>413</v>
      </c>
      <c r="F114" s="206">
        <v>24</v>
      </c>
      <c r="G114" s="209">
        <v>97</v>
      </c>
      <c r="H114" s="206"/>
      <c r="I114" s="206" t="s">
        <v>391</v>
      </c>
      <c r="J114" s="207">
        <v>42947</v>
      </c>
      <c r="K114" s="206">
        <v>0</v>
      </c>
      <c r="L114" s="206" t="s">
        <v>48</v>
      </c>
      <c r="M114" s="208">
        <v>1</v>
      </c>
      <c r="N114" s="208">
        <v>1</v>
      </c>
      <c r="O114" s="316">
        <v>1</v>
      </c>
      <c r="P114" s="317">
        <v>1</v>
      </c>
      <c r="Q114" s="317">
        <v>1000</v>
      </c>
      <c r="R114" s="318">
        <v>0</v>
      </c>
      <c r="S114" s="318">
        <v>1</v>
      </c>
      <c r="T114" s="318"/>
      <c r="U114" s="318">
        <v>2</v>
      </c>
      <c r="V114" s="318">
        <v>0</v>
      </c>
      <c r="W114" s="318">
        <v>4</v>
      </c>
      <c r="X114" s="318">
        <v>2</v>
      </c>
      <c r="Y114" s="318">
        <v>0</v>
      </c>
      <c r="Z114" s="318"/>
      <c r="AA114" s="310">
        <v>3</v>
      </c>
      <c r="AB114" s="310">
        <v>0</v>
      </c>
      <c r="AC114" s="66">
        <v>2</v>
      </c>
      <c r="AD114" s="66" t="s">
        <v>2782</v>
      </c>
      <c r="AE114" s="310">
        <v>3</v>
      </c>
      <c r="AF114" s="310" t="s">
        <v>283</v>
      </c>
      <c r="AG114" s="311" t="s">
        <v>1358</v>
      </c>
      <c r="AH114" s="311">
        <v>0</v>
      </c>
      <c r="AI114" s="310">
        <v>0</v>
      </c>
      <c r="AJ114" s="310"/>
      <c r="AK114" s="841">
        <v>0.6</v>
      </c>
      <c r="AL114" s="842" t="s">
        <v>376</v>
      </c>
      <c r="AM114" s="842">
        <v>0</v>
      </c>
      <c r="AN114" s="863">
        <v>2</v>
      </c>
      <c r="AO114" s="863">
        <v>0</v>
      </c>
      <c r="AP114" s="838">
        <v>0</v>
      </c>
      <c r="AQ114" s="843">
        <v>0</v>
      </c>
      <c r="AR114" s="843"/>
      <c r="AS114" s="843"/>
      <c r="AT114" s="843">
        <v>1</v>
      </c>
      <c r="AU114" s="843"/>
      <c r="AV114" s="844"/>
      <c r="AW114" s="208">
        <f>IFERROR(WWWW[[#This Row],['# of Water passed at source]]/WWWW[[#This Row],['# of Water tested at source]],"no test")</f>
        <v>0</v>
      </c>
      <c r="AX114" s="211">
        <f>IFERROR(WWWW[[#This Row],['# of Water passed at HH]]/WWWW[[#This Row],['# of Water tested at HH]],"no test")</f>
        <v>0.5</v>
      </c>
      <c r="AY114" s="210" t="str">
        <f>IF(AND(WWWW[[#This Row],[%of Water samples which passed at water source]]="no test",WWWW[[#This Row],[%Water samples which passed at HH]]="no test"),"No Test","Tested")</f>
        <v>Tested</v>
      </c>
      <c r="AZ11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14" s="211">
        <f>IF(WWWW[[#This Row],[Location Type 1]]="Village",WWWW[[#This Row],[Access to safe drinking water for Village]],WWWW[[#This Row],[Access to safe drinking water for Camp]])</f>
        <v>1</v>
      </c>
      <c r="BC114" s="209">
        <f>WWWW[[#This Row],[%Equitable and continuous access to sufficient quantity of safe drinking water]]*WWWW[[#This Row],[Total PoP ]]</f>
        <v>97</v>
      </c>
      <c r="BD114" s="211">
        <f>IF((WWWW[[#This Row],['# Existing protected/fenced ponds ]]*250)/WWWW[[#This Row],[Total PoP ]]&gt;1,1,WWWW[[#This Row],['# Existing protected/fenced ponds ]]*250/WWWW[[#This Row],[Total PoP ]])</f>
        <v>0</v>
      </c>
      <c r="BE114" s="209">
        <f>WWWW[[#This Row],[Access to unimproved water points]]*WWWW[[#This Row],[Total PoP ]]</f>
        <v>0</v>
      </c>
      <c r="BF11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97</v>
      </c>
      <c r="BH114" s="209">
        <f>WWWW[[#This Row],['#people Equitable and continuous access to sufficient quantity of domestic water borehole n ponds_2]]/500</f>
        <v>0.19400000000000001</v>
      </c>
      <c r="BI114" s="208">
        <f>1-WWWW[[#This Row],[%Equitable and continuous access to sufficient quantity of domestic water borehole n ponds]]</f>
        <v>0</v>
      </c>
      <c r="BJ114" s="209">
        <f>WWWW[[#This Row],[%equitable and continuous access to sufficient quantity of safe drinking and domestic water''s GAP]]*WWWW[[#This Row],[Total PoP ]]</f>
        <v>0</v>
      </c>
      <c r="BK114" s="210">
        <f>IF(WWWW[[#This Row],[Total required water points]]-WWWW[[#This Row],['#Water points coverage]]&lt;0,0,WWWW[[#This Row],[Total required water points]]-WWWW[[#This Row],['#Water points coverage]])</f>
        <v>0.80600000000000005</v>
      </c>
      <c r="BL114" s="210">
        <f>ROUND(IF(WWWW[[#This Row],[Total PoP ]]&lt;500,1,WWWW[[#This Row],[Total PoP ]]/500),0)</f>
        <v>1</v>
      </c>
      <c r="BM114" s="210">
        <f>WWWW[[#This Row],['# Existing functional latrines]]+WWWW[[#This Row],['# Existing latrines dysfunctional]]</f>
        <v>3</v>
      </c>
      <c r="BN11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0.61855670103092786</v>
      </c>
      <c r="BO114" s="352">
        <f>WWWW[[#This Row],[% people access to functioning Latrine]]*WWWW[[#This Row],[Total PoP ]]</f>
        <v>60</v>
      </c>
      <c r="BP11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0.41237113402061859</v>
      </c>
      <c r="BQ114" s="209">
        <f>IF(WWWW[[#This Row],[Total required Latrines]]-WWWW[[#This Row],[Total '# of latrine]]&lt;0,0,WWWW[[#This Row],[Total required Latrines]]-WWWW[[#This Row],[Total '# of latrine]])</f>
        <v>2</v>
      </c>
      <c r="BR114" s="210">
        <f>ROUND(IF(WWWW[[#This Row],[Location Type 1]]="camp",WWWW[[#This Row],[Total PoP ]]/20,WWWW[[#This Row],[Total PoP ]]/6),0)</f>
        <v>5</v>
      </c>
      <c r="BS114" s="212">
        <f>IF(OR(WWWW[[#This Row],['# Existing latrines dysfunctional]]="",WWWW[[#This Row],['# Existing latrines dysfunctional]]=0),0,WWWW[[#This Row],['# Existing latrines dysfunctional]]/WWWW[[#This Row],[Total '# of latrine]])</f>
        <v>0</v>
      </c>
      <c r="BT11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U114" s="209">
        <f>IF(500*WWWW[[#This Row],['# Hygiene Promoters ]]&gt;WWWW[[#This Row],[Total PoP ]],WWWW[[#This Row],[Total PoP ]],500*WWWW[[#This Row],['# Hygiene Promoters ]])</f>
        <v>0</v>
      </c>
      <c r="BV114" s="209">
        <f>IF(WWWW[[#This Row],[% of HH with access to Sanitary Pad]]&gt;=100%,1,0)</f>
        <v>0</v>
      </c>
      <c r="BW114" s="209">
        <f>IF(WWWW[[#This Row],[Total PoP ]]=0,0,IF(WWWW[[#This Row],['# Hygiene Promoters ]]=0,0,IF(WWWW[[#This Row],[Location Type 1]]="Village",IF(WWWW[[#This Row],[Total PoP ]]/WWWW[[#This Row],['# Hygiene Promoters ]]&lt;1000,1,0),IF(WWWW[[#This Row],[Total PoP ]]/WWWW[[#This Row],['# Hygiene Promoters ]]&lt;600,1,0))))</f>
        <v>0</v>
      </c>
      <c r="BX114" s="209">
        <f>IF(WWWW[[#This Row],[%HH with access to soap]]&gt;=100%,1,0)</f>
        <v>0</v>
      </c>
      <c r="BY114" s="209">
        <f>IF(WWWW[[#This Row],[% of HHs with access to Sanitary pad more than '#%]]+WWWW[[#This Row],[Ratio of Hyiene promoters to people less than '#]]+WWWW[[#This Row],[% of HHs with access to soap more than '#%]]&gt;=2,WWWW[[#This Row],[Total PoP ]],0)</f>
        <v>0</v>
      </c>
      <c r="BZ114" s="208">
        <f>WWWW[[#This Row],[People adopt basic personal and community hygiene practices]]/WWWW[[#This Row],[Total PoP ]]</f>
        <v>0</v>
      </c>
      <c r="CA114" s="212">
        <f>1-WWWW[[#This Row],[Hygiene Coverage%]]</f>
        <v>1</v>
      </c>
      <c r="CB114" s="211">
        <f>WWWW[[#This Row],['# people reached by regular dedicated hygiene promotion_5]]/WWWW[[#This Row],[Total PoP ]]</f>
        <v>0</v>
      </c>
      <c r="CC114" s="211">
        <f>IF(WWWW[[#This Row],['# HH received soaps]]/WWWW[[#This Row],[Total HH]]&gt;1,1,WWWW[[#This Row],['# HH received soaps]]/WWWW[[#This Row],[Total HH]])</f>
        <v>0</v>
      </c>
      <c r="CD114" s="211">
        <f>IF(WWWW[[#This Row],['# HH received Sanitary Pads]]/WWWW[[#This Row],[Total HH]]&gt;1,1,WWWW[[#This Row],['# HH received Sanitary Pads]]/WWWW[[#This Row],[Total HH]])</f>
        <v>0</v>
      </c>
      <c r="CE114" s="210">
        <f>WWWW[[#This Row],['# HH received soaps]]*5</f>
        <v>0</v>
      </c>
      <c r="CF114" s="210">
        <f>WWWW[[#This Row],['# HH received Sanitary Pads]]*5</f>
        <v>0</v>
      </c>
      <c r="CG114" s="210">
        <f>IF(WWWW[[#This Row],['# People with access to soap]]&gt;WWWW[[#This Row],['# People with access to Sanity Pads]],WWWW[[#This Row],['# People with access to soap]],WWWW[[#This Row],['# People with access to Sanity Pads]])</f>
        <v>0</v>
      </c>
      <c r="CH114" s="209">
        <f>WWWW[[#This Row],[Total HH]]*WWWW[[#This Row],[%HHs with access to functional hand washing stations]]</f>
        <v>14.399999999999999</v>
      </c>
      <c r="CI114" s="699" t="str">
        <f>VLOOKUP(WWWW[[#This Row],[Site Name]],SiteDB6[[Site Name]:[CCCM Management]],6,FALSE)</f>
        <v>Yes</v>
      </c>
      <c r="CJ114" s="699" t="str">
        <f>VLOOKUP(WWWW[[#This Row],[Site Name]],SiteDB6[[Site Name]:[CCCM Focal Agency]],7,FALSE)</f>
        <v>Shalom</v>
      </c>
      <c r="CK114" s="699" t="str">
        <f>VLOOKUP(WWWW[[#This Row],[Site Name]],SiteDB6[[Site Name]:[Location Type]],8,FALSE)</f>
        <v>Camp</v>
      </c>
      <c r="CL114" s="699" t="str">
        <f>VLOOKUP(WWWW[[#This Row],[Site Name]],SiteDB6[[Site Name]:[Location Type 1]],9,FALSE)</f>
        <v>Camp</v>
      </c>
      <c r="CM114" s="699" t="str">
        <f>VLOOKUP(WWWW[[#This Row],[Site Name]],SiteDB6[[Site Name]:[Type of Accommodation]],10,FALSE)</f>
        <v>Camp</v>
      </c>
      <c r="CN114" s="699" t="str">
        <f>VLOOKUP(WWWW[[#This Row],[Site Name]],SiteDB6[[Site Name]:[Ethnic or GCA/NGCA]],11,FALSE)</f>
        <v>GCA</v>
      </c>
      <c r="CO114" s="699">
        <f>VLOOKUP(WWWW[[#This Row],[Site Name]],SiteDB6[[Site Name]:[Lat]],12,FALSE)</f>
        <v>25.374343974359</v>
      </c>
      <c r="CP114" s="699">
        <f>VLOOKUP(WWWW[[#This Row],[Site Name]],SiteDB6[[Site Name]:[Long]],13,FALSE)</f>
        <v>97.2843958974359</v>
      </c>
      <c r="CQ114" s="699" t="str">
        <f>VLOOKUP(WWWW[[#This Row],[Site Name]],SiteDB6[[Site Name]:[Pcode]],3,FALSE)</f>
        <v>MMR001CMP020</v>
      </c>
      <c r="CR114" s="660" t="str">
        <f t="shared" si="1"/>
        <v>Covered</v>
      </c>
      <c r="CS114" s="660"/>
      <c r="CT114" s="24"/>
      <c r="CU114" s="24"/>
      <c r="CV114" s="24"/>
    </row>
    <row r="115" spans="1:100" ht="15.75" customHeight="1" x14ac:dyDescent="0.25">
      <c r="A115" s="833" t="s">
        <v>3206</v>
      </c>
      <c r="B115" s="206" t="s">
        <v>389</v>
      </c>
      <c r="C115" s="206" t="s">
        <v>44</v>
      </c>
      <c r="D115" s="206" t="s">
        <v>305</v>
      </c>
      <c r="E115" s="206" t="s">
        <v>414</v>
      </c>
      <c r="F115" s="206">
        <v>14</v>
      </c>
      <c r="G115" s="209">
        <v>76</v>
      </c>
      <c r="H115" s="206"/>
      <c r="I115" s="206" t="s">
        <v>391</v>
      </c>
      <c r="J115" s="207">
        <v>42947</v>
      </c>
      <c r="K115" s="206">
        <v>0</v>
      </c>
      <c r="L115" s="206" t="s">
        <v>48</v>
      </c>
      <c r="M115" s="208">
        <v>0.6</v>
      </c>
      <c r="N115" s="208">
        <v>1</v>
      </c>
      <c r="O115" s="316">
        <v>1</v>
      </c>
      <c r="P115" s="317">
        <v>0</v>
      </c>
      <c r="Q115" s="317">
        <v>1000</v>
      </c>
      <c r="R115" s="318">
        <v>0</v>
      </c>
      <c r="S115" s="318">
        <v>1</v>
      </c>
      <c r="T115" s="318"/>
      <c r="U115" s="318">
        <v>2</v>
      </c>
      <c r="V115" s="318">
        <v>1</v>
      </c>
      <c r="W115" s="318">
        <v>4</v>
      </c>
      <c r="X115" s="318">
        <v>2</v>
      </c>
      <c r="Y115" s="318">
        <v>0</v>
      </c>
      <c r="Z115" s="318"/>
      <c r="AA115" s="310">
        <v>3</v>
      </c>
      <c r="AB115" s="310">
        <v>0</v>
      </c>
      <c r="AC115" s="66">
        <v>3</v>
      </c>
      <c r="AD115" s="66" t="s">
        <v>2782</v>
      </c>
      <c r="AE115" s="310">
        <v>3</v>
      </c>
      <c r="AF115" s="310" t="s">
        <v>283</v>
      </c>
      <c r="AG115" s="311" t="s">
        <v>1358</v>
      </c>
      <c r="AH115" s="311">
        <v>0</v>
      </c>
      <c r="AI115" s="310">
        <v>0</v>
      </c>
      <c r="AJ115" s="310"/>
      <c r="AK115" s="841">
        <v>0.6</v>
      </c>
      <c r="AL115" s="842" t="s">
        <v>376</v>
      </c>
      <c r="AM115" s="842">
        <v>0</v>
      </c>
      <c r="AN115" s="863">
        <v>1</v>
      </c>
      <c r="AO115" s="863">
        <v>0</v>
      </c>
      <c r="AP115" s="838">
        <v>0</v>
      </c>
      <c r="AQ115" s="843">
        <v>0</v>
      </c>
      <c r="AR115" s="843"/>
      <c r="AS115" s="843"/>
      <c r="AT115" s="843">
        <v>1</v>
      </c>
      <c r="AU115" s="843"/>
      <c r="AV115" s="844"/>
      <c r="AW115" s="208">
        <f>IFERROR(WWWW[[#This Row],['# of Water passed at source]]/WWWW[[#This Row],['# of Water tested at source]],"no test")</f>
        <v>0.5</v>
      </c>
      <c r="AX115" s="211">
        <f>IFERROR(WWWW[[#This Row],['# of Water passed at HH]]/WWWW[[#This Row],['# of Water tested at HH]],"no test")</f>
        <v>0.5</v>
      </c>
      <c r="AY115" s="210" t="str">
        <f>IF(AND(WWWW[[#This Row],[%of Water samples which passed at water source]]="no test",WWWW[[#This Row],[%Water samples which passed at HH]]="no test"),"No Test","Tested")</f>
        <v>Tested</v>
      </c>
      <c r="AZ11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15" s="211">
        <f>IF(WWWW[[#This Row],[Location Type 1]]="Village",WWWW[[#This Row],[Access to safe drinking water for Village]],WWWW[[#This Row],[Access to safe drinking water for Camp]])</f>
        <v>1</v>
      </c>
      <c r="BC115" s="209">
        <f>WWWW[[#This Row],[%Equitable and continuous access to sufficient quantity of safe drinking water]]*WWWW[[#This Row],[Total PoP ]]</f>
        <v>76</v>
      </c>
      <c r="BD115" s="211">
        <f>IF((WWWW[[#This Row],['# Existing protected/fenced ponds ]]*250)/WWWW[[#This Row],[Total PoP ]]&gt;1,1,WWWW[[#This Row],['# Existing protected/fenced ponds ]]*250/WWWW[[#This Row],[Total PoP ]])</f>
        <v>0</v>
      </c>
      <c r="BE115" s="209">
        <f>WWWW[[#This Row],[Access to unimproved water points]]*WWWW[[#This Row],[Total PoP ]]</f>
        <v>0</v>
      </c>
      <c r="BF11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76</v>
      </c>
      <c r="BH115" s="209">
        <f>WWWW[[#This Row],['#people Equitable and continuous access to sufficient quantity of domestic water borehole n ponds_2]]/500</f>
        <v>0.152</v>
      </c>
      <c r="BI115" s="208">
        <f>1-WWWW[[#This Row],[%Equitable and continuous access to sufficient quantity of domestic water borehole n ponds]]</f>
        <v>0</v>
      </c>
      <c r="BJ115" s="209">
        <f>WWWW[[#This Row],[%equitable and continuous access to sufficient quantity of safe drinking and domestic water''s GAP]]*WWWW[[#This Row],[Total PoP ]]</f>
        <v>0</v>
      </c>
      <c r="BK115" s="210">
        <f>IF(WWWW[[#This Row],[Total required water points]]-WWWW[[#This Row],['#Water points coverage]]&lt;0,0,WWWW[[#This Row],[Total required water points]]-WWWW[[#This Row],['#Water points coverage]])</f>
        <v>0.84799999999999998</v>
      </c>
      <c r="BL115" s="210">
        <f>ROUND(IF(WWWW[[#This Row],[Total PoP ]]&lt;500,1,WWWW[[#This Row],[Total PoP ]]/500),0)</f>
        <v>1</v>
      </c>
      <c r="BM115" s="210">
        <f>WWWW[[#This Row],['# Existing functional latrines]]+WWWW[[#This Row],['# Existing latrines dysfunctional]]</f>
        <v>3</v>
      </c>
      <c r="BN11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0.78947368421052633</v>
      </c>
      <c r="BO115" s="352">
        <f>WWWW[[#This Row],[% people access to functioning Latrine]]*WWWW[[#This Row],[Total PoP ]]</f>
        <v>60</v>
      </c>
      <c r="BP11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0.26315789473684209</v>
      </c>
      <c r="BQ115" s="209">
        <f>IF(WWWW[[#This Row],[Total required Latrines]]-WWWW[[#This Row],[Total '# of latrine]]&lt;0,0,WWWW[[#This Row],[Total required Latrines]]-WWWW[[#This Row],[Total '# of latrine]])</f>
        <v>1</v>
      </c>
      <c r="BR115" s="210">
        <f>ROUND(IF(WWWW[[#This Row],[Location Type 1]]="camp",WWWW[[#This Row],[Total PoP ]]/20,WWWW[[#This Row],[Total PoP ]]/6),0)</f>
        <v>4</v>
      </c>
      <c r="BS115" s="212">
        <f>IF(OR(WWWW[[#This Row],['# Existing latrines dysfunctional]]="",WWWW[[#This Row],['# Existing latrines dysfunctional]]=0),0,WWWW[[#This Row],['# Existing latrines dysfunctional]]/WWWW[[#This Row],[Total '# of latrine]])</f>
        <v>0</v>
      </c>
      <c r="BT11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U115" s="209">
        <f>IF(500*WWWW[[#This Row],['# Hygiene Promoters ]]&gt;WWWW[[#This Row],[Total PoP ]],WWWW[[#This Row],[Total PoP ]],500*WWWW[[#This Row],['# Hygiene Promoters ]])</f>
        <v>0</v>
      </c>
      <c r="BV115" s="209">
        <f>IF(WWWW[[#This Row],[% of HH with access to Sanitary Pad]]&gt;=100%,1,0)</f>
        <v>0</v>
      </c>
      <c r="BW115" s="209">
        <f>IF(WWWW[[#This Row],[Total PoP ]]=0,0,IF(WWWW[[#This Row],['# Hygiene Promoters ]]=0,0,IF(WWWW[[#This Row],[Location Type 1]]="Village",IF(WWWW[[#This Row],[Total PoP ]]/WWWW[[#This Row],['# Hygiene Promoters ]]&lt;1000,1,0),IF(WWWW[[#This Row],[Total PoP ]]/WWWW[[#This Row],['# Hygiene Promoters ]]&lt;600,1,0))))</f>
        <v>0</v>
      </c>
      <c r="BX115" s="209">
        <f>IF(WWWW[[#This Row],[%HH with access to soap]]&gt;=100%,1,0)</f>
        <v>0</v>
      </c>
      <c r="BY115" s="209">
        <f>IF(WWWW[[#This Row],[% of HHs with access to Sanitary pad more than '#%]]+WWWW[[#This Row],[Ratio of Hyiene promoters to people less than '#]]+WWWW[[#This Row],[% of HHs with access to soap more than '#%]]&gt;=2,WWWW[[#This Row],[Total PoP ]],0)</f>
        <v>0</v>
      </c>
      <c r="BZ115" s="208">
        <f>WWWW[[#This Row],[People adopt basic personal and community hygiene practices]]/WWWW[[#This Row],[Total PoP ]]</f>
        <v>0</v>
      </c>
      <c r="CA115" s="212">
        <f>1-WWWW[[#This Row],[Hygiene Coverage%]]</f>
        <v>1</v>
      </c>
      <c r="CB115" s="211">
        <f>WWWW[[#This Row],['# people reached by regular dedicated hygiene promotion_5]]/WWWW[[#This Row],[Total PoP ]]</f>
        <v>0</v>
      </c>
      <c r="CC115" s="211">
        <f>IF(WWWW[[#This Row],['# HH received soaps]]/WWWW[[#This Row],[Total HH]]&gt;1,1,WWWW[[#This Row],['# HH received soaps]]/WWWW[[#This Row],[Total HH]])</f>
        <v>0</v>
      </c>
      <c r="CD115" s="211">
        <f>IF(WWWW[[#This Row],['# HH received Sanitary Pads]]/WWWW[[#This Row],[Total HH]]&gt;1,1,WWWW[[#This Row],['# HH received Sanitary Pads]]/WWWW[[#This Row],[Total HH]])</f>
        <v>0</v>
      </c>
      <c r="CE115" s="210">
        <f>WWWW[[#This Row],['# HH received soaps]]*5</f>
        <v>0</v>
      </c>
      <c r="CF115" s="210">
        <f>WWWW[[#This Row],['# HH received Sanitary Pads]]*5</f>
        <v>0</v>
      </c>
      <c r="CG115" s="210">
        <f>IF(WWWW[[#This Row],['# People with access to soap]]&gt;WWWW[[#This Row],['# People with access to Sanity Pads]],WWWW[[#This Row],['# People with access to soap]],WWWW[[#This Row],['# People with access to Sanity Pads]])</f>
        <v>0</v>
      </c>
      <c r="CH115" s="209">
        <f>WWWW[[#This Row],[Total HH]]*WWWW[[#This Row],[%HHs with access to functional hand washing stations]]</f>
        <v>8.4</v>
      </c>
      <c r="CI115" s="699" t="str">
        <f>VLOOKUP(WWWW[[#This Row],[Site Name]],SiteDB6[[Site Name]:[CCCM Management]],6,FALSE)</f>
        <v>Yes</v>
      </c>
      <c r="CJ115" s="699" t="str">
        <f>VLOOKUP(WWWW[[#This Row],[Site Name]],SiteDB6[[Site Name]:[CCCM Focal Agency]],7,FALSE)</f>
        <v>Shalom</v>
      </c>
      <c r="CK115" s="699" t="str">
        <f>VLOOKUP(WWWW[[#This Row],[Site Name]],SiteDB6[[Site Name]:[Location Type]],8,FALSE)</f>
        <v>Camp</v>
      </c>
      <c r="CL115" s="699" t="str">
        <f>VLOOKUP(WWWW[[#This Row],[Site Name]],SiteDB6[[Site Name]:[Location Type 1]],9,FALSE)</f>
        <v>Camp</v>
      </c>
      <c r="CM115" s="699" t="str">
        <f>VLOOKUP(WWWW[[#This Row],[Site Name]],SiteDB6[[Site Name]:[Type of Accommodation]],10,FALSE)</f>
        <v>Camp</v>
      </c>
      <c r="CN115" s="699" t="str">
        <f>VLOOKUP(WWWW[[#This Row],[Site Name]],SiteDB6[[Site Name]:[Ethnic or GCA/NGCA]],11,FALSE)</f>
        <v>GCA</v>
      </c>
      <c r="CO115" s="699">
        <f>VLOOKUP(WWWW[[#This Row],[Site Name]],SiteDB6[[Site Name]:[Lat]],12,FALSE)</f>
        <v>25.371049444444399</v>
      </c>
      <c r="CP115" s="699">
        <f>VLOOKUP(WWWW[[#This Row],[Site Name]],SiteDB6[[Site Name]:[Long]],13,FALSE)</f>
        <v>97.290952037037002</v>
      </c>
      <c r="CQ115" s="699" t="str">
        <f>VLOOKUP(WWWW[[#This Row],[Site Name]],SiteDB6[[Site Name]:[Pcode]],3,FALSE)</f>
        <v>MMR001CMP021</v>
      </c>
      <c r="CR115" s="660" t="str">
        <f t="shared" si="1"/>
        <v>Covered</v>
      </c>
      <c r="CS115" s="660"/>
      <c r="CT115" s="24"/>
      <c r="CU115" s="24"/>
      <c r="CV115" s="24"/>
    </row>
    <row r="116" spans="1:100" ht="15.75" customHeight="1" x14ac:dyDescent="0.25">
      <c r="A116" s="833" t="s">
        <v>3206</v>
      </c>
      <c r="B116" s="206" t="s">
        <v>43</v>
      </c>
      <c r="C116" s="206" t="s">
        <v>44</v>
      </c>
      <c r="D116" s="206" t="s">
        <v>305</v>
      </c>
      <c r="E116" s="206" t="s">
        <v>381</v>
      </c>
      <c r="F116" s="206">
        <v>63</v>
      </c>
      <c r="G116" s="209">
        <v>311</v>
      </c>
      <c r="H116" s="206"/>
      <c r="I116" s="206" t="s">
        <v>372</v>
      </c>
      <c r="J116" s="207">
        <v>43465</v>
      </c>
      <c r="K116" s="206">
        <v>0</v>
      </c>
      <c r="L116" s="206" t="s">
        <v>2452</v>
      </c>
      <c r="M116" s="208">
        <v>0.5</v>
      </c>
      <c r="N116" s="208">
        <v>0.2</v>
      </c>
      <c r="O116" s="316">
        <v>0</v>
      </c>
      <c r="P116" s="317">
        <v>4</v>
      </c>
      <c r="Q116" s="317">
        <v>7000</v>
      </c>
      <c r="R116" s="318">
        <v>0</v>
      </c>
      <c r="S116" s="318">
        <v>4</v>
      </c>
      <c r="T116" s="318"/>
      <c r="U116" s="318">
        <v>0</v>
      </c>
      <c r="V116" s="318">
        <v>0</v>
      </c>
      <c r="W116" s="318">
        <v>0</v>
      </c>
      <c r="X116" s="318">
        <v>0</v>
      </c>
      <c r="Y116" s="318">
        <v>0</v>
      </c>
      <c r="Z116" s="318"/>
      <c r="AA116" s="310">
        <v>20</v>
      </c>
      <c r="AB116" s="310">
        <v>0</v>
      </c>
      <c r="AC116" s="66">
        <v>0</v>
      </c>
      <c r="AD116" s="66" t="s">
        <v>2789</v>
      </c>
      <c r="AE116" s="310">
        <v>13</v>
      </c>
      <c r="AF116" s="310" t="s">
        <v>283</v>
      </c>
      <c r="AG116" s="311" t="s">
        <v>283</v>
      </c>
      <c r="AH116" s="311">
        <v>0</v>
      </c>
      <c r="AI116" s="310">
        <v>0</v>
      </c>
      <c r="AJ116" s="310"/>
      <c r="AK116" s="841">
        <v>0</v>
      </c>
      <c r="AL116" s="842" t="s">
        <v>376</v>
      </c>
      <c r="AM116" s="842">
        <v>0</v>
      </c>
      <c r="AN116" s="863">
        <v>3</v>
      </c>
      <c r="AO116" s="863">
        <v>2</v>
      </c>
      <c r="AP116" s="838">
        <v>0</v>
      </c>
      <c r="AQ116" s="843">
        <v>0</v>
      </c>
      <c r="AR116" s="843" t="s">
        <v>282</v>
      </c>
      <c r="AS116" s="843"/>
      <c r="AT116" s="843"/>
      <c r="AU116" s="843"/>
      <c r="AV116" s="844"/>
      <c r="AW116" s="208" t="str">
        <f>IFERROR(WWWW[[#This Row],['# of Water passed at source]]/WWWW[[#This Row],['# of Water tested at source]],"no test")</f>
        <v>no test</v>
      </c>
      <c r="AX116" s="211" t="str">
        <f>IFERROR(WWWW[[#This Row],['# of Water passed at HH]]/WWWW[[#This Row],['# of Water tested at HH]],"no test")</f>
        <v>no test</v>
      </c>
      <c r="AY116" s="210" t="str">
        <f>IF(AND(WWWW[[#This Row],[%of Water samples which passed at water source]]="no test",WWWW[[#This Row],[%Water samples which passed at HH]]="no test"),"No Test","Tested")</f>
        <v>No Test</v>
      </c>
      <c r="AZ11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16" s="211">
        <f>IF(WWWW[[#This Row],[Location Type 1]]="Village",WWWW[[#This Row],[Access to safe drinking water for Village]],WWWW[[#This Row],[Access to safe drinking water for Camp]])</f>
        <v>1</v>
      </c>
      <c r="BC116" s="209">
        <f>WWWW[[#This Row],[%Equitable and continuous access to sufficient quantity of safe drinking water]]*WWWW[[#This Row],[Total PoP ]]</f>
        <v>311</v>
      </c>
      <c r="BD116" s="211">
        <f>IF((WWWW[[#This Row],['# Existing protected/fenced ponds ]]*250)/WWWW[[#This Row],[Total PoP ]]&gt;1,1,WWWW[[#This Row],['# Existing protected/fenced ponds ]]*250/WWWW[[#This Row],[Total PoP ]])</f>
        <v>0</v>
      </c>
      <c r="BE116" s="209">
        <f>WWWW[[#This Row],[Access to unimproved water points]]*WWWW[[#This Row],[Total PoP ]]</f>
        <v>0</v>
      </c>
      <c r="BF11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311</v>
      </c>
      <c r="BH116" s="209">
        <f>WWWW[[#This Row],['#people Equitable and continuous access to sufficient quantity of domestic water borehole n ponds_2]]/500</f>
        <v>0.622</v>
      </c>
      <c r="BI116" s="208">
        <f>1-WWWW[[#This Row],[%Equitable and continuous access to sufficient quantity of domestic water borehole n ponds]]</f>
        <v>0</v>
      </c>
      <c r="BJ116" s="209">
        <f>WWWW[[#This Row],[%equitable and continuous access to sufficient quantity of safe drinking and domestic water''s GAP]]*WWWW[[#This Row],[Total PoP ]]</f>
        <v>0</v>
      </c>
      <c r="BK116" s="210">
        <f>IF(WWWW[[#This Row],[Total required water points]]-WWWW[[#This Row],['#Water points coverage]]&lt;0,0,WWWW[[#This Row],[Total required water points]]-WWWW[[#This Row],['#Water points coverage]])</f>
        <v>0.378</v>
      </c>
      <c r="BL116" s="210">
        <f>ROUND(IF(WWWW[[#This Row],[Total PoP ]]&lt;500,1,WWWW[[#This Row],[Total PoP ]]/500),0)</f>
        <v>1</v>
      </c>
      <c r="BM116" s="210">
        <f>WWWW[[#This Row],['# Existing functional latrines]]+WWWW[[#This Row],['# Existing latrines dysfunctional]]</f>
        <v>20</v>
      </c>
      <c r="BN11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16" s="352">
        <f>WWWW[[#This Row],[% people access to functioning Latrine]]*WWWW[[#This Row],[Total PoP ]]</f>
        <v>311</v>
      </c>
      <c r="BP11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16" s="209">
        <f>IF(WWWW[[#This Row],[Total required Latrines]]-WWWW[[#This Row],[Total '# of latrine]]&lt;0,0,WWWW[[#This Row],[Total required Latrines]]-WWWW[[#This Row],[Total '# of latrine]])</f>
        <v>0</v>
      </c>
      <c r="BR116" s="210">
        <f>ROUND(IF(WWWW[[#This Row],[Location Type 1]]="camp",WWWW[[#This Row],[Total PoP ]]/20,WWWW[[#This Row],[Total PoP ]]/6),0)</f>
        <v>16</v>
      </c>
      <c r="BS116" s="212">
        <f>IF(OR(WWWW[[#This Row],['# Existing latrines dysfunctional]]="",WWWW[[#This Row],['# Existing latrines dysfunctional]]=0),0,WWWW[[#This Row],['# Existing latrines dysfunctional]]/WWWW[[#This Row],[Total '# of latrine]])</f>
        <v>0</v>
      </c>
      <c r="BT11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16" s="209">
        <f>IF(500*WWWW[[#This Row],['# Hygiene Promoters ]]&gt;WWWW[[#This Row],[Total PoP ]],WWWW[[#This Row],[Total PoP ]],500*WWWW[[#This Row],['# Hygiene Promoters ]])</f>
        <v>311</v>
      </c>
      <c r="BV116" s="209">
        <f>IF(WWWW[[#This Row],[% of HH with access to Sanitary Pad]]&gt;=100%,1,0)</f>
        <v>0</v>
      </c>
      <c r="BW116" s="209">
        <f>IF(WWWW[[#This Row],[Total PoP ]]=0,0,IF(WWWW[[#This Row],['# Hygiene Promoters ]]=0,0,IF(WWWW[[#This Row],[Location Type 1]]="Village",IF(WWWW[[#This Row],[Total PoP ]]/WWWW[[#This Row],['# Hygiene Promoters ]]&lt;1000,1,0),IF(WWWW[[#This Row],[Total PoP ]]/WWWW[[#This Row],['# Hygiene Promoters ]]&lt;600,1,0))))</f>
        <v>1</v>
      </c>
      <c r="BX116" s="209">
        <f>IF(WWWW[[#This Row],[%HH with access to soap]]&gt;=100%,1,0)</f>
        <v>0</v>
      </c>
      <c r="BY116" s="209">
        <f>IF(WWWW[[#This Row],[% of HHs with access to Sanitary pad more than '#%]]+WWWW[[#This Row],[Ratio of Hyiene promoters to people less than '#]]+WWWW[[#This Row],[% of HHs with access to soap more than '#%]]&gt;=2,WWWW[[#This Row],[Total PoP ]],0)</f>
        <v>0</v>
      </c>
      <c r="BZ116" s="208">
        <f>WWWW[[#This Row],[People adopt basic personal and community hygiene practices]]/WWWW[[#This Row],[Total PoP ]]</f>
        <v>0</v>
      </c>
      <c r="CA116" s="212">
        <f>1-WWWW[[#This Row],[Hygiene Coverage%]]</f>
        <v>1</v>
      </c>
      <c r="CB116" s="211">
        <f>WWWW[[#This Row],['# people reached by regular dedicated hygiene promotion_5]]/WWWW[[#This Row],[Total PoP ]]</f>
        <v>1</v>
      </c>
      <c r="CC116" s="211">
        <f>IF(WWWW[[#This Row],['# HH received soaps]]/WWWW[[#This Row],[Total HH]]&gt;1,1,WWWW[[#This Row],['# HH received soaps]]/WWWW[[#This Row],[Total HH]])</f>
        <v>0</v>
      </c>
      <c r="CD116" s="211">
        <f>IF(WWWW[[#This Row],['# HH received Sanitary Pads]]/WWWW[[#This Row],[Total HH]]&gt;1,1,WWWW[[#This Row],['# HH received Sanitary Pads]]/WWWW[[#This Row],[Total HH]])</f>
        <v>0</v>
      </c>
      <c r="CE116" s="210">
        <f>WWWW[[#This Row],['# HH received soaps]]*5</f>
        <v>0</v>
      </c>
      <c r="CF116" s="210">
        <f>WWWW[[#This Row],['# HH received Sanitary Pads]]*5</f>
        <v>0</v>
      </c>
      <c r="CG116" s="210">
        <f>IF(WWWW[[#This Row],['# People with access to soap]]&gt;WWWW[[#This Row],['# People with access to Sanity Pads]],WWWW[[#This Row],['# People with access to soap]],WWWW[[#This Row],['# People with access to Sanity Pads]])</f>
        <v>0</v>
      </c>
      <c r="CH116" s="209">
        <f>WWWW[[#This Row],[Total HH]]*WWWW[[#This Row],[%HHs with access to functional hand washing stations]]</f>
        <v>0</v>
      </c>
      <c r="CI116" s="699" t="str">
        <f>VLOOKUP(WWWW[[#This Row],[Site Name]],SiteDB6[[Site Name]:[CCCM Management]],6,FALSE)</f>
        <v>Yes</v>
      </c>
      <c r="CJ116" s="699" t="str">
        <f>VLOOKUP(WWWW[[#This Row],[Site Name]],SiteDB6[[Site Name]:[CCCM Focal Agency]],7,FALSE)</f>
        <v>KMSS-MYT</v>
      </c>
      <c r="CK116" s="699" t="str">
        <f>VLOOKUP(WWWW[[#This Row],[Site Name]],SiteDB6[[Site Name]:[Location Type]],8,FALSE)</f>
        <v>Camp</v>
      </c>
      <c r="CL116" s="699" t="str">
        <f>VLOOKUP(WWWW[[#This Row],[Site Name]],SiteDB6[[Site Name]:[Location Type 1]],9,FALSE)</f>
        <v>Camp</v>
      </c>
      <c r="CM116" s="699" t="str">
        <f>VLOOKUP(WWWW[[#This Row],[Site Name]],SiteDB6[[Site Name]:[Type of Accommodation]],10,FALSE)</f>
        <v>Camp</v>
      </c>
      <c r="CN116" s="699" t="str">
        <f>VLOOKUP(WWWW[[#This Row],[Site Name]],SiteDB6[[Site Name]:[Ethnic or GCA/NGCA]],11,FALSE)</f>
        <v>GCA</v>
      </c>
      <c r="CO116" s="699">
        <f>VLOOKUP(WWWW[[#This Row],[Site Name]],SiteDB6[[Site Name]:[Lat]],12,FALSE)</f>
        <v>25.410569299999999</v>
      </c>
      <c r="CP116" s="699">
        <f>VLOOKUP(WWWW[[#This Row],[Site Name]],SiteDB6[[Site Name]:[Long]],13,FALSE)</f>
        <v>97.359320179999997</v>
      </c>
      <c r="CQ116" s="699" t="str">
        <f>VLOOKUP(WWWW[[#This Row],[Site Name]],SiteDB6[[Site Name]:[Pcode]],3,FALSE)</f>
        <v>MMR001CMP024</v>
      </c>
      <c r="CR116" s="660" t="str">
        <f t="shared" si="1"/>
        <v>Covered</v>
      </c>
      <c r="CS116" s="660"/>
      <c r="CT116" s="24"/>
      <c r="CU116" s="24"/>
      <c r="CV116" s="24"/>
    </row>
    <row r="117" spans="1:100" ht="15.75" customHeight="1" x14ac:dyDescent="0.25">
      <c r="A117" s="833" t="s">
        <v>3206</v>
      </c>
      <c r="B117" s="206" t="s">
        <v>287</v>
      </c>
      <c r="C117" s="206" t="s">
        <v>44</v>
      </c>
      <c r="D117" s="206" t="s">
        <v>305</v>
      </c>
      <c r="E117" s="206" t="s">
        <v>313</v>
      </c>
      <c r="F117" s="206">
        <v>67</v>
      </c>
      <c r="G117" s="209">
        <v>295</v>
      </c>
      <c r="H117" s="206"/>
      <c r="I117" s="206" t="s">
        <v>290</v>
      </c>
      <c r="J117" s="207" t="s">
        <v>3253</v>
      </c>
      <c r="K117" s="206">
        <v>0</v>
      </c>
      <c r="L117" s="206" t="s">
        <v>48</v>
      </c>
      <c r="M117" s="208">
        <v>0.6</v>
      </c>
      <c r="N117" s="208">
        <v>0.5</v>
      </c>
      <c r="O117" s="316">
        <v>1</v>
      </c>
      <c r="P117" s="317">
        <v>2</v>
      </c>
      <c r="Q117" s="317">
        <v>1500</v>
      </c>
      <c r="R117" s="318">
        <v>0</v>
      </c>
      <c r="S117" s="318">
        <v>0</v>
      </c>
      <c r="T117" s="318"/>
      <c r="U117" s="318">
        <v>0</v>
      </c>
      <c r="V117" s="318">
        <v>0</v>
      </c>
      <c r="W117" s="318">
        <v>0</v>
      </c>
      <c r="X117" s="318">
        <v>0</v>
      </c>
      <c r="Y117" s="318">
        <v>0</v>
      </c>
      <c r="Z117" s="318"/>
      <c r="AA117" s="310">
        <v>10</v>
      </c>
      <c r="AB117" s="310">
        <v>0</v>
      </c>
      <c r="AC117" s="66">
        <v>8</v>
      </c>
      <c r="AD117" s="66"/>
      <c r="AE117" s="310">
        <v>0</v>
      </c>
      <c r="AF117" s="310" t="s">
        <v>283</v>
      </c>
      <c r="AG117" s="311" t="s">
        <v>283</v>
      </c>
      <c r="AH117" s="311"/>
      <c r="AI117" s="310"/>
      <c r="AJ117" s="310"/>
      <c r="AK117" s="841">
        <v>0.6</v>
      </c>
      <c r="AL117" s="842" t="s">
        <v>376</v>
      </c>
      <c r="AM117" s="842">
        <v>0</v>
      </c>
      <c r="AN117" s="863">
        <v>2</v>
      </c>
      <c r="AO117" s="863">
        <v>1</v>
      </c>
      <c r="AP117" s="838">
        <v>0</v>
      </c>
      <c r="AQ117" s="843">
        <v>0</v>
      </c>
      <c r="AR117" s="843"/>
      <c r="AS117" s="843"/>
      <c r="AT117" s="843"/>
      <c r="AU117" s="843"/>
      <c r="AV117" s="844"/>
      <c r="AW117" s="208" t="str">
        <f>IFERROR(WWWW[[#This Row],['# of Water passed at source]]/WWWW[[#This Row],['# of Water tested at source]],"no test")</f>
        <v>no test</v>
      </c>
      <c r="AX117" s="211" t="str">
        <f>IFERROR(WWWW[[#This Row],['# of Water passed at HH]]/WWWW[[#This Row],['# of Water tested at HH]],"no test")</f>
        <v>no test</v>
      </c>
      <c r="AY117" s="210" t="str">
        <f>IF(AND(WWWW[[#This Row],[%of Water samples which passed at water source]]="no test",WWWW[[#This Row],[%Water samples which passed at HH]]="no test"),"No Test","Tested")</f>
        <v>No Test</v>
      </c>
      <c r="AZ11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17" s="211">
        <f>IF(WWWW[[#This Row],[Location Type 1]]="Village",WWWW[[#This Row],[Access to safe drinking water for Village]],WWWW[[#This Row],[Access to safe drinking water for Camp]])</f>
        <v>1</v>
      </c>
      <c r="BC117" s="209">
        <f>WWWW[[#This Row],[%Equitable and continuous access to sufficient quantity of safe drinking water]]*WWWW[[#This Row],[Total PoP ]]</f>
        <v>295</v>
      </c>
      <c r="BD117" s="211">
        <f>IF((WWWW[[#This Row],['# Existing protected/fenced ponds ]]*250)/WWWW[[#This Row],[Total PoP ]]&gt;1,1,WWWW[[#This Row],['# Existing protected/fenced ponds ]]*250/WWWW[[#This Row],[Total PoP ]])</f>
        <v>0</v>
      </c>
      <c r="BE117" s="209">
        <f>WWWW[[#This Row],[Access to unimproved water points]]*WWWW[[#This Row],[Total PoP ]]</f>
        <v>0</v>
      </c>
      <c r="BF11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295</v>
      </c>
      <c r="BH117" s="209">
        <f>WWWW[[#This Row],['#people Equitable and continuous access to sufficient quantity of domestic water borehole n ponds_2]]/500</f>
        <v>0.59</v>
      </c>
      <c r="BI117" s="208">
        <f>1-WWWW[[#This Row],[%Equitable and continuous access to sufficient quantity of domestic water borehole n ponds]]</f>
        <v>0</v>
      </c>
      <c r="BJ117" s="209">
        <f>WWWW[[#This Row],[%equitable and continuous access to sufficient quantity of safe drinking and domestic water''s GAP]]*WWWW[[#This Row],[Total PoP ]]</f>
        <v>0</v>
      </c>
      <c r="BK117" s="210">
        <f>IF(WWWW[[#This Row],[Total required water points]]-WWWW[[#This Row],['#Water points coverage]]&lt;0,0,WWWW[[#This Row],[Total required water points]]-WWWW[[#This Row],['#Water points coverage]])</f>
        <v>0.41000000000000003</v>
      </c>
      <c r="BL117" s="210">
        <f>ROUND(IF(WWWW[[#This Row],[Total PoP ]]&lt;500,1,WWWW[[#This Row],[Total PoP ]]/500),0)</f>
        <v>1</v>
      </c>
      <c r="BM117" s="210">
        <f>WWWW[[#This Row],['# Existing functional latrines]]+WWWW[[#This Row],['# Existing latrines dysfunctional]]</f>
        <v>10</v>
      </c>
      <c r="BN11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0.67796610169491522</v>
      </c>
      <c r="BO117" s="352">
        <f>WWWW[[#This Row],[% people access to functioning Latrine]]*WWWW[[#This Row],[Total PoP ]]</f>
        <v>200</v>
      </c>
      <c r="BP11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0.33898305084745761</v>
      </c>
      <c r="BQ117" s="209">
        <f>IF(WWWW[[#This Row],[Total required Latrines]]-WWWW[[#This Row],[Total '# of latrine]]&lt;0,0,WWWW[[#This Row],[Total required Latrines]]-WWWW[[#This Row],[Total '# of latrine]])</f>
        <v>5</v>
      </c>
      <c r="BR117" s="210">
        <f>ROUND(IF(WWWW[[#This Row],[Location Type 1]]="camp",WWWW[[#This Row],[Total PoP ]]/20,WWWW[[#This Row],[Total PoP ]]/6),0)</f>
        <v>15</v>
      </c>
      <c r="BS117" s="212">
        <f>IF(OR(WWWW[[#This Row],['# Existing latrines dysfunctional]]="",WWWW[[#This Row],['# Existing latrines dysfunctional]]=0),0,WWWW[[#This Row],['# Existing latrines dysfunctional]]/WWWW[[#This Row],[Total '# of latrine]])</f>
        <v>0</v>
      </c>
      <c r="BT11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160</v>
      </c>
      <c r="BU117" s="209">
        <f>IF(500*WWWW[[#This Row],['# Hygiene Promoters ]]&gt;WWWW[[#This Row],[Total PoP ]],WWWW[[#This Row],[Total PoP ]],500*WWWW[[#This Row],['# Hygiene Promoters ]])</f>
        <v>295</v>
      </c>
      <c r="BV117" s="209">
        <f>IF(WWWW[[#This Row],[% of HH with access to Sanitary Pad]]&gt;=100%,1,0)</f>
        <v>0</v>
      </c>
      <c r="BW117" s="209">
        <f>IF(WWWW[[#This Row],[Total PoP ]]=0,0,IF(WWWW[[#This Row],['# Hygiene Promoters ]]=0,0,IF(WWWW[[#This Row],[Location Type 1]]="Village",IF(WWWW[[#This Row],[Total PoP ]]/WWWW[[#This Row],['# Hygiene Promoters ]]&lt;1000,1,0),IF(WWWW[[#This Row],[Total PoP ]]/WWWW[[#This Row],['# Hygiene Promoters ]]&lt;600,1,0))))</f>
        <v>1</v>
      </c>
      <c r="BX117" s="209">
        <f>IF(WWWW[[#This Row],[%HH with access to soap]]&gt;=100%,1,0)</f>
        <v>0</v>
      </c>
      <c r="BY117" s="209">
        <f>IF(WWWW[[#This Row],[% of HHs with access to Sanitary pad more than '#%]]+WWWW[[#This Row],[Ratio of Hyiene promoters to people less than '#]]+WWWW[[#This Row],[% of HHs with access to soap more than '#%]]&gt;=2,WWWW[[#This Row],[Total PoP ]],0)</f>
        <v>0</v>
      </c>
      <c r="BZ117" s="208">
        <f>WWWW[[#This Row],[People adopt basic personal and community hygiene practices]]/WWWW[[#This Row],[Total PoP ]]</f>
        <v>0</v>
      </c>
      <c r="CA117" s="212">
        <f>1-WWWW[[#This Row],[Hygiene Coverage%]]</f>
        <v>1</v>
      </c>
      <c r="CB117" s="211">
        <f>WWWW[[#This Row],['# people reached by regular dedicated hygiene promotion_5]]/WWWW[[#This Row],[Total PoP ]]</f>
        <v>1</v>
      </c>
      <c r="CC117" s="211">
        <f>IF(WWWW[[#This Row],['# HH received soaps]]/WWWW[[#This Row],[Total HH]]&gt;1,1,WWWW[[#This Row],['# HH received soaps]]/WWWW[[#This Row],[Total HH]])</f>
        <v>0</v>
      </c>
      <c r="CD117" s="211">
        <f>IF(WWWW[[#This Row],['# HH received Sanitary Pads]]/WWWW[[#This Row],[Total HH]]&gt;1,1,WWWW[[#This Row],['# HH received Sanitary Pads]]/WWWW[[#This Row],[Total HH]])</f>
        <v>0</v>
      </c>
      <c r="CE117" s="210">
        <f>WWWW[[#This Row],['# HH received soaps]]*5</f>
        <v>0</v>
      </c>
      <c r="CF117" s="210">
        <f>WWWW[[#This Row],['# HH received Sanitary Pads]]*5</f>
        <v>0</v>
      </c>
      <c r="CG117" s="210">
        <f>IF(WWWW[[#This Row],['# People with access to soap]]&gt;WWWW[[#This Row],['# People with access to Sanity Pads]],WWWW[[#This Row],['# People with access to soap]],WWWW[[#This Row],['# People with access to Sanity Pads]])</f>
        <v>0</v>
      </c>
      <c r="CH117" s="209">
        <f>WWWW[[#This Row],[Total HH]]*WWWW[[#This Row],[%HHs with access to functional hand washing stations]]</f>
        <v>40.199999999999996</v>
      </c>
      <c r="CI117" s="699" t="str">
        <f>VLOOKUP(WWWW[[#This Row],[Site Name]],SiteDB6[[Site Name]:[CCCM Management]],6,FALSE)</f>
        <v>Yes</v>
      </c>
      <c r="CJ117" s="699" t="str">
        <f>VLOOKUP(WWWW[[#This Row],[Site Name]],SiteDB6[[Site Name]:[CCCM Focal Agency]],7,FALSE)</f>
        <v>KBC</v>
      </c>
      <c r="CK117" s="699" t="str">
        <f>VLOOKUP(WWWW[[#This Row],[Site Name]],SiteDB6[[Site Name]:[Location Type]],8,FALSE)</f>
        <v>Camp</v>
      </c>
      <c r="CL117" s="699" t="str">
        <f>VLOOKUP(WWWW[[#This Row],[Site Name]],SiteDB6[[Site Name]:[Location Type 1]],9,FALSE)</f>
        <v>Camp</v>
      </c>
      <c r="CM117" s="699" t="str">
        <f>VLOOKUP(WWWW[[#This Row],[Site Name]],SiteDB6[[Site Name]:[Type of Accommodation]],10,FALSE)</f>
        <v>Camp</v>
      </c>
      <c r="CN117" s="699" t="str">
        <f>VLOOKUP(WWWW[[#This Row],[Site Name]],SiteDB6[[Site Name]:[Ethnic or GCA/NGCA]],11,FALSE)</f>
        <v>GCA</v>
      </c>
      <c r="CO117" s="699">
        <f>VLOOKUP(WWWW[[#This Row],[Site Name]],SiteDB6[[Site Name]:[Lat]],12,FALSE)</f>
        <v>25.422194000000001</v>
      </c>
      <c r="CP117" s="699">
        <f>VLOOKUP(WWWW[[#This Row],[Site Name]],SiteDB6[[Site Name]:[Long]],13,FALSE)</f>
        <v>97.394547000000003</v>
      </c>
      <c r="CQ117" s="699" t="str">
        <f>VLOOKUP(WWWW[[#This Row],[Site Name]],SiteDB6[[Site Name]:[Pcode]],3,FALSE)</f>
        <v>MMR001CMP002</v>
      </c>
      <c r="CR117" s="660" t="str">
        <f t="shared" si="1"/>
        <v>Covered</v>
      </c>
      <c r="CS117" s="660"/>
      <c r="CT117" s="24"/>
      <c r="CU117" s="24"/>
      <c r="CV117" s="24"/>
    </row>
    <row r="118" spans="1:100" ht="15.75" customHeight="1" x14ac:dyDescent="0.25">
      <c r="A118" s="833" t="s">
        <v>3206</v>
      </c>
      <c r="B118" s="206" t="s">
        <v>43</v>
      </c>
      <c r="C118" s="206" t="s">
        <v>44</v>
      </c>
      <c r="D118" s="206" t="s">
        <v>305</v>
      </c>
      <c r="E118" s="206" t="s">
        <v>382</v>
      </c>
      <c r="F118" s="206">
        <v>49</v>
      </c>
      <c r="G118" s="209">
        <v>289</v>
      </c>
      <c r="H118" s="206"/>
      <c r="I118" s="206" t="s">
        <v>372</v>
      </c>
      <c r="J118" s="207">
        <v>43465</v>
      </c>
      <c r="K118" s="206">
        <v>0</v>
      </c>
      <c r="L118" s="206" t="s">
        <v>2452</v>
      </c>
      <c r="M118" s="208">
        <v>0.6</v>
      </c>
      <c r="N118" s="208">
        <v>0.5</v>
      </c>
      <c r="O118" s="316">
        <v>2</v>
      </c>
      <c r="P118" s="317">
        <v>0</v>
      </c>
      <c r="Q118" s="317">
        <v>6000</v>
      </c>
      <c r="R118" s="318">
        <v>0</v>
      </c>
      <c r="S118" s="318">
        <v>0</v>
      </c>
      <c r="T118" s="318"/>
      <c r="U118" s="318">
        <v>0</v>
      </c>
      <c r="V118" s="318">
        <v>0</v>
      </c>
      <c r="W118" s="318">
        <v>0</v>
      </c>
      <c r="X118" s="318">
        <v>0</v>
      </c>
      <c r="Y118" s="318">
        <v>0</v>
      </c>
      <c r="Z118" s="318"/>
      <c r="AA118" s="310">
        <v>12</v>
      </c>
      <c r="AB118" s="310">
        <v>0</v>
      </c>
      <c r="AC118" s="66">
        <v>0</v>
      </c>
      <c r="AD118" s="66"/>
      <c r="AE118" s="310">
        <v>12</v>
      </c>
      <c r="AF118" s="310" t="s">
        <v>283</v>
      </c>
      <c r="AG118" s="311" t="s">
        <v>283</v>
      </c>
      <c r="AH118" s="311">
        <v>0</v>
      </c>
      <c r="AI118" s="310">
        <v>0</v>
      </c>
      <c r="AJ118" s="310"/>
      <c r="AK118" s="841">
        <v>0</v>
      </c>
      <c r="AL118" s="842" t="s">
        <v>376</v>
      </c>
      <c r="AM118" s="842">
        <v>0</v>
      </c>
      <c r="AN118" s="863">
        <v>3</v>
      </c>
      <c r="AO118" s="863">
        <v>2</v>
      </c>
      <c r="AP118" s="838">
        <v>0</v>
      </c>
      <c r="AQ118" s="843">
        <v>0</v>
      </c>
      <c r="AR118" s="843" t="s">
        <v>282</v>
      </c>
      <c r="AS118" s="843"/>
      <c r="AT118" s="843"/>
      <c r="AU118" s="843"/>
      <c r="AV118" s="844"/>
      <c r="AW118" s="208" t="str">
        <f>IFERROR(WWWW[[#This Row],['# of Water passed at source]]/WWWW[[#This Row],['# of Water tested at source]],"no test")</f>
        <v>no test</v>
      </c>
      <c r="AX118" s="211" t="str">
        <f>IFERROR(WWWW[[#This Row],['# of Water passed at HH]]/WWWW[[#This Row],['# of Water tested at HH]],"no test")</f>
        <v>no test</v>
      </c>
      <c r="AY118" s="210" t="str">
        <f>IF(AND(WWWW[[#This Row],[%of Water samples which passed at water source]]="no test",WWWW[[#This Row],[%Water samples which passed at HH]]="no test"),"No Test","Tested")</f>
        <v>No Test</v>
      </c>
      <c r="AZ11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1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18" s="211">
        <f>IF(WWWW[[#This Row],[Location Type 1]]="Village",WWWW[[#This Row],[Access to safe drinking water for Village]],WWWW[[#This Row],[Access to safe drinking water for Camp]])</f>
        <v>1</v>
      </c>
      <c r="BC118" s="209">
        <f>WWWW[[#This Row],[%Equitable and continuous access to sufficient quantity of safe drinking water]]*WWWW[[#This Row],[Total PoP ]]</f>
        <v>289</v>
      </c>
      <c r="BD118" s="211">
        <f>IF((WWWW[[#This Row],['# Existing protected/fenced ponds ]]*250)/WWWW[[#This Row],[Total PoP ]]&gt;1,1,WWWW[[#This Row],['# Existing protected/fenced ponds ]]*250/WWWW[[#This Row],[Total PoP ]])</f>
        <v>0</v>
      </c>
      <c r="BE118" s="209">
        <f>WWWW[[#This Row],[Access to unimproved water points]]*WWWW[[#This Row],[Total PoP ]]</f>
        <v>0</v>
      </c>
      <c r="BF11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1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289</v>
      </c>
      <c r="BH118" s="209">
        <f>WWWW[[#This Row],['#people Equitable and continuous access to sufficient quantity of domestic water borehole n ponds_2]]/500</f>
        <v>0.57799999999999996</v>
      </c>
      <c r="BI118" s="208">
        <f>1-WWWW[[#This Row],[%Equitable and continuous access to sufficient quantity of domestic water borehole n ponds]]</f>
        <v>0</v>
      </c>
      <c r="BJ118" s="209">
        <f>WWWW[[#This Row],[%equitable and continuous access to sufficient quantity of safe drinking and domestic water''s GAP]]*WWWW[[#This Row],[Total PoP ]]</f>
        <v>0</v>
      </c>
      <c r="BK118" s="210">
        <f>IF(WWWW[[#This Row],[Total required water points]]-WWWW[[#This Row],['#Water points coverage]]&lt;0,0,WWWW[[#This Row],[Total required water points]]-WWWW[[#This Row],['#Water points coverage]])</f>
        <v>0.42200000000000004</v>
      </c>
      <c r="BL118" s="210">
        <f>ROUND(IF(WWWW[[#This Row],[Total PoP ]]&lt;500,1,WWWW[[#This Row],[Total PoP ]]/500),0)</f>
        <v>1</v>
      </c>
      <c r="BM118" s="210">
        <f>WWWW[[#This Row],['# Existing functional latrines]]+WWWW[[#This Row],['# Existing latrines dysfunctional]]</f>
        <v>12</v>
      </c>
      <c r="BN11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0.83044982698961933</v>
      </c>
      <c r="BO118" s="352">
        <f>WWWW[[#This Row],[% people access to functioning Latrine]]*WWWW[[#This Row],[Total PoP ]]</f>
        <v>240</v>
      </c>
      <c r="BP11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0.13840830449826991</v>
      </c>
      <c r="BQ118" s="209">
        <f>IF(WWWW[[#This Row],[Total required Latrines]]-WWWW[[#This Row],[Total '# of latrine]]&lt;0,0,WWWW[[#This Row],[Total required Latrines]]-WWWW[[#This Row],[Total '# of latrine]])</f>
        <v>2</v>
      </c>
      <c r="BR118" s="210">
        <f>ROUND(IF(WWWW[[#This Row],[Location Type 1]]="camp",WWWW[[#This Row],[Total PoP ]]/20,WWWW[[#This Row],[Total PoP ]]/6),0)</f>
        <v>14</v>
      </c>
      <c r="BS118" s="212">
        <f>IF(OR(WWWW[[#This Row],['# Existing latrines dysfunctional]]="",WWWW[[#This Row],['# Existing latrines dysfunctional]]=0),0,WWWW[[#This Row],['# Existing latrines dysfunctional]]/WWWW[[#This Row],[Total '# of latrine]])</f>
        <v>0</v>
      </c>
      <c r="BT11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18" s="209">
        <f>IF(500*WWWW[[#This Row],['# Hygiene Promoters ]]&gt;WWWW[[#This Row],[Total PoP ]],WWWW[[#This Row],[Total PoP ]],500*WWWW[[#This Row],['# Hygiene Promoters ]])</f>
        <v>289</v>
      </c>
      <c r="BV118" s="209">
        <f>IF(WWWW[[#This Row],[% of HH with access to Sanitary Pad]]&gt;=100%,1,0)</f>
        <v>0</v>
      </c>
      <c r="BW118" s="209">
        <f>IF(WWWW[[#This Row],[Total PoP ]]=0,0,IF(WWWW[[#This Row],['# Hygiene Promoters ]]=0,0,IF(WWWW[[#This Row],[Location Type 1]]="Village",IF(WWWW[[#This Row],[Total PoP ]]/WWWW[[#This Row],['# Hygiene Promoters ]]&lt;1000,1,0),IF(WWWW[[#This Row],[Total PoP ]]/WWWW[[#This Row],['# Hygiene Promoters ]]&lt;600,1,0))))</f>
        <v>1</v>
      </c>
      <c r="BX118" s="209">
        <f>IF(WWWW[[#This Row],[%HH with access to soap]]&gt;=100%,1,0)</f>
        <v>0</v>
      </c>
      <c r="BY118" s="209">
        <f>IF(WWWW[[#This Row],[% of HHs with access to Sanitary pad more than '#%]]+WWWW[[#This Row],[Ratio of Hyiene promoters to people less than '#]]+WWWW[[#This Row],[% of HHs with access to soap more than '#%]]&gt;=2,WWWW[[#This Row],[Total PoP ]],0)</f>
        <v>0</v>
      </c>
      <c r="BZ118" s="208">
        <f>WWWW[[#This Row],[People adopt basic personal and community hygiene practices]]/WWWW[[#This Row],[Total PoP ]]</f>
        <v>0</v>
      </c>
      <c r="CA118" s="212">
        <f>1-WWWW[[#This Row],[Hygiene Coverage%]]</f>
        <v>1</v>
      </c>
      <c r="CB118" s="211">
        <f>WWWW[[#This Row],['# people reached by regular dedicated hygiene promotion_5]]/WWWW[[#This Row],[Total PoP ]]</f>
        <v>1</v>
      </c>
      <c r="CC118" s="211">
        <f>IF(WWWW[[#This Row],['# HH received soaps]]/WWWW[[#This Row],[Total HH]]&gt;1,1,WWWW[[#This Row],['# HH received soaps]]/WWWW[[#This Row],[Total HH]])</f>
        <v>0</v>
      </c>
      <c r="CD118" s="211">
        <f>IF(WWWW[[#This Row],['# HH received Sanitary Pads]]/WWWW[[#This Row],[Total HH]]&gt;1,1,WWWW[[#This Row],['# HH received Sanitary Pads]]/WWWW[[#This Row],[Total HH]])</f>
        <v>0</v>
      </c>
      <c r="CE118" s="210">
        <f>WWWW[[#This Row],['# HH received soaps]]*5</f>
        <v>0</v>
      </c>
      <c r="CF118" s="210">
        <f>WWWW[[#This Row],['# HH received Sanitary Pads]]*5</f>
        <v>0</v>
      </c>
      <c r="CG118" s="210">
        <f>IF(WWWW[[#This Row],['# People with access to soap]]&gt;WWWW[[#This Row],['# People with access to Sanity Pads]],WWWW[[#This Row],['# People with access to soap]],WWWW[[#This Row],['# People with access to Sanity Pads]])</f>
        <v>0</v>
      </c>
      <c r="CH118" s="209">
        <f>WWWW[[#This Row],[Total HH]]*WWWW[[#This Row],[%HHs with access to functional hand washing stations]]</f>
        <v>0</v>
      </c>
      <c r="CI118" s="699" t="str">
        <f>VLOOKUP(WWWW[[#This Row],[Site Name]],SiteDB6[[Site Name]:[CCCM Management]],6,FALSE)</f>
        <v>Yes</v>
      </c>
      <c r="CJ118" s="699" t="str">
        <f>VLOOKUP(WWWW[[#This Row],[Site Name]],SiteDB6[[Site Name]:[CCCM Focal Agency]],7,FALSE)</f>
        <v>KMSS-MYT</v>
      </c>
      <c r="CK118" s="699" t="str">
        <f>VLOOKUP(WWWW[[#This Row],[Site Name]],SiteDB6[[Site Name]:[Location Type]],8,FALSE)</f>
        <v>Camp</v>
      </c>
      <c r="CL118" s="699" t="str">
        <f>VLOOKUP(WWWW[[#This Row],[Site Name]],SiteDB6[[Site Name]:[Location Type 1]],9,FALSE)</f>
        <v>Camp</v>
      </c>
      <c r="CM118" s="699" t="str">
        <f>VLOOKUP(WWWW[[#This Row],[Site Name]],SiteDB6[[Site Name]:[Type of Accommodation]],10,FALSE)</f>
        <v>Camp</v>
      </c>
      <c r="CN118" s="699" t="str">
        <f>VLOOKUP(WWWW[[#This Row],[Site Name]],SiteDB6[[Site Name]:[Ethnic or GCA/NGCA]],11,FALSE)</f>
        <v>GCA</v>
      </c>
      <c r="CO118" s="699">
        <f>VLOOKUP(WWWW[[#This Row],[Site Name]],SiteDB6[[Site Name]:[Lat]],12,FALSE)</f>
        <v>25.493819999999999</v>
      </c>
      <c r="CP118" s="699">
        <f>VLOOKUP(WWWW[[#This Row],[Site Name]],SiteDB6[[Site Name]:[Long]],13,FALSE)</f>
        <v>97.4345</v>
      </c>
      <c r="CQ118" s="699" t="str">
        <f>VLOOKUP(WWWW[[#This Row],[Site Name]],SiteDB6[[Site Name]:[Pcode]],3,FALSE)</f>
        <v>MMR001CMP162</v>
      </c>
      <c r="CR118" s="660" t="str">
        <f t="shared" si="1"/>
        <v>Covered</v>
      </c>
      <c r="CS118" s="660"/>
      <c r="CT118" s="24"/>
      <c r="CU118" s="24"/>
      <c r="CV118" s="24"/>
    </row>
    <row r="119" spans="1:100" ht="15.75" customHeight="1" x14ac:dyDescent="0.25">
      <c r="A119" s="833" t="s">
        <v>3206</v>
      </c>
      <c r="B119" s="206" t="s">
        <v>460</v>
      </c>
      <c r="C119" s="206" t="s">
        <v>44</v>
      </c>
      <c r="D119" s="206" t="s">
        <v>305</v>
      </c>
      <c r="E119" s="206" t="s">
        <v>2944</v>
      </c>
      <c r="F119" s="206">
        <v>46</v>
      </c>
      <c r="G119" s="209">
        <v>212</v>
      </c>
      <c r="H119" s="206"/>
      <c r="I119" s="206"/>
      <c r="J119" s="207"/>
      <c r="K119" s="206"/>
      <c r="L119" s="206"/>
      <c r="M119" s="208"/>
      <c r="N119" s="208"/>
      <c r="O119" s="316"/>
      <c r="P119" s="317"/>
      <c r="Q119" s="317"/>
      <c r="R119" s="318"/>
      <c r="S119" s="318"/>
      <c r="T119" s="318"/>
      <c r="U119" s="318"/>
      <c r="V119" s="318"/>
      <c r="W119" s="318"/>
      <c r="X119" s="318"/>
      <c r="Y119" s="318"/>
      <c r="Z119" s="318"/>
      <c r="AA119" s="310"/>
      <c r="AB119" s="310"/>
      <c r="AC119" s="66"/>
      <c r="AD119" s="66"/>
      <c r="AE119" s="310"/>
      <c r="AF119" s="310"/>
      <c r="AG119" s="311"/>
      <c r="AH119" s="311"/>
      <c r="AI119" s="310"/>
      <c r="AJ119" s="310"/>
      <c r="AK119" s="841"/>
      <c r="AL119" s="842"/>
      <c r="AM119" s="842"/>
      <c r="AN119" s="863"/>
      <c r="AO119" s="863"/>
      <c r="AP119" s="838"/>
      <c r="AQ119" s="843"/>
      <c r="AR119" s="843"/>
      <c r="AS119" s="843"/>
      <c r="AT119" s="843"/>
      <c r="AU119" s="843"/>
      <c r="AV119" s="844"/>
      <c r="AW119" s="208" t="str">
        <f>IFERROR(WWWW[[#This Row],['# of Water passed at source]]/WWWW[[#This Row],['# of Water tested at source]],"no test")</f>
        <v>no test</v>
      </c>
      <c r="AX119" s="211" t="str">
        <f>IFERROR(WWWW[[#This Row],['# of Water passed at HH]]/WWWW[[#This Row],['# of Water tested at HH]],"no test")</f>
        <v>no test</v>
      </c>
      <c r="AY119" s="210" t="str">
        <f>IF(AND(WWWW[[#This Row],[%of Water samples which passed at water source]]="no test",WWWW[[#This Row],[%Water samples which passed at HH]]="no test"),"No Test","Tested")</f>
        <v>No Test</v>
      </c>
      <c r="AZ11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1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19" s="211">
        <f>IF(WWWW[[#This Row],[Location Type 1]]="Village",WWWW[[#This Row],[Access to safe drinking water for Village]],WWWW[[#This Row],[Access to safe drinking water for Camp]])</f>
        <v>0</v>
      </c>
      <c r="BC119" s="209">
        <f>WWWW[[#This Row],[%Equitable and continuous access to sufficient quantity of safe drinking water]]*WWWW[[#This Row],[Total PoP ]]</f>
        <v>0</v>
      </c>
      <c r="BD119" s="211">
        <f>IF((WWWW[[#This Row],['# Existing protected/fenced ponds ]]*250)/WWWW[[#This Row],[Total PoP ]]&gt;1,1,WWWW[[#This Row],['# Existing protected/fenced ponds ]]*250/WWWW[[#This Row],[Total PoP ]])</f>
        <v>0</v>
      </c>
      <c r="BE119" s="209">
        <f>WWWW[[#This Row],[Access to unimproved water points]]*WWWW[[#This Row],[Total PoP ]]</f>
        <v>0</v>
      </c>
      <c r="BF11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1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19" s="209">
        <f>WWWW[[#This Row],['#people Equitable and continuous access to sufficient quantity of domestic water borehole n ponds_2]]/500</f>
        <v>0</v>
      </c>
      <c r="BI119" s="208">
        <f>1-WWWW[[#This Row],[%Equitable and continuous access to sufficient quantity of domestic water borehole n ponds]]</f>
        <v>1</v>
      </c>
      <c r="BJ119" s="209">
        <f>WWWW[[#This Row],[%equitable and continuous access to sufficient quantity of safe drinking and domestic water''s GAP]]*WWWW[[#This Row],[Total PoP ]]</f>
        <v>212</v>
      </c>
      <c r="BK119" s="210">
        <f>IF(WWWW[[#This Row],[Total required water points]]-WWWW[[#This Row],['#Water points coverage]]&lt;0,0,WWWW[[#This Row],[Total required water points]]-WWWW[[#This Row],['#Water points coverage]])</f>
        <v>1</v>
      </c>
      <c r="BL119" s="210">
        <f>ROUND(IF(WWWW[[#This Row],[Total PoP ]]&lt;500,1,WWWW[[#This Row],[Total PoP ]]/500),0)</f>
        <v>1</v>
      </c>
      <c r="BM119" s="210">
        <f>WWWW[[#This Row],['# Existing functional latrines]]+WWWW[[#This Row],['# Existing latrines dysfunctional]]</f>
        <v>0</v>
      </c>
      <c r="BN11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19" s="352">
        <f>WWWW[[#This Row],[% people access to functioning Latrine]]*WWWW[[#This Row],[Total PoP ]]</f>
        <v>0</v>
      </c>
      <c r="BP11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19" s="209">
        <f>IF(WWWW[[#This Row],[Total required Latrines]]-WWWW[[#This Row],[Total '# of latrine]]&lt;0,0,WWWW[[#This Row],[Total required Latrines]]-WWWW[[#This Row],[Total '# of latrine]])</f>
        <v>11</v>
      </c>
      <c r="BR119" s="210">
        <f>ROUND(IF(WWWW[[#This Row],[Location Type 1]]="camp",WWWW[[#This Row],[Total PoP ]]/20,WWWW[[#This Row],[Total PoP ]]/6),0)</f>
        <v>11</v>
      </c>
      <c r="BS119" s="212">
        <f>IF(OR(WWWW[[#This Row],['# Existing latrines dysfunctional]]="",WWWW[[#This Row],['# Existing latrines dysfunctional]]=0),0,WWWW[[#This Row],['# Existing latrines dysfunctional]]/WWWW[[#This Row],[Total '# of latrine]])</f>
        <v>0</v>
      </c>
      <c r="BT11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19" s="209">
        <f>IF(500*WWWW[[#This Row],['# Hygiene Promoters ]]&gt;WWWW[[#This Row],[Total PoP ]],WWWW[[#This Row],[Total PoP ]],500*WWWW[[#This Row],['# Hygiene Promoters ]])</f>
        <v>0</v>
      </c>
      <c r="BV119" s="209">
        <f>IF(WWWW[[#This Row],[% of HH with access to Sanitary Pad]]&gt;=100%,1,0)</f>
        <v>0</v>
      </c>
      <c r="BW119" s="209">
        <f>IF(WWWW[[#This Row],[Total PoP ]]=0,0,IF(WWWW[[#This Row],['# Hygiene Promoters ]]=0,0,IF(WWWW[[#This Row],[Location Type 1]]="Village",IF(WWWW[[#This Row],[Total PoP ]]/WWWW[[#This Row],['# Hygiene Promoters ]]&lt;1000,1,0),IF(WWWW[[#This Row],[Total PoP ]]/WWWW[[#This Row],['# Hygiene Promoters ]]&lt;600,1,0))))</f>
        <v>0</v>
      </c>
      <c r="BX119" s="209">
        <f>IF(WWWW[[#This Row],[%HH with access to soap]]&gt;=100%,1,0)</f>
        <v>0</v>
      </c>
      <c r="BY119" s="209">
        <f>IF(WWWW[[#This Row],[% of HHs with access to Sanitary pad more than '#%]]+WWWW[[#This Row],[Ratio of Hyiene promoters to people less than '#]]+WWWW[[#This Row],[% of HHs with access to soap more than '#%]]&gt;=2,WWWW[[#This Row],[Total PoP ]],0)</f>
        <v>0</v>
      </c>
      <c r="BZ119" s="208">
        <f>WWWW[[#This Row],[People adopt basic personal and community hygiene practices]]/WWWW[[#This Row],[Total PoP ]]</f>
        <v>0</v>
      </c>
      <c r="CA119" s="212">
        <f>1-WWWW[[#This Row],[Hygiene Coverage%]]</f>
        <v>1</v>
      </c>
      <c r="CB119" s="211">
        <f>WWWW[[#This Row],['# people reached by regular dedicated hygiene promotion_5]]/WWWW[[#This Row],[Total PoP ]]</f>
        <v>0</v>
      </c>
      <c r="CC119" s="211">
        <f>IF(WWWW[[#This Row],['# HH received soaps]]/WWWW[[#This Row],[Total HH]]&gt;1,1,WWWW[[#This Row],['# HH received soaps]]/WWWW[[#This Row],[Total HH]])</f>
        <v>0</v>
      </c>
      <c r="CD119" s="211">
        <f>IF(WWWW[[#This Row],['# HH received Sanitary Pads]]/WWWW[[#This Row],[Total HH]]&gt;1,1,WWWW[[#This Row],['# HH received Sanitary Pads]]/WWWW[[#This Row],[Total HH]])</f>
        <v>0</v>
      </c>
      <c r="CE119" s="210">
        <f>WWWW[[#This Row],['# HH received soaps]]*5</f>
        <v>0</v>
      </c>
      <c r="CF119" s="210">
        <f>WWWW[[#This Row],['# HH received Sanitary Pads]]*5</f>
        <v>0</v>
      </c>
      <c r="CG119" s="210">
        <f>IF(WWWW[[#This Row],['# People with access to soap]]&gt;WWWW[[#This Row],['# People with access to Sanity Pads]],WWWW[[#This Row],['# People with access to soap]],WWWW[[#This Row],['# People with access to Sanity Pads]])</f>
        <v>0</v>
      </c>
      <c r="CH119" s="209">
        <f>WWWW[[#This Row],[Total HH]]*WWWW[[#This Row],[%HHs with access to functional hand washing stations]]</f>
        <v>0</v>
      </c>
      <c r="CI119" s="699">
        <f>VLOOKUP(WWWW[[#This Row],[Site Name]],SiteDB6[[Site Name]:[CCCM Management]],6,FALSE)</f>
        <v>0</v>
      </c>
      <c r="CJ119" s="699" t="str">
        <f>VLOOKUP(WWWW[[#This Row],[Site Name]],SiteDB6[[Site Name]:[CCCM Focal Agency]],7,FALSE)</f>
        <v>uncovered</v>
      </c>
      <c r="CK119" s="699" t="str">
        <f>VLOOKUP(WWWW[[#This Row],[Site Name]],SiteDB6[[Site Name]:[Location Type]],8,FALSE)</f>
        <v>Camp</v>
      </c>
      <c r="CL119" s="699" t="str">
        <f>VLOOKUP(WWWW[[#This Row],[Site Name]],SiteDB6[[Site Name]:[Location Type 1]],9,FALSE)</f>
        <v>Camp</v>
      </c>
      <c r="CM119" s="699" t="str">
        <f>VLOOKUP(WWWW[[#This Row],[Site Name]],SiteDB6[[Site Name]:[Type of Accommodation]],10,FALSE)</f>
        <v>Camp like setting</v>
      </c>
      <c r="CN119" s="699" t="s">
        <v>51</v>
      </c>
      <c r="CO119" s="699">
        <f>VLOOKUP(WWWW[[#This Row],[Site Name]],SiteDB6[[Site Name]:[Lat]],12,FALSE)</f>
        <v>25.493819999999999</v>
      </c>
      <c r="CP119" s="699">
        <f>VLOOKUP(WWWW[[#This Row],[Site Name]],SiteDB6[[Site Name]:[Long]],13,FALSE)</f>
        <v>97.4345</v>
      </c>
      <c r="CQ119" s="699" t="str">
        <f>VLOOKUP(WWWW[[#This Row],[Site Name]],SiteDB6[[Site Name]:[Pcode]],3,FALSE)</f>
        <v>MMR001CMP271</v>
      </c>
      <c r="CR119" s="660" t="str">
        <f t="shared" si="1"/>
        <v>Notcovered</v>
      </c>
      <c r="CS119" s="660"/>
      <c r="CT119" s="24"/>
      <c r="CU119" s="24"/>
      <c r="CV119" s="24"/>
    </row>
    <row r="120" spans="1:100" ht="15.75" customHeight="1" x14ac:dyDescent="0.25">
      <c r="A120" s="833" t="s">
        <v>3206</v>
      </c>
      <c r="B120" s="206" t="s">
        <v>287</v>
      </c>
      <c r="C120" s="206" t="s">
        <v>44</v>
      </c>
      <c r="D120" s="206" t="s">
        <v>305</v>
      </c>
      <c r="E120" s="206" t="s">
        <v>314</v>
      </c>
      <c r="F120" s="206">
        <v>119</v>
      </c>
      <c r="G120" s="209">
        <v>569</v>
      </c>
      <c r="H120" s="206"/>
      <c r="I120" s="206" t="s">
        <v>290</v>
      </c>
      <c r="J120" s="207" t="s">
        <v>3253</v>
      </c>
      <c r="K120" s="206">
        <v>0</v>
      </c>
      <c r="L120" s="206" t="s">
        <v>48</v>
      </c>
      <c r="M120" s="208">
        <v>0.6</v>
      </c>
      <c r="N120" s="208">
        <v>0.5</v>
      </c>
      <c r="O120" s="316">
        <v>1</v>
      </c>
      <c r="P120" s="317">
        <v>1</v>
      </c>
      <c r="Q120" s="317">
        <v>3000</v>
      </c>
      <c r="R120" s="318">
        <v>0</v>
      </c>
      <c r="S120" s="318">
        <v>0</v>
      </c>
      <c r="T120" s="318"/>
      <c r="U120" s="318">
        <v>0</v>
      </c>
      <c r="V120" s="318">
        <v>0</v>
      </c>
      <c r="W120" s="318">
        <v>0</v>
      </c>
      <c r="X120" s="318">
        <v>0</v>
      </c>
      <c r="Y120" s="318">
        <v>0</v>
      </c>
      <c r="Z120" s="318"/>
      <c r="AA120" s="310">
        <v>13</v>
      </c>
      <c r="AB120" s="310">
        <v>0</v>
      </c>
      <c r="AC120" s="66">
        <v>0</v>
      </c>
      <c r="AD120" s="66"/>
      <c r="AE120" s="310">
        <v>0</v>
      </c>
      <c r="AF120" s="310" t="s">
        <v>283</v>
      </c>
      <c r="AG120" s="311" t="s">
        <v>283</v>
      </c>
      <c r="AH120" s="311"/>
      <c r="AI120" s="310"/>
      <c r="AJ120" s="310"/>
      <c r="AK120" s="841">
        <v>0.6</v>
      </c>
      <c r="AL120" s="842" t="s">
        <v>291</v>
      </c>
      <c r="AM120" s="842">
        <v>0</v>
      </c>
      <c r="AN120" s="863">
        <v>2</v>
      </c>
      <c r="AO120" s="863">
        <v>2</v>
      </c>
      <c r="AP120" s="838">
        <v>0</v>
      </c>
      <c r="AQ120" s="843">
        <v>0</v>
      </c>
      <c r="AR120" s="843"/>
      <c r="AS120" s="843"/>
      <c r="AT120" s="843"/>
      <c r="AU120" s="843"/>
      <c r="AV120" s="844"/>
      <c r="AW120" s="208" t="str">
        <f>IFERROR(WWWW[[#This Row],['# of Water passed at source]]/WWWW[[#This Row],['# of Water tested at source]],"no test")</f>
        <v>no test</v>
      </c>
      <c r="AX120" s="211" t="str">
        <f>IFERROR(WWWW[[#This Row],['# of Water passed at HH]]/WWWW[[#This Row],['# of Water tested at HH]],"no test")</f>
        <v>no test</v>
      </c>
      <c r="AY120" s="210" t="str">
        <f>IF(AND(WWWW[[#This Row],[%of Water samples which passed at water source]]="no test",WWWW[[#This Row],[%Water samples which passed at HH]]="no test"),"No Test","Tested")</f>
        <v>No Test</v>
      </c>
      <c r="AZ12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2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20" s="211">
        <f>IF(WWWW[[#This Row],[Location Type 1]]="Village",WWWW[[#This Row],[Access to safe drinking water for Village]],WWWW[[#This Row],[Access to safe drinking water for Camp]])</f>
        <v>1</v>
      </c>
      <c r="BC120" s="209">
        <f>WWWW[[#This Row],[%Equitable and continuous access to sufficient quantity of safe drinking water]]*WWWW[[#This Row],[Total PoP ]]</f>
        <v>569</v>
      </c>
      <c r="BD120" s="211">
        <f>IF((WWWW[[#This Row],['# Existing protected/fenced ponds ]]*250)/WWWW[[#This Row],[Total PoP ]]&gt;1,1,WWWW[[#This Row],['# Existing protected/fenced ponds ]]*250/WWWW[[#This Row],[Total PoP ]])</f>
        <v>0</v>
      </c>
      <c r="BE120" s="209">
        <f>WWWW[[#This Row],[Access to unimproved water points]]*WWWW[[#This Row],[Total PoP ]]</f>
        <v>0</v>
      </c>
      <c r="BF12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2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569</v>
      </c>
      <c r="BH120" s="209">
        <f>WWWW[[#This Row],['#people Equitable and continuous access to sufficient quantity of domestic water borehole n ponds_2]]/500</f>
        <v>1.1379999999999999</v>
      </c>
      <c r="BI120" s="208">
        <f>1-WWWW[[#This Row],[%Equitable and continuous access to sufficient quantity of domestic water borehole n ponds]]</f>
        <v>0</v>
      </c>
      <c r="BJ120" s="209">
        <f>WWWW[[#This Row],[%equitable and continuous access to sufficient quantity of safe drinking and domestic water''s GAP]]*WWWW[[#This Row],[Total PoP ]]</f>
        <v>0</v>
      </c>
      <c r="BK120" s="210">
        <f>IF(WWWW[[#This Row],[Total required water points]]-WWWW[[#This Row],['#Water points coverage]]&lt;0,0,WWWW[[#This Row],[Total required water points]]-WWWW[[#This Row],['#Water points coverage]])</f>
        <v>0</v>
      </c>
      <c r="BL120" s="210">
        <f>ROUND(IF(WWWW[[#This Row],[Total PoP ]]&lt;500,1,WWWW[[#This Row],[Total PoP ]]/500),0)</f>
        <v>1</v>
      </c>
      <c r="BM120" s="210">
        <f>WWWW[[#This Row],['# Existing functional latrines]]+WWWW[[#This Row],['# Existing latrines dysfunctional]]</f>
        <v>13</v>
      </c>
      <c r="BN12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0.45694200351493847</v>
      </c>
      <c r="BO120" s="352">
        <f>WWWW[[#This Row],[% people access to functioning Latrine]]*WWWW[[#This Row],[Total PoP ]]</f>
        <v>260</v>
      </c>
      <c r="BP12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0.52724077328646746</v>
      </c>
      <c r="BQ120" s="209">
        <f>IF(WWWW[[#This Row],[Total required Latrines]]-WWWW[[#This Row],[Total '# of latrine]]&lt;0,0,WWWW[[#This Row],[Total required Latrines]]-WWWW[[#This Row],[Total '# of latrine]])</f>
        <v>15</v>
      </c>
      <c r="BR120" s="210">
        <f>ROUND(IF(WWWW[[#This Row],[Location Type 1]]="camp",WWWW[[#This Row],[Total PoP ]]/20,WWWW[[#This Row],[Total PoP ]]/6),0)</f>
        <v>28</v>
      </c>
      <c r="BS120" s="212">
        <f>IF(OR(WWWW[[#This Row],['# Existing latrines dysfunctional]]="",WWWW[[#This Row],['# Existing latrines dysfunctional]]=0),0,WWWW[[#This Row],['# Existing latrines dysfunctional]]/WWWW[[#This Row],[Total '# of latrine]])</f>
        <v>0</v>
      </c>
      <c r="BT12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20" s="209">
        <f>IF(500*WWWW[[#This Row],['# Hygiene Promoters ]]&gt;WWWW[[#This Row],[Total PoP ]],WWWW[[#This Row],[Total PoP ]],500*WWWW[[#This Row],['# Hygiene Promoters ]])</f>
        <v>569</v>
      </c>
      <c r="BV120" s="209">
        <f>IF(WWWW[[#This Row],[% of HH with access to Sanitary Pad]]&gt;=100%,1,0)</f>
        <v>0</v>
      </c>
      <c r="BW120" s="209">
        <f>IF(WWWW[[#This Row],[Total PoP ]]=0,0,IF(WWWW[[#This Row],['# Hygiene Promoters ]]=0,0,IF(WWWW[[#This Row],[Location Type 1]]="Village",IF(WWWW[[#This Row],[Total PoP ]]/WWWW[[#This Row],['# Hygiene Promoters ]]&lt;1000,1,0),IF(WWWW[[#This Row],[Total PoP ]]/WWWW[[#This Row],['# Hygiene Promoters ]]&lt;600,1,0))))</f>
        <v>1</v>
      </c>
      <c r="BX120" s="209">
        <f>IF(WWWW[[#This Row],[%HH with access to soap]]&gt;=100%,1,0)</f>
        <v>0</v>
      </c>
      <c r="BY120" s="209">
        <f>IF(WWWW[[#This Row],[% of HHs with access to Sanitary pad more than '#%]]+WWWW[[#This Row],[Ratio of Hyiene promoters to people less than '#]]+WWWW[[#This Row],[% of HHs with access to soap more than '#%]]&gt;=2,WWWW[[#This Row],[Total PoP ]],0)</f>
        <v>0</v>
      </c>
      <c r="BZ120" s="208">
        <f>WWWW[[#This Row],[People adopt basic personal and community hygiene practices]]/WWWW[[#This Row],[Total PoP ]]</f>
        <v>0</v>
      </c>
      <c r="CA120" s="212">
        <f>1-WWWW[[#This Row],[Hygiene Coverage%]]</f>
        <v>1</v>
      </c>
      <c r="CB120" s="211">
        <f>WWWW[[#This Row],['# people reached by regular dedicated hygiene promotion_5]]/WWWW[[#This Row],[Total PoP ]]</f>
        <v>1</v>
      </c>
      <c r="CC120" s="211">
        <f>IF(WWWW[[#This Row],['# HH received soaps]]/WWWW[[#This Row],[Total HH]]&gt;1,1,WWWW[[#This Row],['# HH received soaps]]/WWWW[[#This Row],[Total HH]])</f>
        <v>0</v>
      </c>
      <c r="CD120" s="211">
        <f>IF(WWWW[[#This Row],['# HH received Sanitary Pads]]/WWWW[[#This Row],[Total HH]]&gt;1,1,WWWW[[#This Row],['# HH received Sanitary Pads]]/WWWW[[#This Row],[Total HH]])</f>
        <v>0</v>
      </c>
      <c r="CE120" s="210">
        <f>WWWW[[#This Row],['# HH received soaps]]*5</f>
        <v>0</v>
      </c>
      <c r="CF120" s="210">
        <f>WWWW[[#This Row],['# HH received Sanitary Pads]]*5</f>
        <v>0</v>
      </c>
      <c r="CG120" s="210">
        <f>IF(WWWW[[#This Row],['# People with access to soap]]&gt;WWWW[[#This Row],['# People with access to Sanity Pads]],WWWW[[#This Row],['# People with access to soap]],WWWW[[#This Row],['# People with access to Sanity Pads]])</f>
        <v>0</v>
      </c>
      <c r="CH120" s="209">
        <f>WWWW[[#This Row],[Total HH]]*WWWW[[#This Row],[%HHs with access to functional hand washing stations]]</f>
        <v>71.399999999999991</v>
      </c>
      <c r="CI120" s="699" t="str">
        <f>VLOOKUP(WWWW[[#This Row],[Site Name]],SiteDB6[[Site Name]:[CCCM Management]],6,FALSE)</f>
        <v>Yes</v>
      </c>
      <c r="CJ120" s="699" t="str">
        <f>VLOOKUP(WWWW[[#This Row],[Site Name]],SiteDB6[[Site Name]:[CCCM Focal Agency]],7,FALSE)</f>
        <v>KBC</v>
      </c>
      <c r="CK120" s="699" t="str">
        <f>VLOOKUP(WWWW[[#This Row],[Site Name]],SiteDB6[[Site Name]:[Location Type]],8,FALSE)</f>
        <v>Camp</v>
      </c>
      <c r="CL120" s="699" t="str">
        <f>VLOOKUP(WWWW[[#This Row],[Site Name]],SiteDB6[[Site Name]:[Location Type 1]],9,FALSE)</f>
        <v>Camp</v>
      </c>
      <c r="CM120" s="699" t="str">
        <f>VLOOKUP(WWWW[[#This Row],[Site Name]],SiteDB6[[Site Name]:[Type of Accommodation]],10,FALSE)</f>
        <v>Camp</v>
      </c>
      <c r="CN120" s="699" t="str">
        <f>VLOOKUP(WWWW[[#This Row],[Site Name]],SiteDB6[[Site Name]:[Ethnic or GCA/NGCA]],11,FALSE)</f>
        <v>GCA</v>
      </c>
      <c r="CO120" s="699">
        <f>VLOOKUP(WWWW[[#This Row],[Site Name]],SiteDB6[[Site Name]:[Lat]],12,FALSE)</f>
        <v>25.412313000000001</v>
      </c>
      <c r="CP120" s="699">
        <f>VLOOKUP(WWWW[[#This Row],[Site Name]],SiteDB6[[Site Name]:[Long]],13,FALSE)</f>
        <v>97.399628000000007</v>
      </c>
      <c r="CQ120" s="699" t="str">
        <f>VLOOKUP(WWWW[[#This Row],[Site Name]],SiteDB6[[Site Name]:[Pcode]],3,FALSE)</f>
        <v>MMR001CMP006</v>
      </c>
      <c r="CR120" s="660" t="str">
        <f t="shared" si="1"/>
        <v>Covered</v>
      </c>
      <c r="CS120" s="660"/>
      <c r="CT120" s="24"/>
      <c r="CU120" s="24"/>
      <c r="CV120" s="24"/>
    </row>
    <row r="121" spans="1:100" ht="15.75" customHeight="1" x14ac:dyDescent="0.25">
      <c r="A121" s="833" t="s">
        <v>3206</v>
      </c>
      <c r="B121" s="206" t="s">
        <v>389</v>
      </c>
      <c r="C121" s="206" t="s">
        <v>44</v>
      </c>
      <c r="D121" s="206" t="s">
        <v>305</v>
      </c>
      <c r="E121" s="206" t="s">
        <v>415</v>
      </c>
      <c r="F121" s="206">
        <v>23</v>
      </c>
      <c r="G121" s="209">
        <v>114</v>
      </c>
      <c r="H121" s="206"/>
      <c r="I121" s="206" t="s">
        <v>391</v>
      </c>
      <c r="J121" s="207">
        <v>42947</v>
      </c>
      <c r="K121" s="206">
        <v>0</v>
      </c>
      <c r="L121" s="206" t="s">
        <v>48</v>
      </c>
      <c r="M121" s="208">
        <v>0.71</v>
      </c>
      <c r="N121" s="208">
        <v>1</v>
      </c>
      <c r="O121" s="316">
        <v>1</v>
      </c>
      <c r="P121" s="317">
        <v>0</v>
      </c>
      <c r="Q121" s="317">
        <v>0</v>
      </c>
      <c r="R121" s="318">
        <v>0</v>
      </c>
      <c r="S121" s="318">
        <v>2</v>
      </c>
      <c r="T121" s="318"/>
      <c r="U121" s="318">
        <v>1</v>
      </c>
      <c r="V121" s="318">
        <v>0</v>
      </c>
      <c r="W121" s="318">
        <v>3</v>
      </c>
      <c r="X121" s="318">
        <v>0</v>
      </c>
      <c r="Y121" s="318">
        <v>0</v>
      </c>
      <c r="Z121" s="318"/>
      <c r="AA121" s="310">
        <v>7</v>
      </c>
      <c r="AB121" s="310">
        <v>0</v>
      </c>
      <c r="AC121" s="66">
        <v>0</v>
      </c>
      <c r="AD121" s="66" t="s">
        <v>2789</v>
      </c>
      <c r="AE121" s="310">
        <v>7</v>
      </c>
      <c r="AF121" s="310" t="s">
        <v>283</v>
      </c>
      <c r="AG121" s="311" t="s">
        <v>1358</v>
      </c>
      <c r="AH121" s="311">
        <v>0</v>
      </c>
      <c r="AI121" s="310">
        <v>0</v>
      </c>
      <c r="AJ121" s="310"/>
      <c r="AK121" s="841">
        <v>0.6</v>
      </c>
      <c r="AL121" s="842" t="s">
        <v>376</v>
      </c>
      <c r="AM121" s="842">
        <v>0</v>
      </c>
      <c r="AN121" s="863">
        <v>2</v>
      </c>
      <c r="AO121" s="863">
        <v>0</v>
      </c>
      <c r="AP121" s="838">
        <v>0</v>
      </c>
      <c r="AQ121" s="843">
        <v>0</v>
      </c>
      <c r="AR121" s="843"/>
      <c r="AS121" s="843"/>
      <c r="AT121" s="843">
        <v>1</v>
      </c>
      <c r="AU121" s="843"/>
      <c r="AV121" s="844"/>
      <c r="AW121" s="208">
        <f>IFERROR(WWWW[[#This Row],['# of Water passed at source]]/WWWW[[#This Row],['# of Water tested at source]],"no test")</f>
        <v>0</v>
      </c>
      <c r="AX121" s="211">
        <f>IFERROR(WWWW[[#This Row],['# of Water passed at HH]]/WWWW[[#This Row],['# of Water tested at HH]],"no test")</f>
        <v>0</v>
      </c>
      <c r="AY121" s="210" t="str">
        <f>IF(AND(WWWW[[#This Row],[%of Water samples which passed at water source]]="no test",WWWW[[#This Row],[%Water samples which passed at HH]]="no test"),"No Test","Tested")</f>
        <v>Tested</v>
      </c>
      <c r="AZ12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2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21" s="211">
        <f>IF(WWWW[[#This Row],[Location Type 1]]="Village",WWWW[[#This Row],[Access to safe drinking water for Village]],WWWW[[#This Row],[Access to safe drinking water for Camp]])</f>
        <v>1</v>
      </c>
      <c r="BC121" s="209">
        <f>WWWW[[#This Row],[%Equitable and continuous access to sufficient quantity of safe drinking water]]*WWWW[[#This Row],[Total PoP ]]</f>
        <v>114</v>
      </c>
      <c r="BD121" s="211">
        <f>IF((WWWW[[#This Row],['# Existing protected/fenced ponds ]]*250)/WWWW[[#This Row],[Total PoP ]]&gt;1,1,WWWW[[#This Row],['# Existing protected/fenced ponds ]]*250/WWWW[[#This Row],[Total PoP ]])</f>
        <v>0</v>
      </c>
      <c r="BE121" s="209">
        <f>WWWW[[#This Row],[Access to unimproved water points]]*WWWW[[#This Row],[Total PoP ]]</f>
        <v>0</v>
      </c>
      <c r="BF12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2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114</v>
      </c>
      <c r="BH121" s="209">
        <f>WWWW[[#This Row],['#people Equitable and continuous access to sufficient quantity of domestic water borehole n ponds_2]]/500</f>
        <v>0.22800000000000001</v>
      </c>
      <c r="BI121" s="208">
        <f>1-WWWW[[#This Row],[%Equitable and continuous access to sufficient quantity of domestic water borehole n ponds]]</f>
        <v>0</v>
      </c>
      <c r="BJ121" s="209">
        <f>WWWW[[#This Row],[%equitable and continuous access to sufficient quantity of safe drinking and domestic water''s GAP]]*WWWW[[#This Row],[Total PoP ]]</f>
        <v>0</v>
      </c>
      <c r="BK121" s="210">
        <f>IF(WWWW[[#This Row],[Total required water points]]-WWWW[[#This Row],['#Water points coverage]]&lt;0,0,WWWW[[#This Row],[Total required water points]]-WWWW[[#This Row],['#Water points coverage]])</f>
        <v>0.77200000000000002</v>
      </c>
      <c r="BL121" s="210">
        <f>ROUND(IF(WWWW[[#This Row],[Total PoP ]]&lt;500,1,WWWW[[#This Row],[Total PoP ]]/500),0)</f>
        <v>1</v>
      </c>
      <c r="BM121" s="210">
        <f>WWWW[[#This Row],['# Existing functional latrines]]+WWWW[[#This Row],['# Existing latrines dysfunctional]]</f>
        <v>7</v>
      </c>
      <c r="BN12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21" s="352">
        <f>WWWW[[#This Row],[% people access to functioning Latrine]]*WWWW[[#This Row],[Total PoP ]]</f>
        <v>114</v>
      </c>
      <c r="BP12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21" s="209">
        <f>IF(WWWW[[#This Row],[Total required Latrines]]-WWWW[[#This Row],[Total '# of latrine]]&lt;0,0,WWWW[[#This Row],[Total required Latrines]]-WWWW[[#This Row],[Total '# of latrine]])</f>
        <v>0</v>
      </c>
      <c r="BR121" s="210">
        <f>ROUND(IF(WWWW[[#This Row],[Location Type 1]]="camp",WWWW[[#This Row],[Total PoP ]]/20,WWWW[[#This Row],[Total PoP ]]/6),0)</f>
        <v>6</v>
      </c>
      <c r="BS121" s="212">
        <f>IF(OR(WWWW[[#This Row],['# Existing latrines dysfunctional]]="",WWWW[[#This Row],['# Existing latrines dysfunctional]]=0),0,WWWW[[#This Row],['# Existing latrines dysfunctional]]/WWWW[[#This Row],[Total '# of latrine]])</f>
        <v>0</v>
      </c>
      <c r="BT12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21" s="209">
        <f>IF(500*WWWW[[#This Row],['# Hygiene Promoters ]]&gt;WWWW[[#This Row],[Total PoP ]],WWWW[[#This Row],[Total PoP ]],500*WWWW[[#This Row],['# Hygiene Promoters ]])</f>
        <v>0</v>
      </c>
      <c r="BV121" s="209">
        <f>IF(WWWW[[#This Row],[% of HH with access to Sanitary Pad]]&gt;=100%,1,0)</f>
        <v>0</v>
      </c>
      <c r="BW121" s="209">
        <f>IF(WWWW[[#This Row],[Total PoP ]]=0,0,IF(WWWW[[#This Row],['# Hygiene Promoters ]]=0,0,IF(WWWW[[#This Row],[Location Type 1]]="Village",IF(WWWW[[#This Row],[Total PoP ]]/WWWW[[#This Row],['# Hygiene Promoters ]]&lt;1000,1,0),IF(WWWW[[#This Row],[Total PoP ]]/WWWW[[#This Row],['# Hygiene Promoters ]]&lt;600,1,0))))</f>
        <v>0</v>
      </c>
      <c r="BX121" s="209">
        <f>IF(WWWW[[#This Row],[%HH with access to soap]]&gt;=100%,1,0)</f>
        <v>0</v>
      </c>
      <c r="BY121" s="209">
        <f>IF(WWWW[[#This Row],[% of HHs with access to Sanitary pad more than '#%]]+WWWW[[#This Row],[Ratio of Hyiene promoters to people less than '#]]+WWWW[[#This Row],[% of HHs with access to soap more than '#%]]&gt;=2,WWWW[[#This Row],[Total PoP ]],0)</f>
        <v>0</v>
      </c>
      <c r="BZ121" s="208">
        <f>WWWW[[#This Row],[People adopt basic personal and community hygiene practices]]/WWWW[[#This Row],[Total PoP ]]</f>
        <v>0</v>
      </c>
      <c r="CA121" s="212">
        <f>1-WWWW[[#This Row],[Hygiene Coverage%]]</f>
        <v>1</v>
      </c>
      <c r="CB121" s="211">
        <f>WWWW[[#This Row],['# people reached by regular dedicated hygiene promotion_5]]/WWWW[[#This Row],[Total PoP ]]</f>
        <v>0</v>
      </c>
      <c r="CC121" s="211">
        <f>IF(WWWW[[#This Row],['# HH received soaps]]/WWWW[[#This Row],[Total HH]]&gt;1,1,WWWW[[#This Row],['# HH received soaps]]/WWWW[[#This Row],[Total HH]])</f>
        <v>0</v>
      </c>
      <c r="CD121" s="211">
        <f>IF(WWWW[[#This Row],['# HH received Sanitary Pads]]/WWWW[[#This Row],[Total HH]]&gt;1,1,WWWW[[#This Row],['# HH received Sanitary Pads]]/WWWW[[#This Row],[Total HH]])</f>
        <v>0</v>
      </c>
      <c r="CE121" s="210">
        <f>WWWW[[#This Row],['# HH received soaps]]*5</f>
        <v>0</v>
      </c>
      <c r="CF121" s="210">
        <f>WWWW[[#This Row],['# HH received Sanitary Pads]]*5</f>
        <v>0</v>
      </c>
      <c r="CG121" s="210">
        <f>IF(WWWW[[#This Row],['# People with access to soap]]&gt;WWWW[[#This Row],['# People with access to Sanity Pads]],WWWW[[#This Row],['# People with access to soap]],WWWW[[#This Row],['# People with access to Sanity Pads]])</f>
        <v>0</v>
      </c>
      <c r="CH121" s="209">
        <f>WWWW[[#This Row],[Total HH]]*WWWW[[#This Row],[%HHs with access to functional hand washing stations]]</f>
        <v>13.799999999999999</v>
      </c>
      <c r="CI121" s="699" t="str">
        <f>VLOOKUP(WWWW[[#This Row],[Site Name]],SiteDB6[[Site Name]:[CCCM Management]],6,FALSE)</f>
        <v>Yes</v>
      </c>
      <c r="CJ121" s="699" t="str">
        <f>VLOOKUP(WWWW[[#This Row],[Site Name]],SiteDB6[[Site Name]:[CCCM Focal Agency]],7,FALSE)</f>
        <v>Shalom</v>
      </c>
      <c r="CK121" s="699" t="str">
        <f>VLOOKUP(WWWW[[#This Row],[Site Name]],SiteDB6[[Site Name]:[Location Type]],8,FALSE)</f>
        <v>Camp</v>
      </c>
      <c r="CL121" s="699" t="str">
        <f>VLOOKUP(WWWW[[#This Row],[Site Name]],SiteDB6[[Site Name]:[Location Type 1]],9,FALSE)</f>
        <v>Camp</v>
      </c>
      <c r="CM121" s="699" t="str">
        <f>VLOOKUP(WWWW[[#This Row],[Site Name]],SiteDB6[[Site Name]:[Type of Accommodation]],10,FALSE)</f>
        <v>Camp</v>
      </c>
      <c r="CN121" s="699" t="str">
        <f>VLOOKUP(WWWW[[#This Row],[Site Name]],SiteDB6[[Site Name]:[Ethnic or GCA/NGCA]],11,FALSE)</f>
        <v>GCA</v>
      </c>
      <c r="CO121" s="699">
        <f>VLOOKUP(WWWW[[#This Row],[Site Name]],SiteDB6[[Site Name]:[Lat]],12,FALSE)</f>
        <v>25.423817</v>
      </c>
      <c r="CP121" s="699">
        <f>VLOOKUP(WWWW[[#This Row],[Site Name]],SiteDB6[[Site Name]:[Long]],13,FALSE)</f>
        <v>97.418004999999994</v>
      </c>
      <c r="CQ121" s="699" t="str">
        <f>VLOOKUP(WWWW[[#This Row],[Site Name]],SiteDB6[[Site Name]:[Pcode]],3,FALSE)</f>
        <v>MMR001CMP007</v>
      </c>
      <c r="CR121" s="660" t="str">
        <f t="shared" si="1"/>
        <v>Covered</v>
      </c>
      <c r="CS121" s="660"/>
      <c r="CT121" s="24"/>
      <c r="CU121" s="24"/>
      <c r="CV121" s="24"/>
    </row>
    <row r="122" spans="1:100" ht="15.75" customHeight="1" x14ac:dyDescent="0.25">
      <c r="A122" s="833" t="s">
        <v>3206</v>
      </c>
      <c r="B122" s="206" t="s">
        <v>287</v>
      </c>
      <c r="C122" s="206" t="s">
        <v>44</v>
      </c>
      <c r="D122" s="206" t="s">
        <v>305</v>
      </c>
      <c r="E122" s="206" t="s">
        <v>315</v>
      </c>
      <c r="F122" s="206">
        <v>91</v>
      </c>
      <c r="G122" s="209">
        <v>501</v>
      </c>
      <c r="H122" s="206"/>
      <c r="I122" s="206" t="s">
        <v>290</v>
      </c>
      <c r="J122" s="207" t="s">
        <v>3253</v>
      </c>
      <c r="K122" s="206">
        <v>0</v>
      </c>
      <c r="L122" s="206" t="s">
        <v>48</v>
      </c>
      <c r="M122" s="208">
        <v>0.6</v>
      </c>
      <c r="N122" s="208">
        <v>0.5</v>
      </c>
      <c r="O122" s="316">
        <v>1</v>
      </c>
      <c r="P122" s="317">
        <v>1</v>
      </c>
      <c r="Q122" s="317">
        <v>0</v>
      </c>
      <c r="R122" s="318">
        <v>0</v>
      </c>
      <c r="S122" s="318">
        <v>0</v>
      </c>
      <c r="T122" s="318"/>
      <c r="U122" s="318">
        <v>0</v>
      </c>
      <c r="V122" s="318">
        <v>0</v>
      </c>
      <c r="W122" s="318">
        <v>0</v>
      </c>
      <c r="X122" s="318">
        <v>0</v>
      </c>
      <c r="Y122" s="318">
        <v>0</v>
      </c>
      <c r="Z122" s="318"/>
      <c r="AA122" s="310">
        <v>17</v>
      </c>
      <c r="AB122" s="310">
        <v>0</v>
      </c>
      <c r="AC122" s="66">
        <v>0</v>
      </c>
      <c r="AD122" s="66"/>
      <c r="AE122" s="310">
        <v>0</v>
      </c>
      <c r="AF122" s="310" t="s">
        <v>283</v>
      </c>
      <c r="AG122" s="311" t="s">
        <v>283</v>
      </c>
      <c r="AH122" s="311"/>
      <c r="AI122" s="310"/>
      <c r="AJ122" s="310"/>
      <c r="AK122" s="841">
        <v>0.6</v>
      </c>
      <c r="AL122" s="842" t="s">
        <v>291</v>
      </c>
      <c r="AM122" s="842">
        <v>0</v>
      </c>
      <c r="AN122" s="863">
        <v>2</v>
      </c>
      <c r="AO122" s="863">
        <v>2</v>
      </c>
      <c r="AP122" s="838">
        <v>0</v>
      </c>
      <c r="AQ122" s="843">
        <v>0</v>
      </c>
      <c r="AR122" s="843"/>
      <c r="AS122" s="843"/>
      <c r="AT122" s="843"/>
      <c r="AU122" s="843"/>
      <c r="AV122" s="844"/>
      <c r="AW122" s="208" t="str">
        <f>IFERROR(WWWW[[#This Row],['# of Water passed at source]]/WWWW[[#This Row],['# of Water tested at source]],"no test")</f>
        <v>no test</v>
      </c>
      <c r="AX122" s="211" t="str">
        <f>IFERROR(WWWW[[#This Row],['# of Water passed at HH]]/WWWW[[#This Row],['# of Water tested at HH]],"no test")</f>
        <v>no test</v>
      </c>
      <c r="AY122" s="210" t="str">
        <f>IF(AND(WWWW[[#This Row],[%of Water samples which passed at water source]]="no test",WWWW[[#This Row],[%Water samples which passed at HH]]="no test"),"No Test","Tested")</f>
        <v>No Test</v>
      </c>
      <c r="AZ12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2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0.99800399201596801</v>
      </c>
      <c r="BB122" s="211">
        <f>IF(WWWW[[#This Row],[Location Type 1]]="Village",WWWW[[#This Row],[Access to safe drinking water for Village]],WWWW[[#This Row],[Access to safe drinking water for Camp]])</f>
        <v>1</v>
      </c>
      <c r="BC122" s="209">
        <f>WWWW[[#This Row],[%Equitable and continuous access to sufficient quantity of safe drinking water]]*WWWW[[#This Row],[Total PoP ]]</f>
        <v>501</v>
      </c>
      <c r="BD122" s="211">
        <f>IF((WWWW[[#This Row],['# Existing protected/fenced ponds ]]*250)/WWWW[[#This Row],[Total PoP ]]&gt;1,1,WWWW[[#This Row],['# Existing protected/fenced ponds ]]*250/WWWW[[#This Row],[Total PoP ]])</f>
        <v>0</v>
      </c>
      <c r="BE122" s="209">
        <f>WWWW[[#This Row],[Access to unimproved water points]]*WWWW[[#This Row],[Total PoP ]]</f>
        <v>0</v>
      </c>
      <c r="BF12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2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501</v>
      </c>
      <c r="BH122" s="209">
        <f>WWWW[[#This Row],['#people Equitable and continuous access to sufficient quantity of domestic water borehole n ponds_2]]/500</f>
        <v>1.002</v>
      </c>
      <c r="BI122" s="208">
        <f>1-WWWW[[#This Row],[%Equitable and continuous access to sufficient quantity of domestic water borehole n ponds]]</f>
        <v>0</v>
      </c>
      <c r="BJ122" s="209">
        <f>WWWW[[#This Row],[%equitable and continuous access to sufficient quantity of safe drinking and domestic water''s GAP]]*WWWW[[#This Row],[Total PoP ]]</f>
        <v>0</v>
      </c>
      <c r="BK122" s="210">
        <f>IF(WWWW[[#This Row],[Total required water points]]-WWWW[[#This Row],['#Water points coverage]]&lt;0,0,WWWW[[#This Row],[Total required water points]]-WWWW[[#This Row],['#Water points coverage]])</f>
        <v>0</v>
      </c>
      <c r="BL122" s="210">
        <f>ROUND(IF(WWWW[[#This Row],[Total PoP ]]&lt;500,1,WWWW[[#This Row],[Total PoP ]]/500),0)</f>
        <v>1</v>
      </c>
      <c r="BM122" s="210">
        <f>WWWW[[#This Row],['# Existing functional latrines]]+WWWW[[#This Row],['# Existing latrines dysfunctional]]</f>
        <v>17</v>
      </c>
      <c r="BN12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0.67864271457085823</v>
      </c>
      <c r="BO122" s="352">
        <f>WWWW[[#This Row],[% people access to functioning Latrine]]*WWWW[[#This Row],[Total PoP ]]</f>
        <v>340</v>
      </c>
      <c r="BP12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0.31936127744510978</v>
      </c>
      <c r="BQ122" s="209">
        <f>IF(WWWW[[#This Row],[Total required Latrines]]-WWWW[[#This Row],[Total '# of latrine]]&lt;0,0,WWWW[[#This Row],[Total required Latrines]]-WWWW[[#This Row],[Total '# of latrine]])</f>
        <v>8</v>
      </c>
      <c r="BR122" s="210">
        <f>ROUND(IF(WWWW[[#This Row],[Location Type 1]]="camp",WWWW[[#This Row],[Total PoP ]]/20,WWWW[[#This Row],[Total PoP ]]/6),0)</f>
        <v>25</v>
      </c>
      <c r="BS122" s="212">
        <f>IF(OR(WWWW[[#This Row],['# Existing latrines dysfunctional]]="",WWWW[[#This Row],['# Existing latrines dysfunctional]]=0),0,WWWW[[#This Row],['# Existing latrines dysfunctional]]/WWWW[[#This Row],[Total '# of latrine]])</f>
        <v>0</v>
      </c>
      <c r="BT12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22" s="209">
        <f>IF(500*WWWW[[#This Row],['# Hygiene Promoters ]]&gt;WWWW[[#This Row],[Total PoP ]],WWWW[[#This Row],[Total PoP ]],500*WWWW[[#This Row],['# Hygiene Promoters ]])</f>
        <v>501</v>
      </c>
      <c r="BV122" s="209">
        <f>IF(WWWW[[#This Row],[% of HH with access to Sanitary Pad]]&gt;=100%,1,0)</f>
        <v>0</v>
      </c>
      <c r="BW122" s="209">
        <f>IF(WWWW[[#This Row],[Total PoP ]]=0,0,IF(WWWW[[#This Row],['# Hygiene Promoters ]]=0,0,IF(WWWW[[#This Row],[Location Type 1]]="Village",IF(WWWW[[#This Row],[Total PoP ]]/WWWW[[#This Row],['# Hygiene Promoters ]]&lt;1000,1,0),IF(WWWW[[#This Row],[Total PoP ]]/WWWW[[#This Row],['# Hygiene Promoters ]]&lt;600,1,0))))</f>
        <v>1</v>
      </c>
      <c r="BX122" s="209">
        <f>IF(WWWW[[#This Row],[%HH with access to soap]]&gt;=100%,1,0)</f>
        <v>0</v>
      </c>
      <c r="BY122" s="209">
        <f>IF(WWWW[[#This Row],[% of HHs with access to Sanitary pad more than '#%]]+WWWW[[#This Row],[Ratio of Hyiene promoters to people less than '#]]+WWWW[[#This Row],[% of HHs with access to soap more than '#%]]&gt;=2,WWWW[[#This Row],[Total PoP ]],0)</f>
        <v>0</v>
      </c>
      <c r="BZ122" s="208">
        <f>WWWW[[#This Row],[People adopt basic personal and community hygiene practices]]/WWWW[[#This Row],[Total PoP ]]</f>
        <v>0</v>
      </c>
      <c r="CA122" s="212">
        <f>1-WWWW[[#This Row],[Hygiene Coverage%]]</f>
        <v>1</v>
      </c>
      <c r="CB122" s="211">
        <f>WWWW[[#This Row],['# people reached by regular dedicated hygiene promotion_5]]/WWWW[[#This Row],[Total PoP ]]</f>
        <v>1</v>
      </c>
      <c r="CC122" s="211">
        <f>IF(WWWW[[#This Row],['# HH received soaps]]/WWWW[[#This Row],[Total HH]]&gt;1,1,WWWW[[#This Row],['# HH received soaps]]/WWWW[[#This Row],[Total HH]])</f>
        <v>0</v>
      </c>
      <c r="CD122" s="211">
        <f>IF(WWWW[[#This Row],['# HH received Sanitary Pads]]/WWWW[[#This Row],[Total HH]]&gt;1,1,WWWW[[#This Row],['# HH received Sanitary Pads]]/WWWW[[#This Row],[Total HH]])</f>
        <v>0</v>
      </c>
      <c r="CE122" s="210">
        <f>WWWW[[#This Row],['# HH received soaps]]*5</f>
        <v>0</v>
      </c>
      <c r="CF122" s="210">
        <f>WWWW[[#This Row],['# HH received Sanitary Pads]]*5</f>
        <v>0</v>
      </c>
      <c r="CG122" s="210">
        <f>IF(WWWW[[#This Row],['# People with access to soap]]&gt;WWWW[[#This Row],['# People with access to Sanity Pads]],WWWW[[#This Row],['# People with access to soap]],WWWW[[#This Row],['# People with access to Sanity Pads]])</f>
        <v>0</v>
      </c>
      <c r="CH122" s="209">
        <f>WWWW[[#This Row],[Total HH]]*WWWW[[#This Row],[%HHs with access to functional hand washing stations]]</f>
        <v>54.6</v>
      </c>
      <c r="CI122" s="699" t="str">
        <f>VLOOKUP(WWWW[[#This Row],[Site Name]],SiteDB6[[Site Name]:[CCCM Management]],6,FALSE)</f>
        <v>Yes</v>
      </c>
      <c r="CJ122" s="699" t="str">
        <f>VLOOKUP(WWWW[[#This Row],[Site Name]],SiteDB6[[Site Name]:[CCCM Focal Agency]],7,FALSE)</f>
        <v>KBC</v>
      </c>
      <c r="CK122" s="699" t="str">
        <f>VLOOKUP(WWWW[[#This Row],[Site Name]],SiteDB6[[Site Name]:[Location Type]],8,FALSE)</f>
        <v>Camp</v>
      </c>
      <c r="CL122" s="699" t="str">
        <f>VLOOKUP(WWWW[[#This Row],[Site Name]],SiteDB6[[Site Name]:[Location Type 1]],9,FALSE)</f>
        <v>Camp</v>
      </c>
      <c r="CM122" s="699" t="str">
        <f>VLOOKUP(WWWW[[#This Row],[Site Name]],SiteDB6[[Site Name]:[Type of Accommodation]],10,FALSE)</f>
        <v>Camp</v>
      </c>
      <c r="CN122" s="699" t="str">
        <f>VLOOKUP(WWWW[[#This Row],[Site Name]],SiteDB6[[Site Name]:[Ethnic or GCA/NGCA]],11,FALSE)</f>
        <v>GCA</v>
      </c>
      <c r="CO122" s="699">
        <f>VLOOKUP(WWWW[[#This Row],[Site Name]],SiteDB6[[Site Name]:[Lat]],12,FALSE)</f>
        <v>25.440928</v>
      </c>
      <c r="CP122" s="699">
        <f>VLOOKUP(WWWW[[#This Row],[Site Name]],SiteDB6[[Site Name]:[Long]],13,FALSE)</f>
        <v>97.419403000000003</v>
      </c>
      <c r="CQ122" s="699" t="str">
        <f>VLOOKUP(WWWW[[#This Row],[Site Name]],SiteDB6[[Site Name]:[Pcode]],3,FALSE)</f>
        <v>MMR001CMP009</v>
      </c>
      <c r="CR122" s="660" t="str">
        <f t="shared" si="1"/>
        <v>Covered</v>
      </c>
      <c r="CS122" s="660"/>
      <c r="CT122" s="24"/>
      <c r="CU122" s="24"/>
      <c r="CV122" s="24"/>
    </row>
    <row r="123" spans="1:100" ht="15.75" customHeight="1" x14ac:dyDescent="0.25">
      <c r="A123" s="833" t="s">
        <v>3206</v>
      </c>
      <c r="B123" s="206" t="s">
        <v>460</v>
      </c>
      <c r="C123" s="206" t="s">
        <v>44</v>
      </c>
      <c r="D123" s="206" t="s">
        <v>305</v>
      </c>
      <c r="E123" s="206" t="s">
        <v>2670</v>
      </c>
      <c r="F123" s="206">
        <v>235</v>
      </c>
      <c r="G123" s="209">
        <v>1043</v>
      </c>
      <c r="H123" s="206"/>
      <c r="I123" s="206"/>
      <c r="J123" s="207"/>
      <c r="K123" s="206"/>
      <c r="L123" s="206"/>
      <c r="M123" s="208"/>
      <c r="N123" s="208"/>
      <c r="O123" s="316"/>
      <c r="P123" s="317"/>
      <c r="Q123" s="317"/>
      <c r="R123" s="318"/>
      <c r="S123" s="318"/>
      <c r="T123" s="318"/>
      <c r="U123" s="318"/>
      <c r="V123" s="318"/>
      <c r="W123" s="318"/>
      <c r="X123" s="318"/>
      <c r="Y123" s="318"/>
      <c r="Z123" s="318"/>
      <c r="AA123" s="310"/>
      <c r="AB123" s="310"/>
      <c r="AC123" s="66"/>
      <c r="AD123" s="66"/>
      <c r="AE123" s="310"/>
      <c r="AF123" s="310"/>
      <c r="AG123" s="311"/>
      <c r="AH123" s="311"/>
      <c r="AI123" s="310"/>
      <c r="AJ123" s="310"/>
      <c r="AK123" s="841"/>
      <c r="AL123" s="842"/>
      <c r="AM123" s="842"/>
      <c r="AN123" s="863"/>
      <c r="AO123" s="863"/>
      <c r="AP123" s="838"/>
      <c r="AQ123" s="843"/>
      <c r="AR123" s="843"/>
      <c r="AS123" s="843"/>
      <c r="AT123" s="843"/>
      <c r="AU123" s="843"/>
      <c r="AV123" s="844"/>
      <c r="AW123" s="208" t="str">
        <f>IFERROR(WWWW[[#This Row],['# of Water passed at source]]/WWWW[[#This Row],['# of Water tested at source]],"no test")</f>
        <v>no test</v>
      </c>
      <c r="AX123" s="211" t="str">
        <f>IFERROR(WWWW[[#This Row],['# of Water passed at HH]]/WWWW[[#This Row],['# of Water tested at HH]],"no test")</f>
        <v>no test</v>
      </c>
      <c r="AY123" s="210" t="str">
        <f>IF(AND(WWWW[[#This Row],[%of Water samples which passed at water source]]="no test",WWWW[[#This Row],[%Water samples which passed at HH]]="no test"),"No Test","Tested")</f>
        <v>No Test</v>
      </c>
      <c r="AZ12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2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23" s="211">
        <f>IF(WWWW[[#This Row],[Location Type 1]]="Village",WWWW[[#This Row],[Access to safe drinking water for Village]],WWWW[[#This Row],[Access to safe drinking water for Camp]])</f>
        <v>0</v>
      </c>
      <c r="BC123" s="209">
        <f>WWWW[[#This Row],[%Equitable and continuous access to sufficient quantity of safe drinking water]]*WWWW[[#This Row],[Total PoP ]]</f>
        <v>0</v>
      </c>
      <c r="BD123" s="211">
        <f>IF((WWWW[[#This Row],['# Existing protected/fenced ponds ]]*250)/WWWW[[#This Row],[Total PoP ]]&gt;1,1,WWWW[[#This Row],['# Existing protected/fenced ponds ]]*250/WWWW[[#This Row],[Total PoP ]])</f>
        <v>0</v>
      </c>
      <c r="BE123" s="209">
        <f>WWWW[[#This Row],[Access to unimproved water points]]*WWWW[[#This Row],[Total PoP ]]</f>
        <v>0</v>
      </c>
      <c r="BF12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2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23" s="209">
        <f>WWWW[[#This Row],['#people Equitable and continuous access to sufficient quantity of domestic water borehole n ponds_2]]/500</f>
        <v>0</v>
      </c>
      <c r="BI123" s="208">
        <f>1-WWWW[[#This Row],[%Equitable and continuous access to sufficient quantity of domestic water borehole n ponds]]</f>
        <v>1</v>
      </c>
      <c r="BJ123" s="209">
        <f>WWWW[[#This Row],[%equitable and continuous access to sufficient quantity of safe drinking and domestic water''s GAP]]*WWWW[[#This Row],[Total PoP ]]</f>
        <v>1043</v>
      </c>
      <c r="BK123" s="210">
        <f>IF(WWWW[[#This Row],[Total required water points]]-WWWW[[#This Row],['#Water points coverage]]&lt;0,0,WWWW[[#This Row],[Total required water points]]-WWWW[[#This Row],['#Water points coverage]])</f>
        <v>2</v>
      </c>
      <c r="BL123" s="210">
        <f>ROUND(IF(WWWW[[#This Row],[Total PoP ]]&lt;500,1,WWWW[[#This Row],[Total PoP ]]/500),0)</f>
        <v>2</v>
      </c>
      <c r="BM123" s="210">
        <f>WWWW[[#This Row],['# Existing functional latrines]]+WWWW[[#This Row],['# Existing latrines dysfunctional]]</f>
        <v>0</v>
      </c>
      <c r="BN12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23" s="352">
        <f>WWWW[[#This Row],[% people access to functioning Latrine]]*WWWW[[#This Row],[Total PoP ]]</f>
        <v>0</v>
      </c>
      <c r="BP12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0.99712368168744014</v>
      </c>
      <c r="BQ123" s="209">
        <f>IF(WWWW[[#This Row],[Total required Latrines]]-WWWW[[#This Row],[Total '# of latrine]]&lt;0,0,WWWW[[#This Row],[Total required Latrines]]-WWWW[[#This Row],[Total '# of latrine]])</f>
        <v>52</v>
      </c>
      <c r="BR123" s="210">
        <f>ROUND(IF(WWWW[[#This Row],[Location Type 1]]="camp",WWWW[[#This Row],[Total PoP ]]/20,WWWW[[#This Row],[Total PoP ]]/6),0)</f>
        <v>52</v>
      </c>
      <c r="BS123" s="212">
        <f>IF(OR(WWWW[[#This Row],['# Existing latrines dysfunctional]]="",WWWW[[#This Row],['# Existing latrines dysfunctional]]=0),0,WWWW[[#This Row],['# Existing latrines dysfunctional]]/WWWW[[#This Row],[Total '# of latrine]])</f>
        <v>0</v>
      </c>
      <c r="BT12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23" s="209">
        <f>IF(500*WWWW[[#This Row],['# Hygiene Promoters ]]&gt;WWWW[[#This Row],[Total PoP ]],WWWW[[#This Row],[Total PoP ]],500*WWWW[[#This Row],['# Hygiene Promoters ]])</f>
        <v>0</v>
      </c>
      <c r="BV123" s="209">
        <f>IF(WWWW[[#This Row],[% of HH with access to Sanitary Pad]]&gt;=100%,1,0)</f>
        <v>0</v>
      </c>
      <c r="BW123" s="209">
        <f>IF(WWWW[[#This Row],[Total PoP ]]=0,0,IF(WWWW[[#This Row],['# Hygiene Promoters ]]=0,0,IF(WWWW[[#This Row],[Location Type 1]]="Village",IF(WWWW[[#This Row],[Total PoP ]]/WWWW[[#This Row],['# Hygiene Promoters ]]&lt;1000,1,0),IF(WWWW[[#This Row],[Total PoP ]]/WWWW[[#This Row],['# Hygiene Promoters ]]&lt;600,1,0))))</f>
        <v>0</v>
      </c>
      <c r="BX123" s="209">
        <f>IF(WWWW[[#This Row],[%HH with access to soap]]&gt;=100%,1,0)</f>
        <v>0</v>
      </c>
      <c r="BY123" s="209">
        <f>IF(WWWW[[#This Row],[% of HHs with access to Sanitary pad more than '#%]]+WWWW[[#This Row],[Ratio of Hyiene promoters to people less than '#]]+WWWW[[#This Row],[% of HHs with access to soap more than '#%]]&gt;=2,WWWW[[#This Row],[Total PoP ]],0)</f>
        <v>0</v>
      </c>
      <c r="BZ123" s="208">
        <f>WWWW[[#This Row],[People adopt basic personal and community hygiene practices]]/WWWW[[#This Row],[Total PoP ]]</f>
        <v>0</v>
      </c>
      <c r="CA123" s="212">
        <f>1-WWWW[[#This Row],[Hygiene Coverage%]]</f>
        <v>1</v>
      </c>
      <c r="CB123" s="211">
        <f>WWWW[[#This Row],['# people reached by regular dedicated hygiene promotion_5]]/WWWW[[#This Row],[Total PoP ]]</f>
        <v>0</v>
      </c>
      <c r="CC123" s="211">
        <f>IF(WWWW[[#This Row],['# HH received soaps]]/WWWW[[#This Row],[Total HH]]&gt;1,1,WWWW[[#This Row],['# HH received soaps]]/WWWW[[#This Row],[Total HH]])</f>
        <v>0</v>
      </c>
      <c r="CD123" s="211">
        <f>IF(WWWW[[#This Row],['# HH received Sanitary Pads]]/WWWW[[#This Row],[Total HH]]&gt;1,1,WWWW[[#This Row],['# HH received Sanitary Pads]]/WWWW[[#This Row],[Total HH]])</f>
        <v>0</v>
      </c>
      <c r="CE123" s="210">
        <f>WWWW[[#This Row],['# HH received soaps]]*5</f>
        <v>0</v>
      </c>
      <c r="CF123" s="210">
        <f>WWWW[[#This Row],['# HH received Sanitary Pads]]*5</f>
        <v>0</v>
      </c>
      <c r="CG123" s="210">
        <f>IF(WWWW[[#This Row],['# People with access to soap]]&gt;WWWW[[#This Row],['# People with access to Sanity Pads]],WWWW[[#This Row],['# People with access to soap]],WWWW[[#This Row],['# People with access to Sanity Pads]])</f>
        <v>0</v>
      </c>
      <c r="CH123" s="209">
        <f>WWWW[[#This Row],[Total HH]]*WWWW[[#This Row],[%HHs with access to functional hand washing stations]]</f>
        <v>0</v>
      </c>
      <c r="CI123" s="699">
        <f>VLOOKUP(WWWW[[#This Row],[Site Name]],SiteDB6[[Site Name]:[CCCM Management]],6,FALSE)</f>
        <v>0</v>
      </c>
      <c r="CJ123" s="699" t="str">
        <f>VLOOKUP(WWWW[[#This Row],[Site Name]],SiteDB6[[Site Name]:[CCCM Focal Agency]],7,FALSE)</f>
        <v>uncovered</v>
      </c>
      <c r="CK123" s="699" t="str">
        <f>VLOOKUP(WWWW[[#This Row],[Site Name]],SiteDB6[[Site Name]:[Location Type]],8,FALSE)</f>
        <v>Camp</v>
      </c>
      <c r="CL123" s="699" t="str">
        <f>VLOOKUP(WWWW[[#This Row],[Site Name]],SiteDB6[[Site Name]:[Location Type 1]],9,FALSE)</f>
        <v>Camp</v>
      </c>
      <c r="CM123" s="699" t="str">
        <f>VLOOKUP(WWWW[[#This Row],[Site Name]],SiteDB6[[Site Name]:[Type of Accommodation]],10,FALSE)</f>
        <v>Camp like setting</v>
      </c>
      <c r="CN123" s="699" t="str">
        <f>VLOOKUP(WWWW[[#This Row],[Site Name]],SiteDB6[[Site Name]:[Ethnic or GCA/NGCA]],11,FALSE)</f>
        <v>GCA</v>
      </c>
      <c r="CO123" s="699">
        <f>VLOOKUP(WWWW[[#This Row],[Site Name]],SiteDB6[[Site Name]:[Lat]],12,FALSE)</f>
        <v>97.49136</v>
      </c>
      <c r="CP123" s="699">
        <f>VLOOKUP(WWWW[[#This Row],[Site Name]],SiteDB6[[Site Name]:[Long]],13,FALSE)</f>
        <v>25.717300000000002</v>
      </c>
      <c r="CQ123" s="699" t="str">
        <f>VLOOKUP(WWWW[[#This Row],[Site Name]],SiteDB6[[Site Name]:[Pcode]],3,FALSE)</f>
        <v>MMR001CMP264</v>
      </c>
      <c r="CR123" s="660" t="str">
        <f t="shared" si="1"/>
        <v>Notcovered</v>
      </c>
      <c r="CS123" s="660"/>
      <c r="CT123" s="24"/>
      <c r="CU123" s="24"/>
      <c r="CV123" s="24"/>
    </row>
    <row r="124" spans="1:100" ht="15.75" customHeight="1" x14ac:dyDescent="0.25">
      <c r="A124" s="833" t="s">
        <v>3206</v>
      </c>
      <c r="B124" s="206" t="s">
        <v>287</v>
      </c>
      <c r="C124" s="206" t="s">
        <v>44</v>
      </c>
      <c r="D124" s="206" t="s">
        <v>305</v>
      </c>
      <c r="E124" s="206" t="s">
        <v>316</v>
      </c>
      <c r="F124" s="206">
        <v>69</v>
      </c>
      <c r="G124" s="209">
        <v>369</v>
      </c>
      <c r="H124" s="206"/>
      <c r="I124" s="206" t="s">
        <v>290</v>
      </c>
      <c r="J124" s="207" t="s">
        <v>3253</v>
      </c>
      <c r="K124" s="206">
        <v>0</v>
      </c>
      <c r="L124" s="206" t="s">
        <v>48</v>
      </c>
      <c r="M124" s="208">
        <v>0.6</v>
      </c>
      <c r="N124" s="208">
        <v>0.5</v>
      </c>
      <c r="O124" s="316">
        <v>0</v>
      </c>
      <c r="P124" s="317">
        <v>2</v>
      </c>
      <c r="Q124" s="317">
        <v>1500</v>
      </c>
      <c r="R124" s="318">
        <v>0</v>
      </c>
      <c r="S124" s="318">
        <v>0</v>
      </c>
      <c r="T124" s="318"/>
      <c r="U124" s="318">
        <v>0</v>
      </c>
      <c r="V124" s="318">
        <v>0</v>
      </c>
      <c r="W124" s="318">
        <v>0</v>
      </c>
      <c r="X124" s="318">
        <v>0</v>
      </c>
      <c r="Y124" s="318">
        <v>0</v>
      </c>
      <c r="Z124" s="318"/>
      <c r="AA124" s="310">
        <v>11</v>
      </c>
      <c r="AB124" s="310">
        <v>8</v>
      </c>
      <c r="AC124" s="66">
        <v>0</v>
      </c>
      <c r="AD124" s="66"/>
      <c r="AE124" s="310">
        <v>0</v>
      </c>
      <c r="AF124" s="310" t="s">
        <v>283</v>
      </c>
      <c r="AG124" s="311" t="s">
        <v>283</v>
      </c>
      <c r="AH124" s="311"/>
      <c r="AI124" s="310"/>
      <c r="AJ124" s="310"/>
      <c r="AK124" s="841">
        <v>0.6</v>
      </c>
      <c r="AL124" s="842" t="s">
        <v>291</v>
      </c>
      <c r="AM124" s="842">
        <v>0</v>
      </c>
      <c r="AN124" s="863">
        <v>2</v>
      </c>
      <c r="AO124" s="863">
        <v>2</v>
      </c>
      <c r="AP124" s="838">
        <v>0</v>
      </c>
      <c r="AQ124" s="843">
        <v>0</v>
      </c>
      <c r="AR124" s="843"/>
      <c r="AS124" s="843"/>
      <c r="AT124" s="843"/>
      <c r="AU124" s="843"/>
      <c r="AV124" s="844"/>
      <c r="AW124" s="208" t="str">
        <f>IFERROR(WWWW[[#This Row],['# of Water passed at source]]/WWWW[[#This Row],['# of Water tested at source]],"no test")</f>
        <v>no test</v>
      </c>
      <c r="AX124" s="211" t="str">
        <f>IFERROR(WWWW[[#This Row],['# of Water passed at HH]]/WWWW[[#This Row],['# of Water tested at HH]],"no test")</f>
        <v>no test</v>
      </c>
      <c r="AY124" s="210" t="str">
        <f>IF(AND(WWWW[[#This Row],[%of Water samples which passed at water source]]="no test",WWWW[[#This Row],[%Water samples which passed at HH]]="no test"),"No Test","Tested")</f>
        <v>No Test</v>
      </c>
      <c r="AZ12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2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24" s="211">
        <f>IF(WWWW[[#This Row],[Location Type 1]]="Village",WWWW[[#This Row],[Access to safe drinking water for Village]],WWWW[[#This Row],[Access to safe drinking water for Camp]])</f>
        <v>1</v>
      </c>
      <c r="BC124" s="209">
        <f>WWWW[[#This Row],[%Equitable and continuous access to sufficient quantity of safe drinking water]]*WWWW[[#This Row],[Total PoP ]]</f>
        <v>369</v>
      </c>
      <c r="BD124" s="211">
        <f>IF((WWWW[[#This Row],['# Existing protected/fenced ponds ]]*250)/WWWW[[#This Row],[Total PoP ]]&gt;1,1,WWWW[[#This Row],['# Existing protected/fenced ponds ]]*250/WWWW[[#This Row],[Total PoP ]])</f>
        <v>0</v>
      </c>
      <c r="BE124" s="209">
        <f>WWWW[[#This Row],[Access to unimproved water points]]*WWWW[[#This Row],[Total PoP ]]</f>
        <v>0</v>
      </c>
      <c r="BF12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2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369</v>
      </c>
      <c r="BH124" s="209">
        <f>WWWW[[#This Row],['#people Equitable and continuous access to sufficient quantity of domestic water borehole n ponds_2]]/500</f>
        <v>0.73799999999999999</v>
      </c>
      <c r="BI124" s="208">
        <f>1-WWWW[[#This Row],[%Equitable and continuous access to sufficient quantity of domestic water borehole n ponds]]</f>
        <v>0</v>
      </c>
      <c r="BJ124" s="209">
        <f>WWWW[[#This Row],[%equitable and continuous access to sufficient quantity of safe drinking and domestic water''s GAP]]*WWWW[[#This Row],[Total PoP ]]</f>
        <v>0</v>
      </c>
      <c r="BK124" s="210">
        <f>IF(WWWW[[#This Row],[Total required water points]]-WWWW[[#This Row],['#Water points coverage]]&lt;0,0,WWWW[[#This Row],[Total required water points]]-WWWW[[#This Row],['#Water points coverage]])</f>
        <v>0.26200000000000001</v>
      </c>
      <c r="BL124" s="210">
        <f>ROUND(IF(WWWW[[#This Row],[Total PoP ]]&lt;500,1,WWWW[[#This Row],[Total PoP ]]/500),0)</f>
        <v>1</v>
      </c>
      <c r="BM124" s="210">
        <f>WWWW[[#This Row],['# Existing functional latrines]]+WWWW[[#This Row],['# Existing latrines dysfunctional]]</f>
        <v>19</v>
      </c>
      <c r="BN12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0.59620596205962062</v>
      </c>
      <c r="BO124" s="352">
        <f>WWWW[[#This Row],[% people access to functioning Latrine]]*WWWW[[#This Row],[Total PoP ]]</f>
        <v>220</v>
      </c>
      <c r="BP12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24" s="209">
        <f>IF(WWWW[[#This Row],[Total required Latrines]]-WWWW[[#This Row],[Total '# of latrine]]&lt;0,0,WWWW[[#This Row],[Total required Latrines]]-WWWW[[#This Row],[Total '# of latrine]])</f>
        <v>0</v>
      </c>
      <c r="BR124" s="210">
        <f>ROUND(IF(WWWW[[#This Row],[Location Type 1]]="camp",WWWW[[#This Row],[Total PoP ]]/20,WWWW[[#This Row],[Total PoP ]]/6),0)</f>
        <v>18</v>
      </c>
      <c r="BS124" s="212">
        <f>IF(OR(WWWW[[#This Row],['# Existing latrines dysfunctional]]="",WWWW[[#This Row],['# Existing latrines dysfunctional]]=0),0,WWWW[[#This Row],['# Existing latrines dysfunctional]]/WWWW[[#This Row],[Total '# of latrine]])</f>
        <v>0.42105263157894735</v>
      </c>
      <c r="BT12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24" s="209">
        <f>IF(500*WWWW[[#This Row],['# Hygiene Promoters ]]&gt;WWWW[[#This Row],[Total PoP ]],WWWW[[#This Row],[Total PoP ]],500*WWWW[[#This Row],['# Hygiene Promoters ]])</f>
        <v>369</v>
      </c>
      <c r="BV124" s="209">
        <f>IF(WWWW[[#This Row],[% of HH with access to Sanitary Pad]]&gt;=100%,1,0)</f>
        <v>0</v>
      </c>
      <c r="BW124" s="209">
        <f>IF(WWWW[[#This Row],[Total PoP ]]=0,0,IF(WWWW[[#This Row],['# Hygiene Promoters ]]=0,0,IF(WWWW[[#This Row],[Location Type 1]]="Village",IF(WWWW[[#This Row],[Total PoP ]]/WWWW[[#This Row],['# Hygiene Promoters ]]&lt;1000,1,0),IF(WWWW[[#This Row],[Total PoP ]]/WWWW[[#This Row],['# Hygiene Promoters ]]&lt;600,1,0))))</f>
        <v>1</v>
      </c>
      <c r="BX124" s="209">
        <f>IF(WWWW[[#This Row],[%HH with access to soap]]&gt;=100%,1,0)</f>
        <v>0</v>
      </c>
      <c r="BY124" s="209">
        <f>IF(WWWW[[#This Row],[% of HHs with access to Sanitary pad more than '#%]]+WWWW[[#This Row],[Ratio of Hyiene promoters to people less than '#]]+WWWW[[#This Row],[% of HHs with access to soap more than '#%]]&gt;=2,WWWW[[#This Row],[Total PoP ]],0)</f>
        <v>0</v>
      </c>
      <c r="BZ124" s="208">
        <f>WWWW[[#This Row],[People adopt basic personal and community hygiene practices]]/WWWW[[#This Row],[Total PoP ]]</f>
        <v>0</v>
      </c>
      <c r="CA124" s="212">
        <f>1-WWWW[[#This Row],[Hygiene Coverage%]]</f>
        <v>1</v>
      </c>
      <c r="CB124" s="211">
        <f>WWWW[[#This Row],['# people reached by regular dedicated hygiene promotion_5]]/WWWW[[#This Row],[Total PoP ]]</f>
        <v>1</v>
      </c>
      <c r="CC124" s="211">
        <f>IF(WWWW[[#This Row],['# HH received soaps]]/WWWW[[#This Row],[Total HH]]&gt;1,1,WWWW[[#This Row],['# HH received soaps]]/WWWW[[#This Row],[Total HH]])</f>
        <v>0</v>
      </c>
      <c r="CD124" s="211">
        <f>IF(WWWW[[#This Row],['# HH received Sanitary Pads]]/WWWW[[#This Row],[Total HH]]&gt;1,1,WWWW[[#This Row],['# HH received Sanitary Pads]]/WWWW[[#This Row],[Total HH]])</f>
        <v>0</v>
      </c>
      <c r="CE124" s="210">
        <f>WWWW[[#This Row],['# HH received soaps]]*5</f>
        <v>0</v>
      </c>
      <c r="CF124" s="210">
        <f>WWWW[[#This Row],['# HH received Sanitary Pads]]*5</f>
        <v>0</v>
      </c>
      <c r="CG124" s="210">
        <f>IF(WWWW[[#This Row],['# People with access to soap]]&gt;WWWW[[#This Row],['# People with access to Sanity Pads]],WWWW[[#This Row],['# People with access to soap]],WWWW[[#This Row],['# People with access to Sanity Pads]])</f>
        <v>0</v>
      </c>
      <c r="CH124" s="209">
        <f>WWWW[[#This Row],[Total HH]]*WWWW[[#This Row],[%HHs with access to functional hand washing stations]]</f>
        <v>41.4</v>
      </c>
      <c r="CI124" s="699" t="str">
        <f>VLOOKUP(WWWW[[#This Row],[Site Name]],SiteDB6[[Site Name]:[CCCM Management]],6,FALSE)</f>
        <v>Yes</v>
      </c>
      <c r="CJ124" s="699" t="str">
        <f>VLOOKUP(WWWW[[#This Row],[Site Name]],SiteDB6[[Site Name]:[CCCM Focal Agency]],7,FALSE)</f>
        <v>KBC</v>
      </c>
      <c r="CK124" s="699" t="str">
        <f>VLOOKUP(WWWW[[#This Row],[Site Name]],SiteDB6[[Site Name]:[Location Type]],8,FALSE)</f>
        <v>Camp</v>
      </c>
      <c r="CL124" s="699" t="str">
        <f>VLOOKUP(WWWW[[#This Row],[Site Name]],SiteDB6[[Site Name]:[Location Type 1]],9,FALSE)</f>
        <v>Camp</v>
      </c>
      <c r="CM124" s="699" t="str">
        <f>VLOOKUP(WWWW[[#This Row],[Site Name]],SiteDB6[[Site Name]:[Type of Accommodation]],10,FALSE)</f>
        <v>Camp</v>
      </c>
      <c r="CN124" s="699" t="str">
        <f>VLOOKUP(WWWW[[#This Row],[Site Name]],SiteDB6[[Site Name]:[Ethnic or GCA/NGCA]],11,FALSE)</f>
        <v>GCA</v>
      </c>
      <c r="CO124" s="699">
        <f>VLOOKUP(WWWW[[#This Row],[Site Name]],SiteDB6[[Site Name]:[Lat]],12,FALSE)</f>
        <v>25.415482000000001</v>
      </c>
      <c r="CP124" s="699">
        <f>VLOOKUP(WWWW[[#This Row],[Site Name]],SiteDB6[[Site Name]:[Long]],13,FALSE)</f>
        <v>97.386718999999999</v>
      </c>
      <c r="CQ124" s="699" t="str">
        <f>VLOOKUP(WWWW[[#This Row],[Site Name]],SiteDB6[[Site Name]:[Pcode]],3,FALSE)</f>
        <v>MMR001CMP001</v>
      </c>
      <c r="CR124" s="660" t="str">
        <f t="shared" si="1"/>
        <v>Covered</v>
      </c>
      <c r="CS124" s="660"/>
      <c r="CT124" s="24"/>
      <c r="CU124" s="24"/>
      <c r="CV124" s="24"/>
    </row>
    <row r="125" spans="1:100" ht="15.75" customHeight="1" x14ac:dyDescent="0.25">
      <c r="A125" s="833" t="s">
        <v>3206</v>
      </c>
      <c r="B125" s="206" t="s">
        <v>389</v>
      </c>
      <c r="C125" s="206" t="s">
        <v>44</v>
      </c>
      <c r="D125" s="206" t="s">
        <v>305</v>
      </c>
      <c r="E125" s="206" t="s">
        <v>416</v>
      </c>
      <c r="F125" s="206">
        <v>54</v>
      </c>
      <c r="G125" s="209">
        <v>266</v>
      </c>
      <c r="H125" s="206"/>
      <c r="I125" s="206" t="s">
        <v>391</v>
      </c>
      <c r="J125" s="207">
        <v>42947</v>
      </c>
      <c r="K125" s="206">
        <v>0</v>
      </c>
      <c r="L125" s="206" t="s">
        <v>48</v>
      </c>
      <c r="M125" s="208">
        <v>0.71</v>
      </c>
      <c r="N125" s="208">
        <v>1</v>
      </c>
      <c r="O125" s="316">
        <v>1</v>
      </c>
      <c r="P125" s="317">
        <v>4</v>
      </c>
      <c r="Q125" s="317">
        <v>2000</v>
      </c>
      <c r="R125" s="318">
        <v>0</v>
      </c>
      <c r="S125" s="318">
        <v>1</v>
      </c>
      <c r="T125" s="318"/>
      <c r="U125" s="318">
        <v>4</v>
      </c>
      <c r="V125" s="318">
        <v>4</v>
      </c>
      <c r="W125" s="318">
        <v>4</v>
      </c>
      <c r="X125" s="318">
        <v>1</v>
      </c>
      <c r="Y125" s="318">
        <v>0</v>
      </c>
      <c r="Z125" s="318"/>
      <c r="AA125" s="310">
        <v>10</v>
      </c>
      <c r="AB125" s="310">
        <v>2</v>
      </c>
      <c r="AC125" s="66">
        <v>4</v>
      </c>
      <c r="AD125" s="66" t="s">
        <v>2782</v>
      </c>
      <c r="AE125" s="310">
        <v>10</v>
      </c>
      <c r="AF125" s="310" t="s">
        <v>283</v>
      </c>
      <c r="AG125" s="311" t="s">
        <v>283</v>
      </c>
      <c r="AH125" s="311">
        <v>0</v>
      </c>
      <c r="AI125" s="310">
        <v>0</v>
      </c>
      <c r="AJ125" s="310"/>
      <c r="AK125" s="841">
        <v>0.5</v>
      </c>
      <c r="AL125" s="842" t="s">
        <v>376</v>
      </c>
      <c r="AM125" s="842">
        <v>0</v>
      </c>
      <c r="AN125" s="863">
        <v>4</v>
      </c>
      <c r="AO125" s="863">
        <v>0</v>
      </c>
      <c r="AP125" s="838">
        <v>0</v>
      </c>
      <c r="AQ125" s="843">
        <v>0</v>
      </c>
      <c r="AR125" s="843"/>
      <c r="AS125" s="843"/>
      <c r="AT125" s="843">
        <v>1</v>
      </c>
      <c r="AU125" s="843"/>
      <c r="AV125" s="844"/>
      <c r="AW125" s="208">
        <f>IFERROR(WWWW[[#This Row],['# of Water passed at source]]/WWWW[[#This Row],['# of Water tested at source]],"no test")</f>
        <v>1</v>
      </c>
      <c r="AX125" s="211">
        <f>IFERROR(WWWW[[#This Row],['# of Water passed at HH]]/WWWW[[#This Row],['# of Water tested at HH]],"no test")</f>
        <v>0.25</v>
      </c>
      <c r="AY125" s="210" t="str">
        <f>IF(AND(WWWW[[#This Row],[%of Water samples which passed at water source]]="no test",WWWW[[#This Row],[%Water samples which passed at HH]]="no test"),"No Test","Tested")</f>
        <v>Tested</v>
      </c>
      <c r="AZ12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2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25" s="211">
        <f>IF(WWWW[[#This Row],[Location Type 1]]="Village",WWWW[[#This Row],[Access to safe drinking water for Village]],WWWW[[#This Row],[Access to safe drinking water for Camp]])</f>
        <v>1</v>
      </c>
      <c r="BC125" s="209">
        <f>WWWW[[#This Row],[%Equitable and continuous access to sufficient quantity of safe drinking water]]*WWWW[[#This Row],[Total PoP ]]</f>
        <v>266</v>
      </c>
      <c r="BD125" s="211">
        <f>IF((WWWW[[#This Row],['# Existing protected/fenced ponds ]]*250)/WWWW[[#This Row],[Total PoP ]]&gt;1,1,WWWW[[#This Row],['# Existing protected/fenced ponds ]]*250/WWWW[[#This Row],[Total PoP ]])</f>
        <v>0</v>
      </c>
      <c r="BE125" s="209">
        <f>WWWW[[#This Row],[Access to unimproved water points]]*WWWW[[#This Row],[Total PoP ]]</f>
        <v>0</v>
      </c>
      <c r="BF12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2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266</v>
      </c>
      <c r="BH125" s="209">
        <f>WWWW[[#This Row],['#people Equitable and continuous access to sufficient quantity of domestic water borehole n ponds_2]]/500</f>
        <v>0.53200000000000003</v>
      </c>
      <c r="BI125" s="208">
        <f>1-WWWW[[#This Row],[%Equitable and continuous access to sufficient quantity of domestic water borehole n ponds]]</f>
        <v>0</v>
      </c>
      <c r="BJ125" s="209">
        <f>WWWW[[#This Row],[%equitable and continuous access to sufficient quantity of safe drinking and domestic water''s GAP]]*WWWW[[#This Row],[Total PoP ]]</f>
        <v>0</v>
      </c>
      <c r="BK125" s="210">
        <f>IF(WWWW[[#This Row],[Total required water points]]-WWWW[[#This Row],['#Water points coverage]]&lt;0,0,WWWW[[#This Row],[Total required water points]]-WWWW[[#This Row],['#Water points coverage]])</f>
        <v>0.46799999999999997</v>
      </c>
      <c r="BL125" s="210">
        <f>ROUND(IF(WWWW[[#This Row],[Total PoP ]]&lt;500,1,WWWW[[#This Row],[Total PoP ]]/500),0)</f>
        <v>1</v>
      </c>
      <c r="BM125" s="210">
        <f>WWWW[[#This Row],['# Existing functional latrines]]+WWWW[[#This Row],['# Existing latrines dysfunctional]]</f>
        <v>12</v>
      </c>
      <c r="BN12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0.75187969924812026</v>
      </c>
      <c r="BO125" s="352">
        <f>WWWW[[#This Row],[% people access to functioning Latrine]]*WWWW[[#This Row],[Total PoP ]]</f>
        <v>200</v>
      </c>
      <c r="BP12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7.5187969924812026E-2</v>
      </c>
      <c r="BQ125" s="209">
        <f>IF(WWWW[[#This Row],[Total required Latrines]]-WWWW[[#This Row],[Total '# of latrine]]&lt;0,0,WWWW[[#This Row],[Total required Latrines]]-WWWW[[#This Row],[Total '# of latrine]])</f>
        <v>1</v>
      </c>
      <c r="BR125" s="210">
        <f>ROUND(IF(WWWW[[#This Row],[Location Type 1]]="camp",WWWW[[#This Row],[Total PoP ]]/20,WWWW[[#This Row],[Total PoP ]]/6),0)</f>
        <v>13</v>
      </c>
      <c r="BS125" s="212">
        <f>IF(OR(WWWW[[#This Row],['# Existing latrines dysfunctional]]="",WWWW[[#This Row],['# Existing latrines dysfunctional]]=0),0,WWWW[[#This Row],['# Existing latrines dysfunctional]]/WWWW[[#This Row],[Total '# of latrine]])</f>
        <v>0.16666666666666666</v>
      </c>
      <c r="BT12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U125" s="209">
        <f>IF(500*WWWW[[#This Row],['# Hygiene Promoters ]]&gt;WWWW[[#This Row],[Total PoP ]],WWWW[[#This Row],[Total PoP ]],500*WWWW[[#This Row],['# Hygiene Promoters ]])</f>
        <v>0</v>
      </c>
      <c r="BV125" s="209">
        <f>IF(WWWW[[#This Row],[% of HH with access to Sanitary Pad]]&gt;=100%,1,0)</f>
        <v>0</v>
      </c>
      <c r="BW125" s="209">
        <f>IF(WWWW[[#This Row],[Total PoP ]]=0,0,IF(WWWW[[#This Row],['# Hygiene Promoters ]]=0,0,IF(WWWW[[#This Row],[Location Type 1]]="Village",IF(WWWW[[#This Row],[Total PoP ]]/WWWW[[#This Row],['# Hygiene Promoters ]]&lt;1000,1,0),IF(WWWW[[#This Row],[Total PoP ]]/WWWW[[#This Row],['# Hygiene Promoters ]]&lt;600,1,0))))</f>
        <v>0</v>
      </c>
      <c r="BX125" s="209">
        <f>IF(WWWW[[#This Row],[%HH with access to soap]]&gt;=100%,1,0)</f>
        <v>0</v>
      </c>
      <c r="BY125" s="209">
        <f>IF(WWWW[[#This Row],[% of HHs with access to Sanitary pad more than '#%]]+WWWW[[#This Row],[Ratio of Hyiene promoters to people less than '#]]+WWWW[[#This Row],[% of HHs with access to soap more than '#%]]&gt;=2,WWWW[[#This Row],[Total PoP ]],0)</f>
        <v>0</v>
      </c>
      <c r="BZ125" s="208">
        <f>WWWW[[#This Row],[People adopt basic personal and community hygiene practices]]/WWWW[[#This Row],[Total PoP ]]</f>
        <v>0</v>
      </c>
      <c r="CA125" s="212">
        <f>1-WWWW[[#This Row],[Hygiene Coverage%]]</f>
        <v>1</v>
      </c>
      <c r="CB125" s="211">
        <f>WWWW[[#This Row],['# people reached by regular dedicated hygiene promotion_5]]/WWWW[[#This Row],[Total PoP ]]</f>
        <v>0</v>
      </c>
      <c r="CC125" s="211">
        <f>IF(WWWW[[#This Row],['# HH received soaps]]/WWWW[[#This Row],[Total HH]]&gt;1,1,WWWW[[#This Row],['# HH received soaps]]/WWWW[[#This Row],[Total HH]])</f>
        <v>0</v>
      </c>
      <c r="CD125" s="211">
        <f>IF(WWWW[[#This Row],['# HH received Sanitary Pads]]/WWWW[[#This Row],[Total HH]]&gt;1,1,WWWW[[#This Row],['# HH received Sanitary Pads]]/WWWW[[#This Row],[Total HH]])</f>
        <v>0</v>
      </c>
      <c r="CE125" s="210">
        <f>WWWW[[#This Row],['# HH received soaps]]*5</f>
        <v>0</v>
      </c>
      <c r="CF125" s="210">
        <f>WWWW[[#This Row],['# HH received Sanitary Pads]]*5</f>
        <v>0</v>
      </c>
      <c r="CG125" s="210">
        <f>IF(WWWW[[#This Row],['# People with access to soap]]&gt;WWWW[[#This Row],['# People with access to Sanity Pads]],WWWW[[#This Row],['# People with access to soap]],WWWW[[#This Row],['# People with access to Sanity Pads]])</f>
        <v>0</v>
      </c>
      <c r="CH125" s="209">
        <f>WWWW[[#This Row],[Total HH]]*WWWW[[#This Row],[%HHs with access to functional hand washing stations]]</f>
        <v>27</v>
      </c>
      <c r="CI125" s="699" t="str">
        <f>VLOOKUP(WWWW[[#This Row],[Site Name]],SiteDB6[[Site Name]:[CCCM Management]],6,FALSE)</f>
        <v>Yes</v>
      </c>
      <c r="CJ125" s="699" t="str">
        <f>VLOOKUP(WWWW[[#This Row],[Site Name]],SiteDB6[[Site Name]:[CCCM Focal Agency]],7,FALSE)</f>
        <v>Shalom</v>
      </c>
      <c r="CK125" s="699" t="str">
        <f>VLOOKUP(WWWW[[#This Row],[Site Name]],SiteDB6[[Site Name]:[Location Type]],8,FALSE)</f>
        <v>Camp</v>
      </c>
      <c r="CL125" s="699" t="str">
        <f>VLOOKUP(WWWW[[#This Row],[Site Name]],SiteDB6[[Site Name]:[Location Type 1]],9,FALSE)</f>
        <v>Camp</v>
      </c>
      <c r="CM125" s="699" t="str">
        <f>VLOOKUP(WWWW[[#This Row],[Site Name]],SiteDB6[[Site Name]:[Type of Accommodation]],10,FALSE)</f>
        <v>Camp</v>
      </c>
      <c r="CN125" s="699" t="str">
        <f>VLOOKUP(WWWW[[#This Row],[Site Name]],SiteDB6[[Site Name]:[Ethnic or GCA/NGCA]],11,FALSE)</f>
        <v>GCA</v>
      </c>
      <c r="CO125" s="699">
        <f>VLOOKUP(WWWW[[#This Row],[Site Name]],SiteDB6[[Site Name]:[Lat]],12,FALSE)</f>
        <v>25.423209</v>
      </c>
      <c r="CP125" s="699">
        <f>VLOOKUP(WWWW[[#This Row],[Site Name]],SiteDB6[[Site Name]:[Long]],13,FALSE)</f>
        <v>97.379987</v>
      </c>
      <c r="CQ125" s="699" t="str">
        <f>VLOOKUP(WWWW[[#This Row],[Site Name]],SiteDB6[[Site Name]:[Pcode]],3,FALSE)</f>
        <v>MMR001CMP023</v>
      </c>
      <c r="CR125" s="660" t="str">
        <f t="shared" si="1"/>
        <v>Covered</v>
      </c>
      <c r="CS125" s="660"/>
      <c r="CT125" s="24"/>
      <c r="CU125" s="24"/>
      <c r="CV125" s="24"/>
    </row>
    <row r="126" spans="1:100" ht="15.75" customHeight="1" x14ac:dyDescent="0.25">
      <c r="A126" s="833" t="s">
        <v>3206</v>
      </c>
      <c r="B126" s="206" t="s">
        <v>389</v>
      </c>
      <c r="C126" s="206" t="s">
        <v>44</v>
      </c>
      <c r="D126" s="206" t="s">
        <v>305</v>
      </c>
      <c r="E126" s="206" t="s">
        <v>417</v>
      </c>
      <c r="F126" s="206">
        <v>7</v>
      </c>
      <c r="G126" s="209">
        <v>31</v>
      </c>
      <c r="H126" s="206"/>
      <c r="I126" s="206" t="s">
        <v>391</v>
      </c>
      <c r="J126" s="207">
        <v>42947</v>
      </c>
      <c r="K126" s="206">
        <v>0</v>
      </c>
      <c r="L126" s="206" t="s">
        <v>48</v>
      </c>
      <c r="M126" s="208">
        <v>0.5</v>
      </c>
      <c r="N126" s="208">
        <v>1</v>
      </c>
      <c r="O126" s="316">
        <v>0</v>
      </c>
      <c r="P126" s="317">
        <v>1</v>
      </c>
      <c r="Q126" s="317">
        <v>400</v>
      </c>
      <c r="R126" s="318">
        <v>0</v>
      </c>
      <c r="S126" s="318">
        <v>0</v>
      </c>
      <c r="T126" s="318"/>
      <c r="U126" s="318">
        <v>1</v>
      </c>
      <c r="V126" s="318">
        <v>0</v>
      </c>
      <c r="W126" s="318">
        <v>2</v>
      </c>
      <c r="X126" s="318">
        <v>0</v>
      </c>
      <c r="Y126" s="318">
        <v>0</v>
      </c>
      <c r="Z126" s="318"/>
      <c r="AA126" s="310">
        <v>2</v>
      </c>
      <c r="AB126" s="310">
        <v>0</v>
      </c>
      <c r="AC126" s="66">
        <v>0</v>
      </c>
      <c r="AD126" s="66" t="s">
        <v>2789</v>
      </c>
      <c r="AE126" s="310">
        <v>2</v>
      </c>
      <c r="AF126" s="310" t="s">
        <v>283</v>
      </c>
      <c r="AG126" s="311" t="s">
        <v>1358</v>
      </c>
      <c r="AH126" s="311">
        <v>0</v>
      </c>
      <c r="AI126" s="310">
        <v>0</v>
      </c>
      <c r="AJ126" s="310"/>
      <c r="AK126" s="841">
        <v>0.5</v>
      </c>
      <c r="AL126" s="842" t="s">
        <v>376</v>
      </c>
      <c r="AM126" s="842">
        <v>0</v>
      </c>
      <c r="AN126" s="863">
        <v>2</v>
      </c>
      <c r="AO126" s="863">
        <v>0</v>
      </c>
      <c r="AP126" s="838">
        <v>0</v>
      </c>
      <c r="AQ126" s="843">
        <v>0</v>
      </c>
      <c r="AR126" s="843"/>
      <c r="AS126" s="843"/>
      <c r="AT126" s="843">
        <v>1</v>
      </c>
      <c r="AU126" s="843"/>
      <c r="AV126" s="844"/>
      <c r="AW126" s="208">
        <f>IFERROR(WWWW[[#This Row],['# of Water passed at source]]/WWWW[[#This Row],['# of Water tested at source]],"no test")</f>
        <v>0</v>
      </c>
      <c r="AX126" s="211">
        <f>IFERROR(WWWW[[#This Row],['# of Water passed at HH]]/WWWW[[#This Row],['# of Water tested at HH]],"no test")</f>
        <v>0</v>
      </c>
      <c r="AY126" s="210" t="str">
        <f>IF(AND(WWWW[[#This Row],[%of Water samples which passed at water source]]="no test",WWWW[[#This Row],[%Water samples which passed at HH]]="no test"),"No Test","Tested")</f>
        <v>Tested</v>
      </c>
      <c r="AZ12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2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26" s="211">
        <f>IF(WWWW[[#This Row],[Location Type 1]]="Village",WWWW[[#This Row],[Access to safe drinking water for Village]],WWWW[[#This Row],[Access to safe drinking water for Camp]])</f>
        <v>1</v>
      </c>
      <c r="BC126" s="209">
        <f>WWWW[[#This Row],[%Equitable and continuous access to sufficient quantity of safe drinking water]]*WWWW[[#This Row],[Total PoP ]]</f>
        <v>31</v>
      </c>
      <c r="BD126" s="211">
        <f>IF((WWWW[[#This Row],['# Existing protected/fenced ponds ]]*250)/WWWW[[#This Row],[Total PoP ]]&gt;1,1,WWWW[[#This Row],['# Existing protected/fenced ponds ]]*250/WWWW[[#This Row],[Total PoP ]])</f>
        <v>0</v>
      </c>
      <c r="BE126" s="209">
        <f>WWWW[[#This Row],[Access to unimproved water points]]*WWWW[[#This Row],[Total PoP ]]</f>
        <v>0</v>
      </c>
      <c r="BF12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2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31</v>
      </c>
      <c r="BH126" s="209">
        <f>WWWW[[#This Row],['#people Equitable and continuous access to sufficient quantity of domestic water borehole n ponds_2]]/500</f>
        <v>6.2E-2</v>
      </c>
      <c r="BI126" s="208">
        <f>1-WWWW[[#This Row],[%Equitable and continuous access to sufficient quantity of domestic water borehole n ponds]]</f>
        <v>0</v>
      </c>
      <c r="BJ126" s="209">
        <f>WWWW[[#This Row],[%equitable and continuous access to sufficient quantity of safe drinking and domestic water''s GAP]]*WWWW[[#This Row],[Total PoP ]]</f>
        <v>0</v>
      </c>
      <c r="BK126" s="210">
        <f>IF(WWWW[[#This Row],[Total required water points]]-WWWW[[#This Row],['#Water points coverage]]&lt;0,0,WWWW[[#This Row],[Total required water points]]-WWWW[[#This Row],['#Water points coverage]])</f>
        <v>0.93799999999999994</v>
      </c>
      <c r="BL126" s="210">
        <f>ROUND(IF(WWWW[[#This Row],[Total PoP ]]&lt;500,1,WWWW[[#This Row],[Total PoP ]]/500),0)</f>
        <v>1</v>
      </c>
      <c r="BM126" s="210">
        <f>WWWW[[#This Row],['# Existing functional latrines]]+WWWW[[#This Row],['# Existing latrines dysfunctional]]</f>
        <v>2</v>
      </c>
      <c r="BN12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26" s="352">
        <f>WWWW[[#This Row],[% people access to functioning Latrine]]*WWWW[[#This Row],[Total PoP ]]</f>
        <v>31</v>
      </c>
      <c r="BP12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26" s="209">
        <f>IF(WWWW[[#This Row],[Total required Latrines]]-WWWW[[#This Row],[Total '# of latrine]]&lt;0,0,WWWW[[#This Row],[Total required Latrines]]-WWWW[[#This Row],[Total '# of latrine]])</f>
        <v>0</v>
      </c>
      <c r="BR126" s="210">
        <f>ROUND(IF(WWWW[[#This Row],[Location Type 1]]="camp",WWWW[[#This Row],[Total PoP ]]/20,WWWW[[#This Row],[Total PoP ]]/6),0)</f>
        <v>2</v>
      </c>
      <c r="BS126" s="212">
        <f>IF(OR(WWWW[[#This Row],['# Existing latrines dysfunctional]]="",WWWW[[#This Row],['# Existing latrines dysfunctional]]=0),0,WWWW[[#This Row],['# Existing latrines dysfunctional]]/WWWW[[#This Row],[Total '# of latrine]])</f>
        <v>0</v>
      </c>
      <c r="BT12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26" s="209">
        <f>IF(500*WWWW[[#This Row],['# Hygiene Promoters ]]&gt;WWWW[[#This Row],[Total PoP ]],WWWW[[#This Row],[Total PoP ]],500*WWWW[[#This Row],['# Hygiene Promoters ]])</f>
        <v>0</v>
      </c>
      <c r="BV126" s="209">
        <f>IF(WWWW[[#This Row],[% of HH with access to Sanitary Pad]]&gt;=100%,1,0)</f>
        <v>0</v>
      </c>
      <c r="BW126" s="209">
        <f>IF(WWWW[[#This Row],[Total PoP ]]=0,0,IF(WWWW[[#This Row],['# Hygiene Promoters ]]=0,0,IF(WWWW[[#This Row],[Location Type 1]]="Village",IF(WWWW[[#This Row],[Total PoP ]]/WWWW[[#This Row],['# Hygiene Promoters ]]&lt;1000,1,0),IF(WWWW[[#This Row],[Total PoP ]]/WWWW[[#This Row],['# Hygiene Promoters ]]&lt;600,1,0))))</f>
        <v>0</v>
      </c>
      <c r="BX126" s="209">
        <f>IF(WWWW[[#This Row],[%HH with access to soap]]&gt;=100%,1,0)</f>
        <v>0</v>
      </c>
      <c r="BY126" s="209">
        <f>IF(WWWW[[#This Row],[% of HHs with access to Sanitary pad more than '#%]]+WWWW[[#This Row],[Ratio of Hyiene promoters to people less than '#]]+WWWW[[#This Row],[% of HHs with access to soap more than '#%]]&gt;=2,WWWW[[#This Row],[Total PoP ]],0)</f>
        <v>0</v>
      </c>
      <c r="BZ126" s="208">
        <f>WWWW[[#This Row],[People adopt basic personal and community hygiene practices]]/WWWW[[#This Row],[Total PoP ]]</f>
        <v>0</v>
      </c>
      <c r="CA126" s="212">
        <f>1-WWWW[[#This Row],[Hygiene Coverage%]]</f>
        <v>1</v>
      </c>
      <c r="CB126" s="211">
        <f>WWWW[[#This Row],['# people reached by regular dedicated hygiene promotion_5]]/WWWW[[#This Row],[Total PoP ]]</f>
        <v>0</v>
      </c>
      <c r="CC126" s="211">
        <f>IF(WWWW[[#This Row],['# HH received soaps]]/WWWW[[#This Row],[Total HH]]&gt;1,1,WWWW[[#This Row],['# HH received soaps]]/WWWW[[#This Row],[Total HH]])</f>
        <v>0</v>
      </c>
      <c r="CD126" s="211">
        <f>IF(WWWW[[#This Row],['# HH received Sanitary Pads]]/WWWW[[#This Row],[Total HH]]&gt;1,1,WWWW[[#This Row],['# HH received Sanitary Pads]]/WWWW[[#This Row],[Total HH]])</f>
        <v>0</v>
      </c>
      <c r="CE126" s="210">
        <f>WWWW[[#This Row],['# HH received soaps]]*5</f>
        <v>0</v>
      </c>
      <c r="CF126" s="210">
        <f>WWWW[[#This Row],['# HH received Sanitary Pads]]*5</f>
        <v>0</v>
      </c>
      <c r="CG126" s="210">
        <f>IF(WWWW[[#This Row],['# People with access to soap]]&gt;WWWW[[#This Row],['# People with access to Sanity Pads]],WWWW[[#This Row],['# People with access to soap]],WWWW[[#This Row],['# People with access to Sanity Pads]])</f>
        <v>0</v>
      </c>
      <c r="CH126" s="209">
        <f>WWWW[[#This Row],[Total HH]]*WWWW[[#This Row],[%HHs with access to functional hand washing stations]]</f>
        <v>3.5</v>
      </c>
      <c r="CI126" s="699" t="str">
        <f>VLOOKUP(WWWW[[#This Row],[Site Name]],SiteDB6[[Site Name]:[CCCM Management]],6,FALSE)</f>
        <v>Yes</v>
      </c>
      <c r="CJ126" s="699" t="str">
        <f>VLOOKUP(WWWW[[#This Row],[Site Name]],SiteDB6[[Site Name]:[CCCM Focal Agency]],7,FALSE)</f>
        <v>uncovered</v>
      </c>
      <c r="CK126" s="699" t="str">
        <f>VLOOKUP(WWWW[[#This Row],[Site Name]],SiteDB6[[Site Name]:[Location Type]],8,FALSE)</f>
        <v>Camp</v>
      </c>
      <c r="CL126" s="699" t="str">
        <f>VLOOKUP(WWWW[[#This Row],[Site Name]],SiteDB6[[Site Name]:[Location Type 1]],9,FALSE)</f>
        <v>Camp</v>
      </c>
      <c r="CM126" s="699" t="str">
        <f>VLOOKUP(WWWW[[#This Row],[Site Name]],SiteDB6[[Site Name]:[Type of Accommodation]],10,FALSE)</f>
        <v>Camp like setting</v>
      </c>
      <c r="CN126" s="699" t="str">
        <f>VLOOKUP(WWWW[[#This Row],[Site Name]],SiteDB6[[Site Name]:[Ethnic or GCA/NGCA]],11,FALSE)</f>
        <v>GCA</v>
      </c>
      <c r="CO126" s="699">
        <f>VLOOKUP(WWWW[[#This Row],[Site Name]],SiteDB6[[Site Name]:[Lat]],12,FALSE)</f>
        <v>25.417733999999999</v>
      </c>
      <c r="CP126" s="699">
        <f>VLOOKUP(WWWW[[#This Row],[Site Name]],SiteDB6[[Site Name]:[Long]],13,FALSE)</f>
        <v>97.389778000000007</v>
      </c>
      <c r="CQ126" s="699" t="str">
        <f>VLOOKUP(WWWW[[#This Row],[Site Name]],SiteDB6[[Site Name]:[Pcode]],3,FALSE)</f>
        <v>MMR001CMP004</v>
      </c>
      <c r="CR126" s="660" t="str">
        <f t="shared" si="1"/>
        <v>Covered</v>
      </c>
      <c r="CS126" s="660"/>
      <c r="CT126" s="24"/>
      <c r="CU126" s="24"/>
      <c r="CV126" s="24"/>
    </row>
    <row r="127" spans="1:100" ht="15.75" customHeight="1" x14ac:dyDescent="0.25">
      <c r="A127" s="833" t="s">
        <v>3206</v>
      </c>
      <c r="B127" s="206" t="s">
        <v>287</v>
      </c>
      <c r="C127" s="206" t="s">
        <v>44</v>
      </c>
      <c r="D127" s="206" t="s">
        <v>305</v>
      </c>
      <c r="E127" s="206" t="s">
        <v>317</v>
      </c>
      <c r="F127" s="206">
        <v>30</v>
      </c>
      <c r="G127" s="209">
        <v>171</v>
      </c>
      <c r="H127" s="206"/>
      <c r="I127" s="206" t="s">
        <v>290</v>
      </c>
      <c r="J127" s="207" t="s">
        <v>3253</v>
      </c>
      <c r="K127" s="206">
        <v>0</v>
      </c>
      <c r="L127" s="206" t="s">
        <v>48</v>
      </c>
      <c r="M127" s="208">
        <v>0.6</v>
      </c>
      <c r="N127" s="208">
        <v>0.5</v>
      </c>
      <c r="O127" s="316">
        <v>0</v>
      </c>
      <c r="P127" s="317">
        <v>3</v>
      </c>
      <c r="Q127" s="317">
        <v>0</v>
      </c>
      <c r="R127" s="318">
        <v>0</v>
      </c>
      <c r="S127" s="318">
        <v>0</v>
      </c>
      <c r="T127" s="318"/>
      <c r="U127" s="318">
        <v>0</v>
      </c>
      <c r="V127" s="318">
        <v>0</v>
      </c>
      <c r="W127" s="318">
        <v>0</v>
      </c>
      <c r="X127" s="318">
        <v>0</v>
      </c>
      <c r="Y127" s="318">
        <v>0</v>
      </c>
      <c r="Z127" s="318"/>
      <c r="AA127" s="310">
        <v>5</v>
      </c>
      <c r="AB127" s="310">
        <v>0</v>
      </c>
      <c r="AC127" s="66">
        <v>0</v>
      </c>
      <c r="AD127" s="66"/>
      <c r="AE127" s="310">
        <v>0</v>
      </c>
      <c r="AF127" s="310" t="s">
        <v>283</v>
      </c>
      <c r="AG127" s="311" t="s">
        <v>1358</v>
      </c>
      <c r="AH127" s="311"/>
      <c r="AI127" s="310"/>
      <c r="AJ127" s="310"/>
      <c r="AK127" s="841">
        <v>0.6</v>
      </c>
      <c r="AL127" s="842" t="s">
        <v>291</v>
      </c>
      <c r="AM127" s="842">
        <v>0</v>
      </c>
      <c r="AN127" s="863">
        <v>2</v>
      </c>
      <c r="AO127" s="863">
        <v>1</v>
      </c>
      <c r="AP127" s="838">
        <v>0</v>
      </c>
      <c r="AQ127" s="843">
        <v>0</v>
      </c>
      <c r="AR127" s="843"/>
      <c r="AS127" s="843"/>
      <c r="AT127" s="843"/>
      <c r="AU127" s="843"/>
      <c r="AV127" s="844"/>
      <c r="AW127" s="208" t="str">
        <f>IFERROR(WWWW[[#This Row],['# of Water passed at source]]/WWWW[[#This Row],['# of Water tested at source]],"no test")</f>
        <v>no test</v>
      </c>
      <c r="AX127" s="211" t="str">
        <f>IFERROR(WWWW[[#This Row],['# of Water passed at HH]]/WWWW[[#This Row],['# of Water tested at HH]],"no test")</f>
        <v>no test</v>
      </c>
      <c r="AY127" s="210" t="str">
        <f>IF(AND(WWWW[[#This Row],[%of Water samples which passed at water source]]="no test",WWWW[[#This Row],[%Water samples which passed at HH]]="no test"),"No Test","Tested")</f>
        <v>No Test</v>
      </c>
      <c r="AZ12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2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27" s="211">
        <f>IF(WWWW[[#This Row],[Location Type 1]]="Village",WWWW[[#This Row],[Access to safe drinking water for Village]],WWWW[[#This Row],[Access to safe drinking water for Camp]])</f>
        <v>1</v>
      </c>
      <c r="BC127" s="209">
        <f>WWWW[[#This Row],[%Equitable and continuous access to sufficient quantity of safe drinking water]]*WWWW[[#This Row],[Total PoP ]]</f>
        <v>171</v>
      </c>
      <c r="BD127" s="211">
        <f>IF((WWWW[[#This Row],['# Existing protected/fenced ponds ]]*250)/WWWW[[#This Row],[Total PoP ]]&gt;1,1,WWWW[[#This Row],['# Existing protected/fenced ponds ]]*250/WWWW[[#This Row],[Total PoP ]])</f>
        <v>0</v>
      </c>
      <c r="BE127" s="209">
        <f>WWWW[[#This Row],[Access to unimproved water points]]*WWWW[[#This Row],[Total PoP ]]</f>
        <v>0</v>
      </c>
      <c r="BF12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2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171</v>
      </c>
      <c r="BH127" s="209">
        <f>WWWW[[#This Row],['#people Equitable and continuous access to sufficient quantity of domestic water borehole n ponds_2]]/500</f>
        <v>0.34200000000000003</v>
      </c>
      <c r="BI127" s="208">
        <f>1-WWWW[[#This Row],[%Equitable and continuous access to sufficient quantity of domestic water borehole n ponds]]</f>
        <v>0</v>
      </c>
      <c r="BJ127" s="209">
        <f>WWWW[[#This Row],[%equitable and continuous access to sufficient quantity of safe drinking and domestic water''s GAP]]*WWWW[[#This Row],[Total PoP ]]</f>
        <v>0</v>
      </c>
      <c r="BK127" s="210">
        <f>IF(WWWW[[#This Row],[Total required water points]]-WWWW[[#This Row],['#Water points coverage]]&lt;0,0,WWWW[[#This Row],[Total required water points]]-WWWW[[#This Row],['#Water points coverage]])</f>
        <v>0.65799999999999992</v>
      </c>
      <c r="BL127" s="210">
        <f>ROUND(IF(WWWW[[#This Row],[Total PoP ]]&lt;500,1,WWWW[[#This Row],[Total PoP ]]/500),0)</f>
        <v>1</v>
      </c>
      <c r="BM127" s="210">
        <f>WWWW[[#This Row],['# Existing functional latrines]]+WWWW[[#This Row],['# Existing latrines dysfunctional]]</f>
        <v>5</v>
      </c>
      <c r="BN12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0.58479532163742687</v>
      </c>
      <c r="BO127" s="352">
        <f>WWWW[[#This Row],[% people access to functioning Latrine]]*WWWW[[#This Row],[Total PoP ]]</f>
        <v>100</v>
      </c>
      <c r="BP12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0.46783625730994149</v>
      </c>
      <c r="BQ127" s="209">
        <f>IF(WWWW[[#This Row],[Total required Latrines]]-WWWW[[#This Row],[Total '# of latrine]]&lt;0,0,WWWW[[#This Row],[Total required Latrines]]-WWWW[[#This Row],[Total '# of latrine]])</f>
        <v>4</v>
      </c>
      <c r="BR127" s="210">
        <f>ROUND(IF(WWWW[[#This Row],[Location Type 1]]="camp",WWWW[[#This Row],[Total PoP ]]/20,WWWW[[#This Row],[Total PoP ]]/6),0)</f>
        <v>9</v>
      </c>
      <c r="BS127" s="212">
        <f>IF(OR(WWWW[[#This Row],['# Existing latrines dysfunctional]]="",WWWW[[#This Row],['# Existing latrines dysfunctional]]=0),0,WWWW[[#This Row],['# Existing latrines dysfunctional]]/WWWW[[#This Row],[Total '# of latrine]])</f>
        <v>0</v>
      </c>
      <c r="BT12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27" s="209">
        <f>IF(500*WWWW[[#This Row],['# Hygiene Promoters ]]&gt;WWWW[[#This Row],[Total PoP ]],WWWW[[#This Row],[Total PoP ]],500*WWWW[[#This Row],['# Hygiene Promoters ]])</f>
        <v>171</v>
      </c>
      <c r="BV127" s="209">
        <f>IF(WWWW[[#This Row],[% of HH with access to Sanitary Pad]]&gt;=100%,1,0)</f>
        <v>0</v>
      </c>
      <c r="BW127" s="209">
        <f>IF(WWWW[[#This Row],[Total PoP ]]=0,0,IF(WWWW[[#This Row],['# Hygiene Promoters ]]=0,0,IF(WWWW[[#This Row],[Location Type 1]]="Village",IF(WWWW[[#This Row],[Total PoP ]]/WWWW[[#This Row],['# Hygiene Promoters ]]&lt;1000,1,0),IF(WWWW[[#This Row],[Total PoP ]]/WWWW[[#This Row],['# Hygiene Promoters ]]&lt;600,1,0))))</f>
        <v>1</v>
      </c>
      <c r="BX127" s="209">
        <f>IF(WWWW[[#This Row],[%HH with access to soap]]&gt;=100%,1,0)</f>
        <v>0</v>
      </c>
      <c r="BY127" s="209">
        <f>IF(WWWW[[#This Row],[% of HHs with access to Sanitary pad more than '#%]]+WWWW[[#This Row],[Ratio of Hyiene promoters to people less than '#]]+WWWW[[#This Row],[% of HHs with access to soap more than '#%]]&gt;=2,WWWW[[#This Row],[Total PoP ]],0)</f>
        <v>0</v>
      </c>
      <c r="BZ127" s="208">
        <f>WWWW[[#This Row],[People adopt basic personal and community hygiene practices]]/WWWW[[#This Row],[Total PoP ]]</f>
        <v>0</v>
      </c>
      <c r="CA127" s="212">
        <f>1-WWWW[[#This Row],[Hygiene Coverage%]]</f>
        <v>1</v>
      </c>
      <c r="CB127" s="211">
        <f>WWWW[[#This Row],['# people reached by regular dedicated hygiene promotion_5]]/WWWW[[#This Row],[Total PoP ]]</f>
        <v>1</v>
      </c>
      <c r="CC127" s="211">
        <f>IF(WWWW[[#This Row],['# HH received soaps]]/WWWW[[#This Row],[Total HH]]&gt;1,1,WWWW[[#This Row],['# HH received soaps]]/WWWW[[#This Row],[Total HH]])</f>
        <v>0</v>
      </c>
      <c r="CD127" s="211">
        <f>IF(WWWW[[#This Row],['# HH received Sanitary Pads]]/WWWW[[#This Row],[Total HH]]&gt;1,1,WWWW[[#This Row],['# HH received Sanitary Pads]]/WWWW[[#This Row],[Total HH]])</f>
        <v>0</v>
      </c>
      <c r="CE127" s="210">
        <f>WWWW[[#This Row],['# HH received soaps]]*5</f>
        <v>0</v>
      </c>
      <c r="CF127" s="210">
        <f>WWWW[[#This Row],['# HH received Sanitary Pads]]*5</f>
        <v>0</v>
      </c>
      <c r="CG127" s="210">
        <f>IF(WWWW[[#This Row],['# People with access to soap]]&gt;WWWW[[#This Row],['# People with access to Sanity Pads]],WWWW[[#This Row],['# People with access to soap]],WWWW[[#This Row],['# People with access to Sanity Pads]])</f>
        <v>0</v>
      </c>
      <c r="CH127" s="209">
        <f>WWWW[[#This Row],[Total HH]]*WWWW[[#This Row],[%HHs with access to functional hand washing stations]]</f>
        <v>18</v>
      </c>
      <c r="CI127" s="699" t="str">
        <f>VLOOKUP(WWWW[[#This Row],[Site Name]],SiteDB6[[Site Name]:[CCCM Management]],6,FALSE)</f>
        <v>Yes</v>
      </c>
      <c r="CJ127" s="699" t="str">
        <f>VLOOKUP(WWWW[[#This Row],[Site Name]],SiteDB6[[Site Name]:[CCCM Focal Agency]],7,FALSE)</f>
        <v>KBC</v>
      </c>
      <c r="CK127" s="699" t="str">
        <f>VLOOKUP(WWWW[[#This Row],[Site Name]],SiteDB6[[Site Name]:[Location Type]],8,FALSE)</f>
        <v>Camp</v>
      </c>
      <c r="CL127" s="699" t="str">
        <f>VLOOKUP(WWWW[[#This Row],[Site Name]],SiteDB6[[Site Name]:[Location Type 1]],9,FALSE)</f>
        <v>Camp</v>
      </c>
      <c r="CM127" s="699" t="str">
        <f>VLOOKUP(WWWW[[#This Row],[Site Name]],SiteDB6[[Site Name]:[Type of Accommodation]],10,FALSE)</f>
        <v>Camp</v>
      </c>
      <c r="CN127" s="699" t="str">
        <f>VLOOKUP(WWWW[[#This Row],[Site Name]],SiteDB6[[Site Name]:[Ethnic or GCA/NGCA]],11,FALSE)</f>
        <v>GCA</v>
      </c>
      <c r="CO127" s="699">
        <f>VLOOKUP(WWWW[[#This Row],[Site Name]],SiteDB6[[Site Name]:[Lat]],12,FALSE)</f>
        <v>25.404752999999999</v>
      </c>
      <c r="CP127" s="699">
        <f>VLOOKUP(WWWW[[#This Row],[Site Name]],SiteDB6[[Site Name]:[Long]],13,FALSE)</f>
        <v>97.377662999999998</v>
      </c>
      <c r="CQ127" s="699" t="str">
        <f>VLOOKUP(WWWW[[#This Row],[Site Name]],SiteDB6[[Site Name]:[Pcode]],3,FALSE)</f>
        <v>MMR001CMP003</v>
      </c>
      <c r="CR127" s="660" t="str">
        <f t="shared" si="1"/>
        <v>Covered</v>
      </c>
      <c r="CS127" s="660"/>
      <c r="CT127" s="24"/>
      <c r="CU127" s="24"/>
      <c r="CV127" s="24"/>
    </row>
    <row r="128" spans="1:100" ht="15.75" customHeight="1" x14ac:dyDescent="0.25">
      <c r="A128" s="833" t="s">
        <v>3206</v>
      </c>
      <c r="B128" s="206" t="s">
        <v>287</v>
      </c>
      <c r="C128" s="206" t="s">
        <v>44</v>
      </c>
      <c r="D128" s="206" t="s">
        <v>305</v>
      </c>
      <c r="E128" s="206" t="s">
        <v>318</v>
      </c>
      <c r="F128" s="206">
        <v>46</v>
      </c>
      <c r="G128" s="209">
        <v>239</v>
      </c>
      <c r="H128" s="206"/>
      <c r="I128" s="206" t="s">
        <v>290</v>
      </c>
      <c r="J128" s="207" t="s">
        <v>3253</v>
      </c>
      <c r="K128" s="206">
        <v>0</v>
      </c>
      <c r="L128" s="206" t="s">
        <v>48</v>
      </c>
      <c r="M128" s="208">
        <v>0.6</v>
      </c>
      <c r="N128" s="208">
        <v>0.5</v>
      </c>
      <c r="O128" s="316">
        <v>0</v>
      </c>
      <c r="P128" s="317">
        <v>3</v>
      </c>
      <c r="Q128" s="317">
        <v>2000</v>
      </c>
      <c r="R128" s="318">
        <v>0</v>
      </c>
      <c r="S128" s="318">
        <v>0</v>
      </c>
      <c r="T128" s="318"/>
      <c r="U128" s="318">
        <v>0</v>
      </c>
      <c r="V128" s="318">
        <v>0</v>
      </c>
      <c r="W128" s="318">
        <v>0</v>
      </c>
      <c r="X128" s="318">
        <v>0</v>
      </c>
      <c r="Y128" s="318">
        <v>0</v>
      </c>
      <c r="Z128" s="318"/>
      <c r="AA128" s="310">
        <v>13</v>
      </c>
      <c r="AB128" s="310">
        <v>0</v>
      </c>
      <c r="AC128" s="66">
        <v>0</v>
      </c>
      <c r="AD128" s="66"/>
      <c r="AE128" s="310">
        <v>0</v>
      </c>
      <c r="AF128" s="310" t="s">
        <v>283</v>
      </c>
      <c r="AG128" s="311" t="s">
        <v>283</v>
      </c>
      <c r="AH128" s="311"/>
      <c r="AI128" s="310"/>
      <c r="AJ128" s="310"/>
      <c r="AK128" s="841">
        <v>0.6</v>
      </c>
      <c r="AL128" s="842" t="s">
        <v>291</v>
      </c>
      <c r="AM128" s="842">
        <v>0</v>
      </c>
      <c r="AN128" s="863">
        <v>3</v>
      </c>
      <c r="AO128" s="863">
        <v>1</v>
      </c>
      <c r="AP128" s="838">
        <v>0</v>
      </c>
      <c r="AQ128" s="843">
        <v>0</v>
      </c>
      <c r="AR128" s="843"/>
      <c r="AS128" s="843"/>
      <c r="AT128" s="843"/>
      <c r="AU128" s="843"/>
      <c r="AV128" s="844"/>
      <c r="AW128" s="208" t="str">
        <f>IFERROR(WWWW[[#This Row],['# of Water passed at source]]/WWWW[[#This Row],['# of Water tested at source]],"no test")</f>
        <v>no test</v>
      </c>
      <c r="AX128" s="211" t="str">
        <f>IFERROR(WWWW[[#This Row],['# of Water passed at HH]]/WWWW[[#This Row],['# of Water tested at HH]],"no test")</f>
        <v>no test</v>
      </c>
      <c r="AY128" s="210" t="str">
        <f>IF(AND(WWWW[[#This Row],[%of Water samples which passed at water source]]="no test",WWWW[[#This Row],[%Water samples which passed at HH]]="no test"),"No Test","Tested")</f>
        <v>No Test</v>
      </c>
      <c r="AZ12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2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28" s="211">
        <f>IF(WWWW[[#This Row],[Location Type 1]]="Village",WWWW[[#This Row],[Access to safe drinking water for Village]],WWWW[[#This Row],[Access to safe drinking water for Camp]])</f>
        <v>1</v>
      </c>
      <c r="BC128" s="209">
        <f>WWWW[[#This Row],[%Equitable and continuous access to sufficient quantity of safe drinking water]]*WWWW[[#This Row],[Total PoP ]]</f>
        <v>239</v>
      </c>
      <c r="BD128" s="211">
        <f>IF((WWWW[[#This Row],['# Existing protected/fenced ponds ]]*250)/WWWW[[#This Row],[Total PoP ]]&gt;1,1,WWWW[[#This Row],['# Existing protected/fenced ponds ]]*250/WWWW[[#This Row],[Total PoP ]])</f>
        <v>0</v>
      </c>
      <c r="BE128" s="209">
        <f>WWWW[[#This Row],[Access to unimproved water points]]*WWWW[[#This Row],[Total PoP ]]</f>
        <v>0</v>
      </c>
      <c r="BF12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2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239</v>
      </c>
      <c r="BH128" s="209">
        <f>WWWW[[#This Row],['#people Equitable and continuous access to sufficient quantity of domestic water borehole n ponds_2]]/500</f>
        <v>0.47799999999999998</v>
      </c>
      <c r="BI128" s="208">
        <f>1-WWWW[[#This Row],[%Equitable and continuous access to sufficient quantity of domestic water borehole n ponds]]</f>
        <v>0</v>
      </c>
      <c r="BJ128" s="209">
        <f>WWWW[[#This Row],[%equitable and continuous access to sufficient quantity of safe drinking and domestic water''s GAP]]*WWWW[[#This Row],[Total PoP ]]</f>
        <v>0</v>
      </c>
      <c r="BK128" s="210">
        <f>IF(WWWW[[#This Row],[Total required water points]]-WWWW[[#This Row],['#Water points coverage]]&lt;0,0,WWWW[[#This Row],[Total required water points]]-WWWW[[#This Row],['#Water points coverage]])</f>
        <v>0.52200000000000002</v>
      </c>
      <c r="BL128" s="210">
        <f>ROUND(IF(WWWW[[#This Row],[Total PoP ]]&lt;500,1,WWWW[[#This Row],[Total PoP ]]/500),0)</f>
        <v>1</v>
      </c>
      <c r="BM128" s="210">
        <f>WWWW[[#This Row],['# Existing functional latrines]]+WWWW[[#This Row],['# Existing latrines dysfunctional]]</f>
        <v>13</v>
      </c>
      <c r="BN12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28" s="352">
        <f>WWWW[[#This Row],[% people access to functioning Latrine]]*WWWW[[#This Row],[Total PoP ]]</f>
        <v>239</v>
      </c>
      <c r="BP12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28" s="209">
        <f>IF(WWWW[[#This Row],[Total required Latrines]]-WWWW[[#This Row],[Total '# of latrine]]&lt;0,0,WWWW[[#This Row],[Total required Latrines]]-WWWW[[#This Row],[Total '# of latrine]])</f>
        <v>0</v>
      </c>
      <c r="BR128" s="210">
        <f>ROUND(IF(WWWW[[#This Row],[Location Type 1]]="camp",WWWW[[#This Row],[Total PoP ]]/20,WWWW[[#This Row],[Total PoP ]]/6),0)</f>
        <v>12</v>
      </c>
      <c r="BS128" s="212">
        <f>IF(OR(WWWW[[#This Row],['# Existing latrines dysfunctional]]="",WWWW[[#This Row],['# Existing latrines dysfunctional]]=0),0,WWWW[[#This Row],['# Existing latrines dysfunctional]]/WWWW[[#This Row],[Total '# of latrine]])</f>
        <v>0</v>
      </c>
      <c r="BT12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28" s="209">
        <f>IF(500*WWWW[[#This Row],['# Hygiene Promoters ]]&gt;WWWW[[#This Row],[Total PoP ]],WWWW[[#This Row],[Total PoP ]],500*WWWW[[#This Row],['# Hygiene Promoters ]])</f>
        <v>239</v>
      </c>
      <c r="BV128" s="209">
        <f>IF(WWWW[[#This Row],[% of HH with access to Sanitary Pad]]&gt;=100%,1,0)</f>
        <v>0</v>
      </c>
      <c r="BW128" s="209">
        <f>IF(WWWW[[#This Row],[Total PoP ]]=0,0,IF(WWWW[[#This Row],['# Hygiene Promoters ]]=0,0,IF(WWWW[[#This Row],[Location Type 1]]="Village",IF(WWWW[[#This Row],[Total PoP ]]/WWWW[[#This Row],['# Hygiene Promoters ]]&lt;1000,1,0),IF(WWWW[[#This Row],[Total PoP ]]/WWWW[[#This Row],['# Hygiene Promoters ]]&lt;600,1,0))))</f>
        <v>1</v>
      </c>
      <c r="BX128" s="209">
        <f>IF(WWWW[[#This Row],[%HH with access to soap]]&gt;=100%,1,0)</f>
        <v>0</v>
      </c>
      <c r="BY128" s="209">
        <f>IF(WWWW[[#This Row],[% of HHs with access to Sanitary pad more than '#%]]+WWWW[[#This Row],[Ratio of Hyiene promoters to people less than '#]]+WWWW[[#This Row],[% of HHs with access to soap more than '#%]]&gt;=2,WWWW[[#This Row],[Total PoP ]],0)</f>
        <v>0</v>
      </c>
      <c r="BZ128" s="208">
        <f>WWWW[[#This Row],[People adopt basic personal and community hygiene practices]]/WWWW[[#This Row],[Total PoP ]]</f>
        <v>0</v>
      </c>
      <c r="CA128" s="212">
        <f>1-WWWW[[#This Row],[Hygiene Coverage%]]</f>
        <v>1</v>
      </c>
      <c r="CB128" s="211">
        <f>WWWW[[#This Row],['# people reached by regular dedicated hygiene promotion_5]]/WWWW[[#This Row],[Total PoP ]]</f>
        <v>1</v>
      </c>
      <c r="CC128" s="211">
        <f>IF(WWWW[[#This Row],['# HH received soaps]]/WWWW[[#This Row],[Total HH]]&gt;1,1,WWWW[[#This Row],['# HH received soaps]]/WWWW[[#This Row],[Total HH]])</f>
        <v>0</v>
      </c>
      <c r="CD128" s="211">
        <f>IF(WWWW[[#This Row],['# HH received Sanitary Pads]]/WWWW[[#This Row],[Total HH]]&gt;1,1,WWWW[[#This Row],['# HH received Sanitary Pads]]/WWWW[[#This Row],[Total HH]])</f>
        <v>0</v>
      </c>
      <c r="CE128" s="210">
        <f>WWWW[[#This Row],['# HH received soaps]]*5</f>
        <v>0</v>
      </c>
      <c r="CF128" s="210">
        <f>WWWW[[#This Row],['# HH received Sanitary Pads]]*5</f>
        <v>0</v>
      </c>
      <c r="CG128" s="210">
        <f>IF(WWWW[[#This Row],['# People with access to soap]]&gt;WWWW[[#This Row],['# People with access to Sanity Pads]],WWWW[[#This Row],['# People with access to soap]],WWWW[[#This Row],['# People with access to Sanity Pads]])</f>
        <v>0</v>
      </c>
      <c r="CH128" s="209">
        <f>WWWW[[#This Row],[Total HH]]*WWWW[[#This Row],[%HHs with access to functional hand washing stations]]</f>
        <v>27.599999999999998</v>
      </c>
      <c r="CI128" s="699" t="str">
        <f>VLOOKUP(WWWW[[#This Row],[Site Name]],SiteDB6[[Site Name]:[CCCM Management]],6,FALSE)</f>
        <v>Yes</v>
      </c>
      <c r="CJ128" s="699" t="str">
        <f>VLOOKUP(WWWW[[#This Row],[Site Name]],SiteDB6[[Site Name]:[CCCM Focal Agency]],7,FALSE)</f>
        <v>KBC</v>
      </c>
      <c r="CK128" s="699" t="str">
        <f>VLOOKUP(WWWW[[#This Row],[Site Name]],SiteDB6[[Site Name]:[Location Type]],8,FALSE)</f>
        <v>Camp</v>
      </c>
      <c r="CL128" s="699" t="str">
        <f>VLOOKUP(WWWW[[#This Row],[Site Name]],SiteDB6[[Site Name]:[Location Type 1]],9,FALSE)</f>
        <v>Camp</v>
      </c>
      <c r="CM128" s="699" t="str">
        <f>VLOOKUP(WWWW[[#This Row],[Site Name]],SiteDB6[[Site Name]:[Type of Accommodation]],10,FALSE)</f>
        <v>Camp</v>
      </c>
      <c r="CN128" s="699" t="str">
        <f>VLOOKUP(WWWW[[#This Row],[Site Name]],SiteDB6[[Site Name]:[Ethnic or GCA/NGCA]],11,FALSE)</f>
        <v>GCA</v>
      </c>
      <c r="CO128" s="699">
        <f>VLOOKUP(WWWW[[#This Row],[Site Name]],SiteDB6[[Site Name]:[Lat]],12,FALSE)</f>
        <v>25.404015000000001</v>
      </c>
      <c r="CP128" s="699">
        <f>VLOOKUP(WWWW[[#This Row],[Site Name]],SiteDB6[[Site Name]:[Long]],13,FALSE)</f>
        <v>97.382192000000003</v>
      </c>
      <c r="CQ128" s="699" t="str">
        <f>VLOOKUP(WWWW[[#This Row],[Site Name]],SiteDB6[[Site Name]:[Pcode]],3,FALSE)</f>
        <v>MMR001CMP005</v>
      </c>
      <c r="CR128" s="660" t="str">
        <f t="shared" si="1"/>
        <v>Covered</v>
      </c>
      <c r="CS128" s="660"/>
      <c r="CT128" s="24"/>
      <c r="CU128" s="24"/>
      <c r="CV128" s="24"/>
    </row>
    <row r="129" spans="1:100" ht="15.75" customHeight="1" x14ac:dyDescent="0.25">
      <c r="A129" s="833" t="s">
        <v>3206</v>
      </c>
      <c r="B129" s="206" t="s">
        <v>287</v>
      </c>
      <c r="C129" s="206" t="s">
        <v>44</v>
      </c>
      <c r="D129" s="206" t="s">
        <v>305</v>
      </c>
      <c r="E129" s="206" t="s">
        <v>2671</v>
      </c>
      <c r="F129" s="206">
        <v>18</v>
      </c>
      <c r="G129" s="209">
        <v>87</v>
      </c>
      <c r="H129" s="206"/>
      <c r="I129" s="206" t="s">
        <v>296</v>
      </c>
      <c r="J129" s="207">
        <v>43465</v>
      </c>
      <c r="K129" s="206"/>
      <c r="L129" s="206" t="s">
        <v>48</v>
      </c>
      <c r="M129" s="208">
        <v>0.8</v>
      </c>
      <c r="N129" s="208">
        <v>0.6</v>
      </c>
      <c r="O129" s="316"/>
      <c r="P129" s="317"/>
      <c r="Q129" s="317"/>
      <c r="R129" s="318"/>
      <c r="S129" s="318"/>
      <c r="T129" s="318"/>
      <c r="U129" s="318"/>
      <c r="V129" s="318"/>
      <c r="W129" s="318"/>
      <c r="X129" s="318"/>
      <c r="Y129" s="318"/>
      <c r="Z129" s="318"/>
      <c r="AA129" s="310">
        <v>6</v>
      </c>
      <c r="AB129" s="310"/>
      <c r="AC129" s="66"/>
      <c r="AD129" s="66"/>
      <c r="AE129" s="310"/>
      <c r="AF129" s="310"/>
      <c r="AG129" s="311"/>
      <c r="AH129" s="311"/>
      <c r="AI129" s="310"/>
      <c r="AJ129" s="310"/>
      <c r="AK129" s="841"/>
      <c r="AL129" s="842"/>
      <c r="AM129" s="842"/>
      <c r="AN129" s="863"/>
      <c r="AO129" s="863"/>
      <c r="AP129" s="838"/>
      <c r="AQ129" s="843"/>
      <c r="AR129" s="843"/>
      <c r="AS129" s="843"/>
      <c r="AT129" s="843"/>
      <c r="AU129" s="843"/>
      <c r="AV129" s="844"/>
      <c r="AW129" s="208" t="str">
        <f>IFERROR(WWWW[[#This Row],['# of Water passed at source]]/WWWW[[#This Row],['# of Water tested at source]],"no test")</f>
        <v>no test</v>
      </c>
      <c r="AX129" s="211" t="str">
        <f>IFERROR(WWWW[[#This Row],['# of Water passed at HH]]/WWWW[[#This Row],['# of Water tested at HH]],"no test")</f>
        <v>no test</v>
      </c>
      <c r="AY129" s="210" t="str">
        <f>IF(AND(WWWW[[#This Row],[%of Water samples which passed at water source]]="no test",WWWW[[#This Row],[%Water samples which passed at HH]]="no test"),"No Test","Tested")</f>
        <v>No Test</v>
      </c>
      <c r="AZ12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2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29" s="211">
        <f>IF(WWWW[[#This Row],[Location Type 1]]="Village",WWWW[[#This Row],[Access to safe drinking water for Village]],WWWW[[#This Row],[Access to safe drinking water for Camp]])</f>
        <v>0</v>
      </c>
      <c r="BC129" s="209">
        <f>WWWW[[#This Row],[%Equitable and continuous access to sufficient quantity of safe drinking water]]*WWWW[[#This Row],[Total PoP ]]</f>
        <v>0</v>
      </c>
      <c r="BD129" s="211">
        <f>IF((WWWW[[#This Row],['# Existing protected/fenced ponds ]]*250)/WWWW[[#This Row],[Total PoP ]]&gt;1,1,WWWW[[#This Row],['# Existing protected/fenced ponds ]]*250/WWWW[[#This Row],[Total PoP ]])</f>
        <v>0</v>
      </c>
      <c r="BE129" s="209">
        <f>WWWW[[#This Row],[Access to unimproved water points]]*WWWW[[#This Row],[Total PoP ]]</f>
        <v>0</v>
      </c>
      <c r="BF12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2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29" s="209">
        <f>WWWW[[#This Row],['#people Equitable and continuous access to sufficient quantity of domestic water borehole n ponds_2]]/500</f>
        <v>0</v>
      </c>
      <c r="BI129" s="208">
        <f>1-WWWW[[#This Row],[%Equitable and continuous access to sufficient quantity of domestic water borehole n ponds]]</f>
        <v>1</v>
      </c>
      <c r="BJ129" s="209">
        <f>WWWW[[#This Row],[%equitable and continuous access to sufficient quantity of safe drinking and domestic water''s GAP]]*WWWW[[#This Row],[Total PoP ]]</f>
        <v>87</v>
      </c>
      <c r="BK129" s="210">
        <f>IF(WWWW[[#This Row],[Total required water points]]-WWWW[[#This Row],['#Water points coverage]]&lt;0,0,WWWW[[#This Row],[Total required water points]]-WWWW[[#This Row],['#Water points coverage]])</f>
        <v>1</v>
      </c>
      <c r="BL129" s="210">
        <f>ROUND(IF(WWWW[[#This Row],[Total PoP ]]&lt;500,1,WWWW[[#This Row],[Total PoP ]]/500),0)</f>
        <v>1</v>
      </c>
      <c r="BM129" s="210">
        <f>WWWW[[#This Row],['# Existing functional latrines]]+WWWW[[#This Row],['# Existing latrines dysfunctional]]</f>
        <v>6</v>
      </c>
      <c r="BN12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29" s="352">
        <f>WWWW[[#This Row],[% people access to functioning Latrine]]*WWWW[[#This Row],[Total PoP ]]</f>
        <v>87</v>
      </c>
      <c r="BP12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29" s="209">
        <f>IF(WWWW[[#This Row],[Total required Latrines]]-WWWW[[#This Row],[Total '# of latrine]]&lt;0,0,WWWW[[#This Row],[Total required Latrines]]-WWWW[[#This Row],[Total '# of latrine]])</f>
        <v>0</v>
      </c>
      <c r="BR129" s="210">
        <f>ROUND(IF(WWWW[[#This Row],[Location Type 1]]="camp",WWWW[[#This Row],[Total PoP ]]/20,WWWW[[#This Row],[Total PoP ]]/6),0)</f>
        <v>4</v>
      </c>
      <c r="BS129" s="212">
        <f>IF(OR(WWWW[[#This Row],['# Existing latrines dysfunctional]]="",WWWW[[#This Row],['# Existing latrines dysfunctional]]=0),0,WWWW[[#This Row],['# Existing latrines dysfunctional]]/WWWW[[#This Row],[Total '# of latrine]])</f>
        <v>0</v>
      </c>
      <c r="BT12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29" s="209">
        <f>IF(500*WWWW[[#This Row],['# Hygiene Promoters ]]&gt;WWWW[[#This Row],[Total PoP ]],WWWW[[#This Row],[Total PoP ]],500*WWWW[[#This Row],['# Hygiene Promoters ]])</f>
        <v>0</v>
      </c>
      <c r="BV129" s="209">
        <f>IF(WWWW[[#This Row],[% of HH with access to Sanitary Pad]]&gt;=100%,1,0)</f>
        <v>0</v>
      </c>
      <c r="BW129" s="209">
        <f>IF(WWWW[[#This Row],[Total PoP ]]=0,0,IF(WWWW[[#This Row],['# Hygiene Promoters ]]=0,0,IF(WWWW[[#This Row],[Location Type 1]]="Village",IF(WWWW[[#This Row],[Total PoP ]]/WWWW[[#This Row],['# Hygiene Promoters ]]&lt;1000,1,0),IF(WWWW[[#This Row],[Total PoP ]]/WWWW[[#This Row],['# Hygiene Promoters ]]&lt;600,1,0))))</f>
        <v>0</v>
      </c>
      <c r="BX129" s="209">
        <f>IF(WWWW[[#This Row],[%HH with access to soap]]&gt;=100%,1,0)</f>
        <v>0</v>
      </c>
      <c r="BY129" s="209">
        <f>IF(WWWW[[#This Row],[% of HHs with access to Sanitary pad more than '#%]]+WWWW[[#This Row],[Ratio of Hyiene promoters to people less than '#]]+WWWW[[#This Row],[% of HHs with access to soap more than '#%]]&gt;=2,WWWW[[#This Row],[Total PoP ]],0)</f>
        <v>0</v>
      </c>
      <c r="BZ129" s="208">
        <f>WWWW[[#This Row],[People adopt basic personal and community hygiene practices]]/WWWW[[#This Row],[Total PoP ]]</f>
        <v>0</v>
      </c>
      <c r="CA129" s="212">
        <f>1-WWWW[[#This Row],[Hygiene Coverage%]]</f>
        <v>1</v>
      </c>
      <c r="CB129" s="211">
        <f>WWWW[[#This Row],['# people reached by regular dedicated hygiene promotion_5]]/WWWW[[#This Row],[Total PoP ]]</f>
        <v>0</v>
      </c>
      <c r="CC129" s="211">
        <f>IF(WWWW[[#This Row],['# HH received soaps]]/WWWW[[#This Row],[Total HH]]&gt;1,1,WWWW[[#This Row],['# HH received soaps]]/WWWW[[#This Row],[Total HH]])</f>
        <v>0</v>
      </c>
      <c r="CD129" s="211">
        <f>IF(WWWW[[#This Row],['# HH received Sanitary Pads]]/WWWW[[#This Row],[Total HH]]&gt;1,1,WWWW[[#This Row],['# HH received Sanitary Pads]]/WWWW[[#This Row],[Total HH]])</f>
        <v>0</v>
      </c>
      <c r="CE129" s="210">
        <f>WWWW[[#This Row],['# HH received soaps]]*5</f>
        <v>0</v>
      </c>
      <c r="CF129" s="210">
        <f>WWWW[[#This Row],['# HH received Sanitary Pads]]*5</f>
        <v>0</v>
      </c>
      <c r="CG129" s="210">
        <f>IF(WWWW[[#This Row],['# People with access to soap]]&gt;WWWW[[#This Row],['# People with access to Sanity Pads]],WWWW[[#This Row],['# People with access to soap]],WWWW[[#This Row],['# People with access to Sanity Pads]])</f>
        <v>0</v>
      </c>
      <c r="CH129" s="209">
        <f>WWWW[[#This Row],[Total HH]]*WWWW[[#This Row],[%HHs with access to functional hand washing stations]]</f>
        <v>0</v>
      </c>
      <c r="CI129" s="699">
        <f>VLOOKUP(WWWW[[#This Row],[Site Name]],SiteDB6[[Site Name]:[CCCM Management]],6,FALSE)</f>
        <v>0</v>
      </c>
      <c r="CJ129" s="699" t="str">
        <f>VLOOKUP(WWWW[[#This Row],[Site Name]],SiteDB6[[Site Name]:[CCCM Focal Agency]],7,FALSE)</f>
        <v>uncovered</v>
      </c>
      <c r="CK129" s="699" t="str">
        <f>VLOOKUP(WWWW[[#This Row],[Site Name]],SiteDB6[[Site Name]:[Location Type]],8,FALSE)</f>
        <v>Camp</v>
      </c>
      <c r="CL129" s="699" t="str">
        <f>VLOOKUP(WWWW[[#This Row],[Site Name]],SiteDB6[[Site Name]:[Location Type 1]],9,FALSE)</f>
        <v>Camp</v>
      </c>
      <c r="CM129" s="699" t="str">
        <f>VLOOKUP(WWWW[[#This Row],[Site Name]],SiteDB6[[Site Name]:[Type of Accommodation]],10,FALSE)</f>
        <v>Camp like setting</v>
      </c>
      <c r="CN129" s="699" t="str">
        <f>VLOOKUP(WWWW[[#This Row],[Site Name]],SiteDB6[[Site Name]:[Ethnic or GCA/NGCA]],11,FALSE)</f>
        <v>GCA</v>
      </c>
      <c r="CO129" s="699">
        <f>VLOOKUP(WWWW[[#This Row],[Site Name]],SiteDB6[[Site Name]:[Lat]],12,FALSE)</f>
        <v>0</v>
      </c>
      <c r="CP129" s="699">
        <f>VLOOKUP(WWWW[[#This Row],[Site Name]],SiteDB6[[Site Name]:[Long]],13,FALSE)</f>
        <v>0</v>
      </c>
      <c r="CQ129" s="699" t="str">
        <f>VLOOKUP(WWWW[[#This Row],[Site Name]],SiteDB6[[Site Name]:[Pcode]],3,FALSE)</f>
        <v>MMR001CMP267</v>
      </c>
      <c r="CR129" s="660" t="str">
        <f t="shared" si="1"/>
        <v>Covered</v>
      </c>
      <c r="CS129" s="660"/>
      <c r="CT129" s="24"/>
      <c r="CU129" s="24"/>
      <c r="CV129" s="24"/>
    </row>
    <row r="130" spans="1:100" ht="15.75" customHeight="1" x14ac:dyDescent="0.25">
      <c r="A130" s="833" t="s">
        <v>3206</v>
      </c>
      <c r="B130" s="206" t="s">
        <v>287</v>
      </c>
      <c r="C130" s="206" t="s">
        <v>44</v>
      </c>
      <c r="D130" s="206" t="s">
        <v>305</v>
      </c>
      <c r="E130" s="206" t="s">
        <v>2954</v>
      </c>
      <c r="F130" s="206">
        <v>169</v>
      </c>
      <c r="G130" s="209">
        <v>724</v>
      </c>
      <c r="H130" s="206"/>
      <c r="I130" s="206" t="s">
        <v>296</v>
      </c>
      <c r="J130" s="207">
        <v>43465</v>
      </c>
      <c r="K130" s="206"/>
      <c r="L130" s="206" t="s">
        <v>48</v>
      </c>
      <c r="M130" s="208">
        <v>0.8</v>
      </c>
      <c r="N130" s="208">
        <v>0.6</v>
      </c>
      <c r="O130" s="316">
        <v>1</v>
      </c>
      <c r="P130" s="317">
        <v>3</v>
      </c>
      <c r="Q130" s="317"/>
      <c r="R130" s="318"/>
      <c r="S130" s="318"/>
      <c r="T130" s="318"/>
      <c r="U130" s="318"/>
      <c r="V130" s="318"/>
      <c r="W130" s="318"/>
      <c r="X130" s="318"/>
      <c r="Y130" s="318"/>
      <c r="Z130" s="318"/>
      <c r="AA130" s="310">
        <v>10</v>
      </c>
      <c r="AB130" s="310"/>
      <c r="AC130" s="66"/>
      <c r="AD130" s="66"/>
      <c r="AE130" s="310"/>
      <c r="AF130" s="310"/>
      <c r="AG130" s="311"/>
      <c r="AH130" s="311"/>
      <c r="AI130" s="310"/>
      <c r="AJ130" s="310"/>
      <c r="AK130" s="841"/>
      <c r="AL130" s="842"/>
      <c r="AM130" s="842"/>
      <c r="AN130" s="863"/>
      <c r="AO130" s="863"/>
      <c r="AP130" s="838"/>
      <c r="AQ130" s="843"/>
      <c r="AR130" s="843"/>
      <c r="AS130" s="843"/>
      <c r="AT130" s="843"/>
      <c r="AU130" s="843"/>
      <c r="AV130" s="844"/>
      <c r="AW130" s="208" t="str">
        <f>IFERROR(WWWW[[#This Row],['# of Water passed at source]]/WWWW[[#This Row],['# of Water tested at source]],"no test")</f>
        <v>no test</v>
      </c>
      <c r="AX130" s="211" t="str">
        <f>IFERROR(WWWW[[#This Row],['# of Water passed at HH]]/WWWW[[#This Row],['# of Water tested at HH]],"no test")</f>
        <v>no test</v>
      </c>
      <c r="AY130" s="210" t="str">
        <f>IF(AND(WWWW[[#This Row],[%of Water samples which passed at water source]]="no test",WWWW[[#This Row],[%Water samples which passed at HH]]="no test"),"No Test","Tested")</f>
        <v>No Test</v>
      </c>
      <c r="AZ13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3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30" s="211">
        <f>IF(WWWW[[#This Row],[Location Type 1]]="Village",WWWW[[#This Row],[Access to safe drinking water for Village]],WWWW[[#This Row],[Access to safe drinking water for Camp]])</f>
        <v>1</v>
      </c>
      <c r="BC130" s="209">
        <f>WWWW[[#This Row],[%Equitable and continuous access to sufficient quantity of safe drinking water]]*WWWW[[#This Row],[Total PoP ]]</f>
        <v>724</v>
      </c>
      <c r="BD130" s="211">
        <f>IF((WWWW[[#This Row],['# Existing protected/fenced ponds ]]*250)/WWWW[[#This Row],[Total PoP ]]&gt;1,1,WWWW[[#This Row],['# Existing protected/fenced ponds ]]*250/WWWW[[#This Row],[Total PoP ]])</f>
        <v>0</v>
      </c>
      <c r="BE130" s="209">
        <f>WWWW[[#This Row],[Access to unimproved water points]]*WWWW[[#This Row],[Total PoP ]]</f>
        <v>0</v>
      </c>
      <c r="BF13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3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724</v>
      </c>
      <c r="BH130" s="209">
        <f>WWWW[[#This Row],['#people Equitable and continuous access to sufficient quantity of domestic water borehole n ponds_2]]/500</f>
        <v>1.448</v>
      </c>
      <c r="BI130" s="208">
        <f>1-WWWW[[#This Row],[%Equitable and continuous access to sufficient quantity of domestic water borehole n ponds]]</f>
        <v>0</v>
      </c>
      <c r="BJ130" s="209">
        <f>WWWW[[#This Row],[%equitable and continuous access to sufficient quantity of safe drinking and domestic water''s GAP]]*WWWW[[#This Row],[Total PoP ]]</f>
        <v>0</v>
      </c>
      <c r="BK130" s="210">
        <f>IF(WWWW[[#This Row],[Total required water points]]-WWWW[[#This Row],['#Water points coverage]]&lt;0,0,WWWW[[#This Row],[Total required water points]]-WWWW[[#This Row],['#Water points coverage]])</f>
        <v>0</v>
      </c>
      <c r="BL130" s="210">
        <f>ROUND(IF(WWWW[[#This Row],[Total PoP ]]&lt;500,1,WWWW[[#This Row],[Total PoP ]]/500),0)</f>
        <v>1</v>
      </c>
      <c r="BM130" s="210">
        <f>WWWW[[#This Row],['# Existing functional latrines]]+WWWW[[#This Row],['# Existing latrines dysfunctional]]</f>
        <v>10</v>
      </c>
      <c r="BN13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0.27624309392265195</v>
      </c>
      <c r="BO130" s="352">
        <f>WWWW[[#This Row],[% people access to functioning Latrine]]*WWWW[[#This Row],[Total PoP ]]</f>
        <v>200</v>
      </c>
      <c r="BP13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0.71823204419889497</v>
      </c>
      <c r="BQ130" s="209">
        <f>IF(WWWW[[#This Row],[Total required Latrines]]-WWWW[[#This Row],[Total '# of latrine]]&lt;0,0,WWWW[[#This Row],[Total required Latrines]]-WWWW[[#This Row],[Total '# of latrine]])</f>
        <v>26</v>
      </c>
      <c r="BR130" s="210">
        <f>ROUND(IF(WWWW[[#This Row],[Location Type 1]]="camp",WWWW[[#This Row],[Total PoP ]]/20,WWWW[[#This Row],[Total PoP ]]/6),0)</f>
        <v>36</v>
      </c>
      <c r="BS130" s="212">
        <f>IF(OR(WWWW[[#This Row],['# Existing latrines dysfunctional]]="",WWWW[[#This Row],['# Existing latrines dysfunctional]]=0),0,WWWW[[#This Row],['# Existing latrines dysfunctional]]/WWWW[[#This Row],[Total '# of latrine]])</f>
        <v>0</v>
      </c>
      <c r="BT13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0" s="209">
        <f>IF(500*WWWW[[#This Row],['# Hygiene Promoters ]]&gt;WWWW[[#This Row],[Total PoP ]],WWWW[[#This Row],[Total PoP ]],500*WWWW[[#This Row],['# Hygiene Promoters ]])</f>
        <v>0</v>
      </c>
      <c r="BV130" s="209">
        <f>IF(WWWW[[#This Row],[% of HH with access to Sanitary Pad]]&gt;=100%,1,0)</f>
        <v>0</v>
      </c>
      <c r="BW130" s="209">
        <f>IF(WWWW[[#This Row],[Total PoP ]]=0,0,IF(WWWW[[#This Row],['# Hygiene Promoters ]]=0,0,IF(WWWW[[#This Row],[Location Type 1]]="Village",IF(WWWW[[#This Row],[Total PoP ]]/WWWW[[#This Row],['# Hygiene Promoters ]]&lt;1000,1,0),IF(WWWW[[#This Row],[Total PoP ]]/WWWW[[#This Row],['# Hygiene Promoters ]]&lt;600,1,0))))</f>
        <v>0</v>
      </c>
      <c r="BX130" s="209">
        <f>IF(WWWW[[#This Row],[%HH with access to soap]]&gt;=100%,1,0)</f>
        <v>0</v>
      </c>
      <c r="BY130" s="209">
        <f>IF(WWWW[[#This Row],[% of HHs with access to Sanitary pad more than '#%]]+WWWW[[#This Row],[Ratio of Hyiene promoters to people less than '#]]+WWWW[[#This Row],[% of HHs with access to soap more than '#%]]&gt;=2,WWWW[[#This Row],[Total PoP ]],0)</f>
        <v>0</v>
      </c>
      <c r="BZ130" s="208">
        <f>WWWW[[#This Row],[People adopt basic personal and community hygiene practices]]/WWWW[[#This Row],[Total PoP ]]</f>
        <v>0</v>
      </c>
      <c r="CA130" s="212">
        <f>1-WWWW[[#This Row],[Hygiene Coverage%]]</f>
        <v>1</v>
      </c>
      <c r="CB130" s="211">
        <f>WWWW[[#This Row],['# people reached by regular dedicated hygiene promotion_5]]/WWWW[[#This Row],[Total PoP ]]</f>
        <v>0</v>
      </c>
      <c r="CC130" s="211">
        <f>IF(WWWW[[#This Row],['# HH received soaps]]/WWWW[[#This Row],[Total HH]]&gt;1,1,WWWW[[#This Row],['# HH received soaps]]/WWWW[[#This Row],[Total HH]])</f>
        <v>0</v>
      </c>
      <c r="CD130" s="211">
        <f>IF(WWWW[[#This Row],['# HH received Sanitary Pads]]/WWWW[[#This Row],[Total HH]]&gt;1,1,WWWW[[#This Row],['# HH received Sanitary Pads]]/WWWW[[#This Row],[Total HH]])</f>
        <v>0</v>
      </c>
      <c r="CE130" s="210">
        <f>WWWW[[#This Row],['# HH received soaps]]*5</f>
        <v>0</v>
      </c>
      <c r="CF130" s="210">
        <f>WWWW[[#This Row],['# HH received Sanitary Pads]]*5</f>
        <v>0</v>
      </c>
      <c r="CG130" s="210">
        <f>IF(WWWW[[#This Row],['# People with access to soap]]&gt;WWWW[[#This Row],['# People with access to Sanity Pads]],WWWW[[#This Row],['# People with access to soap]],WWWW[[#This Row],['# People with access to Sanity Pads]])</f>
        <v>0</v>
      </c>
      <c r="CH130" s="209">
        <f>WWWW[[#This Row],[Total HH]]*WWWW[[#This Row],[%HHs with access to functional hand washing stations]]</f>
        <v>0</v>
      </c>
      <c r="CI130" s="699">
        <f>VLOOKUP(WWWW[[#This Row],[Site Name]],SiteDB6[[Site Name]:[CCCM Management]],6,FALSE)</f>
        <v>0</v>
      </c>
      <c r="CJ130" s="699" t="str">
        <f>VLOOKUP(WWWW[[#This Row],[Site Name]],SiteDB6[[Site Name]:[CCCM Focal Agency]],7,FALSE)</f>
        <v>KBC</v>
      </c>
      <c r="CK130" s="699" t="str">
        <f>VLOOKUP(WWWW[[#This Row],[Site Name]],SiteDB6[[Site Name]:[Location Type]],8,FALSE)</f>
        <v>Camp</v>
      </c>
      <c r="CL130" s="699" t="str">
        <f>VLOOKUP(WWWW[[#This Row],[Site Name]],SiteDB6[[Site Name]:[Location Type 1]],9,FALSE)</f>
        <v>Camp</v>
      </c>
      <c r="CM130" s="699" t="str">
        <f>VLOOKUP(WWWW[[#This Row],[Site Name]],SiteDB6[[Site Name]:[Type of Accommodation]],10,FALSE)</f>
        <v>Camp</v>
      </c>
      <c r="CN130" s="699" t="str">
        <f>VLOOKUP(WWWW[[#This Row],[Site Name]],SiteDB6[[Site Name]:[Ethnic or GCA/NGCA]],11,FALSE)</f>
        <v>GCA</v>
      </c>
      <c r="CO130" s="699">
        <f>VLOOKUP(WWWW[[#This Row],[Site Name]],SiteDB6[[Site Name]:[Lat]],12,FALSE)</f>
        <v>97.431079999999994</v>
      </c>
      <c r="CP130" s="699">
        <f>VLOOKUP(WWWW[[#This Row],[Site Name]],SiteDB6[[Site Name]:[Long]],13,FALSE)</f>
        <v>25.480989999999998</v>
      </c>
      <c r="CQ130" s="699" t="str">
        <f>VLOOKUP(WWWW[[#This Row],[Site Name]],SiteDB6[[Site Name]:[Pcode]],3,FALSE)</f>
        <v>MMR001CMP263</v>
      </c>
      <c r="CR130" s="660" t="str">
        <f t="shared" si="1"/>
        <v>Covered</v>
      </c>
      <c r="CS130" s="660"/>
      <c r="CT130" s="24"/>
      <c r="CU130" s="24"/>
      <c r="CV130" s="24"/>
    </row>
    <row r="131" spans="1:100" ht="15.75" customHeight="1" x14ac:dyDescent="0.25">
      <c r="A131" s="833" t="s">
        <v>3206</v>
      </c>
      <c r="B131" s="206" t="s">
        <v>460</v>
      </c>
      <c r="C131" s="206" t="s">
        <v>44</v>
      </c>
      <c r="D131" s="206" t="s">
        <v>319</v>
      </c>
      <c r="E131" s="206" t="s">
        <v>1246</v>
      </c>
      <c r="F131" s="206">
        <v>10</v>
      </c>
      <c r="G131" s="209">
        <v>56</v>
      </c>
      <c r="H131" s="206"/>
      <c r="I131" s="206"/>
      <c r="J131" s="207"/>
      <c r="K131" s="206"/>
      <c r="L131" s="206" t="s">
        <v>282</v>
      </c>
      <c r="M131" s="208">
        <v>0</v>
      </c>
      <c r="N131" s="208">
        <v>0</v>
      </c>
      <c r="O131" s="316"/>
      <c r="P131" s="317"/>
      <c r="Q131" s="317"/>
      <c r="R131" s="318"/>
      <c r="S131" s="318"/>
      <c r="T131" s="318"/>
      <c r="U131" s="318"/>
      <c r="V131" s="318"/>
      <c r="W131" s="318"/>
      <c r="X131" s="318"/>
      <c r="Y131" s="318"/>
      <c r="Z131" s="318"/>
      <c r="AA131" s="310">
        <v>0</v>
      </c>
      <c r="AB131" s="310"/>
      <c r="AC131" s="66"/>
      <c r="AD131" s="66"/>
      <c r="AE131" s="310"/>
      <c r="AF131" s="310" t="s">
        <v>286</v>
      </c>
      <c r="AG131" s="311" t="s">
        <v>286</v>
      </c>
      <c r="AH131" s="311"/>
      <c r="AI131" s="310"/>
      <c r="AJ131" s="310"/>
      <c r="AK131" s="841"/>
      <c r="AL131" s="842"/>
      <c r="AM131" s="842"/>
      <c r="AN131" s="863"/>
      <c r="AO131" s="863"/>
      <c r="AP131" s="838"/>
      <c r="AQ131" s="843"/>
      <c r="AR131" s="843"/>
      <c r="AS131" s="843"/>
      <c r="AT131" s="843"/>
      <c r="AU131" s="843"/>
      <c r="AV131" s="844"/>
      <c r="AW131" s="208" t="str">
        <f>IFERROR(WWWW[[#This Row],['# of Water passed at source]]/WWWW[[#This Row],['# of Water tested at source]],"no test")</f>
        <v>no test</v>
      </c>
      <c r="AX131" s="211" t="str">
        <f>IFERROR(WWWW[[#This Row],['# of Water passed at HH]]/WWWW[[#This Row],['# of Water tested at HH]],"no test")</f>
        <v>no test</v>
      </c>
      <c r="AY131" s="210" t="str">
        <f>IF(AND(WWWW[[#This Row],[%of Water samples which passed at water source]]="no test",WWWW[[#This Row],[%Water samples which passed at HH]]="no test"),"No Test","Tested")</f>
        <v>No Test</v>
      </c>
      <c r="AZ13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3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31" s="211">
        <f>IF(WWWW[[#This Row],[Location Type 1]]="Village",WWWW[[#This Row],[Access to safe drinking water for Village]],WWWW[[#This Row],[Access to safe drinking water for Camp]])</f>
        <v>0</v>
      </c>
      <c r="BC131" s="209">
        <f>WWWW[[#This Row],[%Equitable and continuous access to sufficient quantity of safe drinking water]]*WWWW[[#This Row],[Total PoP ]]</f>
        <v>0</v>
      </c>
      <c r="BD131" s="211">
        <f>IF((WWWW[[#This Row],['# Existing protected/fenced ponds ]]*250)/WWWW[[#This Row],[Total PoP ]]&gt;1,1,WWWW[[#This Row],['# Existing protected/fenced ponds ]]*250/WWWW[[#This Row],[Total PoP ]])</f>
        <v>0</v>
      </c>
      <c r="BE131" s="209">
        <f>WWWW[[#This Row],[Access to unimproved water points]]*WWWW[[#This Row],[Total PoP ]]</f>
        <v>0</v>
      </c>
      <c r="BF13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3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31" s="209">
        <f>WWWW[[#This Row],['#people Equitable and continuous access to sufficient quantity of domestic water borehole n ponds_2]]/500</f>
        <v>0</v>
      </c>
      <c r="BI131" s="208">
        <f>1-WWWW[[#This Row],[%Equitable and continuous access to sufficient quantity of domestic water borehole n ponds]]</f>
        <v>1</v>
      </c>
      <c r="BJ131" s="209">
        <f>WWWW[[#This Row],[%equitable and continuous access to sufficient quantity of safe drinking and domestic water''s GAP]]*WWWW[[#This Row],[Total PoP ]]</f>
        <v>56</v>
      </c>
      <c r="BK131" s="210">
        <f>IF(WWWW[[#This Row],[Total required water points]]-WWWW[[#This Row],['#Water points coverage]]&lt;0,0,WWWW[[#This Row],[Total required water points]]-WWWW[[#This Row],['#Water points coverage]])</f>
        <v>1</v>
      </c>
      <c r="BL131" s="210">
        <f>ROUND(IF(WWWW[[#This Row],[Total PoP ]]&lt;500,1,WWWW[[#This Row],[Total PoP ]]/500),0)</f>
        <v>1</v>
      </c>
      <c r="BM131" s="210">
        <f>WWWW[[#This Row],['# Existing functional latrines]]+WWWW[[#This Row],['# Existing latrines dysfunctional]]</f>
        <v>0</v>
      </c>
      <c r="BN13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31" s="352">
        <f>WWWW[[#This Row],[% people access to functioning Latrine]]*WWWW[[#This Row],[Total PoP ]]</f>
        <v>0</v>
      </c>
      <c r="BP13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31" s="209">
        <f>IF(WWWW[[#This Row],[Total required Latrines]]-WWWW[[#This Row],[Total '# of latrine]]&lt;0,0,WWWW[[#This Row],[Total required Latrines]]-WWWW[[#This Row],[Total '# of latrine]])</f>
        <v>3</v>
      </c>
      <c r="BR131" s="210">
        <f>ROUND(IF(WWWW[[#This Row],[Location Type 1]]="camp",WWWW[[#This Row],[Total PoP ]]/20,WWWW[[#This Row],[Total PoP ]]/6),0)</f>
        <v>3</v>
      </c>
      <c r="BS131" s="212">
        <f>IF(OR(WWWW[[#This Row],['# Existing latrines dysfunctional]]="",WWWW[[#This Row],['# Existing latrines dysfunctional]]=0),0,WWWW[[#This Row],['# Existing latrines dysfunctional]]/WWWW[[#This Row],[Total '# of latrine]])</f>
        <v>0</v>
      </c>
      <c r="BT13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1" s="209">
        <f>IF(500*WWWW[[#This Row],['# Hygiene Promoters ]]&gt;WWWW[[#This Row],[Total PoP ]],WWWW[[#This Row],[Total PoP ]],500*WWWW[[#This Row],['# Hygiene Promoters ]])</f>
        <v>0</v>
      </c>
      <c r="BV131" s="209">
        <f>IF(WWWW[[#This Row],[% of HH with access to Sanitary Pad]]&gt;=100%,1,0)</f>
        <v>0</v>
      </c>
      <c r="BW131" s="209">
        <f>IF(WWWW[[#This Row],[Total PoP ]]=0,0,IF(WWWW[[#This Row],['# Hygiene Promoters ]]=0,0,IF(WWWW[[#This Row],[Location Type 1]]="Village",IF(WWWW[[#This Row],[Total PoP ]]/WWWW[[#This Row],['# Hygiene Promoters ]]&lt;1000,1,0),IF(WWWW[[#This Row],[Total PoP ]]/WWWW[[#This Row],['# Hygiene Promoters ]]&lt;600,1,0))))</f>
        <v>0</v>
      </c>
      <c r="BX131" s="209">
        <f>IF(WWWW[[#This Row],[%HH with access to soap]]&gt;=100%,1,0)</f>
        <v>0</v>
      </c>
      <c r="BY131" s="209">
        <f>IF(WWWW[[#This Row],[% of HHs with access to Sanitary pad more than '#%]]+WWWW[[#This Row],[Ratio of Hyiene promoters to people less than '#]]+WWWW[[#This Row],[% of HHs with access to soap more than '#%]]&gt;=2,WWWW[[#This Row],[Total PoP ]],0)</f>
        <v>0</v>
      </c>
      <c r="BZ131" s="208">
        <f>WWWW[[#This Row],[People adopt basic personal and community hygiene practices]]/WWWW[[#This Row],[Total PoP ]]</f>
        <v>0</v>
      </c>
      <c r="CA131" s="212">
        <f>1-WWWW[[#This Row],[Hygiene Coverage%]]</f>
        <v>1</v>
      </c>
      <c r="CB131" s="211">
        <f>WWWW[[#This Row],['# people reached by regular dedicated hygiene promotion_5]]/WWWW[[#This Row],[Total PoP ]]</f>
        <v>0</v>
      </c>
      <c r="CC131" s="211">
        <f>IF(WWWW[[#This Row],['# HH received soaps]]/WWWW[[#This Row],[Total HH]]&gt;1,1,WWWW[[#This Row],['# HH received soaps]]/WWWW[[#This Row],[Total HH]])</f>
        <v>0</v>
      </c>
      <c r="CD131" s="211">
        <f>IF(WWWW[[#This Row],['# HH received Sanitary Pads]]/WWWW[[#This Row],[Total HH]]&gt;1,1,WWWW[[#This Row],['# HH received Sanitary Pads]]/WWWW[[#This Row],[Total HH]])</f>
        <v>0</v>
      </c>
      <c r="CE131" s="210">
        <f>WWWW[[#This Row],['# HH received soaps]]*5</f>
        <v>0</v>
      </c>
      <c r="CF131" s="210">
        <f>WWWW[[#This Row],['# HH received Sanitary Pads]]*5</f>
        <v>0</v>
      </c>
      <c r="CG131" s="210">
        <f>IF(WWWW[[#This Row],['# People with access to soap]]&gt;WWWW[[#This Row],['# People with access to Sanity Pads]],WWWW[[#This Row],['# People with access to soap]],WWWW[[#This Row],['# People with access to Sanity Pads]])</f>
        <v>0</v>
      </c>
      <c r="CH131" s="209">
        <f>WWWW[[#This Row],[Total HH]]*WWWW[[#This Row],[%HHs with access to functional hand washing stations]]</f>
        <v>0</v>
      </c>
      <c r="CI131" s="699">
        <f>VLOOKUP(WWWW[[#This Row],[Site Name]],SiteDB6[[Site Name]:[CCCM Management]],6,FALSE)</f>
        <v>0</v>
      </c>
      <c r="CJ131" s="699" t="str">
        <f>VLOOKUP(WWWW[[#This Row],[Site Name]],SiteDB6[[Site Name]:[CCCM Focal Agency]],7,FALSE)</f>
        <v>uncovered</v>
      </c>
      <c r="CK131" s="699" t="str">
        <f>VLOOKUP(WWWW[[#This Row],[Site Name]],SiteDB6[[Site Name]:[Location Type]],8,FALSE)</f>
        <v>Camp</v>
      </c>
      <c r="CL131" s="699" t="str">
        <f>VLOOKUP(WWWW[[#This Row],[Site Name]],SiteDB6[[Site Name]:[Location Type 1]],9,FALSE)</f>
        <v>Camp</v>
      </c>
      <c r="CM131" s="699" t="str">
        <f>VLOOKUP(WWWW[[#This Row],[Site Name]],SiteDB6[[Site Name]:[Type of Accommodation]],10,FALSE)</f>
        <v>Host Families</v>
      </c>
      <c r="CN131" s="699" t="str">
        <f>VLOOKUP(WWWW[[#This Row],[Site Name]],SiteDB6[[Site Name]:[Ethnic or GCA/NGCA]],11,FALSE)</f>
        <v>GCA</v>
      </c>
      <c r="CO131" s="699">
        <f>VLOOKUP(WWWW[[#This Row],[Site Name]],SiteDB6[[Site Name]:[Lat]],12,FALSE)</f>
        <v>27.248964999999998</v>
      </c>
      <c r="CP131" s="699">
        <f>VLOOKUP(WWWW[[#This Row],[Site Name]],SiteDB6[[Site Name]:[Long]],13,FALSE)</f>
        <v>97.561105999999995</v>
      </c>
      <c r="CQ131" s="699" t="str">
        <f>VLOOKUP(WWWW[[#This Row],[Site Name]],SiteDB6[[Site Name]:[Pcode]],3,FALSE)</f>
        <v>MMR001CMP227</v>
      </c>
      <c r="CR131" s="660" t="str">
        <f t="shared" si="1"/>
        <v>Notcovered</v>
      </c>
      <c r="CS131" s="660"/>
      <c r="CT131" s="24"/>
      <c r="CU131" s="24"/>
      <c r="CV131" s="24"/>
    </row>
    <row r="132" spans="1:100" ht="15.75" customHeight="1" x14ac:dyDescent="0.25">
      <c r="A132" s="833" t="s">
        <v>3206</v>
      </c>
      <c r="B132" s="206" t="s">
        <v>287</v>
      </c>
      <c r="C132" s="206" t="s">
        <v>44</v>
      </c>
      <c r="D132" s="206" t="s">
        <v>319</v>
      </c>
      <c r="E132" s="206" t="s">
        <v>320</v>
      </c>
      <c r="F132" s="206">
        <v>61</v>
      </c>
      <c r="G132" s="209">
        <v>281</v>
      </c>
      <c r="H132" s="206"/>
      <c r="I132" s="206" t="s">
        <v>296</v>
      </c>
      <c r="J132" s="207">
        <v>43465</v>
      </c>
      <c r="K132" s="206">
        <v>0</v>
      </c>
      <c r="L132" s="206" t="s">
        <v>48</v>
      </c>
      <c r="M132" s="208">
        <v>0.6</v>
      </c>
      <c r="N132" s="208">
        <v>0.5</v>
      </c>
      <c r="O132" s="316">
        <v>1</v>
      </c>
      <c r="P132" s="317">
        <v>0</v>
      </c>
      <c r="Q132" s="317">
        <v>2000</v>
      </c>
      <c r="R132" s="318">
        <v>1</v>
      </c>
      <c r="S132" s="318">
        <v>0</v>
      </c>
      <c r="T132" s="318"/>
      <c r="U132" s="318">
        <v>0</v>
      </c>
      <c r="V132" s="318">
        <v>0</v>
      </c>
      <c r="W132" s="318">
        <v>0</v>
      </c>
      <c r="X132" s="318">
        <v>0</v>
      </c>
      <c r="Y132" s="318">
        <v>0</v>
      </c>
      <c r="Z132" s="318"/>
      <c r="AA132" s="310">
        <v>8</v>
      </c>
      <c r="AB132" s="310">
        <v>0</v>
      </c>
      <c r="AC132" s="66">
        <v>0</v>
      </c>
      <c r="AD132" s="66"/>
      <c r="AE132" s="310">
        <v>0</v>
      </c>
      <c r="AF132" s="310" t="s">
        <v>283</v>
      </c>
      <c r="AG132" s="311" t="s">
        <v>283</v>
      </c>
      <c r="AH132" s="311"/>
      <c r="AI132" s="310"/>
      <c r="AJ132" s="310"/>
      <c r="AK132" s="841">
        <v>0.6</v>
      </c>
      <c r="AL132" s="842" t="s">
        <v>291</v>
      </c>
      <c r="AM132" s="842">
        <v>0</v>
      </c>
      <c r="AN132" s="863">
        <v>2</v>
      </c>
      <c r="AO132" s="863">
        <v>2</v>
      </c>
      <c r="AP132" s="838">
        <v>0</v>
      </c>
      <c r="AQ132" s="843">
        <v>0</v>
      </c>
      <c r="AR132" s="843"/>
      <c r="AS132" s="843"/>
      <c r="AT132" s="843"/>
      <c r="AU132" s="843"/>
      <c r="AV132" s="844"/>
      <c r="AW132" s="208" t="str">
        <f>IFERROR(WWWW[[#This Row],['# of Water passed at source]]/WWWW[[#This Row],['# of Water tested at source]],"no test")</f>
        <v>no test</v>
      </c>
      <c r="AX132" s="211" t="str">
        <f>IFERROR(WWWW[[#This Row],['# of Water passed at HH]]/WWWW[[#This Row],['# of Water tested at HH]],"no test")</f>
        <v>no test</v>
      </c>
      <c r="AY132" s="210" t="str">
        <f>IF(AND(WWWW[[#This Row],[%of Water samples which passed at water source]]="no test",WWWW[[#This Row],[%Water samples which passed at HH]]="no test"),"No Test","Tested")</f>
        <v>No Test</v>
      </c>
      <c r="AZ13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3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32" s="211">
        <f>IF(WWWW[[#This Row],[Location Type 1]]="Village",WWWW[[#This Row],[Access to safe drinking water for Village]],WWWW[[#This Row],[Access to safe drinking water for Camp]])</f>
        <v>1</v>
      </c>
      <c r="BC132" s="209">
        <f>WWWW[[#This Row],[%Equitable and continuous access to sufficient quantity of safe drinking water]]*WWWW[[#This Row],[Total PoP ]]</f>
        <v>281</v>
      </c>
      <c r="BD132" s="211">
        <f>IF((WWWW[[#This Row],['# Existing protected/fenced ponds ]]*250)/WWWW[[#This Row],[Total PoP ]]&gt;1,1,WWWW[[#This Row],['# Existing protected/fenced ponds ]]*250/WWWW[[#This Row],[Total PoP ]])</f>
        <v>0.88967971530249113</v>
      </c>
      <c r="BE132" s="209">
        <f>WWWW[[#This Row],[Access to unimproved water points]]*WWWW[[#This Row],[Total PoP ]]</f>
        <v>250</v>
      </c>
      <c r="BF13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3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281</v>
      </c>
      <c r="BH132" s="209">
        <f>WWWW[[#This Row],['#people Equitable and continuous access to sufficient quantity of domestic water borehole n ponds_2]]/500</f>
        <v>0.56200000000000006</v>
      </c>
      <c r="BI132" s="208">
        <f>1-WWWW[[#This Row],[%Equitable and continuous access to sufficient quantity of domestic water borehole n ponds]]</f>
        <v>0</v>
      </c>
      <c r="BJ132" s="209">
        <f>WWWW[[#This Row],[%equitable and continuous access to sufficient quantity of safe drinking and domestic water''s GAP]]*WWWW[[#This Row],[Total PoP ]]</f>
        <v>0</v>
      </c>
      <c r="BK132" s="210">
        <f>IF(WWWW[[#This Row],[Total required water points]]-WWWW[[#This Row],['#Water points coverage]]&lt;0,0,WWWW[[#This Row],[Total required water points]]-WWWW[[#This Row],['#Water points coverage]])</f>
        <v>0.43799999999999994</v>
      </c>
      <c r="BL132" s="210">
        <f>ROUND(IF(WWWW[[#This Row],[Total PoP ]]&lt;500,1,WWWW[[#This Row],[Total PoP ]]/500),0)</f>
        <v>1</v>
      </c>
      <c r="BM132" s="210">
        <f>WWWW[[#This Row],['# Existing functional latrines]]+WWWW[[#This Row],['# Existing latrines dysfunctional]]</f>
        <v>8</v>
      </c>
      <c r="BN13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0.56939501779359436</v>
      </c>
      <c r="BO132" s="352">
        <f>WWWW[[#This Row],[% people access to functioning Latrine]]*WWWW[[#This Row],[Total PoP ]]</f>
        <v>160.00000000000003</v>
      </c>
      <c r="BP13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0.42704626334519569</v>
      </c>
      <c r="BQ132" s="209">
        <f>IF(WWWW[[#This Row],[Total required Latrines]]-WWWW[[#This Row],[Total '# of latrine]]&lt;0,0,WWWW[[#This Row],[Total required Latrines]]-WWWW[[#This Row],[Total '# of latrine]])</f>
        <v>6</v>
      </c>
      <c r="BR132" s="210">
        <f>ROUND(IF(WWWW[[#This Row],[Location Type 1]]="camp",WWWW[[#This Row],[Total PoP ]]/20,WWWW[[#This Row],[Total PoP ]]/6),0)</f>
        <v>14</v>
      </c>
      <c r="BS132" s="212">
        <f>IF(OR(WWWW[[#This Row],['# Existing latrines dysfunctional]]="",WWWW[[#This Row],['# Existing latrines dysfunctional]]=0),0,WWWW[[#This Row],['# Existing latrines dysfunctional]]/WWWW[[#This Row],[Total '# of latrine]])</f>
        <v>0</v>
      </c>
      <c r="BT13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2" s="209">
        <f>IF(500*WWWW[[#This Row],['# Hygiene Promoters ]]&gt;WWWW[[#This Row],[Total PoP ]],WWWW[[#This Row],[Total PoP ]],500*WWWW[[#This Row],['# Hygiene Promoters ]])</f>
        <v>281</v>
      </c>
      <c r="BV132" s="209">
        <f>IF(WWWW[[#This Row],[% of HH with access to Sanitary Pad]]&gt;=100%,1,0)</f>
        <v>0</v>
      </c>
      <c r="BW132" s="209">
        <f>IF(WWWW[[#This Row],[Total PoP ]]=0,0,IF(WWWW[[#This Row],['# Hygiene Promoters ]]=0,0,IF(WWWW[[#This Row],[Location Type 1]]="Village",IF(WWWW[[#This Row],[Total PoP ]]/WWWW[[#This Row],['# Hygiene Promoters ]]&lt;1000,1,0),IF(WWWW[[#This Row],[Total PoP ]]/WWWW[[#This Row],['# Hygiene Promoters ]]&lt;600,1,0))))</f>
        <v>1</v>
      </c>
      <c r="BX132" s="209">
        <f>IF(WWWW[[#This Row],[%HH with access to soap]]&gt;=100%,1,0)</f>
        <v>0</v>
      </c>
      <c r="BY132" s="209">
        <f>IF(WWWW[[#This Row],[% of HHs with access to Sanitary pad more than '#%]]+WWWW[[#This Row],[Ratio of Hyiene promoters to people less than '#]]+WWWW[[#This Row],[% of HHs with access to soap more than '#%]]&gt;=2,WWWW[[#This Row],[Total PoP ]],0)</f>
        <v>0</v>
      </c>
      <c r="BZ132" s="208">
        <f>WWWW[[#This Row],[People adopt basic personal and community hygiene practices]]/WWWW[[#This Row],[Total PoP ]]</f>
        <v>0</v>
      </c>
      <c r="CA132" s="212">
        <f>1-WWWW[[#This Row],[Hygiene Coverage%]]</f>
        <v>1</v>
      </c>
      <c r="CB132" s="211">
        <f>WWWW[[#This Row],['# people reached by regular dedicated hygiene promotion_5]]/WWWW[[#This Row],[Total PoP ]]</f>
        <v>1</v>
      </c>
      <c r="CC132" s="211">
        <f>IF(WWWW[[#This Row],['# HH received soaps]]/WWWW[[#This Row],[Total HH]]&gt;1,1,WWWW[[#This Row],['# HH received soaps]]/WWWW[[#This Row],[Total HH]])</f>
        <v>0</v>
      </c>
      <c r="CD132" s="211">
        <f>IF(WWWW[[#This Row],['# HH received Sanitary Pads]]/WWWW[[#This Row],[Total HH]]&gt;1,1,WWWW[[#This Row],['# HH received Sanitary Pads]]/WWWW[[#This Row],[Total HH]])</f>
        <v>0</v>
      </c>
      <c r="CE132" s="210">
        <f>WWWW[[#This Row],['# HH received soaps]]*5</f>
        <v>0</v>
      </c>
      <c r="CF132" s="210">
        <f>WWWW[[#This Row],['# HH received Sanitary Pads]]*5</f>
        <v>0</v>
      </c>
      <c r="CG132" s="210">
        <f>IF(WWWW[[#This Row],['# People with access to soap]]&gt;WWWW[[#This Row],['# People with access to Sanity Pads]],WWWW[[#This Row],['# People with access to soap]],WWWW[[#This Row],['# People with access to Sanity Pads]])</f>
        <v>0</v>
      </c>
      <c r="CH132" s="209">
        <f>WWWW[[#This Row],[Total HH]]*WWWW[[#This Row],[%HHs with access to functional hand washing stations]]</f>
        <v>36.6</v>
      </c>
      <c r="CI132" s="699" t="str">
        <f>VLOOKUP(WWWW[[#This Row],[Site Name]],SiteDB6[[Site Name]:[CCCM Management]],6,FALSE)</f>
        <v>Yes</v>
      </c>
      <c r="CJ132" s="699" t="str">
        <f>VLOOKUP(WWWW[[#This Row],[Site Name]],SiteDB6[[Site Name]:[CCCM Focal Agency]],7,FALSE)</f>
        <v>KBC</v>
      </c>
      <c r="CK132" s="699" t="str">
        <f>VLOOKUP(WWWW[[#This Row],[Site Name]],SiteDB6[[Site Name]:[Location Type]],8,FALSE)</f>
        <v>Camp</v>
      </c>
      <c r="CL132" s="699" t="str">
        <f>VLOOKUP(WWWW[[#This Row],[Site Name]],SiteDB6[[Site Name]:[Location Type 1]],9,FALSE)</f>
        <v>Camp</v>
      </c>
      <c r="CM132" s="699" t="str">
        <f>VLOOKUP(WWWW[[#This Row],[Site Name]],SiteDB6[[Site Name]:[Type of Accommodation]],10,FALSE)</f>
        <v>Camp</v>
      </c>
      <c r="CN132" s="699" t="str">
        <f>VLOOKUP(WWWW[[#This Row],[Site Name]],SiteDB6[[Site Name]:[Ethnic or GCA/NGCA]],11,FALSE)</f>
        <v>GCA</v>
      </c>
      <c r="CO132" s="699">
        <f>VLOOKUP(WWWW[[#This Row],[Site Name]],SiteDB6[[Site Name]:[Lat]],12,FALSE)</f>
        <v>27.337499999999999</v>
      </c>
      <c r="CP132" s="699">
        <f>VLOOKUP(WWWW[[#This Row],[Site Name]],SiteDB6[[Site Name]:[Long]],13,FALSE)</f>
        <v>97.416121000000004</v>
      </c>
      <c r="CQ132" s="699" t="str">
        <f>VLOOKUP(WWWW[[#This Row],[Site Name]],SiteDB6[[Site Name]:[Pcode]],3,FALSE)</f>
        <v>MMR001CMP234</v>
      </c>
      <c r="CR132" s="660" t="str">
        <f t="shared" si="1"/>
        <v>Covered</v>
      </c>
      <c r="CS132" s="660"/>
      <c r="CT132" s="24"/>
      <c r="CU132" s="24"/>
      <c r="CV132" s="24"/>
    </row>
    <row r="133" spans="1:100" ht="15.75" customHeight="1" x14ac:dyDescent="0.25">
      <c r="A133" s="833" t="s">
        <v>3206</v>
      </c>
      <c r="B133" s="206" t="s">
        <v>460</v>
      </c>
      <c r="C133" s="206" t="s">
        <v>44</v>
      </c>
      <c r="D133" s="206" t="s">
        <v>319</v>
      </c>
      <c r="E133" s="206" t="s">
        <v>1252</v>
      </c>
      <c r="F133" s="206">
        <v>14</v>
      </c>
      <c r="G133" s="209">
        <v>75</v>
      </c>
      <c r="H133" s="206"/>
      <c r="I133" s="206"/>
      <c r="J133" s="207"/>
      <c r="K133" s="206"/>
      <c r="L133" s="206" t="s">
        <v>282</v>
      </c>
      <c r="M133" s="208">
        <v>0</v>
      </c>
      <c r="N133" s="208">
        <v>0</v>
      </c>
      <c r="O133" s="316"/>
      <c r="P133" s="317"/>
      <c r="Q133" s="317"/>
      <c r="R133" s="318"/>
      <c r="S133" s="318"/>
      <c r="T133" s="318"/>
      <c r="U133" s="318"/>
      <c r="V133" s="318"/>
      <c r="W133" s="318"/>
      <c r="X133" s="318"/>
      <c r="Y133" s="318"/>
      <c r="Z133" s="318"/>
      <c r="AA133" s="310">
        <v>0</v>
      </c>
      <c r="AB133" s="310"/>
      <c r="AC133" s="66"/>
      <c r="AD133" s="66"/>
      <c r="AE133" s="310"/>
      <c r="AF133" s="310" t="s">
        <v>286</v>
      </c>
      <c r="AG133" s="311" t="s">
        <v>286</v>
      </c>
      <c r="AH133" s="311"/>
      <c r="AI133" s="310"/>
      <c r="AJ133" s="310"/>
      <c r="AK133" s="841"/>
      <c r="AL133" s="842"/>
      <c r="AM133" s="842"/>
      <c r="AN133" s="863"/>
      <c r="AO133" s="863"/>
      <c r="AP133" s="838"/>
      <c r="AQ133" s="843"/>
      <c r="AR133" s="843"/>
      <c r="AS133" s="843"/>
      <c r="AT133" s="843"/>
      <c r="AU133" s="843"/>
      <c r="AV133" s="844"/>
      <c r="AW133" s="208" t="str">
        <f>IFERROR(WWWW[[#This Row],['# of Water passed at source]]/WWWW[[#This Row],['# of Water tested at source]],"no test")</f>
        <v>no test</v>
      </c>
      <c r="AX133" s="211" t="str">
        <f>IFERROR(WWWW[[#This Row],['# of Water passed at HH]]/WWWW[[#This Row],['# of Water tested at HH]],"no test")</f>
        <v>no test</v>
      </c>
      <c r="AY133" s="210" t="str">
        <f>IF(AND(WWWW[[#This Row],[%of Water samples which passed at water source]]="no test",WWWW[[#This Row],[%Water samples which passed at HH]]="no test"),"No Test","Tested")</f>
        <v>No Test</v>
      </c>
      <c r="AZ13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3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33" s="211">
        <f>IF(WWWW[[#This Row],[Location Type 1]]="Village",WWWW[[#This Row],[Access to safe drinking water for Village]],WWWW[[#This Row],[Access to safe drinking water for Camp]])</f>
        <v>0</v>
      </c>
      <c r="BC133" s="209">
        <f>WWWW[[#This Row],[%Equitable and continuous access to sufficient quantity of safe drinking water]]*WWWW[[#This Row],[Total PoP ]]</f>
        <v>0</v>
      </c>
      <c r="BD133" s="211">
        <f>IF((WWWW[[#This Row],['# Existing protected/fenced ponds ]]*250)/WWWW[[#This Row],[Total PoP ]]&gt;1,1,WWWW[[#This Row],['# Existing protected/fenced ponds ]]*250/WWWW[[#This Row],[Total PoP ]])</f>
        <v>0</v>
      </c>
      <c r="BE133" s="209">
        <f>WWWW[[#This Row],[Access to unimproved water points]]*WWWW[[#This Row],[Total PoP ]]</f>
        <v>0</v>
      </c>
      <c r="BF13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3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33" s="209">
        <f>WWWW[[#This Row],['#people Equitable and continuous access to sufficient quantity of domestic water borehole n ponds_2]]/500</f>
        <v>0</v>
      </c>
      <c r="BI133" s="208">
        <f>1-WWWW[[#This Row],[%Equitable and continuous access to sufficient quantity of domestic water borehole n ponds]]</f>
        <v>1</v>
      </c>
      <c r="BJ133" s="209">
        <f>WWWW[[#This Row],[%equitable and continuous access to sufficient quantity of safe drinking and domestic water''s GAP]]*WWWW[[#This Row],[Total PoP ]]</f>
        <v>75</v>
      </c>
      <c r="BK133" s="210">
        <f>IF(WWWW[[#This Row],[Total required water points]]-WWWW[[#This Row],['#Water points coverage]]&lt;0,0,WWWW[[#This Row],[Total required water points]]-WWWW[[#This Row],['#Water points coverage]])</f>
        <v>1</v>
      </c>
      <c r="BL133" s="210">
        <f>ROUND(IF(WWWW[[#This Row],[Total PoP ]]&lt;500,1,WWWW[[#This Row],[Total PoP ]]/500),0)</f>
        <v>1</v>
      </c>
      <c r="BM133" s="210">
        <f>WWWW[[#This Row],['# Existing functional latrines]]+WWWW[[#This Row],['# Existing latrines dysfunctional]]</f>
        <v>0</v>
      </c>
      <c r="BN13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33" s="352">
        <f>WWWW[[#This Row],[% people access to functioning Latrine]]*WWWW[[#This Row],[Total PoP ]]</f>
        <v>0</v>
      </c>
      <c r="BP13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33" s="209">
        <f>IF(WWWW[[#This Row],[Total required Latrines]]-WWWW[[#This Row],[Total '# of latrine]]&lt;0,0,WWWW[[#This Row],[Total required Latrines]]-WWWW[[#This Row],[Total '# of latrine]])</f>
        <v>4</v>
      </c>
      <c r="BR133" s="210">
        <f>ROUND(IF(WWWW[[#This Row],[Location Type 1]]="camp",WWWW[[#This Row],[Total PoP ]]/20,WWWW[[#This Row],[Total PoP ]]/6),0)</f>
        <v>4</v>
      </c>
      <c r="BS133" s="212">
        <f>IF(OR(WWWW[[#This Row],['# Existing latrines dysfunctional]]="",WWWW[[#This Row],['# Existing latrines dysfunctional]]=0),0,WWWW[[#This Row],['# Existing latrines dysfunctional]]/WWWW[[#This Row],[Total '# of latrine]])</f>
        <v>0</v>
      </c>
      <c r="BT13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3" s="209">
        <f>IF(500*WWWW[[#This Row],['# Hygiene Promoters ]]&gt;WWWW[[#This Row],[Total PoP ]],WWWW[[#This Row],[Total PoP ]],500*WWWW[[#This Row],['# Hygiene Promoters ]])</f>
        <v>0</v>
      </c>
      <c r="BV133" s="209">
        <f>IF(WWWW[[#This Row],[% of HH with access to Sanitary Pad]]&gt;=100%,1,0)</f>
        <v>0</v>
      </c>
      <c r="BW133" s="209">
        <f>IF(WWWW[[#This Row],[Total PoP ]]=0,0,IF(WWWW[[#This Row],['# Hygiene Promoters ]]=0,0,IF(WWWW[[#This Row],[Location Type 1]]="Village",IF(WWWW[[#This Row],[Total PoP ]]/WWWW[[#This Row],['# Hygiene Promoters ]]&lt;1000,1,0),IF(WWWW[[#This Row],[Total PoP ]]/WWWW[[#This Row],['# Hygiene Promoters ]]&lt;600,1,0))))</f>
        <v>0</v>
      </c>
      <c r="BX133" s="209">
        <f>IF(WWWW[[#This Row],[%HH with access to soap]]&gt;=100%,1,0)</f>
        <v>0</v>
      </c>
      <c r="BY133" s="209">
        <f>IF(WWWW[[#This Row],[% of HHs with access to Sanitary pad more than '#%]]+WWWW[[#This Row],[Ratio of Hyiene promoters to people less than '#]]+WWWW[[#This Row],[% of HHs with access to soap more than '#%]]&gt;=2,WWWW[[#This Row],[Total PoP ]],0)</f>
        <v>0</v>
      </c>
      <c r="BZ133" s="208">
        <f>WWWW[[#This Row],[People adopt basic personal and community hygiene practices]]/WWWW[[#This Row],[Total PoP ]]</f>
        <v>0</v>
      </c>
      <c r="CA133" s="212">
        <f>1-WWWW[[#This Row],[Hygiene Coverage%]]</f>
        <v>1</v>
      </c>
      <c r="CB133" s="211">
        <f>WWWW[[#This Row],['# people reached by regular dedicated hygiene promotion_5]]/WWWW[[#This Row],[Total PoP ]]</f>
        <v>0</v>
      </c>
      <c r="CC133" s="211">
        <f>IF(WWWW[[#This Row],['# HH received soaps]]/WWWW[[#This Row],[Total HH]]&gt;1,1,WWWW[[#This Row],['# HH received soaps]]/WWWW[[#This Row],[Total HH]])</f>
        <v>0</v>
      </c>
      <c r="CD133" s="211">
        <f>IF(WWWW[[#This Row],['# HH received Sanitary Pads]]/WWWW[[#This Row],[Total HH]]&gt;1,1,WWWW[[#This Row],['# HH received Sanitary Pads]]/WWWW[[#This Row],[Total HH]])</f>
        <v>0</v>
      </c>
      <c r="CE133" s="210">
        <f>WWWW[[#This Row],['# HH received soaps]]*5</f>
        <v>0</v>
      </c>
      <c r="CF133" s="210">
        <f>WWWW[[#This Row],['# HH received Sanitary Pads]]*5</f>
        <v>0</v>
      </c>
      <c r="CG133" s="210">
        <f>IF(WWWW[[#This Row],['# People with access to soap]]&gt;WWWW[[#This Row],['# People with access to Sanity Pads]],WWWW[[#This Row],['# People with access to soap]],WWWW[[#This Row],['# People with access to Sanity Pads]])</f>
        <v>0</v>
      </c>
      <c r="CH133" s="209">
        <f>WWWW[[#This Row],[Total HH]]*WWWW[[#This Row],[%HHs with access to functional hand washing stations]]</f>
        <v>0</v>
      </c>
      <c r="CI133" s="699">
        <f>VLOOKUP(WWWW[[#This Row],[Site Name]],SiteDB6[[Site Name]:[CCCM Management]],6,FALSE)</f>
        <v>0</v>
      </c>
      <c r="CJ133" s="699" t="str">
        <f>VLOOKUP(WWWW[[#This Row],[Site Name]],SiteDB6[[Site Name]:[CCCM Focal Agency]],7,FALSE)</f>
        <v>uncovered</v>
      </c>
      <c r="CK133" s="699" t="str">
        <f>VLOOKUP(WWWW[[#This Row],[Site Name]],SiteDB6[[Site Name]:[Location Type]],8,FALSE)</f>
        <v>Camp</v>
      </c>
      <c r="CL133" s="699" t="str">
        <f>VLOOKUP(WWWW[[#This Row],[Site Name]],SiteDB6[[Site Name]:[Location Type 1]],9,FALSE)</f>
        <v>Camp</v>
      </c>
      <c r="CM133" s="699" t="str">
        <f>VLOOKUP(WWWW[[#This Row],[Site Name]],SiteDB6[[Site Name]:[Type of Accommodation]],10,FALSE)</f>
        <v>Host Families</v>
      </c>
      <c r="CN133" s="699" t="str">
        <f>VLOOKUP(WWWW[[#This Row],[Site Name]],SiteDB6[[Site Name]:[Ethnic or GCA/NGCA]],11,FALSE)</f>
        <v>GCA</v>
      </c>
      <c r="CO133" s="699">
        <f>VLOOKUP(WWWW[[#This Row],[Site Name]],SiteDB6[[Site Name]:[Lat]],12,FALSE)</f>
        <v>27.311699999999998</v>
      </c>
      <c r="CP133" s="699">
        <f>VLOOKUP(WWWW[[#This Row],[Site Name]],SiteDB6[[Site Name]:[Long]],13,FALSE)</f>
        <v>97.415289999999999</v>
      </c>
      <c r="CQ133" s="699" t="str">
        <f>VLOOKUP(WWWW[[#This Row],[Site Name]],SiteDB6[[Site Name]:[Pcode]],3,FALSE)</f>
        <v>MMR001CMP075</v>
      </c>
      <c r="CR133" s="660" t="str">
        <f t="shared" si="1"/>
        <v>Notcovered</v>
      </c>
      <c r="CS133" s="660"/>
      <c r="CT133" s="24"/>
      <c r="CU133" s="24"/>
      <c r="CV133" s="24"/>
    </row>
    <row r="134" spans="1:100" ht="15.75" customHeight="1" x14ac:dyDescent="0.25">
      <c r="A134" s="833" t="s">
        <v>3206</v>
      </c>
      <c r="B134" s="206" t="s">
        <v>287</v>
      </c>
      <c r="C134" s="206" t="s">
        <v>44</v>
      </c>
      <c r="D134" s="206" t="s">
        <v>360</v>
      </c>
      <c r="E134" s="206" t="s">
        <v>2805</v>
      </c>
      <c r="F134" s="206">
        <v>86</v>
      </c>
      <c r="G134" s="209">
        <v>381</v>
      </c>
      <c r="H134" s="206"/>
      <c r="I134" s="206"/>
      <c r="J134" s="207"/>
      <c r="K134" s="206"/>
      <c r="L134" s="206"/>
      <c r="M134" s="208"/>
      <c r="N134" s="208"/>
      <c r="O134" s="316"/>
      <c r="P134" s="317"/>
      <c r="Q134" s="317"/>
      <c r="R134" s="318"/>
      <c r="S134" s="318"/>
      <c r="T134" s="318"/>
      <c r="U134" s="318"/>
      <c r="V134" s="318"/>
      <c r="W134" s="318"/>
      <c r="X134" s="318"/>
      <c r="Y134" s="318"/>
      <c r="Z134" s="318"/>
      <c r="AA134" s="310"/>
      <c r="AB134" s="310"/>
      <c r="AC134" s="66"/>
      <c r="AD134" s="66"/>
      <c r="AE134" s="310"/>
      <c r="AF134" s="310"/>
      <c r="AG134" s="311"/>
      <c r="AH134" s="311"/>
      <c r="AI134" s="310"/>
      <c r="AJ134" s="310"/>
      <c r="AK134" s="841"/>
      <c r="AL134" s="842"/>
      <c r="AM134" s="842"/>
      <c r="AN134" s="863"/>
      <c r="AO134" s="863"/>
      <c r="AP134" s="838"/>
      <c r="AQ134" s="843"/>
      <c r="AR134" s="843"/>
      <c r="AS134" s="843"/>
      <c r="AT134" s="843"/>
      <c r="AU134" s="843"/>
      <c r="AV134" s="844"/>
      <c r="AW134" s="208" t="str">
        <f>IFERROR(WWWW[[#This Row],['# of Water passed at source]]/WWWW[[#This Row],['# of Water tested at source]],"no test")</f>
        <v>no test</v>
      </c>
      <c r="AX134" s="211" t="str">
        <f>IFERROR(WWWW[[#This Row],['# of Water passed at HH]]/WWWW[[#This Row],['# of Water tested at HH]],"no test")</f>
        <v>no test</v>
      </c>
      <c r="AY134" s="210" t="str">
        <f>IF(AND(WWWW[[#This Row],[%of Water samples which passed at water source]]="no test",WWWW[[#This Row],[%Water samples which passed at HH]]="no test"),"No Test","Tested")</f>
        <v>No Test</v>
      </c>
      <c r="AZ13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3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34" s="211">
        <f>IF(WWWW[[#This Row],[Location Type 1]]="Village",WWWW[[#This Row],[Access to safe drinking water for Village]],WWWW[[#This Row],[Access to safe drinking water for Camp]])</f>
        <v>0</v>
      </c>
      <c r="BC134" s="209">
        <f>WWWW[[#This Row],[%Equitable and continuous access to sufficient quantity of safe drinking water]]*WWWW[[#This Row],[Total PoP ]]</f>
        <v>0</v>
      </c>
      <c r="BD134" s="211">
        <f>IF((WWWW[[#This Row],['# Existing protected/fenced ponds ]]*250)/WWWW[[#This Row],[Total PoP ]]&gt;1,1,WWWW[[#This Row],['# Existing protected/fenced ponds ]]*250/WWWW[[#This Row],[Total PoP ]])</f>
        <v>0</v>
      </c>
      <c r="BE134" s="209">
        <f>WWWW[[#This Row],[Access to unimproved water points]]*WWWW[[#This Row],[Total PoP ]]</f>
        <v>0</v>
      </c>
      <c r="BF13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3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34" s="209">
        <f>WWWW[[#This Row],['#people Equitable and continuous access to sufficient quantity of domestic water borehole n ponds_2]]/500</f>
        <v>0</v>
      </c>
      <c r="BI134" s="208">
        <f>1-WWWW[[#This Row],[%Equitable and continuous access to sufficient quantity of domestic water borehole n ponds]]</f>
        <v>1</v>
      </c>
      <c r="BJ134" s="209">
        <f>WWWW[[#This Row],[%equitable and continuous access to sufficient quantity of safe drinking and domestic water''s GAP]]*WWWW[[#This Row],[Total PoP ]]</f>
        <v>381</v>
      </c>
      <c r="BK134" s="210">
        <f>IF(WWWW[[#This Row],[Total required water points]]-WWWW[[#This Row],['#Water points coverage]]&lt;0,0,WWWW[[#This Row],[Total required water points]]-WWWW[[#This Row],['#Water points coverage]])</f>
        <v>1</v>
      </c>
      <c r="BL134" s="210">
        <f>ROUND(IF(WWWW[[#This Row],[Total PoP ]]&lt;500,1,WWWW[[#This Row],[Total PoP ]]/500),0)</f>
        <v>1</v>
      </c>
      <c r="BM134" s="210">
        <f>WWWW[[#This Row],['# Existing functional latrines]]+WWWW[[#This Row],['# Existing latrines dysfunctional]]</f>
        <v>0</v>
      </c>
      <c r="BN13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34" s="352">
        <f>WWWW[[#This Row],[% people access to functioning Latrine]]*WWWW[[#This Row],[Total PoP ]]</f>
        <v>0</v>
      </c>
      <c r="BP13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0.99737532808398943</v>
      </c>
      <c r="BQ134" s="209">
        <f>IF(WWWW[[#This Row],[Total required Latrines]]-WWWW[[#This Row],[Total '# of latrine]]&lt;0,0,WWWW[[#This Row],[Total required Latrines]]-WWWW[[#This Row],[Total '# of latrine]])</f>
        <v>19</v>
      </c>
      <c r="BR134" s="210">
        <f>ROUND(IF(WWWW[[#This Row],[Location Type 1]]="camp",WWWW[[#This Row],[Total PoP ]]/20,WWWW[[#This Row],[Total PoP ]]/6),0)</f>
        <v>19</v>
      </c>
      <c r="BS134" s="212">
        <f>IF(OR(WWWW[[#This Row],['# Existing latrines dysfunctional]]="",WWWW[[#This Row],['# Existing latrines dysfunctional]]=0),0,WWWW[[#This Row],['# Existing latrines dysfunctional]]/WWWW[[#This Row],[Total '# of latrine]])</f>
        <v>0</v>
      </c>
      <c r="BT13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4" s="209">
        <f>IF(500*WWWW[[#This Row],['# Hygiene Promoters ]]&gt;WWWW[[#This Row],[Total PoP ]],WWWW[[#This Row],[Total PoP ]],500*WWWW[[#This Row],['# Hygiene Promoters ]])</f>
        <v>0</v>
      </c>
      <c r="BV134" s="209">
        <f>IF(WWWW[[#This Row],[% of HH with access to Sanitary Pad]]&gt;=100%,1,0)</f>
        <v>0</v>
      </c>
      <c r="BW134" s="209">
        <f>IF(WWWW[[#This Row],[Total PoP ]]=0,0,IF(WWWW[[#This Row],['# Hygiene Promoters ]]=0,0,IF(WWWW[[#This Row],[Location Type 1]]="Village",IF(WWWW[[#This Row],[Total PoP ]]/WWWW[[#This Row],['# Hygiene Promoters ]]&lt;1000,1,0),IF(WWWW[[#This Row],[Total PoP ]]/WWWW[[#This Row],['# Hygiene Promoters ]]&lt;600,1,0))))</f>
        <v>0</v>
      </c>
      <c r="BX134" s="209">
        <f>IF(WWWW[[#This Row],[%HH with access to soap]]&gt;=100%,1,0)</f>
        <v>0</v>
      </c>
      <c r="BY134" s="209">
        <f>IF(WWWW[[#This Row],[% of HHs with access to Sanitary pad more than '#%]]+WWWW[[#This Row],[Ratio of Hyiene promoters to people less than '#]]+WWWW[[#This Row],[% of HHs with access to soap more than '#%]]&gt;=2,WWWW[[#This Row],[Total PoP ]],0)</f>
        <v>0</v>
      </c>
      <c r="BZ134" s="208">
        <f>WWWW[[#This Row],[People adopt basic personal and community hygiene practices]]/WWWW[[#This Row],[Total PoP ]]</f>
        <v>0</v>
      </c>
      <c r="CA134" s="212">
        <f>1-WWWW[[#This Row],[Hygiene Coverage%]]</f>
        <v>1</v>
      </c>
      <c r="CB134" s="211">
        <f>WWWW[[#This Row],['# people reached by regular dedicated hygiene promotion_5]]/WWWW[[#This Row],[Total PoP ]]</f>
        <v>0</v>
      </c>
      <c r="CC134" s="211">
        <f>IF(WWWW[[#This Row],['# HH received soaps]]/WWWW[[#This Row],[Total HH]]&gt;1,1,WWWW[[#This Row],['# HH received soaps]]/WWWW[[#This Row],[Total HH]])</f>
        <v>0</v>
      </c>
      <c r="CD134" s="211">
        <f>IF(WWWW[[#This Row],['# HH received Sanitary Pads]]/WWWW[[#This Row],[Total HH]]&gt;1,1,WWWW[[#This Row],['# HH received Sanitary Pads]]/WWWW[[#This Row],[Total HH]])</f>
        <v>0</v>
      </c>
      <c r="CE134" s="210">
        <f>WWWW[[#This Row],['# HH received soaps]]*5</f>
        <v>0</v>
      </c>
      <c r="CF134" s="210">
        <f>WWWW[[#This Row],['# HH received Sanitary Pads]]*5</f>
        <v>0</v>
      </c>
      <c r="CG134" s="210">
        <f>IF(WWWW[[#This Row],['# People with access to soap]]&gt;WWWW[[#This Row],['# People with access to Sanity Pads]],WWWW[[#This Row],['# People with access to soap]],WWWW[[#This Row],['# People with access to Sanity Pads]])</f>
        <v>0</v>
      </c>
      <c r="CH134" s="209">
        <f>WWWW[[#This Row],[Total HH]]*WWWW[[#This Row],[%HHs with access to functional hand washing stations]]</f>
        <v>0</v>
      </c>
      <c r="CI134" s="699">
        <f>VLOOKUP(WWWW[[#This Row],[Site Name]],SiteDB6[[Site Name]:[CCCM Management]],6,FALSE)</f>
        <v>0</v>
      </c>
      <c r="CJ134" s="699">
        <f>VLOOKUP(WWWW[[#This Row],[Site Name]],SiteDB6[[Site Name]:[CCCM Focal Agency]],7,FALSE)</f>
        <v>0</v>
      </c>
      <c r="CK134" s="699" t="str">
        <f>VLOOKUP(WWWW[[#This Row],[Site Name]],SiteDB6[[Site Name]:[Location Type]],8,FALSE)</f>
        <v>Camp_not registered</v>
      </c>
      <c r="CL134" s="699" t="str">
        <f>VLOOKUP(WWWW[[#This Row],[Site Name]],SiteDB6[[Site Name]:[Location Type 1]],9,FALSE)</f>
        <v>Camp</v>
      </c>
      <c r="CM134" s="699" t="str">
        <f>VLOOKUP(WWWW[[#This Row],[Site Name]],SiteDB6[[Site Name]:[Type of Accommodation]],10,FALSE)</f>
        <v>Camp like setting</v>
      </c>
      <c r="CN134" s="699" t="s">
        <v>949</v>
      </c>
      <c r="CO134" s="699">
        <f>VLOOKUP(WWWW[[#This Row],[Site Name]],SiteDB6[[Site Name]:[Lat]],12,FALSE)</f>
        <v>0</v>
      </c>
      <c r="CP134" s="699">
        <f>VLOOKUP(WWWW[[#This Row],[Site Name]],SiteDB6[[Site Name]:[Long]],13,FALSE)</f>
        <v>0</v>
      </c>
      <c r="CQ134" s="699">
        <f>VLOOKUP(WWWW[[#This Row],[Site Name]],SiteDB6[[Site Name]:[Pcode]],3,FALSE)</f>
        <v>0</v>
      </c>
      <c r="CR134" s="660" t="str">
        <f t="shared" si="1"/>
        <v>Covered</v>
      </c>
      <c r="CS134" s="660"/>
      <c r="CT134" s="24"/>
      <c r="CU134" s="24"/>
      <c r="CV134" s="24"/>
    </row>
    <row r="135" spans="1:100" ht="15.75" customHeight="1" x14ac:dyDescent="0.25">
      <c r="A135" s="833" t="s">
        <v>3206</v>
      </c>
      <c r="B135" s="206" t="s">
        <v>287</v>
      </c>
      <c r="C135" s="206" t="s">
        <v>44</v>
      </c>
      <c r="D135" s="206" t="s">
        <v>360</v>
      </c>
      <c r="E135" s="206" t="s">
        <v>2790</v>
      </c>
      <c r="F135" s="206">
        <v>228</v>
      </c>
      <c r="G135" s="209">
        <v>1015</v>
      </c>
      <c r="H135" s="206">
        <v>0</v>
      </c>
      <c r="I135" s="206" t="s">
        <v>449</v>
      </c>
      <c r="J135" s="207">
        <v>43347</v>
      </c>
      <c r="K135" s="206">
        <v>0</v>
      </c>
      <c r="L135" s="206" t="s">
        <v>48</v>
      </c>
      <c r="M135" s="208">
        <v>0.4</v>
      </c>
      <c r="N135" s="208">
        <v>0.4</v>
      </c>
      <c r="O135" s="316">
        <v>13</v>
      </c>
      <c r="P135" s="317">
        <v>1</v>
      </c>
      <c r="Q135" s="317">
        <v>20300</v>
      </c>
      <c r="R135" s="318">
        <v>0</v>
      </c>
      <c r="S135" s="318"/>
      <c r="T135" s="318"/>
      <c r="U135" s="318">
        <v>15</v>
      </c>
      <c r="V135" s="318">
        <v>0</v>
      </c>
      <c r="W135" s="318">
        <v>24</v>
      </c>
      <c r="X135" s="318">
        <v>8</v>
      </c>
      <c r="Y135" s="318">
        <v>6</v>
      </c>
      <c r="Z135" s="318"/>
      <c r="AA135" s="310">
        <v>16</v>
      </c>
      <c r="AB135" s="310">
        <v>0</v>
      </c>
      <c r="AC135" s="66">
        <v>0</v>
      </c>
      <c r="AD135" s="66"/>
      <c r="AE135" s="310"/>
      <c r="AF135" s="310" t="s">
        <v>283</v>
      </c>
      <c r="AG135" s="311" t="s">
        <v>332</v>
      </c>
      <c r="AH135" s="311">
        <v>0</v>
      </c>
      <c r="AI135" s="310"/>
      <c r="AJ135" s="310"/>
      <c r="AK135" s="841">
        <v>0</v>
      </c>
      <c r="AL135" s="842" t="s">
        <v>291</v>
      </c>
      <c r="AM135" s="842"/>
      <c r="AN135" s="863"/>
      <c r="AO135" s="863"/>
      <c r="AP135" s="838"/>
      <c r="AQ135" s="843"/>
      <c r="AR135" s="843" t="s">
        <v>282</v>
      </c>
      <c r="AS135" s="843"/>
      <c r="AT135" s="843"/>
      <c r="AU135" s="843"/>
      <c r="AV135" s="844"/>
      <c r="AW135" s="208">
        <f>IFERROR(WWWW[[#This Row],['# of Water passed at source]]/WWWW[[#This Row],['# of Water tested at source]],"no test")</f>
        <v>0</v>
      </c>
      <c r="AX135" s="211">
        <f>IFERROR(WWWW[[#This Row],['# of Water passed at HH]]/WWWW[[#This Row],['# of Water tested at HH]],"no test")</f>
        <v>0.33333333333333331</v>
      </c>
      <c r="AY135" s="210" t="str">
        <f>IF(AND(WWWW[[#This Row],[%of Water samples which passed at water source]]="no test",WWWW[[#This Row],[%Water samples which passed at HH]]="no test"),"No Test","Tested")</f>
        <v>Tested</v>
      </c>
      <c r="AZ13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3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35" s="211">
        <f>IF(WWWW[[#This Row],[Location Type 1]]="Village",WWWW[[#This Row],[Access to safe drinking water for Village]],WWWW[[#This Row],[Access to safe drinking water for Camp]])</f>
        <v>1</v>
      </c>
      <c r="BC135" s="209">
        <f>WWWW[[#This Row],[%Equitable and continuous access to sufficient quantity of safe drinking water]]*WWWW[[#This Row],[Total PoP ]]</f>
        <v>1015</v>
      </c>
      <c r="BD135" s="211">
        <f>IF((WWWW[[#This Row],['# Existing protected/fenced ponds ]]*250)/WWWW[[#This Row],[Total PoP ]]&gt;1,1,WWWW[[#This Row],['# Existing protected/fenced ponds ]]*250/WWWW[[#This Row],[Total PoP ]])</f>
        <v>0</v>
      </c>
      <c r="BE135" s="209">
        <f>WWWW[[#This Row],[Access to unimproved water points]]*WWWW[[#This Row],[Total PoP ]]</f>
        <v>0</v>
      </c>
      <c r="BF13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3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1015</v>
      </c>
      <c r="BH135" s="209">
        <f>WWWW[[#This Row],['#people Equitable and continuous access to sufficient quantity of domestic water borehole n ponds_2]]/500</f>
        <v>2.0299999999999998</v>
      </c>
      <c r="BI135" s="208">
        <f>1-WWWW[[#This Row],[%Equitable and continuous access to sufficient quantity of domestic water borehole n ponds]]</f>
        <v>0</v>
      </c>
      <c r="BJ135" s="209">
        <f>WWWW[[#This Row],[%equitable and continuous access to sufficient quantity of safe drinking and domestic water''s GAP]]*WWWW[[#This Row],[Total PoP ]]</f>
        <v>0</v>
      </c>
      <c r="BK135" s="210">
        <f>IF(WWWW[[#This Row],[Total required water points]]-WWWW[[#This Row],['#Water points coverage]]&lt;0,0,WWWW[[#This Row],[Total required water points]]-WWWW[[#This Row],['#Water points coverage]])</f>
        <v>0</v>
      </c>
      <c r="BL135" s="210">
        <f>ROUND(IF(WWWW[[#This Row],[Total PoP ]]&lt;500,1,WWWW[[#This Row],[Total PoP ]]/500),0)</f>
        <v>2</v>
      </c>
      <c r="BM135" s="210">
        <f>WWWW[[#This Row],['# Existing functional latrines]]+WWWW[[#This Row],['# Existing latrines dysfunctional]]</f>
        <v>16</v>
      </c>
      <c r="BN13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0.31527093596059114</v>
      </c>
      <c r="BO135" s="352">
        <f>WWWW[[#This Row],[% people access to functioning Latrine]]*WWWW[[#This Row],[Total PoP ]]</f>
        <v>320</v>
      </c>
      <c r="BP13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0.68965517241379315</v>
      </c>
      <c r="BQ135" s="209">
        <f>IF(WWWW[[#This Row],[Total required Latrines]]-WWWW[[#This Row],[Total '# of latrine]]&lt;0,0,WWWW[[#This Row],[Total required Latrines]]-WWWW[[#This Row],[Total '# of latrine]])</f>
        <v>35</v>
      </c>
      <c r="BR135" s="210">
        <f>ROUND(IF(WWWW[[#This Row],[Location Type 1]]="camp",WWWW[[#This Row],[Total PoP ]]/20,WWWW[[#This Row],[Total PoP ]]/6),0)</f>
        <v>51</v>
      </c>
      <c r="BS135" s="212">
        <f>IF(OR(WWWW[[#This Row],['# Existing latrines dysfunctional]]="",WWWW[[#This Row],['# Existing latrines dysfunctional]]=0),0,WWWW[[#This Row],['# Existing latrines dysfunctional]]/WWWW[[#This Row],[Total '# of latrine]])</f>
        <v>0</v>
      </c>
      <c r="BT13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5" s="209">
        <f>IF(500*WWWW[[#This Row],['# Hygiene Promoters ]]&gt;WWWW[[#This Row],[Total PoP ]],WWWW[[#This Row],[Total PoP ]],500*WWWW[[#This Row],['# Hygiene Promoters ]])</f>
        <v>0</v>
      </c>
      <c r="BV135" s="209">
        <f>IF(WWWW[[#This Row],[% of HH with access to Sanitary Pad]]&gt;=100%,1,0)</f>
        <v>0</v>
      </c>
      <c r="BW135" s="209">
        <f>IF(WWWW[[#This Row],[Total PoP ]]=0,0,IF(WWWW[[#This Row],['# Hygiene Promoters ]]=0,0,IF(WWWW[[#This Row],[Location Type 1]]="Village",IF(WWWW[[#This Row],[Total PoP ]]/WWWW[[#This Row],['# Hygiene Promoters ]]&lt;1000,1,0),IF(WWWW[[#This Row],[Total PoP ]]/WWWW[[#This Row],['# Hygiene Promoters ]]&lt;600,1,0))))</f>
        <v>0</v>
      </c>
      <c r="BX135" s="209">
        <f>IF(WWWW[[#This Row],[%HH with access to soap]]&gt;=100%,1,0)</f>
        <v>0</v>
      </c>
      <c r="BY135" s="209">
        <f>IF(WWWW[[#This Row],[% of HHs with access to Sanitary pad more than '#%]]+WWWW[[#This Row],[Ratio of Hyiene promoters to people less than '#]]+WWWW[[#This Row],[% of HHs with access to soap more than '#%]]&gt;=2,WWWW[[#This Row],[Total PoP ]],0)</f>
        <v>0</v>
      </c>
      <c r="BZ135" s="208">
        <f>WWWW[[#This Row],[People adopt basic personal and community hygiene practices]]/WWWW[[#This Row],[Total PoP ]]</f>
        <v>0</v>
      </c>
      <c r="CA135" s="212">
        <f>1-WWWW[[#This Row],[Hygiene Coverage%]]</f>
        <v>1</v>
      </c>
      <c r="CB135" s="211">
        <f>WWWW[[#This Row],['# people reached by regular dedicated hygiene promotion_5]]/WWWW[[#This Row],[Total PoP ]]</f>
        <v>0</v>
      </c>
      <c r="CC135" s="211">
        <f>IF(WWWW[[#This Row],['# HH received soaps]]/WWWW[[#This Row],[Total HH]]&gt;1,1,WWWW[[#This Row],['# HH received soaps]]/WWWW[[#This Row],[Total HH]])</f>
        <v>0</v>
      </c>
      <c r="CD135" s="211">
        <f>IF(WWWW[[#This Row],['# HH received Sanitary Pads]]/WWWW[[#This Row],[Total HH]]&gt;1,1,WWWW[[#This Row],['# HH received Sanitary Pads]]/WWWW[[#This Row],[Total HH]])</f>
        <v>0</v>
      </c>
      <c r="CE135" s="210">
        <f>WWWW[[#This Row],['# HH received soaps]]*5</f>
        <v>0</v>
      </c>
      <c r="CF135" s="210">
        <f>WWWW[[#This Row],['# HH received Sanitary Pads]]*5</f>
        <v>0</v>
      </c>
      <c r="CG135" s="210">
        <f>IF(WWWW[[#This Row],['# People with access to soap]]&gt;WWWW[[#This Row],['# People with access to Sanity Pads]],WWWW[[#This Row],['# People with access to soap]],WWWW[[#This Row],['# People with access to Sanity Pads]])</f>
        <v>0</v>
      </c>
      <c r="CH135" s="209">
        <f>WWWW[[#This Row],[Total HH]]*WWWW[[#This Row],[%HHs with access to functional hand washing stations]]</f>
        <v>0</v>
      </c>
      <c r="CI135" s="699">
        <f>VLOOKUP(WWWW[[#This Row],[Site Name]],SiteDB6[[Site Name]:[CCCM Management]],6,FALSE)</f>
        <v>0</v>
      </c>
      <c r="CJ135" s="699">
        <f>VLOOKUP(WWWW[[#This Row],[Site Name]],SiteDB6[[Site Name]:[CCCM Focal Agency]],7,FALSE)</f>
        <v>0</v>
      </c>
      <c r="CK135" s="699" t="str">
        <f>VLOOKUP(WWWW[[#This Row],[Site Name]],SiteDB6[[Site Name]:[Location Type]],8,FALSE)</f>
        <v>Camp_not registered</v>
      </c>
      <c r="CL135" s="699" t="str">
        <f>VLOOKUP(WWWW[[#This Row],[Site Name]],SiteDB6[[Site Name]:[Location Type 1]],9,FALSE)</f>
        <v>Camp</v>
      </c>
      <c r="CM135" s="699" t="str">
        <f>VLOOKUP(WWWW[[#This Row],[Site Name]],SiteDB6[[Site Name]:[Type of Accommodation]],10,FALSE)</f>
        <v>Camp like setting</v>
      </c>
      <c r="CN135" s="699" t="s">
        <v>949</v>
      </c>
      <c r="CO135" s="699">
        <f>VLOOKUP(WWWW[[#This Row],[Site Name]],SiteDB6[[Site Name]:[Lat]],12,FALSE)</f>
        <v>0</v>
      </c>
      <c r="CP135" s="699">
        <f>VLOOKUP(WWWW[[#This Row],[Site Name]],SiteDB6[[Site Name]:[Long]],13,FALSE)</f>
        <v>0</v>
      </c>
      <c r="CQ135" s="699">
        <f>VLOOKUP(WWWW[[#This Row],[Site Name]],SiteDB6[[Site Name]:[Pcode]],3,FALSE)</f>
        <v>0</v>
      </c>
      <c r="CR135" s="660" t="str">
        <f t="shared" ref="CR135:CR198" si="2">IF(B135="none","Notcovered","Covered")</f>
        <v>Covered</v>
      </c>
      <c r="CS135" s="660"/>
      <c r="CT135" s="24"/>
      <c r="CU135" s="24"/>
      <c r="CV135" s="24"/>
    </row>
    <row r="136" spans="1:100" ht="15.75" customHeight="1" x14ac:dyDescent="0.25">
      <c r="A136" s="833" t="s">
        <v>3206</v>
      </c>
      <c r="B136" s="206" t="s">
        <v>338</v>
      </c>
      <c r="C136" s="206" t="s">
        <v>44</v>
      </c>
      <c r="D136" s="206" t="s">
        <v>360</v>
      </c>
      <c r="E136" s="206" t="s">
        <v>361</v>
      </c>
      <c r="F136" s="206">
        <v>45</v>
      </c>
      <c r="G136" s="209">
        <v>259</v>
      </c>
      <c r="H136" s="206"/>
      <c r="I136" s="206" t="s">
        <v>340</v>
      </c>
      <c r="J136" s="207" t="s">
        <v>2476</v>
      </c>
      <c r="K136" s="206">
        <v>0</v>
      </c>
      <c r="L136" s="206" t="s">
        <v>48</v>
      </c>
      <c r="M136" s="208">
        <v>0.8</v>
      </c>
      <c r="N136" s="208">
        <v>0.6</v>
      </c>
      <c r="O136" s="316">
        <v>0</v>
      </c>
      <c r="P136" s="317">
        <v>1</v>
      </c>
      <c r="Q136" s="317">
        <v>0</v>
      </c>
      <c r="R136" s="318">
        <v>0</v>
      </c>
      <c r="S136" s="318">
        <v>0</v>
      </c>
      <c r="T136" s="318"/>
      <c r="U136" s="318"/>
      <c r="V136" s="318"/>
      <c r="W136" s="318"/>
      <c r="X136" s="318"/>
      <c r="Y136" s="318"/>
      <c r="Z136" s="318"/>
      <c r="AA136" s="310">
        <v>13</v>
      </c>
      <c r="AB136" s="310">
        <v>0</v>
      </c>
      <c r="AC136" s="66"/>
      <c r="AD136" s="66"/>
      <c r="AE136" s="310">
        <v>0</v>
      </c>
      <c r="AF136" s="310" t="s">
        <v>283</v>
      </c>
      <c r="AG136" s="311" t="s">
        <v>283</v>
      </c>
      <c r="AH136" s="311"/>
      <c r="AI136" s="310"/>
      <c r="AJ136" s="310"/>
      <c r="AK136" s="841">
        <v>1</v>
      </c>
      <c r="AL136" s="842" t="s">
        <v>291</v>
      </c>
      <c r="AM136" s="842">
        <v>0</v>
      </c>
      <c r="AN136" s="863">
        <v>5</v>
      </c>
      <c r="AO136" s="863">
        <v>1</v>
      </c>
      <c r="AP136" s="838">
        <v>45</v>
      </c>
      <c r="AQ136" s="843">
        <v>45</v>
      </c>
      <c r="AR136" s="843"/>
      <c r="AS136" s="843"/>
      <c r="AT136" s="843"/>
      <c r="AU136" s="843"/>
      <c r="AV136" s="844"/>
      <c r="AW136" s="208" t="str">
        <f>IFERROR(WWWW[[#This Row],['# of Water passed at source]]/WWWW[[#This Row],['# of Water tested at source]],"no test")</f>
        <v>no test</v>
      </c>
      <c r="AX136" s="211" t="str">
        <f>IFERROR(WWWW[[#This Row],['# of Water passed at HH]]/WWWW[[#This Row],['# of Water tested at HH]],"no test")</f>
        <v>no test</v>
      </c>
      <c r="AY136" s="210" t="str">
        <f>IF(AND(WWWW[[#This Row],[%of Water samples which passed at water source]]="no test",WWWW[[#This Row],[%Water samples which passed at HH]]="no test"),"No Test","Tested")</f>
        <v>No Test</v>
      </c>
      <c r="AZ13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3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0.96525096525096521</v>
      </c>
      <c r="BB136" s="211">
        <f>IF(WWWW[[#This Row],[Location Type 1]]="Village",WWWW[[#This Row],[Access to safe drinking water for Village]],WWWW[[#This Row],[Access to safe drinking water for Camp]])</f>
        <v>1</v>
      </c>
      <c r="BC136" s="209">
        <f>WWWW[[#This Row],[%Equitable and continuous access to sufficient quantity of safe drinking water]]*WWWW[[#This Row],[Total PoP ]]</f>
        <v>259</v>
      </c>
      <c r="BD136" s="211">
        <f>IF((WWWW[[#This Row],['# Existing protected/fenced ponds ]]*250)/WWWW[[#This Row],[Total PoP ]]&gt;1,1,WWWW[[#This Row],['# Existing protected/fenced ponds ]]*250/WWWW[[#This Row],[Total PoP ]])</f>
        <v>0</v>
      </c>
      <c r="BE136" s="209">
        <f>WWWW[[#This Row],[Access to unimproved water points]]*WWWW[[#This Row],[Total PoP ]]</f>
        <v>0</v>
      </c>
      <c r="BF13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3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259</v>
      </c>
      <c r="BH136" s="209">
        <f>WWWW[[#This Row],['#people Equitable and continuous access to sufficient quantity of domestic water borehole n ponds_2]]/500</f>
        <v>0.51800000000000002</v>
      </c>
      <c r="BI136" s="208">
        <f>1-WWWW[[#This Row],[%Equitable and continuous access to sufficient quantity of domestic water borehole n ponds]]</f>
        <v>0</v>
      </c>
      <c r="BJ136" s="209">
        <f>WWWW[[#This Row],[%equitable and continuous access to sufficient quantity of safe drinking and domestic water''s GAP]]*WWWW[[#This Row],[Total PoP ]]</f>
        <v>0</v>
      </c>
      <c r="BK136" s="210">
        <f>IF(WWWW[[#This Row],[Total required water points]]-WWWW[[#This Row],['#Water points coverage]]&lt;0,0,WWWW[[#This Row],[Total required water points]]-WWWW[[#This Row],['#Water points coverage]])</f>
        <v>0.48199999999999998</v>
      </c>
      <c r="BL136" s="210">
        <f>ROUND(IF(WWWW[[#This Row],[Total PoP ]]&lt;500,1,WWWW[[#This Row],[Total PoP ]]/500),0)</f>
        <v>1</v>
      </c>
      <c r="BM136" s="210">
        <f>WWWW[[#This Row],['# Existing functional latrines]]+WWWW[[#This Row],['# Existing latrines dysfunctional]]</f>
        <v>13</v>
      </c>
      <c r="BN13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36" s="352">
        <f>WWWW[[#This Row],[% people access to functioning Latrine]]*WWWW[[#This Row],[Total PoP ]]</f>
        <v>259</v>
      </c>
      <c r="BP13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36" s="209">
        <f>IF(WWWW[[#This Row],[Total required Latrines]]-WWWW[[#This Row],[Total '# of latrine]]&lt;0,0,WWWW[[#This Row],[Total required Latrines]]-WWWW[[#This Row],[Total '# of latrine]])</f>
        <v>0</v>
      </c>
      <c r="BR136" s="210">
        <f>ROUND(IF(WWWW[[#This Row],[Location Type 1]]="camp",WWWW[[#This Row],[Total PoP ]]/20,WWWW[[#This Row],[Total PoP ]]/6),0)</f>
        <v>13</v>
      </c>
      <c r="BS136" s="212">
        <f>IF(OR(WWWW[[#This Row],['# Existing latrines dysfunctional]]="",WWWW[[#This Row],['# Existing latrines dysfunctional]]=0),0,WWWW[[#This Row],['# Existing latrines dysfunctional]]/WWWW[[#This Row],[Total '# of latrine]])</f>
        <v>0</v>
      </c>
      <c r="BT13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6" s="209">
        <f>IF(500*WWWW[[#This Row],['# Hygiene Promoters ]]&gt;WWWW[[#This Row],[Total PoP ]],WWWW[[#This Row],[Total PoP ]],500*WWWW[[#This Row],['# Hygiene Promoters ]])</f>
        <v>259</v>
      </c>
      <c r="BV136" s="209">
        <f>IF(WWWW[[#This Row],[% of HH with access to Sanitary Pad]]&gt;=100%,1,0)</f>
        <v>1</v>
      </c>
      <c r="BW136" s="209">
        <f>IF(WWWW[[#This Row],[Total PoP ]]=0,0,IF(WWWW[[#This Row],['# Hygiene Promoters ]]=0,0,IF(WWWW[[#This Row],[Location Type 1]]="Village",IF(WWWW[[#This Row],[Total PoP ]]/WWWW[[#This Row],['# Hygiene Promoters ]]&lt;1000,1,0),IF(WWWW[[#This Row],[Total PoP ]]/WWWW[[#This Row],['# Hygiene Promoters ]]&lt;600,1,0))))</f>
        <v>1</v>
      </c>
      <c r="BX136" s="209">
        <f>IF(WWWW[[#This Row],[%HH with access to soap]]&gt;=100%,1,0)</f>
        <v>1</v>
      </c>
      <c r="BY136" s="209">
        <f>IF(WWWW[[#This Row],[% of HHs with access to Sanitary pad more than '#%]]+WWWW[[#This Row],[Ratio of Hyiene promoters to people less than '#]]+WWWW[[#This Row],[% of HHs with access to soap more than '#%]]&gt;=2,WWWW[[#This Row],[Total PoP ]],0)</f>
        <v>259</v>
      </c>
      <c r="BZ136" s="208">
        <f>WWWW[[#This Row],[People adopt basic personal and community hygiene practices]]/WWWW[[#This Row],[Total PoP ]]</f>
        <v>1</v>
      </c>
      <c r="CA136" s="212">
        <f>1-WWWW[[#This Row],[Hygiene Coverage%]]</f>
        <v>0</v>
      </c>
      <c r="CB136" s="211">
        <f>WWWW[[#This Row],['# people reached by regular dedicated hygiene promotion_5]]/WWWW[[#This Row],[Total PoP ]]</f>
        <v>1</v>
      </c>
      <c r="CC136" s="211">
        <f>IF(WWWW[[#This Row],['# HH received soaps]]/WWWW[[#This Row],[Total HH]]&gt;1,1,WWWW[[#This Row],['# HH received soaps]]/WWWW[[#This Row],[Total HH]])</f>
        <v>1</v>
      </c>
      <c r="CD136" s="211">
        <f>IF(WWWW[[#This Row],['# HH received Sanitary Pads]]/WWWW[[#This Row],[Total HH]]&gt;1,1,WWWW[[#This Row],['# HH received Sanitary Pads]]/WWWW[[#This Row],[Total HH]])</f>
        <v>1</v>
      </c>
      <c r="CE136" s="210">
        <f>WWWW[[#This Row],['# HH received soaps]]*5</f>
        <v>225</v>
      </c>
      <c r="CF136" s="210">
        <f>WWWW[[#This Row],['# HH received Sanitary Pads]]*5</f>
        <v>225</v>
      </c>
      <c r="CG136" s="210">
        <f>IF(WWWW[[#This Row],['# People with access to soap]]&gt;WWWW[[#This Row],['# People with access to Sanity Pads]],WWWW[[#This Row],['# People with access to soap]],WWWW[[#This Row],['# People with access to Sanity Pads]])</f>
        <v>225</v>
      </c>
      <c r="CH136" s="209">
        <f>WWWW[[#This Row],[Total HH]]*WWWW[[#This Row],[%HHs with access to functional hand washing stations]]</f>
        <v>45</v>
      </c>
      <c r="CI136" s="699" t="str">
        <f>VLOOKUP(WWWW[[#This Row],[Site Name]],SiteDB6[[Site Name]:[CCCM Management]],6,FALSE)</f>
        <v>Yes</v>
      </c>
      <c r="CJ136" s="699" t="str">
        <f>VLOOKUP(WWWW[[#This Row],[Site Name]],SiteDB6[[Site Name]:[CCCM Focal Agency]],7,FALSE)</f>
        <v>KBC</v>
      </c>
      <c r="CK136" s="699" t="str">
        <f>VLOOKUP(WWWW[[#This Row],[Site Name]],SiteDB6[[Site Name]:[Location Type]],8,FALSE)</f>
        <v>Camp</v>
      </c>
      <c r="CL136" s="699" t="str">
        <f>VLOOKUP(WWWW[[#This Row],[Site Name]],SiteDB6[[Site Name]:[Location Type 1]],9,FALSE)</f>
        <v>Camp</v>
      </c>
      <c r="CM136" s="699" t="str">
        <f>VLOOKUP(WWWW[[#This Row],[Site Name]],SiteDB6[[Site Name]:[Type of Accommodation]],10,FALSE)</f>
        <v>Camp</v>
      </c>
      <c r="CN136" s="699" t="str">
        <f>VLOOKUP(WWWW[[#This Row],[Site Name]],SiteDB6[[Site Name]:[Ethnic or GCA/NGCA]],11,FALSE)</f>
        <v>GCA</v>
      </c>
      <c r="CO136" s="699">
        <f>VLOOKUP(WWWW[[#This Row],[Site Name]],SiteDB6[[Site Name]:[Lat]],12,FALSE)</f>
        <v>24.200361000000001</v>
      </c>
      <c r="CP136" s="699">
        <f>VLOOKUP(WWWW[[#This Row],[Site Name]],SiteDB6[[Site Name]:[Long]],13,FALSE)</f>
        <v>96.807353000000006</v>
      </c>
      <c r="CQ136" s="699" t="str">
        <f>VLOOKUP(WWWW[[#This Row],[Site Name]],SiteDB6[[Site Name]:[Pcode]],3,FALSE)</f>
        <v>MMR001CMP067</v>
      </c>
      <c r="CR136" s="660" t="str">
        <f t="shared" si="2"/>
        <v>Covered</v>
      </c>
      <c r="CS136" s="660"/>
      <c r="CT136" s="24"/>
      <c r="CU136" s="24"/>
      <c r="CV136" s="24"/>
    </row>
    <row r="137" spans="1:100" ht="15.75" customHeight="1" x14ac:dyDescent="0.25">
      <c r="A137" s="833" t="s">
        <v>3206</v>
      </c>
      <c r="B137" s="206" t="s">
        <v>338</v>
      </c>
      <c r="C137" s="206" t="s">
        <v>44</v>
      </c>
      <c r="D137" s="206" t="s">
        <v>360</v>
      </c>
      <c r="E137" s="206" t="s">
        <v>362</v>
      </c>
      <c r="F137" s="206">
        <v>33</v>
      </c>
      <c r="G137" s="209">
        <v>169</v>
      </c>
      <c r="H137" s="206"/>
      <c r="I137" s="206" t="s">
        <v>340</v>
      </c>
      <c r="J137" s="207" t="s">
        <v>2476</v>
      </c>
      <c r="K137" s="206">
        <v>0</v>
      </c>
      <c r="L137" s="206" t="s">
        <v>48</v>
      </c>
      <c r="M137" s="208">
        <v>0.8</v>
      </c>
      <c r="N137" s="208">
        <v>0.6</v>
      </c>
      <c r="O137" s="316">
        <v>0</v>
      </c>
      <c r="P137" s="317">
        <v>1</v>
      </c>
      <c r="Q137" s="317">
        <v>0</v>
      </c>
      <c r="R137" s="318">
        <v>0</v>
      </c>
      <c r="S137" s="318">
        <v>0</v>
      </c>
      <c r="T137" s="318"/>
      <c r="U137" s="318"/>
      <c r="V137" s="318"/>
      <c r="W137" s="318"/>
      <c r="X137" s="318"/>
      <c r="Y137" s="318"/>
      <c r="Z137" s="318"/>
      <c r="AA137" s="310">
        <v>14</v>
      </c>
      <c r="AB137" s="310">
        <v>0</v>
      </c>
      <c r="AC137" s="66">
        <v>0</v>
      </c>
      <c r="AD137" s="66"/>
      <c r="AE137" s="310">
        <v>0</v>
      </c>
      <c r="AF137" s="310" t="s">
        <v>283</v>
      </c>
      <c r="AG137" s="311" t="s">
        <v>283</v>
      </c>
      <c r="AH137" s="311"/>
      <c r="AI137" s="310"/>
      <c r="AJ137" s="310"/>
      <c r="AK137" s="841">
        <v>1</v>
      </c>
      <c r="AL137" s="842" t="s">
        <v>291</v>
      </c>
      <c r="AM137" s="842">
        <v>0</v>
      </c>
      <c r="AN137" s="863">
        <v>3</v>
      </c>
      <c r="AO137" s="863">
        <v>1</v>
      </c>
      <c r="AP137" s="838">
        <v>33</v>
      </c>
      <c r="AQ137" s="843">
        <v>33</v>
      </c>
      <c r="AR137" s="843"/>
      <c r="AS137" s="843"/>
      <c r="AT137" s="843"/>
      <c r="AU137" s="843"/>
      <c r="AV137" s="844"/>
      <c r="AW137" s="208" t="str">
        <f>IFERROR(WWWW[[#This Row],['# of Water passed at source]]/WWWW[[#This Row],['# of Water tested at source]],"no test")</f>
        <v>no test</v>
      </c>
      <c r="AX137" s="211" t="str">
        <f>IFERROR(WWWW[[#This Row],['# of Water passed at HH]]/WWWW[[#This Row],['# of Water tested at HH]],"no test")</f>
        <v>no test</v>
      </c>
      <c r="AY137" s="210" t="str">
        <f>IF(AND(WWWW[[#This Row],[%of Water samples which passed at water source]]="no test",WWWW[[#This Row],[%Water samples which passed at HH]]="no test"),"No Test","Tested")</f>
        <v>No Test</v>
      </c>
      <c r="AZ13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3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37" s="211">
        <f>IF(WWWW[[#This Row],[Location Type 1]]="Village",WWWW[[#This Row],[Access to safe drinking water for Village]],WWWW[[#This Row],[Access to safe drinking water for Camp]])</f>
        <v>1</v>
      </c>
      <c r="BC137" s="209">
        <f>WWWW[[#This Row],[%Equitable and continuous access to sufficient quantity of safe drinking water]]*WWWW[[#This Row],[Total PoP ]]</f>
        <v>169</v>
      </c>
      <c r="BD137" s="211">
        <f>IF((WWWW[[#This Row],['# Existing protected/fenced ponds ]]*250)/WWWW[[#This Row],[Total PoP ]]&gt;1,1,WWWW[[#This Row],['# Existing protected/fenced ponds ]]*250/WWWW[[#This Row],[Total PoP ]])</f>
        <v>0</v>
      </c>
      <c r="BE137" s="209">
        <f>WWWW[[#This Row],[Access to unimproved water points]]*WWWW[[#This Row],[Total PoP ]]</f>
        <v>0</v>
      </c>
      <c r="BF13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3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169</v>
      </c>
      <c r="BH137" s="209">
        <f>WWWW[[#This Row],['#people Equitable and continuous access to sufficient quantity of domestic water borehole n ponds_2]]/500</f>
        <v>0.33800000000000002</v>
      </c>
      <c r="BI137" s="208">
        <f>1-WWWW[[#This Row],[%Equitable and continuous access to sufficient quantity of domestic water borehole n ponds]]</f>
        <v>0</v>
      </c>
      <c r="BJ137" s="209">
        <f>WWWW[[#This Row],[%equitable and continuous access to sufficient quantity of safe drinking and domestic water''s GAP]]*WWWW[[#This Row],[Total PoP ]]</f>
        <v>0</v>
      </c>
      <c r="BK137" s="210">
        <f>IF(WWWW[[#This Row],[Total required water points]]-WWWW[[#This Row],['#Water points coverage]]&lt;0,0,WWWW[[#This Row],[Total required water points]]-WWWW[[#This Row],['#Water points coverage]])</f>
        <v>0.66199999999999992</v>
      </c>
      <c r="BL137" s="210">
        <f>ROUND(IF(WWWW[[#This Row],[Total PoP ]]&lt;500,1,WWWW[[#This Row],[Total PoP ]]/500),0)</f>
        <v>1</v>
      </c>
      <c r="BM137" s="210">
        <f>WWWW[[#This Row],['# Existing functional latrines]]+WWWW[[#This Row],['# Existing latrines dysfunctional]]</f>
        <v>14</v>
      </c>
      <c r="BN13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37" s="352">
        <f>WWWW[[#This Row],[% people access to functioning Latrine]]*WWWW[[#This Row],[Total PoP ]]</f>
        <v>169</v>
      </c>
      <c r="BP13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37" s="209">
        <f>IF(WWWW[[#This Row],[Total required Latrines]]-WWWW[[#This Row],[Total '# of latrine]]&lt;0,0,WWWW[[#This Row],[Total required Latrines]]-WWWW[[#This Row],[Total '# of latrine]])</f>
        <v>0</v>
      </c>
      <c r="BR137" s="210">
        <f>ROUND(IF(WWWW[[#This Row],[Location Type 1]]="camp",WWWW[[#This Row],[Total PoP ]]/20,WWWW[[#This Row],[Total PoP ]]/6),0)</f>
        <v>8</v>
      </c>
      <c r="BS137" s="212">
        <f>IF(OR(WWWW[[#This Row],['# Existing latrines dysfunctional]]="",WWWW[[#This Row],['# Existing latrines dysfunctional]]=0),0,WWWW[[#This Row],['# Existing latrines dysfunctional]]/WWWW[[#This Row],[Total '# of latrine]])</f>
        <v>0</v>
      </c>
      <c r="BT13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7" s="209">
        <f>IF(500*WWWW[[#This Row],['# Hygiene Promoters ]]&gt;WWWW[[#This Row],[Total PoP ]],WWWW[[#This Row],[Total PoP ]],500*WWWW[[#This Row],['# Hygiene Promoters ]])</f>
        <v>169</v>
      </c>
      <c r="BV137" s="209">
        <f>IF(WWWW[[#This Row],[% of HH with access to Sanitary Pad]]&gt;=100%,1,0)</f>
        <v>1</v>
      </c>
      <c r="BW137" s="209">
        <f>IF(WWWW[[#This Row],[Total PoP ]]=0,0,IF(WWWW[[#This Row],['# Hygiene Promoters ]]=0,0,IF(WWWW[[#This Row],[Location Type 1]]="Village",IF(WWWW[[#This Row],[Total PoP ]]/WWWW[[#This Row],['# Hygiene Promoters ]]&lt;1000,1,0),IF(WWWW[[#This Row],[Total PoP ]]/WWWW[[#This Row],['# Hygiene Promoters ]]&lt;600,1,0))))</f>
        <v>1</v>
      </c>
      <c r="BX137" s="209">
        <f>IF(WWWW[[#This Row],[%HH with access to soap]]&gt;=100%,1,0)</f>
        <v>1</v>
      </c>
      <c r="BY137" s="209">
        <f>IF(WWWW[[#This Row],[% of HHs with access to Sanitary pad more than '#%]]+WWWW[[#This Row],[Ratio of Hyiene promoters to people less than '#]]+WWWW[[#This Row],[% of HHs with access to soap more than '#%]]&gt;=2,WWWW[[#This Row],[Total PoP ]],0)</f>
        <v>169</v>
      </c>
      <c r="BZ137" s="208">
        <f>WWWW[[#This Row],[People adopt basic personal and community hygiene practices]]/WWWW[[#This Row],[Total PoP ]]</f>
        <v>1</v>
      </c>
      <c r="CA137" s="212">
        <f>1-WWWW[[#This Row],[Hygiene Coverage%]]</f>
        <v>0</v>
      </c>
      <c r="CB137" s="211">
        <f>WWWW[[#This Row],['# people reached by regular dedicated hygiene promotion_5]]/WWWW[[#This Row],[Total PoP ]]</f>
        <v>1</v>
      </c>
      <c r="CC137" s="211">
        <f>IF(WWWW[[#This Row],['# HH received soaps]]/WWWW[[#This Row],[Total HH]]&gt;1,1,WWWW[[#This Row],['# HH received soaps]]/WWWW[[#This Row],[Total HH]])</f>
        <v>1</v>
      </c>
      <c r="CD137" s="211">
        <f>IF(WWWW[[#This Row],['# HH received Sanitary Pads]]/WWWW[[#This Row],[Total HH]]&gt;1,1,WWWW[[#This Row],['# HH received Sanitary Pads]]/WWWW[[#This Row],[Total HH]])</f>
        <v>1</v>
      </c>
      <c r="CE137" s="210">
        <f>WWWW[[#This Row],['# HH received soaps]]*5</f>
        <v>165</v>
      </c>
      <c r="CF137" s="210">
        <f>WWWW[[#This Row],['# HH received Sanitary Pads]]*5</f>
        <v>165</v>
      </c>
      <c r="CG137" s="210">
        <f>IF(WWWW[[#This Row],['# People with access to soap]]&gt;WWWW[[#This Row],['# People with access to Sanity Pads]],WWWW[[#This Row],['# People with access to soap]],WWWW[[#This Row],['# People with access to Sanity Pads]])</f>
        <v>165</v>
      </c>
      <c r="CH137" s="209">
        <f>WWWW[[#This Row],[Total HH]]*WWWW[[#This Row],[%HHs with access to functional hand washing stations]]</f>
        <v>33</v>
      </c>
      <c r="CI137" s="699" t="str">
        <f>VLOOKUP(WWWW[[#This Row],[Site Name]],SiteDB6[[Site Name]:[CCCM Management]],6,FALSE)</f>
        <v>Yes</v>
      </c>
      <c r="CJ137" s="699" t="str">
        <f>VLOOKUP(WWWW[[#This Row],[Site Name]],SiteDB6[[Site Name]:[CCCM Focal Agency]],7,FALSE)</f>
        <v>KMSS-BMO</v>
      </c>
      <c r="CK137" s="699" t="str">
        <f>VLOOKUP(WWWW[[#This Row],[Site Name]],SiteDB6[[Site Name]:[Location Type]],8,FALSE)</f>
        <v>Camp</v>
      </c>
      <c r="CL137" s="699" t="str">
        <f>VLOOKUP(WWWW[[#This Row],[Site Name]],SiteDB6[[Site Name]:[Location Type 1]],9,FALSE)</f>
        <v>Camp</v>
      </c>
      <c r="CM137" s="699" t="str">
        <f>VLOOKUP(WWWW[[#This Row],[Site Name]],SiteDB6[[Site Name]:[Type of Accommodation]],10,FALSE)</f>
        <v>Camp</v>
      </c>
      <c r="CN137" s="699" t="str">
        <f>VLOOKUP(WWWW[[#This Row],[Site Name]],SiteDB6[[Site Name]:[Ethnic or GCA/NGCA]],11,FALSE)</f>
        <v>GCA</v>
      </c>
      <c r="CO137" s="699">
        <f>VLOOKUP(WWWW[[#This Row],[Site Name]],SiteDB6[[Site Name]:[Lat]],12,FALSE)</f>
        <v>24.200367</v>
      </c>
      <c r="CP137" s="699">
        <f>VLOOKUP(WWWW[[#This Row],[Site Name]],SiteDB6[[Site Name]:[Long]],13,FALSE)</f>
        <v>96.807353000000006</v>
      </c>
      <c r="CQ137" s="699" t="str">
        <f>VLOOKUP(WWWW[[#This Row],[Site Name]],SiteDB6[[Site Name]:[Pcode]],3,FALSE)</f>
        <v>MMR001CMP068</v>
      </c>
      <c r="CR137" s="660" t="str">
        <f t="shared" si="2"/>
        <v>Covered</v>
      </c>
      <c r="CS137" s="660"/>
      <c r="CT137" s="24"/>
      <c r="CU137" s="24"/>
      <c r="CV137" s="24"/>
    </row>
    <row r="138" spans="1:100" ht="15.75" customHeight="1" x14ac:dyDescent="0.25">
      <c r="A138" s="833" t="s">
        <v>3206</v>
      </c>
      <c r="B138" s="206" t="s">
        <v>287</v>
      </c>
      <c r="C138" s="206" t="s">
        <v>44</v>
      </c>
      <c r="D138" s="206" t="s">
        <v>360</v>
      </c>
      <c r="E138" s="206" t="s">
        <v>2804</v>
      </c>
      <c r="F138" s="206">
        <v>63</v>
      </c>
      <c r="G138" s="209">
        <v>270</v>
      </c>
      <c r="H138" s="206"/>
      <c r="I138" s="206"/>
      <c r="J138" s="207"/>
      <c r="K138" s="206"/>
      <c r="L138" s="206"/>
      <c r="M138" s="208"/>
      <c r="N138" s="208"/>
      <c r="O138" s="316"/>
      <c r="P138" s="317"/>
      <c r="Q138" s="317"/>
      <c r="R138" s="318"/>
      <c r="S138" s="318"/>
      <c r="T138" s="318"/>
      <c r="U138" s="318"/>
      <c r="V138" s="318"/>
      <c r="W138" s="318"/>
      <c r="X138" s="318"/>
      <c r="Y138" s="318"/>
      <c r="Z138" s="318"/>
      <c r="AA138" s="310"/>
      <c r="AB138" s="310"/>
      <c r="AC138" s="66"/>
      <c r="AD138" s="66"/>
      <c r="AE138" s="310"/>
      <c r="AF138" s="310"/>
      <c r="AG138" s="311"/>
      <c r="AH138" s="311"/>
      <c r="AI138" s="310"/>
      <c r="AJ138" s="310"/>
      <c r="AK138" s="841"/>
      <c r="AL138" s="842"/>
      <c r="AM138" s="842"/>
      <c r="AN138" s="863"/>
      <c r="AO138" s="863"/>
      <c r="AP138" s="838"/>
      <c r="AQ138" s="843"/>
      <c r="AR138" s="843"/>
      <c r="AS138" s="843"/>
      <c r="AT138" s="843"/>
      <c r="AU138" s="843"/>
      <c r="AV138" s="844"/>
      <c r="AW138" s="208" t="str">
        <f>IFERROR(WWWW[[#This Row],['# of Water passed at source]]/WWWW[[#This Row],['# of Water tested at source]],"no test")</f>
        <v>no test</v>
      </c>
      <c r="AX138" s="211" t="str">
        <f>IFERROR(WWWW[[#This Row],['# of Water passed at HH]]/WWWW[[#This Row],['# of Water tested at HH]],"no test")</f>
        <v>no test</v>
      </c>
      <c r="AY138" s="210" t="str">
        <f>IF(AND(WWWW[[#This Row],[%of Water samples which passed at water source]]="no test",WWWW[[#This Row],[%Water samples which passed at HH]]="no test"),"No Test","Tested")</f>
        <v>No Test</v>
      </c>
      <c r="AZ13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3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38" s="211">
        <f>IF(WWWW[[#This Row],[Location Type 1]]="Village",WWWW[[#This Row],[Access to safe drinking water for Village]],WWWW[[#This Row],[Access to safe drinking water for Camp]])</f>
        <v>0</v>
      </c>
      <c r="BC138" s="209">
        <f>WWWW[[#This Row],[%Equitable and continuous access to sufficient quantity of safe drinking water]]*WWWW[[#This Row],[Total PoP ]]</f>
        <v>0</v>
      </c>
      <c r="BD138" s="211">
        <f>IF((WWWW[[#This Row],['# Existing protected/fenced ponds ]]*250)/WWWW[[#This Row],[Total PoP ]]&gt;1,1,WWWW[[#This Row],['# Existing protected/fenced ponds ]]*250/WWWW[[#This Row],[Total PoP ]])</f>
        <v>0</v>
      </c>
      <c r="BE138" s="209">
        <f>WWWW[[#This Row],[Access to unimproved water points]]*WWWW[[#This Row],[Total PoP ]]</f>
        <v>0</v>
      </c>
      <c r="BF13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3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38" s="209">
        <f>WWWW[[#This Row],['#people Equitable and continuous access to sufficient quantity of domestic water borehole n ponds_2]]/500</f>
        <v>0</v>
      </c>
      <c r="BI138" s="208">
        <f>1-WWWW[[#This Row],[%Equitable and continuous access to sufficient quantity of domestic water borehole n ponds]]</f>
        <v>1</v>
      </c>
      <c r="BJ138" s="209">
        <f>WWWW[[#This Row],[%equitable and continuous access to sufficient quantity of safe drinking and domestic water''s GAP]]*WWWW[[#This Row],[Total PoP ]]</f>
        <v>270</v>
      </c>
      <c r="BK138" s="210">
        <f>IF(WWWW[[#This Row],[Total required water points]]-WWWW[[#This Row],['#Water points coverage]]&lt;0,0,WWWW[[#This Row],[Total required water points]]-WWWW[[#This Row],['#Water points coverage]])</f>
        <v>1</v>
      </c>
      <c r="BL138" s="210">
        <f>ROUND(IF(WWWW[[#This Row],[Total PoP ]]&lt;500,1,WWWW[[#This Row],[Total PoP ]]/500),0)</f>
        <v>1</v>
      </c>
      <c r="BM138" s="210">
        <f>WWWW[[#This Row],['# Existing functional latrines]]+WWWW[[#This Row],['# Existing latrines dysfunctional]]</f>
        <v>0</v>
      </c>
      <c r="BN13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38" s="352">
        <f>WWWW[[#This Row],[% people access to functioning Latrine]]*WWWW[[#This Row],[Total PoP ]]</f>
        <v>0</v>
      </c>
      <c r="BP13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38" s="209">
        <f>IF(WWWW[[#This Row],[Total required Latrines]]-WWWW[[#This Row],[Total '# of latrine]]&lt;0,0,WWWW[[#This Row],[Total required Latrines]]-WWWW[[#This Row],[Total '# of latrine]])</f>
        <v>14</v>
      </c>
      <c r="BR138" s="210">
        <f>ROUND(IF(WWWW[[#This Row],[Location Type 1]]="camp",WWWW[[#This Row],[Total PoP ]]/20,WWWW[[#This Row],[Total PoP ]]/6),0)</f>
        <v>14</v>
      </c>
      <c r="BS138" s="212">
        <f>IF(OR(WWWW[[#This Row],['# Existing latrines dysfunctional]]="",WWWW[[#This Row],['# Existing latrines dysfunctional]]=0),0,WWWW[[#This Row],['# Existing latrines dysfunctional]]/WWWW[[#This Row],[Total '# of latrine]])</f>
        <v>0</v>
      </c>
      <c r="BT13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8" s="209">
        <f>IF(500*WWWW[[#This Row],['# Hygiene Promoters ]]&gt;WWWW[[#This Row],[Total PoP ]],WWWW[[#This Row],[Total PoP ]],500*WWWW[[#This Row],['# Hygiene Promoters ]])</f>
        <v>0</v>
      </c>
      <c r="BV138" s="209">
        <f>IF(WWWW[[#This Row],[% of HH with access to Sanitary Pad]]&gt;=100%,1,0)</f>
        <v>0</v>
      </c>
      <c r="BW138" s="209">
        <f>IF(WWWW[[#This Row],[Total PoP ]]=0,0,IF(WWWW[[#This Row],['# Hygiene Promoters ]]=0,0,IF(WWWW[[#This Row],[Location Type 1]]="Village",IF(WWWW[[#This Row],[Total PoP ]]/WWWW[[#This Row],['# Hygiene Promoters ]]&lt;1000,1,0),IF(WWWW[[#This Row],[Total PoP ]]/WWWW[[#This Row],['# Hygiene Promoters ]]&lt;600,1,0))))</f>
        <v>0</v>
      </c>
      <c r="BX138" s="209">
        <f>IF(WWWW[[#This Row],[%HH with access to soap]]&gt;=100%,1,0)</f>
        <v>0</v>
      </c>
      <c r="BY138" s="209">
        <f>IF(WWWW[[#This Row],[% of HHs with access to Sanitary pad more than '#%]]+WWWW[[#This Row],[Ratio of Hyiene promoters to people less than '#]]+WWWW[[#This Row],[% of HHs with access to soap more than '#%]]&gt;=2,WWWW[[#This Row],[Total PoP ]],0)</f>
        <v>0</v>
      </c>
      <c r="BZ138" s="208">
        <f>WWWW[[#This Row],[People adopt basic personal and community hygiene practices]]/WWWW[[#This Row],[Total PoP ]]</f>
        <v>0</v>
      </c>
      <c r="CA138" s="212">
        <f>1-WWWW[[#This Row],[Hygiene Coverage%]]</f>
        <v>1</v>
      </c>
      <c r="CB138" s="211">
        <f>WWWW[[#This Row],['# people reached by regular dedicated hygiene promotion_5]]/WWWW[[#This Row],[Total PoP ]]</f>
        <v>0</v>
      </c>
      <c r="CC138" s="211">
        <f>IF(WWWW[[#This Row],['# HH received soaps]]/WWWW[[#This Row],[Total HH]]&gt;1,1,WWWW[[#This Row],['# HH received soaps]]/WWWW[[#This Row],[Total HH]])</f>
        <v>0</v>
      </c>
      <c r="CD138" s="211">
        <f>IF(WWWW[[#This Row],['# HH received Sanitary Pads]]/WWWW[[#This Row],[Total HH]]&gt;1,1,WWWW[[#This Row],['# HH received Sanitary Pads]]/WWWW[[#This Row],[Total HH]])</f>
        <v>0</v>
      </c>
      <c r="CE138" s="210">
        <f>WWWW[[#This Row],['# HH received soaps]]*5</f>
        <v>0</v>
      </c>
      <c r="CF138" s="210">
        <f>WWWW[[#This Row],['# HH received Sanitary Pads]]*5</f>
        <v>0</v>
      </c>
      <c r="CG138" s="210">
        <f>IF(WWWW[[#This Row],['# People with access to soap]]&gt;WWWW[[#This Row],['# People with access to Sanity Pads]],WWWW[[#This Row],['# People with access to soap]],WWWW[[#This Row],['# People with access to Sanity Pads]])</f>
        <v>0</v>
      </c>
      <c r="CH138" s="209">
        <f>WWWW[[#This Row],[Total HH]]*WWWW[[#This Row],[%HHs with access to functional hand washing stations]]</f>
        <v>0</v>
      </c>
      <c r="CI138" s="699">
        <f>VLOOKUP(WWWW[[#This Row],[Site Name]],SiteDB6[[Site Name]:[CCCM Management]],6,FALSE)</f>
        <v>0</v>
      </c>
      <c r="CJ138" s="699">
        <f>VLOOKUP(WWWW[[#This Row],[Site Name]],SiteDB6[[Site Name]:[CCCM Focal Agency]],7,FALSE)</f>
        <v>0</v>
      </c>
      <c r="CK138" s="699" t="str">
        <f>VLOOKUP(WWWW[[#This Row],[Site Name]],SiteDB6[[Site Name]:[Location Type]],8,FALSE)</f>
        <v>Camp_not registered</v>
      </c>
      <c r="CL138" s="699" t="str">
        <f>VLOOKUP(WWWW[[#This Row],[Site Name]],SiteDB6[[Site Name]:[Location Type 1]],9,FALSE)</f>
        <v>Camp</v>
      </c>
      <c r="CM138" s="699" t="str">
        <f>VLOOKUP(WWWW[[#This Row],[Site Name]],SiteDB6[[Site Name]:[Type of Accommodation]],10,FALSE)</f>
        <v>Camp like setting</v>
      </c>
      <c r="CN138" s="699" t="s">
        <v>949</v>
      </c>
      <c r="CO138" s="699">
        <f>VLOOKUP(WWWW[[#This Row],[Site Name]],SiteDB6[[Site Name]:[Lat]],12,FALSE)</f>
        <v>0</v>
      </c>
      <c r="CP138" s="699">
        <f>VLOOKUP(WWWW[[#This Row],[Site Name]],SiteDB6[[Site Name]:[Long]],13,FALSE)</f>
        <v>0</v>
      </c>
      <c r="CQ138" s="699">
        <f>VLOOKUP(WWWW[[#This Row],[Site Name]],SiteDB6[[Site Name]:[Pcode]],3,FALSE)</f>
        <v>0</v>
      </c>
      <c r="CR138" s="660" t="str">
        <f t="shared" si="2"/>
        <v>Covered</v>
      </c>
      <c r="CS138" s="660"/>
      <c r="CT138" s="24"/>
      <c r="CU138" s="24"/>
      <c r="CV138" s="24"/>
    </row>
    <row r="139" spans="1:100" ht="15.75" customHeight="1" x14ac:dyDescent="0.25">
      <c r="A139" s="833" t="s">
        <v>3206</v>
      </c>
      <c r="B139" s="206" t="s">
        <v>287</v>
      </c>
      <c r="C139" s="206" t="s">
        <v>44</v>
      </c>
      <c r="D139" s="206" t="s">
        <v>360</v>
      </c>
      <c r="E139" s="206" t="s">
        <v>2802</v>
      </c>
      <c r="F139" s="206">
        <v>78</v>
      </c>
      <c r="G139" s="209">
        <v>324</v>
      </c>
      <c r="H139" s="206"/>
      <c r="I139" s="206"/>
      <c r="J139" s="207"/>
      <c r="K139" s="206"/>
      <c r="L139" s="206"/>
      <c r="M139" s="208"/>
      <c r="N139" s="208"/>
      <c r="O139" s="316"/>
      <c r="P139" s="317"/>
      <c r="Q139" s="317"/>
      <c r="R139" s="318"/>
      <c r="S139" s="318"/>
      <c r="T139" s="318"/>
      <c r="U139" s="318"/>
      <c r="V139" s="318"/>
      <c r="W139" s="318"/>
      <c r="X139" s="318"/>
      <c r="Y139" s="318"/>
      <c r="Z139" s="318"/>
      <c r="AA139" s="310"/>
      <c r="AB139" s="310"/>
      <c r="AC139" s="66"/>
      <c r="AD139" s="66"/>
      <c r="AE139" s="310"/>
      <c r="AF139" s="310"/>
      <c r="AG139" s="311"/>
      <c r="AH139" s="311"/>
      <c r="AI139" s="310"/>
      <c r="AJ139" s="310"/>
      <c r="AK139" s="841"/>
      <c r="AL139" s="842"/>
      <c r="AM139" s="842"/>
      <c r="AN139" s="863"/>
      <c r="AO139" s="863"/>
      <c r="AP139" s="838"/>
      <c r="AQ139" s="843"/>
      <c r="AR139" s="843"/>
      <c r="AS139" s="843"/>
      <c r="AT139" s="843"/>
      <c r="AU139" s="843"/>
      <c r="AV139" s="844"/>
      <c r="AW139" s="208" t="str">
        <f>IFERROR(WWWW[[#This Row],['# of Water passed at source]]/WWWW[[#This Row],['# of Water tested at source]],"no test")</f>
        <v>no test</v>
      </c>
      <c r="AX139" s="211" t="str">
        <f>IFERROR(WWWW[[#This Row],['# of Water passed at HH]]/WWWW[[#This Row],['# of Water tested at HH]],"no test")</f>
        <v>no test</v>
      </c>
      <c r="AY139" s="210" t="str">
        <f>IF(AND(WWWW[[#This Row],[%of Water samples which passed at water source]]="no test",WWWW[[#This Row],[%Water samples which passed at HH]]="no test"),"No Test","Tested")</f>
        <v>No Test</v>
      </c>
      <c r="AZ13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3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39" s="211">
        <f>IF(WWWW[[#This Row],[Location Type 1]]="Village",WWWW[[#This Row],[Access to safe drinking water for Village]],WWWW[[#This Row],[Access to safe drinking water for Camp]])</f>
        <v>0</v>
      </c>
      <c r="BC139" s="209">
        <f>WWWW[[#This Row],[%Equitable and continuous access to sufficient quantity of safe drinking water]]*WWWW[[#This Row],[Total PoP ]]</f>
        <v>0</v>
      </c>
      <c r="BD139" s="211">
        <f>IF((WWWW[[#This Row],['# Existing protected/fenced ponds ]]*250)/WWWW[[#This Row],[Total PoP ]]&gt;1,1,WWWW[[#This Row],['# Existing protected/fenced ponds ]]*250/WWWW[[#This Row],[Total PoP ]])</f>
        <v>0</v>
      </c>
      <c r="BE139" s="209">
        <f>WWWW[[#This Row],[Access to unimproved water points]]*WWWW[[#This Row],[Total PoP ]]</f>
        <v>0</v>
      </c>
      <c r="BF13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3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39" s="209">
        <f>WWWW[[#This Row],['#people Equitable and continuous access to sufficient quantity of domestic water borehole n ponds_2]]/500</f>
        <v>0</v>
      </c>
      <c r="BI139" s="208">
        <f>1-WWWW[[#This Row],[%Equitable and continuous access to sufficient quantity of domestic water borehole n ponds]]</f>
        <v>1</v>
      </c>
      <c r="BJ139" s="209">
        <f>WWWW[[#This Row],[%equitable and continuous access to sufficient quantity of safe drinking and domestic water''s GAP]]*WWWW[[#This Row],[Total PoP ]]</f>
        <v>324</v>
      </c>
      <c r="BK139" s="210">
        <f>IF(WWWW[[#This Row],[Total required water points]]-WWWW[[#This Row],['#Water points coverage]]&lt;0,0,WWWW[[#This Row],[Total required water points]]-WWWW[[#This Row],['#Water points coverage]])</f>
        <v>1</v>
      </c>
      <c r="BL139" s="210">
        <f>ROUND(IF(WWWW[[#This Row],[Total PoP ]]&lt;500,1,WWWW[[#This Row],[Total PoP ]]/500),0)</f>
        <v>1</v>
      </c>
      <c r="BM139" s="210">
        <f>WWWW[[#This Row],['# Existing functional latrines]]+WWWW[[#This Row],['# Existing latrines dysfunctional]]</f>
        <v>0</v>
      </c>
      <c r="BN13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39" s="352">
        <f>WWWW[[#This Row],[% people access to functioning Latrine]]*WWWW[[#This Row],[Total PoP ]]</f>
        <v>0</v>
      </c>
      <c r="BP13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0.98765432098765438</v>
      </c>
      <c r="BQ139" s="209">
        <f>IF(WWWW[[#This Row],[Total required Latrines]]-WWWW[[#This Row],[Total '# of latrine]]&lt;0,0,WWWW[[#This Row],[Total required Latrines]]-WWWW[[#This Row],[Total '# of latrine]])</f>
        <v>16</v>
      </c>
      <c r="BR139" s="210">
        <f>ROUND(IF(WWWW[[#This Row],[Location Type 1]]="camp",WWWW[[#This Row],[Total PoP ]]/20,WWWW[[#This Row],[Total PoP ]]/6),0)</f>
        <v>16</v>
      </c>
      <c r="BS139" s="212">
        <f>IF(OR(WWWW[[#This Row],['# Existing latrines dysfunctional]]="",WWWW[[#This Row],['# Existing latrines dysfunctional]]=0),0,WWWW[[#This Row],['# Existing latrines dysfunctional]]/WWWW[[#This Row],[Total '# of latrine]])</f>
        <v>0</v>
      </c>
      <c r="BT13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39" s="209">
        <f>IF(500*WWWW[[#This Row],['# Hygiene Promoters ]]&gt;WWWW[[#This Row],[Total PoP ]],WWWW[[#This Row],[Total PoP ]],500*WWWW[[#This Row],['# Hygiene Promoters ]])</f>
        <v>0</v>
      </c>
      <c r="BV139" s="209">
        <f>IF(WWWW[[#This Row],[% of HH with access to Sanitary Pad]]&gt;=100%,1,0)</f>
        <v>0</v>
      </c>
      <c r="BW139" s="209">
        <f>IF(WWWW[[#This Row],[Total PoP ]]=0,0,IF(WWWW[[#This Row],['# Hygiene Promoters ]]=0,0,IF(WWWW[[#This Row],[Location Type 1]]="Village",IF(WWWW[[#This Row],[Total PoP ]]/WWWW[[#This Row],['# Hygiene Promoters ]]&lt;1000,1,0),IF(WWWW[[#This Row],[Total PoP ]]/WWWW[[#This Row],['# Hygiene Promoters ]]&lt;600,1,0))))</f>
        <v>0</v>
      </c>
      <c r="BX139" s="209">
        <f>IF(WWWW[[#This Row],[%HH with access to soap]]&gt;=100%,1,0)</f>
        <v>0</v>
      </c>
      <c r="BY139" s="209">
        <f>IF(WWWW[[#This Row],[% of HHs with access to Sanitary pad more than '#%]]+WWWW[[#This Row],[Ratio of Hyiene promoters to people less than '#]]+WWWW[[#This Row],[% of HHs with access to soap more than '#%]]&gt;=2,WWWW[[#This Row],[Total PoP ]],0)</f>
        <v>0</v>
      </c>
      <c r="BZ139" s="208">
        <f>WWWW[[#This Row],[People adopt basic personal and community hygiene practices]]/WWWW[[#This Row],[Total PoP ]]</f>
        <v>0</v>
      </c>
      <c r="CA139" s="212">
        <f>1-WWWW[[#This Row],[Hygiene Coverage%]]</f>
        <v>1</v>
      </c>
      <c r="CB139" s="211">
        <f>WWWW[[#This Row],['# people reached by regular dedicated hygiene promotion_5]]/WWWW[[#This Row],[Total PoP ]]</f>
        <v>0</v>
      </c>
      <c r="CC139" s="211">
        <f>IF(WWWW[[#This Row],['# HH received soaps]]/WWWW[[#This Row],[Total HH]]&gt;1,1,WWWW[[#This Row],['# HH received soaps]]/WWWW[[#This Row],[Total HH]])</f>
        <v>0</v>
      </c>
      <c r="CD139" s="211">
        <f>IF(WWWW[[#This Row],['# HH received Sanitary Pads]]/WWWW[[#This Row],[Total HH]]&gt;1,1,WWWW[[#This Row],['# HH received Sanitary Pads]]/WWWW[[#This Row],[Total HH]])</f>
        <v>0</v>
      </c>
      <c r="CE139" s="210">
        <f>WWWW[[#This Row],['# HH received soaps]]*5</f>
        <v>0</v>
      </c>
      <c r="CF139" s="210">
        <f>WWWW[[#This Row],['# HH received Sanitary Pads]]*5</f>
        <v>0</v>
      </c>
      <c r="CG139" s="210">
        <f>IF(WWWW[[#This Row],['# People with access to soap]]&gt;WWWW[[#This Row],['# People with access to Sanity Pads]],WWWW[[#This Row],['# People with access to soap]],WWWW[[#This Row],['# People with access to Sanity Pads]])</f>
        <v>0</v>
      </c>
      <c r="CH139" s="209">
        <f>WWWW[[#This Row],[Total HH]]*WWWW[[#This Row],[%HHs with access to functional hand washing stations]]</f>
        <v>0</v>
      </c>
      <c r="CI139" s="699">
        <f>VLOOKUP(WWWW[[#This Row],[Site Name]],SiteDB6[[Site Name]:[CCCM Management]],6,FALSE)</f>
        <v>0</v>
      </c>
      <c r="CJ139" s="699">
        <f>VLOOKUP(WWWW[[#This Row],[Site Name]],SiteDB6[[Site Name]:[CCCM Focal Agency]],7,FALSE)</f>
        <v>0</v>
      </c>
      <c r="CK139" s="699" t="str">
        <f>VLOOKUP(WWWW[[#This Row],[Site Name]],SiteDB6[[Site Name]:[Location Type]],8,FALSE)</f>
        <v>Camp_not registered</v>
      </c>
      <c r="CL139" s="699" t="str">
        <f>VLOOKUP(WWWW[[#This Row],[Site Name]],SiteDB6[[Site Name]:[Location Type 1]],9,FALSE)</f>
        <v>Camp</v>
      </c>
      <c r="CM139" s="699" t="str">
        <f>VLOOKUP(WWWW[[#This Row],[Site Name]],SiteDB6[[Site Name]:[Type of Accommodation]],10,FALSE)</f>
        <v>Camp like setting</v>
      </c>
      <c r="CN139" s="699" t="s">
        <v>949</v>
      </c>
      <c r="CO139" s="699">
        <f>VLOOKUP(WWWW[[#This Row],[Site Name]],SiteDB6[[Site Name]:[Lat]],12,FALSE)</f>
        <v>0</v>
      </c>
      <c r="CP139" s="699">
        <f>VLOOKUP(WWWW[[#This Row],[Site Name]],SiteDB6[[Site Name]:[Long]],13,FALSE)</f>
        <v>0</v>
      </c>
      <c r="CQ139" s="699">
        <f>VLOOKUP(WWWW[[#This Row],[Site Name]],SiteDB6[[Site Name]:[Pcode]],3,FALSE)</f>
        <v>0</v>
      </c>
      <c r="CR139" s="660" t="str">
        <f t="shared" si="2"/>
        <v>Covered</v>
      </c>
      <c r="CS139" s="660"/>
      <c r="CT139" s="24"/>
      <c r="CU139" s="24"/>
      <c r="CV139" s="24"/>
    </row>
    <row r="140" spans="1:100" ht="15.75" customHeight="1" x14ac:dyDescent="0.25">
      <c r="A140" s="833" t="s">
        <v>3206</v>
      </c>
      <c r="B140" s="206" t="s">
        <v>287</v>
      </c>
      <c r="C140" s="206" t="s">
        <v>44</v>
      </c>
      <c r="D140" s="206" t="s">
        <v>330</v>
      </c>
      <c r="E140" s="206" t="s">
        <v>331</v>
      </c>
      <c r="F140" s="206">
        <v>127</v>
      </c>
      <c r="G140" s="209">
        <v>547</v>
      </c>
      <c r="H140" s="206"/>
      <c r="I140" s="206" t="s">
        <v>296</v>
      </c>
      <c r="J140" s="207">
        <v>43465</v>
      </c>
      <c r="K140" s="206">
        <v>0</v>
      </c>
      <c r="L140" s="206" t="s">
        <v>48</v>
      </c>
      <c r="M140" s="208">
        <v>0.5</v>
      </c>
      <c r="N140" s="208">
        <v>0.5</v>
      </c>
      <c r="O140" s="316">
        <v>0</v>
      </c>
      <c r="P140" s="317">
        <v>0</v>
      </c>
      <c r="Q140" s="317">
        <v>0</v>
      </c>
      <c r="R140" s="318">
        <v>0</v>
      </c>
      <c r="S140" s="318">
        <v>0</v>
      </c>
      <c r="T140" s="318"/>
      <c r="U140" s="318">
        <v>0</v>
      </c>
      <c r="V140" s="318">
        <v>0</v>
      </c>
      <c r="W140" s="318">
        <v>0</v>
      </c>
      <c r="X140" s="318">
        <v>0</v>
      </c>
      <c r="Y140" s="318">
        <v>0</v>
      </c>
      <c r="Z140" s="318"/>
      <c r="AA140" s="310">
        <v>74</v>
      </c>
      <c r="AB140" s="310">
        <v>0</v>
      </c>
      <c r="AC140" s="66">
        <v>0</v>
      </c>
      <c r="AD140" s="66"/>
      <c r="AE140" s="310">
        <v>0</v>
      </c>
      <c r="AF140" s="310" t="s">
        <v>332</v>
      </c>
      <c r="AG140" s="311" t="s">
        <v>283</v>
      </c>
      <c r="AH140" s="311"/>
      <c r="AI140" s="310"/>
      <c r="AJ140" s="310"/>
      <c r="AK140" s="841">
        <v>0.2</v>
      </c>
      <c r="AL140" s="842" t="s">
        <v>284</v>
      </c>
      <c r="AM140" s="842">
        <v>0</v>
      </c>
      <c r="AN140" s="863">
        <v>0</v>
      </c>
      <c r="AO140" s="863">
        <v>2</v>
      </c>
      <c r="AP140" s="838">
        <v>0</v>
      </c>
      <c r="AQ140" s="843">
        <v>0</v>
      </c>
      <c r="AR140" s="843"/>
      <c r="AS140" s="843"/>
      <c r="AT140" s="843"/>
      <c r="AU140" s="843"/>
      <c r="AV140" s="844"/>
      <c r="AW140" s="208" t="str">
        <f>IFERROR(WWWW[[#This Row],['# of Water passed at source]]/WWWW[[#This Row],['# of Water tested at source]],"no test")</f>
        <v>no test</v>
      </c>
      <c r="AX140" s="211" t="str">
        <f>IFERROR(WWWW[[#This Row],['# of Water passed at HH]]/WWWW[[#This Row],['# of Water tested at HH]],"no test")</f>
        <v>no test</v>
      </c>
      <c r="AY140" s="210" t="str">
        <f>IF(AND(WWWW[[#This Row],[%of Water samples which passed at water source]]="no test",WWWW[[#This Row],[%Water samples which passed at HH]]="no test"),"No Test","Tested")</f>
        <v>No Test</v>
      </c>
      <c r="AZ14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4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40" s="211">
        <f>IF(WWWW[[#This Row],[Location Type 1]]="Village",WWWW[[#This Row],[Access to safe drinking water for Village]],WWWW[[#This Row],[Access to safe drinking water for Camp]])</f>
        <v>0</v>
      </c>
      <c r="BC140" s="209">
        <f>WWWW[[#This Row],[%Equitable and continuous access to sufficient quantity of safe drinking water]]*WWWW[[#This Row],[Total PoP ]]</f>
        <v>0</v>
      </c>
      <c r="BD140" s="211">
        <f>IF((WWWW[[#This Row],['# Existing protected/fenced ponds ]]*250)/WWWW[[#This Row],[Total PoP ]]&gt;1,1,WWWW[[#This Row],['# Existing protected/fenced ponds ]]*250/WWWW[[#This Row],[Total PoP ]])</f>
        <v>0</v>
      </c>
      <c r="BE140" s="209">
        <f>WWWW[[#This Row],[Access to unimproved water points]]*WWWW[[#This Row],[Total PoP ]]</f>
        <v>0</v>
      </c>
      <c r="BF14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4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40" s="209">
        <f>WWWW[[#This Row],['#people Equitable and continuous access to sufficient quantity of domestic water borehole n ponds_2]]/500</f>
        <v>0</v>
      </c>
      <c r="BI140" s="208">
        <f>1-WWWW[[#This Row],[%Equitable and continuous access to sufficient quantity of domestic water borehole n ponds]]</f>
        <v>1</v>
      </c>
      <c r="BJ140" s="209">
        <f>WWWW[[#This Row],[%equitable and continuous access to sufficient quantity of safe drinking and domestic water''s GAP]]*WWWW[[#This Row],[Total PoP ]]</f>
        <v>547</v>
      </c>
      <c r="BK140" s="210">
        <f>IF(WWWW[[#This Row],[Total required water points]]-WWWW[[#This Row],['#Water points coverage]]&lt;0,0,WWWW[[#This Row],[Total required water points]]-WWWW[[#This Row],['#Water points coverage]])</f>
        <v>1</v>
      </c>
      <c r="BL140" s="210">
        <f>ROUND(IF(WWWW[[#This Row],[Total PoP ]]&lt;500,1,WWWW[[#This Row],[Total PoP ]]/500),0)</f>
        <v>1</v>
      </c>
      <c r="BM140" s="210">
        <f>WWWW[[#This Row],['# Existing functional latrines]]+WWWW[[#This Row],['# Existing latrines dysfunctional]]</f>
        <v>74</v>
      </c>
      <c r="BN14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40" s="352">
        <f>WWWW[[#This Row],[% people access to functioning Latrine]]*WWWW[[#This Row],[Total PoP ]]</f>
        <v>547</v>
      </c>
      <c r="BP14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40" s="209">
        <f>IF(WWWW[[#This Row],[Total required Latrines]]-WWWW[[#This Row],[Total '# of latrine]]&lt;0,0,WWWW[[#This Row],[Total required Latrines]]-WWWW[[#This Row],[Total '# of latrine]])</f>
        <v>0</v>
      </c>
      <c r="BR140" s="210">
        <f>ROUND(IF(WWWW[[#This Row],[Location Type 1]]="camp",WWWW[[#This Row],[Total PoP ]]/20,WWWW[[#This Row],[Total PoP ]]/6),0)</f>
        <v>27</v>
      </c>
      <c r="BS140" s="212">
        <f>IF(OR(WWWW[[#This Row],['# Existing latrines dysfunctional]]="",WWWW[[#This Row],['# Existing latrines dysfunctional]]=0),0,WWWW[[#This Row],['# Existing latrines dysfunctional]]/WWWW[[#This Row],[Total '# of latrine]])</f>
        <v>0</v>
      </c>
      <c r="BT14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0" s="209">
        <f>IF(500*WWWW[[#This Row],['# Hygiene Promoters ]]&gt;WWWW[[#This Row],[Total PoP ]],WWWW[[#This Row],[Total PoP ]],500*WWWW[[#This Row],['# Hygiene Promoters ]])</f>
        <v>547</v>
      </c>
      <c r="BV140" s="209">
        <f>IF(WWWW[[#This Row],[% of HH with access to Sanitary Pad]]&gt;=100%,1,0)</f>
        <v>0</v>
      </c>
      <c r="BW140" s="209">
        <f>IF(WWWW[[#This Row],[Total PoP ]]=0,0,IF(WWWW[[#This Row],['# Hygiene Promoters ]]=0,0,IF(WWWW[[#This Row],[Location Type 1]]="Village",IF(WWWW[[#This Row],[Total PoP ]]/WWWW[[#This Row],['# Hygiene Promoters ]]&lt;1000,1,0),IF(WWWW[[#This Row],[Total PoP ]]/WWWW[[#This Row],['# Hygiene Promoters ]]&lt;600,1,0))))</f>
        <v>1</v>
      </c>
      <c r="BX140" s="209">
        <f>IF(WWWW[[#This Row],[%HH with access to soap]]&gt;=100%,1,0)</f>
        <v>0</v>
      </c>
      <c r="BY140" s="209">
        <f>IF(WWWW[[#This Row],[% of HHs with access to Sanitary pad more than '#%]]+WWWW[[#This Row],[Ratio of Hyiene promoters to people less than '#]]+WWWW[[#This Row],[% of HHs with access to soap more than '#%]]&gt;=2,WWWW[[#This Row],[Total PoP ]],0)</f>
        <v>0</v>
      </c>
      <c r="BZ140" s="208">
        <f>WWWW[[#This Row],[People adopt basic personal and community hygiene practices]]/WWWW[[#This Row],[Total PoP ]]</f>
        <v>0</v>
      </c>
      <c r="CA140" s="212">
        <f>1-WWWW[[#This Row],[Hygiene Coverage%]]</f>
        <v>1</v>
      </c>
      <c r="CB140" s="211">
        <f>WWWW[[#This Row],['# people reached by regular dedicated hygiene promotion_5]]/WWWW[[#This Row],[Total PoP ]]</f>
        <v>1</v>
      </c>
      <c r="CC140" s="211">
        <f>IF(WWWW[[#This Row],['# HH received soaps]]/WWWW[[#This Row],[Total HH]]&gt;1,1,WWWW[[#This Row],['# HH received soaps]]/WWWW[[#This Row],[Total HH]])</f>
        <v>0</v>
      </c>
      <c r="CD140" s="211">
        <f>IF(WWWW[[#This Row],['# HH received Sanitary Pads]]/WWWW[[#This Row],[Total HH]]&gt;1,1,WWWW[[#This Row],['# HH received Sanitary Pads]]/WWWW[[#This Row],[Total HH]])</f>
        <v>0</v>
      </c>
      <c r="CE140" s="210">
        <f>WWWW[[#This Row],['# HH received soaps]]*5</f>
        <v>0</v>
      </c>
      <c r="CF140" s="210">
        <f>WWWW[[#This Row],['# HH received Sanitary Pads]]*5</f>
        <v>0</v>
      </c>
      <c r="CG140" s="210">
        <f>IF(WWWW[[#This Row],['# People with access to soap]]&gt;WWWW[[#This Row],['# People with access to Sanity Pads]],WWWW[[#This Row],['# People with access to soap]],WWWW[[#This Row],['# People with access to Sanity Pads]])</f>
        <v>0</v>
      </c>
      <c r="CH140" s="209">
        <f>WWWW[[#This Row],[Total HH]]*WWWW[[#This Row],[%HHs with access to functional hand washing stations]]</f>
        <v>25.400000000000002</v>
      </c>
      <c r="CI140" s="699" t="str">
        <f>VLOOKUP(WWWW[[#This Row],[Site Name]],SiteDB6[[Site Name]:[CCCM Management]],6,FALSE)</f>
        <v>Yes</v>
      </c>
      <c r="CJ140" s="699" t="str">
        <f>VLOOKUP(WWWW[[#This Row],[Site Name]],SiteDB6[[Site Name]:[CCCM Focal Agency]],7,FALSE)</f>
        <v>KBC</v>
      </c>
      <c r="CK140" s="699" t="str">
        <f>VLOOKUP(WWWW[[#This Row],[Site Name]],SiteDB6[[Site Name]:[Location Type]],8,FALSE)</f>
        <v>Camp</v>
      </c>
      <c r="CL140" s="699" t="str">
        <f>VLOOKUP(WWWW[[#This Row],[Site Name]],SiteDB6[[Site Name]:[Location Type 1]],9,FALSE)</f>
        <v>Camp</v>
      </c>
      <c r="CM140" s="699" t="str">
        <f>VLOOKUP(WWWW[[#This Row],[Site Name]],SiteDB6[[Site Name]:[Type of Accommodation]],10,FALSE)</f>
        <v>Camp</v>
      </c>
      <c r="CN140" s="699" t="str">
        <f>VLOOKUP(WWWW[[#This Row],[Site Name]],SiteDB6[[Site Name]:[Ethnic or GCA/NGCA]],11,FALSE)</f>
        <v>NGCA</v>
      </c>
      <c r="CO140" s="699">
        <f>VLOOKUP(WWWW[[#This Row],[Site Name]],SiteDB6[[Site Name]:[Lat]],12,FALSE)</f>
        <v>26.569633</v>
      </c>
      <c r="CP140" s="699">
        <f>VLOOKUP(WWWW[[#This Row],[Site Name]],SiteDB6[[Site Name]:[Long]],13,FALSE)</f>
        <v>97.745480999999998</v>
      </c>
      <c r="CQ140" s="699" t="str">
        <f>VLOOKUP(WWWW[[#This Row],[Site Name]],SiteDB6[[Site Name]:[Pcode]],3,FALSE)</f>
        <v>MMR001CMP238</v>
      </c>
      <c r="CR140" s="660" t="str">
        <f t="shared" si="2"/>
        <v>Covered</v>
      </c>
      <c r="CS140" s="660"/>
      <c r="CT140" s="24"/>
      <c r="CU140" s="24"/>
      <c r="CV140" s="24"/>
    </row>
    <row r="141" spans="1:100" ht="15.75" customHeight="1" x14ac:dyDescent="0.25">
      <c r="A141" s="833" t="s">
        <v>3206</v>
      </c>
      <c r="B141" s="206" t="s">
        <v>287</v>
      </c>
      <c r="C141" s="206" t="s">
        <v>44</v>
      </c>
      <c r="D141" s="206" t="s">
        <v>330</v>
      </c>
      <c r="E141" s="206" t="s">
        <v>333</v>
      </c>
      <c r="F141" s="206">
        <v>68</v>
      </c>
      <c r="G141" s="209">
        <v>268</v>
      </c>
      <c r="H141" s="206"/>
      <c r="I141" s="206" t="s">
        <v>296</v>
      </c>
      <c r="J141" s="207">
        <v>43465</v>
      </c>
      <c r="K141" s="206">
        <v>0</v>
      </c>
      <c r="L141" s="206" t="s">
        <v>48</v>
      </c>
      <c r="M141" s="208">
        <v>0.4</v>
      </c>
      <c r="N141" s="208">
        <v>0.5</v>
      </c>
      <c r="O141" s="316">
        <v>0</v>
      </c>
      <c r="P141" s="317">
        <v>0</v>
      </c>
      <c r="Q141" s="317">
        <v>0</v>
      </c>
      <c r="R141" s="318">
        <v>0</v>
      </c>
      <c r="S141" s="318">
        <v>0</v>
      </c>
      <c r="T141" s="318"/>
      <c r="U141" s="318">
        <v>0</v>
      </c>
      <c r="V141" s="318">
        <v>0</v>
      </c>
      <c r="W141" s="318">
        <v>0</v>
      </c>
      <c r="X141" s="318">
        <v>0</v>
      </c>
      <c r="Y141" s="318">
        <v>0</v>
      </c>
      <c r="Z141" s="318"/>
      <c r="AA141" s="310">
        <v>65</v>
      </c>
      <c r="AB141" s="310">
        <v>0</v>
      </c>
      <c r="AC141" s="66">
        <v>0</v>
      </c>
      <c r="AD141" s="66"/>
      <c r="AE141" s="310">
        <v>0</v>
      </c>
      <c r="AF141" s="310" t="s">
        <v>332</v>
      </c>
      <c r="AG141" s="311" t="s">
        <v>283</v>
      </c>
      <c r="AH141" s="311"/>
      <c r="AI141" s="310"/>
      <c r="AJ141" s="310"/>
      <c r="AK141" s="841">
        <v>0.2</v>
      </c>
      <c r="AL141" s="842" t="s">
        <v>284</v>
      </c>
      <c r="AM141" s="842">
        <v>0</v>
      </c>
      <c r="AN141" s="863">
        <v>0</v>
      </c>
      <c r="AO141" s="863">
        <v>1</v>
      </c>
      <c r="AP141" s="838">
        <v>0</v>
      </c>
      <c r="AQ141" s="843">
        <v>0</v>
      </c>
      <c r="AR141" s="843"/>
      <c r="AS141" s="843"/>
      <c r="AT141" s="843"/>
      <c r="AU141" s="843"/>
      <c r="AV141" s="844"/>
      <c r="AW141" s="208" t="str">
        <f>IFERROR(WWWW[[#This Row],['# of Water passed at source]]/WWWW[[#This Row],['# of Water tested at source]],"no test")</f>
        <v>no test</v>
      </c>
      <c r="AX141" s="211" t="str">
        <f>IFERROR(WWWW[[#This Row],['# of Water passed at HH]]/WWWW[[#This Row],['# of Water tested at HH]],"no test")</f>
        <v>no test</v>
      </c>
      <c r="AY141" s="210" t="str">
        <f>IF(AND(WWWW[[#This Row],[%of Water samples which passed at water source]]="no test",WWWW[[#This Row],[%Water samples which passed at HH]]="no test"),"No Test","Tested")</f>
        <v>No Test</v>
      </c>
      <c r="AZ14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4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41" s="211">
        <f>IF(WWWW[[#This Row],[Location Type 1]]="Village",WWWW[[#This Row],[Access to safe drinking water for Village]],WWWW[[#This Row],[Access to safe drinking water for Camp]])</f>
        <v>0</v>
      </c>
      <c r="BC141" s="209">
        <f>WWWW[[#This Row],[%Equitable and continuous access to sufficient quantity of safe drinking water]]*WWWW[[#This Row],[Total PoP ]]</f>
        <v>0</v>
      </c>
      <c r="BD141" s="211">
        <f>IF((WWWW[[#This Row],['# Existing protected/fenced ponds ]]*250)/WWWW[[#This Row],[Total PoP ]]&gt;1,1,WWWW[[#This Row],['# Existing protected/fenced ponds ]]*250/WWWW[[#This Row],[Total PoP ]])</f>
        <v>0</v>
      </c>
      <c r="BE141" s="209">
        <f>WWWW[[#This Row],[Access to unimproved water points]]*WWWW[[#This Row],[Total PoP ]]</f>
        <v>0</v>
      </c>
      <c r="BF14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4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41" s="209">
        <f>WWWW[[#This Row],['#people Equitable and continuous access to sufficient quantity of domestic water borehole n ponds_2]]/500</f>
        <v>0</v>
      </c>
      <c r="BI141" s="208">
        <f>1-WWWW[[#This Row],[%Equitable and continuous access to sufficient quantity of domestic water borehole n ponds]]</f>
        <v>1</v>
      </c>
      <c r="BJ141" s="209">
        <f>WWWW[[#This Row],[%equitable and continuous access to sufficient quantity of safe drinking and domestic water''s GAP]]*WWWW[[#This Row],[Total PoP ]]</f>
        <v>268</v>
      </c>
      <c r="BK141" s="210">
        <f>IF(WWWW[[#This Row],[Total required water points]]-WWWW[[#This Row],['#Water points coverage]]&lt;0,0,WWWW[[#This Row],[Total required water points]]-WWWW[[#This Row],['#Water points coverage]])</f>
        <v>1</v>
      </c>
      <c r="BL141" s="210">
        <f>ROUND(IF(WWWW[[#This Row],[Total PoP ]]&lt;500,1,WWWW[[#This Row],[Total PoP ]]/500),0)</f>
        <v>1</v>
      </c>
      <c r="BM141" s="210">
        <f>WWWW[[#This Row],['# Existing functional latrines]]+WWWW[[#This Row],['# Existing latrines dysfunctional]]</f>
        <v>65</v>
      </c>
      <c r="BN14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41" s="352">
        <f>WWWW[[#This Row],[% people access to functioning Latrine]]*WWWW[[#This Row],[Total PoP ]]</f>
        <v>268</v>
      </c>
      <c r="BP14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41" s="209">
        <f>IF(WWWW[[#This Row],[Total required Latrines]]-WWWW[[#This Row],[Total '# of latrine]]&lt;0,0,WWWW[[#This Row],[Total required Latrines]]-WWWW[[#This Row],[Total '# of latrine]])</f>
        <v>0</v>
      </c>
      <c r="BR141" s="210">
        <f>ROUND(IF(WWWW[[#This Row],[Location Type 1]]="camp",WWWW[[#This Row],[Total PoP ]]/20,WWWW[[#This Row],[Total PoP ]]/6),0)</f>
        <v>13</v>
      </c>
      <c r="BS141" s="212">
        <f>IF(OR(WWWW[[#This Row],['# Existing latrines dysfunctional]]="",WWWW[[#This Row],['# Existing latrines dysfunctional]]=0),0,WWWW[[#This Row],['# Existing latrines dysfunctional]]/WWWW[[#This Row],[Total '# of latrine]])</f>
        <v>0</v>
      </c>
      <c r="BT14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1" s="209">
        <f>IF(500*WWWW[[#This Row],['# Hygiene Promoters ]]&gt;WWWW[[#This Row],[Total PoP ]],WWWW[[#This Row],[Total PoP ]],500*WWWW[[#This Row],['# Hygiene Promoters ]])</f>
        <v>268</v>
      </c>
      <c r="BV141" s="209">
        <f>IF(WWWW[[#This Row],[% of HH with access to Sanitary Pad]]&gt;=100%,1,0)</f>
        <v>0</v>
      </c>
      <c r="BW141" s="209">
        <f>IF(WWWW[[#This Row],[Total PoP ]]=0,0,IF(WWWW[[#This Row],['# Hygiene Promoters ]]=0,0,IF(WWWW[[#This Row],[Location Type 1]]="Village",IF(WWWW[[#This Row],[Total PoP ]]/WWWW[[#This Row],['# Hygiene Promoters ]]&lt;1000,1,0),IF(WWWW[[#This Row],[Total PoP ]]/WWWW[[#This Row],['# Hygiene Promoters ]]&lt;600,1,0))))</f>
        <v>1</v>
      </c>
      <c r="BX141" s="209">
        <f>IF(WWWW[[#This Row],[%HH with access to soap]]&gt;=100%,1,0)</f>
        <v>0</v>
      </c>
      <c r="BY141" s="209">
        <f>IF(WWWW[[#This Row],[% of HHs with access to Sanitary pad more than '#%]]+WWWW[[#This Row],[Ratio of Hyiene promoters to people less than '#]]+WWWW[[#This Row],[% of HHs with access to soap more than '#%]]&gt;=2,WWWW[[#This Row],[Total PoP ]],0)</f>
        <v>0</v>
      </c>
      <c r="BZ141" s="208">
        <f>WWWW[[#This Row],[People adopt basic personal and community hygiene practices]]/WWWW[[#This Row],[Total PoP ]]</f>
        <v>0</v>
      </c>
      <c r="CA141" s="212">
        <f>1-WWWW[[#This Row],[Hygiene Coverage%]]</f>
        <v>1</v>
      </c>
      <c r="CB141" s="211">
        <f>WWWW[[#This Row],['# people reached by regular dedicated hygiene promotion_5]]/WWWW[[#This Row],[Total PoP ]]</f>
        <v>1</v>
      </c>
      <c r="CC141" s="211">
        <f>IF(WWWW[[#This Row],['# HH received soaps]]/WWWW[[#This Row],[Total HH]]&gt;1,1,WWWW[[#This Row],['# HH received soaps]]/WWWW[[#This Row],[Total HH]])</f>
        <v>0</v>
      </c>
      <c r="CD141" s="211">
        <f>IF(WWWW[[#This Row],['# HH received Sanitary Pads]]/WWWW[[#This Row],[Total HH]]&gt;1,1,WWWW[[#This Row],['# HH received Sanitary Pads]]/WWWW[[#This Row],[Total HH]])</f>
        <v>0</v>
      </c>
      <c r="CE141" s="210">
        <f>WWWW[[#This Row],['# HH received soaps]]*5</f>
        <v>0</v>
      </c>
      <c r="CF141" s="210">
        <f>WWWW[[#This Row],['# HH received Sanitary Pads]]*5</f>
        <v>0</v>
      </c>
      <c r="CG141" s="210">
        <f>IF(WWWW[[#This Row],['# People with access to soap]]&gt;WWWW[[#This Row],['# People with access to Sanity Pads]],WWWW[[#This Row],['# People with access to soap]],WWWW[[#This Row],['# People with access to Sanity Pads]])</f>
        <v>0</v>
      </c>
      <c r="CH141" s="209">
        <f>WWWW[[#This Row],[Total HH]]*WWWW[[#This Row],[%HHs with access to functional hand washing stations]]</f>
        <v>13.600000000000001</v>
      </c>
      <c r="CI141" s="699" t="str">
        <f>VLOOKUP(WWWW[[#This Row],[Site Name]],SiteDB6[[Site Name]:[CCCM Management]],6,FALSE)</f>
        <v>Yes</v>
      </c>
      <c r="CJ141" s="699" t="str">
        <f>VLOOKUP(WWWW[[#This Row],[Site Name]],SiteDB6[[Site Name]:[CCCM Focal Agency]],7,FALSE)</f>
        <v>KBC</v>
      </c>
      <c r="CK141" s="699" t="str">
        <f>VLOOKUP(WWWW[[#This Row],[Site Name]],SiteDB6[[Site Name]:[Location Type]],8,FALSE)</f>
        <v>Camp</v>
      </c>
      <c r="CL141" s="699" t="str">
        <f>VLOOKUP(WWWW[[#This Row],[Site Name]],SiteDB6[[Site Name]:[Location Type 1]],9,FALSE)</f>
        <v>Camp</v>
      </c>
      <c r="CM141" s="699" t="str">
        <f>VLOOKUP(WWWW[[#This Row],[Site Name]],SiteDB6[[Site Name]:[Type of Accommodation]],10,FALSE)</f>
        <v>Camp</v>
      </c>
      <c r="CN141" s="699" t="str">
        <f>VLOOKUP(WWWW[[#This Row],[Site Name]],SiteDB6[[Site Name]:[Ethnic or GCA/NGCA]],11,FALSE)</f>
        <v>NGCA</v>
      </c>
      <c r="CO141" s="699">
        <f>VLOOKUP(WWWW[[#This Row],[Site Name]],SiteDB6[[Site Name]:[Lat]],12,FALSE)</f>
        <v>26.548506</v>
      </c>
      <c r="CP141" s="699">
        <f>VLOOKUP(WWWW[[#This Row],[Site Name]],SiteDB6[[Site Name]:[Long]],13,FALSE)</f>
        <v>97.75609</v>
      </c>
      <c r="CQ141" s="699" t="str">
        <f>VLOOKUP(WWWW[[#This Row],[Site Name]],SiteDB6[[Site Name]:[Pcode]],3,FALSE)</f>
        <v>MMR001CMP239</v>
      </c>
      <c r="CR141" s="660" t="str">
        <f t="shared" si="2"/>
        <v>Covered</v>
      </c>
      <c r="CS141" s="660"/>
      <c r="CT141" s="24"/>
      <c r="CU141" s="24"/>
      <c r="CV141" s="24"/>
    </row>
    <row r="142" spans="1:100" ht="15.75" customHeight="1" x14ac:dyDescent="0.25">
      <c r="A142" s="833" t="s">
        <v>3206</v>
      </c>
      <c r="B142" s="206" t="s">
        <v>460</v>
      </c>
      <c r="C142" s="206" t="s">
        <v>44</v>
      </c>
      <c r="D142" s="206" t="s">
        <v>330</v>
      </c>
      <c r="E142" s="206" t="s">
        <v>330</v>
      </c>
      <c r="F142" s="206">
        <v>5</v>
      </c>
      <c r="G142" s="209">
        <v>32</v>
      </c>
      <c r="H142" s="206"/>
      <c r="I142" s="206"/>
      <c r="J142" s="207"/>
      <c r="K142" s="206"/>
      <c r="L142" s="206" t="s">
        <v>282</v>
      </c>
      <c r="M142" s="208">
        <v>0</v>
      </c>
      <c r="N142" s="208">
        <v>0</v>
      </c>
      <c r="O142" s="316"/>
      <c r="P142" s="317"/>
      <c r="Q142" s="317"/>
      <c r="R142" s="318"/>
      <c r="S142" s="318"/>
      <c r="T142" s="318"/>
      <c r="U142" s="318"/>
      <c r="V142" s="318"/>
      <c r="W142" s="318"/>
      <c r="X142" s="318"/>
      <c r="Y142" s="318"/>
      <c r="Z142" s="318"/>
      <c r="AA142" s="310">
        <v>0</v>
      </c>
      <c r="AB142" s="310"/>
      <c r="AC142" s="66"/>
      <c r="AD142" s="66"/>
      <c r="AE142" s="310"/>
      <c r="AF142" s="310" t="s">
        <v>286</v>
      </c>
      <c r="AG142" s="311" t="s">
        <v>286</v>
      </c>
      <c r="AH142" s="311"/>
      <c r="AI142" s="310"/>
      <c r="AJ142" s="310"/>
      <c r="AK142" s="841"/>
      <c r="AL142" s="842"/>
      <c r="AM142" s="842"/>
      <c r="AN142" s="863"/>
      <c r="AO142" s="863"/>
      <c r="AP142" s="838"/>
      <c r="AQ142" s="843"/>
      <c r="AR142" s="843"/>
      <c r="AS142" s="843"/>
      <c r="AT142" s="843"/>
      <c r="AU142" s="843"/>
      <c r="AV142" s="844"/>
      <c r="AW142" s="208" t="str">
        <f>IFERROR(WWWW[[#This Row],['# of Water passed at source]]/WWWW[[#This Row],['# of Water tested at source]],"no test")</f>
        <v>no test</v>
      </c>
      <c r="AX142" s="211" t="str">
        <f>IFERROR(WWWW[[#This Row],['# of Water passed at HH]]/WWWW[[#This Row],['# of Water tested at HH]],"no test")</f>
        <v>no test</v>
      </c>
      <c r="AY142" s="210" t="str">
        <f>IF(AND(WWWW[[#This Row],[%of Water samples which passed at water source]]="no test",WWWW[[#This Row],[%Water samples which passed at HH]]="no test"),"No Test","Tested")</f>
        <v>No Test</v>
      </c>
      <c r="AZ14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4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42" s="211">
        <f>IF(WWWW[[#This Row],[Location Type 1]]="Village",WWWW[[#This Row],[Access to safe drinking water for Village]],WWWW[[#This Row],[Access to safe drinking water for Camp]])</f>
        <v>0</v>
      </c>
      <c r="BC142" s="209">
        <f>WWWW[[#This Row],[%Equitable and continuous access to sufficient quantity of safe drinking water]]*WWWW[[#This Row],[Total PoP ]]</f>
        <v>0</v>
      </c>
      <c r="BD142" s="211">
        <f>IF((WWWW[[#This Row],['# Existing protected/fenced ponds ]]*250)/WWWW[[#This Row],[Total PoP ]]&gt;1,1,WWWW[[#This Row],['# Existing protected/fenced ponds ]]*250/WWWW[[#This Row],[Total PoP ]])</f>
        <v>0</v>
      </c>
      <c r="BE142" s="209">
        <f>WWWW[[#This Row],[Access to unimproved water points]]*WWWW[[#This Row],[Total PoP ]]</f>
        <v>0</v>
      </c>
      <c r="BF14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4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42" s="209">
        <f>WWWW[[#This Row],['#people Equitable and continuous access to sufficient quantity of domestic water borehole n ponds_2]]/500</f>
        <v>0</v>
      </c>
      <c r="BI142" s="208">
        <f>1-WWWW[[#This Row],[%Equitable and continuous access to sufficient quantity of domestic water borehole n ponds]]</f>
        <v>1</v>
      </c>
      <c r="BJ142" s="209">
        <f>WWWW[[#This Row],[%equitable and continuous access to sufficient quantity of safe drinking and domestic water''s GAP]]*WWWW[[#This Row],[Total PoP ]]</f>
        <v>32</v>
      </c>
      <c r="BK142" s="210">
        <f>IF(WWWW[[#This Row],[Total required water points]]-WWWW[[#This Row],['#Water points coverage]]&lt;0,0,WWWW[[#This Row],[Total required water points]]-WWWW[[#This Row],['#Water points coverage]])</f>
        <v>1</v>
      </c>
      <c r="BL142" s="210">
        <f>ROUND(IF(WWWW[[#This Row],[Total PoP ]]&lt;500,1,WWWW[[#This Row],[Total PoP ]]/500),0)</f>
        <v>1</v>
      </c>
      <c r="BM142" s="210">
        <f>WWWW[[#This Row],['# Existing functional latrines]]+WWWW[[#This Row],['# Existing latrines dysfunctional]]</f>
        <v>0</v>
      </c>
      <c r="BN14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42" s="352">
        <f>WWWW[[#This Row],[% people access to functioning Latrine]]*WWWW[[#This Row],[Total PoP ]]</f>
        <v>0</v>
      </c>
      <c r="BP14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42" s="209">
        <f>IF(WWWW[[#This Row],[Total required Latrines]]-WWWW[[#This Row],[Total '# of latrine]]&lt;0,0,WWWW[[#This Row],[Total required Latrines]]-WWWW[[#This Row],[Total '# of latrine]])</f>
        <v>2</v>
      </c>
      <c r="BR142" s="210">
        <f>ROUND(IF(WWWW[[#This Row],[Location Type 1]]="camp",WWWW[[#This Row],[Total PoP ]]/20,WWWW[[#This Row],[Total PoP ]]/6),0)</f>
        <v>2</v>
      </c>
      <c r="BS142" s="212">
        <f>IF(OR(WWWW[[#This Row],['# Existing latrines dysfunctional]]="",WWWW[[#This Row],['# Existing latrines dysfunctional]]=0),0,WWWW[[#This Row],['# Existing latrines dysfunctional]]/WWWW[[#This Row],[Total '# of latrine]])</f>
        <v>0</v>
      </c>
      <c r="BT14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2" s="209">
        <f>IF(500*WWWW[[#This Row],['# Hygiene Promoters ]]&gt;WWWW[[#This Row],[Total PoP ]],WWWW[[#This Row],[Total PoP ]],500*WWWW[[#This Row],['# Hygiene Promoters ]])</f>
        <v>0</v>
      </c>
      <c r="BV142" s="209">
        <f>IF(WWWW[[#This Row],[% of HH with access to Sanitary Pad]]&gt;=100%,1,0)</f>
        <v>0</v>
      </c>
      <c r="BW142" s="209">
        <f>IF(WWWW[[#This Row],[Total PoP ]]=0,0,IF(WWWW[[#This Row],['# Hygiene Promoters ]]=0,0,IF(WWWW[[#This Row],[Location Type 1]]="Village",IF(WWWW[[#This Row],[Total PoP ]]/WWWW[[#This Row],['# Hygiene Promoters ]]&lt;1000,1,0),IF(WWWW[[#This Row],[Total PoP ]]/WWWW[[#This Row],['# Hygiene Promoters ]]&lt;600,1,0))))</f>
        <v>0</v>
      </c>
      <c r="BX142" s="209">
        <f>IF(WWWW[[#This Row],[%HH with access to soap]]&gt;=100%,1,0)</f>
        <v>0</v>
      </c>
      <c r="BY142" s="209">
        <f>IF(WWWW[[#This Row],[% of HHs with access to Sanitary pad more than '#%]]+WWWW[[#This Row],[Ratio of Hyiene promoters to people less than '#]]+WWWW[[#This Row],[% of HHs with access to soap more than '#%]]&gt;=2,WWWW[[#This Row],[Total PoP ]],0)</f>
        <v>0</v>
      </c>
      <c r="BZ142" s="208">
        <f>WWWW[[#This Row],[People adopt basic personal and community hygiene practices]]/WWWW[[#This Row],[Total PoP ]]</f>
        <v>0</v>
      </c>
      <c r="CA142" s="212">
        <f>1-WWWW[[#This Row],[Hygiene Coverage%]]</f>
        <v>1</v>
      </c>
      <c r="CB142" s="211">
        <f>WWWW[[#This Row],['# people reached by regular dedicated hygiene promotion_5]]/WWWW[[#This Row],[Total PoP ]]</f>
        <v>0</v>
      </c>
      <c r="CC142" s="211">
        <f>IF(WWWW[[#This Row],['# HH received soaps]]/WWWW[[#This Row],[Total HH]]&gt;1,1,WWWW[[#This Row],['# HH received soaps]]/WWWW[[#This Row],[Total HH]])</f>
        <v>0</v>
      </c>
      <c r="CD142" s="211">
        <f>IF(WWWW[[#This Row],['# HH received Sanitary Pads]]/WWWW[[#This Row],[Total HH]]&gt;1,1,WWWW[[#This Row],['# HH received Sanitary Pads]]/WWWW[[#This Row],[Total HH]])</f>
        <v>0</v>
      </c>
      <c r="CE142" s="210">
        <f>WWWW[[#This Row],['# HH received soaps]]*5</f>
        <v>0</v>
      </c>
      <c r="CF142" s="210">
        <f>WWWW[[#This Row],['# HH received Sanitary Pads]]*5</f>
        <v>0</v>
      </c>
      <c r="CG142" s="210">
        <f>IF(WWWW[[#This Row],['# People with access to soap]]&gt;WWWW[[#This Row],['# People with access to Sanity Pads]],WWWW[[#This Row],['# People with access to soap]],WWWW[[#This Row],['# People with access to Sanity Pads]])</f>
        <v>0</v>
      </c>
      <c r="CH142" s="209">
        <f>WWWW[[#This Row],[Total HH]]*WWWW[[#This Row],[%HHs with access to functional hand washing stations]]</f>
        <v>0</v>
      </c>
      <c r="CI142" s="699">
        <f>VLOOKUP(WWWW[[#This Row],[Site Name]],SiteDB6[[Site Name]:[CCCM Management]],6,FALSE)</f>
        <v>0</v>
      </c>
      <c r="CJ142" s="699" t="str">
        <f>VLOOKUP(WWWW[[#This Row],[Site Name]],SiteDB6[[Site Name]:[CCCM Focal Agency]],7,FALSE)</f>
        <v>uncovered</v>
      </c>
      <c r="CK142" s="699" t="str">
        <f>VLOOKUP(WWWW[[#This Row],[Site Name]],SiteDB6[[Site Name]:[Location Type]],8,FALSE)</f>
        <v>Camp</v>
      </c>
      <c r="CL142" s="699" t="str">
        <f>VLOOKUP(WWWW[[#This Row],[Site Name]],SiteDB6[[Site Name]:[Location Type 1]],9,FALSE)</f>
        <v>Camp</v>
      </c>
      <c r="CM142" s="699" t="str">
        <f>VLOOKUP(WWWW[[#This Row],[Site Name]],SiteDB6[[Site Name]:[Type of Accommodation]],10,FALSE)</f>
        <v>Camp like setting</v>
      </c>
      <c r="CN142" s="699" t="str">
        <f>VLOOKUP(WWWW[[#This Row],[Site Name]],SiteDB6[[Site Name]:[Ethnic or GCA/NGCA]],11,FALSE)</f>
        <v>GCA</v>
      </c>
      <c r="CO142" s="699">
        <f>VLOOKUP(WWWW[[#This Row],[Site Name]],SiteDB6[[Site Name]:[Lat]],12,FALSE)</f>
        <v>26.541930000000001</v>
      </c>
      <c r="CP142" s="699">
        <f>VLOOKUP(WWWW[[#This Row],[Site Name]],SiteDB6[[Site Name]:[Long]],13,FALSE)</f>
        <v>97.568836000000005</v>
      </c>
      <c r="CQ142" s="699" t="str">
        <f>VLOOKUP(WWWW[[#This Row],[Site Name]],SiteDB6[[Site Name]:[Pcode]],3,FALSE)</f>
        <v>MMR001CMP206</v>
      </c>
      <c r="CR142" s="660" t="str">
        <f t="shared" si="2"/>
        <v>Notcovered</v>
      </c>
      <c r="CS142" s="660"/>
      <c r="CT142" s="24"/>
      <c r="CU142" s="24"/>
      <c r="CV142" s="24"/>
    </row>
    <row r="143" spans="1:100" ht="15.75" customHeight="1" x14ac:dyDescent="0.25">
      <c r="A143" s="833" t="s">
        <v>3206</v>
      </c>
      <c r="B143" s="206" t="s">
        <v>460</v>
      </c>
      <c r="C143" s="206" t="s">
        <v>44</v>
      </c>
      <c r="D143" s="206" t="s">
        <v>1311</v>
      </c>
      <c r="E143" s="206" t="s">
        <v>2718</v>
      </c>
      <c r="F143" s="206">
        <v>72</v>
      </c>
      <c r="G143" s="209">
        <v>228</v>
      </c>
      <c r="H143" s="206"/>
      <c r="I143" s="206"/>
      <c r="J143" s="207"/>
      <c r="K143" s="206"/>
      <c r="L143" s="206"/>
      <c r="M143" s="208"/>
      <c r="N143" s="208"/>
      <c r="O143" s="316"/>
      <c r="P143" s="317"/>
      <c r="Q143" s="317"/>
      <c r="R143" s="318"/>
      <c r="S143" s="318"/>
      <c r="T143" s="318"/>
      <c r="U143" s="318"/>
      <c r="V143" s="318"/>
      <c r="W143" s="318"/>
      <c r="X143" s="318"/>
      <c r="Y143" s="318"/>
      <c r="Z143" s="318"/>
      <c r="AA143" s="310"/>
      <c r="AB143" s="310"/>
      <c r="AC143" s="66"/>
      <c r="AD143" s="66"/>
      <c r="AE143" s="310"/>
      <c r="AF143" s="310"/>
      <c r="AG143" s="311"/>
      <c r="AH143" s="311"/>
      <c r="AI143" s="310"/>
      <c r="AJ143" s="310"/>
      <c r="AK143" s="841"/>
      <c r="AL143" s="842"/>
      <c r="AM143" s="842"/>
      <c r="AN143" s="863"/>
      <c r="AO143" s="863"/>
      <c r="AP143" s="838"/>
      <c r="AQ143" s="843"/>
      <c r="AR143" s="843"/>
      <c r="AS143" s="843"/>
      <c r="AT143" s="843"/>
      <c r="AU143" s="843"/>
      <c r="AV143" s="844"/>
      <c r="AW143" s="208" t="str">
        <f>IFERROR(WWWW[[#This Row],['# of Water passed at source]]/WWWW[[#This Row],['# of Water tested at source]],"no test")</f>
        <v>no test</v>
      </c>
      <c r="AX143" s="211" t="str">
        <f>IFERROR(WWWW[[#This Row],['# of Water passed at HH]]/WWWW[[#This Row],['# of Water tested at HH]],"no test")</f>
        <v>no test</v>
      </c>
      <c r="AY143" s="210" t="str">
        <f>IF(AND(WWWW[[#This Row],[%of Water samples which passed at water source]]="no test",WWWW[[#This Row],[%Water samples which passed at HH]]="no test"),"No Test","Tested")</f>
        <v>No Test</v>
      </c>
      <c r="AZ14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4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43" s="211">
        <f>IF(WWWW[[#This Row],[Location Type 1]]="Village",WWWW[[#This Row],[Access to safe drinking water for Village]],WWWW[[#This Row],[Access to safe drinking water for Camp]])</f>
        <v>0</v>
      </c>
      <c r="BC143" s="209">
        <f>WWWW[[#This Row],[%Equitable and continuous access to sufficient quantity of safe drinking water]]*WWWW[[#This Row],[Total PoP ]]</f>
        <v>0</v>
      </c>
      <c r="BD143" s="211">
        <f>IF((WWWW[[#This Row],['# Existing protected/fenced ponds ]]*250)/WWWW[[#This Row],[Total PoP ]]&gt;1,1,WWWW[[#This Row],['# Existing protected/fenced ponds ]]*250/WWWW[[#This Row],[Total PoP ]])</f>
        <v>0</v>
      </c>
      <c r="BE143" s="209">
        <f>WWWW[[#This Row],[Access to unimproved water points]]*WWWW[[#This Row],[Total PoP ]]</f>
        <v>0</v>
      </c>
      <c r="BF14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4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43" s="209">
        <f>WWWW[[#This Row],['#people Equitable and continuous access to sufficient quantity of domestic water borehole n ponds_2]]/500</f>
        <v>0</v>
      </c>
      <c r="BI143" s="208">
        <f>1-WWWW[[#This Row],[%Equitable and continuous access to sufficient quantity of domestic water borehole n ponds]]</f>
        <v>1</v>
      </c>
      <c r="BJ143" s="209">
        <f>WWWW[[#This Row],[%equitable and continuous access to sufficient quantity of safe drinking and domestic water''s GAP]]*WWWW[[#This Row],[Total PoP ]]</f>
        <v>228</v>
      </c>
      <c r="BK143" s="210">
        <f>IF(WWWW[[#This Row],[Total required water points]]-WWWW[[#This Row],['#Water points coverage]]&lt;0,0,WWWW[[#This Row],[Total required water points]]-WWWW[[#This Row],['#Water points coverage]])</f>
        <v>1</v>
      </c>
      <c r="BL143" s="210">
        <f>ROUND(IF(WWWW[[#This Row],[Total PoP ]]&lt;500,1,WWWW[[#This Row],[Total PoP ]]/500),0)</f>
        <v>1</v>
      </c>
      <c r="BM143" s="210">
        <f>WWWW[[#This Row],['# Existing functional latrines]]+WWWW[[#This Row],['# Existing latrines dysfunctional]]</f>
        <v>0</v>
      </c>
      <c r="BN14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43" s="352">
        <f>WWWW[[#This Row],[% people access to functioning Latrine]]*WWWW[[#This Row],[Total PoP ]]</f>
        <v>0</v>
      </c>
      <c r="BP14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0.96491228070175439</v>
      </c>
      <c r="BQ143" s="209">
        <f>IF(WWWW[[#This Row],[Total required Latrines]]-WWWW[[#This Row],[Total '# of latrine]]&lt;0,0,WWWW[[#This Row],[Total required Latrines]]-WWWW[[#This Row],[Total '# of latrine]])</f>
        <v>11</v>
      </c>
      <c r="BR143" s="210">
        <f>ROUND(IF(WWWW[[#This Row],[Location Type 1]]="camp",WWWW[[#This Row],[Total PoP ]]/20,WWWW[[#This Row],[Total PoP ]]/6),0)</f>
        <v>11</v>
      </c>
      <c r="BS143" s="212">
        <f>IF(OR(WWWW[[#This Row],['# Existing latrines dysfunctional]]="",WWWW[[#This Row],['# Existing latrines dysfunctional]]=0),0,WWWW[[#This Row],['# Existing latrines dysfunctional]]/WWWW[[#This Row],[Total '# of latrine]])</f>
        <v>0</v>
      </c>
      <c r="BT14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3" s="209">
        <f>IF(500*WWWW[[#This Row],['# Hygiene Promoters ]]&gt;WWWW[[#This Row],[Total PoP ]],WWWW[[#This Row],[Total PoP ]],500*WWWW[[#This Row],['# Hygiene Promoters ]])</f>
        <v>0</v>
      </c>
      <c r="BV143" s="209">
        <f>IF(WWWW[[#This Row],[% of HH with access to Sanitary Pad]]&gt;=100%,1,0)</f>
        <v>0</v>
      </c>
      <c r="BW143" s="209">
        <f>IF(WWWW[[#This Row],[Total PoP ]]=0,0,IF(WWWW[[#This Row],['# Hygiene Promoters ]]=0,0,IF(WWWW[[#This Row],[Location Type 1]]="Village",IF(WWWW[[#This Row],[Total PoP ]]/WWWW[[#This Row],['# Hygiene Promoters ]]&lt;1000,1,0),IF(WWWW[[#This Row],[Total PoP ]]/WWWW[[#This Row],['# Hygiene Promoters ]]&lt;600,1,0))))</f>
        <v>0</v>
      </c>
      <c r="BX143" s="209">
        <f>IF(WWWW[[#This Row],[%HH with access to soap]]&gt;=100%,1,0)</f>
        <v>0</v>
      </c>
      <c r="BY143" s="209">
        <f>IF(WWWW[[#This Row],[% of HHs with access to Sanitary pad more than '#%]]+WWWW[[#This Row],[Ratio of Hyiene promoters to people less than '#]]+WWWW[[#This Row],[% of HHs with access to soap more than '#%]]&gt;=2,WWWW[[#This Row],[Total PoP ]],0)</f>
        <v>0</v>
      </c>
      <c r="BZ143" s="208">
        <f>WWWW[[#This Row],[People adopt basic personal and community hygiene practices]]/WWWW[[#This Row],[Total PoP ]]</f>
        <v>0</v>
      </c>
      <c r="CA143" s="212">
        <f>1-WWWW[[#This Row],[Hygiene Coverage%]]</f>
        <v>1</v>
      </c>
      <c r="CB143" s="211">
        <f>WWWW[[#This Row],['# people reached by regular dedicated hygiene promotion_5]]/WWWW[[#This Row],[Total PoP ]]</f>
        <v>0</v>
      </c>
      <c r="CC143" s="211">
        <f>IF(WWWW[[#This Row],['# HH received soaps]]/WWWW[[#This Row],[Total HH]]&gt;1,1,WWWW[[#This Row],['# HH received soaps]]/WWWW[[#This Row],[Total HH]])</f>
        <v>0</v>
      </c>
      <c r="CD143" s="211">
        <f>IF(WWWW[[#This Row],['# HH received Sanitary Pads]]/WWWW[[#This Row],[Total HH]]&gt;1,1,WWWW[[#This Row],['# HH received Sanitary Pads]]/WWWW[[#This Row],[Total HH]])</f>
        <v>0</v>
      </c>
      <c r="CE143" s="210">
        <f>WWWW[[#This Row],['# HH received soaps]]*5</f>
        <v>0</v>
      </c>
      <c r="CF143" s="210">
        <f>WWWW[[#This Row],['# HH received Sanitary Pads]]*5</f>
        <v>0</v>
      </c>
      <c r="CG143" s="210">
        <f>IF(WWWW[[#This Row],['# People with access to soap]]&gt;WWWW[[#This Row],['# People with access to Sanity Pads]],WWWW[[#This Row],['# People with access to soap]],WWWW[[#This Row],['# People with access to Sanity Pads]])</f>
        <v>0</v>
      </c>
      <c r="CH143" s="209">
        <f>WWWW[[#This Row],[Total HH]]*WWWW[[#This Row],[%HHs with access to functional hand washing stations]]</f>
        <v>0</v>
      </c>
      <c r="CI143" s="699">
        <f>VLOOKUP(WWWW[[#This Row],[Site Name]],SiteDB6[[Site Name]:[CCCM Management]],6,FALSE)</f>
        <v>0</v>
      </c>
      <c r="CJ143" s="699">
        <f>VLOOKUP(WWWW[[#This Row],[Site Name]],SiteDB6[[Site Name]:[CCCM Focal Agency]],7,FALSE)</f>
        <v>0</v>
      </c>
      <c r="CK143" s="699" t="str">
        <f>VLOOKUP(WWWW[[#This Row],[Site Name]],SiteDB6[[Site Name]:[Location Type]],8,FALSE)</f>
        <v>Camp_not registered</v>
      </c>
      <c r="CL143" s="699" t="str">
        <f>VLOOKUP(WWWW[[#This Row],[Site Name]],SiteDB6[[Site Name]:[Location Type 1]],9,FALSE)</f>
        <v>Camp</v>
      </c>
      <c r="CM143" s="699" t="str">
        <f>VLOOKUP(WWWW[[#This Row],[Site Name]],SiteDB6[[Site Name]:[Type of Accommodation]],10,FALSE)</f>
        <v>Camp like setting</v>
      </c>
      <c r="CN143" s="699" t="s">
        <v>51</v>
      </c>
      <c r="CO143" s="699">
        <f>VLOOKUP(WWWW[[#This Row],[Site Name]],SiteDB6[[Site Name]:[Lat]],12,FALSE)</f>
        <v>0</v>
      </c>
      <c r="CP143" s="699">
        <f>VLOOKUP(WWWW[[#This Row],[Site Name]],SiteDB6[[Site Name]:[Long]],13,FALSE)</f>
        <v>0</v>
      </c>
      <c r="CQ143" s="699">
        <f>VLOOKUP(WWWW[[#This Row],[Site Name]],SiteDB6[[Site Name]:[Pcode]],3,FALSE)</f>
        <v>0</v>
      </c>
      <c r="CR143" s="660" t="str">
        <f t="shared" si="2"/>
        <v>Notcovered</v>
      </c>
      <c r="CS143" s="660"/>
      <c r="CT143" s="24"/>
      <c r="CU143" s="24"/>
      <c r="CV143" s="24"/>
    </row>
    <row r="144" spans="1:100" ht="15.75" customHeight="1" x14ac:dyDescent="0.25">
      <c r="A144" s="833" t="s">
        <v>3206</v>
      </c>
      <c r="B144" s="206" t="s">
        <v>460</v>
      </c>
      <c r="C144" s="206" t="s">
        <v>44</v>
      </c>
      <c r="D144" s="206" t="s">
        <v>1311</v>
      </c>
      <c r="E144" s="206" t="s">
        <v>2719</v>
      </c>
      <c r="F144" s="206">
        <v>110</v>
      </c>
      <c r="G144" s="209">
        <v>566</v>
      </c>
      <c r="H144" s="206"/>
      <c r="I144" s="206"/>
      <c r="J144" s="207"/>
      <c r="K144" s="206"/>
      <c r="L144" s="206"/>
      <c r="M144" s="208"/>
      <c r="N144" s="208"/>
      <c r="O144" s="316"/>
      <c r="P144" s="317"/>
      <c r="Q144" s="317"/>
      <c r="R144" s="318"/>
      <c r="S144" s="318"/>
      <c r="T144" s="318"/>
      <c r="U144" s="318"/>
      <c r="V144" s="318"/>
      <c r="W144" s="318"/>
      <c r="X144" s="318"/>
      <c r="Y144" s="318"/>
      <c r="Z144" s="318"/>
      <c r="AA144" s="310"/>
      <c r="AB144" s="310"/>
      <c r="AC144" s="66"/>
      <c r="AD144" s="66"/>
      <c r="AE144" s="310"/>
      <c r="AF144" s="310"/>
      <c r="AG144" s="311"/>
      <c r="AH144" s="311"/>
      <c r="AI144" s="310"/>
      <c r="AJ144" s="310"/>
      <c r="AK144" s="841"/>
      <c r="AL144" s="842"/>
      <c r="AM144" s="842"/>
      <c r="AN144" s="863"/>
      <c r="AO144" s="863"/>
      <c r="AP144" s="838"/>
      <c r="AQ144" s="843"/>
      <c r="AR144" s="843"/>
      <c r="AS144" s="843"/>
      <c r="AT144" s="843"/>
      <c r="AU144" s="843"/>
      <c r="AV144" s="844"/>
      <c r="AW144" s="208" t="str">
        <f>IFERROR(WWWW[[#This Row],['# of Water passed at source]]/WWWW[[#This Row],['# of Water tested at source]],"no test")</f>
        <v>no test</v>
      </c>
      <c r="AX144" s="211" t="str">
        <f>IFERROR(WWWW[[#This Row],['# of Water passed at HH]]/WWWW[[#This Row],['# of Water tested at HH]],"no test")</f>
        <v>no test</v>
      </c>
      <c r="AY144" s="210" t="str">
        <f>IF(AND(WWWW[[#This Row],[%of Water samples which passed at water source]]="no test",WWWW[[#This Row],[%Water samples which passed at HH]]="no test"),"No Test","Tested")</f>
        <v>No Test</v>
      </c>
      <c r="AZ14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4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44" s="211">
        <f>IF(WWWW[[#This Row],[Location Type 1]]="Village",WWWW[[#This Row],[Access to safe drinking water for Village]],WWWW[[#This Row],[Access to safe drinking water for Camp]])</f>
        <v>0</v>
      </c>
      <c r="BC144" s="209">
        <f>WWWW[[#This Row],[%Equitable and continuous access to sufficient quantity of safe drinking water]]*WWWW[[#This Row],[Total PoP ]]</f>
        <v>0</v>
      </c>
      <c r="BD144" s="211">
        <f>IF((WWWW[[#This Row],['# Existing protected/fenced ponds ]]*250)/WWWW[[#This Row],[Total PoP ]]&gt;1,1,WWWW[[#This Row],['# Existing protected/fenced ponds ]]*250/WWWW[[#This Row],[Total PoP ]])</f>
        <v>0</v>
      </c>
      <c r="BE144" s="209">
        <f>WWWW[[#This Row],[Access to unimproved water points]]*WWWW[[#This Row],[Total PoP ]]</f>
        <v>0</v>
      </c>
      <c r="BF14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4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44" s="209">
        <f>WWWW[[#This Row],['#people Equitable and continuous access to sufficient quantity of domestic water borehole n ponds_2]]/500</f>
        <v>0</v>
      </c>
      <c r="BI144" s="208">
        <f>1-WWWW[[#This Row],[%Equitable and continuous access to sufficient quantity of domestic water borehole n ponds]]</f>
        <v>1</v>
      </c>
      <c r="BJ144" s="209">
        <f>WWWW[[#This Row],[%equitable and continuous access to sufficient quantity of safe drinking and domestic water''s GAP]]*WWWW[[#This Row],[Total PoP ]]</f>
        <v>566</v>
      </c>
      <c r="BK144" s="210">
        <f>IF(WWWW[[#This Row],[Total required water points]]-WWWW[[#This Row],['#Water points coverage]]&lt;0,0,WWWW[[#This Row],[Total required water points]]-WWWW[[#This Row],['#Water points coverage]])</f>
        <v>1</v>
      </c>
      <c r="BL144" s="210">
        <f>ROUND(IF(WWWW[[#This Row],[Total PoP ]]&lt;500,1,WWWW[[#This Row],[Total PoP ]]/500),0)</f>
        <v>1</v>
      </c>
      <c r="BM144" s="210">
        <f>WWWW[[#This Row],['# Existing functional latrines]]+WWWW[[#This Row],['# Existing latrines dysfunctional]]</f>
        <v>0</v>
      </c>
      <c r="BN14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44" s="352">
        <f>WWWW[[#This Row],[% people access to functioning Latrine]]*WWWW[[#This Row],[Total PoP ]]</f>
        <v>0</v>
      </c>
      <c r="BP14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0.98939929328621901</v>
      </c>
      <c r="BQ144" s="209">
        <f>IF(WWWW[[#This Row],[Total required Latrines]]-WWWW[[#This Row],[Total '# of latrine]]&lt;0,0,WWWW[[#This Row],[Total required Latrines]]-WWWW[[#This Row],[Total '# of latrine]])</f>
        <v>28</v>
      </c>
      <c r="BR144" s="210">
        <f>ROUND(IF(WWWW[[#This Row],[Location Type 1]]="camp",WWWW[[#This Row],[Total PoP ]]/20,WWWW[[#This Row],[Total PoP ]]/6),0)</f>
        <v>28</v>
      </c>
      <c r="BS144" s="212">
        <f>IF(OR(WWWW[[#This Row],['# Existing latrines dysfunctional]]="",WWWW[[#This Row],['# Existing latrines dysfunctional]]=0),0,WWWW[[#This Row],['# Existing latrines dysfunctional]]/WWWW[[#This Row],[Total '# of latrine]])</f>
        <v>0</v>
      </c>
      <c r="BT14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4" s="209">
        <f>IF(500*WWWW[[#This Row],['# Hygiene Promoters ]]&gt;WWWW[[#This Row],[Total PoP ]],WWWW[[#This Row],[Total PoP ]],500*WWWW[[#This Row],['# Hygiene Promoters ]])</f>
        <v>0</v>
      </c>
      <c r="BV144" s="209">
        <f>IF(WWWW[[#This Row],[% of HH with access to Sanitary Pad]]&gt;=100%,1,0)</f>
        <v>0</v>
      </c>
      <c r="BW144" s="209">
        <f>IF(WWWW[[#This Row],[Total PoP ]]=0,0,IF(WWWW[[#This Row],['# Hygiene Promoters ]]=0,0,IF(WWWW[[#This Row],[Location Type 1]]="Village",IF(WWWW[[#This Row],[Total PoP ]]/WWWW[[#This Row],['# Hygiene Promoters ]]&lt;1000,1,0),IF(WWWW[[#This Row],[Total PoP ]]/WWWW[[#This Row],['# Hygiene Promoters ]]&lt;600,1,0))))</f>
        <v>0</v>
      </c>
      <c r="BX144" s="209">
        <f>IF(WWWW[[#This Row],[%HH with access to soap]]&gt;=100%,1,0)</f>
        <v>0</v>
      </c>
      <c r="BY144" s="209">
        <f>IF(WWWW[[#This Row],[% of HHs with access to Sanitary pad more than '#%]]+WWWW[[#This Row],[Ratio of Hyiene promoters to people less than '#]]+WWWW[[#This Row],[% of HHs with access to soap more than '#%]]&gt;=2,WWWW[[#This Row],[Total PoP ]],0)</f>
        <v>0</v>
      </c>
      <c r="BZ144" s="208">
        <f>WWWW[[#This Row],[People adopt basic personal and community hygiene practices]]/WWWW[[#This Row],[Total PoP ]]</f>
        <v>0</v>
      </c>
      <c r="CA144" s="212">
        <f>1-WWWW[[#This Row],[Hygiene Coverage%]]</f>
        <v>1</v>
      </c>
      <c r="CB144" s="211">
        <f>WWWW[[#This Row],['# people reached by regular dedicated hygiene promotion_5]]/WWWW[[#This Row],[Total PoP ]]</f>
        <v>0</v>
      </c>
      <c r="CC144" s="211">
        <f>IF(WWWW[[#This Row],['# HH received soaps]]/WWWW[[#This Row],[Total HH]]&gt;1,1,WWWW[[#This Row],['# HH received soaps]]/WWWW[[#This Row],[Total HH]])</f>
        <v>0</v>
      </c>
      <c r="CD144" s="211">
        <f>IF(WWWW[[#This Row],['# HH received Sanitary Pads]]/WWWW[[#This Row],[Total HH]]&gt;1,1,WWWW[[#This Row],['# HH received Sanitary Pads]]/WWWW[[#This Row],[Total HH]])</f>
        <v>0</v>
      </c>
      <c r="CE144" s="210">
        <f>WWWW[[#This Row],['# HH received soaps]]*5</f>
        <v>0</v>
      </c>
      <c r="CF144" s="210">
        <f>WWWW[[#This Row],['# HH received Sanitary Pads]]*5</f>
        <v>0</v>
      </c>
      <c r="CG144" s="210">
        <f>IF(WWWW[[#This Row],['# People with access to soap]]&gt;WWWW[[#This Row],['# People with access to Sanity Pads]],WWWW[[#This Row],['# People with access to soap]],WWWW[[#This Row],['# People with access to Sanity Pads]])</f>
        <v>0</v>
      </c>
      <c r="CH144" s="209">
        <f>WWWW[[#This Row],[Total HH]]*WWWW[[#This Row],[%HHs with access to functional hand washing stations]]</f>
        <v>0</v>
      </c>
      <c r="CI144" s="699">
        <f>VLOOKUP(WWWW[[#This Row],[Site Name]],SiteDB6[[Site Name]:[CCCM Management]],6,FALSE)</f>
        <v>0</v>
      </c>
      <c r="CJ144" s="699">
        <f>VLOOKUP(WWWW[[#This Row],[Site Name]],SiteDB6[[Site Name]:[CCCM Focal Agency]],7,FALSE)</f>
        <v>0</v>
      </c>
      <c r="CK144" s="699" t="str">
        <f>VLOOKUP(WWWW[[#This Row],[Site Name]],SiteDB6[[Site Name]:[Location Type]],8,FALSE)</f>
        <v>Camp_not registered</v>
      </c>
      <c r="CL144" s="699" t="str">
        <f>VLOOKUP(WWWW[[#This Row],[Site Name]],SiteDB6[[Site Name]:[Location Type 1]],9,FALSE)</f>
        <v>Camp</v>
      </c>
      <c r="CM144" s="699" t="str">
        <f>VLOOKUP(WWWW[[#This Row],[Site Name]],SiteDB6[[Site Name]:[Type of Accommodation]],10,FALSE)</f>
        <v>Camp like setting</v>
      </c>
      <c r="CN144" s="699" t="s">
        <v>51</v>
      </c>
      <c r="CO144" s="699">
        <f>VLOOKUP(WWWW[[#This Row],[Site Name]],SiteDB6[[Site Name]:[Lat]],12,FALSE)</f>
        <v>0</v>
      </c>
      <c r="CP144" s="699">
        <f>VLOOKUP(WWWW[[#This Row],[Site Name]],SiteDB6[[Site Name]:[Long]],13,FALSE)</f>
        <v>0</v>
      </c>
      <c r="CQ144" s="699">
        <f>VLOOKUP(WWWW[[#This Row],[Site Name]],SiteDB6[[Site Name]:[Pcode]],3,FALSE)</f>
        <v>0</v>
      </c>
      <c r="CR144" s="660" t="str">
        <f t="shared" si="2"/>
        <v>Notcovered</v>
      </c>
      <c r="CS144" s="660"/>
      <c r="CT144" s="24"/>
      <c r="CU144" s="24"/>
      <c r="CV144" s="24"/>
    </row>
    <row r="145" spans="1:100" ht="15.75" customHeight="1" x14ac:dyDescent="0.25">
      <c r="A145" s="833" t="s">
        <v>3206</v>
      </c>
      <c r="B145" s="206" t="s">
        <v>43</v>
      </c>
      <c r="C145" s="206" t="s">
        <v>44</v>
      </c>
      <c r="D145" s="206" t="s">
        <v>1311</v>
      </c>
      <c r="E145" s="206" t="s">
        <v>2690</v>
      </c>
      <c r="F145" s="206">
        <v>42</v>
      </c>
      <c r="G145" s="209">
        <v>205</v>
      </c>
      <c r="H145" s="206"/>
      <c r="I145" s="206" t="s">
        <v>388</v>
      </c>
      <c r="J145" s="207">
        <v>43465</v>
      </c>
      <c r="K145" s="206">
        <v>0</v>
      </c>
      <c r="L145" s="206" t="s">
        <v>48</v>
      </c>
      <c r="M145" s="208">
        <v>0.7</v>
      </c>
      <c r="N145" s="208">
        <v>0.7</v>
      </c>
      <c r="O145" s="316">
        <v>0</v>
      </c>
      <c r="P145" s="317">
        <v>0</v>
      </c>
      <c r="Q145" s="317">
        <v>2000</v>
      </c>
      <c r="R145" s="318">
        <v>0</v>
      </c>
      <c r="S145" s="318">
        <v>0</v>
      </c>
      <c r="T145" s="318"/>
      <c r="U145" s="318">
        <v>0</v>
      </c>
      <c r="V145" s="318">
        <v>0</v>
      </c>
      <c r="W145" s="318">
        <v>0</v>
      </c>
      <c r="X145" s="318">
        <v>0</v>
      </c>
      <c r="Y145" s="318">
        <v>0</v>
      </c>
      <c r="Z145" s="318" t="s">
        <v>2480</v>
      </c>
      <c r="AA145" s="310">
        <v>2</v>
      </c>
      <c r="AB145" s="310">
        <v>0</v>
      </c>
      <c r="AC145" s="66">
        <v>0</v>
      </c>
      <c r="AD145" s="66"/>
      <c r="AE145" s="310">
        <v>0</v>
      </c>
      <c r="AF145" s="310" t="s">
        <v>283</v>
      </c>
      <c r="AG145" s="311" t="s">
        <v>1358</v>
      </c>
      <c r="AH145" s="311">
        <v>0</v>
      </c>
      <c r="AI145" s="310">
        <v>0</v>
      </c>
      <c r="AJ145" s="310"/>
      <c r="AK145" s="841">
        <v>0</v>
      </c>
      <c r="AL145" s="842" t="s">
        <v>376</v>
      </c>
      <c r="AM145" s="842">
        <v>0</v>
      </c>
      <c r="AN145" s="863">
        <v>0</v>
      </c>
      <c r="AO145" s="863">
        <v>2</v>
      </c>
      <c r="AP145" s="838">
        <v>0</v>
      </c>
      <c r="AQ145" s="843">
        <v>0</v>
      </c>
      <c r="AR145" s="843" t="s">
        <v>282</v>
      </c>
      <c r="AS145" s="843"/>
      <c r="AT145" s="843"/>
      <c r="AU145" s="843"/>
      <c r="AV145" s="844" t="s">
        <v>2796</v>
      </c>
      <c r="AW145" s="208" t="str">
        <f>IFERROR(WWWW[[#This Row],['# of Water passed at source]]/WWWW[[#This Row],['# of Water tested at source]],"no test")</f>
        <v>no test</v>
      </c>
      <c r="AX145" s="211" t="str">
        <f>IFERROR(WWWW[[#This Row],['# of Water passed at HH]]/WWWW[[#This Row],['# of Water tested at HH]],"no test")</f>
        <v>no test</v>
      </c>
      <c r="AY145" s="210" t="str">
        <f>IF(AND(WWWW[[#This Row],[%of Water samples which passed at water source]]="no test",WWWW[[#This Row],[%Water samples which passed at HH]]="no test"),"No Test","Tested")</f>
        <v>No Test</v>
      </c>
      <c r="AZ14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0.65040650406504075</v>
      </c>
      <c r="BA14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0.65040650406504075</v>
      </c>
      <c r="BB145" s="211">
        <f>IF(WWWW[[#This Row],[Location Type 1]]="Village",WWWW[[#This Row],[Access to safe drinking water for Village]],WWWW[[#This Row],[Access to safe drinking water for Camp]])</f>
        <v>0.65040650406504075</v>
      </c>
      <c r="BC145" s="209">
        <f>WWWW[[#This Row],[%Equitable and continuous access to sufficient quantity of safe drinking water]]*WWWW[[#This Row],[Total PoP ]]</f>
        <v>133.33333333333334</v>
      </c>
      <c r="BD145" s="211">
        <f>IF((WWWW[[#This Row],['# Existing protected/fenced ponds ]]*250)/WWWW[[#This Row],[Total PoP ]]&gt;1,1,WWWW[[#This Row],['# Existing protected/fenced ponds ]]*250/WWWW[[#This Row],[Total PoP ]])</f>
        <v>0</v>
      </c>
      <c r="BE145" s="209">
        <f>WWWW[[#This Row],[Access to unimproved water points]]*WWWW[[#This Row],[Total PoP ]]</f>
        <v>0</v>
      </c>
      <c r="BF14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0.65040650406504075</v>
      </c>
      <c r="BG14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133.33333333333334</v>
      </c>
      <c r="BH145" s="209">
        <f>WWWW[[#This Row],['#people Equitable and continuous access to sufficient quantity of domestic water borehole n ponds_2]]/500</f>
        <v>0.26666666666666666</v>
      </c>
      <c r="BI145" s="208">
        <f>1-WWWW[[#This Row],[%Equitable and continuous access to sufficient quantity of domestic water borehole n ponds]]</f>
        <v>0.34959349593495925</v>
      </c>
      <c r="BJ145" s="209">
        <f>WWWW[[#This Row],[%equitable and continuous access to sufficient quantity of safe drinking and domestic water''s GAP]]*WWWW[[#This Row],[Total PoP ]]</f>
        <v>71.666666666666643</v>
      </c>
      <c r="BK145" s="210">
        <f>IF(WWWW[[#This Row],[Total required water points]]-WWWW[[#This Row],['#Water points coverage]]&lt;0,0,WWWW[[#This Row],[Total required water points]]-WWWW[[#This Row],['#Water points coverage]])</f>
        <v>0.73333333333333339</v>
      </c>
      <c r="BL145" s="210">
        <f>ROUND(IF(WWWW[[#This Row],[Total PoP ]]&lt;500,1,WWWW[[#This Row],[Total PoP ]]/500),0)</f>
        <v>1</v>
      </c>
      <c r="BM145" s="210">
        <f>WWWW[[#This Row],['# Existing functional latrines]]+WWWW[[#This Row],['# Existing latrines dysfunctional]]</f>
        <v>2</v>
      </c>
      <c r="BN14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0.1951219512195122</v>
      </c>
      <c r="BO145" s="352">
        <f>WWWW[[#This Row],[% people access to functioning Latrine]]*WWWW[[#This Row],[Total PoP ]]</f>
        <v>40</v>
      </c>
      <c r="BP14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0.78048780487804881</v>
      </c>
      <c r="BQ145" s="209">
        <f>IF(WWWW[[#This Row],[Total required Latrines]]-WWWW[[#This Row],[Total '# of latrine]]&lt;0,0,WWWW[[#This Row],[Total required Latrines]]-WWWW[[#This Row],[Total '# of latrine]])</f>
        <v>8</v>
      </c>
      <c r="BR145" s="210">
        <f>ROUND(IF(WWWW[[#This Row],[Location Type 1]]="camp",WWWW[[#This Row],[Total PoP ]]/20,WWWW[[#This Row],[Total PoP ]]/6),0)</f>
        <v>10</v>
      </c>
      <c r="BS145" s="212">
        <f>IF(OR(WWWW[[#This Row],['# Existing latrines dysfunctional]]="",WWWW[[#This Row],['# Existing latrines dysfunctional]]=0),0,WWWW[[#This Row],['# Existing latrines dysfunctional]]/WWWW[[#This Row],[Total '# of latrine]])</f>
        <v>0</v>
      </c>
      <c r="BT14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5" s="209">
        <f>IF(500*WWWW[[#This Row],['# Hygiene Promoters ]]&gt;WWWW[[#This Row],[Total PoP ]],WWWW[[#This Row],[Total PoP ]],500*WWWW[[#This Row],['# Hygiene Promoters ]])</f>
        <v>205</v>
      </c>
      <c r="BV145" s="209">
        <f>IF(WWWW[[#This Row],[% of HH with access to Sanitary Pad]]&gt;=100%,1,0)</f>
        <v>0</v>
      </c>
      <c r="BW145" s="209">
        <f>IF(WWWW[[#This Row],[Total PoP ]]=0,0,IF(WWWW[[#This Row],['# Hygiene Promoters ]]=0,0,IF(WWWW[[#This Row],[Location Type 1]]="Village",IF(WWWW[[#This Row],[Total PoP ]]/WWWW[[#This Row],['# Hygiene Promoters ]]&lt;1000,1,0),IF(WWWW[[#This Row],[Total PoP ]]/WWWW[[#This Row],['# Hygiene Promoters ]]&lt;600,1,0))))</f>
        <v>1</v>
      </c>
      <c r="BX145" s="209">
        <f>IF(WWWW[[#This Row],[%HH with access to soap]]&gt;=100%,1,0)</f>
        <v>0</v>
      </c>
      <c r="BY145" s="209">
        <f>IF(WWWW[[#This Row],[% of HHs with access to Sanitary pad more than '#%]]+WWWW[[#This Row],[Ratio of Hyiene promoters to people less than '#]]+WWWW[[#This Row],[% of HHs with access to soap more than '#%]]&gt;=2,WWWW[[#This Row],[Total PoP ]],0)</f>
        <v>0</v>
      </c>
      <c r="BZ145" s="208">
        <f>WWWW[[#This Row],[People adopt basic personal and community hygiene practices]]/WWWW[[#This Row],[Total PoP ]]</f>
        <v>0</v>
      </c>
      <c r="CA145" s="212">
        <f>1-WWWW[[#This Row],[Hygiene Coverage%]]</f>
        <v>1</v>
      </c>
      <c r="CB145" s="211">
        <f>WWWW[[#This Row],['# people reached by regular dedicated hygiene promotion_5]]/WWWW[[#This Row],[Total PoP ]]</f>
        <v>1</v>
      </c>
      <c r="CC145" s="211">
        <f>IF(WWWW[[#This Row],['# HH received soaps]]/WWWW[[#This Row],[Total HH]]&gt;1,1,WWWW[[#This Row],['# HH received soaps]]/WWWW[[#This Row],[Total HH]])</f>
        <v>0</v>
      </c>
      <c r="CD145" s="211">
        <f>IF(WWWW[[#This Row],['# HH received Sanitary Pads]]/WWWW[[#This Row],[Total HH]]&gt;1,1,WWWW[[#This Row],['# HH received Sanitary Pads]]/WWWW[[#This Row],[Total HH]])</f>
        <v>0</v>
      </c>
      <c r="CE145" s="210">
        <f>WWWW[[#This Row],['# HH received soaps]]*5</f>
        <v>0</v>
      </c>
      <c r="CF145" s="210">
        <f>WWWW[[#This Row],['# HH received Sanitary Pads]]*5</f>
        <v>0</v>
      </c>
      <c r="CG145" s="210">
        <f>IF(WWWW[[#This Row],['# People with access to soap]]&gt;WWWW[[#This Row],['# People with access to Sanity Pads]],WWWW[[#This Row],['# People with access to soap]],WWWW[[#This Row],['# People with access to Sanity Pads]])</f>
        <v>0</v>
      </c>
      <c r="CH145" s="209">
        <f>WWWW[[#This Row],[Total HH]]*WWWW[[#This Row],[%HHs with access to functional hand washing stations]]</f>
        <v>0</v>
      </c>
      <c r="CI145" s="699">
        <f>VLOOKUP(WWWW[[#This Row],[Site Name]],SiteDB6[[Site Name]:[CCCM Management]],6,FALSE)</f>
        <v>0</v>
      </c>
      <c r="CJ145" s="699" t="str">
        <f>VLOOKUP(WWWW[[#This Row],[Site Name]],SiteDB6[[Site Name]:[CCCM Focal Agency]],7,FALSE)</f>
        <v>uncovered</v>
      </c>
      <c r="CK145" s="699" t="str">
        <f>VLOOKUP(WWWW[[#This Row],[Site Name]],SiteDB6[[Site Name]:[Location Type]],8,FALSE)</f>
        <v>Camp</v>
      </c>
      <c r="CL145" s="699" t="str">
        <f>VLOOKUP(WWWW[[#This Row],[Site Name]],SiteDB6[[Site Name]:[Location Type 1]],9,FALSE)</f>
        <v>Camp</v>
      </c>
      <c r="CM145" s="699" t="str">
        <f>VLOOKUP(WWWW[[#This Row],[Site Name]],SiteDB6[[Site Name]:[Type of Accommodation]],10,FALSE)</f>
        <v>Camp like setting</v>
      </c>
      <c r="CN145" s="699" t="str">
        <f>VLOOKUP(WWWW[[#This Row],[Site Name]],SiteDB6[[Site Name]:[Ethnic or GCA/NGCA]],11,FALSE)</f>
        <v>GCA</v>
      </c>
      <c r="CO145" s="699">
        <f>VLOOKUP(WWWW[[#This Row],[Site Name]],SiteDB6[[Site Name]:[Lat]],12,FALSE)</f>
        <v>0</v>
      </c>
      <c r="CP145" s="699">
        <f>VLOOKUP(WWWW[[#This Row],[Site Name]],SiteDB6[[Site Name]:[Long]],13,FALSE)</f>
        <v>0</v>
      </c>
      <c r="CQ145" s="699" t="str">
        <f>VLOOKUP(WWWW[[#This Row],[Site Name]],SiteDB6[[Site Name]:[Pcode]],3,FALSE)</f>
        <v>MMR001CMP252</v>
      </c>
      <c r="CR145" s="660" t="str">
        <f t="shared" si="2"/>
        <v>Covered</v>
      </c>
      <c r="CS145" s="660"/>
      <c r="CT145" s="24"/>
      <c r="CU145" s="24"/>
      <c r="CV145" s="24"/>
    </row>
    <row r="146" spans="1:100" ht="15.75" customHeight="1" x14ac:dyDescent="0.25">
      <c r="A146" s="833" t="s">
        <v>3206</v>
      </c>
      <c r="B146" s="206" t="s">
        <v>43</v>
      </c>
      <c r="C146" s="206" t="s">
        <v>44</v>
      </c>
      <c r="D146" s="206" t="s">
        <v>1311</v>
      </c>
      <c r="E146" s="206" t="s">
        <v>1313</v>
      </c>
      <c r="F146" s="206">
        <v>36</v>
      </c>
      <c r="G146" s="209">
        <v>152</v>
      </c>
      <c r="H146" s="206"/>
      <c r="I146" s="206" t="s">
        <v>388</v>
      </c>
      <c r="J146" s="207">
        <v>43465</v>
      </c>
      <c r="K146" s="206">
        <v>0</v>
      </c>
      <c r="L146" s="206" t="s">
        <v>48</v>
      </c>
      <c r="M146" s="208">
        <v>0.7</v>
      </c>
      <c r="N146" s="208">
        <v>0.7</v>
      </c>
      <c r="O146" s="316">
        <v>0</v>
      </c>
      <c r="P146" s="317">
        <v>2</v>
      </c>
      <c r="Q146" s="317">
        <v>3500</v>
      </c>
      <c r="R146" s="318">
        <v>0</v>
      </c>
      <c r="S146" s="318">
        <v>0</v>
      </c>
      <c r="T146" s="318"/>
      <c r="U146" s="318">
        <v>1</v>
      </c>
      <c r="V146" s="318">
        <v>1</v>
      </c>
      <c r="W146" s="318">
        <v>0</v>
      </c>
      <c r="X146" s="318">
        <v>0</v>
      </c>
      <c r="Y146" s="318">
        <v>0</v>
      </c>
      <c r="Z146" s="318" t="s">
        <v>2480</v>
      </c>
      <c r="AA146" s="310">
        <v>8</v>
      </c>
      <c r="AB146" s="310">
        <v>0</v>
      </c>
      <c r="AC146" s="66">
        <v>0</v>
      </c>
      <c r="AD146" s="66"/>
      <c r="AE146" s="310">
        <v>0</v>
      </c>
      <c r="AF146" s="310" t="s">
        <v>283</v>
      </c>
      <c r="AG146" s="311" t="s">
        <v>1358</v>
      </c>
      <c r="AH146" s="311">
        <v>0</v>
      </c>
      <c r="AI146" s="310">
        <v>0</v>
      </c>
      <c r="AJ146" s="310"/>
      <c r="AK146" s="841">
        <v>0</v>
      </c>
      <c r="AL146" s="842" t="s">
        <v>376</v>
      </c>
      <c r="AM146" s="842">
        <v>2</v>
      </c>
      <c r="AN146" s="863">
        <v>0</v>
      </c>
      <c r="AO146" s="863">
        <v>2</v>
      </c>
      <c r="AP146" s="838">
        <v>0</v>
      </c>
      <c r="AQ146" s="843">
        <v>0</v>
      </c>
      <c r="AR146" s="843" t="s">
        <v>282</v>
      </c>
      <c r="AS146" s="843"/>
      <c r="AT146" s="843"/>
      <c r="AU146" s="843"/>
      <c r="AV146" s="844" t="s">
        <v>2796</v>
      </c>
      <c r="AW146" s="208">
        <f>IFERROR(WWWW[[#This Row],['# of Water passed at source]]/WWWW[[#This Row],['# of Water tested at source]],"no test")</f>
        <v>1</v>
      </c>
      <c r="AX146" s="211" t="str">
        <f>IFERROR(WWWW[[#This Row],['# of Water passed at HH]]/WWWW[[#This Row],['# of Water tested at HH]],"no test")</f>
        <v>no test</v>
      </c>
      <c r="AY146" s="210" t="str">
        <f>IF(AND(WWWW[[#This Row],[%of Water samples which passed at water source]]="no test",WWWW[[#This Row],[%Water samples which passed at HH]]="no test"),"No Test","Tested")</f>
        <v>Tested</v>
      </c>
      <c r="AZ14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4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46" s="211">
        <f>IF(WWWW[[#This Row],[Location Type 1]]="Village",WWWW[[#This Row],[Access to safe drinking water for Village]],WWWW[[#This Row],[Access to safe drinking water for Camp]])</f>
        <v>1</v>
      </c>
      <c r="BC146" s="209">
        <f>WWWW[[#This Row],[%Equitable and continuous access to sufficient quantity of safe drinking water]]*WWWW[[#This Row],[Total PoP ]]</f>
        <v>152</v>
      </c>
      <c r="BD146" s="211">
        <f>IF((WWWW[[#This Row],['# Existing protected/fenced ponds ]]*250)/WWWW[[#This Row],[Total PoP ]]&gt;1,1,WWWW[[#This Row],['# Existing protected/fenced ponds ]]*250/WWWW[[#This Row],[Total PoP ]])</f>
        <v>0</v>
      </c>
      <c r="BE146" s="209">
        <f>WWWW[[#This Row],[Access to unimproved water points]]*WWWW[[#This Row],[Total PoP ]]</f>
        <v>0</v>
      </c>
      <c r="BF14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4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152</v>
      </c>
      <c r="BH146" s="209">
        <f>WWWW[[#This Row],['#people Equitable and continuous access to sufficient quantity of domestic water borehole n ponds_2]]/500</f>
        <v>0.30399999999999999</v>
      </c>
      <c r="BI146" s="208">
        <f>1-WWWW[[#This Row],[%Equitable and continuous access to sufficient quantity of domestic water borehole n ponds]]</f>
        <v>0</v>
      </c>
      <c r="BJ146" s="209">
        <f>WWWW[[#This Row],[%equitable and continuous access to sufficient quantity of safe drinking and domestic water''s GAP]]*WWWW[[#This Row],[Total PoP ]]</f>
        <v>0</v>
      </c>
      <c r="BK146" s="210">
        <f>IF(WWWW[[#This Row],[Total required water points]]-WWWW[[#This Row],['#Water points coverage]]&lt;0,0,WWWW[[#This Row],[Total required water points]]-WWWW[[#This Row],['#Water points coverage]])</f>
        <v>0.69599999999999995</v>
      </c>
      <c r="BL146" s="210">
        <f>ROUND(IF(WWWW[[#This Row],[Total PoP ]]&lt;500,1,WWWW[[#This Row],[Total PoP ]]/500),0)</f>
        <v>1</v>
      </c>
      <c r="BM146" s="210">
        <f>WWWW[[#This Row],['# Existing functional latrines]]+WWWW[[#This Row],['# Existing latrines dysfunctional]]</f>
        <v>8</v>
      </c>
      <c r="BN14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46" s="352">
        <f>WWWW[[#This Row],[% people access to functioning Latrine]]*WWWW[[#This Row],[Total PoP ]]</f>
        <v>152</v>
      </c>
      <c r="BP14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46" s="209">
        <f>IF(WWWW[[#This Row],[Total required Latrines]]-WWWW[[#This Row],[Total '# of latrine]]&lt;0,0,WWWW[[#This Row],[Total required Latrines]]-WWWW[[#This Row],[Total '# of latrine]])</f>
        <v>0</v>
      </c>
      <c r="BR146" s="210">
        <f>ROUND(IF(WWWW[[#This Row],[Location Type 1]]="camp",WWWW[[#This Row],[Total PoP ]]/20,WWWW[[#This Row],[Total PoP ]]/6),0)</f>
        <v>8</v>
      </c>
      <c r="BS146" s="212">
        <f>IF(OR(WWWW[[#This Row],['# Existing latrines dysfunctional]]="",WWWW[[#This Row],['# Existing latrines dysfunctional]]=0),0,WWWW[[#This Row],['# Existing latrines dysfunctional]]/WWWW[[#This Row],[Total '# of latrine]])</f>
        <v>0</v>
      </c>
      <c r="BT14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6" s="209">
        <f>IF(500*WWWW[[#This Row],['# Hygiene Promoters ]]&gt;WWWW[[#This Row],[Total PoP ]],WWWW[[#This Row],[Total PoP ]],500*WWWW[[#This Row],['# Hygiene Promoters ]])</f>
        <v>152</v>
      </c>
      <c r="BV146" s="209">
        <f>IF(WWWW[[#This Row],[% of HH with access to Sanitary Pad]]&gt;=100%,1,0)</f>
        <v>0</v>
      </c>
      <c r="BW146" s="209">
        <f>IF(WWWW[[#This Row],[Total PoP ]]=0,0,IF(WWWW[[#This Row],['# Hygiene Promoters ]]=0,0,IF(WWWW[[#This Row],[Location Type 1]]="Village",IF(WWWW[[#This Row],[Total PoP ]]/WWWW[[#This Row],['# Hygiene Promoters ]]&lt;1000,1,0),IF(WWWW[[#This Row],[Total PoP ]]/WWWW[[#This Row],['# Hygiene Promoters ]]&lt;600,1,0))))</f>
        <v>1</v>
      </c>
      <c r="BX146" s="209">
        <f>IF(WWWW[[#This Row],[%HH with access to soap]]&gt;=100%,1,0)</f>
        <v>0</v>
      </c>
      <c r="BY146" s="209">
        <f>IF(WWWW[[#This Row],[% of HHs with access to Sanitary pad more than '#%]]+WWWW[[#This Row],[Ratio of Hyiene promoters to people less than '#]]+WWWW[[#This Row],[% of HHs with access to soap more than '#%]]&gt;=2,WWWW[[#This Row],[Total PoP ]],0)</f>
        <v>0</v>
      </c>
      <c r="BZ146" s="208">
        <f>WWWW[[#This Row],[People adopt basic personal and community hygiene practices]]/WWWW[[#This Row],[Total PoP ]]</f>
        <v>0</v>
      </c>
      <c r="CA146" s="212">
        <f>1-WWWW[[#This Row],[Hygiene Coverage%]]</f>
        <v>1</v>
      </c>
      <c r="CB146" s="211">
        <f>WWWW[[#This Row],['# people reached by regular dedicated hygiene promotion_5]]/WWWW[[#This Row],[Total PoP ]]</f>
        <v>1</v>
      </c>
      <c r="CC146" s="211">
        <f>IF(WWWW[[#This Row],['# HH received soaps]]/WWWW[[#This Row],[Total HH]]&gt;1,1,WWWW[[#This Row],['# HH received soaps]]/WWWW[[#This Row],[Total HH]])</f>
        <v>0</v>
      </c>
      <c r="CD146" s="211">
        <f>IF(WWWW[[#This Row],['# HH received Sanitary Pads]]/WWWW[[#This Row],[Total HH]]&gt;1,1,WWWW[[#This Row],['# HH received Sanitary Pads]]/WWWW[[#This Row],[Total HH]])</f>
        <v>0</v>
      </c>
      <c r="CE146" s="210">
        <f>WWWW[[#This Row],['# HH received soaps]]*5</f>
        <v>0</v>
      </c>
      <c r="CF146" s="210">
        <f>WWWW[[#This Row],['# HH received Sanitary Pads]]*5</f>
        <v>0</v>
      </c>
      <c r="CG146" s="210">
        <f>IF(WWWW[[#This Row],['# People with access to soap]]&gt;WWWW[[#This Row],['# People with access to Sanity Pads]],WWWW[[#This Row],['# People with access to soap]],WWWW[[#This Row],['# People with access to Sanity Pads]])</f>
        <v>0</v>
      </c>
      <c r="CH146" s="209">
        <f>WWWW[[#This Row],[Total HH]]*WWWW[[#This Row],[%HHs with access to functional hand washing stations]]</f>
        <v>0</v>
      </c>
      <c r="CI146" s="699">
        <f>VLOOKUP(WWWW[[#This Row],[Site Name]],SiteDB6[[Site Name]:[CCCM Management]],6,FALSE)</f>
        <v>0</v>
      </c>
      <c r="CJ146" s="699" t="str">
        <f>VLOOKUP(WWWW[[#This Row],[Site Name]],SiteDB6[[Site Name]:[CCCM Focal Agency]],7,FALSE)</f>
        <v>uncovered</v>
      </c>
      <c r="CK146" s="699" t="str">
        <f>VLOOKUP(WWWW[[#This Row],[Site Name]],SiteDB6[[Site Name]:[Location Type]],8,FALSE)</f>
        <v>Camp</v>
      </c>
      <c r="CL146" s="699" t="str">
        <f>VLOOKUP(WWWW[[#This Row],[Site Name]],SiteDB6[[Site Name]:[Location Type 1]],9,FALSE)</f>
        <v>Camp</v>
      </c>
      <c r="CM146" s="699" t="str">
        <f>VLOOKUP(WWWW[[#This Row],[Site Name]],SiteDB6[[Site Name]:[Type of Accommodation]],10,FALSE)</f>
        <v>Camp like setting</v>
      </c>
      <c r="CN146" s="699" t="str">
        <f>VLOOKUP(WWWW[[#This Row],[Site Name]],SiteDB6[[Site Name]:[Ethnic or GCA/NGCA]],11,FALSE)</f>
        <v>GCA</v>
      </c>
      <c r="CO146" s="699">
        <f>VLOOKUP(WWWW[[#This Row],[Site Name]],SiteDB6[[Site Name]:[Lat]],12,FALSE)</f>
        <v>0</v>
      </c>
      <c r="CP146" s="699">
        <f>VLOOKUP(WWWW[[#This Row],[Site Name]],SiteDB6[[Site Name]:[Long]],13,FALSE)</f>
        <v>0</v>
      </c>
      <c r="CQ146" s="699" t="str">
        <f>VLOOKUP(WWWW[[#This Row],[Site Name]],SiteDB6[[Site Name]:[Pcode]],3,FALSE)</f>
        <v>MMR001CMP254</v>
      </c>
      <c r="CR146" s="660" t="str">
        <f t="shared" si="2"/>
        <v>Covered</v>
      </c>
      <c r="CS146" s="660"/>
      <c r="CT146" s="24"/>
      <c r="CU146" s="24"/>
      <c r="CV146" s="24"/>
    </row>
    <row r="147" spans="1:100" ht="15.75" customHeight="1" x14ac:dyDescent="0.25">
      <c r="A147" s="833" t="s">
        <v>3206</v>
      </c>
      <c r="B147" s="206" t="s">
        <v>43</v>
      </c>
      <c r="C147" s="206" t="s">
        <v>44</v>
      </c>
      <c r="D147" s="206" t="s">
        <v>1311</v>
      </c>
      <c r="E147" s="206" t="s">
        <v>2955</v>
      </c>
      <c r="F147" s="206">
        <v>127</v>
      </c>
      <c r="G147" s="209">
        <v>450</v>
      </c>
      <c r="H147" s="206"/>
      <c r="I147" s="206" t="s">
        <v>388</v>
      </c>
      <c r="J147" s="207">
        <v>43465</v>
      </c>
      <c r="K147" s="206">
        <v>0</v>
      </c>
      <c r="L147" s="206" t="s">
        <v>48</v>
      </c>
      <c r="M147" s="208">
        <v>0.7</v>
      </c>
      <c r="N147" s="208">
        <v>0.7</v>
      </c>
      <c r="O147" s="316">
        <v>1</v>
      </c>
      <c r="P147" s="317">
        <v>1</v>
      </c>
      <c r="Q147" s="317">
        <v>2000</v>
      </c>
      <c r="R147" s="318">
        <v>0</v>
      </c>
      <c r="S147" s="318">
        <v>0</v>
      </c>
      <c r="T147" s="318"/>
      <c r="U147" s="318">
        <v>1</v>
      </c>
      <c r="V147" s="318">
        <v>1</v>
      </c>
      <c r="W147" s="318">
        <v>0</v>
      </c>
      <c r="X147" s="318">
        <v>0</v>
      </c>
      <c r="Y147" s="318">
        <v>0</v>
      </c>
      <c r="Z147" s="318" t="s">
        <v>2480</v>
      </c>
      <c r="AA147" s="310">
        <v>19</v>
      </c>
      <c r="AB147" s="310">
        <v>0</v>
      </c>
      <c r="AC147" s="66">
        <v>0</v>
      </c>
      <c r="AD147" s="66"/>
      <c r="AE147" s="310">
        <v>0</v>
      </c>
      <c r="AF147" s="310" t="s">
        <v>283</v>
      </c>
      <c r="AG147" s="311" t="s">
        <v>1358</v>
      </c>
      <c r="AH147" s="311">
        <v>0</v>
      </c>
      <c r="AI147" s="310">
        <v>0</v>
      </c>
      <c r="AJ147" s="310"/>
      <c r="AK147" s="841">
        <v>0</v>
      </c>
      <c r="AL147" s="842" t="s">
        <v>376</v>
      </c>
      <c r="AM147" s="842">
        <v>4</v>
      </c>
      <c r="AN147" s="863">
        <v>0</v>
      </c>
      <c r="AO147" s="863">
        <v>2</v>
      </c>
      <c r="AP147" s="838">
        <v>0</v>
      </c>
      <c r="AQ147" s="843">
        <v>0</v>
      </c>
      <c r="AR147" s="843" t="s">
        <v>282</v>
      </c>
      <c r="AS147" s="843"/>
      <c r="AT147" s="843"/>
      <c r="AU147" s="843"/>
      <c r="AV147" s="844" t="s">
        <v>2796</v>
      </c>
      <c r="AW147" s="208">
        <f>IFERROR(WWWW[[#This Row],['# of Water passed at source]]/WWWW[[#This Row],['# of Water tested at source]],"no test")</f>
        <v>1</v>
      </c>
      <c r="AX147" s="211" t="str">
        <f>IFERROR(WWWW[[#This Row],['# of Water passed at HH]]/WWWW[[#This Row],['# of Water tested at HH]],"no test")</f>
        <v>no test</v>
      </c>
      <c r="AY147" s="210" t="str">
        <f>IF(AND(WWWW[[#This Row],[%of Water samples which passed at water source]]="no test",WWWW[[#This Row],[%Water samples which passed at HH]]="no test"),"No Test","Tested")</f>
        <v>Tested</v>
      </c>
      <c r="AZ14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4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47" s="211">
        <f>IF(WWWW[[#This Row],[Location Type 1]]="Village",WWWW[[#This Row],[Access to safe drinking water for Village]],WWWW[[#This Row],[Access to safe drinking water for Camp]])</f>
        <v>1</v>
      </c>
      <c r="BC147" s="209">
        <f>WWWW[[#This Row],[%Equitable and continuous access to sufficient quantity of safe drinking water]]*WWWW[[#This Row],[Total PoP ]]</f>
        <v>450</v>
      </c>
      <c r="BD147" s="211">
        <f>IF((WWWW[[#This Row],['# Existing protected/fenced ponds ]]*250)/WWWW[[#This Row],[Total PoP ]]&gt;1,1,WWWW[[#This Row],['# Existing protected/fenced ponds ]]*250/WWWW[[#This Row],[Total PoP ]])</f>
        <v>0</v>
      </c>
      <c r="BE147" s="209">
        <f>WWWW[[#This Row],[Access to unimproved water points]]*WWWW[[#This Row],[Total PoP ]]</f>
        <v>0</v>
      </c>
      <c r="BF14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4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450</v>
      </c>
      <c r="BH147" s="209">
        <f>WWWW[[#This Row],['#people Equitable and continuous access to sufficient quantity of domestic water borehole n ponds_2]]/500</f>
        <v>0.9</v>
      </c>
      <c r="BI147" s="208">
        <f>1-WWWW[[#This Row],[%Equitable and continuous access to sufficient quantity of domestic water borehole n ponds]]</f>
        <v>0</v>
      </c>
      <c r="BJ147" s="209">
        <f>WWWW[[#This Row],[%equitable and continuous access to sufficient quantity of safe drinking and domestic water''s GAP]]*WWWW[[#This Row],[Total PoP ]]</f>
        <v>0</v>
      </c>
      <c r="BK147" s="210">
        <f>IF(WWWW[[#This Row],[Total required water points]]-WWWW[[#This Row],['#Water points coverage]]&lt;0,0,WWWW[[#This Row],[Total required water points]]-WWWW[[#This Row],['#Water points coverage]])</f>
        <v>9.9999999999999978E-2</v>
      </c>
      <c r="BL147" s="210">
        <f>ROUND(IF(WWWW[[#This Row],[Total PoP ]]&lt;500,1,WWWW[[#This Row],[Total PoP ]]/500),0)</f>
        <v>1</v>
      </c>
      <c r="BM147" s="210">
        <f>WWWW[[#This Row],['# Existing functional latrines]]+WWWW[[#This Row],['# Existing latrines dysfunctional]]</f>
        <v>19</v>
      </c>
      <c r="BN14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0.84444444444444444</v>
      </c>
      <c r="BO147" s="352">
        <f>WWWW[[#This Row],[% people access to functioning Latrine]]*WWWW[[#This Row],[Total PoP ]]</f>
        <v>380</v>
      </c>
      <c r="BP14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0.17777777777777778</v>
      </c>
      <c r="BQ147" s="209">
        <f>IF(WWWW[[#This Row],[Total required Latrines]]-WWWW[[#This Row],[Total '# of latrine]]&lt;0,0,WWWW[[#This Row],[Total required Latrines]]-WWWW[[#This Row],[Total '# of latrine]])</f>
        <v>4</v>
      </c>
      <c r="BR147" s="210">
        <f>ROUND(IF(WWWW[[#This Row],[Location Type 1]]="camp",WWWW[[#This Row],[Total PoP ]]/20,WWWW[[#This Row],[Total PoP ]]/6),0)</f>
        <v>23</v>
      </c>
      <c r="BS147" s="212">
        <f>IF(OR(WWWW[[#This Row],['# Existing latrines dysfunctional]]="",WWWW[[#This Row],['# Existing latrines dysfunctional]]=0),0,WWWW[[#This Row],['# Existing latrines dysfunctional]]/WWWW[[#This Row],[Total '# of latrine]])</f>
        <v>0</v>
      </c>
      <c r="BT14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7" s="209">
        <f>IF(500*WWWW[[#This Row],['# Hygiene Promoters ]]&gt;WWWW[[#This Row],[Total PoP ]],WWWW[[#This Row],[Total PoP ]],500*WWWW[[#This Row],['# Hygiene Promoters ]])</f>
        <v>450</v>
      </c>
      <c r="BV147" s="209">
        <f>IF(WWWW[[#This Row],[% of HH with access to Sanitary Pad]]&gt;=100%,1,0)</f>
        <v>0</v>
      </c>
      <c r="BW147" s="209">
        <f>IF(WWWW[[#This Row],[Total PoP ]]=0,0,IF(WWWW[[#This Row],['# Hygiene Promoters ]]=0,0,IF(WWWW[[#This Row],[Location Type 1]]="Village",IF(WWWW[[#This Row],[Total PoP ]]/WWWW[[#This Row],['# Hygiene Promoters ]]&lt;1000,1,0),IF(WWWW[[#This Row],[Total PoP ]]/WWWW[[#This Row],['# Hygiene Promoters ]]&lt;600,1,0))))</f>
        <v>1</v>
      </c>
      <c r="BX147" s="209">
        <f>IF(WWWW[[#This Row],[%HH with access to soap]]&gt;=100%,1,0)</f>
        <v>0</v>
      </c>
      <c r="BY147" s="209">
        <f>IF(WWWW[[#This Row],[% of HHs with access to Sanitary pad more than '#%]]+WWWW[[#This Row],[Ratio of Hyiene promoters to people less than '#]]+WWWW[[#This Row],[% of HHs with access to soap more than '#%]]&gt;=2,WWWW[[#This Row],[Total PoP ]],0)</f>
        <v>0</v>
      </c>
      <c r="BZ147" s="208">
        <f>WWWW[[#This Row],[People adopt basic personal and community hygiene practices]]/WWWW[[#This Row],[Total PoP ]]</f>
        <v>0</v>
      </c>
      <c r="CA147" s="212">
        <f>1-WWWW[[#This Row],[Hygiene Coverage%]]</f>
        <v>1</v>
      </c>
      <c r="CB147" s="211">
        <f>WWWW[[#This Row],['# people reached by regular dedicated hygiene promotion_5]]/WWWW[[#This Row],[Total PoP ]]</f>
        <v>1</v>
      </c>
      <c r="CC147" s="211">
        <f>IF(WWWW[[#This Row],['# HH received soaps]]/WWWW[[#This Row],[Total HH]]&gt;1,1,WWWW[[#This Row],['# HH received soaps]]/WWWW[[#This Row],[Total HH]])</f>
        <v>0</v>
      </c>
      <c r="CD147" s="211">
        <f>IF(WWWW[[#This Row],['# HH received Sanitary Pads]]/WWWW[[#This Row],[Total HH]]&gt;1,1,WWWW[[#This Row],['# HH received Sanitary Pads]]/WWWW[[#This Row],[Total HH]])</f>
        <v>0</v>
      </c>
      <c r="CE147" s="210">
        <f>WWWW[[#This Row],['# HH received soaps]]*5</f>
        <v>0</v>
      </c>
      <c r="CF147" s="210">
        <f>WWWW[[#This Row],['# HH received Sanitary Pads]]*5</f>
        <v>0</v>
      </c>
      <c r="CG147" s="210">
        <f>IF(WWWW[[#This Row],['# People with access to soap]]&gt;WWWW[[#This Row],['# People with access to Sanity Pads]],WWWW[[#This Row],['# People with access to soap]],WWWW[[#This Row],['# People with access to Sanity Pads]])</f>
        <v>0</v>
      </c>
      <c r="CH147" s="209">
        <f>WWWW[[#This Row],[Total HH]]*WWWW[[#This Row],[%HHs with access to functional hand washing stations]]</f>
        <v>0</v>
      </c>
      <c r="CI147" s="699">
        <f>VLOOKUP(WWWW[[#This Row],[Site Name]],SiteDB6[[Site Name]:[CCCM Management]],6,FALSE)</f>
        <v>0</v>
      </c>
      <c r="CJ147" s="699" t="str">
        <f>VLOOKUP(WWWW[[#This Row],[Site Name]],SiteDB6[[Site Name]:[CCCM Focal Agency]],7,FALSE)</f>
        <v>uncovered</v>
      </c>
      <c r="CK147" s="699" t="str">
        <f>VLOOKUP(WWWW[[#This Row],[Site Name]],SiteDB6[[Site Name]:[Location Type]],8,FALSE)</f>
        <v>Camp</v>
      </c>
      <c r="CL147" s="699" t="str">
        <f>VLOOKUP(WWWW[[#This Row],[Site Name]],SiteDB6[[Site Name]:[Location Type 1]],9,FALSE)</f>
        <v>Camp</v>
      </c>
      <c r="CM147" s="699" t="str">
        <f>VLOOKUP(WWWW[[#This Row],[Site Name]],SiteDB6[[Site Name]:[Type of Accommodation]],10,FALSE)</f>
        <v>Camp</v>
      </c>
      <c r="CN147" s="699" t="str">
        <f>VLOOKUP(WWWW[[#This Row],[Site Name]],SiteDB6[[Site Name]:[Ethnic or GCA/NGCA]],11,FALSE)</f>
        <v>GCA</v>
      </c>
      <c r="CO147" s="699">
        <f>VLOOKUP(WWWW[[#This Row],[Site Name]],SiteDB6[[Site Name]:[Lat]],12,FALSE)</f>
        <v>0</v>
      </c>
      <c r="CP147" s="699">
        <f>VLOOKUP(WWWW[[#This Row],[Site Name]],SiteDB6[[Site Name]:[Long]],13,FALSE)</f>
        <v>0</v>
      </c>
      <c r="CQ147" s="699" t="str">
        <f>VLOOKUP(WWWW[[#This Row],[Site Name]],SiteDB6[[Site Name]:[Pcode]],3,FALSE)</f>
        <v>MMR001CMP253</v>
      </c>
      <c r="CR147" s="660" t="str">
        <f t="shared" si="2"/>
        <v>Covered</v>
      </c>
      <c r="CS147" s="660"/>
      <c r="CT147" s="24"/>
      <c r="CU147" s="24"/>
      <c r="CV147" s="24"/>
    </row>
    <row r="148" spans="1:100" ht="15.75" customHeight="1" x14ac:dyDescent="0.25">
      <c r="A148" s="833" t="s">
        <v>3206</v>
      </c>
      <c r="B148" s="206" t="s">
        <v>43</v>
      </c>
      <c r="C148" s="206" t="s">
        <v>44</v>
      </c>
      <c r="D148" s="206" t="s">
        <v>1311</v>
      </c>
      <c r="E148" s="206" t="s">
        <v>1315</v>
      </c>
      <c r="F148" s="206">
        <v>31</v>
      </c>
      <c r="G148" s="209">
        <v>129</v>
      </c>
      <c r="H148" s="206"/>
      <c r="I148" s="206" t="s">
        <v>388</v>
      </c>
      <c r="J148" s="207">
        <v>43465</v>
      </c>
      <c r="K148" s="206">
        <v>0</v>
      </c>
      <c r="L148" s="206" t="s">
        <v>48</v>
      </c>
      <c r="M148" s="208">
        <v>0.7</v>
      </c>
      <c r="N148" s="208">
        <v>0.7</v>
      </c>
      <c r="O148" s="316">
        <v>1</v>
      </c>
      <c r="P148" s="317">
        <v>4</v>
      </c>
      <c r="Q148" s="317">
        <v>10000</v>
      </c>
      <c r="R148" s="318">
        <v>0</v>
      </c>
      <c r="S148" s="318">
        <v>0</v>
      </c>
      <c r="T148" s="318"/>
      <c r="U148" s="318">
        <v>1</v>
      </c>
      <c r="V148" s="318">
        <v>0</v>
      </c>
      <c r="W148" s="318">
        <v>0</v>
      </c>
      <c r="X148" s="318">
        <v>0</v>
      </c>
      <c r="Y148" s="318">
        <v>0</v>
      </c>
      <c r="Z148" s="318" t="s">
        <v>2480</v>
      </c>
      <c r="AA148" s="310">
        <v>33</v>
      </c>
      <c r="AB148" s="310">
        <v>0</v>
      </c>
      <c r="AC148" s="66">
        <v>0</v>
      </c>
      <c r="AD148" s="66"/>
      <c r="AE148" s="310">
        <v>0</v>
      </c>
      <c r="AF148" s="310" t="s">
        <v>283</v>
      </c>
      <c r="AG148" s="311" t="s">
        <v>1358</v>
      </c>
      <c r="AH148" s="311">
        <v>0</v>
      </c>
      <c r="AI148" s="310">
        <v>0</v>
      </c>
      <c r="AJ148" s="310"/>
      <c r="AK148" s="841">
        <v>0</v>
      </c>
      <c r="AL148" s="842" t="s">
        <v>376</v>
      </c>
      <c r="AM148" s="842">
        <v>3</v>
      </c>
      <c r="AN148" s="863">
        <v>2</v>
      </c>
      <c r="AO148" s="863">
        <v>2</v>
      </c>
      <c r="AP148" s="838">
        <v>0</v>
      </c>
      <c r="AQ148" s="843">
        <v>0</v>
      </c>
      <c r="AR148" s="843" t="s">
        <v>282</v>
      </c>
      <c r="AS148" s="843"/>
      <c r="AT148" s="843"/>
      <c r="AU148" s="843"/>
      <c r="AV148" s="844" t="s">
        <v>2796</v>
      </c>
      <c r="AW148" s="208">
        <f>IFERROR(WWWW[[#This Row],['# of Water passed at source]]/WWWW[[#This Row],['# of Water tested at source]],"no test")</f>
        <v>0</v>
      </c>
      <c r="AX148" s="211" t="str">
        <f>IFERROR(WWWW[[#This Row],['# of Water passed at HH]]/WWWW[[#This Row],['# of Water tested at HH]],"no test")</f>
        <v>no test</v>
      </c>
      <c r="AY148" s="210" t="str">
        <f>IF(AND(WWWW[[#This Row],[%of Water samples which passed at water source]]="no test",WWWW[[#This Row],[%Water samples which passed at HH]]="no test"),"No Test","Tested")</f>
        <v>Tested</v>
      </c>
      <c r="AZ14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4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48" s="211">
        <f>IF(WWWW[[#This Row],[Location Type 1]]="Village",WWWW[[#This Row],[Access to safe drinking water for Village]],WWWW[[#This Row],[Access to safe drinking water for Camp]])</f>
        <v>1</v>
      </c>
      <c r="BC148" s="209">
        <f>WWWW[[#This Row],[%Equitable and continuous access to sufficient quantity of safe drinking water]]*WWWW[[#This Row],[Total PoP ]]</f>
        <v>129</v>
      </c>
      <c r="BD148" s="211">
        <f>IF((WWWW[[#This Row],['# Existing protected/fenced ponds ]]*250)/WWWW[[#This Row],[Total PoP ]]&gt;1,1,WWWW[[#This Row],['# Existing protected/fenced ponds ]]*250/WWWW[[#This Row],[Total PoP ]])</f>
        <v>0</v>
      </c>
      <c r="BE148" s="209">
        <f>WWWW[[#This Row],[Access to unimproved water points]]*WWWW[[#This Row],[Total PoP ]]</f>
        <v>0</v>
      </c>
      <c r="BF14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4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129</v>
      </c>
      <c r="BH148" s="209">
        <f>WWWW[[#This Row],['#people Equitable and continuous access to sufficient quantity of domestic water borehole n ponds_2]]/500</f>
        <v>0.25800000000000001</v>
      </c>
      <c r="BI148" s="208">
        <f>1-WWWW[[#This Row],[%Equitable and continuous access to sufficient quantity of domestic water borehole n ponds]]</f>
        <v>0</v>
      </c>
      <c r="BJ148" s="209">
        <f>WWWW[[#This Row],[%equitable and continuous access to sufficient quantity of safe drinking and domestic water''s GAP]]*WWWW[[#This Row],[Total PoP ]]</f>
        <v>0</v>
      </c>
      <c r="BK148" s="210">
        <f>IF(WWWW[[#This Row],[Total required water points]]-WWWW[[#This Row],['#Water points coverage]]&lt;0,0,WWWW[[#This Row],[Total required water points]]-WWWW[[#This Row],['#Water points coverage]])</f>
        <v>0.74199999999999999</v>
      </c>
      <c r="BL148" s="210">
        <f>ROUND(IF(WWWW[[#This Row],[Total PoP ]]&lt;500,1,WWWW[[#This Row],[Total PoP ]]/500),0)</f>
        <v>1</v>
      </c>
      <c r="BM148" s="210">
        <f>WWWW[[#This Row],['# Existing functional latrines]]+WWWW[[#This Row],['# Existing latrines dysfunctional]]</f>
        <v>33</v>
      </c>
      <c r="BN14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48" s="352">
        <f>WWWW[[#This Row],[% people access to functioning Latrine]]*WWWW[[#This Row],[Total PoP ]]</f>
        <v>129</v>
      </c>
      <c r="BP14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48" s="209">
        <f>IF(WWWW[[#This Row],[Total required Latrines]]-WWWW[[#This Row],[Total '# of latrine]]&lt;0,0,WWWW[[#This Row],[Total required Latrines]]-WWWW[[#This Row],[Total '# of latrine]])</f>
        <v>0</v>
      </c>
      <c r="BR148" s="210">
        <f>ROUND(IF(WWWW[[#This Row],[Location Type 1]]="camp",WWWW[[#This Row],[Total PoP ]]/20,WWWW[[#This Row],[Total PoP ]]/6),0)</f>
        <v>6</v>
      </c>
      <c r="BS148" s="212">
        <f>IF(OR(WWWW[[#This Row],['# Existing latrines dysfunctional]]="",WWWW[[#This Row],['# Existing latrines dysfunctional]]=0),0,WWWW[[#This Row],['# Existing latrines dysfunctional]]/WWWW[[#This Row],[Total '# of latrine]])</f>
        <v>0</v>
      </c>
      <c r="BT14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8" s="209">
        <f>IF(500*WWWW[[#This Row],['# Hygiene Promoters ]]&gt;WWWW[[#This Row],[Total PoP ]],WWWW[[#This Row],[Total PoP ]],500*WWWW[[#This Row],['# Hygiene Promoters ]])</f>
        <v>129</v>
      </c>
      <c r="BV148" s="209">
        <f>IF(WWWW[[#This Row],[% of HH with access to Sanitary Pad]]&gt;=100%,1,0)</f>
        <v>0</v>
      </c>
      <c r="BW148" s="209">
        <f>IF(WWWW[[#This Row],[Total PoP ]]=0,0,IF(WWWW[[#This Row],['# Hygiene Promoters ]]=0,0,IF(WWWW[[#This Row],[Location Type 1]]="Village",IF(WWWW[[#This Row],[Total PoP ]]/WWWW[[#This Row],['# Hygiene Promoters ]]&lt;1000,1,0),IF(WWWW[[#This Row],[Total PoP ]]/WWWW[[#This Row],['# Hygiene Promoters ]]&lt;600,1,0))))</f>
        <v>1</v>
      </c>
      <c r="BX148" s="209">
        <f>IF(WWWW[[#This Row],[%HH with access to soap]]&gt;=100%,1,0)</f>
        <v>0</v>
      </c>
      <c r="BY148" s="209">
        <f>IF(WWWW[[#This Row],[% of HHs with access to Sanitary pad more than '#%]]+WWWW[[#This Row],[Ratio of Hyiene promoters to people less than '#]]+WWWW[[#This Row],[% of HHs with access to soap more than '#%]]&gt;=2,WWWW[[#This Row],[Total PoP ]],0)</f>
        <v>0</v>
      </c>
      <c r="BZ148" s="208">
        <f>WWWW[[#This Row],[People adopt basic personal and community hygiene practices]]/WWWW[[#This Row],[Total PoP ]]</f>
        <v>0</v>
      </c>
      <c r="CA148" s="212">
        <f>1-WWWW[[#This Row],[Hygiene Coverage%]]</f>
        <v>1</v>
      </c>
      <c r="CB148" s="211">
        <f>WWWW[[#This Row],['# people reached by regular dedicated hygiene promotion_5]]/WWWW[[#This Row],[Total PoP ]]</f>
        <v>1</v>
      </c>
      <c r="CC148" s="211">
        <f>IF(WWWW[[#This Row],['# HH received soaps]]/WWWW[[#This Row],[Total HH]]&gt;1,1,WWWW[[#This Row],['# HH received soaps]]/WWWW[[#This Row],[Total HH]])</f>
        <v>0</v>
      </c>
      <c r="CD148" s="211">
        <f>IF(WWWW[[#This Row],['# HH received Sanitary Pads]]/WWWW[[#This Row],[Total HH]]&gt;1,1,WWWW[[#This Row],['# HH received Sanitary Pads]]/WWWW[[#This Row],[Total HH]])</f>
        <v>0</v>
      </c>
      <c r="CE148" s="210">
        <f>WWWW[[#This Row],['# HH received soaps]]*5</f>
        <v>0</v>
      </c>
      <c r="CF148" s="210">
        <f>WWWW[[#This Row],['# HH received Sanitary Pads]]*5</f>
        <v>0</v>
      </c>
      <c r="CG148" s="210">
        <f>IF(WWWW[[#This Row],['# People with access to soap]]&gt;WWWW[[#This Row],['# People with access to Sanity Pads]],WWWW[[#This Row],['# People with access to soap]],WWWW[[#This Row],['# People with access to Sanity Pads]])</f>
        <v>0</v>
      </c>
      <c r="CH148" s="209">
        <f>WWWW[[#This Row],[Total HH]]*WWWW[[#This Row],[%HHs with access to functional hand washing stations]]</f>
        <v>0</v>
      </c>
      <c r="CI148" s="699">
        <f>VLOOKUP(WWWW[[#This Row],[Site Name]],SiteDB6[[Site Name]:[CCCM Management]],6,FALSE)</f>
        <v>0</v>
      </c>
      <c r="CJ148" s="699" t="str">
        <f>VLOOKUP(WWWW[[#This Row],[Site Name]],SiteDB6[[Site Name]:[CCCM Focal Agency]],7,FALSE)</f>
        <v>uncovered</v>
      </c>
      <c r="CK148" s="699" t="str">
        <f>VLOOKUP(WWWW[[#This Row],[Site Name]],SiteDB6[[Site Name]:[Location Type]],8,FALSE)</f>
        <v>Camp</v>
      </c>
      <c r="CL148" s="699" t="str">
        <f>VLOOKUP(WWWW[[#This Row],[Site Name]],SiteDB6[[Site Name]:[Location Type 1]],9,FALSE)</f>
        <v>Camp</v>
      </c>
      <c r="CM148" s="699" t="str">
        <f>VLOOKUP(WWWW[[#This Row],[Site Name]],SiteDB6[[Site Name]:[Type of Accommodation]],10,FALSE)</f>
        <v>Camp like setting</v>
      </c>
      <c r="CN148" s="699" t="str">
        <f>VLOOKUP(WWWW[[#This Row],[Site Name]],SiteDB6[[Site Name]:[Ethnic or GCA/NGCA]],11,FALSE)</f>
        <v>GCA</v>
      </c>
      <c r="CO148" s="699">
        <f>VLOOKUP(WWWW[[#This Row],[Site Name]],SiteDB6[[Site Name]:[Lat]],12,FALSE)</f>
        <v>0</v>
      </c>
      <c r="CP148" s="699">
        <f>VLOOKUP(WWWW[[#This Row],[Site Name]],SiteDB6[[Site Name]:[Long]],13,FALSE)</f>
        <v>0</v>
      </c>
      <c r="CQ148" s="699" t="str">
        <f>VLOOKUP(WWWW[[#This Row],[Site Name]],SiteDB6[[Site Name]:[Pcode]],3,FALSE)</f>
        <v>MMR001CMP251</v>
      </c>
      <c r="CR148" s="660" t="str">
        <f t="shared" si="2"/>
        <v>Covered</v>
      </c>
      <c r="CS148" s="660"/>
      <c r="CT148" s="24"/>
      <c r="CU148" s="24"/>
      <c r="CV148" s="24"/>
    </row>
    <row r="149" spans="1:100" ht="15.75" customHeight="1" x14ac:dyDescent="0.25">
      <c r="A149" s="833" t="s">
        <v>3206</v>
      </c>
      <c r="B149" s="206" t="s">
        <v>43</v>
      </c>
      <c r="C149" s="206" t="s">
        <v>44</v>
      </c>
      <c r="D149" s="206" t="s">
        <v>288</v>
      </c>
      <c r="E149" s="206" t="s">
        <v>383</v>
      </c>
      <c r="F149" s="206">
        <v>130</v>
      </c>
      <c r="G149" s="209">
        <v>527</v>
      </c>
      <c r="H149" s="206"/>
      <c r="I149" s="206" t="s">
        <v>372</v>
      </c>
      <c r="J149" s="207">
        <v>43465</v>
      </c>
      <c r="K149" s="206">
        <v>0</v>
      </c>
      <c r="L149" s="206" t="s">
        <v>2452</v>
      </c>
      <c r="M149" s="208">
        <v>0.6</v>
      </c>
      <c r="N149" s="208">
        <v>0.3</v>
      </c>
      <c r="O149" s="316">
        <v>0</v>
      </c>
      <c r="P149" s="317">
        <v>0</v>
      </c>
      <c r="Q149" s="317">
        <v>12000</v>
      </c>
      <c r="R149" s="318">
        <v>0</v>
      </c>
      <c r="S149" s="318">
        <v>8</v>
      </c>
      <c r="T149" s="318">
        <v>2</v>
      </c>
      <c r="U149" s="318">
        <v>0</v>
      </c>
      <c r="V149" s="318">
        <v>0</v>
      </c>
      <c r="W149" s="318">
        <v>0</v>
      </c>
      <c r="X149" s="318">
        <v>0</v>
      </c>
      <c r="Y149" s="318">
        <v>0</v>
      </c>
      <c r="Z149" s="318"/>
      <c r="AA149" s="310">
        <v>90</v>
      </c>
      <c r="AB149" s="310">
        <v>0</v>
      </c>
      <c r="AC149" s="66">
        <v>0</v>
      </c>
      <c r="AD149" s="66"/>
      <c r="AE149" s="310">
        <v>25</v>
      </c>
      <c r="AF149" s="310" t="s">
        <v>283</v>
      </c>
      <c r="AG149" s="311" t="s">
        <v>1358</v>
      </c>
      <c r="AH149" s="311">
        <v>0</v>
      </c>
      <c r="AI149" s="310">
        <v>0</v>
      </c>
      <c r="AJ149" s="310"/>
      <c r="AK149" s="841">
        <v>0</v>
      </c>
      <c r="AL149" s="842" t="s">
        <v>376</v>
      </c>
      <c r="AM149" s="842">
        <v>0</v>
      </c>
      <c r="AN149" s="863">
        <v>2</v>
      </c>
      <c r="AO149" s="863">
        <v>2</v>
      </c>
      <c r="AP149" s="838">
        <v>0</v>
      </c>
      <c r="AQ149" s="843">
        <v>0</v>
      </c>
      <c r="AR149" s="843" t="s">
        <v>282</v>
      </c>
      <c r="AS149" s="843"/>
      <c r="AT149" s="843"/>
      <c r="AU149" s="843"/>
      <c r="AV149" s="844"/>
      <c r="AW149" s="208" t="str">
        <f>IFERROR(WWWW[[#This Row],['# of Water passed at source]]/WWWW[[#This Row],['# of Water tested at source]],"no test")</f>
        <v>no test</v>
      </c>
      <c r="AX149" s="211" t="str">
        <f>IFERROR(WWWW[[#This Row],['# of Water passed at HH]]/WWWW[[#This Row],['# of Water tested at HH]],"no test")</f>
        <v>no test</v>
      </c>
      <c r="AY149" s="210" t="str">
        <f>IF(AND(WWWW[[#This Row],[%of Water samples which passed at water source]]="no test",WWWW[[#This Row],[%Water samples which passed at HH]]="no test"),"No Test","Tested")</f>
        <v>No Test</v>
      </c>
      <c r="AZ14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4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49" s="211">
        <f>IF(WWWW[[#This Row],[Location Type 1]]="Village",WWWW[[#This Row],[Access to safe drinking water for Village]],WWWW[[#This Row],[Access to safe drinking water for Camp]])</f>
        <v>1</v>
      </c>
      <c r="BC149" s="209">
        <f>WWWW[[#This Row],[%Equitable and continuous access to sufficient quantity of safe drinking water]]*WWWW[[#This Row],[Total PoP ]]</f>
        <v>527</v>
      </c>
      <c r="BD149" s="211">
        <f>IF((WWWW[[#This Row],['# Existing protected/fenced ponds ]]*250)/WWWW[[#This Row],[Total PoP ]]&gt;1,1,WWWW[[#This Row],['# Existing protected/fenced ponds ]]*250/WWWW[[#This Row],[Total PoP ]])</f>
        <v>0</v>
      </c>
      <c r="BE149" s="209">
        <f>WWWW[[#This Row],[Access to unimproved water points]]*WWWW[[#This Row],[Total PoP ]]</f>
        <v>0</v>
      </c>
      <c r="BF14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4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527</v>
      </c>
      <c r="BH149" s="209">
        <f>WWWW[[#This Row],['#people Equitable and continuous access to sufficient quantity of domestic water borehole n ponds_2]]/500</f>
        <v>1.054</v>
      </c>
      <c r="BI149" s="208">
        <f>1-WWWW[[#This Row],[%Equitable and continuous access to sufficient quantity of domestic water borehole n ponds]]</f>
        <v>0</v>
      </c>
      <c r="BJ149" s="209">
        <f>WWWW[[#This Row],[%equitable and continuous access to sufficient quantity of safe drinking and domestic water''s GAP]]*WWWW[[#This Row],[Total PoP ]]</f>
        <v>0</v>
      </c>
      <c r="BK149" s="210">
        <f>IF(WWWW[[#This Row],[Total required water points]]-WWWW[[#This Row],['#Water points coverage]]&lt;0,0,WWWW[[#This Row],[Total required water points]]-WWWW[[#This Row],['#Water points coverage]])</f>
        <v>0</v>
      </c>
      <c r="BL149" s="210">
        <f>ROUND(IF(WWWW[[#This Row],[Total PoP ]]&lt;500,1,WWWW[[#This Row],[Total PoP ]]/500),0)</f>
        <v>1</v>
      </c>
      <c r="BM149" s="210">
        <f>WWWW[[#This Row],['# Existing functional latrines]]+WWWW[[#This Row],['# Existing latrines dysfunctional]]</f>
        <v>90</v>
      </c>
      <c r="BN14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49" s="352">
        <f>WWWW[[#This Row],[% people access to functioning Latrine]]*WWWW[[#This Row],[Total PoP ]]</f>
        <v>527</v>
      </c>
      <c r="BP14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49" s="209">
        <f>IF(WWWW[[#This Row],[Total required Latrines]]-WWWW[[#This Row],[Total '# of latrine]]&lt;0,0,WWWW[[#This Row],[Total required Latrines]]-WWWW[[#This Row],[Total '# of latrine]])</f>
        <v>0</v>
      </c>
      <c r="BR149" s="210">
        <f>ROUND(IF(WWWW[[#This Row],[Location Type 1]]="camp",WWWW[[#This Row],[Total PoP ]]/20,WWWW[[#This Row],[Total PoP ]]/6),0)</f>
        <v>26</v>
      </c>
      <c r="BS149" s="212">
        <f>IF(OR(WWWW[[#This Row],['# Existing latrines dysfunctional]]="",WWWW[[#This Row],['# Existing latrines dysfunctional]]=0),0,WWWW[[#This Row],['# Existing latrines dysfunctional]]/WWWW[[#This Row],[Total '# of latrine]])</f>
        <v>0</v>
      </c>
      <c r="BT14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49" s="209">
        <f>IF(500*WWWW[[#This Row],['# Hygiene Promoters ]]&gt;WWWW[[#This Row],[Total PoP ]],WWWW[[#This Row],[Total PoP ]],500*WWWW[[#This Row],['# Hygiene Promoters ]])</f>
        <v>527</v>
      </c>
      <c r="BV149" s="209">
        <f>IF(WWWW[[#This Row],[% of HH with access to Sanitary Pad]]&gt;=100%,1,0)</f>
        <v>0</v>
      </c>
      <c r="BW149" s="209">
        <f>IF(WWWW[[#This Row],[Total PoP ]]=0,0,IF(WWWW[[#This Row],['# Hygiene Promoters ]]=0,0,IF(WWWW[[#This Row],[Location Type 1]]="Village",IF(WWWW[[#This Row],[Total PoP ]]/WWWW[[#This Row],['# Hygiene Promoters ]]&lt;1000,1,0),IF(WWWW[[#This Row],[Total PoP ]]/WWWW[[#This Row],['# Hygiene Promoters ]]&lt;600,1,0))))</f>
        <v>1</v>
      </c>
      <c r="BX149" s="209">
        <f>IF(WWWW[[#This Row],[%HH with access to soap]]&gt;=100%,1,0)</f>
        <v>0</v>
      </c>
      <c r="BY149" s="209">
        <f>IF(WWWW[[#This Row],[% of HHs with access to Sanitary pad more than '#%]]+WWWW[[#This Row],[Ratio of Hyiene promoters to people less than '#]]+WWWW[[#This Row],[% of HHs with access to soap more than '#%]]&gt;=2,WWWW[[#This Row],[Total PoP ]],0)</f>
        <v>0</v>
      </c>
      <c r="BZ149" s="208">
        <f>WWWW[[#This Row],[People adopt basic personal and community hygiene practices]]/WWWW[[#This Row],[Total PoP ]]</f>
        <v>0</v>
      </c>
      <c r="CA149" s="212">
        <f>1-WWWW[[#This Row],[Hygiene Coverage%]]</f>
        <v>1</v>
      </c>
      <c r="CB149" s="211">
        <f>WWWW[[#This Row],['# people reached by regular dedicated hygiene promotion_5]]/WWWW[[#This Row],[Total PoP ]]</f>
        <v>1</v>
      </c>
      <c r="CC149" s="211">
        <f>IF(WWWW[[#This Row],['# HH received soaps]]/WWWW[[#This Row],[Total HH]]&gt;1,1,WWWW[[#This Row],['# HH received soaps]]/WWWW[[#This Row],[Total HH]])</f>
        <v>0</v>
      </c>
      <c r="CD149" s="211">
        <f>IF(WWWW[[#This Row],['# HH received Sanitary Pads]]/WWWW[[#This Row],[Total HH]]&gt;1,1,WWWW[[#This Row],['# HH received Sanitary Pads]]/WWWW[[#This Row],[Total HH]])</f>
        <v>0</v>
      </c>
      <c r="CE149" s="210">
        <f>WWWW[[#This Row],['# HH received soaps]]*5</f>
        <v>0</v>
      </c>
      <c r="CF149" s="210">
        <f>WWWW[[#This Row],['# HH received Sanitary Pads]]*5</f>
        <v>0</v>
      </c>
      <c r="CG149" s="210">
        <f>IF(WWWW[[#This Row],['# People with access to soap]]&gt;WWWW[[#This Row],['# People with access to Sanity Pads]],WWWW[[#This Row],['# People with access to soap]],WWWW[[#This Row],['# People with access to Sanity Pads]])</f>
        <v>0</v>
      </c>
      <c r="CH149" s="209">
        <f>WWWW[[#This Row],[Total HH]]*WWWW[[#This Row],[%HHs with access to functional hand washing stations]]</f>
        <v>0</v>
      </c>
      <c r="CI149" s="699" t="str">
        <f>VLOOKUP(WWWW[[#This Row],[Site Name]],SiteDB6[[Site Name]:[CCCM Management]],6,FALSE)</f>
        <v>Yes</v>
      </c>
      <c r="CJ149" s="699" t="str">
        <f>VLOOKUP(WWWW[[#This Row],[Site Name]],SiteDB6[[Site Name]:[CCCM Focal Agency]],7,FALSE)</f>
        <v>KMSS-MYT</v>
      </c>
      <c r="CK149" s="699" t="str">
        <f>VLOOKUP(WWWW[[#This Row],[Site Name]],SiteDB6[[Site Name]:[Location Type]],8,FALSE)</f>
        <v>Camp</v>
      </c>
      <c r="CL149" s="699" t="str">
        <f>VLOOKUP(WWWW[[#This Row],[Site Name]],SiteDB6[[Site Name]:[Location Type 1]],9,FALSE)</f>
        <v>Camp</v>
      </c>
      <c r="CM149" s="699" t="str">
        <f>VLOOKUP(WWWW[[#This Row],[Site Name]],SiteDB6[[Site Name]:[Type of Accommodation]],10,FALSE)</f>
        <v>Camp</v>
      </c>
      <c r="CN149" s="699" t="str">
        <f>VLOOKUP(WWWW[[#This Row],[Site Name]],SiteDB6[[Site Name]:[Ethnic or GCA/NGCA]],11,FALSE)</f>
        <v>NGCA</v>
      </c>
      <c r="CO149" s="699">
        <f>VLOOKUP(WWWW[[#This Row],[Site Name]],SiteDB6[[Site Name]:[Lat]],12,FALSE)</f>
        <v>25.220278</v>
      </c>
      <c r="CP149" s="699">
        <f>VLOOKUP(WWWW[[#This Row],[Site Name]],SiteDB6[[Site Name]:[Long]],13,FALSE)</f>
        <v>97.915833000000006</v>
      </c>
      <c r="CQ149" s="699" t="str">
        <f>VLOOKUP(WWWW[[#This Row],[Site Name]],SiteDB6[[Site Name]:[Pcode]],3,FALSE)</f>
        <v>MMR001CMP113</v>
      </c>
      <c r="CR149" s="660" t="str">
        <f t="shared" si="2"/>
        <v>Covered</v>
      </c>
      <c r="CS149" s="660"/>
      <c r="CT149" s="24"/>
      <c r="CU149" s="24"/>
      <c r="CV149" s="24"/>
    </row>
    <row r="150" spans="1:100" ht="15.75" customHeight="1" x14ac:dyDescent="0.25">
      <c r="A150" s="833" t="s">
        <v>3206</v>
      </c>
      <c r="B150" s="206" t="s">
        <v>460</v>
      </c>
      <c r="C150" s="206" t="s">
        <v>44</v>
      </c>
      <c r="D150" s="206" t="s">
        <v>288</v>
      </c>
      <c r="E150" s="206" t="s">
        <v>1215</v>
      </c>
      <c r="F150" s="206">
        <v>62</v>
      </c>
      <c r="G150" s="209">
        <v>410</v>
      </c>
      <c r="H150" s="206"/>
      <c r="I150" s="206"/>
      <c r="J150" s="207"/>
      <c r="K150" s="206">
        <v>0</v>
      </c>
      <c r="L150" s="206" t="s">
        <v>282</v>
      </c>
      <c r="M150" s="208">
        <v>0</v>
      </c>
      <c r="N150" s="208">
        <v>0</v>
      </c>
      <c r="O150" s="316">
        <v>0</v>
      </c>
      <c r="P150" s="317">
        <v>2</v>
      </c>
      <c r="Q150" s="317"/>
      <c r="R150" s="318"/>
      <c r="S150" s="318">
        <v>0</v>
      </c>
      <c r="T150" s="318"/>
      <c r="U150" s="318"/>
      <c r="V150" s="318"/>
      <c r="W150" s="318"/>
      <c r="X150" s="318"/>
      <c r="Y150" s="318"/>
      <c r="Z150" s="318"/>
      <c r="AA150" s="310">
        <v>10</v>
      </c>
      <c r="AB150" s="310"/>
      <c r="AC150" s="66"/>
      <c r="AD150" s="66"/>
      <c r="AE150" s="310">
        <v>0</v>
      </c>
      <c r="AF150" s="310" t="s">
        <v>286</v>
      </c>
      <c r="AG150" s="311" t="s">
        <v>286</v>
      </c>
      <c r="AH150" s="311"/>
      <c r="AI150" s="310"/>
      <c r="AJ150" s="310"/>
      <c r="AK150" s="841">
        <v>1</v>
      </c>
      <c r="AL150" s="842" t="s">
        <v>291</v>
      </c>
      <c r="AM150" s="842">
        <v>0</v>
      </c>
      <c r="AN150" s="863">
        <v>3</v>
      </c>
      <c r="AO150" s="863">
        <v>3</v>
      </c>
      <c r="AP150" s="838"/>
      <c r="AQ150" s="843"/>
      <c r="AR150" s="843"/>
      <c r="AS150" s="843"/>
      <c r="AT150" s="843"/>
      <c r="AU150" s="843"/>
      <c r="AV150" s="844"/>
      <c r="AW150" s="208" t="str">
        <f>IFERROR(WWWW[[#This Row],['# of Water passed at source]]/WWWW[[#This Row],['# of Water tested at source]],"no test")</f>
        <v>no test</v>
      </c>
      <c r="AX150" s="211" t="str">
        <f>IFERROR(WWWW[[#This Row],['# of Water passed at HH]]/WWWW[[#This Row],['# of Water tested at HH]],"no test")</f>
        <v>no test</v>
      </c>
      <c r="AY150" s="210" t="str">
        <f>IF(AND(WWWW[[#This Row],[%of Water samples which passed at water source]]="no test",WWWW[[#This Row],[%Water samples which passed at HH]]="no test"),"No Test","Tested")</f>
        <v>No Test</v>
      </c>
      <c r="AZ15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50" s="211">
        <f>IF(WWWW[[#This Row],[Location Type 1]]="Village",WWWW[[#This Row],[Access to safe drinking water for Village]],WWWW[[#This Row],[Access to safe drinking water for Camp]])</f>
        <v>1</v>
      </c>
      <c r="BC150" s="209">
        <f>WWWW[[#This Row],[%Equitable and continuous access to sufficient quantity of safe drinking water]]*WWWW[[#This Row],[Total PoP ]]</f>
        <v>410</v>
      </c>
      <c r="BD150" s="211">
        <f>IF((WWWW[[#This Row],['# Existing protected/fenced ponds ]]*250)/WWWW[[#This Row],[Total PoP ]]&gt;1,1,WWWW[[#This Row],['# Existing protected/fenced ponds ]]*250/WWWW[[#This Row],[Total PoP ]])</f>
        <v>0</v>
      </c>
      <c r="BE150" s="209">
        <f>WWWW[[#This Row],[Access to unimproved water points]]*WWWW[[#This Row],[Total PoP ]]</f>
        <v>0</v>
      </c>
      <c r="BF15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410</v>
      </c>
      <c r="BH150" s="209">
        <f>ROUND(WWWW[[#This Row],['#people Equitable and continuous access to sufficient quantity of domestic water borehole n ponds_2]]/500,0)</f>
        <v>1</v>
      </c>
      <c r="BI150" s="208">
        <f>1-WWWW[[#This Row],[%Equitable and continuous access to sufficient quantity of domestic water borehole n ponds]]</f>
        <v>0</v>
      </c>
      <c r="BJ150" s="209">
        <f>WWWW[[#This Row],[%equitable and continuous access to sufficient quantity of safe drinking and domestic water''s GAP]]*WWWW[[#This Row],[Total PoP ]]</f>
        <v>0</v>
      </c>
      <c r="BK150" s="210">
        <f>IF(WWWW[[#This Row],[Total required water points]]-WWWW[[#This Row],['#Water points coverage]]&lt;0,0,WWWW[[#This Row],[Total required water points]]-WWWW[[#This Row],['#Water points coverage]])</f>
        <v>0</v>
      </c>
      <c r="BL150" s="210">
        <f>ROUND(IF(WWWW[[#This Row],[Total PoP ]]&lt;500,1,WWWW[[#This Row],[Total PoP ]]/500),0)</f>
        <v>1</v>
      </c>
      <c r="BM150" s="210">
        <f>WWWW[[#This Row],['# Existing functional latrines]]+WWWW[[#This Row],['# Existing latrines dysfunctional]]</f>
        <v>10</v>
      </c>
      <c r="BN15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0.48780487804878048</v>
      </c>
      <c r="BO150" s="352">
        <f>WWWW[[#This Row],[% people access to functioning Latrine]]*WWWW[[#This Row],[Total PoP ]]</f>
        <v>200</v>
      </c>
      <c r="BP15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0.53658536585365857</v>
      </c>
      <c r="BQ150" s="209">
        <f>IF(WWWW[[#This Row],[Total required Latrines]]-WWWW[[#This Row],[Total '# of latrine]]&lt;0,0,WWWW[[#This Row],[Total required Latrines]]-WWWW[[#This Row],[Total '# of latrine]])</f>
        <v>11</v>
      </c>
      <c r="BR150" s="210">
        <f>ROUND(IF(WWWW[[#This Row],[Location Type 1]]="camp",WWWW[[#This Row],[Total PoP ]]/20,WWWW[[#This Row],[Total PoP ]]/6),0)</f>
        <v>21</v>
      </c>
      <c r="BS150" s="212">
        <f>IF(OR(WWWW[[#This Row],['# Existing latrines dysfunctional]]="",WWWW[[#This Row],['# Existing latrines dysfunctional]]=0),0,WWWW[[#This Row],['# Existing latrines dysfunctional]]/WWWW[[#This Row],[Total '# of latrine]])</f>
        <v>0</v>
      </c>
      <c r="BT15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50" s="209">
        <f>IF(500*WWWW[[#This Row],['# Hygiene Promoters ]]&gt;WWWW[[#This Row],[Total PoP ]],WWWW[[#This Row],[Total PoP ]],500*WWWW[[#This Row],['# Hygiene Promoters ]])</f>
        <v>410</v>
      </c>
      <c r="BV150" s="209">
        <f>IF(WWWW[[#This Row],[% of HH with access to Sanitary Pad]]&gt;=100%,1,0)</f>
        <v>0</v>
      </c>
      <c r="BW150" s="209">
        <f>IF(WWWW[[#This Row],[Total PoP ]]=0,0,IF(WWWW[[#This Row],['# Hygiene Promoters ]]=0,0,IF(WWWW[[#This Row],[Location Type 1]]="Village",IF(WWWW[[#This Row],[Total PoP ]]/WWWW[[#This Row],['# Hygiene Promoters ]]&lt;1000,1,0),IF(WWWW[[#This Row],[Total PoP ]]/WWWW[[#This Row],['# Hygiene Promoters ]]&lt;600,1,0))))</f>
        <v>1</v>
      </c>
      <c r="BX150" s="209">
        <f>IF(WWWW[[#This Row],[%HH with access to soap]]&gt;=100%,1,0)</f>
        <v>0</v>
      </c>
      <c r="BY150" s="209">
        <f>IF(WWWW[[#This Row],[% of HHs with access to Sanitary pad more than '#%]]+WWWW[[#This Row],[Ratio of Hyiene promoters to people less than '#]]+WWWW[[#This Row],[% of HHs with access to soap more than '#%]]&gt;=2,WWWW[[#This Row],[Total PoP ]],0)</f>
        <v>0</v>
      </c>
      <c r="BZ150" s="208">
        <f>WWWW[[#This Row],[People adopt basic personal and community hygiene practices]]/WWWW[[#This Row],[Total PoP ]]</f>
        <v>0</v>
      </c>
      <c r="CA150" s="212">
        <f>1-WWWW[[#This Row],[Hygiene Coverage%]]</f>
        <v>1</v>
      </c>
      <c r="CB150" s="211">
        <f>WWWW[[#This Row],['# people reached by regular dedicated hygiene promotion_5]]/WWWW[[#This Row],[Total PoP ]]</f>
        <v>1</v>
      </c>
      <c r="CC150" s="211">
        <f>IF(WWWW[[#This Row],['# HH received soaps]]/WWWW[[#This Row],[Total HH]]&gt;1,1,WWWW[[#This Row],['# HH received soaps]]/WWWW[[#This Row],[Total HH]])</f>
        <v>0</v>
      </c>
      <c r="CD150" s="211">
        <f>IF(WWWW[[#This Row],['# HH received Sanitary Pads]]/WWWW[[#This Row],[Total HH]]&gt;1,1,WWWW[[#This Row],['# HH received Sanitary Pads]]/WWWW[[#This Row],[Total HH]])</f>
        <v>0</v>
      </c>
      <c r="CE150" s="210">
        <f>WWWW[[#This Row],['# HH received soaps]]*5</f>
        <v>0</v>
      </c>
      <c r="CF150" s="210">
        <f>WWWW[[#This Row],['# HH received Sanitary Pads]]*5</f>
        <v>0</v>
      </c>
      <c r="CG150" s="210">
        <f>IF(WWWW[[#This Row],['# People with access to soap]]&gt;WWWW[[#This Row],['# People with access to Sanity Pads]],WWWW[[#This Row],['# People with access to soap]],WWWW[[#This Row],['# People with access to Sanity Pads]])</f>
        <v>0</v>
      </c>
      <c r="CH150" s="209">
        <f>WWWW[[#This Row],[Total HH]]*WWWW[[#This Row],[%HHs with access to functional hand washing stations]]</f>
        <v>62</v>
      </c>
      <c r="CI150" s="699">
        <f>VLOOKUP(WWWW[[#This Row],[Site Name]],SiteDB6[[Site Name]:[CCCM Management]],6,FALSE)</f>
        <v>0</v>
      </c>
      <c r="CJ150" s="699" t="str">
        <f>VLOOKUP(WWWW[[#This Row],[Site Name]],SiteDB6[[Site Name]:[CCCM Focal Agency]],7,FALSE)</f>
        <v>uncovered</v>
      </c>
      <c r="CK150" s="699" t="str">
        <f>VLOOKUP(WWWW[[#This Row],[Site Name]],SiteDB6[[Site Name]:[Location Type]],8,FALSE)</f>
        <v>Camp</v>
      </c>
      <c r="CL150" s="699" t="str">
        <f>VLOOKUP(WWWW[[#This Row],[Site Name]],SiteDB6[[Site Name]:[Location Type 1]],9,FALSE)</f>
        <v>Camp</v>
      </c>
      <c r="CM150" s="699" t="str">
        <f>VLOOKUP(WWWW[[#This Row],[Site Name]],SiteDB6[[Site Name]:[Type of Accommodation]],10,FALSE)</f>
        <v>Camp like setting</v>
      </c>
      <c r="CN150" s="699" t="str">
        <f>VLOOKUP(WWWW[[#This Row],[Site Name]],SiteDB6[[Site Name]:[Ethnic or GCA/NGCA]],11,FALSE)</f>
        <v>GCA</v>
      </c>
      <c r="CO150" s="699">
        <f>VLOOKUP(WWWW[[#This Row],[Site Name]],SiteDB6[[Site Name]:[Lat]],12,FALSE)</f>
        <v>25.305008999999998</v>
      </c>
      <c r="CP150" s="699">
        <f>VLOOKUP(WWWW[[#This Row],[Site Name]],SiteDB6[[Site Name]:[Long]],13,FALSE)</f>
        <v>97.430321000000006</v>
      </c>
      <c r="CQ150" s="699" t="str">
        <f>VLOOKUP(WWWW[[#This Row],[Site Name]],SiteDB6[[Site Name]:[Pcode]],3,FALSE)</f>
        <v>MMR001CMP248</v>
      </c>
      <c r="CR150" s="660" t="str">
        <f t="shared" si="2"/>
        <v>Notcovered</v>
      </c>
      <c r="CS150" s="660"/>
      <c r="CT150" s="24"/>
      <c r="CU150" s="24"/>
      <c r="CV150" s="24"/>
    </row>
    <row r="151" spans="1:100" ht="15.75" customHeight="1" x14ac:dyDescent="0.25">
      <c r="A151" s="833" t="s">
        <v>3206</v>
      </c>
      <c r="B151" s="206" t="s">
        <v>389</v>
      </c>
      <c r="C151" s="206" t="s">
        <v>44</v>
      </c>
      <c r="D151" s="206" t="s">
        <v>288</v>
      </c>
      <c r="E151" s="206" t="s">
        <v>418</v>
      </c>
      <c r="F151" s="206">
        <v>103</v>
      </c>
      <c r="G151" s="209">
        <v>503</v>
      </c>
      <c r="H151" s="206"/>
      <c r="I151" s="206" t="s">
        <v>391</v>
      </c>
      <c r="J151" s="207">
        <v>42947</v>
      </c>
      <c r="K151" s="206">
        <v>0</v>
      </c>
      <c r="L151" s="206" t="s">
        <v>48</v>
      </c>
      <c r="M151" s="208">
        <v>1</v>
      </c>
      <c r="N151" s="208">
        <v>1</v>
      </c>
      <c r="O151" s="316">
        <v>2</v>
      </c>
      <c r="P151" s="317">
        <v>0</v>
      </c>
      <c r="Q151" s="317">
        <v>2000</v>
      </c>
      <c r="R151" s="318">
        <v>0</v>
      </c>
      <c r="S151" s="318">
        <v>2</v>
      </c>
      <c r="T151" s="318"/>
      <c r="U151" s="318">
        <v>2</v>
      </c>
      <c r="V151" s="318">
        <v>0</v>
      </c>
      <c r="W151" s="318">
        <v>4</v>
      </c>
      <c r="X151" s="318">
        <v>1</v>
      </c>
      <c r="Y151" s="318">
        <v>0</v>
      </c>
      <c r="Z151" s="318"/>
      <c r="AA151" s="310">
        <v>16</v>
      </c>
      <c r="AB151" s="310">
        <v>6</v>
      </c>
      <c r="AC151" s="66">
        <v>4</v>
      </c>
      <c r="AD151" s="66" t="s">
        <v>2782</v>
      </c>
      <c r="AE151" s="310">
        <v>16</v>
      </c>
      <c r="AF151" s="310" t="s">
        <v>283</v>
      </c>
      <c r="AG151" s="311" t="s">
        <v>283</v>
      </c>
      <c r="AH151" s="311">
        <v>0</v>
      </c>
      <c r="AI151" s="310">
        <v>0</v>
      </c>
      <c r="AJ151" s="310"/>
      <c r="AK151" s="841">
        <v>0.5</v>
      </c>
      <c r="AL151" s="842" t="s">
        <v>376</v>
      </c>
      <c r="AM151" s="842">
        <v>0</v>
      </c>
      <c r="AN151" s="863">
        <v>4</v>
      </c>
      <c r="AO151" s="863">
        <v>0</v>
      </c>
      <c r="AP151" s="838">
        <v>0</v>
      </c>
      <c r="AQ151" s="843">
        <v>0</v>
      </c>
      <c r="AR151" s="843"/>
      <c r="AS151" s="843"/>
      <c r="AT151" s="843">
        <v>1</v>
      </c>
      <c r="AU151" s="843"/>
      <c r="AV151" s="844"/>
      <c r="AW151" s="208">
        <f>IFERROR(WWWW[[#This Row],['# of Water passed at source]]/WWWW[[#This Row],['# of Water tested at source]],"no test")</f>
        <v>0</v>
      </c>
      <c r="AX151" s="211">
        <f>IFERROR(WWWW[[#This Row],['# of Water passed at HH]]/WWWW[[#This Row],['# of Water tested at HH]],"no test")</f>
        <v>0.25</v>
      </c>
      <c r="AY151" s="210" t="str">
        <f>IF(AND(WWWW[[#This Row],[%of Water samples which passed at water source]]="no test",WWWW[[#This Row],[%Water samples which passed at HH]]="no test"),"No Test","Tested")</f>
        <v>Tested</v>
      </c>
      <c r="AZ15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51" s="211">
        <f>IF(WWWW[[#This Row],[Location Type 1]]="Village",WWWW[[#This Row],[Access to safe drinking water for Village]],WWWW[[#This Row],[Access to safe drinking water for Camp]])</f>
        <v>1</v>
      </c>
      <c r="BC151" s="209">
        <f>WWWW[[#This Row],[%Equitable and continuous access to sufficient quantity of safe drinking water]]*WWWW[[#This Row],[Total PoP ]]</f>
        <v>503</v>
      </c>
      <c r="BD151" s="211">
        <f>IF((WWWW[[#This Row],['# Existing protected/fenced ponds ]]*250)/WWWW[[#This Row],[Total PoP ]]&gt;1,1,WWWW[[#This Row],['# Existing protected/fenced ponds ]]*250/WWWW[[#This Row],[Total PoP ]])</f>
        <v>0</v>
      </c>
      <c r="BE151" s="209">
        <f>WWWW[[#This Row],[Access to unimproved water points]]*WWWW[[#This Row],[Total PoP ]]</f>
        <v>0</v>
      </c>
      <c r="BF15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503</v>
      </c>
      <c r="BH151" s="209">
        <f>WWWW[[#This Row],['#people Equitable and continuous access to sufficient quantity of domestic water borehole n ponds_2]]/500</f>
        <v>1.006</v>
      </c>
      <c r="BI151" s="208">
        <f>1-WWWW[[#This Row],[%Equitable and continuous access to sufficient quantity of domestic water borehole n ponds]]</f>
        <v>0</v>
      </c>
      <c r="BJ151" s="209">
        <f>WWWW[[#This Row],[%equitable and continuous access to sufficient quantity of safe drinking and domestic water''s GAP]]*WWWW[[#This Row],[Total PoP ]]</f>
        <v>0</v>
      </c>
      <c r="BK151" s="210">
        <f>IF(WWWW[[#This Row],[Total required water points]]-WWWW[[#This Row],['#Water points coverage]]&lt;0,0,WWWW[[#This Row],[Total required water points]]-WWWW[[#This Row],['#Water points coverage]])</f>
        <v>0</v>
      </c>
      <c r="BL151" s="210">
        <f>ROUND(IF(WWWW[[#This Row],[Total PoP ]]&lt;500,1,WWWW[[#This Row],[Total PoP ]]/500),0)</f>
        <v>1</v>
      </c>
      <c r="BM151" s="210">
        <f>WWWW[[#This Row],['# Existing functional latrines]]+WWWW[[#This Row],['# Existing latrines dysfunctional]]</f>
        <v>22</v>
      </c>
      <c r="BN15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0.63618290258449306</v>
      </c>
      <c r="BO151" s="352">
        <f>WWWW[[#This Row],[% people access to functioning Latrine]]*WWWW[[#This Row],[Total PoP ]]</f>
        <v>320</v>
      </c>
      <c r="BP15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0.11928429423459246</v>
      </c>
      <c r="BQ151" s="209">
        <f>IF(WWWW[[#This Row],[Total required Latrines]]-WWWW[[#This Row],[Total '# of latrine]]&lt;0,0,WWWW[[#This Row],[Total required Latrines]]-WWWW[[#This Row],[Total '# of latrine]])</f>
        <v>3</v>
      </c>
      <c r="BR151" s="210">
        <f>ROUND(IF(WWWW[[#This Row],[Location Type 1]]="camp",WWWW[[#This Row],[Total PoP ]]/20,WWWW[[#This Row],[Total PoP ]]/6),0)</f>
        <v>25</v>
      </c>
      <c r="BS151" s="212">
        <f>IF(OR(WWWW[[#This Row],['# Existing latrines dysfunctional]]="",WWWW[[#This Row],['# Existing latrines dysfunctional]]=0),0,WWWW[[#This Row],['# Existing latrines dysfunctional]]/WWWW[[#This Row],[Total '# of latrine]])</f>
        <v>0.27272727272727271</v>
      </c>
      <c r="BT15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U151" s="209">
        <f>IF(500*WWWW[[#This Row],['# Hygiene Promoters ]]&gt;WWWW[[#This Row],[Total PoP ]],WWWW[[#This Row],[Total PoP ]],500*WWWW[[#This Row],['# Hygiene Promoters ]])</f>
        <v>0</v>
      </c>
      <c r="BV151" s="209">
        <f>IF(WWWW[[#This Row],[% of HH with access to Sanitary Pad]]&gt;=100%,1,0)</f>
        <v>0</v>
      </c>
      <c r="BW151" s="209">
        <f>IF(WWWW[[#This Row],[Total PoP ]]=0,0,IF(WWWW[[#This Row],['# Hygiene Promoters ]]=0,0,IF(WWWW[[#This Row],[Location Type 1]]="Village",IF(WWWW[[#This Row],[Total PoP ]]/WWWW[[#This Row],['# Hygiene Promoters ]]&lt;1000,1,0),IF(WWWW[[#This Row],[Total PoP ]]/WWWW[[#This Row],['# Hygiene Promoters ]]&lt;600,1,0))))</f>
        <v>0</v>
      </c>
      <c r="BX151" s="209">
        <f>IF(WWWW[[#This Row],[%HH with access to soap]]&gt;=100%,1,0)</f>
        <v>0</v>
      </c>
      <c r="BY151" s="209">
        <f>IF(WWWW[[#This Row],[% of HHs with access to Sanitary pad more than '#%]]+WWWW[[#This Row],[Ratio of Hyiene promoters to people less than '#]]+WWWW[[#This Row],[% of HHs with access to soap more than '#%]]&gt;=2,WWWW[[#This Row],[Total PoP ]],0)</f>
        <v>0</v>
      </c>
      <c r="BZ151" s="208">
        <f>WWWW[[#This Row],[People adopt basic personal and community hygiene practices]]/WWWW[[#This Row],[Total PoP ]]</f>
        <v>0</v>
      </c>
      <c r="CA151" s="212">
        <f>1-WWWW[[#This Row],[Hygiene Coverage%]]</f>
        <v>1</v>
      </c>
      <c r="CB151" s="211">
        <f>WWWW[[#This Row],['# people reached by regular dedicated hygiene promotion_5]]/WWWW[[#This Row],[Total PoP ]]</f>
        <v>0</v>
      </c>
      <c r="CC151" s="211">
        <f>IF(WWWW[[#This Row],['# HH received soaps]]/WWWW[[#This Row],[Total HH]]&gt;1,1,WWWW[[#This Row],['# HH received soaps]]/WWWW[[#This Row],[Total HH]])</f>
        <v>0</v>
      </c>
      <c r="CD151" s="211">
        <f>IF(WWWW[[#This Row],['# HH received Sanitary Pads]]/WWWW[[#This Row],[Total HH]]&gt;1,1,WWWW[[#This Row],['# HH received Sanitary Pads]]/WWWW[[#This Row],[Total HH]])</f>
        <v>0</v>
      </c>
      <c r="CE151" s="210">
        <f>WWWW[[#This Row],['# HH received soaps]]*5</f>
        <v>0</v>
      </c>
      <c r="CF151" s="210">
        <f>WWWW[[#This Row],['# HH received Sanitary Pads]]*5</f>
        <v>0</v>
      </c>
      <c r="CG151" s="210">
        <f>IF(WWWW[[#This Row],['# People with access to soap]]&gt;WWWW[[#This Row],['# People with access to Sanity Pads]],WWWW[[#This Row],['# People with access to soap]],WWWW[[#This Row],['# People with access to Sanity Pads]])</f>
        <v>0</v>
      </c>
      <c r="CH151" s="209">
        <f>WWWW[[#This Row],[Total HH]]*WWWW[[#This Row],[%HHs with access to functional hand washing stations]]</f>
        <v>51.5</v>
      </c>
      <c r="CI151" s="699" t="str">
        <f>VLOOKUP(WWWW[[#This Row],[Site Name]],SiteDB6[[Site Name]:[CCCM Management]],6,FALSE)</f>
        <v>Yes</v>
      </c>
      <c r="CJ151" s="699" t="str">
        <f>VLOOKUP(WWWW[[#This Row],[Site Name]],SiteDB6[[Site Name]:[CCCM Focal Agency]],7,FALSE)</f>
        <v>Shalom</v>
      </c>
      <c r="CK151" s="699" t="str">
        <f>VLOOKUP(WWWW[[#This Row],[Site Name]],SiteDB6[[Site Name]:[Location Type]],8,FALSE)</f>
        <v>Camp</v>
      </c>
      <c r="CL151" s="699" t="str">
        <f>VLOOKUP(WWWW[[#This Row],[Site Name]],SiteDB6[[Site Name]:[Location Type 1]],9,FALSE)</f>
        <v>Camp</v>
      </c>
      <c r="CM151" s="699" t="str">
        <f>VLOOKUP(WWWW[[#This Row],[Site Name]],SiteDB6[[Site Name]:[Type of Accommodation]],10,FALSE)</f>
        <v>Camp</v>
      </c>
      <c r="CN151" s="699" t="str">
        <f>VLOOKUP(WWWW[[#This Row],[Site Name]],SiteDB6[[Site Name]:[Ethnic or GCA/NGCA]],11,FALSE)</f>
        <v>GCA</v>
      </c>
      <c r="CO151" s="699">
        <f>VLOOKUP(WWWW[[#This Row],[Site Name]],SiteDB6[[Site Name]:[Lat]],12,FALSE)</f>
        <v>25.321710740740698</v>
      </c>
      <c r="CP151" s="699">
        <f>VLOOKUP(WWWW[[#This Row],[Site Name]],SiteDB6[[Site Name]:[Long]],13,FALSE)</f>
        <v>97.404195925926004</v>
      </c>
      <c r="CQ151" s="699" t="str">
        <f>VLOOKUP(WWWW[[#This Row],[Site Name]],SiteDB6[[Site Name]:[Pcode]],3,FALSE)</f>
        <v>MMR001CMP028</v>
      </c>
      <c r="CR151" s="660" t="str">
        <f t="shared" si="2"/>
        <v>Covered</v>
      </c>
      <c r="CS151" s="660"/>
      <c r="CT151" s="24"/>
      <c r="CU151" s="24"/>
      <c r="CV151" s="24"/>
    </row>
    <row r="152" spans="1:100" ht="15.75" customHeight="1" x14ac:dyDescent="0.25">
      <c r="A152" s="833" t="s">
        <v>3206</v>
      </c>
      <c r="B152" s="206" t="s">
        <v>287</v>
      </c>
      <c r="C152" s="206" t="s">
        <v>44</v>
      </c>
      <c r="D152" s="206" t="s">
        <v>288</v>
      </c>
      <c r="E152" s="206" t="s">
        <v>321</v>
      </c>
      <c r="F152" s="206">
        <v>154</v>
      </c>
      <c r="G152" s="209">
        <v>903</v>
      </c>
      <c r="H152" s="206"/>
      <c r="I152" s="206" t="s">
        <v>296</v>
      </c>
      <c r="J152" s="207">
        <v>43465</v>
      </c>
      <c r="K152" s="206">
        <v>0</v>
      </c>
      <c r="L152" s="206" t="s">
        <v>48</v>
      </c>
      <c r="M152" s="208">
        <v>0.6</v>
      </c>
      <c r="N152" s="208">
        <v>0.5</v>
      </c>
      <c r="O152" s="316">
        <v>0</v>
      </c>
      <c r="P152" s="317">
        <v>0</v>
      </c>
      <c r="Q152" s="317">
        <v>116640</v>
      </c>
      <c r="R152" s="318">
        <v>0</v>
      </c>
      <c r="S152" s="318">
        <v>0</v>
      </c>
      <c r="T152" s="318"/>
      <c r="U152" s="318">
        <v>0</v>
      </c>
      <c r="V152" s="318">
        <v>0</v>
      </c>
      <c r="W152" s="318">
        <v>0</v>
      </c>
      <c r="X152" s="318">
        <v>0</v>
      </c>
      <c r="Y152" s="318">
        <v>0</v>
      </c>
      <c r="Z152" s="318"/>
      <c r="AA152" s="310">
        <v>50</v>
      </c>
      <c r="AB152" s="310">
        <v>0</v>
      </c>
      <c r="AC152" s="66">
        <v>0</v>
      </c>
      <c r="AD152" s="66"/>
      <c r="AE152" s="310">
        <v>0</v>
      </c>
      <c r="AF152" s="310" t="s">
        <v>283</v>
      </c>
      <c r="AG152" s="311" t="s">
        <v>283</v>
      </c>
      <c r="AH152" s="311"/>
      <c r="AI152" s="310"/>
      <c r="AJ152" s="310"/>
      <c r="AK152" s="841">
        <v>0.6</v>
      </c>
      <c r="AL152" s="842" t="s">
        <v>291</v>
      </c>
      <c r="AM152" s="842">
        <v>0</v>
      </c>
      <c r="AN152" s="863">
        <v>4</v>
      </c>
      <c r="AO152" s="863">
        <v>3</v>
      </c>
      <c r="AP152" s="838">
        <v>0</v>
      </c>
      <c r="AQ152" s="843">
        <v>0</v>
      </c>
      <c r="AR152" s="843"/>
      <c r="AS152" s="843"/>
      <c r="AT152" s="843"/>
      <c r="AU152" s="843"/>
      <c r="AV152" s="844"/>
      <c r="AW152" s="208" t="str">
        <f>IFERROR(WWWW[[#This Row],['# of Water passed at source]]/WWWW[[#This Row],['# of Water tested at source]],"no test")</f>
        <v>no test</v>
      </c>
      <c r="AX152" s="211" t="str">
        <f>IFERROR(WWWW[[#This Row],['# of Water passed at HH]]/WWWW[[#This Row],['# of Water tested at HH]],"no test")</f>
        <v>no test</v>
      </c>
      <c r="AY152" s="210" t="str">
        <f>IF(AND(WWWW[[#This Row],[%of Water samples which passed at water source]]="no test",WWWW[[#This Row],[%Water samples which passed at HH]]="no test"),"No Test","Tested")</f>
        <v>No Test</v>
      </c>
      <c r="AZ15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52" s="211">
        <f>IF(WWWW[[#This Row],[Location Type 1]]="Village",WWWW[[#This Row],[Access to safe drinking water for Village]],WWWW[[#This Row],[Access to safe drinking water for Camp]])</f>
        <v>1</v>
      </c>
      <c r="BC152" s="209">
        <f>WWWW[[#This Row],[%Equitable and continuous access to sufficient quantity of safe drinking water]]*WWWW[[#This Row],[Total PoP ]]</f>
        <v>903</v>
      </c>
      <c r="BD152" s="211">
        <f>IF((WWWW[[#This Row],['# Existing protected/fenced ponds ]]*250)/WWWW[[#This Row],[Total PoP ]]&gt;1,1,WWWW[[#This Row],['# Existing protected/fenced ponds ]]*250/WWWW[[#This Row],[Total PoP ]])</f>
        <v>0</v>
      </c>
      <c r="BE152" s="209">
        <f>WWWW[[#This Row],[Access to unimproved water points]]*WWWW[[#This Row],[Total PoP ]]</f>
        <v>0</v>
      </c>
      <c r="BF15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903</v>
      </c>
      <c r="BH152" s="209">
        <f>WWWW[[#This Row],['#people Equitable and continuous access to sufficient quantity of domestic water borehole n ponds_2]]/500</f>
        <v>1.806</v>
      </c>
      <c r="BI152" s="208">
        <f>1-WWWW[[#This Row],[%Equitable and continuous access to sufficient quantity of domestic water borehole n ponds]]</f>
        <v>0</v>
      </c>
      <c r="BJ152" s="209">
        <f>WWWW[[#This Row],[%equitable and continuous access to sufficient quantity of safe drinking and domestic water''s GAP]]*WWWW[[#This Row],[Total PoP ]]</f>
        <v>0</v>
      </c>
      <c r="BK152" s="210">
        <f>IF(WWWW[[#This Row],[Total required water points]]-WWWW[[#This Row],['#Water points coverage]]&lt;0,0,WWWW[[#This Row],[Total required water points]]-WWWW[[#This Row],['#Water points coverage]])</f>
        <v>0.19399999999999995</v>
      </c>
      <c r="BL152" s="210">
        <f>ROUND(IF(WWWW[[#This Row],[Total PoP ]]&lt;500,1,WWWW[[#This Row],[Total PoP ]]/500),0)</f>
        <v>2</v>
      </c>
      <c r="BM152" s="210">
        <f>WWWW[[#This Row],['# Existing functional latrines]]+WWWW[[#This Row],['# Existing latrines dysfunctional]]</f>
        <v>50</v>
      </c>
      <c r="BN15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52" s="352">
        <f>WWWW[[#This Row],[% people access to functioning Latrine]]*WWWW[[#This Row],[Total PoP ]]</f>
        <v>903</v>
      </c>
      <c r="BP15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52" s="209">
        <f>IF(WWWW[[#This Row],[Total required Latrines]]-WWWW[[#This Row],[Total '# of latrine]]&lt;0,0,WWWW[[#This Row],[Total required Latrines]]-WWWW[[#This Row],[Total '# of latrine]])</f>
        <v>0</v>
      </c>
      <c r="BR152" s="210">
        <f>ROUND(IF(WWWW[[#This Row],[Location Type 1]]="camp",WWWW[[#This Row],[Total PoP ]]/20,WWWW[[#This Row],[Total PoP ]]/6),0)</f>
        <v>45</v>
      </c>
      <c r="BS152" s="212">
        <f>IF(OR(WWWW[[#This Row],['# Existing latrines dysfunctional]]="",WWWW[[#This Row],['# Existing latrines dysfunctional]]=0),0,WWWW[[#This Row],['# Existing latrines dysfunctional]]/WWWW[[#This Row],[Total '# of latrine]])</f>
        <v>0</v>
      </c>
      <c r="BT15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52" s="209">
        <f>IF(500*WWWW[[#This Row],['# Hygiene Promoters ]]&gt;WWWW[[#This Row],[Total PoP ]],WWWW[[#This Row],[Total PoP ]],500*WWWW[[#This Row],['# Hygiene Promoters ]])</f>
        <v>903</v>
      </c>
      <c r="BV152" s="209">
        <f>IF(WWWW[[#This Row],[% of HH with access to Sanitary Pad]]&gt;=100%,1,0)</f>
        <v>0</v>
      </c>
      <c r="BW152" s="209">
        <f>IF(WWWW[[#This Row],[Total PoP ]]=0,0,IF(WWWW[[#This Row],['# Hygiene Promoters ]]=0,0,IF(WWWW[[#This Row],[Location Type 1]]="Village",IF(WWWW[[#This Row],[Total PoP ]]/WWWW[[#This Row],['# Hygiene Promoters ]]&lt;1000,1,0),IF(WWWW[[#This Row],[Total PoP ]]/WWWW[[#This Row],['# Hygiene Promoters ]]&lt;600,1,0))))</f>
        <v>1</v>
      </c>
      <c r="BX152" s="209">
        <f>IF(WWWW[[#This Row],[%HH with access to soap]]&gt;=100%,1,0)</f>
        <v>0</v>
      </c>
      <c r="BY152" s="209">
        <f>IF(WWWW[[#This Row],[% of HHs with access to Sanitary pad more than '#%]]+WWWW[[#This Row],[Ratio of Hyiene promoters to people less than '#]]+WWWW[[#This Row],[% of HHs with access to soap more than '#%]]&gt;=2,WWWW[[#This Row],[Total PoP ]],0)</f>
        <v>0</v>
      </c>
      <c r="BZ152" s="208">
        <f>WWWW[[#This Row],[People adopt basic personal and community hygiene practices]]/WWWW[[#This Row],[Total PoP ]]</f>
        <v>0</v>
      </c>
      <c r="CA152" s="212">
        <f>1-WWWW[[#This Row],[Hygiene Coverage%]]</f>
        <v>1</v>
      </c>
      <c r="CB152" s="211">
        <f>WWWW[[#This Row],['# people reached by regular dedicated hygiene promotion_5]]/WWWW[[#This Row],[Total PoP ]]</f>
        <v>1</v>
      </c>
      <c r="CC152" s="211">
        <f>IF(WWWW[[#This Row],['# HH received soaps]]/WWWW[[#This Row],[Total HH]]&gt;1,1,WWWW[[#This Row],['# HH received soaps]]/WWWW[[#This Row],[Total HH]])</f>
        <v>0</v>
      </c>
      <c r="CD152" s="211">
        <f>IF(WWWW[[#This Row],['# HH received Sanitary Pads]]/WWWW[[#This Row],[Total HH]]&gt;1,1,WWWW[[#This Row],['# HH received Sanitary Pads]]/WWWW[[#This Row],[Total HH]])</f>
        <v>0</v>
      </c>
      <c r="CE152" s="210">
        <f>WWWW[[#This Row],['# HH received soaps]]*5</f>
        <v>0</v>
      </c>
      <c r="CF152" s="210">
        <f>WWWW[[#This Row],['# HH received Sanitary Pads]]*5</f>
        <v>0</v>
      </c>
      <c r="CG152" s="210">
        <f>IF(WWWW[[#This Row],['# People with access to soap]]&gt;WWWW[[#This Row],['# People with access to Sanity Pads]],WWWW[[#This Row],['# People with access to soap]],WWWW[[#This Row],['# People with access to Sanity Pads]])</f>
        <v>0</v>
      </c>
      <c r="CH152" s="209">
        <f>WWWW[[#This Row],[Total HH]]*WWWW[[#This Row],[%HHs with access to functional hand washing stations]]</f>
        <v>92.399999999999991</v>
      </c>
      <c r="CI152" s="699" t="str">
        <f>VLOOKUP(WWWW[[#This Row],[Site Name]],SiteDB6[[Site Name]:[CCCM Management]],6,FALSE)</f>
        <v>Yes</v>
      </c>
      <c r="CJ152" s="699" t="str">
        <f>VLOOKUP(WWWW[[#This Row],[Site Name]],SiteDB6[[Site Name]:[CCCM Focal Agency]],7,FALSE)</f>
        <v>KBC</v>
      </c>
      <c r="CK152" s="699" t="str">
        <f>VLOOKUP(WWWW[[#This Row],[Site Name]],SiteDB6[[Site Name]:[Location Type]],8,FALSE)</f>
        <v>Camp</v>
      </c>
      <c r="CL152" s="699" t="str">
        <f>VLOOKUP(WWWW[[#This Row],[Site Name]],SiteDB6[[Site Name]:[Location Type 1]],9,FALSE)</f>
        <v>Camp</v>
      </c>
      <c r="CM152" s="699" t="str">
        <f>VLOOKUP(WWWW[[#This Row],[Site Name]],SiteDB6[[Site Name]:[Type of Accommodation]],10,FALSE)</f>
        <v>Camp</v>
      </c>
      <c r="CN152" s="699" t="str">
        <f>VLOOKUP(WWWW[[#This Row],[Site Name]],SiteDB6[[Site Name]:[Ethnic or GCA/NGCA]],11,FALSE)</f>
        <v>NGCA</v>
      </c>
      <c r="CO152" s="699">
        <f>VLOOKUP(WWWW[[#This Row],[Site Name]],SiteDB6[[Site Name]:[Lat]],12,FALSE)</f>
        <v>25.200333000000001</v>
      </c>
      <c r="CP152" s="699">
        <f>VLOOKUP(WWWW[[#This Row],[Site Name]],SiteDB6[[Site Name]:[Long]],13,FALSE)</f>
        <v>97.807182999999995</v>
      </c>
      <c r="CQ152" s="699" t="str">
        <f>VLOOKUP(WWWW[[#This Row],[Site Name]],SiteDB6[[Site Name]:[Pcode]],3,FALSE)</f>
        <v>MMR001CMP115</v>
      </c>
      <c r="CR152" s="660" t="str">
        <f t="shared" si="2"/>
        <v>Covered</v>
      </c>
      <c r="CS152" s="660"/>
      <c r="CT152" s="24"/>
      <c r="CU152" s="24"/>
      <c r="CV152" s="24"/>
    </row>
    <row r="153" spans="1:100" ht="15.75" customHeight="1" x14ac:dyDescent="0.25">
      <c r="A153" s="833" t="s">
        <v>3206</v>
      </c>
      <c r="B153" s="206" t="s">
        <v>338</v>
      </c>
      <c r="C153" s="206" t="s">
        <v>44</v>
      </c>
      <c r="D153" s="206" t="s">
        <v>288</v>
      </c>
      <c r="E153" s="206" t="s">
        <v>370</v>
      </c>
      <c r="F153" s="206">
        <v>144</v>
      </c>
      <c r="G153" s="209">
        <v>862</v>
      </c>
      <c r="H153" s="206"/>
      <c r="I153" s="206" t="s">
        <v>364</v>
      </c>
      <c r="J153" s="207">
        <v>43465</v>
      </c>
      <c r="K153" s="206">
        <v>0</v>
      </c>
      <c r="L153" s="206" t="s">
        <v>48</v>
      </c>
      <c r="M153" s="208">
        <v>0.5</v>
      </c>
      <c r="N153" s="208">
        <v>0.5</v>
      </c>
      <c r="O153" s="316">
        <v>1</v>
      </c>
      <c r="P153" s="317">
        <v>0</v>
      </c>
      <c r="Q153" s="317">
        <v>21550</v>
      </c>
      <c r="R153" s="318">
        <v>0</v>
      </c>
      <c r="S153" s="318">
        <v>0</v>
      </c>
      <c r="T153" s="318">
        <v>3</v>
      </c>
      <c r="U153" s="318">
        <v>3</v>
      </c>
      <c r="V153" s="318"/>
      <c r="W153" s="318"/>
      <c r="X153" s="318"/>
      <c r="Y153" s="318">
        <v>4</v>
      </c>
      <c r="Z153" s="318">
        <v>0</v>
      </c>
      <c r="AA153" s="310">
        <v>20</v>
      </c>
      <c r="AB153" s="310">
        <v>0</v>
      </c>
      <c r="AC153" s="66"/>
      <c r="AD153" s="66"/>
      <c r="AE153" s="310">
        <v>0</v>
      </c>
      <c r="AF153" s="310" t="s">
        <v>283</v>
      </c>
      <c r="AG153" s="311" t="s">
        <v>283</v>
      </c>
      <c r="AH153" s="311"/>
      <c r="AI153" s="310"/>
      <c r="AJ153" s="310">
        <v>0</v>
      </c>
      <c r="AK153" s="841">
        <v>1</v>
      </c>
      <c r="AL153" s="842" t="s">
        <v>376</v>
      </c>
      <c r="AM153" s="842">
        <v>0</v>
      </c>
      <c r="AN153" s="863">
        <v>0</v>
      </c>
      <c r="AO153" s="863">
        <v>0</v>
      </c>
      <c r="AP153" s="838">
        <v>776</v>
      </c>
      <c r="AQ153" s="843">
        <v>490</v>
      </c>
      <c r="AR153" s="843" t="s">
        <v>282</v>
      </c>
      <c r="AS153" s="843"/>
      <c r="AT153" s="843"/>
      <c r="AU153" s="843"/>
      <c r="AV153" s="844">
        <v>0</v>
      </c>
      <c r="AW153" s="208">
        <f>IFERROR(WWWW[[#This Row],['# of Water passed at source]]/WWWW[[#This Row],['# of Water tested at source]],"no test")</f>
        <v>0</v>
      </c>
      <c r="AX153" s="211" t="str">
        <f>IFERROR(WWWW[[#This Row],['# of Water passed at HH]]/WWWW[[#This Row],['# of Water tested at HH]],"no test")</f>
        <v>no test</v>
      </c>
      <c r="AY153" s="210" t="str">
        <f>IF(AND(WWWW[[#This Row],[%of Water samples which passed at water source]]="no test",WWWW[[#This Row],[%Water samples which passed at HH]]="no test"),"No Test","Tested")</f>
        <v>Tested</v>
      </c>
      <c r="AZ15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53" s="211">
        <f>IF(WWWW[[#This Row],[Location Type 1]]="Village",WWWW[[#This Row],[Access to safe drinking water for Village]],WWWW[[#This Row],[Access to safe drinking water for Camp]])</f>
        <v>1</v>
      </c>
      <c r="BC153" s="209">
        <f>WWWW[[#This Row],[%Equitable and continuous access to sufficient quantity of safe drinking water]]*WWWW[[#This Row],[Total PoP ]]</f>
        <v>862</v>
      </c>
      <c r="BD153" s="211">
        <f>IF((WWWW[[#This Row],['# Existing protected/fenced ponds ]]*250)/WWWW[[#This Row],[Total PoP ]]&gt;1,1,WWWW[[#This Row],['# Existing protected/fenced ponds ]]*250/WWWW[[#This Row],[Total PoP ]])</f>
        <v>0</v>
      </c>
      <c r="BE153" s="209">
        <f>WWWW[[#This Row],[Access to unimproved water points]]*WWWW[[#This Row],[Total PoP ]]</f>
        <v>0</v>
      </c>
      <c r="BF15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862</v>
      </c>
      <c r="BH153" s="209">
        <f>ROUND(WWWW[[#This Row],['#people Equitable and continuous access to sufficient quantity of domestic water borehole n ponds_2]]/500,0)</f>
        <v>2</v>
      </c>
      <c r="BI153" s="208">
        <f>1-WWWW[[#This Row],[%Equitable and continuous access to sufficient quantity of domestic water borehole n ponds]]</f>
        <v>0</v>
      </c>
      <c r="BJ153" s="209">
        <f>WWWW[[#This Row],[%equitable and continuous access to sufficient quantity of safe drinking and domestic water''s GAP]]*WWWW[[#This Row],[Total PoP ]]</f>
        <v>0</v>
      </c>
      <c r="BK153" s="210">
        <f>IF(WWWW[[#This Row],[Total required water points]]-WWWW[[#This Row],['#Water points coverage]]&lt;0,0,WWWW[[#This Row],[Total required water points]]-WWWW[[#This Row],['#Water points coverage]])</f>
        <v>0</v>
      </c>
      <c r="BL153" s="210">
        <f>ROUND(IF(WWWW[[#This Row],[Total PoP ]]&lt;500,1,WWWW[[#This Row],[Total PoP ]]/500),0)</f>
        <v>2</v>
      </c>
      <c r="BM153" s="210">
        <f>WWWW[[#This Row],['# Existing functional latrines]]+WWWW[[#This Row],['# Existing latrines dysfunctional]]</f>
        <v>20</v>
      </c>
      <c r="BN15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0.46403712296983757</v>
      </c>
      <c r="BO153" s="352">
        <f>WWWW[[#This Row],[% people access to functioning Latrine]]*WWWW[[#This Row],[Total PoP ]]</f>
        <v>400</v>
      </c>
      <c r="BP15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0.53364269141531318</v>
      </c>
      <c r="BQ153" s="209">
        <f>IF(WWWW[[#This Row],[Total required Latrines]]-WWWW[[#This Row],[Total '# of latrine]]&lt;0,0,WWWW[[#This Row],[Total required Latrines]]-WWWW[[#This Row],[Total '# of latrine]])</f>
        <v>23</v>
      </c>
      <c r="BR153" s="210">
        <f>ROUND(IF(WWWW[[#This Row],[Location Type 1]]="camp",WWWW[[#This Row],[Total PoP ]]/20,WWWW[[#This Row],[Total PoP ]]/6),0)</f>
        <v>43</v>
      </c>
      <c r="BS153" s="212">
        <f>IF(OR(WWWW[[#This Row],['# Existing latrines dysfunctional]]="",WWWW[[#This Row],['# Existing latrines dysfunctional]]=0),0,WWWW[[#This Row],['# Existing latrines dysfunctional]]/WWWW[[#This Row],[Total '# of latrine]])</f>
        <v>0</v>
      </c>
      <c r="BT15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53" s="209">
        <f>IF(500*WWWW[[#This Row],['# Hygiene Promoters ]]&gt;WWWW[[#This Row],[Total PoP ]],WWWW[[#This Row],[Total PoP ]],500*WWWW[[#This Row],['# Hygiene Promoters ]])</f>
        <v>0</v>
      </c>
      <c r="BV153" s="209">
        <f>IF(WWWW[[#This Row],[% of HH with access to Sanitary Pad]]&gt;=100%,1,0)</f>
        <v>1</v>
      </c>
      <c r="BW153" s="209">
        <f>IF(WWWW[[#This Row],[Total PoP ]]=0,0,IF(WWWW[[#This Row],['# Hygiene Promoters ]]=0,0,IF(WWWW[[#This Row],[Location Type 1]]="Village",IF(WWWW[[#This Row],[Total PoP ]]/WWWW[[#This Row],['# Hygiene Promoters ]]&lt;1000,1,0),IF(WWWW[[#This Row],[Total PoP ]]/WWWW[[#This Row],['# Hygiene Promoters ]]&lt;600,1,0))))</f>
        <v>0</v>
      </c>
      <c r="BX153" s="209">
        <f>IF(WWWW[[#This Row],[%HH with access to soap]]&gt;=100%,1,0)</f>
        <v>1</v>
      </c>
      <c r="BY153" s="209">
        <f>IF(WWWW[[#This Row],[% of HHs with access to Sanitary pad more than '#%]]+WWWW[[#This Row],[Ratio of Hyiene promoters to people less than '#]]+WWWW[[#This Row],[% of HHs with access to soap more than '#%]]&gt;=2,WWWW[[#This Row],[Total PoP ]],0)</f>
        <v>862</v>
      </c>
      <c r="BZ153" s="208">
        <f>WWWW[[#This Row],[People adopt basic personal and community hygiene practices]]/WWWW[[#This Row],[Total PoP ]]</f>
        <v>1</v>
      </c>
      <c r="CA153" s="212">
        <f>1-WWWW[[#This Row],[Hygiene Coverage%]]</f>
        <v>0</v>
      </c>
      <c r="CB153" s="211">
        <f>WWWW[[#This Row],['# people reached by regular dedicated hygiene promotion_5]]/WWWW[[#This Row],[Total PoP ]]</f>
        <v>0</v>
      </c>
      <c r="CC153" s="211">
        <f>IF(WWWW[[#This Row],['# HH received soaps]]/WWWW[[#This Row],[Total HH]]&gt;1,1,WWWW[[#This Row],['# HH received soaps]]/WWWW[[#This Row],[Total HH]])</f>
        <v>1</v>
      </c>
      <c r="CD153" s="211">
        <f>IF(WWWW[[#This Row],['# HH received Sanitary Pads]]/WWWW[[#This Row],[Total HH]]&gt;1,1,WWWW[[#This Row],['# HH received Sanitary Pads]]/WWWW[[#This Row],[Total HH]])</f>
        <v>1</v>
      </c>
      <c r="CE153" s="210">
        <f>WWWW[[#This Row],['# HH received soaps]]*5</f>
        <v>3880</v>
      </c>
      <c r="CF153" s="210">
        <f>WWWW[[#This Row],['# HH received Sanitary Pads]]*5</f>
        <v>2450</v>
      </c>
      <c r="CG153" s="210">
        <f>IF(WWWW[[#This Row],['# People with access to soap]]&gt;WWWW[[#This Row],['# People with access to Sanity Pads]],WWWW[[#This Row],['# People with access to soap]],WWWW[[#This Row],['# People with access to Sanity Pads]])</f>
        <v>3880</v>
      </c>
      <c r="CH153" s="209">
        <f>WWWW[[#This Row],[Total HH]]*WWWW[[#This Row],[%HHs with access to functional hand washing stations]]</f>
        <v>144</v>
      </c>
      <c r="CI153" s="699">
        <f>VLOOKUP(WWWW[[#This Row],[Site Name]],SiteDB6[[Site Name]:[CCCM Management]],6,FALSE)</f>
        <v>0</v>
      </c>
      <c r="CJ153" s="699" t="str">
        <f>VLOOKUP(WWWW[[#This Row],[Site Name]],SiteDB6[[Site Name]:[CCCM Focal Agency]],7,FALSE)</f>
        <v>uncovered</v>
      </c>
      <c r="CK153" s="699" t="str">
        <f>VLOOKUP(WWWW[[#This Row],[Site Name]],SiteDB6[[Site Name]:[Location Type]],8,FALSE)</f>
        <v>Camp</v>
      </c>
      <c r="CL153" s="699" t="str">
        <f>VLOOKUP(WWWW[[#This Row],[Site Name]],SiteDB6[[Site Name]:[Location Type 1]],9,FALSE)</f>
        <v>Camp</v>
      </c>
      <c r="CM153" s="699" t="str">
        <f>VLOOKUP(WWWW[[#This Row],[Site Name]],SiteDB6[[Site Name]:[Type of Accommodation]],10,FALSE)</f>
        <v>Boarding School</v>
      </c>
      <c r="CN153" s="699" t="str">
        <f>VLOOKUP(WWWW[[#This Row],[Site Name]],SiteDB6[[Site Name]:[Ethnic or GCA/NGCA]],11,FALSE)</f>
        <v>NGCA</v>
      </c>
      <c r="CO153" s="699">
        <f>VLOOKUP(WWWW[[#This Row],[Site Name]],SiteDB6[[Site Name]:[Lat]],12,FALSE)</f>
        <v>24.752471</v>
      </c>
      <c r="CP153" s="699">
        <f>VLOOKUP(WWWW[[#This Row],[Site Name]],SiteDB6[[Site Name]:[Long]],13,FALSE)</f>
        <v>97.541793999999996</v>
      </c>
      <c r="CQ153" s="699" t="str">
        <f>VLOOKUP(WWWW[[#This Row],[Site Name]],SiteDB6[[Site Name]:[Pcode]],3,FALSE)</f>
        <v>MMR001CMP208</v>
      </c>
      <c r="CR153" s="660" t="str">
        <f t="shared" si="2"/>
        <v>Covered</v>
      </c>
      <c r="CS153" s="660"/>
      <c r="CT153" s="24"/>
      <c r="CU153" s="24"/>
      <c r="CV153" s="24"/>
    </row>
    <row r="154" spans="1:100" ht="15.75" customHeight="1" x14ac:dyDescent="0.25">
      <c r="A154" s="833" t="s">
        <v>3206</v>
      </c>
      <c r="B154" s="206" t="s">
        <v>287</v>
      </c>
      <c r="C154" s="206" t="s">
        <v>44</v>
      </c>
      <c r="D154" s="206" t="s">
        <v>288</v>
      </c>
      <c r="E154" s="206" t="s">
        <v>322</v>
      </c>
      <c r="F154" s="206">
        <v>31</v>
      </c>
      <c r="G154" s="209">
        <v>178</v>
      </c>
      <c r="H154" s="206"/>
      <c r="I154" s="206" t="s">
        <v>290</v>
      </c>
      <c r="J154" s="207" t="s">
        <v>3253</v>
      </c>
      <c r="K154" s="206">
        <v>0</v>
      </c>
      <c r="L154" s="206" t="s">
        <v>48</v>
      </c>
      <c r="M154" s="208">
        <v>0.6</v>
      </c>
      <c r="N154" s="208">
        <v>0.5</v>
      </c>
      <c r="O154" s="316">
        <v>2</v>
      </c>
      <c r="P154" s="317">
        <v>1</v>
      </c>
      <c r="Q154" s="317">
        <v>0</v>
      </c>
      <c r="R154" s="318">
        <v>0</v>
      </c>
      <c r="S154" s="318">
        <v>0</v>
      </c>
      <c r="T154" s="318"/>
      <c r="U154" s="318">
        <v>0</v>
      </c>
      <c r="V154" s="318">
        <v>0</v>
      </c>
      <c r="W154" s="318">
        <v>0</v>
      </c>
      <c r="X154" s="318">
        <v>0</v>
      </c>
      <c r="Y154" s="318">
        <v>0</v>
      </c>
      <c r="Z154" s="318"/>
      <c r="AA154" s="310">
        <v>6</v>
      </c>
      <c r="AB154" s="310">
        <v>0</v>
      </c>
      <c r="AC154" s="66">
        <v>0</v>
      </c>
      <c r="AD154" s="66"/>
      <c r="AE154" s="310">
        <v>0</v>
      </c>
      <c r="AF154" s="310" t="s">
        <v>283</v>
      </c>
      <c r="AG154" s="311" t="s">
        <v>1358</v>
      </c>
      <c r="AH154" s="311"/>
      <c r="AI154" s="310"/>
      <c r="AJ154" s="310"/>
      <c r="AK154" s="841">
        <v>0.6</v>
      </c>
      <c r="AL154" s="842" t="s">
        <v>291</v>
      </c>
      <c r="AM154" s="842">
        <v>0</v>
      </c>
      <c r="AN154" s="863">
        <v>3</v>
      </c>
      <c r="AO154" s="863">
        <v>1</v>
      </c>
      <c r="AP154" s="838">
        <v>0</v>
      </c>
      <c r="AQ154" s="843">
        <v>0</v>
      </c>
      <c r="AR154" s="843"/>
      <c r="AS154" s="843"/>
      <c r="AT154" s="843"/>
      <c r="AU154" s="843"/>
      <c r="AV154" s="844"/>
      <c r="AW154" s="208" t="str">
        <f>IFERROR(WWWW[[#This Row],['# of Water passed at source]]/WWWW[[#This Row],['# of Water tested at source]],"no test")</f>
        <v>no test</v>
      </c>
      <c r="AX154" s="211" t="str">
        <f>IFERROR(WWWW[[#This Row],['# of Water passed at HH]]/WWWW[[#This Row],['# of Water tested at HH]],"no test")</f>
        <v>no test</v>
      </c>
      <c r="AY154" s="210" t="str">
        <f>IF(AND(WWWW[[#This Row],[%of Water samples which passed at water source]]="no test",WWWW[[#This Row],[%Water samples which passed at HH]]="no test"),"No Test","Tested")</f>
        <v>No Test</v>
      </c>
      <c r="AZ15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54" s="211">
        <f>IF(WWWW[[#This Row],[Location Type 1]]="Village",WWWW[[#This Row],[Access to safe drinking water for Village]],WWWW[[#This Row],[Access to safe drinking water for Camp]])</f>
        <v>1</v>
      </c>
      <c r="BC154" s="209">
        <f>WWWW[[#This Row],[%Equitable and continuous access to sufficient quantity of safe drinking water]]*WWWW[[#This Row],[Total PoP ]]</f>
        <v>178</v>
      </c>
      <c r="BD154" s="211">
        <f>IF((WWWW[[#This Row],['# Existing protected/fenced ponds ]]*250)/WWWW[[#This Row],[Total PoP ]]&gt;1,1,WWWW[[#This Row],['# Existing protected/fenced ponds ]]*250/WWWW[[#This Row],[Total PoP ]])</f>
        <v>0</v>
      </c>
      <c r="BE154" s="209">
        <f>WWWW[[#This Row],[Access to unimproved water points]]*WWWW[[#This Row],[Total PoP ]]</f>
        <v>0</v>
      </c>
      <c r="BF15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178</v>
      </c>
      <c r="BH154" s="209">
        <f>WWWW[[#This Row],['#people Equitable and continuous access to sufficient quantity of domestic water borehole n ponds_2]]/500</f>
        <v>0.35599999999999998</v>
      </c>
      <c r="BI154" s="208">
        <f>1-WWWW[[#This Row],[%Equitable and continuous access to sufficient quantity of domestic water borehole n ponds]]</f>
        <v>0</v>
      </c>
      <c r="BJ154" s="209">
        <f>WWWW[[#This Row],[%equitable and continuous access to sufficient quantity of safe drinking and domestic water''s GAP]]*WWWW[[#This Row],[Total PoP ]]</f>
        <v>0</v>
      </c>
      <c r="BK154" s="210">
        <f>IF(WWWW[[#This Row],[Total required water points]]-WWWW[[#This Row],['#Water points coverage]]&lt;0,0,WWWW[[#This Row],[Total required water points]]-WWWW[[#This Row],['#Water points coverage]])</f>
        <v>0.64400000000000002</v>
      </c>
      <c r="BL154" s="210">
        <f>ROUND(IF(WWWW[[#This Row],[Total PoP ]]&lt;500,1,WWWW[[#This Row],[Total PoP ]]/500),0)</f>
        <v>1</v>
      </c>
      <c r="BM154" s="210">
        <f>WWWW[[#This Row],['# Existing functional latrines]]+WWWW[[#This Row],['# Existing latrines dysfunctional]]</f>
        <v>6</v>
      </c>
      <c r="BN15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0.6741573033707865</v>
      </c>
      <c r="BO154" s="352">
        <f>WWWW[[#This Row],[% people access to functioning Latrine]]*WWWW[[#This Row],[Total PoP ]]</f>
        <v>120</v>
      </c>
      <c r="BP15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0.33707865168539325</v>
      </c>
      <c r="BQ154" s="209">
        <f>IF(WWWW[[#This Row],[Total required Latrines]]-WWWW[[#This Row],[Total '# of latrine]]&lt;0,0,WWWW[[#This Row],[Total required Latrines]]-WWWW[[#This Row],[Total '# of latrine]])</f>
        <v>3</v>
      </c>
      <c r="BR154" s="210">
        <f>ROUND(IF(WWWW[[#This Row],[Location Type 1]]="camp",WWWW[[#This Row],[Total PoP ]]/20,WWWW[[#This Row],[Total PoP ]]/6),0)</f>
        <v>9</v>
      </c>
      <c r="BS154" s="212">
        <f>IF(OR(WWWW[[#This Row],['# Existing latrines dysfunctional]]="",WWWW[[#This Row],['# Existing latrines dysfunctional]]=0),0,WWWW[[#This Row],['# Existing latrines dysfunctional]]/WWWW[[#This Row],[Total '# of latrine]])</f>
        <v>0</v>
      </c>
      <c r="BT15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54" s="209">
        <f>IF(500*WWWW[[#This Row],['# Hygiene Promoters ]]&gt;WWWW[[#This Row],[Total PoP ]],WWWW[[#This Row],[Total PoP ]],500*WWWW[[#This Row],['# Hygiene Promoters ]])</f>
        <v>178</v>
      </c>
      <c r="BV154" s="209">
        <f>IF(WWWW[[#This Row],[% of HH with access to Sanitary Pad]]&gt;=100%,1,0)</f>
        <v>0</v>
      </c>
      <c r="BW154" s="209">
        <f>IF(WWWW[[#This Row],[Total PoP ]]=0,0,IF(WWWW[[#This Row],['# Hygiene Promoters ]]=0,0,IF(WWWW[[#This Row],[Location Type 1]]="Village",IF(WWWW[[#This Row],[Total PoP ]]/WWWW[[#This Row],['# Hygiene Promoters ]]&lt;1000,1,0),IF(WWWW[[#This Row],[Total PoP ]]/WWWW[[#This Row],['# Hygiene Promoters ]]&lt;600,1,0))))</f>
        <v>1</v>
      </c>
      <c r="BX154" s="209">
        <f>IF(WWWW[[#This Row],[%HH with access to soap]]&gt;=100%,1,0)</f>
        <v>0</v>
      </c>
      <c r="BY154" s="209">
        <f>IF(WWWW[[#This Row],[% of HHs with access to Sanitary pad more than '#%]]+WWWW[[#This Row],[Ratio of Hyiene promoters to people less than '#]]+WWWW[[#This Row],[% of HHs with access to soap more than '#%]]&gt;=2,WWWW[[#This Row],[Total PoP ]],0)</f>
        <v>0</v>
      </c>
      <c r="BZ154" s="208">
        <f>WWWW[[#This Row],[People adopt basic personal and community hygiene practices]]/WWWW[[#This Row],[Total PoP ]]</f>
        <v>0</v>
      </c>
      <c r="CA154" s="212">
        <f>1-WWWW[[#This Row],[Hygiene Coverage%]]</f>
        <v>1</v>
      </c>
      <c r="CB154" s="211">
        <f>WWWW[[#This Row],['# people reached by regular dedicated hygiene promotion_5]]/WWWW[[#This Row],[Total PoP ]]</f>
        <v>1</v>
      </c>
      <c r="CC154" s="211">
        <f>IF(WWWW[[#This Row],['# HH received soaps]]/WWWW[[#This Row],[Total HH]]&gt;1,1,WWWW[[#This Row],['# HH received soaps]]/WWWW[[#This Row],[Total HH]])</f>
        <v>0</v>
      </c>
      <c r="CD154" s="211">
        <f>IF(WWWW[[#This Row],['# HH received Sanitary Pads]]/WWWW[[#This Row],[Total HH]]&gt;1,1,WWWW[[#This Row],['# HH received Sanitary Pads]]/WWWW[[#This Row],[Total HH]])</f>
        <v>0</v>
      </c>
      <c r="CE154" s="210">
        <f>WWWW[[#This Row],['# HH received soaps]]*5</f>
        <v>0</v>
      </c>
      <c r="CF154" s="210">
        <f>WWWW[[#This Row],['# HH received Sanitary Pads]]*5</f>
        <v>0</v>
      </c>
      <c r="CG154" s="210">
        <f>IF(WWWW[[#This Row],['# People with access to soap]]&gt;WWWW[[#This Row],['# People with access to Sanity Pads]],WWWW[[#This Row],['# People with access to soap]],WWWW[[#This Row],['# People with access to Sanity Pads]])</f>
        <v>0</v>
      </c>
      <c r="CH154" s="209">
        <f>WWWW[[#This Row],[Total HH]]*WWWW[[#This Row],[%HHs with access to functional hand washing stations]]</f>
        <v>18.599999999999998</v>
      </c>
      <c r="CI154" s="699" t="str">
        <f>VLOOKUP(WWWW[[#This Row],[Site Name]],SiteDB6[[Site Name]:[CCCM Management]],6,FALSE)</f>
        <v>Yes</v>
      </c>
      <c r="CJ154" s="699" t="str">
        <f>VLOOKUP(WWWW[[#This Row],[Site Name]],SiteDB6[[Site Name]:[CCCM Focal Agency]],7,FALSE)</f>
        <v>KBC</v>
      </c>
      <c r="CK154" s="699" t="str">
        <f>VLOOKUP(WWWW[[#This Row],[Site Name]],SiteDB6[[Site Name]:[Location Type]],8,FALSE)</f>
        <v>Camp</v>
      </c>
      <c r="CL154" s="699" t="str">
        <f>VLOOKUP(WWWW[[#This Row],[Site Name]],SiteDB6[[Site Name]:[Location Type 1]],9,FALSE)</f>
        <v>Camp</v>
      </c>
      <c r="CM154" s="699" t="str">
        <f>VLOOKUP(WWWW[[#This Row],[Site Name]],SiteDB6[[Site Name]:[Type of Accommodation]],10,FALSE)</f>
        <v>Camp</v>
      </c>
      <c r="CN154" s="699" t="str">
        <f>VLOOKUP(WWWW[[#This Row],[Site Name]],SiteDB6[[Site Name]:[Ethnic or GCA/NGCA]],11,FALSE)</f>
        <v>GCA</v>
      </c>
      <c r="CO154" s="699">
        <f>VLOOKUP(WWWW[[#This Row],[Site Name]],SiteDB6[[Site Name]:[Lat]],12,FALSE)</f>
        <v>25.356632000000001</v>
      </c>
      <c r="CP154" s="699">
        <f>VLOOKUP(WWWW[[#This Row],[Site Name]],SiteDB6[[Site Name]:[Long]],13,FALSE)</f>
        <v>97.451965000000001</v>
      </c>
      <c r="CQ154" s="699" t="str">
        <f>VLOOKUP(WWWW[[#This Row],[Site Name]],SiteDB6[[Site Name]:[Pcode]],3,FALSE)</f>
        <v>MMR001CMP027</v>
      </c>
      <c r="CR154" s="660" t="str">
        <f t="shared" si="2"/>
        <v>Covered</v>
      </c>
      <c r="CS154" s="660"/>
      <c r="CT154" s="24"/>
      <c r="CU154" s="24"/>
      <c r="CV154" s="24"/>
    </row>
    <row r="155" spans="1:100" ht="15.75" customHeight="1" x14ac:dyDescent="0.25">
      <c r="A155" s="833" t="s">
        <v>3206</v>
      </c>
      <c r="B155" s="206" t="s">
        <v>287</v>
      </c>
      <c r="C155" s="206" t="s">
        <v>44</v>
      </c>
      <c r="D155" s="206" t="s">
        <v>288</v>
      </c>
      <c r="E155" s="206" t="s">
        <v>323</v>
      </c>
      <c r="F155" s="206">
        <v>440</v>
      </c>
      <c r="G155" s="209">
        <v>1723</v>
      </c>
      <c r="H155" s="206"/>
      <c r="I155" s="206" t="s">
        <v>290</v>
      </c>
      <c r="J155" s="207" t="s">
        <v>3253</v>
      </c>
      <c r="K155" s="206">
        <v>0</v>
      </c>
      <c r="L155" s="206" t="s">
        <v>48</v>
      </c>
      <c r="M155" s="208">
        <v>0.6</v>
      </c>
      <c r="N155" s="208">
        <v>0.5</v>
      </c>
      <c r="O155" s="316">
        <v>0</v>
      </c>
      <c r="P155" s="317">
        <v>0</v>
      </c>
      <c r="Q155" s="317">
        <v>349920</v>
      </c>
      <c r="R155" s="318">
        <v>0</v>
      </c>
      <c r="S155" s="318">
        <v>0</v>
      </c>
      <c r="T155" s="318"/>
      <c r="U155" s="318">
        <v>0</v>
      </c>
      <c r="V155" s="318">
        <v>0</v>
      </c>
      <c r="W155" s="318">
        <v>0</v>
      </c>
      <c r="X155" s="318">
        <v>0</v>
      </c>
      <c r="Y155" s="318">
        <v>0</v>
      </c>
      <c r="Z155" s="318"/>
      <c r="AA155" s="310">
        <v>500</v>
      </c>
      <c r="AB155" s="310">
        <v>0</v>
      </c>
      <c r="AC155" s="66">
        <v>0</v>
      </c>
      <c r="AD155" s="66"/>
      <c r="AE155" s="310">
        <v>0</v>
      </c>
      <c r="AF155" s="310" t="s">
        <v>283</v>
      </c>
      <c r="AG155" s="311" t="s">
        <v>283</v>
      </c>
      <c r="AH155" s="311"/>
      <c r="AI155" s="310"/>
      <c r="AJ155" s="310"/>
      <c r="AK155" s="841">
        <v>0.6</v>
      </c>
      <c r="AL155" s="842" t="s">
        <v>284</v>
      </c>
      <c r="AM155" s="842">
        <v>0</v>
      </c>
      <c r="AN155" s="863">
        <v>12</v>
      </c>
      <c r="AO155" s="863">
        <v>6</v>
      </c>
      <c r="AP155" s="838">
        <v>0</v>
      </c>
      <c r="AQ155" s="843">
        <v>0</v>
      </c>
      <c r="AR155" s="843"/>
      <c r="AS155" s="843"/>
      <c r="AT155" s="843"/>
      <c r="AU155" s="843"/>
      <c r="AV155" s="844"/>
      <c r="AW155" s="208" t="str">
        <f>IFERROR(WWWW[[#This Row],['# of Water passed at source]]/WWWW[[#This Row],['# of Water tested at source]],"no test")</f>
        <v>no test</v>
      </c>
      <c r="AX155" s="211" t="str">
        <f>IFERROR(WWWW[[#This Row],['# of Water passed at HH]]/WWWW[[#This Row],['# of Water tested at HH]],"no test")</f>
        <v>no test</v>
      </c>
      <c r="AY155" s="210" t="str">
        <f>IF(AND(WWWW[[#This Row],[%of Water samples which passed at water source]]="no test",WWWW[[#This Row],[%Water samples which passed at HH]]="no test"),"No Test","Tested")</f>
        <v>No Test</v>
      </c>
      <c r="AZ15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55" s="211">
        <f>IF(WWWW[[#This Row],[Location Type 1]]="Village",WWWW[[#This Row],[Access to safe drinking water for Village]],WWWW[[#This Row],[Access to safe drinking water for Camp]])</f>
        <v>1</v>
      </c>
      <c r="BC155" s="209">
        <f>WWWW[[#This Row],[%Equitable and continuous access to sufficient quantity of safe drinking water]]*WWWW[[#This Row],[Total PoP ]]</f>
        <v>1723</v>
      </c>
      <c r="BD155" s="211">
        <f>IF((WWWW[[#This Row],['# Existing protected/fenced ponds ]]*250)/WWWW[[#This Row],[Total PoP ]]&gt;1,1,WWWW[[#This Row],['# Existing protected/fenced ponds ]]*250/WWWW[[#This Row],[Total PoP ]])</f>
        <v>0</v>
      </c>
      <c r="BE155" s="209">
        <f>WWWW[[#This Row],[Access to unimproved water points]]*WWWW[[#This Row],[Total PoP ]]</f>
        <v>0</v>
      </c>
      <c r="BF15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1723</v>
      </c>
      <c r="BH155" s="209">
        <f>WWWW[[#This Row],['#people Equitable and continuous access to sufficient quantity of domestic water borehole n ponds_2]]/500</f>
        <v>3.4460000000000002</v>
      </c>
      <c r="BI155" s="208">
        <f>1-WWWW[[#This Row],[%Equitable and continuous access to sufficient quantity of domestic water borehole n ponds]]</f>
        <v>0</v>
      </c>
      <c r="BJ155" s="209">
        <f>WWWW[[#This Row],[%equitable and continuous access to sufficient quantity of safe drinking and domestic water''s GAP]]*WWWW[[#This Row],[Total PoP ]]</f>
        <v>0</v>
      </c>
      <c r="BK155" s="210">
        <f>IF(WWWW[[#This Row],[Total required water points]]-WWWW[[#This Row],['#Water points coverage]]&lt;0,0,WWWW[[#This Row],[Total required water points]]-WWWW[[#This Row],['#Water points coverage]])</f>
        <v>0</v>
      </c>
      <c r="BL155" s="210">
        <f>ROUND(IF(WWWW[[#This Row],[Total PoP ]]&lt;500,1,WWWW[[#This Row],[Total PoP ]]/500),0)</f>
        <v>3</v>
      </c>
      <c r="BM155" s="210">
        <f>WWWW[[#This Row],['# Existing functional latrines]]+WWWW[[#This Row],['# Existing latrines dysfunctional]]</f>
        <v>500</v>
      </c>
      <c r="BN15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55" s="352">
        <f>WWWW[[#This Row],[% people access to functioning Latrine]]*WWWW[[#This Row],[Total PoP ]]</f>
        <v>1723</v>
      </c>
      <c r="BP15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55" s="209">
        <f>IF(WWWW[[#This Row],[Total required Latrines]]-WWWW[[#This Row],[Total '# of latrine]]&lt;0,0,WWWW[[#This Row],[Total required Latrines]]-WWWW[[#This Row],[Total '# of latrine]])</f>
        <v>0</v>
      </c>
      <c r="BR155" s="210">
        <f>ROUND(IF(WWWW[[#This Row],[Location Type 1]]="camp",WWWW[[#This Row],[Total PoP ]]/20,WWWW[[#This Row],[Total PoP ]]/6),0)</f>
        <v>287</v>
      </c>
      <c r="BS155" s="212">
        <f>IF(OR(WWWW[[#This Row],['# Existing latrines dysfunctional]]="",WWWW[[#This Row],['# Existing latrines dysfunctional]]=0),0,WWWW[[#This Row],['# Existing latrines dysfunctional]]/WWWW[[#This Row],[Total '# of latrine]])</f>
        <v>0</v>
      </c>
      <c r="BT15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55" s="209">
        <f>IF(500*WWWW[[#This Row],['# Hygiene Promoters ]]&gt;WWWW[[#This Row],[Total PoP ]],WWWW[[#This Row],[Total PoP ]],500*WWWW[[#This Row],['# Hygiene Promoters ]])</f>
        <v>1723</v>
      </c>
      <c r="BV155" s="209">
        <f>IF(WWWW[[#This Row],[% of HH with access to Sanitary Pad]]&gt;=100%,1,0)</f>
        <v>0</v>
      </c>
      <c r="BW155" s="209">
        <f>IF(WWWW[[#This Row],[Total PoP ]]=0,0,IF(WWWW[[#This Row],['# Hygiene Promoters ]]=0,0,IF(WWWW[[#This Row],[Location Type 1]]="Village",IF(WWWW[[#This Row],[Total PoP ]]/WWWW[[#This Row],['# Hygiene Promoters ]]&lt;1000,1,0),IF(WWWW[[#This Row],[Total PoP ]]/WWWW[[#This Row],['# Hygiene Promoters ]]&lt;600,1,0))))</f>
        <v>1</v>
      </c>
      <c r="BX155" s="209">
        <f>IF(WWWW[[#This Row],[%HH with access to soap]]&gt;=100%,1,0)</f>
        <v>0</v>
      </c>
      <c r="BY155" s="209">
        <f>IF(WWWW[[#This Row],[% of HHs with access to Sanitary pad more than '#%]]+WWWW[[#This Row],[Ratio of Hyiene promoters to people less than '#]]+WWWW[[#This Row],[% of HHs with access to soap more than '#%]]&gt;=2,WWWW[[#This Row],[Total PoP ]],0)</f>
        <v>0</v>
      </c>
      <c r="BZ155" s="208">
        <f>WWWW[[#This Row],[People adopt basic personal and community hygiene practices]]/WWWW[[#This Row],[Total PoP ]]</f>
        <v>0</v>
      </c>
      <c r="CA155" s="212">
        <f>1-WWWW[[#This Row],[Hygiene Coverage%]]</f>
        <v>1</v>
      </c>
      <c r="CB155" s="211">
        <f>WWWW[[#This Row],['# people reached by regular dedicated hygiene promotion_5]]/WWWW[[#This Row],[Total PoP ]]</f>
        <v>1</v>
      </c>
      <c r="CC155" s="211">
        <f>IF(WWWW[[#This Row],['# HH received soaps]]/WWWW[[#This Row],[Total HH]]&gt;1,1,WWWW[[#This Row],['# HH received soaps]]/WWWW[[#This Row],[Total HH]])</f>
        <v>0</v>
      </c>
      <c r="CD155" s="211">
        <f>IF(WWWW[[#This Row],['# HH received Sanitary Pads]]/WWWW[[#This Row],[Total HH]]&gt;1,1,WWWW[[#This Row],['# HH received Sanitary Pads]]/WWWW[[#This Row],[Total HH]])</f>
        <v>0</v>
      </c>
      <c r="CE155" s="210">
        <f>WWWW[[#This Row],['# HH received soaps]]*5</f>
        <v>0</v>
      </c>
      <c r="CF155" s="210">
        <f>WWWW[[#This Row],['# HH received Sanitary Pads]]*5</f>
        <v>0</v>
      </c>
      <c r="CG155" s="210">
        <f>IF(WWWW[[#This Row],['# People with access to soap]]&gt;WWWW[[#This Row],['# People with access to Sanity Pads]],WWWW[[#This Row],['# People with access to soap]],WWWW[[#This Row],['# People with access to Sanity Pads]])</f>
        <v>0</v>
      </c>
      <c r="CH155" s="209">
        <f>WWWW[[#This Row],[Total HH]]*WWWW[[#This Row],[%HHs with access to functional hand washing stations]]</f>
        <v>264</v>
      </c>
      <c r="CI155" s="699" t="str">
        <f>VLOOKUP(WWWW[[#This Row],[Site Name]],SiteDB6[[Site Name]:[CCCM Management]],6,FALSE)</f>
        <v>Yes</v>
      </c>
      <c r="CJ155" s="699" t="str">
        <f>VLOOKUP(WWWW[[#This Row],[Site Name]],SiteDB6[[Site Name]:[CCCM Focal Agency]],7,FALSE)</f>
        <v>KMSS-MYT</v>
      </c>
      <c r="CK155" s="699" t="str">
        <f>VLOOKUP(WWWW[[#This Row],[Site Name]],SiteDB6[[Site Name]:[Location Type]],8,FALSE)</f>
        <v>Camp</v>
      </c>
      <c r="CL155" s="699" t="str">
        <f>VLOOKUP(WWWW[[#This Row],[Site Name]],SiteDB6[[Site Name]:[Location Type 1]],9,FALSE)</f>
        <v>Village Type Camp</v>
      </c>
      <c r="CM155" s="699" t="str">
        <f>VLOOKUP(WWWW[[#This Row],[Site Name]],SiteDB6[[Site Name]:[Type of Accommodation]],10,FALSE)</f>
        <v>Camp</v>
      </c>
      <c r="CN155" s="699" t="str">
        <f>VLOOKUP(WWWW[[#This Row],[Site Name]],SiteDB6[[Site Name]:[Ethnic or GCA/NGCA]],11,FALSE)</f>
        <v>NGCA</v>
      </c>
      <c r="CO155" s="699">
        <f>VLOOKUP(WWWW[[#This Row],[Site Name]],SiteDB6[[Site Name]:[Lat]],12,FALSE)</f>
        <v>24.980250000000002</v>
      </c>
      <c r="CP155" s="699">
        <f>VLOOKUP(WWWW[[#This Row],[Site Name]],SiteDB6[[Site Name]:[Long]],13,FALSE)</f>
        <v>97.715230000000005</v>
      </c>
      <c r="CQ155" s="699" t="str">
        <f>VLOOKUP(WWWW[[#This Row],[Site Name]],SiteDB6[[Site Name]:[Pcode]],3,FALSE)</f>
        <v>MMR001CMP119</v>
      </c>
      <c r="CR155" s="660" t="str">
        <f t="shared" si="2"/>
        <v>Covered</v>
      </c>
      <c r="CS155" s="660"/>
      <c r="CT155" s="24"/>
      <c r="CU155" s="24"/>
      <c r="CV155" s="24"/>
    </row>
    <row r="156" spans="1:100" ht="15.75" customHeight="1" x14ac:dyDescent="0.25">
      <c r="A156" s="833" t="s">
        <v>3206</v>
      </c>
      <c r="B156" s="206" t="s">
        <v>389</v>
      </c>
      <c r="C156" s="206" t="s">
        <v>44</v>
      </c>
      <c r="D156" s="206" t="s">
        <v>288</v>
      </c>
      <c r="E156" s="206" t="s">
        <v>419</v>
      </c>
      <c r="F156" s="206">
        <v>333</v>
      </c>
      <c r="G156" s="209">
        <v>1801</v>
      </c>
      <c r="H156" s="206"/>
      <c r="I156" s="206" t="s">
        <v>391</v>
      </c>
      <c r="J156" s="207">
        <v>42947</v>
      </c>
      <c r="K156" s="206">
        <v>0</v>
      </c>
      <c r="L156" s="206" t="s">
        <v>48</v>
      </c>
      <c r="M156" s="208">
        <v>0.69</v>
      </c>
      <c r="N156" s="208">
        <v>1</v>
      </c>
      <c r="O156" s="316">
        <v>4</v>
      </c>
      <c r="P156" s="317">
        <v>3</v>
      </c>
      <c r="Q156" s="317">
        <v>4000</v>
      </c>
      <c r="R156" s="318">
        <v>0</v>
      </c>
      <c r="S156" s="318">
        <v>4</v>
      </c>
      <c r="T156" s="318"/>
      <c r="U156" s="318">
        <v>5</v>
      </c>
      <c r="V156" s="318">
        <v>0</v>
      </c>
      <c r="W156" s="318">
        <v>12</v>
      </c>
      <c r="X156" s="318">
        <v>1</v>
      </c>
      <c r="Y156" s="318">
        <v>0</v>
      </c>
      <c r="Z156" s="318"/>
      <c r="AA156" s="310">
        <v>29</v>
      </c>
      <c r="AB156" s="310">
        <v>6</v>
      </c>
      <c r="AC156" s="66">
        <v>9</v>
      </c>
      <c r="AD156" s="66" t="s">
        <v>2782</v>
      </c>
      <c r="AE156" s="310">
        <v>29</v>
      </c>
      <c r="AF156" s="310" t="s">
        <v>283</v>
      </c>
      <c r="AG156" s="311" t="s">
        <v>283</v>
      </c>
      <c r="AH156" s="311">
        <v>0</v>
      </c>
      <c r="AI156" s="310">
        <v>0</v>
      </c>
      <c r="AJ156" s="310"/>
      <c r="AK156" s="841">
        <v>0.5</v>
      </c>
      <c r="AL156" s="842" t="s">
        <v>376</v>
      </c>
      <c r="AM156" s="842">
        <v>0</v>
      </c>
      <c r="AN156" s="863">
        <v>7</v>
      </c>
      <c r="AO156" s="863">
        <v>0</v>
      </c>
      <c r="AP156" s="838">
        <v>0</v>
      </c>
      <c r="AQ156" s="843">
        <v>0</v>
      </c>
      <c r="AR156" s="843"/>
      <c r="AS156" s="843"/>
      <c r="AT156" s="843">
        <v>1</v>
      </c>
      <c r="AU156" s="843"/>
      <c r="AV156" s="844"/>
      <c r="AW156" s="208">
        <f>IFERROR(WWWW[[#This Row],['# of Water passed at source]]/WWWW[[#This Row],['# of Water tested at source]],"no test")</f>
        <v>0</v>
      </c>
      <c r="AX156" s="211">
        <f>IFERROR(WWWW[[#This Row],['# of Water passed at HH]]/WWWW[[#This Row],['# of Water tested at HH]],"no test")</f>
        <v>8.3333333333333329E-2</v>
      </c>
      <c r="AY156" s="210" t="str">
        <f>IF(AND(WWWW[[#This Row],[%of Water samples which passed at water source]]="no test",WWWW[[#This Row],[%Water samples which passed at HH]]="no test"),"No Test","Tested")</f>
        <v>Tested</v>
      </c>
      <c r="AZ15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56" s="211">
        <f>IF(WWWW[[#This Row],[Location Type 1]]="Village",WWWW[[#This Row],[Access to safe drinking water for Village]],WWWW[[#This Row],[Access to safe drinking water for Camp]])</f>
        <v>1</v>
      </c>
      <c r="BC156" s="209">
        <f>WWWW[[#This Row],[%Equitable and continuous access to sufficient quantity of safe drinking water]]*WWWW[[#This Row],[Total PoP ]]</f>
        <v>1801</v>
      </c>
      <c r="BD156" s="211">
        <f>IF((WWWW[[#This Row],['# Existing protected/fenced ponds ]]*250)/WWWW[[#This Row],[Total PoP ]]&gt;1,1,WWWW[[#This Row],['# Existing protected/fenced ponds ]]*250/WWWW[[#This Row],[Total PoP ]])</f>
        <v>0</v>
      </c>
      <c r="BE156" s="209">
        <f>WWWW[[#This Row],[Access to unimproved water points]]*WWWW[[#This Row],[Total PoP ]]</f>
        <v>0</v>
      </c>
      <c r="BF15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1801</v>
      </c>
      <c r="BH156" s="209">
        <f>WWWW[[#This Row],['#people Equitable and continuous access to sufficient quantity of domestic water borehole n ponds_2]]/500</f>
        <v>3.6019999999999999</v>
      </c>
      <c r="BI156" s="208">
        <f>1-WWWW[[#This Row],[%Equitable and continuous access to sufficient quantity of domestic water borehole n ponds]]</f>
        <v>0</v>
      </c>
      <c r="BJ156" s="209">
        <f>WWWW[[#This Row],[%equitable and continuous access to sufficient quantity of safe drinking and domestic water''s GAP]]*WWWW[[#This Row],[Total PoP ]]</f>
        <v>0</v>
      </c>
      <c r="BK156" s="210">
        <f>IF(WWWW[[#This Row],[Total required water points]]-WWWW[[#This Row],['#Water points coverage]]&lt;0,0,WWWW[[#This Row],[Total required water points]]-WWWW[[#This Row],['#Water points coverage]])</f>
        <v>0.39800000000000013</v>
      </c>
      <c r="BL156" s="210">
        <f>ROUND(IF(WWWW[[#This Row],[Total PoP ]]&lt;500,1,WWWW[[#This Row],[Total PoP ]]/500),0)</f>
        <v>4</v>
      </c>
      <c r="BM156" s="210">
        <f>WWWW[[#This Row],['# Existing functional latrines]]+WWWW[[#This Row],['# Existing latrines dysfunctional]]</f>
        <v>35</v>
      </c>
      <c r="BN15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0.32204330927262631</v>
      </c>
      <c r="BO156" s="352">
        <f>WWWW[[#This Row],[% people access to functioning Latrine]]*WWWW[[#This Row],[Total PoP ]]</f>
        <v>580</v>
      </c>
      <c r="BP15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0.61077179344808441</v>
      </c>
      <c r="BQ156" s="209">
        <f>IF(WWWW[[#This Row],[Total required Latrines]]-WWWW[[#This Row],[Total '# of latrine]]&lt;0,0,WWWW[[#This Row],[Total required Latrines]]-WWWW[[#This Row],[Total '# of latrine]])</f>
        <v>55</v>
      </c>
      <c r="BR156" s="210">
        <f>ROUND(IF(WWWW[[#This Row],[Location Type 1]]="camp",WWWW[[#This Row],[Total PoP ]]/20,WWWW[[#This Row],[Total PoP ]]/6),0)</f>
        <v>90</v>
      </c>
      <c r="BS156" s="212">
        <f>IF(OR(WWWW[[#This Row],['# Existing latrines dysfunctional]]="",WWWW[[#This Row],['# Existing latrines dysfunctional]]=0),0,WWWW[[#This Row],['# Existing latrines dysfunctional]]/WWWW[[#This Row],[Total '# of latrine]])</f>
        <v>0.17142857142857143</v>
      </c>
      <c r="BT15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180</v>
      </c>
      <c r="BU156" s="209">
        <f>IF(500*WWWW[[#This Row],['# Hygiene Promoters ]]&gt;WWWW[[#This Row],[Total PoP ]],WWWW[[#This Row],[Total PoP ]],500*WWWW[[#This Row],['# Hygiene Promoters ]])</f>
        <v>0</v>
      </c>
      <c r="BV156" s="209">
        <f>IF(WWWW[[#This Row],[% of HH with access to Sanitary Pad]]&gt;=100%,1,0)</f>
        <v>0</v>
      </c>
      <c r="BW156" s="209">
        <f>IF(WWWW[[#This Row],[Total PoP ]]=0,0,IF(WWWW[[#This Row],['# Hygiene Promoters ]]=0,0,IF(WWWW[[#This Row],[Location Type 1]]="Village",IF(WWWW[[#This Row],[Total PoP ]]/WWWW[[#This Row],['# Hygiene Promoters ]]&lt;1000,1,0),IF(WWWW[[#This Row],[Total PoP ]]/WWWW[[#This Row],['# Hygiene Promoters ]]&lt;600,1,0))))</f>
        <v>0</v>
      </c>
      <c r="BX156" s="209">
        <f>IF(WWWW[[#This Row],[%HH with access to soap]]&gt;=100%,1,0)</f>
        <v>0</v>
      </c>
      <c r="BY156" s="209">
        <f>IF(WWWW[[#This Row],[% of HHs with access to Sanitary pad more than '#%]]+WWWW[[#This Row],[Ratio of Hyiene promoters to people less than '#]]+WWWW[[#This Row],[% of HHs with access to soap more than '#%]]&gt;=2,WWWW[[#This Row],[Total PoP ]],0)</f>
        <v>0</v>
      </c>
      <c r="BZ156" s="208">
        <f>WWWW[[#This Row],[People adopt basic personal and community hygiene practices]]/WWWW[[#This Row],[Total PoP ]]</f>
        <v>0</v>
      </c>
      <c r="CA156" s="212">
        <f>1-WWWW[[#This Row],[Hygiene Coverage%]]</f>
        <v>1</v>
      </c>
      <c r="CB156" s="211">
        <f>WWWW[[#This Row],['# people reached by regular dedicated hygiene promotion_5]]/WWWW[[#This Row],[Total PoP ]]</f>
        <v>0</v>
      </c>
      <c r="CC156" s="211">
        <f>IF(WWWW[[#This Row],['# HH received soaps]]/WWWW[[#This Row],[Total HH]]&gt;1,1,WWWW[[#This Row],['# HH received soaps]]/WWWW[[#This Row],[Total HH]])</f>
        <v>0</v>
      </c>
      <c r="CD156" s="211">
        <f>IF(WWWW[[#This Row],['# HH received Sanitary Pads]]/WWWW[[#This Row],[Total HH]]&gt;1,1,WWWW[[#This Row],['# HH received Sanitary Pads]]/WWWW[[#This Row],[Total HH]])</f>
        <v>0</v>
      </c>
      <c r="CE156" s="210">
        <f>WWWW[[#This Row],['# HH received soaps]]*5</f>
        <v>0</v>
      </c>
      <c r="CF156" s="210">
        <f>WWWW[[#This Row],['# HH received Sanitary Pads]]*5</f>
        <v>0</v>
      </c>
      <c r="CG156" s="210">
        <f>IF(WWWW[[#This Row],['# People with access to soap]]&gt;WWWW[[#This Row],['# People with access to Sanity Pads]],WWWW[[#This Row],['# People with access to soap]],WWWW[[#This Row],['# People with access to Sanity Pads]])</f>
        <v>0</v>
      </c>
      <c r="CH156" s="209">
        <f>WWWW[[#This Row],[Total HH]]*WWWW[[#This Row],[%HHs with access to functional hand washing stations]]</f>
        <v>166.5</v>
      </c>
      <c r="CI156" s="699" t="str">
        <f>VLOOKUP(WWWW[[#This Row],[Site Name]],SiteDB6[[Site Name]:[CCCM Management]],6,FALSE)</f>
        <v>Yes</v>
      </c>
      <c r="CJ156" s="699" t="str">
        <f>VLOOKUP(WWWW[[#This Row],[Site Name]],SiteDB6[[Site Name]:[CCCM Focal Agency]],7,FALSE)</f>
        <v>Shalom</v>
      </c>
      <c r="CK156" s="699" t="str">
        <f>VLOOKUP(WWWW[[#This Row],[Site Name]],SiteDB6[[Site Name]:[Location Type]],8,FALSE)</f>
        <v>Camp</v>
      </c>
      <c r="CL156" s="699" t="str">
        <f>VLOOKUP(WWWW[[#This Row],[Site Name]],SiteDB6[[Site Name]:[Location Type 1]],9,FALSE)</f>
        <v>Camp</v>
      </c>
      <c r="CM156" s="699" t="str">
        <f>VLOOKUP(WWWW[[#This Row],[Site Name]],SiteDB6[[Site Name]:[Type of Accommodation]],10,FALSE)</f>
        <v>Camp</v>
      </c>
      <c r="CN156" s="699" t="str">
        <f>VLOOKUP(WWWW[[#This Row],[Site Name]],SiteDB6[[Site Name]:[Ethnic or GCA/NGCA]],11,FALSE)</f>
        <v>GCA</v>
      </c>
      <c r="CO156" s="699">
        <f>VLOOKUP(WWWW[[#This Row],[Site Name]],SiteDB6[[Site Name]:[Lat]],12,FALSE)</f>
        <v>25.424529444444399</v>
      </c>
      <c r="CP156" s="699">
        <f>VLOOKUP(WWWW[[#This Row],[Site Name]],SiteDB6[[Site Name]:[Long]],13,FALSE)</f>
        <v>97.433419259259296</v>
      </c>
      <c r="CQ156" s="699" t="str">
        <f>VLOOKUP(WWWW[[#This Row],[Site Name]],SiteDB6[[Site Name]:[Pcode]],3,FALSE)</f>
        <v>MMR001CMP031</v>
      </c>
      <c r="CR156" s="660" t="str">
        <f t="shared" si="2"/>
        <v>Covered</v>
      </c>
      <c r="CS156" s="660"/>
      <c r="CT156" s="24"/>
      <c r="CU156" s="24"/>
      <c r="CV156" s="24"/>
    </row>
    <row r="157" spans="1:100" ht="15.75" customHeight="1" x14ac:dyDescent="0.25">
      <c r="A157" s="833" t="s">
        <v>3206</v>
      </c>
      <c r="B157" s="206" t="s">
        <v>43</v>
      </c>
      <c r="C157" s="206" t="s">
        <v>44</v>
      </c>
      <c r="D157" s="206" t="s">
        <v>288</v>
      </c>
      <c r="E157" s="206" t="s">
        <v>384</v>
      </c>
      <c r="F157" s="206">
        <v>284</v>
      </c>
      <c r="G157" s="209">
        <v>1492</v>
      </c>
      <c r="H157" s="206"/>
      <c r="I157" s="206" t="s">
        <v>372</v>
      </c>
      <c r="J157" s="207">
        <v>43465</v>
      </c>
      <c r="K157" s="206">
        <v>0</v>
      </c>
      <c r="L157" s="206" t="s">
        <v>2452</v>
      </c>
      <c r="M157" s="208">
        <v>0.6</v>
      </c>
      <c r="N157" s="208">
        <v>0.2</v>
      </c>
      <c r="O157" s="316">
        <v>10</v>
      </c>
      <c r="P157" s="317">
        <v>5</v>
      </c>
      <c r="Q157" s="317">
        <v>30000</v>
      </c>
      <c r="R157" s="318">
        <v>0</v>
      </c>
      <c r="S157" s="318">
        <v>10</v>
      </c>
      <c r="T157" s="318"/>
      <c r="U157" s="318">
        <v>0</v>
      </c>
      <c r="V157" s="318">
        <v>0</v>
      </c>
      <c r="W157" s="318">
        <v>0</v>
      </c>
      <c r="X157" s="318">
        <v>0</v>
      </c>
      <c r="Y157" s="318">
        <v>0</v>
      </c>
      <c r="Z157" s="318"/>
      <c r="AA157" s="310">
        <v>97</v>
      </c>
      <c r="AB157" s="310">
        <v>2</v>
      </c>
      <c r="AC157" s="66">
        <v>0</v>
      </c>
      <c r="AD157" s="66" t="s">
        <v>2789</v>
      </c>
      <c r="AE157" s="310">
        <v>40</v>
      </c>
      <c r="AF157" s="310" t="s">
        <v>283</v>
      </c>
      <c r="AG157" s="311" t="s">
        <v>283</v>
      </c>
      <c r="AH157" s="311">
        <v>0</v>
      </c>
      <c r="AI157" s="310">
        <v>0</v>
      </c>
      <c r="AJ157" s="310"/>
      <c r="AK157" s="841">
        <v>0</v>
      </c>
      <c r="AL157" s="842" t="s">
        <v>376</v>
      </c>
      <c r="AM157" s="842">
        <v>0</v>
      </c>
      <c r="AN157" s="863">
        <v>6</v>
      </c>
      <c r="AO157" s="863">
        <v>4</v>
      </c>
      <c r="AP157" s="843">
        <v>0</v>
      </c>
      <c r="AQ157" s="843">
        <v>0</v>
      </c>
      <c r="AR157" s="843" t="s">
        <v>282</v>
      </c>
      <c r="AS157" s="843"/>
      <c r="AT157" s="843"/>
      <c r="AU157" s="843"/>
      <c r="AV157" s="844"/>
      <c r="AW157" s="208" t="str">
        <f>IFERROR(WWWW[[#This Row],['# of Water passed at source]]/WWWW[[#This Row],['# of Water tested at source]],"no test")</f>
        <v>no test</v>
      </c>
      <c r="AX157" s="211" t="str">
        <f>IFERROR(WWWW[[#This Row],['# of Water passed at HH]]/WWWW[[#This Row],['# of Water tested at HH]],"no test")</f>
        <v>no test</v>
      </c>
      <c r="AY157" s="210" t="str">
        <f>IF(AND(WWWW[[#This Row],[%of Water samples which passed at water source]]="no test",WWWW[[#This Row],[%Water samples which passed at HH]]="no test"),"No Test","Tested")</f>
        <v>No Test</v>
      </c>
      <c r="AZ15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57" s="211">
        <f>IF(WWWW[[#This Row],[Location Type 1]]="Village",WWWW[[#This Row],[Access to safe drinking water for Village]],WWWW[[#This Row],[Access to safe drinking water for Camp]])</f>
        <v>1</v>
      </c>
      <c r="BC157" s="209">
        <f>WWWW[[#This Row],[%Equitable and continuous access to sufficient quantity of safe drinking water]]*WWWW[[#This Row],[Total PoP ]]</f>
        <v>1492</v>
      </c>
      <c r="BD157" s="211">
        <f>IF((WWWW[[#This Row],['# Existing protected/fenced ponds ]]*250)/WWWW[[#This Row],[Total PoP ]]&gt;1,1,WWWW[[#This Row],['# Existing protected/fenced ponds ]]*250/WWWW[[#This Row],[Total PoP ]])</f>
        <v>0</v>
      </c>
      <c r="BE157" s="209">
        <f>WWWW[[#This Row],[Access to unimproved water points]]*WWWW[[#This Row],[Total PoP ]]</f>
        <v>0</v>
      </c>
      <c r="BF15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1492</v>
      </c>
      <c r="BH157" s="209">
        <f>WWWW[[#This Row],['#people Equitable and continuous access to sufficient quantity of domestic water borehole n ponds_2]]/500</f>
        <v>2.984</v>
      </c>
      <c r="BI157" s="208">
        <f>1-WWWW[[#This Row],[%Equitable and continuous access to sufficient quantity of domestic water borehole n ponds]]</f>
        <v>0</v>
      </c>
      <c r="BJ157" s="209">
        <f>WWWW[[#This Row],[%equitable and continuous access to sufficient quantity of safe drinking and domestic water''s GAP]]*WWWW[[#This Row],[Total PoP ]]</f>
        <v>0</v>
      </c>
      <c r="BK157" s="210">
        <f>IF(WWWW[[#This Row],[Total required water points]]-WWWW[[#This Row],['#Water points coverage]]&lt;0,0,WWWW[[#This Row],[Total required water points]]-WWWW[[#This Row],['#Water points coverage]])</f>
        <v>1.6000000000000014E-2</v>
      </c>
      <c r="BL157" s="210">
        <f>ROUND(IF(WWWW[[#This Row],[Total PoP ]]&lt;500,1,WWWW[[#This Row],[Total PoP ]]/500),0)</f>
        <v>3</v>
      </c>
      <c r="BM157" s="210">
        <f>WWWW[[#This Row],['# Existing functional latrines]]+WWWW[[#This Row],['# Existing latrines dysfunctional]]</f>
        <v>99</v>
      </c>
      <c r="BN15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57" s="352">
        <f>WWWW[[#This Row],[% people access to functioning Latrine]]*WWWW[[#This Row],[Total PoP ]]</f>
        <v>1492</v>
      </c>
      <c r="BP15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57" s="209">
        <f>IF(WWWW[[#This Row],[Total required Latrines]]-WWWW[[#This Row],[Total '# of latrine]]&lt;0,0,WWWW[[#This Row],[Total required Latrines]]-WWWW[[#This Row],[Total '# of latrine]])</f>
        <v>0</v>
      </c>
      <c r="BR157" s="210">
        <f>ROUND(IF(WWWW[[#This Row],[Location Type 1]]="camp",WWWW[[#This Row],[Total PoP ]]/20,WWWW[[#This Row],[Total PoP ]]/6),0)</f>
        <v>75</v>
      </c>
      <c r="BS157" s="212">
        <f>IF(OR(WWWW[[#This Row],['# Existing latrines dysfunctional]]="",WWWW[[#This Row],['# Existing latrines dysfunctional]]=0),0,WWWW[[#This Row],['# Existing latrines dysfunctional]]/WWWW[[#This Row],[Total '# of latrine]])</f>
        <v>2.0202020202020204E-2</v>
      </c>
      <c r="BT15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57" s="209">
        <f>IF(500*WWWW[[#This Row],['# Hygiene Promoters ]]&gt;WWWW[[#This Row],[Total PoP ]],WWWW[[#This Row],[Total PoP ]],500*WWWW[[#This Row],['# Hygiene Promoters ]])</f>
        <v>1492</v>
      </c>
      <c r="BV157" s="209">
        <f>IF(WWWW[[#This Row],[% of HH with access to Sanitary Pad]]&gt;=100%,1,0)</f>
        <v>0</v>
      </c>
      <c r="BW157" s="209">
        <f>IF(WWWW[[#This Row],[Total PoP ]]=0,0,IF(WWWW[[#This Row],['# Hygiene Promoters ]]=0,0,IF(WWWW[[#This Row],[Location Type 1]]="Village",IF(WWWW[[#This Row],[Total PoP ]]/WWWW[[#This Row],['# Hygiene Promoters ]]&lt;1000,1,0),IF(WWWW[[#This Row],[Total PoP ]]/WWWW[[#This Row],['# Hygiene Promoters ]]&lt;600,1,0))))</f>
        <v>1</v>
      </c>
      <c r="BX157" s="209">
        <f>IF(WWWW[[#This Row],[%HH with access to soap]]&gt;=100%,1,0)</f>
        <v>0</v>
      </c>
      <c r="BY157" s="209">
        <f>IF(WWWW[[#This Row],[% of HHs with access to Sanitary pad more than '#%]]+WWWW[[#This Row],[Ratio of Hyiene promoters to people less than '#]]+WWWW[[#This Row],[% of HHs with access to soap more than '#%]]&gt;=2,WWWW[[#This Row],[Total PoP ]],0)</f>
        <v>0</v>
      </c>
      <c r="BZ157" s="208">
        <f>WWWW[[#This Row],[People adopt basic personal and community hygiene practices]]/WWWW[[#This Row],[Total PoP ]]</f>
        <v>0</v>
      </c>
      <c r="CA157" s="212">
        <f>1-WWWW[[#This Row],[Hygiene Coverage%]]</f>
        <v>1</v>
      </c>
      <c r="CB157" s="211">
        <f>WWWW[[#This Row],['# people reached by regular dedicated hygiene promotion_5]]/WWWW[[#This Row],[Total PoP ]]</f>
        <v>1</v>
      </c>
      <c r="CC157" s="211">
        <f>IF(WWWW[[#This Row],['# HH received soaps]]/WWWW[[#This Row],[Total HH]]&gt;1,1,WWWW[[#This Row],['# HH received soaps]]/WWWW[[#This Row],[Total HH]])</f>
        <v>0</v>
      </c>
      <c r="CD157" s="211">
        <f>IF(WWWW[[#This Row],['# HH received Sanitary Pads]]/WWWW[[#This Row],[Total HH]]&gt;1,1,WWWW[[#This Row],['# HH received Sanitary Pads]]/WWWW[[#This Row],[Total HH]])</f>
        <v>0</v>
      </c>
      <c r="CE157" s="210">
        <f>WWWW[[#This Row],['# HH received soaps]]*5</f>
        <v>0</v>
      </c>
      <c r="CF157" s="210">
        <f>WWWW[[#This Row],['# HH received Sanitary Pads]]*5</f>
        <v>0</v>
      </c>
      <c r="CG157" s="210">
        <f>IF(WWWW[[#This Row],['# People with access to soap]]&gt;WWWW[[#This Row],['# People with access to Sanity Pads]],WWWW[[#This Row],['# People with access to soap]],WWWW[[#This Row],['# People with access to Sanity Pads]])</f>
        <v>0</v>
      </c>
      <c r="CH157" s="209">
        <f>WWWW[[#This Row],[Total HH]]*WWWW[[#This Row],[%HHs with access to functional hand washing stations]]</f>
        <v>0</v>
      </c>
      <c r="CI157" s="699" t="str">
        <f>VLOOKUP(WWWW[[#This Row],[Site Name]],SiteDB6[[Site Name]:[CCCM Management]],6,FALSE)</f>
        <v>Yes</v>
      </c>
      <c r="CJ157" s="699" t="str">
        <f>VLOOKUP(WWWW[[#This Row],[Site Name]],SiteDB6[[Site Name]:[CCCM Focal Agency]],7,FALSE)</f>
        <v>KMSS-MYT</v>
      </c>
      <c r="CK157" s="699" t="str">
        <f>VLOOKUP(WWWW[[#This Row],[Site Name]],SiteDB6[[Site Name]:[Location Type]],8,FALSE)</f>
        <v>Camp</v>
      </c>
      <c r="CL157" s="699" t="str">
        <f>VLOOKUP(WWWW[[#This Row],[Site Name]],SiteDB6[[Site Name]:[Location Type 1]],9,FALSE)</f>
        <v>Camp</v>
      </c>
      <c r="CM157" s="699" t="str">
        <f>VLOOKUP(WWWW[[#This Row],[Site Name]],SiteDB6[[Site Name]:[Type of Accommodation]],10,FALSE)</f>
        <v>Camp</v>
      </c>
      <c r="CN157" s="699" t="str">
        <f>VLOOKUP(WWWW[[#This Row],[Site Name]],SiteDB6[[Site Name]:[Ethnic or GCA/NGCA]],11,FALSE)</f>
        <v>GCA</v>
      </c>
      <c r="CO157" s="699">
        <f>VLOOKUP(WWWW[[#This Row],[Site Name]],SiteDB6[[Site Name]:[Lat]],12,FALSE)</f>
        <v>25.415667500000001</v>
      </c>
      <c r="CP157" s="699">
        <f>VLOOKUP(WWWW[[#This Row],[Site Name]],SiteDB6[[Site Name]:[Long]],13,FALSE)</f>
        <v>97.437782499999997</v>
      </c>
      <c r="CQ157" s="699" t="str">
        <f>VLOOKUP(WWWW[[#This Row],[Site Name]],SiteDB6[[Site Name]:[Pcode]],3,FALSE)</f>
        <v>MMR001CMP029</v>
      </c>
      <c r="CR157" s="660" t="str">
        <f t="shared" si="2"/>
        <v>Covered</v>
      </c>
      <c r="CS157" s="660"/>
      <c r="CT157" s="24"/>
      <c r="CU157" s="24"/>
      <c r="CV157" s="24"/>
    </row>
    <row r="158" spans="1:100" ht="15.75" customHeight="1" x14ac:dyDescent="0.25">
      <c r="A158" s="833" t="s">
        <v>3206</v>
      </c>
      <c r="B158" s="206" t="s">
        <v>287</v>
      </c>
      <c r="C158" s="206" t="s">
        <v>44</v>
      </c>
      <c r="D158" s="206" t="s">
        <v>288</v>
      </c>
      <c r="E158" s="206" t="s">
        <v>324</v>
      </c>
      <c r="F158" s="206">
        <v>499</v>
      </c>
      <c r="G158" s="209">
        <v>2551</v>
      </c>
      <c r="H158" s="206"/>
      <c r="I158" s="206" t="s">
        <v>290</v>
      </c>
      <c r="J158" s="207" t="s">
        <v>3253</v>
      </c>
      <c r="K158" s="206">
        <v>0</v>
      </c>
      <c r="L158" s="206" t="s">
        <v>48</v>
      </c>
      <c r="M158" s="208">
        <v>0.6</v>
      </c>
      <c r="N158" s="208">
        <v>0.5</v>
      </c>
      <c r="O158" s="316">
        <v>9</v>
      </c>
      <c r="P158" s="317">
        <v>0</v>
      </c>
      <c r="Q158" s="317">
        <v>0</v>
      </c>
      <c r="R158" s="318">
        <v>0</v>
      </c>
      <c r="S158" s="318">
        <v>0</v>
      </c>
      <c r="T158" s="318"/>
      <c r="U158" s="318">
        <v>0</v>
      </c>
      <c r="V158" s="318">
        <v>0</v>
      </c>
      <c r="W158" s="318">
        <v>0</v>
      </c>
      <c r="X158" s="318">
        <v>0</v>
      </c>
      <c r="Y158" s="318">
        <v>0</v>
      </c>
      <c r="Z158" s="318"/>
      <c r="AA158" s="310">
        <v>130</v>
      </c>
      <c r="AB158" s="310">
        <v>0</v>
      </c>
      <c r="AC158" s="66">
        <v>0</v>
      </c>
      <c r="AD158" s="66"/>
      <c r="AE158" s="310">
        <v>0</v>
      </c>
      <c r="AF158" s="310" t="s">
        <v>283</v>
      </c>
      <c r="AG158" s="311" t="s">
        <v>283</v>
      </c>
      <c r="AH158" s="311"/>
      <c r="AI158" s="310"/>
      <c r="AJ158" s="310"/>
      <c r="AK158" s="841">
        <v>0.6</v>
      </c>
      <c r="AL158" s="842" t="s">
        <v>291</v>
      </c>
      <c r="AM158" s="842">
        <v>0</v>
      </c>
      <c r="AN158" s="863">
        <v>6</v>
      </c>
      <c r="AO158" s="863">
        <v>6</v>
      </c>
      <c r="AP158" s="843">
        <v>0</v>
      </c>
      <c r="AQ158" s="843">
        <v>0</v>
      </c>
      <c r="AR158" s="843"/>
      <c r="AS158" s="843"/>
      <c r="AT158" s="843"/>
      <c r="AU158" s="843"/>
      <c r="AV158" s="844"/>
      <c r="AW158" s="208" t="str">
        <f>IFERROR(WWWW[[#This Row],['# of Water passed at source]]/WWWW[[#This Row],['# of Water tested at source]],"no test")</f>
        <v>no test</v>
      </c>
      <c r="AX158" s="211" t="str">
        <f>IFERROR(WWWW[[#This Row],['# of Water passed at HH]]/WWWW[[#This Row],['# of Water tested at HH]],"no test")</f>
        <v>no test</v>
      </c>
      <c r="AY158" s="210" t="str">
        <f>IF(AND(WWWW[[#This Row],[%of Water samples which passed at water source]]="no test",WWWW[[#This Row],[%Water samples which passed at HH]]="no test"),"No Test","Tested")</f>
        <v>No Test</v>
      </c>
      <c r="AZ15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0.88200705605644847</v>
      </c>
      <c r="BB158" s="211">
        <f>IF(WWWW[[#This Row],[Location Type 1]]="Village",WWWW[[#This Row],[Access to safe drinking water for Village]],WWWW[[#This Row],[Access to safe drinking water for Camp]])</f>
        <v>1</v>
      </c>
      <c r="BC158" s="209">
        <f>WWWW[[#This Row],[%Equitable and continuous access to sufficient quantity of safe drinking water]]*WWWW[[#This Row],[Total PoP ]]</f>
        <v>2551</v>
      </c>
      <c r="BD158" s="211">
        <f>IF((WWWW[[#This Row],['# Existing protected/fenced ponds ]]*250)/WWWW[[#This Row],[Total PoP ]]&gt;1,1,WWWW[[#This Row],['# Existing protected/fenced ponds ]]*250/WWWW[[#This Row],[Total PoP ]])</f>
        <v>0</v>
      </c>
      <c r="BE158" s="209">
        <f>WWWW[[#This Row],[Access to unimproved water points]]*WWWW[[#This Row],[Total PoP ]]</f>
        <v>0</v>
      </c>
      <c r="BF15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2551</v>
      </c>
      <c r="BH158" s="209">
        <f>WWWW[[#This Row],['#people Equitable and continuous access to sufficient quantity of domestic water borehole n ponds_2]]/500</f>
        <v>5.1020000000000003</v>
      </c>
      <c r="BI158" s="208">
        <f>1-WWWW[[#This Row],[%Equitable and continuous access to sufficient quantity of domestic water borehole n ponds]]</f>
        <v>0</v>
      </c>
      <c r="BJ158" s="209">
        <f>WWWW[[#This Row],[%equitable and continuous access to sufficient quantity of safe drinking and domestic water''s GAP]]*WWWW[[#This Row],[Total PoP ]]</f>
        <v>0</v>
      </c>
      <c r="BK158" s="210">
        <f>IF(WWWW[[#This Row],[Total required water points]]-WWWW[[#This Row],['#Water points coverage]]&lt;0,0,WWWW[[#This Row],[Total required water points]]-WWWW[[#This Row],['#Water points coverage]])</f>
        <v>0</v>
      </c>
      <c r="BL158" s="210">
        <f>ROUND(IF(WWWW[[#This Row],[Total PoP ]]&lt;500,1,WWWW[[#This Row],[Total PoP ]]/500),0)</f>
        <v>5</v>
      </c>
      <c r="BM158" s="210">
        <f>WWWW[[#This Row],['# Existing functional latrines]]+WWWW[[#This Row],['# Existing latrines dysfunctional]]</f>
        <v>130</v>
      </c>
      <c r="BN15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58" s="352">
        <f>WWWW[[#This Row],[% people access to functioning Latrine]]*WWWW[[#This Row],[Total PoP ]]</f>
        <v>2551</v>
      </c>
      <c r="BP15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58" s="209">
        <f>IF(WWWW[[#This Row],[Total required Latrines]]-WWWW[[#This Row],[Total '# of latrine]]&lt;0,0,WWWW[[#This Row],[Total required Latrines]]-WWWW[[#This Row],[Total '# of latrine]])</f>
        <v>0</v>
      </c>
      <c r="BR158" s="210">
        <f>ROUND(IF(WWWW[[#This Row],[Location Type 1]]="camp",WWWW[[#This Row],[Total PoP ]]/20,WWWW[[#This Row],[Total PoP ]]/6),0)</f>
        <v>128</v>
      </c>
      <c r="BS158" s="212">
        <f>IF(OR(WWWW[[#This Row],['# Existing latrines dysfunctional]]="",WWWW[[#This Row],['# Existing latrines dysfunctional]]=0),0,WWWW[[#This Row],['# Existing latrines dysfunctional]]/WWWW[[#This Row],[Total '# of latrine]])</f>
        <v>0</v>
      </c>
      <c r="BT15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58" s="209">
        <f>IF(500*WWWW[[#This Row],['# Hygiene Promoters ]]&gt;WWWW[[#This Row],[Total PoP ]],WWWW[[#This Row],[Total PoP ]],500*WWWW[[#This Row],['# Hygiene Promoters ]])</f>
        <v>2551</v>
      </c>
      <c r="BV158" s="209">
        <f>IF(WWWW[[#This Row],[% of HH with access to Sanitary Pad]]&gt;=100%,1,0)</f>
        <v>0</v>
      </c>
      <c r="BW158" s="209">
        <f>IF(WWWW[[#This Row],[Total PoP ]]=0,0,IF(WWWW[[#This Row],['# Hygiene Promoters ]]=0,0,IF(WWWW[[#This Row],[Location Type 1]]="Village",IF(WWWW[[#This Row],[Total PoP ]]/WWWW[[#This Row],['# Hygiene Promoters ]]&lt;1000,1,0),IF(WWWW[[#This Row],[Total PoP ]]/WWWW[[#This Row],['# Hygiene Promoters ]]&lt;600,1,0))))</f>
        <v>1</v>
      </c>
      <c r="BX158" s="209">
        <f>IF(WWWW[[#This Row],[%HH with access to soap]]&gt;=100%,1,0)</f>
        <v>0</v>
      </c>
      <c r="BY158" s="209">
        <f>IF(WWWW[[#This Row],[% of HHs with access to Sanitary pad more than '#%]]+WWWW[[#This Row],[Ratio of Hyiene promoters to people less than '#]]+WWWW[[#This Row],[% of HHs with access to soap more than '#%]]&gt;=2,WWWW[[#This Row],[Total PoP ]],0)</f>
        <v>0</v>
      </c>
      <c r="BZ158" s="208">
        <f>WWWW[[#This Row],[People adopt basic personal and community hygiene practices]]/WWWW[[#This Row],[Total PoP ]]</f>
        <v>0</v>
      </c>
      <c r="CA158" s="212">
        <f>1-WWWW[[#This Row],[Hygiene Coverage%]]</f>
        <v>1</v>
      </c>
      <c r="CB158" s="211">
        <f>WWWW[[#This Row],['# people reached by regular dedicated hygiene promotion_5]]/WWWW[[#This Row],[Total PoP ]]</f>
        <v>1</v>
      </c>
      <c r="CC158" s="211">
        <f>IF(WWWW[[#This Row],['# HH received soaps]]/WWWW[[#This Row],[Total HH]]&gt;1,1,WWWW[[#This Row],['# HH received soaps]]/WWWW[[#This Row],[Total HH]])</f>
        <v>0</v>
      </c>
      <c r="CD158" s="211">
        <f>IF(WWWW[[#This Row],['# HH received Sanitary Pads]]/WWWW[[#This Row],[Total HH]]&gt;1,1,WWWW[[#This Row],['# HH received Sanitary Pads]]/WWWW[[#This Row],[Total HH]])</f>
        <v>0</v>
      </c>
      <c r="CE158" s="210">
        <f>WWWW[[#This Row],['# HH received soaps]]*5</f>
        <v>0</v>
      </c>
      <c r="CF158" s="210">
        <f>WWWW[[#This Row],['# HH received Sanitary Pads]]*5</f>
        <v>0</v>
      </c>
      <c r="CG158" s="210">
        <f>IF(WWWW[[#This Row],['# People with access to soap]]&gt;WWWW[[#This Row],['# People with access to Sanity Pads]],WWWW[[#This Row],['# People with access to soap]],WWWW[[#This Row],['# People with access to Sanity Pads]])</f>
        <v>0</v>
      </c>
      <c r="CH158" s="209">
        <f>WWWW[[#This Row],[Total HH]]*WWWW[[#This Row],[%HHs with access to functional hand washing stations]]</f>
        <v>299.39999999999998</v>
      </c>
      <c r="CI158" s="699" t="str">
        <f>VLOOKUP(WWWW[[#This Row],[Site Name]],SiteDB6[[Site Name]:[CCCM Management]],6,FALSE)</f>
        <v>Yes</v>
      </c>
      <c r="CJ158" s="699" t="str">
        <f>VLOOKUP(WWWW[[#This Row],[Site Name]],SiteDB6[[Site Name]:[CCCM Focal Agency]],7,FALSE)</f>
        <v>KBC</v>
      </c>
      <c r="CK158" s="699" t="str">
        <f>VLOOKUP(WWWW[[#This Row],[Site Name]],SiteDB6[[Site Name]:[Location Type]],8,FALSE)</f>
        <v>Camp</v>
      </c>
      <c r="CL158" s="699" t="str">
        <f>VLOOKUP(WWWW[[#This Row],[Site Name]],SiteDB6[[Site Name]:[Location Type 1]],9,FALSE)</f>
        <v>Camp</v>
      </c>
      <c r="CM158" s="699" t="str">
        <f>VLOOKUP(WWWW[[#This Row],[Site Name]],SiteDB6[[Site Name]:[Type of Accommodation]],10,FALSE)</f>
        <v>Camp</v>
      </c>
      <c r="CN158" s="699" t="str">
        <f>VLOOKUP(WWWW[[#This Row],[Site Name]],SiteDB6[[Site Name]:[Ethnic or GCA/NGCA]],11,FALSE)</f>
        <v>GCA</v>
      </c>
      <c r="CO158" s="699">
        <f>VLOOKUP(WWWW[[#This Row],[Site Name]],SiteDB6[[Site Name]:[Lat]],12,FALSE)</f>
        <v>25.4118005797101</v>
      </c>
      <c r="CP158" s="699">
        <f>VLOOKUP(WWWW[[#This Row],[Site Name]],SiteDB6[[Site Name]:[Long]],13,FALSE)</f>
        <v>97.434855869565197</v>
      </c>
      <c r="CQ158" s="699" t="str">
        <f>VLOOKUP(WWWW[[#This Row],[Site Name]],SiteDB6[[Site Name]:[Pcode]],3,FALSE)</f>
        <v>MMR001CMP040</v>
      </c>
      <c r="CR158" s="660" t="str">
        <f t="shared" si="2"/>
        <v>Covered</v>
      </c>
      <c r="CS158" s="660"/>
      <c r="CT158" s="24"/>
      <c r="CU158" s="24"/>
      <c r="CV158" s="24"/>
    </row>
    <row r="159" spans="1:100" x14ac:dyDescent="0.25">
      <c r="A159" s="833" t="s">
        <v>3206</v>
      </c>
      <c r="B159" s="206" t="s">
        <v>287</v>
      </c>
      <c r="C159" s="206" t="s">
        <v>44</v>
      </c>
      <c r="D159" s="206" t="s">
        <v>288</v>
      </c>
      <c r="E159" s="206" t="s">
        <v>325</v>
      </c>
      <c r="F159" s="206">
        <v>46</v>
      </c>
      <c r="G159" s="209">
        <v>193</v>
      </c>
      <c r="H159" s="206"/>
      <c r="I159" s="206" t="s">
        <v>290</v>
      </c>
      <c r="J159" s="207" t="s">
        <v>3253</v>
      </c>
      <c r="K159" s="206">
        <v>0</v>
      </c>
      <c r="L159" s="206" t="s">
        <v>48</v>
      </c>
      <c r="M159" s="208">
        <v>0.6</v>
      </c>
      <c r="N159" s="208">
        <v>0.5</v>
      </c>
      <c r="O159" s="316">
        <v>2</v>
      </c>
      <c r="P159" s="317">
        <v>0</v>
      </c>
      <c r="Q159" s="317">
        <v>2000</v>
      </c>
      <c r="R159" s="318">
        <v>0</v>
      </c>
      <c r="S159" s="318">
        <v>0</v>
      </c>
      <c r="T159" s="318"/>
      <c r="U159" s="318">
        <v>0</v>
      </c>
      <c r="V159" s="318">
        <v>0</v>
      </c>
      <c r="W159" s="318">
        <v>0</v>
      </c>
      <c r="X159" s="318">
        <v>0</v>
      </c>
      <c r="Y159" s="318">
        <v>0</v>
      </c>
      <c r="Z159" s="318"/>
      <c r="AA159" s="310">
        <v>10</v>
      </c>
      <c r="AB159" s="310">
        <v>0</v>
      </c>
      <c r="AC159" s="66">
        <v>0</v>
      </c>
      <c r="AD159" s="66"/>
      <c r="AE159" s="310">
        <v>0</v>
      </c>
      <c r="AF159" s="310" t="s">
        <v>283</v>
      </c>
      <c r="AG159" s="311" t="s">
        <v>283</v>
      </c>
      <c r="AH159" s="311"/>
      <c r="AI159" s="310"/>
      <c r="AJ159" s="310"/>
      <c r="AK159" s="841">
        <v>0.6</v>
      </c>
      <c r="AL159" s="842" t="s">
        <v>376</v>
      </c>
      <c r="AM159" s="842">
        <v>0</v>
      </c>
      <c r="AN159" s="863">
        <v>2</v>
      </c>
      <c r="AO159" s="863">
        <v>1</v>
      </c>
      <c r="AP159" s="843">
        <v>0</v>
      </c>
      <c r="AQ159" s="843">
        <v>0</v>
      </c>
      <c r="AR159" s="843"/>
      <c r="AS159" s="843"/>
      <c r="AT159" s="843"/>
      <c r="AU159" s="843"/>
      <c r="AV159" s="844"/>
      <c r="AW159" s="208" t="str">
        <f>IFERROR(WWWW[[#This Row],['# of Water passed at source]]/WWWW[[#This Row],['# of Water tested at source]],"no test")</f>
        <v>no test</v>
      </c>
      <c r="AX159" s="211" t="str">
        <f>IFERROR(WWWW[[#This Row],['# of Water passed at HH]]/WWWW[[#This Row],['# of Water tested at HH]],"no test")</f>
        <v>no test</v>
      </c>
      <c r="AY159" s="210" t="str">
        <f>IF(AND(WWWW[[#This Row],[%of Water samples which passed at water source]]="no test",WWWW[[#This Row],[%Water samples which passed at HH]]="no test"),"No Test","Tested")</f>
        <v>No Test</v>
      </c>
      <c r="AZ15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5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59" s="211">
        <f>IF(WWWW[[#This Row],[Location Type 1]]="Village",WWWW[[#This Row],[Access to safe drinking water for Village]],WWWW[[#This Row],[Access to safe drinking water for Camp]])</f>
        <v>1</v>
      </c>
      <c r="BC159" s="209">
        <f>WWWW[[#This Row],[%Equitable and continuous access to sufficient quantity of safe drinking water]]*WWWW[[#This Row],[Total PoP ]]</f>
        <v>193</v>
      </c>
      <c r="BD159" s="211">
        <f>IF((WWWW[[#This Row],['# Existing protected/fenced ponds ]]*250)/WWWW[[#This Row],[Total PoP ]]&gt;1,1,WWWW[[#This Row],['# Existing protected/fenced ponds ]]*250/WWWW[[#This Row],[Total PoP ]])</f>
        <v>0</v>
      </c>
      <c r="BE159" s="209">
        <f>WWWW[[#This Row],[Access to unimproved water points]]*WWWW[[#This Row],[Total PoP ]]</f>
        <v>0</v>
      </c>
      <c r="BF15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5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193</v>
      </c>
      <c r="BH159" s="209">
        <f>WWWW[[#This Row],['#people Equitable and continuous access to sufficient quantity of domestic water borehole n ponds_2]]/500</f>
        <v>0.38600000000000001</v>
      </c>
      <c r="BI159" s="208">
        <f>1-WWWW[[#This Row],[%Equitable and continuous access to sufficient quantity of domestic water borehole n ponds]]</f>
        <v>0</v>
      </c>
      <c r="BJ159" s="209">
        <f>WWWW[[#This Row],[%equitable and continuous access to sufficient quantity of safe drinking and domestic water''s GAP]]*WWWW[[#This Row],[Total PoP ]]</f>
        <v>0</v>
      </c>
      <c r="BK159" s="210">
        <f>IF(WWWW[[#This Row],[Total required water points]]-WWWW[[#This Row],['#Water points coverage]]&lt;0,0,WWWW[[#This Row],[Total required water points]]-WWWW[[#This Row],['#Water points coverage]])</f>
        <v>0.61399999999999999</v>
      </c>
      <c r="BL159" s="210">
        <f>ROUND(IF(WWWW[[#This Row],[Total PoP ]]&lt;500,1,WWWW[[#This Row],[Total PoP ]]/500),0)</f>
        <v>1</v>
      </c>
      <c r="BM159" s="210">
        <f>WWWW[[#This Row],['# Existing functional latrines]]+WWWW[[#This Row],['# Existing latrines dysfunctional]]</f>
        <v>10</v>
      </c>
      <c r="BN15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59" s="352">
        <f>WWWW[[#This Row],[% people access to functioning Latrine]]*WWWW[[#This Row],[Total PoP ]]</f>
        <v>193</v>
      </c>
      <c r="BP15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59" s="209">
        <f>IF(WWWW[[#This Row],[Total required Latrines]]-WWWW[[#This Row],[Total '# of latrine]]&lt;0,0,WWWW[[#This Row],[Total required Latrines]]-WWWW[[#This Row],[Total '# of latrine]])</f>
        <v>0</v>
      </c>
      <c r="BR159" s="210">
        <f>ROUND(IF(WWWW[[#This Row],[Location Type 1]]="camp",WWWW[[#This Row],[Total PoP ]]/20,WWWW[[#This Row],[Total PoP ]]/6),0)</f>
        <v>10</v>
      </c>
      <c r="BS159" s="212">
        <f>IF(OR(WWWW[[#This Row],['# Existing latrines dysfunctional]]="",WWWW[[#This Row],['# Existing latrines dysfunctional]]=0),0,WWWW[[#This Row],['# Existing latrines dysfunctional]]/WWWW[[#This Row],[Total '# of latrine]])</f>
        <v>0</v>
      </c>
      <c r="BT15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59" s="209">
        <f>IF(500*WWWW[[#This Row],['# Hygiene Promoters ]]&gt;WWWW[[#This Row],[Total PoP ]],WWWW[[#This Row],[Total PoP ]],500*WWWW[[#This Row],['# Hygiene Promoters ]])</f>
        <v>193</v>
      </c>
      <c r="BV159" s="209">
        <f>IF(WWWW[[#This Row],[% of HH with access to Sanitary Pad]]&gt;=100%,1,0)</f>
        <v>0</v>
      </c>
      <c r="BW159" s="209">
        <f>IF(WWWW[[#This Row],[Total PoP ]]=0,0,IF(WWWW[[#This Row],['# Hygiene Promoters ]]=0,0,IF(WWWW[[#This Row],[Location Type 1]]="Village",IF(WWWW[[#This Row],[Total PoP ]]/WWWW[[#This Row],['# Hygiene Promoters ]]&lt;1000,1,0),IF(WWWW[[#This Row],[Total PoP ]]/WWWW[[#This Row],['# Hygiene Promoters ]]&lt;600,1,0))))</f>
        <v>1</v>
      </c>
      <c r="BX159" s="209">
        <f>IF(WWWW[[#This Row],[%HH with access to soap]]&gt;=100%,1,0)</f>
        <v>0</v>
      </c>
      <c r="BY159" s="209">
        <f>IF(WWWW[[#This Row],[% of HHs with access to Sanitary pad more than '#%]]+WWWW[[#This Row],[Ratio of Hyiene promoters to people less than '#]]+WWWW[[#This Row],[% of HHs with access to soap more than '#%]]&gt;=2,WWWW[[#This Row],[Total PoP ]],0)</f>
        <v>0</v>
      </c>
      <c r="BZ159" s="208">
        <f>WWWW[[#This Row],[People adopt basic personal and community hygiene practices]]/WWWW[[#This Row],[Total PoP ]]</f>
        <v>0</v>
      </c>
      <c r="CA159" s="212">
        <f>1-WWWW[[#This Row],[Hygiene Coverage%]]</f>
        <v>1</v>
      </c>
      <c r="CB159" s="211">
        <f>WWWW[[#This Row],['# people reached by regular dedicated hygiene promotion_5]]/WWWW[[#This Row],[Total PoP ]]</f>
        <v>1</v>
      </c>
      <c r="CC159" s="211">
        <f>IF(WWWW[[#This Row],['# HH received soaps]]/WWWW[[#This Row],[Total HH]]&gt;1,1,WWWW[[#This Row],['# HH received soaps]]/WWWW[[#This Row],[Total HH]])</f>
        <v>0</v>
      </c>
      <c r="CD159" s="211">
        <f>IF(WWWW[[#This Row],['# HH received Sanitary Pads]]/WWWW[[#This Row],[Total HH]]&gt;1,1,WWWW[[#This Row],['# HH received Sanitary Pads]]/WWWW[[#This Row],[Total HH]])</f>
        <v>0</v>
      </c>
      <c r="CE159" s="210">
        <f>WWWW[[#This Row],['# HH received soaps]]*5</f>
        <v>0</v>
      </c>
      <c r="CF159" s="210">
        <f>WWWW[[#This Row],['# HH received Sanitary Pads]]*5</f>
        <v>0</v>
      </c>
      <c r="CG159" s="210">
        <f>IF(WWWW[[#This Row],['# People with access to soap]]&gt;WWWW[[#This Row],['# People with access to Sanity Pads]],WWWW[[#This Row],['# People with access to soap]],WWWW[[#This Row],['# People with access to Sanity Pads]])</f>
        <v>0</v>
      </c>
      <c r="CH159" s="209">
        <f>WWWW[[#This Row],[Total HH]]*WWWW[[#This Row],[%HHs with access to functional hand washing stations]]</f>
        <v>27.599999999999998</v>
      </c>
      <c r="CI159" s="699" t="str">
        <f>VLOOKUP(WWWW[[#This Row],[Site Name]],SiteDB6[[Site Name]:[CCCM Management]],6,FALSE)</f>
        <v>Yes</v>
      </c>
      <c r="CJ159" s="699" t="str">
        <f>VLOOKUP(WWWW[[#This Row],[Site Name]],SiteDB6[[Site Name]:[CCCM Focal Agency]],7,FALSE)</f>
        <v>KBC</v>
      </c>
      <c r="CK159" s="699" t="str">
        <f>VLOOKUP(WWWW[[#This Row],[Site Name]],SiteDB6[[Site Name]:[Location Type]],8,FALSE)</f>
        <v>Camp</v>
      </c>
      <c r="CL159" s="699" t="str">
        <f>VLOOKUP(WWWW[[#This Row],[Site Name]],SiteDB6[[Site Name]:[Location Type 1]],9,FALSE)</f>
        <v>Camp</v>
      </c>
      <c r="CM159" s="699" t="str">
        <f>VLOOKUP(WWWW[[#This Row],[Site Name]],SiteDB6[[Site Name]:[Type of Accommodation]],10,FALSE)</f>
        <v>Camp</v>
      </c>
      <c r="CN159" s="699" t="str">
        <f>VLOOKUP(WWWW[[#This Row],[Site Name]],SiteDB6[[Site Name]:[Ethnic or GCA/NGCA]],11,FALSE)</f>
        <v>GCA</v>
      </c>
      <c r="CO159" s="699">
        <f>VLOOKUP(WWWW[[#This Row],[Site Name]],SiteDB6[[Site Name]:[Lat]],12,FALSE)</f>
        <v>25.409612685185198</v>
      </c>
      <c r="CP159" s="699">
        <f>VLOOKUP(WWWW[[#This Row],[Site Name]],SiteDB6[[Site Name]:[Long]],13,FALSE)</f>
        <v>97.426536944444507</v>
      </c>
      <c r="CQ159" s="699" t="str">
        <f>VLOOKUP(WWWW[[#This Row],[Site Name]],SiteDB6[[Site Name]:[Pcode]],3,FALSE)</f>
        <v>MMR001CMP039</v>
      </c>
      <c r="CR159" s="660" t="str">
        <f t="shared" si="2"/>
        <v>Covered</v>
      </c>
      <c r="CS159" s="660"/>
    </row>
    <row r="160" spans="1:100" x14ac:dyDescent="0.25">
      <c r="A160" s="833" t="s">
        <v>3206</v>
      </c>
      <c r="B160" s="206" t="s">
        <v>389</v>
      </c>
      <c r="C160" s="206" t="s">
        <v>44</v>
      </c>
      <c r="D160" s="206" t="s">
        <v>288</v>
      </c>
      <c r="E160" s="206" t="s">
        <v>420</v>
      </c>
      <c r="F160" s="206">
        <v>20</v>
      </c>
      <c r="G160" s="209">
        <v>86</v>
      </c>
      <c r="H160" s="206"/>
      <c r="I160" s="206" t="s">
        <v>391</v>
      </c>
      <c r="J160" s="207">
        <v>42947</v>
      </c>
      <c r="K160" s="206">
        <v>0</v>
      </c>
      <c r="L160" s="206" t="s">
        <v>48</v>
      </c>
      <c r="M160" s="208">
        <v>0.8</v>
      </c>
      <c r="N160" s="208">
        <v>1</v>
      </c>
      <c r="O160" s="316">
        <v>1</v>
      </c>
      <c r="P160" s="317">
        <v>1</v>
      </c>
      <c r="Q160" s="317">
        <v>0</v>
      </c>
      <c r="R160" s="318">
        <v>0</v>
      </c>
      <c r="S160" s="318">
        <v>1</v>
      </c>
      <c r="T160" s="318"/>
      <c r="U160" s="318">
        <v>1</v>
      </c>
      <c r="V160" s="318">
        <v>0</v>
      </c>
      <c r="W160" s="318">
        <v>2</v>
      </c>
      <c r="X160" s="318">
        <v>0</v>
      </c>
      <c r="Y160" s="318">
        <v>0</v>
      </c>
      <c r="Z160" s="318"/>
      <c r="AA160" s="310">
        <v>4</v>
      </c>
      <c r="AB160" s="310">
        <v>2</v>
      </c>
      <c r="AC160" s="66">
        <v>3</v>
      </c>
      <c r="AD160" s="66" t="s">
        <v>2782</v>
      </c>
      <c r="AE160" s="310">
        <v>4</v>
      </c>
      <c r="AF160" s="310" t="s">
        <v>283</v>
      </c>
      <c r="AG160" s="311" t="s">
        <v>1358</v>
      </c>
      <c r="AH160" s="311">
        <v>0</v>
      </c>
      <c r="AI160" s="310">
        <v>0</v>
      </c>
      <c r="AJ160" s="310"/>
      <c r="AK160" s="841">
        <v>0.5</v>
      </c>
      <c r="AL160" s="842" t="s">
        <v>376</v>
      </c>
      <c r="AM160" s="842">
        <v>0</v>
      </c>
      <c r="AN160" s="863">
        <v>2</v>
      </c>
      <c r="AO160" s="863">
        <v>0</v>
      </c>
      <c r="AP160" s="843">
        <v>0</v>
      </c>
      <c r="AQ160" s="843">
        <v>0</v>
      </c>
      <c r="AR160" s="843"/>
      <c r="AS160" s="843"/>
      <c r="AT160" s="843">
        <v>1</v>
      </c>
      <c r="AU160" s="843"/>
      <c r="AV160" s="844"/>
      <c r="AW160" s="208">
        <f>IFERROR(WWWW[[#This Row],['# of Water passed at source]]/WWWW[[#This Row],['# of Water tested at source]],"no test")</f>
        <v>0</v>
      </c>
      <c r="AX160" s="211">
        <f>IFERROR(WWWW[[#This Row],['# of Water passed at HH]]/WWWW[[#This Row],['# of Water tested at HH]],"no test")</f>
        <v>0</v>
      </c>
      <c r="AY160" s="210" t="str">
        <f>IF(AND(WWWW[[#This Row],[%of Water samples which passed at water source]]="no test",WWWW[[#This Row],[%Water samples which passed at HH]]="no test"),"No Test","Tested")</f>
        <v>Tested</v>
      </c>
      <c r="AZ16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60" s="211">
        <f>IF(WWWW[[#This Row],[Location Type 1]]="Village",WWWW[[#This Row],[Access to safe drinking water for Village]],WWWW[[#This Row],[Access to safe drinking water for Camp]])</f>
        <v>1</v>
      </c>
      <c r="BC160" s="209">
        <f>WWWW[[#This Row],[%Equitable and continuous access to sufficient quantity of safe drinking water]]*WWWW[[#This Row],[Total PoP ]]</f>
        <v>86</v>
      </c>
      <c r="BD160" s="211">
        <f>IF((WWWW[[#This Row],['# Existing protected/fenced ponds ]]*250)/WWWW[[#This Row],[Total PoP ]]&gt;1,1,WWWW[[#This Row],['# Existing protected/fenced ponds ]]*250/WWWW[[#This Row],[Total PoP ]])</f>
        <v>0</v>
      </c>
      <c r="BE160" s="209">
        <f>WWWW[[#This Row],[Access to unimproved water points]]*WWWW[[#This Row],[Total PoP ]]</f>
        <v>0</v>
      </c>
      <c r="BF16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86</v>
      </c>
      <c r="BH160" s="209">
        <f>WWWW[[#This Row],['#people Equitable and continuous access to sufficient quantity of domestic water borehole n ponds_2]]/500</f>
        <v>0.17199999999999999</v>
      </c>
      <c r="BI160" s="208">
        <f>1-WWWW[[#This Row],[%Equitable and continuous access to sufficient quantity of domestic water borehole n ponds]]</f>
        <v>0</v>
      </c>
      <c r="BJ160" s="209">
        <f>WWWW[[#This Row],[%equitable and continuous access to sufficient quantity of safe drinking and domestic water''s GAP]]*WWWW[[#This Row],[Total PoP ]]</f>
        <v>0</v>
      </c>
      <c r="BK160" s="210">
        <f>IF(WWWW[[#This Row],[Total required water points]]-WWWW[[#This Row],['#Water points coverage]]&lt;0,0,WWWW[[#This Row],[Total required water points]]-WWWW[[#This Row],['#Water points coverage]])</f>
        <v>0.82800000000000007</v>
      </c>
      <c r="BL160" s="210">
        <f>ROUND(IF(WWWW[[#This Row],[Total PoP ]]&lt;500,1,WWWW[[#This Row],[Total PoP ]]/500),0)</f>
        <v>1</v>
      </c>
      <c r="BM160" s="210">
        <f>WWWW[[#This Row],['# Existing functional latrines]]+WWWW[[#This Row],['# Existing latrines dysfunctional]]</f>
        <v>6</v>
      </c>
      <c r="BN16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0.93023255813953487</v>
      </c>
      <c r="BO160" s="352">
        <f>WWWW[[#This Row],[% people access to functioning Latrine]]*WWWW[[#This Row],[Total PoP ]]</f>
        <v>80</v>
      </c>
      <c r="BP16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60" s="209">
        <f>IF(WWWW[[#This Row],[Total required Latrines]]-WWWW[[#This Row],[Total '# of latrine]]&lt;0,0,WWWW[[#This Row],[Total required Latrines]]-WWWW[[#This Row],[Total '# of latrine]])</f>
        <v>0</v>
      </c>
      <c r="BR160" s="210">
        <f>ROUND(IF(WWWW[[#This Row],[Location Type 1]]="camp",WWWW[[#This Row],[Total PoP ]]/20,WWWW[[#This Row],[Total PoP ]]/6),0)</f>
        <v>4</v>
      </c>
      <c r="BS160" s="212">
        <f>IF(OR(WWWW[[#This Row],['# Existing latrines dysfunctional]]="",WWWW[[#This Row],['# Existing latrines dysfunctional]]=0),0,WWWW[[#This Row],['# Existing latrines dysfunctional]]/WWWW[[#This Row],[Total '# of latrine]])</f>
        <v>0.33333333333333331</v>
      </c>
      <c r="BT16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U160" s="209">
        <f>IF(500*WWWW[[#This Row],['# Hygiene Promoters ]]&gt;WWWW[[#This Row],[Total PoP ]],WWWW[[#This Row],[Total PoP ]],500*WWWW[[#This Row],['# Hygiene Promoters ]])</f>
        <v>0</v>
      </c>
      <c r="BV160" s="209">
        <f>IF(WWWW[[#This Row],[% of HH with access to Sanitary Pad]]&gt;=100%,1,0)</f>
        <v>0</v>
      </c>
      <c r="BW160" s="209">
        <f>IF(WWWW[[#This Row],[Total PoP ]]=0,0,IF(WWWW[[#This Row],['# Hygiene Promoters ]]=0,0,IF(WWWW[[#This Row],[Location Type 1]]="Village",IF(WWWW[[#This Row],[Total PoP ]]/WWWW[[#This Row],['# Hygiene Promoters ]]&lt;1000,1,0),IF(WWWW[[#This Row],[Total PoP ]]/WWWW[[#This Row],['# Hygiene Promoters ]]&lt;600,1,0))))</f>
        <v>0</v>
      </c>
      <c r="BX160" s="209">
        <f>IF(WWWW[[#This Row],[%HH with access to soap]]&gt;=100%,1,0)</f>
        <v>0</v>
      </c>
      <c r="BY160" s="209">
        <f>IF(WWWW[[#This Row],[% of HHs with access to Sanitary pad more than '#%]]+WWWW[[#This Row],[Ratio of Hyiene promoters to people less than '#]]+WWWW[[#This Row],[% of HHs with access to soap more than '#%]]&gt;=2,WWWW[[#This Row],[Total PoP ]],0)</f>
        <v>0</v>
      </c>
      <c r="BZ160" s="208">
        <f>WWWW[[#This Row],[People adopt basic personal and community hygiene practices]]/WWWW[[#This Row],[Total PoP ]]</f>
        <v>0</v>
      </c>
      <c r="CA160" s="212">
        <f>1-WWWW[[#This Row],[Hygiene Coverage%]]</f>
        <v>1</v>
      </c>
      <c r="CB160" s="211">
        <f>WWWW[[#This Row],['# people reached by regular dedicated hygiene promotion_5]]/WWWW[[#This Row],[Total PoP ]]</f>
        <v>0</v>
      </c>
      <c r="CC160" s="211">
        <f>IF(WWWW[[#This Row],['# HH received soaps]]/WWWW[[#This Row],[Total HH]]&gt;1,1,WWWW[[#This Row],['# HH received soaps]]/WWWW[[#This Row],[Total HH]])</f>
        <v>0</v>
      </c>
      <c r="CD160" s="211">
        <f>IF(WWWW[[#This Row],['# HH received Sanitary Pads]]/WWWW[[#This Row],[Total HH]]&gt;1,1,WWWW[[#This Row],['# HH received Sanitary Pads]]/WWWW[[#This Row],[Total HH]])</f>
        <v>0</v>
      </c>
      <c r="CE160" s="210">
        <f>WWWW[[#This Row],['# HH received soaps]]*5</f>
        <v>0</v>
      </c>
      <c r="CF160" s="210">
        <f>WWWW[[#This Row],['# HH received Sanitary Pads]]*5</f>
        <v>0</v>
      </c>
      <c r="CG160" s="210">
        <f>IF(WWWW[[#This Row],['# People with access to soap]]&gt;WWWW[[#This Row],['# People with access to Sanity Pads]],WWWW[[#This Row],['# People with access to soap]],WWWW[[#This Row],['# People with access to Sanity Pads]])</f>
        <v>0</v>
      </c>
      <c r="CH160" s="209">
        <f>WWWW[[#This Row],[Total HH]]*WWWW[[#This Row],[%HHs with access to functional hand washing stations]]</f>
        <v>10</v>
      </c>
      <c r="CI160" s="699" t="str">
        <f>VLOOKUP(WWWW[[#This Row],[Site Name]],SiteDB6[[Site Name]:[CCCM Management]],6,FALSE)</f>
        <v>Yes</v>
      </c>
      <c r="CJ160" s="699" t="str">
        <f>VLOOKUP(WWWW[[#This Row],[Site Name]],SiteDB6[[Site Name]:[CCCM Focal Agency]],7,FALSE)</f>
        <v>Shalom</v>
      </c>
      <c r="CK160" s="699" t="str">
        <f>VLOOKUP(WWWW[[#This Row],[Site Name]],SiteDB6[[Site Name]:[Location Type]],8,FALSE)</f>
        <v>Camp</v>
      </c>
      <c r="CL160" s="699" t="str">
        <f>VLOOKUP(WWWW[[#This Row],[Site Name]],SiteDB6[[Site Name]:[Location Type 1]],9,FALSE)</f>
        <v>Camp</v>
      </c>
      <c r="CM160" s="699" t="str">
        <f>VLOOKUP(WWWW[[#This Row],[Site Name]],SiteDB6[[Site Name]:[Type of Accommodation]],10,FALSE)</f>
        <v>Camp</v>
      </c>
      <c r="CN160" s="699" t="str">
        <f>VLOOKUP(WWWW[[#This Row],[Site Name]],SiteDB6[[Site Name]:[Ethnic or GCA/NGCA]],11,FALSE)</f>
        <v>GCA</v>
      </c>
      <c r="CO160" s="699">
        <f>VLOOKUP(WWWW[[#This Row],[Site Name]],SiteDB6[[Site Name]:[Lat]],12,FALSE)</f>
        <v>25.351965</v>
      </c>
      <c r="CP160" s="699">
        <f>VLOOKUP(WWWW[[#This Row],[Site Name]],SiteDB6[[Site Name]:[Long]],13,FALSE)</f>
        <v>97.345039</v>
      </c>
      <c r="CQ160" s="699" t="str">
        <f>VLOOKUP(WWWW[[#This Row],[Site Name]],SiteDB6[[Site Name]:[Pcode]],3,FALSE)</f>
        <v>MMR001CMP033</v>
      </c>
      <c r="CR160" s="660" t="str">
        <f t="shared" si="2"/>
        <v>Covered</v>
      </c>
      <c r="CS160" s="660"/>
    </row>
    <row r="161" spans="1:100" x14ac:dyDescent="0.25">
      <c r="A161" s="833" t="s">
        <v>3206</v>
      </c>
      <c r="B161" s="206" t="s">
        <v>287</v>
      </c>
      <c r="C161" s="206" t="s">
        <v>44</v>
      </c>
      <c r="D161" s="206" t="s">
        <v>288</v>
      </c>
      <c r="E161" s="206" t="s">
        <v>326</v>
      </c>
      <c r="F161" s="206">
        <v>183</v>
      </c>
      <c r="G161" s="209">
        <v>895</v>
      </c>
      <c r="H161" s="206"/>
      <c r="I161" s="206" t="s">
        <v>296</v>
      </c>
      <c r="J161" s="207">
        <v>43465</v>
      </c>
      <c r="K161" s="206">
        <v>0</v>
      </c>
      <c r="L161" s="206" t="s">
        <v>48</v>
      </c>
      <c r="M161" s="208">
        <v>0.6</v>
      </c>
      <c r="N161" s="208">
        <v>0.5</v>
      </c>
      <c r="O161" s="316">
        <v>0</v>
      </c>
      <c r="P161" s="317">
        <v>0</v>
      </c>
      <c r="Q161" s="317">
        <v>194400</v>
      </c>
      <c r="R161" s="318">
        <v>0</v>
      </c>
      <c r="S161" s="318">
        <v>0</v>
      </c>
      <c r="T161" s="318"/>
      <c r="U161" s="318">
        <v>0</v>
      </c>
      <c r="V161" s="318">
        <v>0</v>
      </c>
      <c r="W161" s="318">
        <v>0</v>
      </c>
      <c r="X161" s="318">
        <v>0</v>
      </c>
      <c r="Y161" s="318">
        <v>0</v>
      </c>
      <c r="Z161" s="318"/>
      <c r="AA161" s="310">
        <v>150</v>
      </c>
      <c r="AB161" s="310">
        <v>0</v>
      </c>
      <c r="AC161" s="66">
        <v>0</v>
      </c>
      <c r="AD161" s="66"/>
      <c r="AE161" s="310">
        <v>0</v>
      </c>
      <c r="AF161" s="310" t="s">
        <v>283</v>
      </c>
      <c r="AG161" s="311" t="s">
        <v>283</v>
      </c>
      <c r="AH161" s="311"/>
      <c r="AI161" s="310"/>
      <c r="AJ161" s="310"/>
      <c r="AK161" s="841">
        <v>0.6</v>
      </c>
      <c r="AL161" s="842" t="s">
        <v>284</v>
      </c>
      <c r="AM161" s="842">
        <v>150</v>
      </c>
      <c r="AN161" s="863">
        <v>4</v>
      </c>
      <c r="AO161" s="863">
        <v>3</v>
      </c>
      <c r="AP161" s="843">
        <v>0</v>
      </c>
      <c r="AQ161" s="843">
        <v>0</v>
      </c>
      <c r="AR161" s="843"/>
      <c r="AS161" s="843"/>
      <c r="AT161" s="843"/>
      <c r="AU161" s="843"/>
      <c r="AV161" s="844"/>
      <c r="AW161" s="208" t="str">
        <f>IFERROR(WWWW[[#This Row],['# of Water passed at source]]/WWWW[[#This Row],['# of Water tested at source]],"no test")</f>
        <v>no test</v>
      </c>
      <c r="AX161" s="211" t="str">
        <f>IFERROR(WWWW[[#This Row],['# of Water passed at HH]]/WWWW[[#This Row],['# of Water tested at HH]],"no test")</f>
        <v>no test</v>
      </c>
      <c r="AY161" s="210" t="str">
        <f>IF(AND(WWWW[[#This Row],[%of Water samples which passed at water source]]="no test",WWWW[[#This Row],[%Water samples which passed at HH]]="no test"),"No Test","Tested")</f>
        <v>No Test</v>
      </c>
      <c r="AZ16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61" s="211">
        <f>IF(WWWW[[#This Row],[Location Type 1]]="Village",WWWW[[#This Row],[Access to safe drinking water for Village]],WWWW[[#This Row],[Access to safe drinking water for Camp]])</f>
        <v>1</v>
      </c>
      <c r="BC161" s="209">
        <f>WWWW[[#This Row],[%Equitable and continuous access to sufficient quantity of safe drinking water]]*WWWW[[#This Row],[Total PoP ]]</f>
        <v>895</v>
      </c>
      <c r="BD161" s="211">
        <f>IF((WWWW[[#This Row],['# Existing protected/fenced ponds ]]*250)/WWWW[[#This Row],[Total PoP ]]&gt;1,1,WWWW[[#This Row],['# Existing protected/fenced ponds ]]*250/WWWW[[#This Row],[Total PoP ]])</f>
        <v>0</v>
      </c>
      <c r="BE161" s="209">
        <f>WWWW[[#This Row],[Access to unimproved water points]]*WWWW[[#This Row],[Total PoP ]]</f>
        <v>0</v>
      </c>
      <c r="BF16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895</v>
      </c>
      <c r="BH161" s="209">
        <f>WWWW[[#This Row],['#people Equitable and continuous access to sufficient quantity of domestic water borehole n ponds_2]]/500</f>
        <v>1.79</v>
      </c>
      <c r="BI161" s="208">
        <f>1-WWWW[[#This Row],[%Equitable and continuous access to sufficient quantity of domestic water borehole n ponds]]</f>
        <v>0</v>
      </c>
      <c r="BJ161" s="209">
        <f>WWWW[[#This Row],[%equitable and continuous access to sufficient quantity of safe drinking and domestic water''s GAP]]*WWWW[[#This Row],[Total PoP ]]</f>
        <v>0</v>
      </c>
      <c r="BK161" s="210">
        <f>IF(WWWW[[#This Row],[Total required water points]]-WWWW[[#This Row],['#Water points coverage]]&lt;0,0,WWWW[[#This Row],[Total required water points]]-WWWW[[#This Row],['#Water points coverage]])</f>
        <v>0.20999999999999996</v>
      </c>
      <c r="BL161" s="210">
        <f>ROUND(IF(WWWW[[#This Row],[Total PoP ]]&lt;500,1,WWWW[[#This Row],[Total PoP ]]/500),0)</f>
        <v>2</v>
      </c>
      <c r="BM161" s="210">
        <f>WWWW[[#This Row],['# Existing functional latrines]]+WWWW[[#This Row],['# Existing latrines dysfunctional]]</f>
        <v>150</v>
      </c>
      <c r="BN16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61" s="352">
        <f>WWWW[[#This Row],[% people access to functioning Latrine]]*WWWW[[#This Row],[Total PoP ]]</f>
        <v>895</v>
      </c>
      <c r="BP16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61" s="209">
        <f>IF(WWWW[[#This Row],[Total required Latrines]]-WWWW[[#This Row],[Total '# of latrine]]&lt;0,0,WWWW[[#This Row],[Total required Latrines]]-WWWW[[#This Row],[Total '# of latrine]])</f>
        <v>0</v>
      </c>
      <c r="BR161" s="210">
        <f>ROUND(IF(WWWW[[#This Row],[Location Type 1]]="camp",WWWW[[#This Row],[Total PoP ]]/20,WWWW[[#This Row],[Total PoP ]]/6),0)</f>
        <v>149</v>
      </c>
      <c r="BS161" s="212">
        <f>IF(OR(WWWW[[#This Row],['# Existing latrines dysfunctional]]="",WWWW[[#This Row],['# Existing latrines dysfunctional]]=0),0,WWWW[[#This Row],['# Existing latrines dysfunctional]]/WWWW[[#This Row],[Total '# of latrine]])</f>
        <v>0</v>
      </c>
      <c r="BT16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61" s="209">
        <f>IF(500*WWWW[[#This Row],['# Hygiene Promoters ]]&gt;WWWW[[#This Row],[Total PoP ]],WWWW[[#This Row],[Total PoP ]],500*WWWW[[#This Row],['# Hygiene Promoters ]])</f>
        <v>895</v>
      </c>
      <c r="BV161" s="209">
        <f>IF(WWWW[[#This Row],[% of HH with access to Sanitary Pad]]&gt;=100%,1,0)</f>
        <v>0</v>
      </c>
      <c r="BW161" s="209">
        <f>IF(WWWW[[#This Row],[Total PoP ]]=0,0,IF(WWWW[[#This Row],['# Hygiene Promoters ]]=0,0,IF(WWWW[[#This Row],[Location Type 1]]="Village",IF(WWWW[[#This Row],[Total PoP ]]/WWWW[[#This Row],['# Hygiene Promoters ]]&lt;1000,1,0),IF(WWWW[[#This Row],[Total PoP ]]/WWWW[[#This Row],['# Hygiene Promoters ]]&lt;600,1,0))))</f>
        <v>1</v>
      </c>
      <c r="BX161" s="209">
        <f>IF(WWWW[[#This Row],[%HH with access to soap]]&gt;=100%,1,0)</f>
        <v>0</v>
      </c>
      <c r="BY161" s="209">
        <f>IF(WWWW[[#This Row],[% of HHs with access to Sanitary pad more than '#%]]+WWWW[[#This Row],[Ratio of Hyiene promoters to people less than '#]]+WWWW[[#This Row],[% of HHs with access to soap more than '#%]]&gt;=2,WWWW[[#This Row],[Total PoP ]],0)</f>
        <v>0</v>
      </c>
      <c r="BZ161" s="208">
        <f>WWWW[[#This Row],[People adopt basic personal and community hygiene practices]]/WWWW[[#This Row],[Total PoP ]]</f>
        <v>0</v>
      </c>
      <c r="CA161" s="212">
        <f>1-WWWW[[#This Row],[Hygiene Coverage%]]</f>
        <v>1</v>
      </c>
      <c r="CB161" s="211">
        <f>WWWW[[#This Row],['# people reached by regular dedicated hygiene promotion_5]]/WWWW[[#This Row],[Total PoP ]]</f>
        <v>1</v>
      </c>
      <c r="CC161" s="211">
        <f>IF(WWWW[[#This Row],['# HH received soaps]]/WWWW[[#This Row],[Total HH]]&gt;1,1,WWWW[[#This Row],['# HH received soaps]]/WWWW[[#This Row],[Total HH]])</f>
        <v>0</v>
      </c>
      <c r="CD161" s="211">
        <f>IF(WWWW[[#This Row],['# HH received Sanitary Pads]]/WWWW[[#This Row],[Total HH]]&gt;1,1,WWWW[[#This Row],['# HH received Sanitary Pads]]/WWWW[[#This Row],[Total HH]])</f>
        <v>0</v>
      </c>
      <c r="CE161" s="210">
        <f>WWWW[[#This Row],['# HH received soaps]]*5</f>
        <v>0</v>
      </c>
      <c r="CF161" s="210">
        <f>WWWW[[#This Row],['# HH received Sanitary Pads]]*5</f>
        <v>0</v>
      </c>
      <c r="CG161" s="210">
        <f>IF(WWWW[[#This Row],['# People with access to soap]]&gt;WWWW[[#This Row],['# People with access to Sanity Pads]],WWWW[[#This Row],['# People with access to soap]],WWWW[[#This Row],['# People with access to Sanity Pads]])</f>
        <v>0</v>
      </c>
      <c r="CH161" s="209">
        <f>WWWW[[#This Row],[Total HH]]*WWWW[[#This Row],[%HHs with access to functional hand washing stations]]</f>
        <v>109.8</v>
      </c>
      <c r="CI161" s="699" t="str">
        <f>VLOOKUP(WWWW[[#This Row],[Site Name]],SiteDB6[[Site Name]:[CCCM Management]],6,FALSE)</f>
        <v>Yes</v>
      </c>
      <c r="CJ161" s="699" t="str">
        <f>VLOOKUP(WWWW[[#This Row],[Site Name]],SiteDB6[[Site Name]:[CCCM Focal Agency]],7,FALSE)</f>
        <v>KBC</v>
      </c>
      <c r="CK161" s="699" t="str">
        <f>VLOOKUP(WWWW[[#This Row],[Site Name]],SiteDB6[[Site Name]:[Location Type]],8,FALSE)</f>
        <v>Camp</v>
      </c>
      <c r="CL161" s="699" t="str">
        <f>VLOOKUP(WWWW[[#This Row],[Site Name]],SiteDB6[[Site Name]:[Location Type 1]],9,FALSE)</f>
        <v>Village Type Camp</v>
      </c>
      <c r="CM161" s="699" t="str">
        <f>VLOOKUP(WWWW[[#This Row],[Site Name]],SiteDB6[[Site Name]:[Type of Accommodation]],10,FALSE)</f>
        <v>Camp</v>
      </c>
      <c r="CN161" s="699" t="str">
        <f>VLOOKUP(WWWW[[#This Row],[Site Name]],SiteDB6[[Site Name]:[Ethnic or GCA/NGCA]],11,FALSE)</f>
        <v>NGCA</v>
      </c>
      <c r="CO161" s="699">
        <f>VLOOKUP(WWWW[[#This Row],[Site Name]],SiteDB6[[Site Name]:[Lat]],12,FALSE)</f>
        <v>24.831944</v>
      </c>
      <c r="CP161" s="699">
        <f>VLOOKUP(WWWW[[#This Row],[Site Name]],SiteDB6[[Site Name]:[Long]],13,FALSE)</f>
        <v>97.751389000000003</v>
      </c>
      <c r="CQ161" s="699" t="str">
        <f>VLOOKUP(WWWW[[#This Row],[Site Name]],SiteDB6[[Site Name]:[Pcode]],3,FALSE)</f>
        <v>MMR001CMP120</v>
      </c>
      <c r="CR161" s="660" t="str">
        <f t="shared" si="2"/>
        <v>Covered</v>
      </c>
      <c r="CS161" s="660"/>
    </row>
    <row r="162" spans="1:100" ht="15.75" customHeight="1" x14ac:dyDescent="0.25">
      <c r="A162" s="833" t="s">
        <v>3206</v>
      </c>
      <c r="B162" s="206" t="s">
        <v>43</v>
      </c>
      <c r="C162" s="206" t="s">
        <v>44</v>
      </c>
      <c r="D162" s="206" t="s">
        <v>288</v>
      </c>
      <c r="E162" s="206" t="s">
        <v>385</v>
      </c>
      <c r="F162" s="206">
        <v>89</v>
      </c>
      <c r="G162" s="209">
        <v>550</v>
      </c>
      <c r="H162" s="206"/>
      <c r="I162" s="206" t="s">
        <v>372</v>
      </c>
      <c r="J162" s="207">
        <v>43465</v>
      </c>
      <c r="K162" s="206">
        <v>0</v>
      </c>
      <c r="L162" s="206" t="s">
        <v>2452</v>
      </c>
      <c r="M162" s="208">
        <v>0.5</v>
      </c>
      <c r="N162" s="208">
        <v>0.1</v>
      </c>
      <c r="O162" s="316">
        <v>0</v>
      </c>
      <c r="P162" s="317">
        <v>0</v>
      </c>
      <c r="Q162" s="317">
        <v>11000</v>
      </c>
      <c r="R162" s="318">
        <v>0</v>
      </c>
      <c r="S162" s="318">
        <v>10</v>
      </c>
      <c r="T162" s="318"/>
      <c r="U162" s="318">
        <v>0</v>
      </c>
      <c r="V162" s="318">
        <v>0</v>
      </c>
      <c r="W162" s="318">
        <v>0</v>
      </c>
      <c r="X162" s="318">
        <v>0</v>
      </c>
      <c r="Y162" s="318">
        <v>0</v>
      </c>
      <c r="Z162" s="318"/>
      <c r="AA162" s="310">
        <v>98</v>
      </c>
      <c r="AB162" s="310">
        <v>0</v>
      </c>
      <c r="AC162" s="66">
        <v>0</v>
      </c>
      <c r="AD162" s="66"/>
      <c r="AE162" s="310">
        <v>27</v>
      </c>
      <c r="AF162" s="310" t="s">
        <v>283</v>
      </c>
      <c r="AG162" s="311" t="s">
        <v>1358</v>
      </c>
      <c r="AH162" s="311">
        <v>0</v>
      </c>
      <c r="AI162" s="310">
        <v>0</v>
      </c>
      <c r="AJ162" s="310"/>
      <c r="AK162" s="841">
        <v>0</v>
      </c>
      <c r="AL162" s="842" t="s">
        <v>376</v>
      </c>
      <c r="AM162" s="842">
        <v>0</v>
      </c>
      <c r="AN162" s="863">
        <v>3</v>
      </c>
      <c r="AO162" s="863">
        <v>2</v>
      </c>
      <c r="AP162" s="838">
        <v>0</v>
      </c>
      <c r="AQ162" s="843">
        <v>0</v>
      </c>
      <c r="AR162" s="843" t="s">
        <v>282</v>
      </c>
      <c r="AS162" s="843"/>
      <c r="AT162" s="843"/>
      <c r="AU162" s="843"/>
      <c r="AV162" s="844"/>
      <c r="AW162" s="208" t="str">
        <f>IFERROR(WWWW[[#This Row],['# of Water passed at source]]/WWWW[[#This Row],['# of Water tested at source]],"no test")</f>
        <v>no test</v>
      </c>
      <c r="AX162" s="211" t="str">
        <f>IFERROR(WWWW[[#This Row],['# of Water passed at HH]]/WWWW[[#This Row],['# of Water tested at HH]],"no test")</f>
        <v>no test</v>
      </c>
      <c r="AY162" s="210" t="str">
        <f>IF(AND(WWWW[[#This Row],[%of Water samples which passed at water source]]="no test",WWWW[[#This Row],[%Water samples which passed at HH]]="no test"),"No Test","Tested")</f>
        <v>No Test</v>
      </c>
      <c r="AZ16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62" s="211">
        <f>IF(WWWW[[#This Row],[Location Type 1]]="Village",WWWW[[#This Row],[Access to safe drinking water for Village]],WWWW[[#This Row],[Access to safe drinking water for Camp]])</f>
        <v>1</v>
      </c>
      <c r="BC162" s="209">
        <f>WWWW[[#This Row],[%Equitable and continuous access to sufficient quantity of safe drinking water]]*WWWW[[#This Row],[Total PoP ]]</f>
        <v>550</v>
      </c>
      <c r="BD162" s="211">
        <f>IF((WWWW[[#This Row],['# Existing protected/fenced ponds ]]*250)/WWWW[[#This Row],[Total PoP ]]&gt;1,1,WWWW[[#This Row],['# Existing protected/fenced ponds ]]*250/WWWW[[#This Row],[Total PoP ]])</f>
        <v>0</v>
      </c>
      <c r="BE162" s="209">
        <f>WWWW[[#This Row],[Access to unimproved water points]]*WWWW[[#This Row],[Total PoP ]]</f>
        <v>0</v>
      </c>
      <c r="BF16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550</v>
      </c>
      <c r="BH162" s="209">
        <f>WWWW[[#This Row],['#people Equitable and continuous access to sufficient quantity of domestic water borehole n ponds_2]]/500</f>
        <v>1.1000000000000001</v>
      </c>
      <c r="BI162" s="208">
        <f>1-WWWW[[#This Row],[%Equitable and continuous access to sufficient quantity of domestic water borehole n ponds]]</f>
        <v>0</v>
      </c>
      <c r="BJ162" s="209">
        <f>WWWW[[#This Row],[%equitable and continuous access to sufficient quantity of safe drinking and domestic water''s GAP]]*WWWW[[#This Row],[Total PoP ]]</f>
        <v>0</v>
      </c>
      <c r="BK162" s="210">
        <f>IF(WWWW[[#This Row],[Total required water points]]-WWWW[[#This Row],['#Water points coverage]]&lt;0,0,WWWW[[#This Row],[Total required water points]]-WWWW[[#This Row],['#Water points coverage]])</f>
        <v>0</v>
      </c>
      <c r="BL162" s="210">
        <f>ROUND(IF(WWWW[[#This Row],[Total PoP ]]&lt;500,1,WWWW[[#This Row],[Total PoP ]]/500),0)</f>
        <v>1</v>
      </c>
      <c r="BM162" s="210">
        <f>WWWW[[#This Row],['# Existing functional latrines]]+WWWW[[#This Row],['# Existing latrines dysfunctional]]</f>
        <v>98</v>
      </c>
      <c r="BN16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62" s="352">
        <f>WWWW[[#This Row],[% people access to functioning Latrine]]*WWWW[[#This Row],[Total PoP ]]</f>
        <v>550</v>
      </c>
      <c r="BP16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62" s="209">
        <f>IF(WWWW[[#This Row],[Total required Latrines]]-WWWW[[#This Row],[Total '# of latrine]]&lt;0,0,WWWW[[#This Row],[Total required Latrines]]-WWWW[[#This Row],[Total '# of latrine]])</f>
        <v>0</v>
      </c>
      <c r="BR162" s="210">
        <f>ROUND(IF(WWWW[[#This Row],[Location Type 1]]="camp",WWWW[[#This Row],[Total PoP ]]/20,WWWW[[#This Row],[Total PoP ]]/6),0)</f>
        <v>28</v>
      </c>
      <c r="BS162" s="212">
        <f>IF(OR(WWWW[[#This Row],['# Existing latrines dysfunctional]]="",WWWW[[#This Row],['# Existing latrines dysfunctional]]=0),0,WWWW[[#This Row],['# Existing latrines dysfunctional]]/WWWW[[#This Row],[Total '# of latrine]])</f>
        <v>0</v>
      </c>
      <c r="BT16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62" s="209">
        <f>IF(500*WWWW[[#This Row],['# Hygiene Promoters ]]&gt;WWWW[[#This Row],[Total PoP ]],WWWW[[#This Row],[Total PoP ]],500*WWWW[[#This Row],['# Hygiene Promoters ]])</f>
        <v>550</v>
      </c>
      <c r="BV162" s="209">
        <f>IF(WWWW[[#This Row],[% of HH with access to Sanitary Pad]]&gt;=100%,1,0)</f>
        <v>0</v>
      </c>
      <c r="BW162" s="209">
        <f>IF(WWWW[[#This Row],[Total PoP ]]=0,0,IF(WWWW[[#This Row],['# Hygiene Promoters ]]=0,0,IF(WWWW[[#This Row],[Location Type 1]]="Village",IF(WWWW[[#This Row],[Total PoP ]]/WWWW[[#This Row],['# Hygiene Promoters ]]&lt;1000,1,0),IF(WWWW[[#This Row],[Total PoP ]]/WWWW[[#This Row],['# Hygiene Promoters ]]&lt;600,1,0))))</f>
        <v>1</v>
      </c>
      <c r="BX162" s="209">
        <f>IF(WWWW[[#This Row],[%HH with access to soap]]&gt;=100%,1,0)</f>
        <v>0</v>
      </c>
      <c r="BY162" s="209">
        <f>IF(WWWW[[#This Row],[% of HHs with access to Sanitary pad more than '#%]]+WWWW[[#This Row],[Ratio of Hyiene promoters to people less than '#]]+WWWW[[#This Row],[% of HHs with access to soap more than '#%]]&gt;=2,WWWW[[#This Row],[Total PoP ]],0)</f>
        <v>0</v>
      </c>
      <c r="BZ162" s="208">
        <f>WWWW[[#This Row],[People adopt basic personal and community hygiene practices]]/WWWW[[#This Row],[Total PoP ]]</f>
        <v>0</v>
      </c>
      <c r="CA162" s="212">
        <f>1-WWWW[[#This Row],[Hygiene Coverage%]]</f>
        <v>1</v>
      </c>
      <c r="CB162" s="211">
        <f>WWWW[[#This Row],['# people reached by regular dedicated hygiene promotion_5]]/WWWW[[#This Row],[Total PoP ]]</f>
        <v>1</v>
      </c>
      <c r="CC162" s="211">
        <f>IF(WWWW[[#This Row],['# HH received soaps]]/WWWW[[#This Row],[Total HH]]&gt;1,1,WWWW[[#This Row],['# HH received soaps]]/WWWW[[#This Row],[Total HH]])</f>
        <v>0</v>
      </c>
      <c r="CD162" s="211">
        <f>IF(WWWW[[#This Row],['# HH received Sanitary Pads]]/WWWW[[#This Row],[Total HH]]&gt;1,1,WWWW[[#This Row],['# HH received Sanitary Pads]]/WWWW[[#This Row],[Total HH]])</f>
        <v>0</v>
      </c>
      <c r="CE162" s="210">
        <f>WWWW[[#This Row],['# HH received soaps]]*5</f>
        <v>0</v>
      </c>
      <c r="CF162" s="210">
        <f>WWWW[[#This Row],['# HH received Sanitary Pads]]*5</f>
        <v>0</v>
      </c>
      <c r="CG162" s="210">
        <f>IF(WWWW[[#This Row],['# People with access to soap]]&gt;WWWW[[#This Row],['# People with access to Sanity Pads]],WWWW[[#This Row],['# People with access to soap]],WWWW[[#This Row],['# People with access to Sanity Pads]])</f>
        <v>0</v>
      </c>
      <c r="CH162" s="209">
        <f>WWWW[[#This Row],[Total HH]]*WWWW[[#This Row],[%HHs with access to functional hand washing stations]]</f>
        <v>0</v>
      </c>
      <c r="CI162" s="699" t="str">
        <f>VLOOKUP(WWWW[[#This Row],[Site Name]],SiteDB6[[Site Name]:[CCCM Management]],6,FALSE)</f>
        <v>Yes</v>
      </c>
      <c r="CJ162" s="699" t="str">
        <f>VLOOKUP(WWWW[[#This Row],[Site Name]],SiteDB6[[Site Name]:[CCCM Focal Agency]],7,FALSE)</f>
        <v>KMSS-MYT</v>
      </c>
      <c r="CK162" s="699" t="str">
        <f>VLOOKUP(WWWW[[#This Row],[Site Name]],SiteDB6[[Site Name]:[Location Type]],8,FALSE)</f>
        <v>Camp</v>
      </c>
      <c r="CL162" s="699" t="str">
        <f>VLOOKUP(WWWW[[#This Row],[Site Name]],SiteDB6[[Site Name]:[Location Type 1]],9,FALSE)</f>
        <v>Camp</v>
      </c>
      <c r="CM162" s="699" t="str">
        <f>VLOOKUP(WWWW[[#This Row],[Site Name]],SiteDB6[[Site Name]:[Type of Accommodation]],10,FALSE)</f>
        <v>Camp</v>
      </c>
      <c r="CN162" s="699" t="str">
        <f>VLOOKUP(WWWW[[#This Row],[Site Name]],SiteDB6[[Site Name]:[Ethnic or GCA/NGCA]],11,FALSE)</f>
        <v>NGCA</v>
      </c>
      <c r="CO162" s="699">
        <f>VLOOKUP(WWWW[[#This Row],[Site Name]],SiteDB6[[Site Name]:[Lat]],12,FALSE)</f>
        <v>25.265277999999999</v>
      </c>
      <c r="CP162" s="699">
        <f>VLOOKUP(WWWW[[#This Row],[Site Name]],SiteDB6[[Site Name]:[Long]],13,FALSE)</f>
        <v>97.990555999999998</v>
      </c>
      <c r="CQ162" s="699" t="str">
        <f>VLOOKUP(WWWW[[#This Row],[Site Name]],SiteDB6[[Site Name]:[Pcode]],3,FALSE)</f>
        <v>MMR001CMP160</v>
      </c>
      <c r="CR162" s="660" t="str">
        <f t="shared" si="2"/>
        <v>Covered</v>
      </c>
      <c r="CS162" s="660"/>
      <c r="CT162" s="24"/>
      <c r="CU162" s="24"/>
      <c r="CV162" s="24"/>
    </row>
    <row r="163" spans="1:100" ht="15.75" customHeight="1" x14ac:dyDescent="0.25">
      <c r="A163" s="833" t="s">
        <v>3206</v>
      </c>
      <c r="B163" s="206" t="s">
        <v>389</v>
      </c>
      <c r="C163" s="206" t="s">
        <v>44</v>
      </c>
      <c r="D163" s="206" t="s">
        <v>288</v>
      </c>
      <c r="E163" s="206" t="s">
        <v>421</v>
      </c>
      <c r="F163" s="206">
        <v>115</v>
      </c>
      <c r="G163" s="209">
        <v>460</v>
      </c>
      <c r="H163" s="206"/>
      <c r="I163" s="206" t="s">
        <v>391</v>
      </c>
      <c r="J163" s="207">
        <v>42947</v>
      </c>
      <c r="K163" s="206">
        <v>0</v>
      </c>
      <c r="L163" s="206" t="s">
        <v>48</v>
      </c>
      <c r="M163" s="208">
        <v>0.6</v>
      </c>
      <c r="N163" s="208">
        <v>1</v>
      </c>
      <c r="O163" s="316">
        <v>5</v>
      </c>
      <c r="P163" s="317">
        <v>0</v>
      </c>
      <c r="Q163" s="317">
        <v>1000</v>
      </c>
      <c r="R163" s="318">
        <v>0</v>
      </c>
      <c r="S163" s="318">
        <v>3</v>
      </c>
      <c r="T163" s="318"/>
      <c r="U163" s="318">
        <v>3</v>
      </c>
      <c r="V163" s="318">
        <v>2</v>
      </c>
      <c r="W163" s="318">
        <v>7</v>
      </c>
      <c r="X163" s="318">
        <v>2</v>
      </c>
      <c r="Y163" s="318">
        <v>0</v>
      </c>
      <c r="Z163" s="318"/>
      <c r="AA163" s="310">
        <v>4</v>
      </c>
      <c r="AB163" s="310">
        <v>0</v>
      </c>
      <c r="AC163" s="66">
        <v>6</v>
      </c>
      <c r="AD163" s="66" t="s">
        <v>2787</v>
      </c>
      <c r="AE163" s="310">
        <v>4</v>
      </c>
      <c r="AF163" s="310" t="s">
        <v>283</v>
      </c>
      <c r="AG163" s="311" t="s">
        <v>283</v>
      </c>
      <c r="AH163" s="311">
        <v>0</v>
      </c>
      <c r="AI163" s="310">
        <v>0</v>
      </c>
      <c r="AJ163" s="310"/>
      <c r="AK163" s="841">
        <v>0.5</v>
      </c>
      <c r="AL163" s="842" t="s">
        <v>376</v>
      </c>
      <c r="AM163" s="842">
        <v>0</v>
      </c>
      <c r="AN163" s="863">
        <v>2</v>
      </c>
      <c r="AO163" s="863">
        <v>0</v>
      </c>
      <c r="AP163" s="838">
        <v>0</v>
      </c>
      <c r="AQ163" s="843">
        <v>0</v>
      </c>
      <c r="AR163" s="843"/>
      <c r="AS163" s="843"/>
      <c r="AT163" s="843">
        <v>2</v>
      </c>
      <c r="AU163" s="843"/>
      <c r="AV163" s="844"/>
      <c r="AW163" s="208">
        <f>IFERROR(WWWW[[#This Row],['# of Water passed at source]]/WWWW[[#This Row],['# of Water tested at source]],"no test")</f>
        <v>0.66666666666666663</v>
      </c>
      <c r="AX163" s="211">
        <f>IFERROR(WWWW[[#This Row],['# of Water passed at HH]]/WWWW[[#This Row],['# of Water tested at HH]],"no test")</f>
        <v>0.2857142857142857</v>
      </c>
      <c r="AY163" s="210" t="str">
        <f>IF(AND(WWWW[[#This Row],[%of Water samples which passed at water source]]="no test",WWWW[[#This Row],[%Water samples which passed at HH]]="no test"),"No Test","Tested")</f>
        <v>Tested</v>
      </c>
      <c r="AZ16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63" s="211">
        <f>IF(WWWW[[#This Row],[Location Type 1]]="Village",WWWW[[#This Row],[Access to safe drinking water for Village]],WWWW[[#This Row],[Access to safe drinking water for Camp]])</f>
        <v>1</v>
      </c>
      <c r="BC163" s="209">
        <f>WWWW[[#This Row],[%Equitable and continuous access to sufficient quantity of safe drinking water]]*WWWW[[#This Row],[Total PoP ]]</f>
        <v>460</v>
      </c>
      <c r="BD163" s="211">
        <f>IF((WWWW[[#This Row],['# Existing protected/fenced ponds ]]*250)/WWWW[[#This Row],[Total PoP ]]&gt;1,1,WWWW[[#This Row],['# Existing protected/fenced ponds ]]*250/WWWW[[#This Row],[Total PoP ]])</f>
        <v>0</v>
      </c>
      <c r="BE163" s="209">
        <f>WWWW[[#This Row],[Access to unimproved water points]]*WWWW[[#This Row],[Total PoP ]]</f>
        <v>0</v>
      </c>
      <c r="BF16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460</v>
      </c>
      <c r="BH163" s="209">
        <f>WWWW[[#This Row],['#people Equitable and continuous access to sufficient quantity of domestic water borehole n ponds_2]]/500</f>
        <v>0.92</v>
      </c>
      <c r="BI163" s="208">
        <f>1-WWWW[[#This Row],[%Equitable and continuous access to sufficient quantity of domestic water borehole n ponds]]</f>
        <v>0</v>
      </c>
      <c r="BJ163" s="209">
        <f>WWWW[[#This Row],[%equitable and continuous access to sufficient quantity of safe drinking and domestic water''s GAP]]*WWWW[[#This Row],[Total PoP ]]</f>
        <v>0</v>
      </c>
      <c r="BK163" s="210">
        <f>IF(WWWW[[#This Row],[Total required water points]]-WWWW[[#This Row],['#Water points coverage]]&lt;0,0,WWWW[[#This Row],[Total required water points]]-WWWW[[#This Row],['#Water points coverage]])</f>
        <v>7.999999999999996E-2</v>
      </c>
      <c r="BL163" s="210">
        <f>ROUND(IF(WWWW[[#This Row],[Total PoP ]]&lt;500,1,WWWW[[#This Row],[Total PoP ]]/500),0)</f>
        <v>1</v>
      </c>
      <c r="BM163" s="210">
        <f>WWWW[[#This Row],['# Existing functional latrines]]+WWWW[[#This Row],['# Existing latrines dysfunctional]]</f>
        <v>4</v>
      </c>
      <c r="BN16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0.17391304347826086</v>
      </c>
      <c r="BO163" s="352">
        <f>WWWW[[#This Row],[% people access to functioning Latrine]]*WWWW[[#This Row],[Total PoP ]]</f>
        <v>80</v>
      </c>
      <c r="BP16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0.82608695652173914</v>
      </c>
      <c r="BQ163" s="209">
        <f>IF(WWWW[[#This Row],[Total required Latrines]]-WWWW[[#This Row],[Total '# of latrine]]&lt;0,0,WWWW[[#This Row],[Total required Latrines]]-WWWW[[#This Row],[Total '# of latrine]])</f>
        <v>19</v>
      </c>
      <c r="BR163" s="210">
        <f>ROUND(IF(WWWW[[#This Row],[Location Type 1]]="camp",WWWW[[#This Row],[Total PoP ]]/20,WWWW[[#This Row],[Total PoP ]]/6),0)</f>
        <v>23</v>
      </c>
      <c r="BS163" s="212">
        <f>IF(OR(WWWW[[#This Row],['# Existing latrines dysfunctional]]="",WWWW[[#This Row],['# Existing latrines dysfunctional]]=0),0,WWWW[[#This Row],['# Existing latrines dysfunctional]]/WWWW[[#This Row],[Total '# of latrine]])</f>
        <v>0</v>
      </c>
      <c r="BT16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120</v>
      </c>
      <c r="BU163" s="209">
        <f>IF(500*WWWW[[#This Row],['# Hygiene Promoters ]]&gt;WWWW[[#This Row],[Total PoP ]],WWWW[[#This Row],[Total PoP ]],500*WWWW[[#This Row],['# Hygiene Promoters ]])</f>
        <v>0</v>
      </c>
      <c r="BV163" s="209">
        <f>IF(WWWW[[#This Row],[% of HH with access to Sanitary Pad]]&gt;=100%,1,0)</f>
        <v>0</v>
      </c>
      <c r="BW163" s="209">
        <f>IF(WWWW[[#This Row],[Total PoP ]]=0,0,IF(WWWW[[#This Row],['# Hygiene Promoters ]]=0,0,IF(WWWW[[#This Row],[Location Type 1]]="Village",IF(WWWW[[#This Row],[Total PoP ]]/WWWW[[#This Row],['# Hygiene Promoters ]]&lt;1000,1,0),IF(WWWW[[#This Row],[Total PoP ]]/WWWW[[#This Row],['# Hygiene Promoters ]]&lt;600,1,0))))</f>
        <v>0</v>
      </c>
      <c r="BX163" s="209">
        <f>IF(WWWW[[#This Row],[%HH with access to soap]]&gt;=100%,1,0)</f>
        <v>0</v>
      </c>
      <c r="BY163" s="209">
        <f>IF(WWWW[[#This Row],[% of HHs with access to Sanitary pad more than '#%]]+WWWW[[#This Row],[Ratio of Hyiene promoters to people less than '#]]+WWWW[[#This Row],[% of HHs with access to soap more than '#%]]&gt;=2,WWWW[[#This Row],[Total PoP ]],0)</f>
        <v>0</v>
      </c>
      <c r="BZ163" s="208">
        <f>WWWW[[#This Row],[People adopt basic personal and community hygiene practices]]/WWWW[[#This Row],[Total PoP ]]</f>
        <v>0</v>
      </c>
      <c r="CA163" s="212">
        <f>1-WWWW[[#This Row],[Hygiene Coverage%]]</f>
        <v>1</v>
      </c>
      <c r="CB163" s="211">
        <f>WWWW[[#This Row],['# people reached by regular dedicated hygiene promotion_5]]/WWWW[[#This Row],[Total PoP ]]</f>
        <v>0</v>
      </c>
      <c r="CC163" s="211">
        <f>IF(WWWW[[#This Row],['# HH received soaps]]/WWWW[[#This Row],[Total HH]]&gt;1,1,WWWW[[#This Row],['# HH received soaps]]/WWWW[[#This Row],[Total HH]])</f>
        <v>0</v>
      </c>
      <c r="CD163" s="211">
        <f>IF(WWWW[[#This Row],['# HH received Sanitary Pads]]/WWWW[[#This Row],[Total HH]]&gt;1,1,WWWW[[#This Row],['# HH received Sanitary Pads]]/WWWW[[#This Row],[Total HH]])</f>
        <v>0</v>
      </c>
      <c r="CE163" s="210">
        <f>WWWW[[#This Row],['# HH received soaps]]*5</f>
        <v>0</v>
      </c>
      <c r="CF163" s="210">
        <f>WWWW[[#This Row],['# HH received Sanitary Pads]]*5</f>
        <v>0</v>
      </c>
      <c r="CG163" s="210">
        <f>IF(WWWW[[#This Row],['# People with access to soap]]&gt;WWWW[[#This Row],['# People with access to Sanity Pads]],WWWW[[#This Row],['# People with access to soap]],WWWW[[#This Row],['# People with access to Sanity Pads]])</f>
        <v>0</v>
      </c>
      <c r="CH163" s="209">
        <f>WWWW[[#This Row],[Total HH]]*WWWW[[#This Row],[%HHs with access to functional hand washing stations]]</f>
        <v>57.5</v>
      </c>
      <c r="CI163" s="699" t="str">
        <f>VLOOKUP(WWWW[[#This Row],[Site Name]],SiteDB6[[Site Name]:[CCCM Management]],6,FALSE)</f>
        <v>Yes</v>
      </c>
      <c r="CJ163" s="699" t="str">
        <f>VLOOKUP(WWWW[[#This Row],[Site Name]],SiteDB6[[Site Name]:[CCCM Focal Agency]],7,FALSE)</f>
        <v>Shalom</v>
      </c>
      <c r="CK163" s="699" t="str">
        <f>VLOOKUP(WWWW[[#This Row],[Site Name]],SiteDB6[[Site Name]:[Location Type]],8,FALSE)</f>
        <v>Camp</v>
      </c>
      <c r="CL163" s="699" t="str">
        <f>VLOOKUP(WWWW[[#This Row],[Site Name]],SiteDB6[[Site Name]:[Location Type 1]],9,FALSE)</f>
        <v>Camp</v>
      </c>
      <c r="CM163" s="699" t="str">
        <f>VLOOKUP(WWWW[[#This Row],[Site Name]],SiteDB6[[Site Name]:[Type of Accommodation]],10,FALSE)</f>
        <v>Camp</v>
      </c>
      <c r="CN163" s="699" t="str">
        <f>VLOOKUP(WWWW[[#This Row],[Site Name]],SiteDB6[[Site Name]:[Ethnic or GCA/NGCA]],11,FALSE)</f>
        <v>GCA</v>
      </c>
      <c r="CO163" s="699">
        <f>VLOOKUP(WWWW[[#This Row],[Site Name]],SiteDB6[[Site Name]:[Lat]],12,FALSE)</f>
        <v>25.3540362037037</v>
      </c>
      <c r="CP163" s="699">
        <f>VLOOKUP(WWWW[[#This Row],[Site Name]],SiteDB6[[Site Name]:[Long]],13,FALSE)</f>
        <v>97.441166388888902</v>
      </c>
      <c r="CQ163" s="699" t="str">
        <f>VLOOKUP(WWWW[[#This Row],[Site Name]],SiteDB6[[Site Name]:[Pcode]],3,FALSE)</f>
        <v>MMR001CMP032</v>
      </c>
      <c r="CR163" s="660" t="str">
        <f t="shared" si="2"/>
        <v>Covered</v>
      </c>
      <c r="CS163" s="660"/>
      <c r="CT163" s="24"/>
      <c r="CU163" s="24"/>
      <c r="CV163" s="24"/>
    </row>
    <row r="164" spans="1:100" ht="15.75" customHeight="1" x14ac:dyDescent="0.25">
      <c r="A164" s="833" t="s">
        <v>3206</v>
      </c>
      <c r="B164" s="206" t="s">
        <v>287</v>
      </c>
      <c r="C164" s="206" t="s">
        <v>44</v>
      </c>
      <c r="D164" s="206" t="s">
        <v>288</v>
      </c>
      <c r="E164" s="206" t="s">
        <v>327</v>
      </c>
      <c r="F164" s="206">
        <v>64</v>
      </c>
      <c r="G164" s="209">
        <v>322</v>
      </c>
      <c r="H164" s="206"/>
      <c r="I164" s="206" t="s">
        <v>290</v>
      </c>
      <c r="J164" s="207" t="s">
        <v>3253</v>
      </c>
      <c r="K164" s="206">
        <v>0</v>
      </c>
      <c r="L164" s="206" t="s">
        <v>48</v>
      </c>
      <c r="M164" s="208">
        <v>0.6</v>
      </c>
      <c r="N164" s="208">
        <v>0.5</v>
      </c>
      <c r="O164" s="316">
        <v>1</v>
      </c>
      <c r="P164" s="317">
        <v>0</v>
      </c>
      <c r="Q164" s="317">
        <v>0</v>
      </c>
      <c r="R164" s="318">
        <v>0</v>
      </c>
      <c r="S164" s="318">
        <v>0</v>
      </c>
      <c r="T164" s="318"/>
      <c r="U164" s="318">
        <v>0</v>
      </c>
      <c r="V164" s="318">
        <v>0</v>
      </c>
      <c r="W164" s="318">
        <v>0</v>
      </c>
      <c r="X164" s="318">
        <v>0</v>
      </c>
      <c r="Y164" s="318">
        <v>0</v>
      </c>
      <c r="Z164" s="318"/>
      <c r="AA164" s="310">
        <v>10</v>
      </c>
      <c r="AB164" s="310">
        <v>0</v>
      </c>
      <c r="AC164" s="66">
        <v>0</v>
      </c>
      <c r="AD164" s="66"/>
      <c r="AE164" s="310">
        <v>0</v>
      </c>
      <c r="AF164" s="310" t="s">
        <v>283</v>
      </c>
      <c r="AG164" s="311" t="s">
        <v>283</v>
      </c>
      <c r="AH164" s="311"/>
      <c r="AI164" s="310"/>
      <c r="AJ164" s="310"/>
      <c r="AK164" s="841">
        <v>0.6</v>
      </c>
      <c r="AL164" s="842" t="s">
        <v>376</v>
      </c>
      <c r="AM164" s="842">
        <v>0</v>
      </c>
      <c r="AN164" s="863">
        <v>2</v>
      </c>
      <c r="AO164" s="863">
        <v>1</v>
      </c>
      <c r="AP164" s="838">
        <v>0</v>
      </c>
      <c r="AQ164" s="843">
        <v>0</v>
      </c>
      <c r="AR164" s="843"/>
      <c r="AS164" s="843"/>
      <c r="AT164" s="843"/>
      <c r="AU164" s="843"/>
      <c r="AV164" s="844"/>
      <c r="AW164" s="208" t="str">
        <f>IFERROR(WWWW[[#This Row],['# of Water passed at source]]/WWWW[[#This Row],['# of Water tested at source]],"no test")</f>
        <v>no test</v>
      </c>
      <c r="AX164" s="211" t="str">
        <f>IFERROR(WWWW[[#This Row],['# of Water passed at HH]]/WWWW[[#This Row],['# of Water tested at HH]],"no test")</f>
        <v>no test</v>
      </c>
      <c r="AY164" s="210" t="str">
        <f>IF(AND(WWWW[[#This Row],[%of Water samples which passed at water source]]="no test",WWWW[[#This Row],[%Water samples which passed at HH]]="no test"),"No Test","Tested")</f>
        <v>No Test</v>
      </c>
      <c r="AZ16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0.77639751552795033</v>
      </c>
      <c r="BB164" s="211">
        <f>IF(WWWW[[#This Row],[Location Type 1]]="Village",WWWW[[#This Row],[Access to safe drinking water for Village]],WWWW[[#This Row],[Access to safe drinking water for Camp]])</f>
        <v>1</v>
      </c>
      <c r="BC164" s="209">
        <f>WWWW[[#This Row],[%Equitable and continuous access to sufficient quantity of safe drinking water]]*WWWW[[#This Row],[Total PoP ]]</f>
        <v>322</v>
      </c>
      <c r="BD164" s="211">
        <f>IF((WWWW[[#This Row],['# Existing protected/fenced ponds ]]*250)/WWWW[[#This Row],[Total PoP ]]&gt;1,1,WWWW[[#This Row],['# Existing protected/fenced ponds ]]*250/WWWW[[#This Row],[Total PoP ]])</f>
        <v>0</v>
      </c>
      <c r="BE164" s="209">
        <f>WWWW[[#This Row],[Access to unimproved water points]]*WWWW[[#This Row],[Total PoP ]]</f>
        <v>0</v>
      </c>
      <c r="BF16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322</v>
      </c>
      <c r="BH164" s="209">
        <f>WWWW[[#This Row],['#people Equitable and continuous access to sufficient quantity of domestic water borehole n ponds_2]]/500</f>
        <v>0.64400000000000002</v>
      </c>
      <c r="BI164" s="208">
        <f>1-WWWW[[#This Row],[%Equitable and continuous access to sufficient quantity of domestic water borehole n ponds]]</f>
        <v>0</v>
      </c>
      <c r="BJ164" s="209">
        <f>WWWW[[#This Row],[%equitable and continuous access to sufficient quantity of safe drinking and domestic water''s GAP]]*WWWW[[#This Row],[Total PoP ]]</f>
        <v>0</v>
      </c>
      <c r="BK164" s="210">
        <f>IF(WWWW[[#This Row],[Total required water points]]-WWWW[[#This Row],['#Water points coverage]]&lt;0,0,WWWW[[#This Row],[Total required water points]]-WWWW[[#This Row],['#Water points coverage]])</f>
        <v>0.35599999999999998</v>
      </c>
      <c r="BL164" s="210">
        <f>ROUND(IF(WWWW[[#This Row],[Total PoP ]]&lt;500,1,WWWW[[#This Row],[Total PoP ]]/500),0)</f>
        <v>1</v>
      </c>
      <c r="BM164" s="210">
        <f>WWWW[[#This Row],['# Existing functional latrines]]+WWWW[[#This Row],['# Existing latrines dysfunctional]]</f>
        <v>10</v>
      </c>
      <c r="BN16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0.6211180124223602</v>
      </c>
      <c r="BO164" s="352">
        <f>WWWW[[#This Row],[% people access to functioning Latrine]]*WWWW[[#This Row],[Total PoP ]]</f>
        <v>199.99999999999997</v>
      </c>
      <c r="BP16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0.37267080745341613</v>
      </c>
      <c r="BQ164" s="209">
        <f>IF(WWWW[[#This Row],[Total required Latrines]]-WWWW[[#This Row],[Total '# of latrine]]&lt;0,0,WWWW[[#This Row],[Total required Latrines]]-WWWW[[#This Row],[Total '# of latrine]])</f>
        <v>6</v>
      </c>
      <c r="BR164" s="210">
        <f>ROUND(IF(WWWW[[#This Row],[Location Type 1]]="camp",WWWW[[#This Row],[Total PoP ]]/20,WWWW[[#This Row],[Total PoP ]]/6),0)</f>
        <v>16</v>
      </c>
      <c r="BS164" s="212">
        <f>IF(OR(WWWW[[#This Row],['# Existing latrines dysfunctional]]="",WWWW[[#This Row],['# Existing latrines dysfunctional]]=0),0,WWWW[[#This Row],['# Existing latrines dysfunctional]]/WWWW[[#This Row],[Total '# of latrine]])</f>
        <v>0</v>
      </c>
      <c r="BT16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64" s="209">
        <f>IF(500*WWWW[[#This Row],['# Hygiene Promoters ]]&gt;WWWW[[#This Row],[Total PoP ]],WWWW[[#This Row],[Total PoP ]],500*WWWW[[#This Row],['# Hygiene Promoters ]])</f>
        <v>322</v>
      </c>
      <c r="BV164" s="209">
        <f>IF(WWWW[[#This Row],[% of HH with access to Sanitary Pad]]&gt;=100%,1,0)</f>
        <v>0</v>
      </c>
      <c r="BW164" s="209">
        <f>IF(WWWW[[#This Row],[Total PoP ]]=0,0,IF(WWWW[[#This Row],['# Hygiene Promoters ]]=0,0,IF(WWWW[[#This Row],[Location Type 1]]="Village",IF(WWWW[[#This Row],[Total PoP ]]/WWWW[[#This Row],['# Hygiene Promoters ]]&lt;1000,1,0),IF(WWWW[[#This Row],[Total PoP ]]/WWWW[[#This Row],['# Hygiene Promoters ]]&lt;600,1,0))))</f>
        <v>1</v>
      </c>
      <c r="BX164" s="209">
        <f>IF(WWWW[[#This Row],[%HH with access to soap]]&gt;=100%,1,0)</f>
        <v>0</v>
      </c>
      <c r="BY164" s="209">
        <f>IF(WWWW[[#This Row],[% of HHs with access to Sanitary pad more than '#%]]+WWWW[[#This Row],[Ratio of Hyiene promoters to people less than '#]]+WWWW[[#This Row],[% of HHs with access to soap more than '#%]]&gt;=2,WWWW[[#This Row],[Total PoP ]],0)</f>
        <v>0</v>
      </c>
      <c r="BZ164" s="208">
        <f>WWWW[[#This Row],[People adopt basic personal and community hygiene practices]]/WWWW[[#This Row],[Total PoP ]]</f>
        <v>0</v>
      </c>
      <c r="CA164" s="212">
        <f>1-WWWW[[#This Row],[Hygiene Coverage%]]</f>
        <v>1</v>
      </c>
      <c r="CB164" s="211">
        <f>WWWW[[#This Row],['# people reached by regular dedicated hygiene promotion_5]]/WWWW[[#This Row],[Total PoP ]]</f>
        <v>1</v>
      </c>
      <c r="CC164" s="211">
        <f>IF(WWWW[[#This Row],['# HH received soaps]]/WWWW[[#This Row],[Total HH]]&gt;1,1,WWWW[[#This Row],['# HH received soaps]]/WWWW[[#This Row],[Total HH]])</f>
        <v>0</v>
      </c>
      <c r="CD164" s="211">
        <f>IF(WWWW[[#This Row],['# HH received Sanitary Pads]]/WWWW[[#This Row],[Total HH]]&gt;1,1,WWWW[[#This Row],['# HH received Sanitary Pads]]/WWWW[[#This Row],[Total HH]])</f>
        <v>0</v>
      </c>
      <c r="CE164" s="210">
        <f>WWWW[[#This Row],['# HH received soaps]]*5</f>
        <v>0</v>
      </c>
      <c r="CF164" s="210">
        <f>WWWW[[#This Row],['# HH received Sanitary Pads]]*5</f>
        <v>0</v>
      </c>
      <c r="CG164" s="210">
        <f>IF(WWWW[[#This Row],['# People with access to soap]]&gt;WWWW[[#This Row],['# People with access to Sanity Pads]],WWWW[[#This Row],['# People with access to soap]],WWWW[[#This Row],['# People with access to Sanity Pads]])</f>
        <v>0</v>
      </c>
      <c r="CH164" s="209">
        <f>WWWW[[#This Row],[Total HH]]*WWWW[[#This Row],[%HHs with access to functional hand washing stations]]</f>
        <v>38.4</v>
      </c>
      <c r="CI164" s="699" t="str">
        <f>VLOOKUP(WWWW[[#This Row],[Site Name]],SiteDB6[[Site Name]:[CCCM Management]],6,FALSE)</f>
        <v>Yes</v>
      </c>
      <c r="CJ164" s="699" t="str">
        <f>VLOOKUP(WWWW[[#This Row],[Site Name]],SiteDB6[[Site Name]:[CCCM Focal Agency]],7,FALSE)</f>
        <v>KBC</v>
      </c>
      <c r="CK164" s="699" t="str">
        <f>VLOOKUP(WWWW[[#This Row],[Site Name]],SiteDB6[[Site Name]:[Location Type]],8,FALSE)</f>
        <v>Camp</v>
      </c>
      <c r="CL164" s="699" t="str">
        <f>VLOOKUP(WWWW[[#This Row],[Site Name]],SiteDB6[[Site Name]:[Location Type 1]],9,FALSE)</f>
        <v>Camp</v>
      </c>
      <c r="CM164" s="699" t="str">
        <f>VLOOKUP(WWWW[[#This Row],[Site Name]],SiteDB6[[Site Name]:[Type of Accommodation]],10,FALSE)</f>
        <v>Camp</v>
      </c>
      <c r="CN164" s="699" t="str">
        <f>VLOOKUP(WWWW[[#This Row],[Site Name]],SiteDB6[[Site Name]:[Ethnic or GCA/NGCA]],11,FALSE)</f>
        <v>GCA</v>
      </c>
      <c r="CO164" s="699">
        <f>VLOOKUP(WWWW[[#This Row],[Site Name]],SiteDB6[[Site Name]:[Lat]],12,FALSE)</f>
        <v>25.351724999999998</v>
      </c>
      <c r="CP164" s="699">
        <f>VLOOKUP(WWWW[[#This Row],[Site Name]],SiteDB6[[Site Name]:[Long]],13,FALSE)</f>
        <v>97.438432380952406</v>
      </c>
      <c r="CQ164" s="699" t="str">
        <f>VLOOKUP(WWWW[[#This Row],[Site Name]],SiteDB6[[Site Name]:[Pcode]],3,FALSE)</f>
        <v>MMR001CMP025</v>
      </c>
      <c r="CR164" s="660" t="str">
        <f t="shared" si="2"/>
        <v>Covered</v>
      </c>
      <c r="CS164" s="660"/>
      <c r="CT164" s="24"/>
      <c r="CU164" s="24"/>
      <c r="CV164" s="24"/>
    </row>
    <row r="165" spans="1:100" ht="15.75" customHeight="1" x14ac:dyDescent="0.25">
      <c r="A165" s="833" t="s">
        <v>3206</v>
      </c>
      <c r="B165" s="206" t="s">
        <v>389</v>
      </c>
      <c r="C165" s="206" t="s">
        <v>44</v>
      </c>
      <c r="D165" s="206" t="s">
        <v>288</v>
      </c>
      <c r="E165" s="206" t="s">
        <v>422</v>
      </c>
      <c r="F165" s="206">
        <v>29</v>
      </c>
      <c r="G165" s="209">
        <v>159</v>
      </c>
      <c r="H165" s="206"/>
      <c r="I165" s="206" t="s">
        <v>391</v>
      </c>
      <c r="J165" s="207">
        <v>42947</v>
      </c>
      <c r="K165" s="206">
        <v>0</v>
      </c>
      <c r="L165" s="206" t="s">
        <v>48</v>
      </c>
      <c r="M165" s="208">
        <v>0.8</v>
      </c>
      <c r="N165" s="208">
        <v>1</v>
      </c>
      <c r="O165" s="316">
        <v>2</v>
      </c>
      <c r="P165" s="317">
        <v>0</v>
      </c>
      <c r="Q165" s="317">
        <v>2000</v>
      </c>
      <c r="R165" s="318">
        <v>0</v>
      </c>
      <c r="S165" s="318">
        <v>2</v>
      </c>
      <c r="T165" s="318"/>
      <c r="U165" s="318">
        <v>2</v>
      </c>
      <c r="V165" s="318">
        <v>0</v>
      </c>
      <c r="W165" s="318">
        <v>2</v>
      </c>
      <c r="X165" s="318">
        <v>0</v>
      </c>
      <c r="Y165" s="318">
        <v>0</v>
      </c>
      <c r="Z165" s="318"/>
      <c r="AA165" s="310">
        <v>3</v>
      </c>
      <c r="AB165" s="310">
        <v>1</v>
      </c>
      <c r="AC165" s="66">
        <v>9</v>
      </c>
      <c r="AD165" s="66" t="s">
        <v>2787</v>
      </c>
      <c r="AE165" s="310">
        <v>3</v>
      </c>
      <c r="AF165" s="310" t="s">
        <v>283</v>
      </c>
      <c r="AG165" s="311" t="s">
        <v>1358</v>
      </c>
      <c r="AH165" s="311">
        <v>0</v>
      </c>
      <c r="AI165" s="310">
        <v>0</v>
      </c>
      <c r="AJ165" s="310"/>
      <c r="AK165" s="841">
        <v>0.5</v>
      </c>
      <c r="AL165" s="842" t="s">
        <v>376</v>
      </c>
      <c r="AM165" s="842">
        <v>0</v>
      </c>
      <c r="AN165" s="863">
        <v>5</v>
      </c>
      <c r="AO165" s="863">
        <v>0</v>
      </c>
      <c r="AP165" s="838">
        <v>0</v>
      </c>
      <c r="AQ165" s="843">
        <v>0</v>
      </c>
      <c r="AR165" s="843"/>
      <c r="AS165" s="843"/>
      <c r="AT165" s="843">
        <v>1</v>
      </c>
      <c r="AU165" s="843"/>
      <c r="AV165" s="844"/>
      <c r="AW165" s="208">
        <f>IFERROR(WWWW[[#This Row],['# of Water passed at source]]/WWWW[[#This Row],['# of Water tested at source]],"no test")</f>
        <v>0</v>
      </c>
      <c r="AX165" s="211">
        <f>IFERROR(WWWW[[#This Row],['# of Water passed at HH]]/WWWW[[#This Row],['# of Water tested at HH]],"no test")</f>
        <v>0</v>
      </c>
      <c r="AY165" s="210" t="str">
        <f>IF(AND(WWWW[[#This Row],[%of Water samples which passed at water source]]="no test",WWWW[[#This Row],[%Water samples which passed at HH]]="no test"),"No Test","Tested")</f>
        <v>Tested</v>
      </c>
      <c r="AZ16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65" s="211">
        <f>IF(WWWW[[#This Row],[Location Type 1]]="Village",WWWW[[#This Row],[Access to safe drinking water for Village]],WWWW[[#This Row],[Access to safe drinking water for Camp]])</f>
        <v>1</v>
      </c>
      <c r="BC165" s="209">
        <f>WWWW[[#This Row],[%Equitable and continuous access to sufficient quantity of safe drinking water]]*WWWW[[#This Row],[Total PoP ]]</f>
        <v>159</v>
      </c>
      <c r="BD165" s="211">
        <f>IF((WWWW[[#This Row],['# Existing protected/fenced ponds ]]*250)/WWWW[[#This Row],[Total PoP ]]&gt;1,1,WWWW[[#This Row],['# Existing protected/fenced ponds ]]*250/WWWW[[#This Row],[Total PoP ]])</f>
        <v>0</v>
      </c>
      <c r="BE165" s="209">
        <f>WWWW[[#This Row],[Access to unimproved water points]]*WWWW[[#This Row],[Total PoP ]]</f>
        <v>0</v>
      </c>
      <c r="BF16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159</v>
      </c>
      <c r="BH165" s="209">
        <f>WWWW[[#This Row],['#people Equitable and continuous access to sufficient quantity of domestic water borehole n ponds_2]]/500</f>
        <v>0.318</v>
      </c>
      <c r="BI165" s="208">
        <f>1-WWWW[[#This Row],[%Equitable and continuous access to sufficient quantity of domestic water borehole n ponds]]</f>
        <v>0</v>
      </c>
      <c r="BJ165" s="209">
        <f>WWWW[[#This Row],[%equitable and continuous access to sufficient quantity of safe drinking and domestic water''s GAP]]*WWWW[[#This Row],[Total PoP ]]</f>
        <v>0</v>
      </c>
      <c r="BK165" s="210">
        <f>IF(WWWW[[#This Row],[Total required water points]]-WWWW[[#This Row],['#Water points coverage]]&lt;0,0,WWWW[[#This Row],[Total required water points]]-WWWW[[#This Row],['#Water points coverage]])</f>
        <v>0.68199999999999994</v>
      </c>
      <c r="BL165" s="210">
        <f>ROUND(IF(WWWW[[#This Row],[Total PoP ]]&lt;500,1,WWWW[[#This Row],[Total PoP ]]/500),0)</f>
        <v>1</v>
      </c>
      <c r="BM165" s="210">
        <f>WWWW[[#This Row],['# Existing functional latrines]]+WWWW[[#This Row],['# Existing latrines dysfunctional]]</f>
        <v>4</v>
      </c>
      <c r="BN16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0.37735849056603776</v>
      </c>
      <c r="BO165" s="352">
        <f>WWWW[[#This Row],[% people access to functioning Latrine]]*WWWW[[#This Row],[Total PoP ]]</f>
        <v>60.000000000000007</v>
      </c>
      <c r="BP16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0.50314465408805031</v>
      </c>
      <c r="BQ165" s="209">
        <f>IF(WWWW[[#This Row],[Total required Latrines]]-WWWW[[#This Row],[Total '# of latrine]]&lt;0,0,WWWW[[#This Row],[Total required Latrines]]-WWWW[[#This Row],[Total '# of latrine]])</f>
        <v>4</v>
      </c>
      <c r="BR165" s="210">
        <f>ROUND(IF(WWWW[[#This Row],[Location Type 1]]="camp",WWWW[[#This Row],[Total PoP ]]/20,WWWW[[#This Row],[Total PoP ]]/6),0)</f>
        <v>8</v>
      </c>
      <c r="BS165" s="212">
        <f>IF(OR(WWWW[[#This Row],['# Existing latrines dysfunctional]]="",WWWW[[#This Row],['# Existing latrines dysfunctional]]=0),0,WWWW[[#This Row],['# Existing latrines dysfunctional]]/WWWW[[#This Row],[Total '# of latrine]])</f>
        <v>0.25</v>
      </c>
      <c r="BT16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159</v>
      </c>
      <c r="BU165" s="209">
        <f>IF(500*WWWW[[#This Row],['# Hygiene Promoters ]]&gt;WWWW[[#This Row],[Total PoP ]],WWWW[[#This Row],[Total PoP ]],500*WWWW[[#This Row],['# Hygiene Promoters ]])</f>
        <v>0</v>
      </c>
      <c r="BV165" s="209">
        <f>IF(WWWW[[#This Row],[% of HH with access to Sanitary Pad]]&gt;=100%,1,0)</f>
        <v>0</v>
      </c>
      <c r="BW165" s="209">
        <f>IF(WWWW[[#This Row],[Total PoP ]]=0,0,IF(WWWW[[#This Row],['# Hygiene Promoters ]]=0,0,IF(WWWW[[#This Row],[Location Type 1]]="Village",IF(WWWW[[#This Row],[Total PoP ]]/WWWW[[#This Row],['# Hygiene Promoters ]]&lt;1000,1,0),IF(WWWW[[#This Row],[Total PoP ]]/WWWW[[#This Row],['# Hygiene Promoters ]]&lt;600,1,0))))</f>
        <v>0</v>
      </c>
      <c r="BX165" s="209">
        <f>IF(WWWW[[#This Row],[%HH with access to soap]]&gt;=100%,1,0)</f>
        <v>0</v>
      </c>
      <c r="BY165" s="209">
        <f>IF(WWWW[[#This Row],[% of HHs with access to Sanitary pad more than '#%]]+WWWW[[#This Row],[Ratio of Hyiene promoters to people less than '#]]+WWWW[[#This Row],[% of HHs with access to soap more than '#%]]&gt;=2,WWWW[[#This Row],[Total PoP ]],0)</f>
        <v>0</v>
      </c>
      <c r="BZ165" s="208">
        <f>WWWW[[#This Row],[People adopt basic personal and community hygiene practices]]/WWWW[[#This Row],[Total PoP ]]</f>
        <v>0</v>
      </c>
      <c r="CA165" s="212">
        <f>1-WWWW[[#This Row],[Hygiene Coverage%]]</f>
        <v>1</v>
      </c>
      <c r="CB165" s="211">
        <f>WWWW[[#This Row],['# people reached by regular dedicated hygiene promotion_5]]/WWWW[[#This Row],[Total PoP ]]</f>
        <v>0</v>
      </c>
      <c r="CC165" s="211">
        <f>IF(WWWW[[#This Row],['# HH received soaps]]/WWWW[[#This Row],[Total HH]]&gt;1,1,WWWW[[#This Row],['# HH received soaps]]/WWWW[[#This Row],[Total HH]])</f>
        <v>0</v>
      </c>
      <c r="CD165" s="211">
        <f>IF(WWWW[[#This Row],['# HH received Sanitary Pads]]/WWWW[[#This Row],[Total HH]]&gt;1,1,WWWW[[#This Row],['# HH received Sanitary Pads]]/WWWW[[#This Row],[Total HH]])</f>
        <v>0</v>
      </c>
      <c r="CE165" s="210">
        <f>WWWW[[#This Row],['# HH received soaps]]*5</f>
        <v>0</v>
      </c>
      <c r="CF165" s="210">
        <f>WWWW[[#This Row],['# HH received Sanitary Pads]]*5</f>
        <v>0</v>
      </c>
      <c r="CG165" s="210">
        <f>IF(WWWW[[#This Row],['# People with access to soap]]&gt;WWWW[[#This Row],['# People with access to Sanity Pads]],WWWW[[#This Row],['# People with access to soap]],WWWW[[#This Row],['# People with access to Sanity Pads]])</f>
        <v>0</v>
      </c>
      <c r="CH165" s="209">
        <f>WWWW[[#This Row],[Total HH]]*WWWW[[#This Row],[%HHs with access to functional hand washing stations]]</f>
        <v>14.5</v>
      </c>
      <c r="CI165" s="699" t="str">
        <f>VLOOKUP(WWWW[[#This Row],[Site Name]],SiteDB6[[Site Name]:[CCCM Management]],6,FALSE)</f>
        <v>Yes</v>
      </c>
      <c r="CJ165" s="699" t="str">
        <f>VLOOKUP(WWWW[[#This Row],[Site Name]],SiteDB6[[Site Name]:[CCCM Focal Agency]],7,FALSE)</f>
        <v>Shalom</v>
      </c>
      <c r="CK165" s="699" t="str">
        <f>VLOOKUP(WWWW[[#This Row],[Site Name]],SiteDB6[[Site Name]:[Location Type]],8,FALSE)</f>
        <v>Camp</v>
      </c>
      <c r="CL165" s="699" t="str">
        <f>VLOOKUP(WWWW[[#This Row],[Site Name]],SiteDB6[[Site Name]:[Location Type 1]],9,FALSE)</f>
        <v>Camp</v>
      </c>
      <c r="CM165" s="699" t="str">
        <f>VLOOKUP(WWWW[[#This Row],[Site Name]],SiteDB6[[Site Name]:[Type of Accommodation]],10,FALSE)</f>
        <v>Camp</v>
      </c>
      <c r="CN165" s="699" t="str">
        <f>VLOOKUP(WWWW[[#This Row],[Site Name]],SiteDB6[[Site Name]:[Ethnic or GCA/NGCA]],11,FALSE)</f>
        <v>GCA</v>
      </c>
      <c r="CO165" s="699">
        <f>VLOOKUP(WWWW[[#This Row],[Site Name]],SiteDB6[[Site Name]:[Lat]],12,FALSE)</f>
        <v>25.345918166666699</v>
      </c>
      <c r="CP165" s="699">
        <f>VLOOKUP(WWWW[[#This Row],[Site Name]],SiteDB6[[Site Name]:[Long]],13,FALSE)</f>
        <v>97.437472666666693</v>
      </c>
      <c r="CQ165" s="699" t="str">
        <f>VLOOKUP(WWWW[[#This Row],[Site Name]],SiteDB6[[Site Name]:[Pcode]],3,FALSE)</f>
        <v>MMR001CMP030</v>
      </c>
      <c r="CR165" s="660" t="str">
        <f t="shared" si="2"/>
        <v>Covered</v>
      </c>
      <c r="CS165" s="660"/>
      <c r="CT165" s="24"/>
      <c r="CU165" s="24"/>
      <c r="CV165" s="24"/>
    </row>
    <row r="166" spans="1:100" ht="15.75" customHeight="1" x14ac:dyDescent="0.25">
      <c r="A166" s="833" t="s">
        <v>3206</v>
      </c>
      <c r="B166" s="206" t="s">
        <v>389</v>
      </c>
      <c r="C166" s="206" t="s">
        <v>44</v>
      </c>
      <c r="D166" s="206" t="s">
        <v>288</v>
      </c>
      <c r="E166" s="206" t="s">
        <v>423</v>
      </c>
      <c r="F166" s="206">
        <v>90</v>
      </c>
      <c r="G166" s="209">
        <v>492</v>
      </c>
      <c r="H166" s="206"/>
      <c r="I166" s="206" t="s">
        <v>391</v>
      </c>
      <c r="J166" s="207">
        <v>42947</v>
      </c>
      <c r="K166" s="206">
        <v>0</v>
      </c>
      <c r="L166" s="206" t="s">
        <v>48</v>
      </c>
      <c r="M166" s="208">
        <v>0.75</v>
      </c>
      <c r="N166" s="208">
        <v>1</v>
      </c>
      <c r="O166" s="316">
        <v>1</v>
      </c>
      <c r="P166" s="317">
        <v>0</v>
      </c>
      <c r="Q166" s="317">
        <v>2000</v>
      </c>
      <c r="R166" s="318">
        <v>0</v>
      </c>
      <c r="S166" s="318">
        <v>3</v>
      </c>
      <c r="T166" s="318"/>
      <c r="U166" s="318">
        <v>0</v>
      </c>
      <c r="V166" s="318">
        <v>0</v>
      </c>
      <c r="W166" s="318">
        <v>0</v>
      </c>
      <c r="X166" s="318">
        <v>0</v>
      </c>
      <c r="Y166" s="318">
        <v>0</v>
      </c>
      <c r="Z166" s="318"/>
      <c r="AA166" s="310">
        <v>16</v>
      </c>
      <c r="AB166" s="310">
        <v>3</v>
      </c>
      <c r="AC166" s="66">
        <v>6</v>
      </c>
      <c r="AD166" s="66"/>
      <c r="AE166" s="310">
        <v>16</v>
      </c>
      <c r="AF166" s="310" t="s">
        <v>283</v>
      </c>
      <c r="AG166" s="311" t="s">
        <v>283</v>
      </c>
      <c r="AH166" s="311">
        <v>0</v>
      </c>
      <c r="AI166" s="310">
        <v>0</v>
      </c>
      <c r="AJ166" s="310"/>
      <c r="AK166" s="841">
        <v>0.5</v>
      </c>
      <c r="AL166" s="842" t="s">
        <v>376</v>
      </c>
      <c r="AM166" s="842">
        <v>0</v>
      </c>
      <c r="AN166" s="863">
        <v>4</v>
      </c>
      <c r="AO166" s="863">
        <v>0</v>
      </c>
      <c r="AP166" s="838">
        <v>0</v>
      </c>
      <c r="AQ166" s="843">
        <v>0</v>
      </c>
      <c r="AR166" s="843"/>
      <c r="AS166" s="843"/>
      <c r="AT166" s="843"/>
      <c r="AU166" s="843"/>
      <c r="AV166" s="844"/>
      <c r="AW166" s="208" t="str">
        <f>IFERROR(WWWW[[#This Row],['# of Water passed at source]]/WWWW[[#This Row],['# of Water tested at source]],"no test")</f>
        <v>no test</v>
      </c>
      <c r="AX166" s="211" t="str">
        <f>IFERROR(WWWW[[#This Row],['# of Water passed at HH]]/WWWW[[#This Row],['# of Water tested at HH]],"no test")</f>
        <v>no test</v>
      </c>
      <c r="AY166" s="210" t="str">
        <f>IF(AND(WWWW[[#This Row],[%of Water samples which passed at water source]]="no test",WWWW[[#This Row],[%Water samples which passed at HH]]="no test"),"No Test","Tested")</f>
        <v>No Test</v>
      </c>
      <c r="AZ16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0.77913279132791335</v>
      </c>
      <c r="BB166" s="211">
        <f>IF(WWWW[[#This Row],[Location Type 1]]="Village",WWWW[[#This Row],[Access to safe drinking water for Village]],WWWW[[#This Row],[Access to safe drinking water for Camp]])</f>
        <v>1</v>
      </c>
      <c r="BC166" s="209">
        <f>WWWW[[#This Row],[%Equitable and continuous access to sufficient quantity of safe drinking water]]*WWWW[[#This Row],[Total PoP ]]</f>
        <v>492</v>
      </c>
      <c r="BD166" s="211">
        <f>IF((WWWW[[#This Row],['# Existing protected/fenced ponds ]]*250)/WWWW[[#This Row],[Total PoP ]]&gt;1,1,WWWW[[#This Row],['# Existing protected/fenced ponds ]]*250/WWWW[[#This Row],[Total PoP ]])</f>
        <v>0</v>
      </c>
      <c r="BE166" s="209">
        <f>WWWW[[#This Row],[Access to unimproved water points]]*WWWW[[#This Row],[Total PoP ]]</f>
        <v>0</v>
      </c>
      <c r="BF16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492</v>
      </c>
      <c r="BH166" s="209">
        <f>WWWW[[#This Row],['#people Equitable and continuous access to sufficient quantity of domestic water borehole n ponds_2]]/500</f>
        <v>0.98399999999999999</v>
      </c>
      <c r="BI166" s="208">
        <f>1-WWWW[[#This Row],[%Equitable and continuous access to sufficient quantity of domestic water borehole n ponds]]</f>
        <v>0</v>
      </c>
      <c r="BJ166" s="209">
        <f>WWWW[[#This Row],[%equitable and continuous access to sufficient quantity of safe drinking and domestic water''s GAP]]*WWWW[[#This Row],[Total PoP ]]</f>
        <v>0</v>
      </c>
      <c r="BK166" s="210">
        <f>IF(WWWW[[#This Row],[Total required water points]]-WWWW[[#This Row],['#Water points coverage]]&lt;0,0,WWWW[[#This Row],[Total required water points]]-WWWW[[#This Row],['#Water points coverage]])</f>
        <v>1.6000000000000014E-2</v>
      </c>
      <c r="BL166" s="210">
        <f>ROUND(IF(WWWW[[#This Row],[Total PoP ]]&lt;500,1,WWWW[[#This Row],[Total PoP ]]/500),0)</f>
        <v>1</v>
      </c>
      <c r="BM166" s="210">
        <f>WWWW[[#This Row],['# Existing functional latrines]]+WWWW[[#This Row],['# Existing latrines dysfunctional]]</f>
        <v>19</v>
      </c>
      <c r="BN16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0.65040650406504064</v>
      </c>
      <c r="BO166" s="352">
        <f>WWWW[[#This Row],[% people access to functioning Latrine]]*WWWW[[#This Row],[Total PoP ]]</f>
        <v>320</v>
      </c>
      <c r="BP16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0.24390243902439024</v>
      </c>
      <c r="BQ166" s="209">
        <f>IF(WWWW[[#This Row],[Total required Latrines]]-WWWW[[#This Row],[Total '# of latrine]]&lt;0,0,WWWW[[#This Row],[Total required Latrines]]-WWWW[[#This Row],[Total '# of latrine]])</f>
        <v>6</v>
      </c>
      <c r="BR166" s="210">
        <f>ROUND(IF(WWWW[[#This Row],[Location Type 1]]="camp",WWWW[[#This Row],[Total PoP ]]/20,WWWW[[#This Row],[Total PoP ]]/6),0)</f>
        <v>25</v>
      </c>
      <c r="BS166" s="212">
        <f>IF(OR(WWWW[[#This Row],['# Existing latrines dysfunctional]]="",WWWW[[#This Row],['# Existing latrines dysfunctional]]=0),0,WWWW[[#This Row],['# Existing latrines dysfunctional]]/WWWW[[#This Row],[Total '# of latrine]])</f>
        <v>0.15789473684210525</v>
      </c>
      <c r="BT16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120</v>
      </c>
      <c r="BU166" s="209">
        <f>IF(500*WWWW[[#This Row],['# Hygiene Promoters ]]&gt;WWWW[[#This Row],[Total PoP ]],WWWW[[#This Row],[Total PoP ]],500*WWWW[[#This Row],['# Hygiene Promoters ]])</f>
        <v>0</v>
      </c>
      <c r="BV166" s="209">
        <f>IF(WWWW[[#This Row],[% of HH with access to Sanitary Pad]]&gt;=100%,1,0)</f>
        <v>0</v>
      </c>
      <c r="BW166" s="209">
        <f>IF(WWWW[[#This Row],[Total PoP ]]=0,0,IF(WWWW[[#This Row],['# Hygiene Promoters ]]=0,0,IF(WWWW[[#This Row],[Location Type 1]]="Village",IF(WWWW[[#This Row],[Total PoP ]]/WWWW[[#This Row],['# Hygiene Promoters ]]&lt;1000,1,0),IF(WWWW[[#This Row],[Total PoP ]]/WWWW[[#This Row],['# Hygiene Promoters ]]&lt;600,1,0))))</f>
        <v>0</v>
      </c>
      <c r="BX166" s="209">
        <f>IF(WWWW[[#This Row],[%HH with access to soap]]&gt;=100%,1,0)</f>
        <v>0</v>
      </c>
      <c r="BY166" s="209">
        <f>IF(WWWW[[#This Row],[% of HHs with access to Sanitary pad more than '#%]]+WWWW[[#This Row],[Ratio of Hyiene promoters to people less than '#]]+WWWW[[#This Row],[% of HHs with access to soap more than '#%]]&gt;=2,WWWW[[#This Row],[Total PoP ]],0)</f>
        <v>0</v>
      </c>
      <c r="BZ166" s="208">
        <f>WWWW[[#This Row],[People adopt basic personal and community hygiene practices]]/WWWW[[#This Row],[Total PoP ]]</f>
        <v>0</v>
      </c>
      <c r="CA166" s="212">
        <f>1-WWWW[[#This Row],[Hygiene Coverage%]]</f>
        <v>1</v>
      </c>
      <c r="CB166" s="211">
        <f>WWWW[[#This Row],['# people reached by regular dedicated hygiene promotion_5]]/WWWW[[#This Row],[Total PoP ]]</f>
        <v>0</v>
      </c>
      <c r="CC166" s="211">
        <f>IF(WWWW[[#This Row],['# HH received soaps]]/WWWW[[#This Row],[Total HH]]&gt;1,1,WWWW[[#This Row],['# HH received soaps]]/WWWW[[#This Row],[Total HH]])</f>
        <v>0</v>
      </c>
      <c r="CD166" s="211">
        <f>IF(WWWW[[#This Row],['# HH received Sanitary Pads]]/WWWW[[#This Row],[Total HH]]&gt;1,1,WWWW[[#This Row],['# HH received Sanitary Pads]]/WWWW[[#This Row],[Total HH]])</f>
        <v>0</v>
      </c>
      <c r="CE166" s="210">
        <f>WWWW[[#This Row],['# HH received soaps]]*5</f>
        <v>0</v>
      </c>
      <c r="CF166" s="210">
        <f>WWWW[[#This Row],['# HH received Sanitary Pads]]*5</f>
        <v>0</v>
      </c>
      <c r="CG166" s="210">
        <f>IF(WWWW[[#This Row],['# People with access to soap]]&gt;WWWW[[#This Row],['# People with access to Sanity Pads]],WWWW[[#This Row],['# People with access to soap]],WWWW[[#This Row],['# People with access to Sanity Pads]])</f>
        <v>0</v>
      </c>
      <c r="CH166" s="209">
        <f>WWWW[[#This Row],[Total HH]]*WWWW[[#This Row],[%HHs with access to functional hand washing stations]]</f>
        <v>45</v>
      </c>
      <c r="CI166" s="699" t="str">
        <f>VLOOKUP(WWWW[[#This Row],[Site Name]],SiteDB6[[Site Name]:[CCCM Management]],6,FALSE)</f>
        <v>Yes</v>
      </c>
      <c r="CJ166" s="699" t="str">
        <f>VLOOKUP(WWWW[[#This Row],[Site Name]],SiteDB6[[Site Name]:[CCCM Focal Agency]],7,FALSE)</f>
        <v>Shalom</v>
      </c>
      <c r="CK166" s="699" t="str">
        <f>VLOOKUP(WWWW[[#This Row],[Site Name]],SiteDB6[[Site Name]:[Location Type]],8,FALSE)</f>
        <v>Camp</v>
      </c>
      <c r="CL166" s="699" t="str">
        <f>VLOOKUP(WWWW[[#This Row],[Site Name]],SiteDB6[[Site Name]:[Location Type 1]],9,FALSE)</f>
        <v>Camp</v>
      </c>
      <c r="CM166" s="699" t="str">
        <f>VLOOKUP(WWWW[[#This Row],[Site Name]],SiteDB6[[Site Name]:[Type of Accommodation]],10,FALSE)</f>
        <v>Closed Camp</v>
      </c>
      <c r="CN166" s="699" t="str">
        <f>VLOOKUP(WWWW[[#This Row],[Site Name]],SiteDB6[[Site Name]:[Ethnic or GCA/NGCA]],11,FALSE)</f>
        <v>GCA</v>
      </c>
      <c r="CO166" s="699">
        <f>VLOOKUP(WWWW[[#This Row],[Site Name]],SiteDB6[[Site Name]:[Lat]],12,FALSE)</f>
        <v>25.350809000000002</v>
      </c>
      <c r="CP166" s="699">
        <f>VLOOKUP(WWWW[[#This Row],[Site Name]],SiteDB6[[Site Name]:[Long]],13,FALSE)</f>
        <v>97.432495000000003</v>
      </c>
      <c r="CQ166" s="699" t="str">
        <f>VLOOKUP(WWWW[[#This Row],[Site Name]],SiteDB6[[Site Name]:[Pcode]],3,FALSE)</f>
        <v>MMR001CMP026</v>
      </c>
      <c r="CR166" s="660" t="str">
        <f t="shared" si="2"/>
        <v>Covered</v>
      </c>
      <c r="CS166" s="660"/>
      <c r="CT166" s="24"/>
      <c r="CU166" s="24"/>
      <c r="CV166" s="24"/>
    </row>
    <row r="167" spans="1:100" ht="15.75" customHeight="1" x14ac:dyDescent="0.25">
      <c r="A167" s="833" t="s">
        <v>3206</v>
      </c>
      <c r="B167" s="206" t="s">
        <v>460</v>
      </c>
      <c r="C167" s="206" t="s">
        <v>44</v>
      </c>
      <c r="D167" s="206" t="s">
        <v>288</v>
      </c>
      <c r="E167" s="206" t="s">
        <v>1222</v>
      </c>
      <c r="F167" s="206">
        <v>80</v>
      </c>
      <c r="G167" s="209">
        <v>449</v>
      </c>
      <c r="H167" s="206"/>
      <c r="I167" s="206"/>
      <c r="J167" s="207"/>
      <c r="K167" s="206"/>
      <c r="L167" s="206"/>
      <c r="M167" s="208"/>
      <c r="N167" s="208"/>
      <c r="O167" s="316"/>
      <c r="P167" s="317"/>
      <c r="Q167" s="317"/>
      <c r="R167" s="318"/>
      <c r="S167" s="318"/>
      <c r="T167" s="318"/>
      <c r="U167" s="318"/>
      <c r="V167" s="318"/>
      <c r="W167" s="318"/>
      <c r="X167" s="318"/>
      <c r="Y167" s="318"/>
      <c r="Z167" s="318"/>
      <c r="AA167" s="310"/>
      <c r="AB167" s="310"/>
      <c r="AC167" s="66"/>
      <c r="AD167" s="66"/>
      <c r="AE167" s="310"/>
      <c r="AF167" s="310"/>
      <c r="AG167" s="311"/>
      <c r="AH167" s="311"/>
      <c r="AI167" s="310"/>
      <c r="AJ167" s="310"/>
      <c r="AK167" s="841"/>
      <c r="AL167" s="842"/>
      <c r="AM167" s="842"/>
      <c r="AN167" s="863"/>
      <c r="AO167" s="863"/>
      <c r="AP167" s="838"/>
      <c r="AQ167" s="843"/>
      <c r="AR167" s="843"/>
      <c r="AS167" s="843"/>
      <c r="AT167" s="843"/>
      <c r="AU167" s="843"/>
      <c r="AV167" s="844"/>
      <c r="AW167" s="208" t="str">
        <f>IFERROR(WWWW[[#This Row],['# of Water passed at source]]/WWWW[[#This Row],['# of Water tested at source]],"no test")</f>
        <v>no test</v>
      </c>
      <c r="AX167" s="211" t="str">
        <f>IFERROR(WWWW[[#This Row],['# of Water passed at HH]]/WWWW[[#This Row],['# of Water tested at HH]],"no test")</f>
        <v>no test</v>
      </c>
      <c r="AY167" s="210" t="str">
        <f>IF(AND(WWWW[[#This Row],[%of Water samples which passed at water source]]="no test",WWWW[[#This Row],[%Water samples which passed at HH]]="no test"),"No Test","Tested")</f>
        <v>No Test</v>
      </c>
      <c r="AZ16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6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67" s="211">
        <f>IF(WWWW[[#This Row],[Location Type 1]]="Village",WWWW[[#This Row],[Access to safe drinking water for Village]],WWWW[[#This Row],[Access to safe drinking water for Camp]])</f>
        <v>0</v>
      </c>
      <c r="BC167" s="209">
        <f>WWWW[[#This Row],[%Equitable and continuous access to sufficient quantity of safe drinking water]]*WWWW[[#This Row],[Total PoP ]]</f>
        <v>0</v>
      </c>
      <c r="BD167" s="211">
        <f>IF((WWWW[[#This Row],['# Existing protected/fenced ponds ]]*250)/WWWW[[#This Row],[Total PoP ]]&gt;1,1,WWWW[[#This Row],['# Existing protected/fenced ponds ]]*250/WWWW[[#This Row],[Total PoP ]])</f>
        <v>0</v>
      </c>
      <c r="BE167" s="209">
        <f>WWWW[[#This Row],[Access to unimproved water points]]*WWWW[[#This Row],[Total PoP ]]</f>
        <v>0</v>
      </c>
      <c r="BF16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6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67" s="209">
        <f>WWWW[[#This Row],['#people Equitable and continuous access to sufficient quantity of domestic water borehole n ponds_2]]/500</f>
        <v>0</v>
      </c>
      <c r="BI167" s="208">
        <f>1-WWWW[[#This Row],[%Equitable and continuous access to sufficient quantity of domestic water borehole n ponds]]</f>
        <v>1</v>
      </c>
      <c r="BJ167" s="209">
        <f>WWWW[[#This Row],[%equitable and continuous access to sufficient quantity of safe drinking and domestic water''s GAP]]*WWWW[[#This Row],[Total PoP ]]</f>
        <v>449</v>
      </c>
      <c r="BK167" s="210">
        <f>IF(WWWW[[#This Row],[Total required water points]]-WWWW[[#This Row],['#Water points coverage]]&lt;0,0,WWWW[[#This Row],[Total required water points]]-WWWW[[#This Row],['#Water points coverage]])</f>
        <v>1</v>
      </c>
      <c r="BL167" s="210">
        <f>ROUND(IF(WWWW[[#This Row],[Total PoP ]]&lt;500,1,WWWW[[#This Row],[Total PoP ]]/500),0)</f>
        <v>1</v>
      </c>
      <c r="BM167" s="210">
        <f>WWWW[[#This Row],['# Existing functional latrines]]+WWWW[[#This Row],['# Existing latrines dysfunctional]]</f>
        <v>0</v>
      </c>
      <c r="BN16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67" s="352">
        <f>WWWW[[#This Row],[% people access to functioning Latrine]]*WWWW[[#This Row],[Total PoP ]]</f>
        <v>0</v>
      </c>
      <c r="BP16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0.97995545657015593</v>
      </c>
      <c r="BQ167" s="209">
        <f>IF(WWWW[[#This Row],[Total required Latrines]]-WWWW[[#This Row],[Total '# of latrine]]&lt;0,0,WWWW[[#This Row],[Total required Latrines]]-WWWW[[#This Row],[Total '# of latrine]])</f>
        <v>22</v>
      </c>
      <c r="BR167" s="210">
        <f>ROUND(IF(WWWW[[#This Row],[Location Type 1]]="camp",WWWW[[#This Row],[Total PoP ]]/20,WWWW[[#This Row],[Total PoP ]]/6),0)</f>
        <v>22</v>
      </c>
      <c r="BS167" s="212">
        <f>IF(OR(WWWW[[#This Row],['# Existing latrines dysfunctional]]="",WWWW[[#This Row],['# Existing latrines dysfunctional]]=0),0,WWWW[[#This Row],['# Existing latrines dysfunctional]]/WWWW[[#This Row],[Total '# of latrine]])</f>
        <v>0</v>
      </c>
      <c r="BT16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67" s="209">
        <f>IF(500*WWWW[[#This Row],['# Hygiene Promoters ]]&gt;WWWW[[#This Row],[Total PoP ]],WWWW[[#This Row],[Total PoP ]],500*WWWW[[#This Row],['# Hygiene Promoters ]])</f>
        <v>0</v>
      </c>
      <c r="BV167" s="209">
        <f>IF(WWWW[[#This Row],[% of HH with access to Sanitary Pad]]&gt;=100%,1,0)</f>
        <v>0</v>
      </c>
      <c r="BW167" s="209">
        <f>IF(WWWW[[#This Row],[Total PoP ]]=0,0,IF(WWWW[[#This Row],['# Hygiene Promoters ]]=0,0,IF(WWWW[[#This Row],[Location Type 1]]="Village",IF(WWWW[[#This Row],[Total PoP ]]/WWWW[[#This Row],['# Hygiene Promoters ]]&lt;1000,1,0),IF(WWWW[[#This Row],[Total PoP ]]/WWWW[[#This Row],['# Hygiene Promoters ]]&lt;600,1,0))))</f>
        <v>0</v>
      </c>
      <c r="BX167" s="209">
        <f>IF(WWWW[[#This Row],[%HH with access to soap]]&gt;=100%,1,0)</f>
        <v>0</v>
      </c>
      <c r="BY167" s="209">
        <f>IF(WWWW[[#This Row],[% of HHs with access to Sanitary pad more than '#%]]+WWWW[[#This Row],[Ratio of Hyiene promoters to people less than '#]]+WWWW[[#This Row],[% of HHs with access to soap more than '#%]]&gt;=2,WWWW[[#This Row],[Total PoP ]],0)</f>
        <v>0</v>
      </c>
      <c r="BZ167" s="208">
        <f>WWWW[[#This Row],[People adopt basic personal and community hygiene practices]]/WWWW[[#This Row],[Total PoP ]]</f>
        <v>0</v>
      </c>
      <c r="CA167" s="212">
        <f>1-WWWW[[#This Row],[Hygiene Coverage%]]</f>
        <v>1</v>
      </c>
      <c r="CB167" s="211">
        <f>WWWW[[#This Row],['# people reached by regular dedicated hygiene promotion_5]]/WWWW[[#This Row],[Total PoP ]]</f>
        <v>0</v>
      </c>
      <c r="CC167" s="211">
        <f>IF(WWWW[[#This Row],['# HH received soaps]]/WWWW[[#This Row],[Total HH]]&gt;1,1,WWWW[[#This Row],['# HH received soaps]]/WWWW[[#This Row],[Total HH]])</f>
        <v>0</v>
      </c>
      <c r="CD167" s="211">
        <f>IF(WWWW[[#This Row],['# HH received Sanitary Pads]]/WWWW[[#This Row],[Total HH]]&gt;1,1,WWWW[[#This Row],['# HH received Sanitary Pads]]/WWWW[[#This Row],[Total HH]])</f>
        <v>0</v>
      </c>
      <c r="CE167" s="210">
        <f>WWWW[[#This Row],['# HH received soaps]]*5</f>
        <v>0</v>
      </c>
      <c r="CF167" s="210">
        <f>WWWW[[#This Row],['# HH received Sanitary Pads]]*5</f>
        <v>0</v>
      </c>
      <c r="CG167" s="210">
        <f>IF(WWWW[[#This Row],['# People with access to soap]]&gt;WWWW[[#This Row],['# People with access to Sanity Pads]],WWWW[[#This Row],['# People with access to soap]],WWWW[[#This Row],['# People with access to Sanity Pads]])</f>
        <v>0</v>
      </c>
      <c r="CH167" s="209">
        <f>WWWW[[#This Row],[Total HH]]*WWWW[[#This Row],[%HHs with access to functional hand washing stations]]</f>
        <v>0</v>
      </c>
      <c r="CI167" s="699">
        <f>VLOOKUP(WWWW[[#This Row],[Site Name]],SiteDB6[[Site Name]:[CCCM Management]],6,FALSE)</f>
        <v>0</v>
      </c>
      <c r="CJ167" s="699" t="str">
        <f>VLOOKUP(WWWW[[#This Row],[Site Name]],SiteDB6[[Site Name]:[CCCM Focal Agency]],7,FALSE)</f>
        <v>uncovered</v>
      </c>
      <c r="CK167" s="699" t="str">
        <f>VLOOKUP(WWWW[[#This Row],[Site Name]],SiteDB6[[Site Name]:[Location Type]],8,FALSE)</f>
        <v>Camp</v>
      </c>
      <c r="CL167" s="699" t="str">
        <f>VLOOKUP(WWWW[[#This Row],[Site Name]],SiteDB6[[Site Name]:[Location Type 1]],9,FALSE)</f>
        <v>Camp</v>
      </c>
      <c r="CM167" s="699" t="str">
        <f>VLOOKUP(WWWW[[#This Row],[Site Name]],SiteDB6[[Site Name]:[Type of Accommodation]],10,FALSE)</f>
        <v>Camp like setting</v>
      </c>
      <c r="CN167" s="699" t="str">
        <f>VLOOKUP(WWWW[[#This Row],[Site Name]],SiteDB6[[Site Name]:[Ethnic or GCA/NGCA]],11,FALSE)</f>
        <v>GCA</v>
      </c>
      <c r="CO167" s="699">
        <f>VLOOKUP(WWWW[[#This Row],[Site Name]],SiteDB6[[Site Name]:[Lat]],12,FALSE)</f>
        <v>0</v>
      </c>
      <c r="CP167" s="699">
        <f>VLOOKUP(WWWW[[#This Row],[Site Name]],SiteDB6[[Site Name]:[Long]],13,FALSE)</f>
        <v>0</v>
      </c>
      <c r="CQ167" s="699" t="str">
        <f>VLOOKUP(WWWW[[#This Row],[Site Name]],SiteDB6[[Site Name]:[Pcode]],3,FALSE)</f>
        <v>MMR001CMP258</v>
      </c>
      <c r="CR167" s="660" t="str">
        <f t="shared" si="2"/>
        <v>Notcovered</v>
      </c>
      <c r="CS167" s="660"/>
      <c r="CT167" s="24"/>
      <c r="CU167" s="24"/>
      <c r="CV167" s="24"/>
    </row>
    <row r="168" spans="1:100" ht="15.75" customHeight="1" x14ac:dyDescent="0.25">
      <c r="A168" s="833" t="s">
        <v>3206</v>
      </c>
      <c r="B168" s="206" t="s">
        <v>287</v>
      </c>
      <c r="C168" s="206" t="s">
        <v>44</v>
      </c>
      <c r="D168" s="206" t="s">
        <v>288</v>
      </c>
      <c r="E168" s="206" t="s">
        <v>289</v>
      </c>
      <c r="F168" s="206">
        <v>413</v>
      </c>
      <c r="G168" s="209">
        <v>1893</v>
      </c>
      <c r="H168" s="206"/>
      <c r="I168" s="206" t="s">
        <v>290</v>
      </c>
      <c r="J168" s="207" t="s">
        <v>3253</v>
      </c>
      <c r="K168" s="206">
        <v>0</v>
      </c>
      <c r="L168" s="206" t="s">
        <v>48</v>
      </c>
      <c r="M168" s="208">
        <v>0.8</v>
      </c>
      <c r="N168" s="208">
        <v>0.5</v>
      </c>
      <c r="O168" s="316">
        <v>0</v>
      </c>
      <c r="P168" s="317">
        <v>0</v>
      </c>
      <c r="Q168" s="317">
        <v>38880</v>
      </c>
      <c r="R168" s="318">
        <v>0</v>
      </c>
      <c r="S168" s="318">
        <v>0</v>
      </c>
      <c r="T168" s="318"/>
      <c r="U168" s="318">
        <v>0</v>
      </c>
      <c r="V168" s="318">
        <v>0</v>
      </c>
      <c r="W168" s="318">
        <v>0</v>
      </c>
      <c r="X168" s="318">
        <v>0</v>
      </c>
      <c r="Y168" s="318">
        <v>0</v>
      </c>
      <c r="Z168" s="318"/>
      <c r="AA168" s="310">
        <v>413</v>
      </c>
      <c r="AB168" s="310">
        <v>0</v>
      </c>
      <c r="AC168" s="66">
        <v>0</v>
      </c>
      <c r="AD168" s="66"/>
      <c r="AE168" s="310">
        <v>0</v>
      </c>
      <c r="AF168" s="310" t="s">
        <v>283</v>
      </c>
      <c r="AG168" s="311" t="s">
        <v>283</v>
      </c>
      <c r="AH168" s="311"/>
      <c r="AI168" s="310">
        <v>30</v>
      </c>
      <c r="AJ168" s="310"/>
      <c r="AK168" s="841">
        <v>1</v>
      </c>
      <c r="AL168" s="842" t="s">
        <v>284</v>
      </c>
      <c r="AM168" s="842">
        <v>400</v>
      </c>
      <c r="AN168" s="863">
        <v>9</v>
      </c>
      <c r="AO168" s="863">
        <v>6</v>
      </c>
      <c r="AP168" s="838">
        <v>0</v>
      </c>
      <c r="AQ168" s="843">
        <v>0</v>
      </c>
      <c r="AR168" s="843"/>
      <c r="AS168" s="843"/>
      <c r="AT168" s="843"/>
      <c r="AU168" s="843"/>
      <c r="AV168" s="844"/>
      <c r="AW168" s="208" t="str">
        <f>IFERROR(WWWW[[#This Row],['# of Water passed at source]]/WWWW[[#This Row],['# of Water tested at source]],"no test")</f>
        <v>no test</v>
      </c>
      <c r="AX168" s="211" t="str">
        <f>IFERROR(WWWW[[#This Row],['# of Water passed at HH]]/WWWW[[#This Row],['# of Water tested at HH]],"no test")</f>
        <v>no test</v>
      </c>
      <c r="AY168" s="210" t="str">
        <f>IF(AND(WWWW[[#This Row],[%of Water samples which passed at water source]]="no test",WWWW[[#This Row],[%Water samples which passed at HH]]="no test"),"No Test","Tested")</f>
        <v>No Test</v>
      </c>
      <c r="AZ16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68" s="211">
        <f>IF(WWWW[[#This Row],[Location Type 1]]="Village",WWWW[[#This Row],[Access to safe drinking water for Village]],WWWW[[#This Row],[Access to safe drinking water for Camp]])</f>
        <v>1</v>
      </c>
      <c r="BC168" s="209">
        <f>WWWW[[#This Row],[%Equitable and continuous access to sufficient quantity of safe drinking water]]*WWWW[[#This Row],[Total PoP ]]</f>
        <v>1893</v>
      </c>
      <c r="BD168" s="211">
        <f>IF((WWWW[[#This Row],['# Existing protected/fenced ponds ]]*250)/WWWW[[#This Row],[Total PoP ]]&gt;1,1,WWWW[[#This Row],['# Existing protected/fenced ponds ]]*250/WWWW[[#This Row],[Total PoP ]])</f>
        <v>0</v>
      </c>
      <c r="BE168" s="209">
        <f>WWWW[[#This Row],[Access to unimproved water points]]*WWWW[[#This Row],[Total PoP ]]</f>
        <v>0</v>
      </c>
      <c r="BF16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1893</v>
      </c>
      <c r="BH168" s="209">
        <f>WWWW[[#This Row],['#people Equitable and continuous access to sufficient quantity of domestic water borehole n ponds_2]]/500</f>
        <v>3.786</v>
      </c>
      <c r="BI168" s="208">
        <f>1-WWWW[[#This Row],[%Equitable and continuous access to sufficient quantity of domestic water borehole n ponds]]</f>
        <v>0</v>
      </c>
      <c r="BJ168" s="209">
        <f>WWWW[[#This Row],[%equitable and continuous access to sufficient quantity of safe drinking and domestic water''s GAP]]*WWWW[[#This Row],[Total PoP ]]</f>
        <v>0</v>
      </c>
      <c r="BK168" s="210">
        <f>IF(WWWW[[#This Row],[Total required water points]]-WWWW[[#This Row],['#Water points coverage]]&lt;0,0,WWWW[[#This Row],[Total required water points]]-WWWW[[#This Row],['#Water points coverage]])</f>
        <v>0.21399999999999997</v>
      </c>
      <c r="BL168" s="210">
        <f>ROUND(IF(WWWW[[#This Row],[Total PoP ]]&lt;500,1,WWWW[[#This Row],[Total PoP ]]/500),0)</f>
        <v>4</v>
      </c>
      <c r="BM168" s="210">
        <f>WWWW[[#This Row],['# Existing functional latrines]]+WWWW[[#This Row],['# Existing latrines dysfunctional]]</f>
        <v>413</v>
      </c>
      <c r="BN16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68" s="352">
        <f>WWWW[[#This Row],[% people access to functioning Latrine]]*WWWW[[#This Row],[Total PoP ]]</f>
        <v>1893</v>
      </c>
      <c r="BP16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68" s="209">
        <f>IF(WWWW[[#This Row],[Total required Latrines]]-WWWW[[#This Row],[Total '# of latrine]]&lt;0,0,WWWW[[#This Row],[Total required Latrines]]-WWWW[[#This Row],[Total '# of latrine]])</f>
        <v>0</v>
      </c>
      <c r="BR168" s="210">
        <f>ROUND(IF(WWWW[[#This Row],[Location Type 1]]="camp",WWWW[[#This Row],[Total PoP ]]/20,WWWW[[#This Row],[Total PoP ]]/6),0)</f>
        <v>95</v>
      </c>
      <c r="BS168" s="212">
        <f>IF(OR(WWWW[[#This Row],['# Existing latrines dysfunctional]]="",WWWW[[#This Row],['# Existing latrines dysfunctional]]=0),0,WWWW[[#This Row],['# Existing latrines dysfunctional]]/WWWW[[#This Row],[Total '# of latrine]])</f>
        <v>0</v>
      </c>
      <c r="BT16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68" s="209">
        <f>IF(500*WWWW[[#This Row],['# Hygiene Promoters ]]&gt;WWWW[[#This Row],[Total PoP ]],WWWW[[#This Row],[Total PoP ]],500*WWWW[[#This Row],['# Hygiene Promoters ]])</f>
        <v>1893</v>
      </c>
      <c r="BV168" s="209">
        <f>IF(WWWW[[#This Row],[% of HH with access to Sanitary Pad]]&gt;=100%,1,0)</f>
        <v>0</v>
      </c>
      <c r="BW168" s="209">
        <f>IF(WWWW[[#This Row],[Total PoP ]]=0,0,IF(WWWW[[#This Row],['# Hygiene Promoters ]]=0,0,IF(WWWW[[#This Row],[Location Type 1]]="Village",IF(WWWW[[#This Row],[Total PoP ]]/WWWW[[#This Row],['# Hygiene Promoters ]]&lt;1000,1,0),IF(WWWW[[#This Row],[Total PoP ]]/WWWW[[#This Row],['# Hygiene Promoters ]]&lt;600,1,0))))</f>
        <v>1</v>
      </c>
      <c r="BX168" s="209">
        <f>IF(WWWW[[#This Row],[%HH with access to soap]]&gt;=100%,1,0)</f>
        <v>0</v>
      </c>
      <c r="BY168" s="209">
        <f>IF(WWWW[[#This Row],[% of HHs with access to Sanitary pad more than '#%]]+WWWW[[#This Row],[Ratio of Hyiene promoters to people less than '#]]+WWWW[[#This Row],[% of HHs with access to soap more than '#%]]&gt;=2,WWWW[[#This Row],[Total PoP ]],0)</f>
        <v>0</v>
      </c>
      <c r="BZ168" s="208">
        <f>WWWW[[#This Row],[People adopt basic personal and community hygiene practices]]/WWWW[[#This Row],[Total PoP ]]</f>
        <v>0</v>
      </c>
      <c r="CA168" s="212">
        <f>1-WWWW[[#This Row],[Hygiene Coverage%]]</f>
        <v>1</v>
      </c>
      <c r="CB168" s="211">
        <f>WWWW[[#This Row],['# people reached by regular dedicated hygiene promotion_5]]/WWWW[[#This Row],[Total PoP ]]</f>
        <v>1</v>
      </c>
      <c r="CC168" s="211">
        <f>IF(WWWW[[#This Row],['# HH received soaps]]/WWWW[[#This Row],[Total HH]]&gt;1,1,WWWW[[#This Row],['# HH received soaps]]/WWWW[[#This Row],[Total HH]])</f>
        <v>0</v>
      </c>
      <c r="CD168" s="211">
        <f>IF(WWWW[[#This Row],['# HH received Sanitary Pads]]/WWWW[[#This Row],[Total HH]]&gt;1,1,WWWW[[#This Row],['# HH received Sanitary Pads]]/WWWW[[#This Row],[Total HH]])</f>
        <v>0</v>
      </c>
      <c r="CE168" s="210">
        <f>WWWW[[#This Row],['# HH received soaps]]*5</f>
        <v>0</v>
      </c>
      <c r="CF168" s="210">
        <f>WWWW[[#This Row],['# HH received Sanitary Pads]]*5</f>
        <v>0</v>
      </c>
      <c r="CG168" s="210">
        <f>IF(WWWW[[#This Row],['# People with access to soap]]&gt;WWWW[[#This Row],['# People with access to Sanity Pads]],WWWW[[#This Row],['# People with access to soap]],WWWW[[#This Row],['# People with access to Sanity Pads]])</f>
        <v>0</v>
      </c>
      <c r="CH168" s="209">
        <f>WWWW[[#This Row],[Total HH]]*WWWW[[#This Row],[%HHs with access to functional hand washing stations]]</f>
        <v>413</v>
      </c>
      <c r="CI168" s="699" t="str">
        <f>VLOOKUP(WWWW[[#This Row],[Site Name]],SiteDB6[[Site Name]:[CCCM Management]],6,FALSE)</f>
        <v>Yes</v>
      </c>
      <c r="CJ168" s="699" t="str">
        <f>VLOOKUP(WWWW[[#This Row],[Site Name]],SiteDB6[[Site Name]:[CCCM Focal Agency]],7,FALSE)</f>
        <v>KBC</v>
      </c>
      <c r="CK168" s="699" t="str">
        <f>VLOOKUP(WWWW[[#This Row],[Site Name]],SiteDB6[[Site Name]:[Location Type]],8,FALSE)</f>
        <v>Camp</v>
      </c>
      <c r="CL168" s="699" t="str">
        <f>VLOOKUP(WWWW[[#This Row],[Site Name]],SiteDB6[[Site Name]:[Location Type 1]],9,FALSE)</f>
        <v>Camp</v>
      </c>
      <c r="CM168" s="699" t="str">
        <f>VLOOKUP(WWWW[[#This Row],[Site Name]],SiteDB6[[Site Name]:[Type of Accommodation]],10,FALSE)</f>
        <v>Camp</v>
      </c>
      <c r="CN168" s="699" t="str">
        <f>VLOOKUP(WWWW[[#This Row],[Site Name]],SiteDB6[[Site Name]:[Ethnic or GCA/NGCA]],11,FALSE)</f>
        <v>NGCA</v>
      </c>
      <c r="CO168" s="699">
        <f>VLOOKUP(WWWW[[#This Row],[Site Name]],SiteDB6[[Site Name]:[Lat]],12,FALSE)</f>
        <v>0</v>
      </c>
      <c r="CP168" s="699">
        <f>VLOOKUP(WWWW[[#This Row],[Site Name]],SiteDB6[[Site Name]:[Long]],13,FALSE)</f>
        <v>0</v>
      </c>
      <c r="CQ168" s="699" t="str">
        <f>VLOOKUP(WWWW[[#This Row],[Site Name]],SiteDB6[[Site Name]:[Pcode]],3,FALSE)</f>
        <v>MMR001CMP249</v>
      </c>
      <c r="CR168" s="660" t="str">
        <f t="shared" si="2"/>
        <v>Covered</v>
      </c>
      <c r="CS168" s="660"/>
      <c r="CT168" s="24"/>
      <c r="CU168" s="24"/>
      <c r="CV168" s="24"/>
    </row>
    <row r="169" spans="1:100" ht="15.75" customHeight="1" x14ac:dyDescent="0.25">
      <c r="A169" s="833" t="s">
        <v>3206</v>
      </c>
      <c r="B169" s="206" t="s">
        <v>287</v>
      </c>
      <c r="C169" s="206" t="s">
        <v>44</v>
      </c>
      <c r="D169" s="206" t="s">
        <v>288</v>
      </c>
      <c r="E169" s="206" t="s">
        <v>328</v>
      </c>
      <c r="F169" s="206">
        <v>179</v>
      </c>
      <c r="G169" s="209">
        <v>962</v>
      </c>
      <c r="H169" s="206"/>
      <c r="I169" s="206" t="s">
        <v>296</v>
      </c>
      <c r="J169" s="207">
        <v>43465</v>
      </c>
      <c r="K169" s="206">
        <v>0</v>
      </c>
      <c r="L169" s="206" t="s">
        <v>48</v>
      </c>
      <c r="M169" s="208">
        <v>0.6</v>
      </c>
      <c r="N169" s="208">
        <v>0.5</v>
      </c>
      <c r="O169" s="316">
        <v>0</v>
      </c>
      <c r="P169" s="317">
        <v>0</v>
      </c>
      <c r="Q169" s="317">
        <v>272160</v>
      </c>
      <c r="R169" s="318">
        <v>0</v>
      </c>
      <c r="S169" s="318">
        <v>0</v>
      </c>
      <c r="T169" s="318"/>
      <c r="U169" s="318">
        <v>0</v>
      </c>
      <c r="V169" s="318">
        <v>0</v>
      </c>
      <c r="W169" s="318">
        <v>0</v>
      </c>
      <c r="X169" s="318">
        <v>0</v>
      </c>
      <c r="Y169" s="318">
        <v>0</v>
      </c>
      <c r="Z169" s="318"/>
      <c r="AA169" s="310">
        <v>158</v>
      </c>
      <c r="AB169" s="310">
        <v>0</v>
      </c>
      <c r="AC169" s="66">
        <v>0</v>
      </c>
      <c r="AD169" s="66"/>
      <c r="AE169" s="310">
        <v>0</v>
      </c>
      <c r="AF169" s="310" t="s">
        <v>283</v>
      </c>
      <c r="AG169" s="311" t="s">
        <v>283</v>
      </c>
      <c r="AH169" s="311"/>
      <c r="AI169" s="310"/>
      <c r="AJ169" s="310"/>
      <c r="AK169" s="841">
        <v>1</v>
      </c>
      <c r="AL169" s="842" t="s">
        <v>291</v>
      </c>
      <c r="AM169" s="842">
        <v>0</v>
      </c>
      <c r="AN169" s="863">
        <v>4</v>
      </c>
      <c r="AO169" s="863">
        <v>3</v>
      </c>
      <c r="AP169" s="838">
        <v>0</v>
      </c>
      <c r="AQ169" s="843">
        <v>0</v>
      </c>
      <c r="AR169" s="843"/>
      <c r="AS169" s="843"/>
      <c r="AT169" s="843"/>
      <c r="AU169" s="843"/>
      <c r="AV169" s="844"/>
      <c r="AW169" s="208" t="str">
        <f>IFERROR(WWWW[[#This Row],['# of Water passed at source]]/WWWW[[#This Row],['# of Water tested at source]],"no test")</f>
        <v>no test</v>
      </c>
      <c r="AX169" s="211" t="str">
        <f>IFERROR(WWWW[[#This Row],['# of Water passed at HH]]/WWWW[[#This Row],['# of Water tested at HH]],"no test")</f>
        <v>no test</v>
      </c>
      <c r="AY169" s="210" t="str">
        <f>IF(AND(WWWW[[#This Row],[%of Water samples which passed at water source]]="no test",WWWW[[#This Row],[%Water samples which passed at HH]]="no test"),"No Test","Tested")</f>
        <v>No Test</v>
      </c>
      <c r="AZ16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6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69" s="211">
        <f>IF(WWWW[[#This Row],[Location Type 1]]="Village",WWWW[[#This Row],[Access to safe drinking water for Village]],WWWW[[#This Row],[Access to safe drinking water for Camp]])</f>
        <v>1</v>
      </c>
      <c r="BC169" s="209">
        <f>WWWW[[#This Row],[%Equitable and continuous access to sufficient quantity of safe drinking water]]*WWWW[[#This Row],[Total PoP ]]</f>
        <v>962</v>
      </c>
      <c r="BD169" s="211">
        <f>IF((WWWW[[#This Row],['# Existing protected/fenced ponds ]]*250)/WWWW[[#This Row],[Total PoP ]]&gt;1,1,WWWW[[#This Row],['# Existing protected/fenced ponds ]]*250/WWWW[[#This Row],[Total PoP ]])</f>
        <v>0</v>
      </c>
      <c r="BE169" s="209">
        <f>WWWW[[#This Row],[Access to unimproved water points]]*WWWW[[#This Row],[Total PoP ]]</f>
        <v>0</v>
      </c>
      <c r="BF16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6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962</v>
      </c>
      <c r="BH169" s="209">
        <f>WWWW[[#This Row],['#people Equitable and continuous access to sufficient quantity of domestic water borehole n ponds_2]]/500</f>
        <v>1.9239999999999999</v>
      </c>
      <c r="BI169" s="208">
        <f>1-WWWW[[#This Row],[%Equitable and continuous access to sufficient quantity of domestic water borehole n ponds]]</f>
        <v>0</v>
      </c>
      <c r="BJ169" s="209">
        <f>WWWW[[#This Row],[%equitable and continuous access to sufficient quantity of safe drinking and domestic water''s GAP]]*WWWW[[#This Row],[Total PoP ]]</f>
        <v>0</v>
      </c>
      <c r="BK169" s="210">
        <f>IF(WWWW[[#This Row],[Total required water points]]-WWWW[[#This Row],['#Water points coverage]]&lt;0,0,WWWW[[#This Row],[Total required water points]]-WWWW[[#This Row],['#Water points coverage]])</f>
        <v>7.6000000000000068E-2</v>
      </c>
      <c r="BL169" s="210">
        <f>ROUND(IF(WWWW[[#This Row],[Total PoP ]]&lt;500,1,WWWW[[#This Row],[Total PoP ]]/500),0)</f>
        <v>2</v>
      </c>
      <c r="BM169" s="210">
        <f>WWWW[[#This Row],['# Existing functional latrines]]+WWWW[[#This Row],['# Existing latrines dysfunctional]]</f>
        <v>158</v>
      </c>
      <c r="BN16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69" s="352">
        <f>WWWW[[#This Row],[% people access to functioning Latrine]]*WWWW[[#This Row],[Total PoP ]]</f>
        <v>962</v>
      </c>
      <c r="BP16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69" s="209">
        <f>IF(WWWW[[#This Row],[Total required Latrines]]-WWWW[[#This Row],[Total '# of latrine]]&lt;0,0,WWWW[[#This Row],[Total required Latrines]]-WWWW[[#This Row],[Total '# of latrine]])</f>
        <v>0</v>
      </c>
      <c r="BR169" s="210">
        <f>ROUND(IF(WWWW[[#This Row],[Location Type 1]]="camp",WWWW[[#This Row],[Total PoP ]]/20,WWWW[[#This Row],[Total PoP ]]/6),0)</f>
        <v>48</v>
      </c>
      <c r="BS169" s="212">
        <f>IF(OR(WWWW[[#This Row],['# Existing latrines dysfunctional]]="",WWWW[[#This Row],['# Existing latrines dysfunctional]]=0),0,WWWW[[#This Row],['# Existing latrines dysfunctional]]/WWWW[[#This Row],[Total '# of latrine]])</f>
        <v>0</v>
      </c>
      <c r="BT16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69" s="209">
        <f>IF(500*WWWW[[#This Row],['# Hygiene Promoters ]]&gt;WWWW[[#This Row],[Total PoP ]],WWWW[[#This Row],[Total PoP ]],500*WWWW[[#This Row],['# Hygiene Promoters ]])</f>
        <v>962</v>
      </c>
      <c r="BV169" s="209">
        <f>IF(WWWW[[#This Row],[% of HH with access to Sanitary Pad]]&gt;=100%,1,0)</f>
        <v>0</v>
      </c>
      <c r="BW169" s="209">
        <f>IF(WWWW[[#This Row],[Total PoP ]]=0,0,IF(WWWW[[#This Row],['# Hygiene Promoters ]]=0,0,IF(WWWW[[#This Row],[Location Type 1]]="Village",IF(WWWW[[#This Row],[Total PoP ]]/WWWW[[#This Row],['# Hygiene Promoters ]]&lt;1000,1,0),IF(WWWW[[#This Row],[Total PoP ]]/WWWW[[#This Row],['# Hygiene Promoters ]]&lt;600,1,0))))</f>
        <v>1</v>
      </c>
      <c r="BX169" s="209">
        <f>IF(WWWW[[#This Row],[%HH with access to soap]]&gt;=100%,1,0)</f>
        <v>0</v>
      </c>
      <c r="BY169" s="209">
        <f>IF(WWWW[[#This Row],[% of HHs with access to Sanitary pad more than '#%]]+WWWW[[#This Row],[Ratio of Hyiene promoters to people less than '#]]+WWWW[[#This Row],[% of HHs with access to soap more than '#%]]&gt;=2,WWWW[[#This Row],[Total PoP ]],0)</f>
        <v>0</v>
      </c>
      <c r="BZ169" s="208">
        <f>WWWW[[#This Row],[People adopt basic personal and community hygiene practices]]/WWWW[[#This Row],[Total PoP ]]</f>
        <v>0</v>
      </c>
      <c r="CA169" s="212">
        <f>1-WWWW[[#This Row],[Hygiene Coverage%]]</f>
        <v>1</v>
      </c>
      <c r="CB169" s="211">
        <f>WWWW[[#This Row],['# people reached by regular dedicated hygiene promotion_5]]/WWWW[[#This Row],[Total PoP ]]</f>
        <v>1</v>
      </c>
      <c r="CC169" s="211">
        <f>IF(WWWW[[#This Row],['# HH received soaps]]/WWWW[[#This Row],[Total HH]]&gt;1,1,WWWW[[#This Row],['# HH received soaps]]/WWWW[[#This Row],[Total HH]])</f>
        <v>0</v>
      </c>
      <c r="CD169" s="211">
        <f>IF(WWWW[[#This Row],['# HH received Sanitary Pads]]/WWWW[[#This Row],[Total HH]]&gt;1,1,WWWW[[#This Row],['# HH received Sanitary Pads]]/WWWW[[#This Row],[Total HH]])</f>
        <v>0</v>
      </c>
      <c r="CE169" s="210">
        <f>WWWW[[#This Row],['# HH received soaps]]*5</f>
        <v>0</v>
      </c>
      <c r="CF169" s="210">
        <f>WWWW[[#This Row],['# HH received Sanitary Pads]]*5</f>
        <v>0</v>
      </c>
      <c r="CG169" s="210">
        <f>IF(WWWW[[#This Row],['# People with access to soap]]&gt;WWWW[[#This Row],['# People with access to Sanity Pads]],WWWW[[#This Row],['# People with access to soap]],WWWW[[#This Row],['# People with access to Sanity Pads]])</f>
        <v>0</v>
      </c>
      <c r="CH169" s="209">
        <f>WWWW[[#This Row],[Total HH]]*WWWW[[#This Row],[%HHs with access to functional hand washing stations]]</f>
        <v>179</v>
      </c>
      <c r="CI169" s="699" t="str">
        <f>VLOOKUP(WWWW[[#This Row],[Site Name]],SiteDB6[[Site Name]:[CCCM Management]],6,FALSE)</f>
        <v>Yes</v>
      </c>
      <c r="CJ169" s="699" t="str">
        <f>VLOOKUP(WWWW[[#This Row],[Site Name]],SiteDB6[[Site Name]:[CCCM Focal Agency]],7,FALSE)</f>
        <v>KBC</v>
      </c>
      <c r="CK169" s="699" t="str">
        <f>VLOOKUP(WWWW[[#This Row],[Site Name]],SiteDB6[[Site Name]:[Location Type]],8,FALSE)</f>
        <v>Camp</v>
      </c>
      <c r="CL169" s="699" t="str">
        <f>VLOOKUP(WWWW[[#This Row],[Site Name]],SiteDB6[[Site Name]:[Location Type 1]],9,FALSE)</f>
        <v>Camp</v>
      </c>
      <c r="CM169" s="699" t="str">
        <f>VLOOKUP(WWWW[[#This Row],[Site Name]],SiteDB6[[Site Name]:[Type of Accommodation]],10,FALSE)</f>
        <v>Camp</v>
      </c>
      <c r="CN169" s="699" t="str">
        <f>VLOOKUP(WWWW[[#This Row],[Site Name]],SiteDB6[[Site Name]:[Ethnic or GCA/NGCA]],11,FALSE)</f>
        <v>GCA</v>
      </c>
      <c r="CO169" s="699">
        <f>VLOOKUP(WWWW[[#This Row],[Site Name]],SiteDB6[[Site Name]:[Lat]],12,FALSE)</f>
        <v>25.418084</v>
      </c>
      <c r="CP169" s="699">
        <f>VLOOKUP(WWWW[[#This Row],[Site Name]],SiteDB6[[Site Name]:[Long]],13,FALSE)</f>
        <v>98.025662999999994</v>
      </c>
      <c r="CQ169" s="699" t="str">
        <f>VLOOKUP(WWWW[[#This Row],[Site Name]],SiteDB6[[Site Name]:[Pcode]],3,FALSE)</f>
        <v>MMR001CMP041</v>
      </c>
      <c r="CR169" s="660" t="str">
        <f t="shared" si="2"/>
        <v>Covered</v>
      </c>
      <c r="CS169" s="660"/>
      <c r="CT169" s="24"/>
      <c r="CU169" s="24"/>
      <c r="CV169" s="24"/>
    </row>
    <row r="170" spans="1:100" ht="15.75" customHeight="1" x14ac:dyDescent="0.25">
      <c r="A170" s="833" t="s">
        <v>3206</v>
      </c>
      <c r="B170" s="206" t="s">
        <v>389</v>
      </c>
      <c r="C170" s="206" t="s">
        <v>44</v>
      </c>
      <c r="D170" s="206" t="s">
        <v>288</v>
      </c>
      <c r="E170" s="206" t="s">
        <v>424</v>
      </c>
      <c r="F170" s="206">
        <v>46</v>
      </c>
      <c r="G170" s="209">
        <v>190</v>
      </c>
      <c r="H170" s="206"/>
      <c r="I170" s="206" t="s">
        <v>391</v>
      </c>
      <c r="J170" s="207">
        <v>42947</v>
      </c>
      <c r="K170" s="206">
        <v>0</v>
      </c>
      <c r="L170" s="206" t="s">
        <v>48</v>
      </c>
      <c r="M170" s="208">
        <v>1</v>
      </c>
      <c r="N170" s="208">
        <v>1</v>
      </c>
      <c r="O170" s="316">
        <v>1</v>
      </c>
      <c r="P170" s="317">
        <v>0</v>
      </c>
      <c r="Q170" s="317">
        <v>1000</v>
      </c>
      <c r="R170" s="318">
        <v>0</v>
      </c>
      <c r="S170" s="318">
        <v>2</v>
      </c>
      <c r="T170" s="318"/>
      <c r="U170" s="318">
        <v>1</v>
      </c>
      <c r="V170" s="318">
        <v>0</v>
      </c>
      <c r="W170" s="318">
        <v>2</v>
      </c>
      <c r="X170" s="318">
        <v>1</v>
      </c>
      <c r="Y170" s="318">
        <v>0</v>
      </c>
      <c r="Z170" s="318"/>
      <c r="AA170" s="310">
        <v>4</v>
      </c>
      <c r="AB170" s="310">
        <v>2</v>
      </c>
      <c r="AC170" s="66">
        <v>2</v>
      </c>
      <c r="AD170" s="66" t="s">
        <v>2782</v>
      </c>
      <c r="AE170" s="310">
        <v>4</v>
      </c>
      <c r="AF170" s="310" t="s">
        <v>283</v>
      </c>
      <c r="AG170" s="311" t="s">
        <v>283</v>
      </c>
      <c r="AH170" s="311">
        <v>0</v>
      </c>
      <c r="AI170" s="310">
        <v>0</v>
      </c>
      <c r="AJ170" s="310"/>
      <c r="AK170" s="841">
        <v>0.5</v>
      </c>
      <c r="AL170" s="842" t="s">
        <v>376</v>
      </c>
      <c r="AM170" s="842">
        <v>0</v>
      </c>
      <c r="AN170" s="863">
        <v>2</v>
      </c>
      <c r="AO170" s="863">
        <v>0</v>
      </c>
      <c r="AP170" s="838">
        <v>0</v>
      </c>
      <c r="AQ170" s="843">
        <v>0</v>
      </c>
      <c r="AR170" s="843"/>
      <c r="AS170" s="843"/>
      <c r="AT170" s="843">
        <v>1</v>
      </c>
      <c r="AU170" s="843"/>
      <c r="AV170" s="844"/>
      <c r="AW170" s="208">
        <f>IFERROR(WWWW[[#This Row],['# of Water passed at source]]/WWWW[[#This Row],['# of Water tested at source]],"no test")</f>
        <v>0</v>
      </c>
      <c r="AX170" s="211">
        <f>IFERROR(WWWW[[#This Row],['# of Water passed at HH]]/WWWW[[#This Row],['# of Water tested at HH]],"no test")</f>
        <v>0.5</v>
      </c>
      <c r="AY170" s="210" t="str">
        <f>IF(AND(WWWW[[#This Row],[%of Water samples which passed at water source]]="no test",WWWW[[#This Row],[%Water samples which passed at HH]]="no test"),"No Test","Tested")</f>
        <v>Tested</v>
      </c>
      <c r="AZ17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7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70" s="211">
        <f>IF(WWWW[[#This Row],[Location Type 1]]="Village",WWWW[[#This Row],[Access to safe drinking water for Village]],WWWW[[#This Row],[Access to safe drinking water for Camp]])</f>
        <v>1</v>
      </c>
      <c r="BC170" s="209">
        <f>WWWW[[#This Row],[%Equitable and continuous access to sufficient quantity of safe drinking water]]*WWWW[[#This Row],[Total PoP ]]</f>
        <v>190</v>
      </c>
      <c r="BD170" s="211">
        <f>IF((WWWW[[#This Row],['# Existing protected/fenced ponds ]]*250)/WWWW[[#This Row],[Total PoP ]]&gt;1,1,WWWW[[#This Row],['# Existing protected/fenced ponds ]]*250/WWWW[[#This Row],[Total PoP ]])</f>
        <v>0</v>
      </c>
      <c r="BE170" s="209">
        <f>WWWW[[#This Row],[Access to unimproved water points]]*WWWW[[#This Row],[Total PoP ]]</f>
        <v>0</v>
      </c>
      <c r="BF17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7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190</v>
      </c>
      <c r="BH170" s="209">
        <f>WWWW[[#This Row],['#people Equitable and continuous access to sufficient quantity of domestic water borehole n ponds_2]]/500</f>
        <v>0.38</v>
      </c>
      <c r="BI170" s="208">
        <f>1-WWWW[[#This Row],[%Equitable and continuous access to sufficient quantity of domestic water borehole n ponds]]</f>
        <v>0</v>
      </c>
      <c r="BJ170" s="209">
        <f>WWWW[[#This Row],[%equitable and continuous access to sufficient quantity of safe drinking and domestic water''s GAP]]*WWWW[[#This Row],[Total PoP ]]</f>
        <v>0</v>
      </c>
      <c r="BK170" s="210">
        <f>IF(WWWW[[#This Row],[Total required water points]]-WWWW[[#This Row],['#Water points coverage]]&lt;0,0,WWWW[[#This Row],[Total required water points]]-WWWW[[#This Row],['#Water points coverage]])</f>
        <v>0.62</v>
      </c>
      <c r="BL170" s="210">
        <f>ROUND(IF(WWWW[[#This Row],[Total PoP ]]&lt;500,1,WWWW[[#This Row],[Total PoP ]]/500),0)</f>
        <v>1</v>
      </c>
      <c r="BM170" s="210">
        <f>WWWW[[#This Row],['# Existing functional latrines]]+WWWW[[#This Row],['# Existing latrines dysfunctional]]</f>
        <v>6</v>
      </c>
      <c r="BN17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0.42105263157894735</v>
      </c>
      <c r="BO170" s="352">
        <f>WWWW[[#This Row],[% people access to functioning Latrine]]*WWWW[[#This Row],[Total PoP ]]</f>
        <v>80</v>
      </c>
      <c r="BP17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0.42105263157894735</v>
      </c>
      <c r="BQ170" s="209">
        <f>IF(WWWW[[#This Row],[Total required Latrines]]-WWWW[[#This Row],[Total '# of latrine]]&lt;0,0,WWWW[[#This Row],[Total required Latrines]]-WWWW[[#This Row],[Total '# of latrine]])</f>
        <v>4</v>
      </c>
      <c r="BR170" s="210">
        <f>ROUND(IF(WWWW[[#This Row],[Location Type 1]]="camp",WWWW[[#This Row],[Total PoP ]]/20,WWWW[[#This Row],[Total PoP ]]/6),0)</f>
        <v>10</v>
      </c>
      <c r="BS170" s="212">
        <f>IF(OR(WWWW[[#This Row],['# Existing latrines dysfunctional]]="",WWWW[[#This Row],['# Existing latrines dysfunctional]]=0),0,WWWW[[#This Row],['# Existing latrines dysfunctional]]/WWWW[[#This Row],[Total '# of latrine]])</f>
        <v>0.33333333333333331</v>
      </c>
      <c r="BT17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U170" s="209">
        <f>IF(500*WWWW[[#This Row],['# Hygiene Promoters ]]&gt;WWWW[[#This Row],[Total PoP ]],WWWW[[#This Row],[Total PoP ]],500*WWWW[[#This Row],['# Hygiene Promoters ]])</f>
        <v>0</v>
      </c>
      <c r="BV170" s="209">
        <f>IF(WWWW[[#This Row],[% of HH with access to Sanitary Pad]]&gt;=100%,1,0)</f>
        <v>0</v>
      </c>
      <c r="BW170" s="209">
        <f>IF(WWWW[[#This Row],[Total PoP ]]=0,0,IF(WWWW[[#This Row],['# Hygiene Promoters ]]=0,0,IF(WWWW[[#This Row],[Location Type 1]]="Village",IF(WWWW[[#This Row],[Total PoP ]]/WWWW[[#This Row],['# Hygiene Promoters ]]&lt;1000,1,0),IF(WWWW[[#This Row],[Total PoP ]]/WWWW[[#This Row],['# Hygiene Promoters ]]&lt;600,1,0))))</f>
        <v>0</v>
      </c>
      <c r="BX170" s="209">
        <f>IF(WWWW[[#This Row],[%HH with access to soap]]&gt;=100%,1,0)</f>
        <v>0</v>
      </c>
      <c r="BY170" s="209">
        <f>IF(WWWW[[#This Row],[% of HHs with access to Sanitary pad more than '#%]]+WWWW[[#This Row],[Ratio of Hyiene promoters to people less than '#]]+WWWW[[#This Row],[% of HHs with access to soap more than '#%]]&gt;=2,WWWW[[#This Row],[Total PoP ]],0)</f>
        <v>0</v>
      </c>
      <c r="BZ170" s="208">
        <f>WWWW[[#This Row],[People adopt basic personal and community hygiene practices]]/WWWW[[#This Row],[Total PoP ]]</f>
        <v>0</v>
      </c>
      <c r="CA170" s="212">
        <f>1-WWWW[[#This Row],[Hygiene Coverage%]]</f>
        <v>1</v>
      </c>
      <c r="CB170" s="211">
        <f>WWWW[[#This Row],['# people reached by regular dedicated hygiene promotion_5]]/WWWW[[#This Row],[Total PoP ]]</f>
        <v>0</v>
      </c>
      <c r="CC170" s="211">
        <f>IF(WWWW[[#This Row],['# HH received soaps]]/WWWW[[#This Row],[Total HH]]&gt;1,1,WWWW[[#This Row],['# HH received soaps]]/WWWW[[#This Row],[Total HH]])</f>
        <v>0</v>
      </c>
      <c r="CD170" s="211">
        <f>IF(WWWW[[#This Row],['# HH received Sanitary Pads]]/WWWW[[#This Row],[Total HH]]&gt;1,1,WWWW[[#This Row],['# HH received Sanitary Pads]]/WWWW[[#This Row],[Total HH]])</f>
        <v>0</v>
      </c>
      <c r="CE170" s="210">
        <f>WWWW[[#This Row],['# HH received soaps]]*5</f>
        <v>0</v>
      </c>
      <c r="CF170" s="210">
        <f>WWWW[[#This Row],['# HH received Sanitary Pads]]*5</f>
        <v>0</v>
      </c>
      <c r="CG170" s="210">
        <f>IF(WWWW[[#This Row],['# People with access to soap]]&gt;WWWW[[#This Row],['# People with access to Sanity Pads]],WWWW[[#This Row],['# People with access to soap]],WWWW[[#This Row],['# People with access to Sanity Pads]])</f>
        <v>0</v>
      </c>
      <c r="CH170" s="209">
        <f>WWWW[[#This Row],[Total HH]]*WWWW[[#This Row],[%HHs with access to functional hand washing stations]]</f>
        <v>23</v>
      </c>
      <c r="CI170" s="699" t="str">
        <f>VLOOKUP(WWWW[[#This Row],[Site Name]],SiteDB6[[Site Name]:[CCCM Management]],6,FALSE)</f>
        <v>Yes</v>
      </c>
      <c r="CJ170" s="699" t="str">
        <f>VLOOKUP(WWWW[[#This Row],[Site Name]],SiteDB6[[Site Name]:[CCCM Focal Agency]],7,FALSE)</f>
        <v>Shalom</v>
      </c>
      <c r="CK170" s="699" t="str">
        <f>VLOOKUP(WWWW[[#This Row],[Site Name]],SiteDB6[[Site Name]:[Location Type]],8,FALSE)</f>
        <v>Camp</v>
      </c>
      <c r="CL170" s="699" t="str">
        <f>VLOOKUP(WWWW[[#This Row],[Site Name]],SiteDB6[[Site Name]:[Location Type 1]],9,FALSE)</f>
        <v>Camp</v>
      </c>
      <c r="CM170" s="699" t="str">
        <f>VLOOKUP(WWWW[[#This Row],[Site Name]],SiteDB6[[Site Name]:[Type of Accommodation]],10,FALSE)</f>
        <v>Camp</v>
      </c>
      <c r="CN170" s="699" t="str">
        <f>VLOOKUP(WWWW[[#This Row],[Site Name]],SiteDB6[[Site Name]:[Ethnic or GCA/NGCA]],11,FALSE)</f>
        <v>GCA</v>
      </c>
      <c r="CO170" s="699">
        <f>VLOOKUP(WWWW[[#This Row],[Site Name]],SiteDB6[[Site Name]:[Lat]],12,FALSE)</f>
        <v>25.333683333333301</v>
      </c>
      <c r="CP170" s="699">
        <f>VLOOKUP(WWWW[[#This Row],[Site Name]],SiteDB6[[Site Name]:[Long]],13,FALSE)</f>
        <v>97.428251153846105</v>
      </c>
      <c r="CQ170" s="699" t="str">
        <f>VLOOKUP(WWWW[[#This Row],[Site Name]],SiteDB6[[Site Name]:[Pcode]],3,FALSE)</f>
        <v>MMR001CMP037</v>
      </c>
      <c r="CR170" s="660" t="str">
        <f t="shared" si="2"/>
        <v>Covered</v>
      </c>
      <c r="CS170" s="660"/>
      <c r="CT170" s="24"/>
      <c r="CU170" s="24"/>
      <c r="CV170" s="24"/>
    </row>
    <row r="171" spans="1:100" ht="15.75" customHeight="1" x14ac:dyDescent="0.25">
      <c r="A171" s="833" t="s">
        <v>3206</v>
      </c>
      <c r="B171" s="206" t="s">
        <v>287</v>
      </c>
      <c r="C171" s="206" t="s">
        <v>44</v>
      </c>
      <c r="D171" s="206" t="s">
        <v>288</v>
      </c>
      <c r="E171" s="206" t="s">
        <v>2951</v>
      </c>
      <c r="F171" s="206">
        <v>78</v>
      </c>
      <c r="G171" s="209">
        <v>344</v>
      </c>
      <c r="H171" s="206"/>
      <c r="I171" s="206" t="s">
        <v>296</v>
      </c>
      <c r="J171" s="207">
        <v>43465</v>
      </c>
      <c r="K171" s="206">
        <v>0</v>
      </c>
      <c r="L171" s="206" t="s">
        <v>48</v>
      </c>
      <c r="M171" s="208">
        <v>0.8</v>
      </c>
      <c r="N171" s="208">
        <v>0.6</v>
      </c>
      <c r="O171" s="316">
        <v>0</v>
      </c>
      <c r="P171" s="317">
        <v>1</v>
      </c>
      <c r="Q171" s="317">
        <v>0</v>
      </c>
      <c r="R171" s="318"/>
      <c r="S171" s="318"/>
      <c r="T171" s="318"/>
      <c r="U171" s="318"/>
      <c r="V171" s="318"/>
      <c r="W171" s="318"/>
      <c r="X171" s="318"/>
      <c r="Y171" s="318"/>
      <c r="Z171" s="318"/>
      <c r="AA171" s="310">
        <v>6</v>
      </c>
      <c r="AB171" s="310"/>
      <c r="AC171" s="66"/>
      <c r="AD171" s="66"/>
      <c r="AE171" s="310"/>
      <c r="AF171" s="310"/>
      <c r="AG171" s="311"/>
      <c r="AH171" s="311"/>
      <c r="AI171" s="310"/>
      <c r="AJ171" s="310"/>
      <c r="AK171" s="841"/>
      <c r="AL171" s="842"/>
      <c r="AM171" s="842"/>
      <c r="AN171" s="863"/>
      <c r="AO171" s="863"/>
      <c r="AP171" s="838"/>
      <c r="AQ171" s="843"/>
      <c r="AR171" s="843"/>
      <c r="AS171" s="843"/>
      <c r="AT171" s="843"/>
      <c r="AU171" s="843"/>
      <c r="AV171" s="844"/>
      <c r="AW171" s="208" t="str">
        <f>IFERROR(WWWW[[#This Row],['# of Water passed at source]]/WWWW[[#This Row],['# of Water tested at source]],"no test")</f>
        <v>no test</v>
      </c>
      <c r="AX171" s="211" t="str">
        <f>IFERROR(WWWW[[#This Row],['# of Water passed at HH]]/WWWW[[#This Row],['# of Water tested at HH]],"no test")</f>
        <v>no test</v>
      </c>
      <c r="AY171" s="210" t="str">
        <f>IF(AND(WWWW[[#This Row],[%of Water samples which passed at water source]]="no test",WWWW[[#This Row],[%Water samples which passed at HH]]="no test"),"No Test","Tested")</f>
        <v>No Test</v>
      </c>
      <c r="AZ17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7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0.72674418604651159</v>
      </c>
      <c r="BB171" s="211">
        <f>IF(WWWW[[#This Row],[Location Type 1]]="Village",WWWW[[#This Row],[Access to safe drinking water for Village]],WWWW[[#This Row],[Access to safe drinking water for Camp]])</f>
        <v>1</v>
      </c>
      <c r="BC171" s="209">
        <f>WWWW[[#This Row],[%Equitable and continuous access to sufficient quantity of safe drinking water]]*WWWW[[#This Row],[Total PoP ]]</f>
        <v>344</v>
      </c>
      <c r="BD171" s="211">
        <f>IF((WWWW[[#This Row],['# Existing protected/fenced ponds ]]*250)/WWWW[[#This Row],[Total PoP ]]&gt;1,1,WWWW[[#This Row],['# Existing protected/fenced ponds ]]*250/WWWW[[#This Row],[Total PoP ]])</f>
        <v>0</v>
      </c>
      <c r="BE171" s="209">
        <f>WWWW[[#This Row],[Access to unimproved water points]]*WWWW[[#This Row],[Total PoP ]]</f>
        <v>0</v>
      </c>
      <c r="BF17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7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344</v>
      </c>
      <c r="BH171" s="209">
        <f>WWWW[[#This Row],['#people Equitable and continuous access to sufficient quantity of domestic water borehole n ponds_2]]/500</f>
        <v>0.68799999999999994</v>
      </c>
      <c r="BI171" s="208">
        <f>1-WWWW[[#This Row],[%Equitable and continuous access to sufficient quantity of domestic water borehole n ponds]]</f>
        <v>0</v>
      </c>
      <c r="BJ171" s="209">
        <f>WWWW[[#This Row],[%equitable and continuous access to sufficient quantity of safe drinking and domestic water''s GAP]]*WWWW[[#This Row],[Total PoP ]]</f>
        <v>0</v>
      </c>
      <c r="BK171" s="210">
        <f>IF(WWWW[[#This Row],[Total required water points]]-WWWW[[#This Row],['#Water points coverage]]&lt;0,0,WWWW[[#This Row],[Total required water points]]-WWWW[[#This Row],['#Water points coverage]])</f>
        <v>0.31200000000000006</v>
      </c>
      <c r="BL171" s="210">
        <f>ROUND(IF(WWWW[[#This Row],[Total PoP ]]&lt;500,1,WWWW[[#This Row],[Total PoP ]]/500),0)</f>
        <v>1</v>
      </c>
      <c r="BM171" s="210">
        <f>WWWW[[#This Row],['# Existing functional latrines]]+WWWW[[#This Row],['# Existing latrines dysfunctional]]</f>
        <v>6</v>
      </c>
      <c r="BN17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0.34883720930232559</v>
      </c>
      <c r="BO171" s="352">
        <f>WWWW[[#This Row],[% people access to functioning Latrine]]*WWWW[[#This Row],[Total PoP ]]</f>
        <v>120</v>
      </c>
      <c r="BP17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0.63953488372093026</v>
      </c>
      <c r="BQ171" s="209">
        <f>IF(WWWW[[#This Row],[Total required Latrines]]-WWWW[[#This Row],[Total '# of latrine]]&lt;0,0,WWWW[[#This Row],[Total required Latrines]]-WWWW[[#This Row],[Total '# of latrine]])</f>
        <v>11</v>
      </c>
      <c r="BR171" s="210">
        <f>ROUND(IF(WWWW[[#This Row],[Location Type 1]]="camp",WWWW[[#This Row],[Total PoP ]]/20,WWWW[[#This Row],[Total PoP ]]/6),0)</f>
        <v>17</v>
      </c>
      <c r="BS171" s="212">
        <f>IF(OR(WWWW[[#This Row],['# Existing latrines dysfunctional]]="",WWWW[[#This Row],['# Existing latrines dysfunctional]]=0),0,WWWW[[#This Row],['# Existing latrines dysfunctional]]/WWWW[[#This Row],[Total '# of latrine]])</f>
        <v>0</v>
      </c>
      <c r="BT17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71" s="209">
        <f>IF(500*WWWW[[#This Row],['# Hygiene Promoters ]]&gt;WWWW[[#This Row],[Total PoP ]],WWWW[[#This Row],[Total PoP ]],500*WWWW[[#This Row],['# Hygiene Promoters ]])</f>
        <v>0</v>
      </c>
      <c r="BV171" s="209">
        <f>IF(WWWW[[#This Row],[% of HH with access to Sanitary Pad]]&gt;=100%,1,0)</f>
        <v>0</v>
      </c>
      <c r="BW171" s="209">
        <f>IF(WWWW[[#This Row],[Total PoP ]]=0,0,IF(WWWW[[#This Row],['# Hygiene Promoters ]]=0,0,IF(WWWW[[#This Row],[Location Type 1]]="Village",IF(WWWW[[#This Row],[Total PoP ]]/WWWW[[#This Row],['# Hygiene Promoters ]]&lt;1000,1,0),IF(WWWW[[#This Row],[Total PoP ]]/WWWW[[#This Row],['# Hygiene Promoters ]]&lt;600,1,0))))</f>
        <v>0</v>
      </c>
      <c r="BX171" s="209">
        <f>IF(WWWW[[#This Row],[%HH with access to soap]]&gt;=100%,1,0)</f>
        <v>0</v>
      </c>
      <c r="BY171" s="209">
        <f>IF(WWWW[[#This Row],[% of HHs with access to Sanitary pad more than '#%]]+WWWW[[#This Row],[Ratio of Hyiene promoters to people less than '#]]+WWWW[[#This Row],[% of HHs with access to soap more than '#%]]&gt;=2,WWWW[[#This Row],[Total PoP ]],0)</f>
        <v>0</v>
      </c>
      <c r="BZ171" s="208">
        <f>WWWW[[#This Row],[People adopt basic personal and community hygiene practices]]/WWWW[[#This Row],[Total PoP ]]</f>
        <v>0</v>
      </c>
      <c r="CA171" s="212">
        <f>1-WWWW[[#This Row],[Hygiene Coverage%]]</f>
        <v>1</v>
      </c>
      <c r="CB171" s="211">
        <f>WWWW[[#This Row],['# people reached by regular dedicated hygiene promotion_5]]/WWWW[[#This Row],[Total PoP ]]</f>
        <v>0</v>
      </c>
      <c r="CC171" s="211">
        <f>IF(WWWW[[#This Row],['# HH received soaps]]/WWWW[[#This Row],[Total HH]]&gt;1,1,WWWW[[#This Row],['# HH received soaps]]/WWWW[[#This Row],[Total HH]])</f>
        <v>0</v>
      </c>
      <c r="CD171" s="211">
        <f>IF(WWWW[[#This Row],['# HH received Sanitary Pads]]/WWWW[[#This Row],[Total HH]]&gt;1,1,WWWW[[#This Row],['# HH received Sanitary Pads]]/WWWW[[#This Row],[Total HH]])</f>
        <v>0</v>
      </c>
      <c r="CE171" s="210">
        <f>WWWW[[#This Row],['# HH received soaps]]*5</f>
        <v>0</v>
      </c>
      <c r="CF171" s="210">
        <f>WWWW[[#This Row],['# HH received Sanitary Pads]]*5</f>
        <v>0</v>
      </c>
      <c r="CG171" s="210">
        <f>IF(WWWW[[#This Row],['# People with access to soap]]&gt;WWWW[[#This Row],['# People with access to Sanity Pads]],WWWW[[#This Row],['# People with access to soap]],WWWW[[#This Row],['# People with access to Sanity Pads]])</f>
        <v>0</v>
      </c>
      <c r="CH171" s="209">
        <f>WWWW[[#This Row],[Total HH]]*WWWW[[#This Row],[%HHs with access to functional hand washing stations]]</f>
        <v>0</v>
      </c>
      <c r="CI171" s="699">
        <f>VLOOKUP(WWWW[[#This Row],[Site Name]],SiteDB6[[Site Name]:[CCCM Management]],6,FALSE)</f>
        <v>0</v>
      </c>
      <c r="CJ171" s="699" t="str">
        <f>VLOOKUP(WWWW[[#This Row],[Site Name]],SiteDB6[[Site Name]:[CCCM Focal Agency]],7,FALSE)</f>
        <v>KBC</v>
      </c>
      <c r="CK171" s="699" t="str">
        <f>VLOOKUP(WWWW[[#This Row],[Site Name]],SiteDB6[[Site Name]:[Location Type]],8,FALSE)</f>
        <v>Camp</v>
      </c>
      <c r="CL171" s="699" t="str">
        <f>VLOOKUP(WWWW[[#This Row],[Site Name]],SiteDB6[[Site Name]:[Location Type 1]],9,FALSE)</f>
        <v>Camp</v>
      </c>
      <c r="CM171" s="699" t="str">
        <f>VLOOKUP(WWWW[[#This Row],[Site Name]],SiteDB6[[Site Name]:[Type of Accommodation]],10,FALSE)</f>
        <v>Camp</v>
      </c>
      <c r="CN171" s="699" t="str">
        <f>VLOOKUP(WWWW[[#This Row],[Site Name]],SiteDB6[[Site Name]:[Ethnic or GCA/NGCA]],11,FALSE)</f>
        <v>GCA</v>
      </c>
      <c r="CO171" s="699">
        <f>VLOOKUP(WWWW[[#This Row],[Site Name]],SiteDB6[[Site Name]:[Lat]],12,FALSE)</f>
        <v>0</v>
      </c>
      <c r="CP171" s="699">
        <f>VLOOKUP(WWWW[[#This Row],[Site Name]],SiteDB6[[Site Name]:[Long]],13,FALSE)</f>
        <v>0</v>
      </c>
      <c r="CQ171" s="699" t="str">
        <f>VLOOKUP(WWWW[[#This Row],[Site Name]],SiteDB6[[Site Name]:[Pcode]],3,FALSE)</f>
        <v>MMR001CMP269</v>
      </c>
      <c r="CR171" s="660" t="str">
        <f t="shared" si="2"/>
        <v>Covered</v>
      </c>
      <c r="CS171" s="660"/>
      <c r="CT171" s="24"/>
      <c r="CU171" s="24"/>
      <c r="CV171" s="24"/>
    </row>
    <row r="172" spans="1:100" ht="15.75" customHeight="1" x14ac:dyDescent="0.25">
      <c r="A172" s="833" t="s">
        <v>3206</v>
      </c>
      <c r="B172" s="206" t="s">
        <v>389</v>
      </c>
      <c r="C172" s="206" t="s">
        <v>44</v>
      </c>
      <c r="D172" s="206" t="s">
        <v>288</v>
      </c>
      <c r="E172" s="206" t="s">
        <v>425</v>
      </c>
      <c r="F172" s="206">
        <v>69</v>
      </c>
      <c r="G172" s="209">
        <v>291</v>
      </c>
      <c r="H172" s="206"/>
      <c r="I172" s="206" t="s">
        <v>391</v>
      </c>
      <c r="J172" s="207">
        <v>42947</v>
      </c>
      <c r="K172" s="206">
        <v>0</v>
      </c>
      <c r="L172" s="206" t="s">
        <v>48</v>
      </c>
      <c r="M172" s="208">
        <v>0.43</v>
      </c>
      <c r="N172" s="208">
        <v>0</v>
      </c>
      <c r="O172" s="316">
        <v>2</v>
      </c>
      <c r="P172" s="317">
        <v>0</v>
      </c>
      <c r="Q172" s="317">
        <v>3000</v>
      </c>
      <c r="R172" s="318">
        <v>0</v>
      </c>
      <c r="S172" s="318">
        <v>4</v>
      </c>
      <c r="T172" s="318"/>
      <c r="U172" s="318">
        <v>2</v>
      </c>
      <c r="V172" s="318">
        <v>1</v>
      </c>
      <c r="W172" s="318">
        <v>4</v>
      </c>
      <c r="X172" s="318">
        <v>1</v>
      </c>
      <c r="Y172" s="318">
        <v>0</v>
      </c>
      <c r="Z172" s="318"/>
      <c r="AA172" s="310">
        <v>8</v>
      </c>
      <c r="AB172" s="310">
        <v>1</v>
      </c>
      <c r="AC172" s="66">
        <v>0</v>
      </c>
      <c r="AD172" s="66" t="s">
        <v>2782</v>
      </c>
      <c r="AE172" s="310">
        <v>8</v>
      </c>
      <c r="AF172" s="310" t="s">
        <v>283</v>
      </c>
      <c r="AG172" s="311" t="s">
        <v>283</v>
      </c>
      <c r="AH172" s="311">
        <v>0</v>
      </c>
      <c r="AI172" s="310">
        <v>0</v>
      </c>
      <c r="AJ172" s="310"/>
      <c r="AK172" s="841">
        <v>0.5</v>
      </c>
      <c r="AL172" s="842" t="s">
        <v>376</v>
      </c>
      <c r="AM172" s="842">
        <v>0</v>
      </c>
      <c r="AN172" s="863">
        <v>4</v>
      </c>
      <c r="AO172" s="863">
        <v>0</v>
      </c>
      <c r="AP172" s="838">
        <v>0</v>
      </c>
      <c r="AQ172" s="843">
        <v>0</v>
      </c>
      <c r="AR172" s="843"/>
      <c r="AS172" s="843"/>
      <c r="AT172" s="843">
        <v>1</v>
      </c>
      <c r="AU172" s="843"/>
      <c r="AV172" s="844"/>
      <c r="AW172" s="208">
        <f>IFERROR(WWWW[[#This Row],['# of Water passed at source]]/WWWW[[#This Row],['# of Water tested at source]],"no test")</f>
        <v>0.5</v>
      </c>
      <c r="AX172" s="211">
        <f>IFERROR(WWWW[[#This Row],['# of Water passed at HH]]/WWWW[[#This Row],['# of Water tested at HH]],"no test")</f>
        <v>0.25</v>
      </c>
      <c r="AY172" s="210" t="str">
        <f>IF(AND(WWWW[[#This Row],[%of Water samples which passed at water source]]="no test",WWWW[[#This Row],[%Water samples which passed at HH]]="no test"),"No Test","Tested")</f>
        <v>Tested</v>
      </c>
      <c r="AZ17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7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72" s="211">
        <f>IF(WWWW[[#This Row],[Location Type 1]]="Village",WWWW[[#This Row],[Access to safe drinking water for Village]],WWWW[[#This Row],[Access to safe drinking water for Camp]])</f>
        <v>1</v>
      </c>
      <c r="BC172" s="209">
        <f>WWWW[[#This Row],[%Equitable and continuous access to sufficient quantity of safe drinking water]]*WWWW[[#This Row],[Total PoP ]]</f>
        <v>291</v>
      </c>
      <c r="BD172" s="211">
        <f>IF((WWWW[[#This Row],['# Existing protected/fenced ponds ]]*250)/WWWW[[#This Row],[Total PoP ]]&gt;1,1,WWWW[[#This Row],['# Existing protected/fenced ponds ]]*250/WWWW[[#This Row],[Total PoP ]])</f>
        <v>0</v>
      </c>
      <c r="BE172" s="209">
        <f>WWWW[[#This Row],[Access to unimproved water points]]*WWWW[[#This Row],[Total PoP ]]</f>
        <v>0</v>
      </c>
      <c r="BF17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7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291</v>
      </c>
      <c r="BH172" s="209">
        <f>WWWW[[#This Row],['#people Equitable and continuous access to sufficient quantity of domestic water borehole n ponds_2]]/500</f>
        <v>0.58199999999999996</v>
      </c>
      <c r="BI172" s="208">
        <f>1-WWWW[[#This Row],[%Equitable and continuous access to sufficient quantity of domestic water borehole n ponds]]</f>
        <v>0</v>
      </c>
      <c r="BJ172" s="209">
        <f>WWWW[[#This Row],[%equitable and continuous access to sufficient quantity of safe drinking and domestic water''s GAP]]*WWWW[[#This Row],[Total PoP ]]</f>
        <v>0</v>
      </c>
      <c r="BK172" s="210">
        <f>IF(WWWW[[#This Row],[Total required water points]]-WWWW[[#This Row],['#Water points coverage]]&lt;0,0,WWWW[[#This Row],[Total required water points]]-WWWW[[#This Row],['#Water points coverage]])</f>
        <v>0.41800000000000004</v>
      </c>
      <c r="BL172" s="210">
        <f>ROUND(IF(WWWW[[#This Row],[Total PoP ]]&lt;500,1,WWWW[[#This Row],[Total PoP ]]/500),0)</f>
        <v>1</v>
      </c>
      <c r="BM172" s="210">
        <f>WWWW[[#This Row],['# Existing functional latrines]]+WWWW[[#This Row],['# Existing latrines dysfunctional]]</f>
        <v>9</v>
      </c>
      <c r="BN17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0.54982817869415812</v>
      </c>
      <c r="BO172" s="352">
        <f>WWWW[[#This Row],[% people access to functioning Latrine]]*WWWW[[#This Row],[Total PoP ]]</f>
        <v>160</v>
      </c>
      <c r="BP17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0.41237113402061853</v>
      </c>
      <c r="BQ172" s="209">
        <f>IF(WWWW[[#This Row],[Total required Latrines]]-WWWW[[#This Row],[Total '# of latrine]]&lt;0,0,WWWW[[#This Row],[Total required Latrines]]-WWWW[[#This Row],[Total '# of latrine]])</f>
        <v>6</v>
      </c>
      <c r="BR172" s="210">
        <f>ROUND(IF(WWWW[[#This Row],[Location Type 1]]="camp",WWWW[[#This Row],[Total PoP ]]/20,WWWW[[#This Row],[Total PoP ]]/6),0)</f>
        <v>15</v>
      </c>
      <c r="BS172" s="212">
        <f>IF(OR(WWWW[[#This Row],['# Existing latrines dysfunctional]]="",WWWW[[#This Row],['# Existing latrines dysfunctional]]=0),0,WWWW[[#This Row],['# Existing latrines dysfunctional]]/WWWW[[#This Row],[Total '# of latrine]])</f>
        <v>0.1111111111111111</v>
      </c>
      <c r="BT17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72" s="209">
        <f>IF(500*WWWW[[#This Row],['# Hygiene Promoters ]]&gt;WWWW[[#This Row],[Total PoP ]],WWWW[[#This Row],[Total PoP ]],500*WWWW[[#This Row],['# Hygiene Promoters ]])</f>
        <v>0</v>
      </c>
      <c r="BV172" s="209">
        <f>IF(WWWW[[#This Row],[% of HH with access to Sanitary Pad]]&gt;=100%,1,0)</f>
        <v>0</v>
      </c>
      <c r="BW172" s="209">
        <f>IF(WWWW[[#This Row],[Total PoP ]]=0,0,IF(WWWW[[#This Row],['# Hygiene Promoters ]]=0,0,IF(WWWW[[#This Row],[Location Type 1]]="Village",IF(WWWW[[#This Row],[Total PoP ]]/WWWW[[#This Row],['# Hygiene Promoters ]]&lt;1000,1,0),IF(WWWW[[#This Row],[Total PoP ]]/WWWW[[#This Row],['# Hygiene Promoters ]]&lt;600,1,0))))</f>
        <v>0</v>
      </c>
      <c r="BX172" s="209">
        <f>IF(WWWW[[#This Row],[%HH with access to soap]]&gt;=100%,1,0)</f>
        <v>0</v>
      </c>
      <c r="BY172" s="209">
        <f>IF(WWWW[[#This Row],[% of HHs with access to Sanitary pad more than '#%]]+WWWW[[#This Row],[Ratio of Hyiene promoters to people less than '#]]+WWWW[[#This Row],[% of HHs with access to soap more than '#%]]&gt;=2,WWWW[[#This Row],[Total PoP ]],0)</f>
        <v>0</v>
      </c>
      <c r="BZ172" s="208">
        <f>WWWW[[#This Row],[People adopt basic personal and community hygiene practices]]/WWWW[[#This Row],[Total PoP ]]</f>
        <v>0</v>
      </c>
      <c r="CA172" s="212">
        <f>1-WWWW[[#This Row],[Hygiene Coverage%]]</f>
        <v>1</v>
      </c>
      <c r="CB172" s="211">
        <f>WWWW[[#This Row],['# people reached by regular dedicated hygiene promotion_5]]/WWWW[[#This Row],[Total PoP ]]</f>
        <v>0</v>
      </c>
      <c r="CC172" s="211">
        <f>IF(WWWW[[#This Row],['# HH received soaps]]/WWWW[[#This Row],[Total HH]]&gt;1,1,WWWW[[#This Row],['# HH received soaps]]/WWWW[[#This Row],[Total HH]])</f>
        <v>0</v>
      </c>
      <c r="CD172" s="211">
        <f>IF(WWWW[[#This Row],['# HH received Sanitary Pads]]/WWWW[[#This Row],[Total HH]]&gt;1,1,WWWW[[#This Row],['# HH received Sanitary Pads]]/WWWW[[#This Row],[Total HH]])</f>
        <v>0</v>
      </c>
      <c r="CE172" s="210">
        <f>WWWW[[#This Row],['# HH received soaps]]*5</f>
        <v>0</v>
      </c>
      <c r="CF172" s="210">
        <f>WWWW[[#This Row],['# HH received Sanitary Pads]]*5</f>
        <v>0</v>
      </c>
      <c r="CG172" s="210">
        <f>IF(WWWW[[#This Row],['# People with access to soap]]&gt;WWWW[[#This Row],['# People with access to Sanity Pads]],WWWW[[#This Row],['# People with access to soap]],WWWW[[#This Row],['# People with access to Sanity Pads]])</f>
        <v>0</v>
      </c>
      <c r="CH172" s="209">
        <f>WWWW[[#This Row],[Total HH]]*WWWW[[#This Row],[%HHs with access to functional hand washing stations]]</f>
        <v>34.5</v>
      </c>
      <c r="CI172" s="699" t="str">
        <f>VLOOKUP(WWWW[[#This Row],[Site Name]],SiteDB6[[Site Name]:[CCCM Management]],6,FALSE)</f>
        <v>Yes</v>
      </c>
      <c r="CJ172" s="699" t="str">
        <f>VLOOKUP(WWWW[[#This Row],[Site Name]],SiteDB6[[Site Name]:[CCCM Focal Agency]],7,FALSE)</f>
        <v>Shalom</v>
      </c>
      <c r="CK172" s="699" t="str">
        <f>VLOOKUP(WWWW[[#This Row],[Site Name]],SiteDB6[[Site Name]:[Location Type]],8,FALSE)</f>
        <v>Camp</v>
      </c>
      <c r="CL172" s="699" t="str">
        <f>VLOOKUP(WWWW[[#This Row],[Site Name]],SiteDB6[[Site Name]:[Location Type 1]],9,FALSE)</f>
        <v>Camp</v>
      </c>
      <c r="CM172" s="699" t="str">
        <f>VLOOKUP(WWWW[[#This Row],[Site Name]],SiteDB6[[Site Name]:[Type of Accommodation]],10,FALSE)</f>
        <v>Camp</v>
      </c>
      <c r="CN172" s="699" t="str">
        <f>VLOOKUP(WWWW[[#This Row],[Site Name]],SiteDB6[[Site Name]:[Ethnic or GCA/NGCA]],11,FALSE)</f>
        <v>GCA</v>
      </c>
      <c r="CO172" s="699">
        <f>VLOOKUP(WWWW[[#This Row],[Site Name]],SiteDB6[[Site Name]:[Lat]],12,FALSE)</f>
        <v>25.351250396825399</v>
      </c>
      <c r="CP172" s="699">
        <f>VLOOKUP(WWWW[[#This Row],[Site Name]],SiteDB6[[Site Name]:[Long]],13,FALSE)</f>
        <v>97.444283730158702</v>
      </c>
      <c r="CQ172" s="699" t="str">
        <f>VLOOKUP(WWWW[[#This Row],[Site Name]],SiteDB6[[Site Name]:[Pcode]],3,FALSE)</f>
        <v>MMR001CMP038</v>
      </c>
      <c r="CR172" s="660" t="str">
        <f t="shared" si="2"/>
        <v>Covered</v>
      </c>
      <c r="CS172" s="660"/>
      <c r="CT172" s="24"/>
      <c r="CU172" s="24"/>
      <c r="CV172" s="24"/>
    </row>
    <row r="173" spans="1:100" ht="15.75" customHeight="1" x14ac:dyDescent="0.25">
      <c r="A173" s="833" t="s">
        <v>3206</v>
      </c>
      <c r="B173" s="206" t="s">
        <v>338</v>
      </c>
      <c r="C173" s="206" t="s">
        <v>44</v>
      </c>
      <c r="D173" s="206" t="s">
        <v>288</v>
      </c>
      <c r="E173" s="206" t="s">
        <v>367</v>
      </c>
      <c r="F173" s="206">
        <v>560</v>
      </c>
      <c r="G173" s="209">
        <v>2902</v>
      </c>
      <c r="H173" s="206">
        <v>365</v>
      </c>
      <c r="I173" s="206" t="s">
        <v>3210</v>
      </c>
      <c r="J173" s="207">
        <v>43464</v>
      </c>
      <c r="K173" s="206">
        <v>0</v>
      </c>
      <c r="L173" s="206" t="s">
        <v>48</v>
      </c>
      <c r="M173" s="208">
        <v>0.31</v>
      </c>
      <c r="N173" s="208">
        <v>0.31</v>
      </c>
      <c r="O173" s="323">
        <v>3</v>
      </c>
      <c r="P173" s="317">
        <v>0</v>
      </c>
      <c r="Q173" s="317">
        <v>87060</v>
      </c>
      <c r="R173" s="318">
        <v>0</v>
      </c>
      <c r="S173" s="318">
        <v>0</v>
      </c>
      <c r="T173" s="318"/>
      <c r="U173" s="318"/>
      <c r="V173" s="318"/>
      <c r="W173" s="318"/>
      <c r="X173" s="318"/>
      <c r="Y173" s="318">
        <v>4</v>
      </c>
      <c r="Z173" s="318">
        <v>0</v>
      </c>
      <c r="AA173" s="310">
        <v>96</v>
      </c>
      <c r="AB173" s="310">
        <v>0</v>
      </c>
      <c r="AC173" s="66">
        <v>28</v>
      </c>
      <c r="AD173" s="66" t="s">
        <v>2789</v>
      </c>
      <c r="AE173" s="310">
        <v>96</v>
      </c>
      <c r="AF173" s="310" t="s">
        <v>283</v>
      </c>
      <c r="AG173" s="311" t="s">
        <v>283</v>
      </c>
      <c r="AH173" s="311">
        <v>2</v>
      </c>
      <c r="AI173" s="310">
        <v>10</v>
      </c>
      <c r="AJ173" s="310">
        <v>0</v>
      </c>
      <c r="AK173" s="841">
        <v>0.99</v>
      </c>
      <c r="AL173" s="842" t="s">
        <v>376</v>
      </c>
      <c r="AM173" s="842">
        <v>0</v>
      </c>
      <c r="AN173" s="863">
        <v>5</v>
      </c>
      <c r="AO173" s="863">
        <v>5</v>
      </c>
      <c r="AP173" s="838">
        <v>560</v>
      </c>
      <c r="AQ173" s="843">
        <v>426</v>
      </c>
      <c r="AR173" s="843" t="s">
        <v>282</v>
      </c>
      <c r="AS173" s="843"/>
      <c r="AT173" s="843"/>
      <c r="AU173" s="843"/>
      <c r="AV173" s="844">
        <v>0</v>
      </c>
      <c r="AW173" s="208" t="str">
        <f>IFERROR(WWWW[[#This Row],['# of Water passed at source]]/WWWW[[#This Row],['# of Water tested at source]],"no test")</f>
        <v>no test</v>
      </c>
      <c r="AX173" s="211" t="str">
        <f>IFERROR(WWWW[[#This Row],['# of Water passed at HH]]/WWWW[[#This Row],['# of Water tested at HH]],"no test")</f>
        <v>no test</v>
      </c>
      <c r="AY173" s="210" t="str">
        <f>IF(AND(WWWW[[#This Row],[%of Water samples which passed at water source]]="no test",WWWW[[#This Row],[%Water samples which passed at HH]]="no test"),"No Test","Tested")</f>
        <v>No Test</v>
      </c>
      <c r="AZ17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7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73" s="211">
        <f>IF(WWWW[[#This Row],[Location Type 1]]="Village",WWWW[[#This Row],[Access to safe drinking water for Village]],WWWW[[#This Row],[Access to safe drinking water for Camp]])</f>
        <v>1</v>
      </c>
      <c r="BC173" s="209">
        <f>WWWW[[#This Row],[%Equitable and continuous access to sufficient quantity of safe drinking water]]*WWWW[[#This Row],[Total PoP ]]</f>
        <v>2902</v>
      </c>
      <c r="BD173" s="211">
        <f>IF((WWWW[[#This Row],['# Existing protected/fenced ponds ]]*250)/WWWW[[#This Row],[Total PoP ]]&gt;1,1,WWWW[[#This Row],['# Existing protected/fenced ponds ]]*250/WWWW[[#This Row],[Total PoP ]])</f>
        <v>0</v>
      </c>
      <c r="BE173" s="209">
        <f>WWWW[[#This Row],[Access to unimproved water points]]*WWWW[[#This Row],[Total PoP ]]</f>
        <v>0</v>
      </c>
      <c r="BF17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7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2902</v>
      </c>
      <c r="BH173" s="209">
        <f>ROUND(WWWW[[#This Row],['#people Equitable and continuous access to sufficient quantity of domestic water borehole n ponds_2]]/500,0)</f>
        <v>6</v>
      </c>
      <c r="BI173" s="208">
        <f>1-WWWW[[#This Row],[%Equitable and continuous access to sufficient quantity of domestic water borehole n ponds]]</f>
        <v>0</v>
      </c>
      <c r="BJ173" s="209">
        <f>WWWW[[#This Row],[%equitable and continuous access to sufficient quantity of safe drinking and domestic water''s GAP]]*WWWW[[#This Row],[Total PoP ]]</f>
        <v>0</v>
      </c>
      <c r="BK173" s="210">
        <f>IF(WWWW[[#This Row],[Total required water points]]-WWWW[[#This Row],['#Water points coverage]]&lt;0,0,WWWW[[#This Row],[Total required water points]]-WWWW[[#This Row],['#Water points coverage]])</f>
        <v>0</v>
      </c>
      <c r="BL173" s="210">
        <f>ROUND(IF(WWWW[[#This Row],[Total PoP ]]&lt;500,1,WWWW[[#This Row],[Total PoP ]]/500),0)</f>
        <v>6</v>
      </c>
      <c r="BM173" s="210">
        <f>WWWW[[#This Row],['# Existing functional latrines]]+WWWW[[#This Row],['# Existing latrines dysfunctional]]</f>
        <v>96</v>
      </c>
      <c r="BN17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0.66161268090971748</v>
      </c>
      <c r="BO173" s="352">
        <f>WWWW[[#This Row],[% people access to functioning Latrine]]*WWWW[[#This Row],[Total PoP ]]</f>
        <v>1920.0000000000002</v>
      </c>
      <c r="BP17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0.33769813921433495</v>
      </c>
      <c r="BQ173" s="209">
        <f>IF(WWWW[[#This Row],[Total required Latrines]]-WWWW[[#This Row],[Total '# of latrine]]&lt;0,0,WWWW[[#This Row],[Total required Latrines]]-WWWW[[#This Row],[Total '# of latrine]])</f>
        <v>49</v>
      </c>
      <c r="BR173" s="210">
        <f>ROUND(IF(WWWW[[#This Row],[Location Type 1]]="camp",WWWW[[#This Row],[Total PoP ]]/20,WWWW[[#This Row],[Total PoP ]]/6),0)</f>
        <v>145</v>
      </c>
      <c r="BS173" s="212">
        <f>IF(OR(WWWW[[#This Row],['# Existing latrines dysfunctional]]="",WWWW[[#This Row],['# Existing latrines dysfunctional]]=0),0,WWWW[[#This Row],['# Existing latrines dysfunctional]]/WWWW[[#This Row],[Total '# of latrine]])</f>
        <v>0</v>
      </c>
      <c r="BT17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560</v>
      </c>
      <c r="BU173" s="209">
        <f>IF(500*WWWW[[#This Row],['# Hygiene Promoters ]]&gt;WWWW[[#This Row],[Total PoP ]],WWWW[[#This Row],[Total PoP ]],500*WWWW[[#This Row],['# Hygiene Promoters ]])</f>
        <v>2500</v>
      </c>
      <c r="BV173" s="209">
        <f>IF(WWWW[[#This Row],[% of HH with access to Sanitary Pad]]&gt;=100%,1,0)</f>
        <v>0</v>
      </c>
      <c r="BW173" s="209">
        <f>IF(WWWW[[#This Row],[Total PoP ]]=0,0,IF(WWWW[[#This Row],['# Hygiene Promoters ]]=0,0,IF(WWWW[[#This Row],[Location Type 1]]="Village",IF(WWWW[[#This Row],[Total PoP ]]/WWWW[[#This Row],['# Hygiene Promoters ]]&lt;1000,1,0),IF(WWWW[[#This Row],[Total PoP ]]/WWWW[[#This Row],['# Hygiene Promoters ]]&lt;600,1,0))))</f>
        <v>1</v>
      </c>
      <c r="BX173" s="209">
        <f>IF(WWWW[[#This Row],[%HH with access to soap]]&gt;=100%,1,0)</f>
        <v>1</v>
      </c>
      <c r="BY173" s="209">
        <f>IF(WWWW[[#This Row],[% of HHs with access to Sanitary pad more than '#%]]+WWWW[[#This Row],[Ratio of Hyiene promoters to people less than '#]]+WWWW[[#This Row],[% of HHs with access to soap more than '#%]]&gt;=2,WWWW[[#This Row],[Total PoP ]],0)</f>
        <v>2902</v>
      </c>
      <c r="BZ173" s="208">
        <f>WWWW[[#This Row],[People adopt basic personal and community hygiene practices]]/WWWW[[#This Row],[Total PoP ]]</f>
        <v>1</v>
      </c>
      <c r="CA173" s="212">
        <f>1-WWWW[[#This Row],[Hygiene Coverage%]]</f>
        <v>0</v>
      </c>
      <c r="CB173" s="211">
        <f>WWWW[[#This Row],['# people reached by regular dedicated hygiene promotion_5]]/WWWW[[#This Row],[Total PoP ]]</f>
        <v>0.86147484493452786</v>
      </c>
      <c r="CC173" s="211">
        <f>IF(WWWW[[#This Row],['# HH received soaps]]/WWWW[[#This Row],[Total HH]]&gt;1,1,WWWW[[#This Row],['# HH received soaps]]/WWWW[[#This Row],[Total HH]])</f>
        <v>1</v>
      </c>
      <c r="CD173" s="211">
        <f>IF(WWWW[[#This Row],['# HH received Sanitary Pads]]/WWWW[[#This Row],[Total HH]]&gt;1,1,WWWW[[#This Row],['# HH received Sanitary Pads]]/WWWW[[#This Row],[Total HH]])</f>
        <v>0.76071428571428568</v>
      </c>
      <c r="CE173" s="210">
        <f>WWWW[[#This Row],['# HH received soaps]]*5</f>
        <v>2800</v>
      </c>
      <c r="CF173" s="210">
        <f>WWWW[[#This Row],['# HH received Sanitary Pads]]*5</f>
        <v>2130</v>
      </c>
      <c r="CG173" s="210">
        <f>IF(WWWW[[#This Row],['# People with access to soap]]&gt;WWWW[[#This Row],['# People with access to Sanity Pads]],WWWW[[#This Row],['# People with access to soap]],WWWW[[#This Row],['# People with access to Sanity Pads]])</f>
        <v>2800</v>
      </c>
      <c r="CH173" s="209">
        <f>WWWW[[#This Row],[Total HH]]*WWWW[[#This Row],[%HHs with access to functional hand washing stations]]</f>
        <v>554.4</v>
      </c>
      <c r="CI173" s="699" t="str">
        <f>VLOOKUP(WWWW[[#This Row],[Site Name]],SiteDB6[[Site Name]:[CCCM Management]],6,FALSE)</f>
        <v>Yes</v>
      </c>
      <c r="CJ173" s="699" t="str">
        <f>VLOOKUP(WWWW[[#This Row],[Site Name]],SiteDB6[[Site Name]:[CCCM Focal Agency]],7,FALSE)</f>
        <v>KMSS-MYT</v>
      </c>
      <c r="CK173" s="699" t="str">
        <f>VLOOKUP(WWWW[[#This Row],[Site Name]],SiteDB6[[Site Name]:[Location Type]],8,FALSE)</f>
        <v>Camp</v>
      </c>
      <c r="CL173" s="699" t="str">
        <f>VLOOKUP(WWWW[[#This Row],[Site Name]],SiteDB6[[Site Name]:[Location Type 1]],9,FALSE)</f>
        <v>Camp</v>
      </c>
      <c r="CM173" s="699" t="str">
        <f>VLOOKUP(WWWW[[#This Row],[Site Name]],SiteDB6[[Site Name]:[Type of Accommodation]],10,FALSE)</f>
        <v>Camp</v>
      </c>
      <c r="CN173" s="699" t="str">
        <f>VLOOKUP(WWWW[[#This Row],[Site Name]],SiteDB6[[Site Name]:[Ethnic or GCA/NGCA]],11,FALSE)</f>
        <v>NGCA</v>
      </c>
      <c r="CO173" s="699">
        <f>VLOOKUP(WWWW[[#This Row],[Site Name]],SiteDB6[[Site Name]:[Lat]],12,FALSE)</f>
        <v>24.755253</v>
      </c>
      <c r="CP173" s="699">
        <f>VLOOKUP(WWWW[[#This Row],[Site Name]],SiteDB6[[Site Name]:[Long]],13,FALSE)</f>
        <v>97.546893999999995</v>
      </c>
      <c r="CQ173" s="699" t="str">
        <f>VLOOKUP(WWWW[[#This Row],[Site Name]],SiteDB6[[Site Name]:[Pcode]],3,FALSE)</f>
        <v>MMR001CMP116</v>
      </c>
      <c r="CR173" s="660" t="str">
        <f t="shared" si="2"/>
        <v>Covered</v>
      </c>
      <c r="CS173" s="660"/>
      <c r="CT173" s="24"/>
      <c r="CU173" s="24"/>
      <c r="CV173" s="24"/>
    </row>
    <row r="174" spans="1:100" ht="15.75" customHeight="1" x14ac:dyDescent="0.25">
      <c r="A174" s="833" t="s">
        <v>3206</v>
      </c>
      <c r="B174" s="206" t="s">
        <v>338</v>
      </c>
      <c r="C174" s="206" t="s">
        <v>44</v>
      </c>
      <c r="D174" s="206" t="s">
        <v>288</v>
      </c>
      <c r="E174" s="206" t="s">
        <v>369</v>
      </c>
      <c r="F174" s="206">
        <v>134</v>
      </c>
      <c r="G174" s="209">
        <v>709</v>
      </c>
      <c r="H174" s="206"/>
      <c r="I174" s="206" t="s">
        <v>364</v>
      </c>
      <c r="J174" s="207">
        <v>43281</v>
      </c>
      <c r="K174" s="206">
        <v>0</v>
      </c>
      <c r="L174" s="206" t="s">
        <v>48</v>
      </c>
      <c r="M174" s="208">
        <v>0.3</v>
      </c>
      <c r="N174" s="208">
        <v>0.3</v>
      </c>
      <c r="O174" s="316">
        <v>0</v>
      </c>
      <c r="P174" s="317">
        <v>0</v>
      </c>
      <c r="Q174" s="317">
        <v>14180</v>
      </c>
      <c r="R174" s="318">
        <v>0</v>
      </c>
      <c r="S174" s="318">
        <v>0</v>
      </c>
      <c r="T174" s="318"/>
      <c r="U174" s="318"/>
      <c r="V174" s="318"/>
      <c r="W174" s="318"/>
      <c r="X174" s="318"/>
      <c r="Y174" s="318"/>
      <c r="Z174" s="318">
        <v>0</v>
      </c>
      <c r="AA174" s="310">
        <v>44</v>
      </c>
      <c r="AB174" s="310">
        <v>0</v>
      </c>
      <c r="AC174" s="310"/>
      <c r="AD174" s="66"/>
      <c r="AE174" s="310">
        <v>1</v>
      </c>
      <c r="AF174" s="310" t="s">
        <v>283</v>
      </c>
      <c r="AG174" s="311" t="s">
        <v>1358</v>
      </c>
      <c r="AH174" s="66"/>
      <c r="AI174" s="66"/>
      <c r="AJ174" s="310">
        <v>0</v>
      </c>
      <c r="AK174" s="841">
        <v>1</v>
      </c>
      <c r="AL174" s="842" t="s">
        <v>376</v>
      </c>
      <c r="AM174" s="842">
        <v>0</v>
      </c>
      <c r="AN174" s="863">
        <v>7</v>
      </c>
      <c r="AO174" s="863">
        <v>0</v>
      </c>
      <c r="AP174" s="838"/>
      <c r="AQ174" s="843"/>
      <c r="AR174" s="843"/>
      <c r="AS174" s="843"/>
      <c r="AT174" s="843"/>
      <c r="AU174" s="843"/>
      <c r="AV174" s="844">
        <v>0</v>
      </c>
      <c r="AW174" s="208" t="str">
        <f>IFERROR(WWWW[[#This Row],['# of Water passed at source]]/WWWW[[#This Row],['# of Water tested at source]],"no test")</f>
        <v>no test</v>
      </c>
      <c r="AX174" s="211" t="str">
        <f>IFERROR(WWWW[[#This Row],['# of Water passed at HH]]/WWWW[[#This Row],['# of Water tested at HH]],"no test")</f>
        <v>no test</v>
      </c>
      <c r="AY174" s="210" t="str">
        <f>IF(AND(WWWW[[#This Row],[%of Water samples which passed at water source]]="no test",WWWW[[#This Row],[%Water samples which passed at HH]]="no test"),"No Test","Tested")</f>
        <v>No Test</v>
      </c>
      <c r="AZ17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7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174" s="211">
        <f>IF(WWWW[[#This Row],[Location Type 1]]="Village",WWWW[[#This Row],[Access to safe drinking water for Village]],WWWW[[#This Row],[Access to safe drinking water for Camp]])</f>
        <v>1</v>
      </c>
      <c r="BC174" s="209">
        <f>WWWW[[#This Row],[%Equitable and continuous access to sufficient quantity of safe drinking water]]*WWWW[[#This Row],[Total PoP ]]</f>
        <v>709</v>
      </c>
      <c r="BD174" s="211">
        <f>IF((WWWW[[#This Row],['# Existing protected/fenced ponds ]]*250)/WWWW[[#This Row],[Total PoP ]]&gt;1,1,WWWW[[#This Row],['# Existing protected/fenced ponds ]]*250/WWWW[[#This Row],[Total PoP ]])</f>
        <v>0</v>
      </c>
      <c r="BE174" s="209">
        <f>WWWW[[#This Row],[Access to unimproved water points]]*WWWW[[#This Row],[Total PoP ]]</f>
        <v>0</v>
      </c>
      <c r="BF17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7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709</v>
      </c>
      <c r="BH174" s="209">
        <f>WWWW[[#This Row],['#people Equitable and continuous access to sufficient quantity of domestic water borehole n ponds_2]]/500</f>
        <v>1.4179999999999999</v>
      </c>
      <c r="BI174" s="208">
        <f>1-WWWW[[#This Row],[%Equitable and continuous access to sufficient quantity of domestic water borehole n ponds]]</f>
        <v>0</v>
      </c>
      <c r="BJ174" s="209">
        <f>WWWW[[#This Row],[%equitable and continuous access to sufficient quantity of safe drinking and domestic water''s GAP]]*WWWW[[#This Row],[Total PoP ]]</f>
        <v>0</v>
      </c>
      <c r="BK174" s="210">
        <f>IF(WWWW[[#This Row],[Total required water points]]-WWWW[[#This Row],['#Water points coverage]]&lt;0,0,WWWW[[#This Row],[Total required water points]]-WWWW[[#This Row],['#Water points coverage]])</f>
        <v>0</v>
      </c>
      <c r="BL174" s="210">
        <f>ROUND(IF(WWWW[[#This Row],[Total PoP ]]&lt;500,1,WWWW[[#This Row],[Total PoP ]]/500),0)</f>
        <v>1</v>
      </c>
      <c r="BM174" s="210">
        <f>WWWW[[#This Row],['# Existing functional latrines]]+WWWW[[#This Row],['# Existing latrines dysfunctional]]</f>
        <v>44</v>
      </c>
      <c r="BN17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74" s="352">
        <f>WWWW[[#This Row],[% people access to functioning Latrine]]*WWWW[[#This Row],[Total PoP ]]</f>
        <v>709</v>
      </c>
      <c r="BP17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74" s="209">
        <f>IF(WWWW[[#This Row],[Total required Latrines]]-WWWW[[#This Row],[Total '# of latrine]]&lt;0,0,WWWW[[#This Row],[Total required Latrines]]-WWWW[[#This Row],[Total '# of latrine]])</f>
        <v>0</v>
      </c>
      <c r="BR174" s="210">
        <f>ROUND(IF(WWWW[[#This Row],[Location Type 1]]="camp",WWWW[[#This Row],[Total PoP ]]/20,WWWW[[#This Row],[Total PoP ]]/6),0)</f>
        <v>35</v>
      </c>
      <c r="BS174" s="212">
        <f>IF(OR(WWWW[[#This Row],['# Existing latrines dysfunctional]]="",WWWW[[#This Row],['# Existing latrines dysfunctional]]=0),0,WWWW[[#This Row],['# Existing latrines dysfunctional]]/WWWW[[#This Row],[Total '# of latrine]])</f>
        <v>0</v>
      </c>
      <c r="BT17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74" s="209">
        <f>IF(500*WWWW[[#This Row],['# Hygiene Promoters ]]&gt;WWWW[[#This Row],[Total PoP ]],WWWW[[#This Row],[Total PoP ]],500*WWWW[[#This Row],['# Hygiene Promoters ]])</f>
        <v>0</v>
      </c>
      <c r="BV174" s="209">
        <f>IF(WWWW[[#This Row],[% of HH with access to Sanitary Pad]]&gt;=100%,1,0)</f>
        <v>0</v>
      </c>
      <c r="BW174" s="209">
        <f>IF(WWWW[[#This Row],[Total PoP ]]=0,0,IF(WWWW[[#This Row],['# Hygiene Promoters ]]=0,0,IF(WWWW[[#This Row],[Location Type 1]]="Village",IF(WWWW[[#This Row],[Total PoP ]]/WWWW[[#This Row],['# Hygiene Promoters ]]&lt;1000,1,0),IF(WWWW[[#This Row],[Total PoP ]]/WWWW[[#This Row],['# Hygiene Promoters ]]&lt;600,1,0))))</f>
        <v>0</v>
      </c>
      <c r="BX174" s="209">
        <f>IF(WWWW[[#This Row],[%HH with access to soap]]&gt;=100%,1,0)</f>
        <v>0</v>
      </c>
      <c r="BY174" s="209">
        <f>IF(WWWW[[#This Row],[% of HHs with access to Sanitary pad more than '#%]]+WWWW[[#This Row],[Ratio of Hyiene promoters to people less than '#]]+WWWW[[#This Row],[% of HHs with access to soap more than '#%]]&gt;=2,WWWW[[#This Row],[Total PoP ]],0)</f>
        <v>0</v>
      </c>
      <c r="BZ174" s="208">
        <f>WWWW[[#This Row],[People adopt basic personal and community hygiene practices]]/WWWW[[#This Row],[Total PoP ]]</f>
        <v>0</v>
      </c>
      <c r="CA174" s="212">
        <f>1-WWWW[[#This Row],[Hygiene Coverage%]]</f>
        <v>1</v>
      </c>
      <c r="CB174" s="211">
        <f>WWWW[[#This Row],['# people reached by regular dedicated hygiene promotion_5]]/WWWW[[#This Row],[Total PoP ]]</f>
        <v>0</v>
      </c>
      <c r="CC174" s="211">
        <f>IF(WWWW[[#This Row],['# HH received soaps]]/WWWW[[#This Row],[Total HH]]&gt;1,1,WWWW[[#This Row],['# HH received soaps]]/WWWW[[#This Row],[Total HH]])</f>
        <v>0</v>
      </c>
      <c r="CD174" s="211">
        <f>IF(WWWW[[#This Row],['# HH received Sanitary Pads]]/WWWW[[#This Row],[Total HH]]&gt;1,1,WWWW[[#This Row],['# HH received Sanitary Pads]]/WWWW[[#This Row],[Total HH]])</f>
        <v>0</v>
      </c>
      <c r="CE174" s="210">
        <f>WWWW[[#This Row],['# HH received soaps]]*5</f>
        <v>0</v>
      </c>
      <c r="CF174" s="210">
        <f>WWWW[[#This Row],['# HH received Sanitary Pads]]*5</f>
        <v>0</v>
      </c>
      <c r="CG174" s="210">
        <f>IF(WWWW[[#This Row],['# People with access to soap]]&gt;WWWW[[#This Row],['# People with access to Sanity Pads]],WWWW[[#This Row],['# People with access to soap]],WWWW[[#This Row],['# People with access to Sanity Pads]])</f>
        <v>0</v>
      </c>
      <c r="CH174" s="209">
        <f>WWWW[[#This Row],[Total HH]]*WWWW[[#This Row],[%HHs with access to functional hand washing stations]]</f>
        <v>134</v>
      </c>
      <c r="CI174" s="699">
        <f>VLOOKUP(WWWW[[#This Row],[Site Name]],SiteDB6[[Site Name]:[CCCM Management]],6,FALSE)</f>
        <v>0</v>
      </c>
      <c r="CJ174" s="699">
        <f>VLOOKUP(WWWW[[#This Row],[Site Name]],SiteDB6[[Site Name]:[CCCM Focal Agency]],7,FALSE)</f>
        <v>0</v>
      </c>
      <c r="CK174" s="699" t="str">
        <f>VLOOKUP(WWWW[[#This Row],[Site Name]],SiteDB6[[Site Name]:[Location Type]],8,FALSE)</f>
        <v>Camp_not registered</v>
      </c>
      <c r="CL174" s="699" t="str">
        <f>VLOOKUP(WWWW[[#This Row],[Site Name]],SiteDB6[[Site Name]:[Location Type 1]],9,FALSE)</f>
        <v>Camp</v>
      </c>
      <c r="CM174" s="699" t="str">
        <f>VLOOKUP(WWWW[[#This Row],[Site Name]],SiteDB6[[Site Name]:[Type of Accommodation]],10,FALSE)</f>
        <v>CAMP</v>
      </c>
      <c r="CN174" s="699" t="str">
        <f>VLOOKUP(WWWW[[#This Row],[Site Name]],SiteDB6[[Site Name]:[Ethnic or GCA/NGCA]],11,FALSE)</f>
        <v>NGCA</v>
      </c>
      <c r="CO174" s="699">
        <f>VLOOKUP(WWWW[[#This Row],[Site Name]],SiteDB6[[Site Name]:[Lat]],12,FALSE)</f>
        <v>0</v>
      </c>
      <c r="CP174" s="699">
        <f>VLOOKUP(WWWW[[#This Row],[Site Name]],SiteDB6[[Site Name]:[Long]],13,FALSE)</f>
        <v>0</v>
      </c>
      <c r="CQ174" s="699">
        <f>VLOOKUP(WWWW[[#This Row],[Site Name]],SiteDB6[[Site Name]:[Pcode]],3,FALSE)</f>
        <v>0</v>
      </c>
      <c r="CR174" s="660" t="str">
        <f t="shared" si="2"/>
        <v>Covered</v>
      </c>
      <c r="CS174" s="699"/>
      <c r="CT174" s="24"/>
      <c r="CU174" s="24"/>
      <c r="CV174" s="24"/>
    </row>
    <row r="175" spans="1:100" ht="15.75" customHeight="1" x14ac:dyDescent="0.25">
      <c r="A175" s="833" t="s">
        <v>3206</v>
      </c>
      <c r="B175" s="206" t="s">
        <v>338</v>
      </c>
      <c r="C175" s="206" t="s">
        <v>44</v>
      </c>
      <c r="D175" s="206" t="s">
        <v>288</v>
      </c>
      <c r="E175" s="206" t="s">
        <v>368</v>
      </c>
      <c r="F175" s="206">
        <v>546</v>
      </c>
      <c r="G175" s="209">
        <v>2550</v>
      </c>
      <c r="H175" s="206"/>
      <c r="I175" s="206" t="s">
        <v>364</v>
      </c>
      <c r="J175" s="207">
        <v>43281</v>
      </c>
      <c r="K175" s="206">
        <v>0</v>
      </c>
      <c r="L175" s="206" t="s">
        <v>282</v>
      </c>
      <c r="M175" s="208">
        <v>0</v>
      </c>
      <c r="N175" s="208">
        <v>0</v>
      </c>
      <c r="O175" s="316">
        <v>3</v>
      </c>
      <c r="P175" s="317">
        <v>0</v>
      </c>
      <c r="Q175" s="317">
        <v>0</v>
      </c>
      <c r="R175" s="318">
        <v>0</v>
      </c>
      <c r="S175" s="318">
        <v>0</v>
      </c>
      <c r="T175" s="318"/>
      <c r="U175" s="318"/>
      <c r="V175" s="318"/>
      <c r="W175" s="318"/>
      <c r="X175" s="318"/>
      <c r="Y175" s="318"/>
      <c r="Z175" s="318">
        <v>0</v>
      </c>
      <c r="AA175" s="310">
        <v>357</v>
      </c>
      <c r="AB175" s="311">
        <v>0</v>
      </c>
      <c r="AC175" s="66"/>
      <c r="AD175" s="66"/>
      <c r="AE175" s="310">
        <v>0</v>
      </c>
      <c r="AF175" s="310" t="s">
        <v>332</v>
      </c>
      <c r="AG175" s="311" t="s">
        <v>332</v>
      </c>
      <c r="AH175" s="66"/>
      <c r="AI175" s="66"/>
      <c r="AJ175" s="311">
        <v>0</v>
      </c>
      <c r="AK175" s="841">
        <v>1</v>
      </c>
      <c r="AL175" s="846" t="s">
        <v>284</v>
      </c>
      <c r="AM175" s="844">
        <v>0</v>
      </c>
      <c r="AN175" s="863">
        <v>0</v>
      </c>
      <c r="AO175" s="863">
        <v>0</v>
      </c>
      <c r="AP175" s="838"/>
      <c r="AQ175" s="843"/>
      <c r="AR175" s="843"/>
      <c r="AS175" s="843"/>
      <c r="AT175" s="843"/>
      <c r="AU175" s="843"/>
      <c r="AV175" s="844">
        <v>0</v>
      </c>
      <c r="AW175" s="208" t="str">
        <f>IFERROR(WWWW[[#This Row],['# of Water passed at source]]/WWWW[[#This Row],['# of Water tested at source]],"no test")</f>
        <v>no test</v>
      </c>
      <c r="AX175" s="211" t="str">
        <f>IFERROR(WWWW[[#This Row],['# of Water passed at HH]]/WWWW[[#This Row],['# of Water tested at HH]],"no test")</f>
        <v>no test</v>
      </c>
      <c r="AY175" s="210" t="str">
        <f>IF(AND(WWWW[[#This Row],[%of Water samples which passed at water source]]="no test",WWWW[[#This Row],[%Water samples which passed at HH]]="no test"),"No Test","Tested")</f>
        <v>No Test</v>
      </c>
      <c r="AZ17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17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0.29411764705882354</v>
      </c>
      <c r="BB175" s="211">
        <f>IF(WWWW[[#This Row],[Location Type 1]]="Village",WWWW[[#This Row],[Access to safe drinking water for Village]],WWWW[[#This Row],[Access to safe drinking water for Camp]])</f>
        <v>1</v>
      </c>
      <c r="BC175" s="209">
        <f>WWWW[[#This Row],[%Equitable and continuous access to sufficient quantity of safe drinking water]]*WWWW[[#This Row],[Total PoP ]]</f>
        <v>2550</v>
      </c>
      <c r="BD175" s="211">
        <f>IF((WWWW[[#This Row],['# Existing protected/fenced ponds ]]*250)/WWWW[[#This Row],[Total PoP ]]&gt;1,1,WWWW[[#This Row],['# Existing protected/fenced ponds ]]*250/WWWW[[#This Row],[Total PoP ]])</f>
        <v>0</v>
      </c>
      <c r="BE175" s="209">
        <f>WWWW[[#This Row],[Access to unimproved water points]]*WWWW[[#This Row],[Total PoP ]]</f>
        <v>0</v>
      </c>
      <c r="BF17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17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2550</v>
      </c>
      <c r="BH175" s="209">
        <f>WWWW[[#This Row],['#people Equitable and continuous access to sufficient quantity of domestic water borehole n ponds_2]]/500</f>
        <v>5.0999999999999996</v>
      </c>
      <c r="BI175" s="208">
        <f>1-WWWW[[#This Row],[%Equitable and continuous access to sufficient quantity of domestic water borehole n ponds]]</f>
        <v>0</v>
      </c>
      <c r="BJ175" s="209">
        <f>WWWW[[#This Row],[%equitable and continuous access to sufficient quantity of safe drinking and domestic water''s GAP]]*WWWW[[#This Row],[Total PoP ]]</f>
        <v>0</v>
      </c>
      <c r="BK175" s="210">
        <f>IF(WWWW[[#This Row],[Total required water points]]-WWWW[[#This Row],['#Water points coverage]]&lt;0,0,WWWW[[#This Row],[Total required water points]]-WWWW[[#This Row],['#Water points coverage]])</f>
        <v>0</v>
      </c>
      <c r="BL175" s="210">
        <f>ROUND(IF(WWWW[[#This Row],[Total PoP ]]&lt;500,1,WWWW[[#This Row],[Total PoP ]]/500),0)</f>
        <v>5</v>
      </c>
      <c r="BM175" s="210">
        <f>WWWW[[#This Row],['# Existing functional latrines]]+WWWW[[#This Row],['# Existing latrines dysfunctional]]</f>
        <v>357</v>
      </c>
      <c r="BN17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175" s="352">
        <f>WWWW[[#This Row],[% people access to functioning Latrine]]*WWWW[[#This Row],[Total PoP ]]</f>
        <v>2550</v>
      </c>
      <c r="BP17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175" s="209">
        <f>IF(WWWW[[#This Row],[Total required Latrines]]-WWWW[[#This Row],[Total '# of latrine]]&lt;0,0,WWWW[[#This Row],[Total required Latrines]]-WWWW[[#This Row],[Total '# of latrine]])</f>
        <v>0</v>
      </c>
      <c r="BR175" s="210">
        <f>ROUND(IF(WWWW[[#This Row],[Location Type 1]]="camp",WWWW[[#This Row],[Total PoP ]]/20,WWWW[[#This Row],[Total PoP ]]/6),0)</f>
        <v>128</v>
      </c>
      <c r="BS175" s="212">
        <f>IF(OR(WWWW[[#This Row],['# Existing latrines dysfunctional]]="",WWWW[[#This Row],['# Existing latrines dysfunctional]]=0),0,WWWW[[#This Row],['# Existing latrines dysfunctional]]/WWWW[[#This Row],[Total '# of latrine]])</f>
        <v>0</v>
      </c>
      <c r="BT17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175" s="209">
        <f>IF(500*WWWW[[#This Row],['# Hygiene Promoters ]]&gt;WWWW[[#This Row],[Total PoP ]],WWWW[[#This Row],[Total PoP ]],500*WWWW[[#This Row],['# Hygiene Promoters ]])</f>
        <v>0</v>
      </c>
      <c r="BV175" s="209">
        <f>IF(WWWW[[#This Row],[% of HH with access to Sanitary Pad]]&gt;=100%,1,0)</f>
        <v>0</v>
      </c>
      <c r="BW175" s="209">
        <f>IF(WWWW[[#This Row],[Total PoP ]]=0,0,IF(WWWW[[#This Row],['# Hygiene Promoters ]]=0,0,IF(WWWW[[#This Row],[Location Type 1]]="Village",IF(WWWW[[#This Row],[Total PoP ]]/WWWW[[#This Row],['# Hygiene Promoters ]]&lt;1000,1,0),IF(WWWW[[#This Row],[Total PoP ]]/WWWW[[#This Row],['# Hygiene Promoters ]]&lt;600,1,0))))</f>
        <v>0</v>
      </c>
      <c r="BX175" s="209">
        <f>IF(WWWW[[#This Row],[%HH with access to soap]]&gt;=100%,1,0)</f>
        <v>0</v>
      </c>
      <c r="BY175" s="209">
        <f>IF(WWWW[[#This Row],[% of HHs with access to Sanitary pad more than '#%]]+WWWW[[#This Row],[Ratio of Hyiene promoters to people less than '#]]+WWWW[[#This Row],[% of HHs with access to soap more than '#%]]&gt;=2,WWWW[[#This Row],[Total PoP ]],0)</f>
        <v>0</v>
      </c>
      <c r="BZ175" s="208">
        <f>WWWW[[#This Row],[People adopt basic personal and community hygiene practices]]/WWWW[[#This Row],[Total PoP ]]</f>
        <v>0</v>
      </c>
      <c r="CA175" s="212">
        <f>1-WWWW[[#This Row],[Hygiene Coverage%]]</f>
        <v>1</v>
      </c>
      <c r="CB175" s="211">
        <f>WWWW[[#This Row],['# people reached by regular dedicated hygiene promotion_5]]/WWWW[[#This Row],[Total PoP ]]</f>
        <v>0</v>
      </c>
      <c r="CC175" s="211">
        <f>IF(WWWW[[#This Row],['# HH received soaps]]/WWWW[[#This Row],[Total HH]]&gt;1,1,WWWW[[#This Row],['# HH received soaps]]/WWWW[[#This Row],[Total HH]])</f>
        <v>0</v>
      </c>
      <c r="CD175" s="211">
        <f>IF(WWWW[[#This Row],['# HH received Sanitary Pads]]/WWWW[[#This Row],[Total HH]]&gt;1,1,WWWW[[#This Row],['# HH received Sanitary Pads]]/WWWW[[#This Row],[Total HH]])</f>
        <v>0</v>
      </c>
      <c r="CE175" s="210">
        <f>WWWW[[#This Row],['# HH received soaps]]*5</f>
        <v>0</v>
      </c>
      <c r="CF175" s="210">
        <f>WWWW[[#This Row],['# HH received Sanitary Pads]]*5</f>
        <v>0</v>
      </c>
      <c r="CG175" s="210">
        <f>IF(WWWW[[#This Row],['# People with access to soap]]&gt;WWWW[[#This Row],['# People with access to Sanity Pads]],WWWW[[#This Row],['# People with access to soap]],WWWW[[#This Row],['# People with access to Sanity Pads]])</f>
        <v>0</v>
      </c>
      <c r="CH175" s="209">
        <f>WWWW[[#This Row],[Total HH]]*WWWW[[#This Row],[%HHs with access to functional hand washing stations]]</f>
        <v>546</v>
      </c>
      <c r="CI175" s="699">
        <f>VLOOKUP(WWWW[[#This Row],[Site Name]],SiteDB6[[Site Name]:[CCCM Management]],6,FALSE)</f>
        <v>0</v>
      </c>
      <c r="CJ175" s="699">
        <f>VLOOKUP(WWWW[[#This Row],[Site Name]],SiteDB6[[Site Name]:[CCCM Focal Agency]],7,FALSE)</f>
        <v>0</v>
      </c>
      <c r="CK175" s="699" t="str">
        <f>VLOOKUP(WWWW[[#This Row],[Site Name]],SiteDB6[[Site Name]:[Location Type]],8,FALSE)</f>
        <v>Camp_not registered</v>
      </c>
      <c r="CL175" s="699" t="str">
        <f>VLOOKUP(WWWW[[#This Row],[Site Name]],SiteDB6[[Site Name]:[Location Type 1]],9,FALSE)</f>
        <v>Camp</v>
      </c>
      <c r="CM175" s="699" t="str">
        <f>VLOOKUP(WWWW[[#This Row],[Site Name]],SiteDB6[[Site Name]:[Type of Accommodation]],10,FALSE)</f>
        <v>Host Families</v>
      </c>
      <c r="CN175" s="699" t="str">
        <f>VLOOKUP(WWWW[[#This Row],[Site Name]],SiteDB6[[Site Name]:[Ethnic or GCA/NGCA]],11,FALSE)</f>
        <v>NGCA</v>
      </c>
      <c r="CO175" s="699">
        <f>VLOOKUP(WWWW[[#This Row],[Site Name]],SiteDB6[[Site Name]:[Lat]],12,FALSE)</f>
        <v>0</v>
      </c>
      <c r="CP175" s="699">
        <f>VLOOKUP(WWWW[[#This Row],[Site Name]],SiteDB6[[Site Name]:[Long]],13,FALSE)</f>
        <v>0</v>
      </c>
      <c r="CQ175" s="699">
        <f>VLOOKUP(WWWW[[#This Row],[Site Name]],SiteDB6[[Site Name]:[Pcode]],3,FALSE)</f>
        <v>0</v>
      </c>
      <c r="CR175" s="660" t="str">
        <f t="shared" si="2"/>
        <v>Covered</v>
      </c>
      <c r="CS175" s="699"/>
      <c r="CT175" s="24"/>
      <c r="CU175" s="24"/>
      <c r="CV175" s="24"/>
    </row>
    <row r="176" spans="1:100" ht="15.75" customHeight="1" x14ac:dyDescent="0.25">
      <c r="A176" s="833" t="s">
        <v>3206</v>
      </c>
      <c r="B176" s="206" t="s">
        <v>2444</v>
      </c>
      <c r="C176" s="206" t="s">
        <v>454</v>
      </c>
      <c r="D176" s="206" t="s">
        <v>486</v>
      </c>
      <c r="E176" s="206" t="s">
        <v>545</v>
      </c>
      <c r="F176" s="206">
        <f>ROUND(WWWW[[#This Row],[Total PoP ]]/5,0)</f>
        <v>68</v>
      </c>
      <c r="G176" s="209">
        <v>342</v>
      </c>
      <c r="H176" s="206"/>
      <c r="I176" s="206" t="s">
        <v>488</v>
      </c>
      <c r="J176" s="207">
        <v>43586</v>
      </c>
      <c r="K176" s="206"/>
      <c r="L176" s="206" t="s">
        <v>48</v>
      </c>
      <c r="M176" s="208">
        <v>0</v>
      </c>
      <c r="N176" s="208">
        <v>0</v>
      </c>
      <c r="O176" s="323">
        <v>0</v>
      </c>
      <c r="P176" s="317">
        <v>0</v>
      </c>
      <c r="Q176" s="317"/>
      <c r="R176" s="318"/>
      <c r="S176" s="318">
        <v>0</v>
      </c>
      <c r="T176" s="318"/>
      <c r="U176" s="318"/>
      <c r="V176" s="318"/>
      <c r="W176" s="318"/>
      <c r="X176" s="318"/>
      <c r="Y176" s="318"/>
      <c r="Z176" s="318"/>
      <c r="AA176" s="310">
        <v>0</v>
      </c>
      <c r="AB176" s="310"/>
      <c r="AC176" s="310"/>
      <c r="AD176" s="66"/>
      <c r="AE176" s="310">
        <v>0</v>
      </c>
      <c r="AF176" s="310" t="s">
        <v>286</v>
      </c>
      <c r="AG176" s="311" t="s">
        <v>286</v>
      </c>
      <c r="AH176" s="66"/>
      <c r="AI176" s="66"/>
      <c r="AJ176" s="310"/>
      <c r="AK176" s="841">
        <v>0</v>
      </c>
      <c r="AL176" s="842"/>
      <c r="AM176" s="842">
        <v>0</v>
      </c>
      <c r="AN176" s="863"/>
      <c r="AO176" s="863">
        <v>0</v>
      </c>
      <c r="AP176" s="838"/>
      <c r="AQ176" s="843"/>
      <c r="AR176" s="843"/>
      <c r="AS176" s="843"/>
      <c r="AT176" s="843"/>
      <c r="AU176" s="843"/>
      <c r="AV176" s="844"/>
      <c r="AW176" s="208" t="str">
        <f>IFERROR(WWWW[[#This Row],['# of Water passed at source]]/WWWW[[#This Row],['# of Water tested at source]],"no test")</f>
        <v>no test</v>
      </c>
      <c r="AX176" s="211" t="str">
        <f>IFERROR(WWWW[[#This Row],['# of Water passed at HH]]/WWWW[[#This Row],['# of Water tested at HH]],"no test")</f>
        <v>no test</v>
      </c>
      <c r="AY176" s="210" t="str">
        <f>IF(AND(WWWW[[#This Row],[%of Water samples which passed at water source]]="no test",WWWW[[#This Row],[%Water samples which passed at HH]]="no test"),"No Test","Tested")</f>
        <v>No Test</v>
      </c>
      <c r="AZ17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7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76" s="211">
        <f>IF(WWWW[[#This Row],[Location Type 1]]="Village",WWWW[[#This Row],[Access to safe drinking water for Village]],WWWW[[#This Row],[Access to safe drinking water for Camp]])</f>
        <v>0</v>
      </c>
      <c r="BC176" s="209">
        <f>WWWW[[#This Row],[%Equitable and continuous access to sufficient quantity of safe drinking water]]*WWWW[[#This Row],[Total PoP ]]</f>
        <v>0</v>
      </c>
      <c r="BD176" s="211">
        <f>IF((WWWW[[#This Row],['# Existing protected/fenced ponds ]]*250)/WWWW[[#This Row],[Total PoP ]]&gt;1,1,WWWW[[#This Row],['# Existing protected/fenced ponds ]]*250/WWWW[[#This Row],[Total PoP ]])</f>
        <v>0</v>
      </c>
      <c r="BE176" s="209">
        <f>WWWW[[#This Row],[Access to unimproved water points]]*WWWW[[#This Row],[Total PoP ]]</f>
        <v>0</v>
      </c>
      <c r="BF17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7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76" s="209">
        <f>ROUND(WWWW[[#This Row],['#people Equitable and continuous access to sufficient quantity of domestic water borehole n ponds_2]]/500,0)</f>
        <v>0</v>
      </c>
      <c r="BI176" s="208">
        <f>1-WWWW[[#This Row],[%Equitable and continuous access to sufficient quantity of domestic water borehole n ponds]]</f>
        <v>1</v>
      </c>
      <c r="BJ176" s="209">
        <f>WWWW[[#This Row],[%equitable and continuous access to sufficient quantity of safe drinking and domestic water''s GAP]]*WWWW[[#This Row],[Total PoP ]]</f>
        <v>342</v>
      </c>
      <c r="BK176" s="210">
        <f>IF(WWWW[[#This Row],[Total required water points]]-WWWW[[#This Row],['#Water points coverage]]&lt;0,0,WWWW[[#This Row],[Total required water points]]-WWWW[[#This Row],['#Water points coverage]])</f>
        <v>1</v>
      </c>
      <c r="BL176" s="210">
        <f>ROUND(IF(WWWW[[#This Row],[Total PoP ]]&lt;500,1,WWWW[[#This Row],[Total PoP ]]/500),0)</f>
        <v>1</v>
      </c>
      <c r="BM176" s="210">
        <f>WWWW[[#This Row],['# Existing functional latrines]]+WWWW[[#This Row],['# Existing latrines dysfunctional]]</f>
        <v>0</v>
      </c>
      <c r="BN17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76" s="352">
        <f>WWWW[[#This Row],[% people access to functioning Latrine]]*WWWW[[#This Row],[Total PoP ]]</f>
        <v>0</v>
      </c>
      <c r="BP17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76" s="209">
        <f>IF(WWWW[[#This Row],[Total required Latrines]]-WWWW[[#This Row],[Total '# of latrine]]&lt;0,0,WWWW[[#This Row],[Total required Latrines]]-WWWW[[#This Row],[Total '# of latrine]])</f>
        <v>57</v>
      </c>
      <c r="BR176" s="210">
        <f>ROUND(IF(WWWW[[#This Row],[Location Type 1]]="camp",WWWW[[#This Row],[Total PoP ]]/20,WWWW[[#This Row],[Total PoP ]]/6),0)</f>
        <v>57</v>
      </c>
      <c r="BS176" s="212">
        <f>IF(OR(WWWW[[#This Row],['# Existing latrines dysfunctional]]="",WWWW[[#This Row],['# Existing latrines dysfunctional]]=0),0,WWWW[[#This Row],['# Existing latrines dysfunctional]]/WWWW[[#This Row],[Total '# of latrine]])</f>
        <v>0</v>
      </c>
      <c r="BT17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76" s="209">
        <f>IF(500*WWWW[[#This Row],['# Hygiene Promoters ]]&gt;WWWW[[#This Row],[Total PoP ]],WWWW[[#This Row],[Total PoP ]],500*WWWW[[#This Row],['# Hygiene Promoters ]])</f>
        <v>0</v>
      </c>
      <c r="BV176" s="209">
        <f>IF(WWWW[[#This Row],[% of HH with access to Sanitary Pad]]&gt;=100%,1,0)</f>
        <v>0</v>
      </c>
      <c r="BW176" s="209">
        <f>IF(WWWW[[#This Row],[Total PoP ]]=0,0,IF(WWWW[[#This Row],['# Hygiene Promoters ]]=0,0,IF(WWWW[[#This Row],[Location Type 1]]="Village",IF(WWWW[[#This Row],[Total PoP ]]/WWWW[[#This Row],['# Hygiene Promoters ]]&lt;1000,1,0),IF(WWWW[[#This Row],[Total PoP ]]/WWWW[[#This Row],['# Hygiene Promoters ]]&lt;600,1,0))))</f>
        <v>0</v>
      </c>
      <c r="BX176" s="209">
        <f>IF(WWWW[[#This Row],[%HH with access to soap]]&gt;=100%,1,0)</f>
        <v>0</v>
      </c>
      <c r="BY176" s="209">
        <f>IF(WWWW[[#This Row],[% of HHs with access to Sanitary pad more than '#%]]+WWWW[[#This Row],[Ratio of Hyiene promoters to people less than '#]]+WWWW[[#This Row],[% of HHs with access to soap more than '#%]]&gt;=2,WWWW[[#This Row],[Total PoP ]],0)</f>
        <v>0</v>
      </c>
      <c r="BZ176" s="208">
        <f>WWWW[[#This Row],[People adopt basic personal and community hygiene practices]]/WWWW[[#This Row],[Total PoP ]]</f>
        <v>0</v>
      </c>
      <c r="CA176" s="212">
        <f>1-WWWW[[#This Row],[Hygiene Coverage%]]</f>
        <v>1</v>
      </c>
      <c r="CB176" s="211">
        <f>WWWW[[#This Row],['# people reached by regular dedicated hygiene promotion_5]]/WWWW[[#This Row],[Total PoP ]]</f>
        <v>0</v>
      </c>
      <c r="CC176" s="211">
        <f>IF(WWWW[[#This Row],['# HH received soaps]]/WWWW[[#This Row],[Total HH]]&gt;1,1,WWWW[[#This Row],['# HH received soaps]]/WWWW[[#This Row],[Total HH]])</f>
        <v>0</v>
      </c>
      <c r="CD176" s="211">
        <f>IF(WWWW[[#This Row],['# HH received Sanitary Pads]]/WWWW[[#This Row],[Total HH]]&gt;1,1,WWWW[[#This Row],['# HH received Sanitary Pads]]/WWWW[[#This Row],[Total HH]])</f>
        <v>0</v>
      </c>
      <c r="CE176" s="210">
        <f>WWWW[[#This Row],['# HH received soaps]]*5</f>
        <v>0</v>
      </c>
      <c r="CF176" s="210">
        <f>WWWW[[#This Row],['# HH received Sanitary Pads]]*5</f>
        <v>0</v>
      </c>
      <c r="CG176" s="210">
        <f>IF(WWWW[[#This Row],['# People with access to soap]]&gt;WWWW[[#This Row],['# People with access to Sanity Pads]],WWWW[[#This Row],['# People with access to soap]],WWWW[[#This Row],['# People with access to Sanity Pads]])</f>
        <v>0</v>
      </c>
      <c r="CH176" s="209">
        <f>WWWW[[#This Row],[Total HH]]*WWWW[[#This Row],[%HHs with access to functional hand washing stations]]</f>
        <v>0</v>
      </c>
      <c r="CI176" s="699">
        <f>VLOOKUP(WWWW[[#This Row],[Site Name]],SiteDB6[[Site Name]:[CCCM Management]],6,FALSE)</f>
        <v>0</v>
      </c>
      <c r="CJ176" s="699">
        <f>VLOOKUP(WWWW[[#This Row],[Site Name]],SiteDB6[[Site Name]:[CCCM Focal Agency]],7,FALSE)</f>
        <v>0</v>
      </c>
      <c r="CK176" s="699" t="str">
        <f>VLOOKUP(WWWW[[#This Row],[Site Name]],SiteDB6[[Site Name]:[Location Type]],8,FALSE)</f>
        <v>Village_Not HRP</v>
      </c>
      <c r="CL176" s="699" t="str">
        <f>VLOOKUP(WWWW[[#This Row],[Site Name]],SiteDB6[[Site Name]:[Location Type 1]],9,FALSE)</f>
        <v>Village</v>
      </c>
      <c r="CM176" s="699" t="str">
        <f>VLOOKUP(WWWW[[#This Row],[Site Name]],SiteDB6[[Site Name]:[Type of Accommodation]],10,FALSE)</f>
        <v>Village_Not HRP</v>
      </c>
      <c r="CN176" s="699" t="str">
        <f>VLOOKUP(WWWW[[#This Row],[Site Name]],SiteDB6[[Site Name]:[Ethnic or GCA/NGCA]],11,FALSE)</f>
        <v>Chin+Rakhine</v>
      </c>
      <c r="CO176" s="699">
        <f>VLOOKUP(WWWW[[#This Row],[Site Name]],SiteDB6[[Site Name]:[Lat]],12,FALSE)</f>
        <v>19.726810455322301</v>
      </c>
      <c r="CP176" s="699">
        <f>VLOOKUP(WWWW[[#This Row],[Site Name]],SiteDB6[[Site Name]:[Long]],13,FALSE)</f>
        <v>94.0286865234375</v>
      </c>
      <c r="CQ176" s="699" t="str">
        <f>VLOOKUP(WWWW[[#This Row],[Site Name]],SiteDB6[[Site Name]:[Pcode]],3,FALSE)</f>
        <v>199157</v>
      </c>
      <c r="CR176" s="660" t="str">
        <f t="shared" si="2"/>
        <v>Covered</v>
      </c>
      <c r="CS176" s="699"/>
      <c r="CT176" s="24"/>
      <c r="CU176" s="24"/>
      <c r="CV176" s="24"/>
    </row>
    <row r="177" spans="1:100" ht="15.75" customHeight="1" x14ac:dyDescent="0.25">
      <c r="A177" s="833" t="s">
        <v>3206</v>
      </c>
      <c r="B177" s="206" t="s">
        <v>2444</v>
      </c>
      <c r="C177" s="206" t="s">
        <v>454</v>
      </c>
      <c r="D177" s="206" t="s">
        <v>486</v>
      </c>
      <c r="E177" s="206" t="s">
        <v>557</v>
      </c>
      <c r="F177" s="206">
        <f>ROUND(WWWW[[#This Row],[Total PoP ]]/5,0)</f>
        <v>80</v>
      </c>
      <c r="G177" s="209">
        <v>398</v>
      </c>
      <c r="H177" s="206"/>
      <c r="I177" s="206" t="s">
        <v>488</v>
      </c>
      <c r="J177" s="207">
        <v>43586</v>
      </c>
      <c r="K177" s="206"/>
      <c r="L177" s="206" t="s">
        <v>48</v>
      </c>
      <c r="M177" s="208">
        <v>0</v>
      </c>
      <c r="N177" s="208">
        <v>0</v>
      </c>
      <c r="O177" s="316">
        <v>0</v>
      </c>
      <c r="P177" s="317">
        <v>0</v>
      </c>
      <c r="Q177" s="317"/>
      <c r="R177" s="318"/>
      <c r="S177" s="318">
        <v>0</v>
      </c>
      <c r="T177" s="318"/>
      <c r="U177" s="318"/>
      <c r="V177" s="318"/>
      <c r="W177" s="318"/>
      <c r="X177" s="318"/>
      <c r="Y177" s="318"/>
      <c r="Z177" s="318"/>
      <c r="AA177" s="310">
        <v>0</v>
      </c>
      <c r="AB177" s="310"/>
      <c r="AC177" s="66"/>
      <c r="AD177" s="66"/>
      <c r="AE177" s="310">
        <v>0</v>
      </c>
      <c r="AF177" s="310" t="s">
        <v>286</v>
      </c>
      <c r="AG177" s="311" t="s">
        <v>286</v>
      </c>
      <c r="AH177" s="311"/>
      <c r="AI177" s="310"/>
      <c r="AJ177" s="310"/>
      <c r="AK177" s="841">
        <v>0</v>
      </c>
      <c r="AL177" s="842"/>
      <c r="AM177" s="842">
        <v>0</v>
      </c>
      <c r="AN177" s="863"/>
      <c r="AO177" s="863">
        <v>0</v>
      </c>
      <c r="AP177" s="838"/>
      <c r="AQ177" s="843"/>
      <c r="AR177" s="843"/>
      <c r="AS177" s="843"/>
      <c r="AT177" s="843"/>
      <c r="AU177" s="843"/>
      <c r="AV177" s="844"/>
      <c r="AW177" s="208" t="str">
        <f>IFERROR(WWWW[[#This Row],['# of Water passed at source]]/WWWW[[#This Row],['# of Water tested at source]],"no test")</f>
        <v>no test</v>
      </c>
      <c r="AX177" s="211" t="str">
        <f>IFERROR(WWWW[[#This Row],['# of Water passed at HH]]/WWWW[[#This Row],['# of Water tested at HH]],"no test")</f>
        <v>no test</v>
      </c>
      <c r="AY177" s="210" t="str">
        <f>IF(AND(WWWW[[#This Row],[%of Water samples which passed at water source]]="no test",WWWW[[#This Row],[%Water samples which passed at HH]]="no test"),"No Test","Tested")</f>
        <v>No Test</v>
      </c>
      <c r="AZ17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7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77" s="211">
        <f>IF(WWWW[[#This Row],[Location Type 1]]="Village",WWWW[[#This Row],[Access to safe drinking water for Village]],WWWW[[#This Row],[Access to safe drinking water for Camp]])</f>
        <v>0</v>
      </c>
      <c r="BC177" s="209">
        <f>WWWW[[#This Row],[%Equitable and continuous access to sufficient quantity of safe drinking water]]*WWWW[[#This Row],[Total PoP ]]</f>
        <v>0</v>
      </c>
      <c r="BD177" s="211">
        <f>IF((WWWW[[#This Row],['# Existing protected/fenced ponds ]]*250)/WWWW[[#This Row],[Total PoP ]]&gt;1,1,WWWW[[#This Row],['# Existing protected/fenced ponds ]]*250/WWWW[[#This Row],[Total PoP ]])</f>
        <v>0</v>
      </c>
      <c r="BE177" s="209">
        <f>WWWW[[#This Row],[Access to unimproved water points]]*WWWW[[#This Row],[Total PoP ]]</f>
        <v>0</v>
      </c>
      <c r="BF17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7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77" s="209">
        <f>ROUND(WWWW[[#This Row],['#people Equitable and continuous access to sufficient quantity of domestic water borehole n ponds_2]]/500,0)</f>
        <v>0</v>
      </c>
      <c r="BI177" s="208">
        <f>1-WWWW[[#This Row],[%Equitable and continuous access to sufficient quantity of domestic water borehole n ponds]]</f>
        <v>1</v>
      </c>
      <c r="BJ177" s="209">
        <f>WWWW[[#This Row],[%equitable and continuous access to sufficient quantity of safe drinking and domestic water''s GAP]]*WWWW[[#This Row],[Total PoP ]]</f>
        <v>398</v>
      </c>
      <c r="BK177" s="210">
        <f>IF(WWWW[[#This Row],[Total required water points]]-WWWW[[#This Row],['#Water points coverage]]&lt;0,0,WWWW[[#This Row],[Total required water points]]-WWWW[[#This Row],['#Water points coverage]])</f>
        <v>1</v>
      </c>
      <c r="BL177" s="210">
        <f>ROUND(IF(WWWW[[#This Row],[Total PoP ]]&lt;500,1,WWWW[[#This Row],[Total PoP ]]/500),0)</f>
        <v>1</v>
      </c>
      <c r="BM177" s="210">
        <f>WWWW[[#This Row],['# Existing functional latrines]]+WWWW[[#This Row],['# Existing latrines dysfunctional]]</f>
        <v>0</v>
      </c>
      <c r="BN17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77" s="352">
        <f>WWWW[[#This Row],[% people access to functioning Latrine]]*WWWW[[#This Row],[Total PoP ]]</f>
        <v>0</v>
      </c>
      <c r="BP17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0.99497487437185939</v>
      </c>
      <c r="BQ177" s="209">
        <f>IF(WWWW[[#This Row],[Total required Latrines]]-WWWW[[#This Row],[Total '# of latrine]]&lt;0,0,WWWW[[#This Row],[Total required Latrines]]-WWWW[[#This Row],[Total '# of latrine]])</f>
        <v>66</v>
      </c>
      <c r="BR177" s="210">
        <f>ROUND(IF(WWWW[[#This Row],[Location Type 1]]="camp",WWWW[[#This Row],[Total PoP ]]/20,WWWW[[#This Row],[Total PoP ]]/6),0)</f>
        <v>66</v>
      </c>
      <c r="BS177" s="212">
        <f>IF(OR(WWWW[[#This Row],['# Existing latrines dysfunctional]]="",WWWW[[#This Row],['# Existing latrines dysfunctional]]=0),0,WWWW[[#This Row],['# Existing latrines dysfunctional]]/WWWW[[#This Row],[Total '# of latrine]])</f>
        <v>0</v>
      </c>
      <c r="BT17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77" s="209">
        <f>IF(500*WWWW[[#This Row],['# Hygiene Promoters ]]&gt;WWWW[[#This Row],[Total PoP ]],WWWW[[#This Row],[Total PoP ]],500*WWWW[[#This Row],['# Hygiene Promoters ]])</f>
        <v>0</v>
      </c>
      <c r="BV177" s="209">
        <f>IF(WWWW[[#This Row],[% of HH with access to Sanitary Pad]]&gt;=100%,1,0)</f>
        <v>0</v>
      </c>
      <c r="BW177" s="209">
        <f>IF(WWWW[[#This Row],[Total PoP ]]=0,0,IF(WWWW[[#This Row],['# Hygiene Promoters ]]=0,0,IF(WWWW[[#This Row],[Location Type 1]]="Village",IF(WWWW[[#This Row],[Total PoP ]]/WWWW[[#This Row],['# Hygiene Promoters ]]&lt;1000,1,0),IF(WWWW[[#This Row],[Total PoP ]]/WWWW[[#This Row],['# Hygiene Promoters ]]&lt;600,1,0))))</f>
        <v>0</v>
      </c>
      <c r="BX177" s="209">
        <f>IF(WWWW[[#This Row],[%HH with access to soap]]&gt;=100%,1,0)</f>
        <v>0</v>
      </c>
      <c r="BY177" s="209">
        <f>IF(WWWW[[#This Row],[% of HHs with access to Sanitary pad more than '#%]]+WWWW[[#This Row],[Ratio of Hyiene promoters to people less than '#]]+WWWW[[#This Row],[% of HHs with access to soap more than '#%]]&gt;=2,WWWW[[#This Row],[Total PoP ]],0)</f>
        <v>0</v>
      </c>
      <c r="BZ177" s="208">
        <f>WWWW[[#This Row],[People adopt basic personal and community hygiene practices]]/WWWW[[#This Row],[Total PoP ]]</f>
        <v>0</v>
      </c>
      <c r="CA177" s="212">
        <f>1-WWWW[[#This Row],[Hygiene Coverage%]]</f>
        <v>1</v>
      </c>
      <c r="CB177" s="211">
        <f>WWWW[[#This Row],['# people reached by regular dedicated hygiene promotion_5]]/WWWW[[#This Row],[Total PoP ]]</f>
        <v>0</v>
      </c>
      <c r="CC177" s="211">
        <f>IF(WWWW[[#This Row],['# HH received soaps]]/WWWW[[#This Row],[Total HH]]&gt;1,1,WWWW[[#This Row],['# HH received soaps]]/WWWW[[#This Row],[Total HH]])</f>
        <v>0</v>
      </c>
      <c r="CD177" s="211">
        <f>IF(WWWW[[#This Row],['# HH received Sanitary Pads]]/WWWW[[#This Row],[Total HH]]&gt;1,1,WWWW[[#This Row],['# HH received Sanitary Pads]]/WWWW[[#This Row],[Total HH]])</f>
        <v>0</v>
      </c>
      <c r="CE177" s="210">
        <f>WWWW[[#This Row],['# HH received soaps]]*5</f>
        <v>0</v>
      </c>
      <c r="CF177" s="210">
        <f>WWWW[[#This Row],['# HH received Sanitary Pads]]*5</f>
        <v>0</v>
      </c>
      <c r="CG177" s="210">
        <f>IF(WWWW[[#This Row],['# People with access to soap]]&gt;WWWW[[#This Row],['# People with access to Sanity Pads]],WWWW[[#This Row],['# People with access to soap]],WWWW[[#This Row],['# People with access to Sanity Pads]])</f>
        <v>0</v>
      </c>
      <c r="CH177" s="209">
        <f>WWWW[[#This Row],[Total HH]]*WWWW[[#This Row],[%HHs with access to functional hand washing stations]]</f>
        <v>0</v>
      </c>
      <c r="CI177" s="699">
        <f>VLOOKUP(WWWW[[#This Row],[Site Name]],SiteDB6[[Site Name]:[CCCM Management]],6,FALSE)</f>
        <v>0</v>
      </c>
      <c r="CJ177" s="699">
        <f>VLOOKUP(WWWW[[#This Row],[Site Name]],SiteDB6[[Site Name]:[CCCM Focal Agency]],7,FALSE)</f>
        <v>0</v>
      </c>
      <c r="CK177" s="699" t="str">
        <f>VLOOKUP(WWWW[[#This Row],[Site Name]],SiteDB6[[Site Name]:[Location Type]],8,FALSE)</f>
        <v>Village_Not HRP</v>
      </c>
      <c r="CL177" s="699" t="str">
        <f>VLOOKUP(WWWW[[#This Row],[Site Name]],SiteDB6[[Site Name]:[Location Type 1]],9,FALSE)</f>
        <v>Village</v>
      </c>
      <c r="CM177" s="699" t="str">
        <f>VLOOKUP(WWWW[[#This Row],[Site Name]],SiteDB6[[Site Name]:[Type of Accommodation]],10,FALSE)</f>
        <v>Village_Not HRP</v>
      </c>
      <c r="CN177" s="699" t="str">
        <f>VLOOKUP(WWWW[[#This Row],[Site Name]],SiteDB6[[Site Name]:[Ethnic or GCA/NGCA]],11,FALSE)</f>
        <v>Rakhine</v>
      </c>
      <c r="CO177" s="699">
        <f>VLOOKUP(WWWW[[#This Row],[Site Name]],SiteDB6[[Site Name]:[Lat]],12,FALSE)</f>
        <v>19.9947109222412</v>
      </c>
      <c r="CP177" s="699">
        <f>VLOOKUP(WWWW[[#This Row],[Site Name]],SiteDB6[[Site Name]:[Long]],13,FALSE)</f>
        <v>93.836921691894503</v>
      </c>
      <c r="CQ177" s="699" t="str">
        <f>VLOOKUP(WWWW[[#This Row],[Site Name]],SiteDB6[[Site Name]:[Pcode]],3,FALSE)</f>
        <v>199233</v>
      </c>
      <c r="CR177" s="660" t="str">
        <f t="shared" si="2"/>
        <v>Covered</v>
      </c>
      <c r="CS177" s="660"/>
      <c r="CT177" s="24"/>
      <c r="CU177" s="24"/>
      <c r="CV177" s="24"/>
    </row>
    <row r="178" spans="1:100" ht="15.75" customHeight="1" x14ac:dyDescent="0.25">
      <c r="A178" s="833" t="s">
        <v>3206</v>
      </c>
      <c r="B178" s="206" t="s">
        <v>2444</v>
      </c>
      <c r="C178" s="206" t="s">
        <v>454</v>
      </c>
      <c r="D178" s="206" t="s">
        <v>486</v>
      </c>
      <c r="E178" s="206" t="s">
        <v>552</v>
      </c>
      <c r="F178" s="206">
        <f>ROUND(WWWW[[#This Row],[Total PoP ]]/5,0)</f>
        <v>109</v>
      </c>
      <c r="G178" s="209">
        <v>546</v>
      </c>
      <c r="H178" s="206"/>
      <c r="I178" s="206" t="s">
        <v>488</v>
      </c>
      <c r="J178" s="207">
        <v>43586</v>
      </c>
      <c r="K178" s="206"/>
      <c r="L178" s="206" t="s">
        <v>48</v>
      </c>
      <c r="M178" s="208">
        <v>0</v>
      </c>
      <c r="N178" s="208">
        <v>0</v>
      </c>
      <c r="O178" s="316">
        <v>0</v>
      </c>
      <c r="P178" s="317">
        <v>0</v>
      </c>
      <c r="Q178" s="317"/>
      <c r="R178" s="318"/>
      <c r="S178" s="318">
        <v>0</v>
      </c>
      <c r="T178" s="318"/>
      <c r="U178" s="318"/>
      <c r="V178" s="318"/>
      <c r="W178" s="318"/>
      <c r="X178" s="318"/>
      <c r="Y178" s="318"/>
      <c r="Z178" s="318"/>
      <c r="AA178" s="310">
        <v>0</v>
      </c>
      <c r="AB178" s="310"/>
      <c r="AC178" s="66"/>
      <c r="AD178" s="66"/>
      <c r="AE178" s="310">
        <v>0</v>
      </c>
      <c r="AF178" s="310" t="s">
        <v>286</v>
      </c>
      <c r="AG178" s="311" t="s">
        <v>286</v>
      </c>
      <c r="AH178" s="311"/>
      <c r="AI178" s="310"/>
      <c r="AJ178" s="310"/>
      <c r="AK178" s="841">
        <v>0</v>
      </c>
      <c r="AL178" s="842"/>
      <c r="AM178" s="842">
        <v>0</v>
      </c>
      <c r="AN178" s="863"/>
      <c r="AO178" s="863">
        <v>0</v>
      </c>
      <c r="AP178" s="838"/>
      <c r="AQ178" s="843"/>
      <c r="AR178" s="843"/>
      <c r="AS178" s="843"/>
      <c r="AT178" s="843"/>
      <c r="AU178" s="843"/>
      <c r="AV178" s="844"/>
      <c r="AW178" s="208" t="str">
        <f>IFERROR(WWWW[[#This Row],['# of Water passed at source]]/WWWW[[#This Row],['# of Water tested at source]],"no test")</f>
        <v>no test</v>
      </c>
      <c r="AX178" s="211" t="str">
        <f>IFERROR(WWWW[[#This Row],['# of Water passed at HH]]/WWWW[[#This Row],['# of Water tested at HH]],"no test")</f>
        <v>no test</v>
      </c>
      <c r="AY178" s="210" t="str">
        <f>IF(AND(WWWW[[#This Row],[%of Water samples which passed at water source]]="no test",WWWW[[#This Row],[%Water samples which passed at HH]]="no test"),"No Test","Tested")</f>
        <v>No Test</v>
      </c>
      <c r="AZ17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7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78" s="211">
        <f>IF(WWWW[[#This Row],[Location Type 1]]="Village",WWWW[[#This Row],[Access to safe drinking water for Village]],WWWW[[#This Row],[Access to safe drinking water for Camp]])</f>
        <v>0</v>
      </c>
      <c r="BC178" s="209">
        <f>WWWW[[#This Row],[%Equitable and continuous access to sufficient quantity of safe drinking water]]*WWWW[[#This Row],[Total PoP ]]</f>
        <v>0</v>
      </c>
      <c r="BD178" s="211">
        <f>IF((WWWW[[#This Row],['# Existing protected/fenced ponds ]]*250)/WWWW[[#This Row],[Total PoP ]]&gt;1,1,WWWW[[#This Row],['# Existing protected/fenced ponds ]]*250/WWWW[[#This Row],[Total PoP ]])</f>
        <v>0</v>
      </c>
      <c r="BE178" s="209">
        <f>WWWW[[#This Row],[Access to unimproved water points]]*WWWW[[#This Row],[Total PoP ]]</f>
        <v>0</v>
      </c>
      <c r="BF17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7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78" s="209">
        <f>ROUND(WWWW[[#This Row],['#people Equitable and continuous access to sufficient quantity of domestic water borehole n ponds_2]]/500,0)</f>
        <v>0</v>
      </c>
      <c r="BI178" s="208">
        <f>1-WWWW[[#This Row],[%Equitable and continuous access to sufficient quantity of domestic water borehole n ponds]]</f>
        <v>1</v>
      </c>
      <c r="BJ178" s="209">
        <f>WWWW[[#This Row],[%equitable and continuous access to sufficient quantity of safe drinking and domestic water''s GAP]]*WWWW[[#This Row],[Total PoP ]]</f>
        <v>546</v>
      </c>
      <c r="BK178" s="210">
        <f>IF(WWWW[[#This Row],[Total required water points]]-WWWW[[#This Row],['#Water points coverage]]&lt;0,0,WWWW[[#This Row],[Total required water points]]-WWWW[[#This Row],['#Water points coverage]])</f>
        <v>1</v>
      </c>
      <c r="BL178" s="210">
        <f>ROUND(IF(WWWW[[#This Row],[Total PoP ]]&lt;500,1,WWWW[[#This Row],[Total PoP ]]/500),0)</f>
        <v>1</v>
      </c>
      <c r="BM178" s="210">
        <f>WWWW[[#This Row],['# Existing functional latrines]]+WWWW[[#This Row],['# Existing latrines dysfunctional]]</f>
        <v>0</v>
      </c>
      <c r="BN17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78" s="352">
        <f>WWWW[[#This Row],[% people access to functioning Latrine]]*WWWW[[#This Row],[Total PoP ]]</f>
        <v>0</v>
      </c>
      <c r="BP17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78" s="209">
        <f>IF(WWWW[[#This Row],[Total required Latrines]]-WWWW[[#This Row],[Total '# of latrine]]&lt;0,0,WWWW[[#This Row],[Total required Latrines]]-WWWW[[#This Row],[Total '# of latrine]])</f>
        <v>91</v>
      </c>
      <c r="BR178" s="210">
        <f>ROUND(IF(WWWW[[#This Row],[Location Type 1]]="camp",WWWW[[#This Row],[Total PoP ]]/20,WWWW[[#This Row],[Total PoP ]]/6),0)</f>
        <v>91</v>
      </c>
      <c r="BS178" s="212">
        <f>IF(OR(WWWW[[#This Row],['# Existing latrines dysfunctional]]="",WWWW[[#This Row],['# Existing latrines dysfunctional]]=0),0,WWWW[[#This Row],['# Existing latrines dysfunctional]]/WWWW[[#This Row],[Total '# of latrine]])</f>
        <v>0</v>
      </c>
      <c r="BT17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78" s="209">
        <f>IF(500*WWWW[[#This Row],['# Hygiene Promoters ]]&gt;WWWW[[#This Row],[Total PoP ]],WWWW[[#This Row],[Total PoP ]],500*WWWW[[#This Row],['# Hygiene Promoters ]])</f>
        <v>0</v>
      </c>
      <c r="BV178" s="209">
        <f>IF(WWWW[[#This Row],[% of HH with access to Sanitary Pad]]&gt;=100%,1,0)</f>
        <v>0</v>
      </c>
      <c r="BW178" s="209">
        <f>IF(WWWW[[#This Row],[Total PoP ]]=0,0,IF(WWWW[[#This Row],['# Hygiene Promoters ]]=0,0,IF(WWWW[[#This Row],[Location Type 1]]="Village",IF(WWWW[[#This Row],[Total PoP ]]/WWWW[[#This Row],['# Hygiene Promoters ]]&lt;1000,1,0),IF(WWWW[[#This Row],[Total PoP ]]/WWWW[[#This Row],['# Hygiene Promoters ]]&lt;600,1,0))))</f>
        <v>0</v>
      </c>
      <c r="BX178" s="209">
        <f>IF(WWWW[[#This Row],[%HH with access to soap]]&gt;=100%,1,0)</f>
        <v>0</v>
      </c>
      <c r="BY178" s="209">
        <f>IF(WWWW[[#This Row],[% of HHs with access to Sanitary pad more than '#%]]+WWWW[[#This Row],[Ratio of Hyiene promoters to people less than '#]]+WWWW[[#This Row],[% of HHs with access to soap more than '#%]]&gt;=2,WWWW[[#This Row],[Total PoP ]],0)</f>
        <v>0</v>
      </c>
      <c r="BZ178" s="208">
        <f>WWWW[[#This Row],[People adopt basic personal and community hygiene practices]]/WWWW[[#This Row],[Total PoP ]]</f>
        <v>0</v>
      </c>
      <c r="CA178" s="212">
        <f>1-WWWW[[#This Row],[Hygiene Coverage%]]</f>
        <v>1</v>
      </c>
      <c r="CB178" s="211">
        <f>WWWW[[#This Row],['# people reached by regular dedicated hygiene promotion_5]]/WWWW[[#This Row],[Total PoP ]]</f>
        <v>0</v>
      </c>
      <c r="CC178" s="211">
        <f>IF(WWWW[[#This Row],['# HH received soaps]]/WWWW[[#This Row],[Total HH]]&gt;1,1,WWWW[[#This Row],['# HH received soaps]]/WWWW[[#This Row],[Total HH]])</f>
        <v>0</v>
      </c>
      <c r="CD178" s="211">
        <f>IF(WWWW[[#This Row],['# HH received Sanitary Pads]]/WWWW[[#This Row],[Total HH]]&gt;1,1,WWWW[[#This Row],['# HH received Sanitary Pads]]/WWWW[[#This Row],[Total HH]])</f>
        <v>0</v>
      </c>
      <c r="CE178" s="210">
        <f>WWWW[[#This Row],['# HH received soaps]]*5</f>
        <v>0</v>
      </c>
      <c r="CF178" s="210">
        <f>WWWW[[#This Row],['# HH received Sanitary Pads]]*5</f>
        <v>0</v>
      </c>
      <c r="CG178" s="210">
        <f>IF(WWWW[[#This Row],['# People with access to soap]]&gt;WWWW[[#This Row],['# People with access to Sanity Pads]],WWWW[[#This Row],['# People with access to soap]],WWWW[[#This Row],['# People with access to Sanity Pads]])</f>
        <v>0</v>
      </c>
      <c r="CH178" s="209">
        <f>WWWW[[#This Row],[Total HH]]*WWWW[[#This Row],[%HHs with access to functional hand washing stations]]</f>
        <v>0</v>
      </c>
      <c r="CI178" s="699">
        <f>VLOOKUP(WWWW[[#This Row],[Site Name]],SiteDB6[[Site Name]:[CCCM Management]],6,FALSE)</f>
        <v>0</v>
      </c>
      <c r="CJ178" s="699">
        <f>VLOOKUP(WWWW[[#This Row],[Site Name]],SiteDB6[[Site Name]:[CCCM Focal Agency]],7,FALSE)</f>
        <v>0</v>
      </c>
      <c r="CK178" s="699" t="str">
        <f>VLOOKUP(WWWW[[#This Row],[Site Name]],SiteDB6[[Site Name]:[Location Type]],8,FALSE)</f>
        <v>Village_Not HRP</v>
      </c>
      <c r="CL178" s="699" t="str">
        <f>VLOOKUP(WWWW[[#This Row],[Site Name]],SiteDB6[[Site Name]:[Location Type 1]],9,FALSE)</f>
        <v>Village</v>
      </c>
      <c r="CM178" s="699" t="str">
        <f>VLOOKUP(WWWW[[#This Row],[Site Name]],SiteDB6[[Site Name]:[Type of Accommodation]],10,FALSE)</f>
        <v>Village_Not HRP</v>
      </c>
      <c r="CN178" s="699" t="str">
        <f>VLOOKUP(WWWW[[#This Row],[Site Name]],SiteDB6[[Site Name]:[Ethnic or GCA/NGCA]],11,FALSE)</f>
        <v>Rakhine</v>
      </c>
      <c r="CO178" s="699">
        <f>VLOOKUP(WWWW[[#This Row],[Site Name]],SiteDB6[[Site Name]:[Lat]],12,FALSE)</f>
        <v>19.985679626464801</v>
      </c>
      <c r="CP178" s="699">
        <f>VLOOKUP(WWWW[[#This Row],[Site Name]],SiteDB6[[Site Name]:[Long]],13,FALSE)</f>
        <v>93.843322753906307</v>
      </c>
      <c r="CQ178" s="699" t="str">
        <f>VLOOKUP(WWWW[[#This Row],[Site Name]],SiteDB6[[Site Name]:[Pcode]],3,FALSE)</f>
        <v>199235</v>
      </c>
      <c r="CR178" s="660" t="str">
        <f t="shared" si="2"/>
        <v>Covered</v>
      </c>
      <c r="CS178" s="660"/>
      <c r="CT178" s="24"/>
      <c r="CU178" s="24"/>
      <c r="CV178" s="24"/>
    </row>
    <row r="179" spans="1:100" ht="15.75" customHeight="1" x14ac:dyDescent="0.25">
      <c r="A179" s="833" t="s">
        <v>3206</v>
      </c>
      <c r="B179" s="206" t="s">
        <v>2444</v>
      </c>
      <c r="C179" s="206" t="s">
        <v>454</v>
      </c>
      <c r="D179" s="206" t="s">
        <v>486</v>
      </c>
      <c r="E179" s="206" t="s">
        <v>554</v>
      </c>
      <c r="F179" s="206">
        <f>ROUND(WWWW[[#This Row],[Total PoP ]]/5,0)</f>
        <v>157</v>
      </c>
      <c r="G179" s="209">
        <v>786</v>
      </c>
      <c r="H179" s="206"/>
      <c r="I179" s="206" t="s">
        <v>488</v>
      </c>
      <c r="J179" s="207">
        <v>43586</v>
      </c>
      <c r="K179" s="207"/>
      <c r="L179" s="206" t="s">
        <v>48</v>
      </c>
      <c r="M179" s="208">
        <v>0</v>
      </c>
      <c r="N179" s="208">
        <v>0</v>
      </c>
      <c r="O179" s="323">
        <v>0</v>
      </c>
      <c r="P179" s="317">
        <v>0</v>
      </c>
      <c r="Q179" s="317"/>
      <c r="R179" s="318"/>
      <c r="S179" s="318">
        <v>0</v>
      </c>
      <c r="T179" s="318"/>
      <c r="U179" s="318"/>
      <c r="V179" s="318"/>
      <c r="W179" s="318"/>
      <c r="X179" s="318"/>
      <c r="Y179" s="318"/>
      <c r="Z179" s="318"/>
      <c r="AA179" s="310">
        <v>0</v>
      </c>
      <c r="AB179" s="310"/>
      <c r="AC179" s="66"/>
      <c r="AD179" s="66"/>
      <c r="AE179" s="310">
        <v>0</v>
      </c>
      <c r="AF179" s="310" t="s">
        <v>286</v>
      </c>
      <c r="AG179" s="311" t="s">
        <v>286</v>
      </c>
      <c r="AH179" s="311"/>
      <c r="AI179" s="311"/>
      <c r="AJ179" s="310"/>
      <c r="AK179" s="841">
        <v>0</v>
      </c>
      <c r="AL179" s="842"/>
      <c r="AM179" s="842">
        <v>0</v>
      </c>
      <c r="AN179" s="863"/>
      <c r="AO179" s="863">
        <v>0</v>
      </c>
      <c r="AP179" s="838"/>
      <c r="AQ179" s="843"/>
      <c r="AR179" s="843"/>
      <c r="AS179" s="843"/>
      <c r="AT179" s="843"/>
      <c r="AU179" s="843"/>
      <c r="AV179" s="844"/>
      <c r="AW179" s="208" t="str">
        <f>IFERROR(WWWW[[#This Row],['# of Water passed at source]]/WWWW[[#This Row],['# of Water tested at source]],"no test")</f>
        <v>no test</v>
      </c>
      <c r="AX179" s="211" t="str">
        <f>IFERROR(WWWW[[#This Row],['# of Water passed at HH]]/WWWW[[#This Row],['# of Water tested at HH]],"no test")</f>
        <v>no test</v>
      </c>
      <c r="AY179" s="210" t="str">
        <f>IF(AND(WWWW[[#This Row],[%of Water samples which passed at water source]]="no test",WWWW[[#This Row],[%Water samples which passed at HH]]="no test"),"No Test","Tested")</f>
        <v>No Test</v>
      </c>
      <c r="AZ17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7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79" s="211">
        <f>IF(WWWW[[#This Row],[Location Type 1]]="Village",WWWW[[#This Row],[Access to safe drinking water for Village]],WWWW[[#This Row],[Access to safe drinking water for Camp]])</f>
        <v>0</v>
      </c>
      <c r="BC179" s="209">
        <f>WWWW[[#This Row],[%Equitable and continuous access to sufficient quantity of safe drinking water]]*WWWW[[#This Row],[Total PoP ]]</f>
        <v>0</v>
      </c>
      <c r="BD179" s="211">
        <f>IF((WWWW[[#This Row],['# Existing protected/fenced ponds ]]*250)/WWWW[[#This Row],[Total PoP ]]&gt;1,1,WWWW[[#This Row],['# Existing protected/fenced ponds ]]*250/WWWW[[#This Row],[Total PoP ]])</f>
        <v>0</v>
      </c>
      <c r="BE179" s="209">
        <f>WWWW[[#This Row],[Access to unimproved water points]]*WWWW[[#This Row],[Total PoP ]]</f>
        <v>0</v>
      </c>
      <c r="BF17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7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79" s="209">
        <f>ROUND(WWWW[[#This Row],['#people Equitable and continuous access to sufficient quantity of domestic water borehole n ponds_2]]/500,0)</f>
        <v>0</v>
      </c>
      <c r="BI179" s="208">
        <f>1-WWWW[[#This Row],[%Equitable and continuous access to sufficient quantity of domestic water borehole n ponds]]</f>
        <v>1</v>
      </c>
      <c r="BJ179" s="209">
        <f>WWWW[[#This Row],[%equitable and continuous access to sufficient quantity of safe drinking and domestic water''s GAP]]*WWWW[[#This Row],[Total PoP ]]</f>
        <v>786</v>
      </c>
      <c r="BK179" s="210">
        <f>IF(WWWW[[#This Row],[Total required water points]]-WWWW[[#This Row],['#Water points coverage]]&lt;0,0,WWWW[[#This Row],[Total required water points]]-WWWW[[#This Row],['#Water points coverage]])</f>
        <v>2</v>
      </c>
      <c r="BL179" s="210">
        <f>ROUND(IF(WWWW[[#This Row],[Total PoP ]]&lt;500,1,WWWW[[#This Row],[Total PoP ]]/500),0)</f>
        <v>2</v>
      </c>
      <c r="BM179" s="210">
        <f>WWWW[[#This Row],['# Existing functional latrines]]+WWWW[[#This Row],['# Existing latrines dysfunctional]]</f>
        <v>0</v>
      </c>
      <c r="BN17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79" s="352">
        <f>WWWW[[#This Row],[% people access to functioning Latrine]]*WWWW[[#This Row],[Total PoP ]]</f>
        <v>0</v>
      </c>
      <c r="BP17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79" s="209">
        <f>IF(WWWW[[#This Row],[Total required Latrines]]-WWWW[[#This Row],[Total '# of latrine]]&lt;0,0,WWWW[[#This Row],[Total required Latrines]]-WWWW[[#This Row],[Total '# of latrine]])</f>
        <v>131</v>
      </c>
      <c r="BR179" s="210">
        <f>ROUND(IF(WWWW[[#This Row],[Location Type 1]]="camp",WWWW[[#This Row],[Total PoP ]]/20,WWWW[[#This Row],[Total PoP ]]/6),0)</f>
        <v>131</v>
      </c>
      <c r="BS179" s="212">
        <f>IF(OR(WWWW[[#This Row],['# Existing latrines dysfunctional]]="",WWWW[[#This Row],['# Existing latrines dysfunctional]]=0),0,WWWW[[#This Row],['# Existing latrines dysfunctional]]/WWWW[[#This Row],[Total '# of latrine]])</f>
        <v>0</v>
      </c>
      <c r="BT17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79" s="209">
        <f>IF(500*WWWW[[#This Row],['# Hygiene Promoters ]]&gt;WWWW[[#This Row],[Total PoP ]],WWWW[[#This Row],[Total PoP ]],500*WWWW[[#This Row],['# Hygiene Promoters ]])</f>
        <v>0</v>
      </c>
      <c r="BV179" s="209">
        <f>IF(WWWW[[#This Row],[% of HH with access to Sanitary Pad]]&gt;=100%,1,0)</f>
        <v>0</v>
      </c>
      <c r="BW179" s="209">
        <f>IF(WWWW[[#This Row],[Total PoP ]]=0,0,IF(WWWW[[#This Row],['# Hygiene Promoters ]]=0,0,IF(WWWW[[#This Row],[Location Type 1]]="Village",IF(WWWW[[#This Row],[Total PoP ]]/WWWW[[#This Row],['# Hygiene Promoters ]]&lt;1000,1,0),IF(WWWW[[#This Row],[Total PoP ]]/WWWW[[#This Row],['# Hygiene Promoters ]]&lt;600,1,0))))</f>
        <v>0</v>
      </c>
      <c r="BX179" s="209">
        <f>IF(WWWW[[#This Row],[%HH with access to soap]]&gt;=100%,1,0)</f>
        <v>0</v>
      </c>
      <c r="BY179" s="209">
        <f>IF(WWWW[[#This Row],[% of HHs with access to Sanitary pad more than '#%]]+WWWW[[#This Row],[Ratio of Hyiene promoters to people less than '#]]+WWWW[[#This Row],[% of HHs with access to soap more than '#%]]&gt;=2,WWWW[[#This Row],[Total PoP ]],0)</f>
        <v>0</v>
      </c>
      <c r="BZ179" s="208">
        <f>WWWW[[#This Row],[People adopt basic personal and community hygiene practices]]/WWWW[[#This Row],[Total PoP ]]</f>
        <v>0</v>
      </c>
      <c r="CA179" s="212">
        <f>1-WWWW[[#This Row],[Hygiene Coverage%]]</f>
        <v>1</v>
      </c>
      <c r="CB179" s="211">
        <f>WWWW[[#This Row],['# people reached by regular dedicated hygiene promotion_5]]/WWWW[[#This Row],[Total PoP ]]</f>
        <v>0</v>
      </c>
      <c r="CC179" s="211">
        <f>IF(WWWW[[#This Row],['# HH received soaps]]/WWWW[[#This Row],[Total HH]]&gt;1,1,WWWW[[#This Row],['# HH received soaps]]/WWWW[[#This Row],[Total HH]])</f>
        <v>0</v>
      </c>
      <c r="CD179" s="211">
        <f>IF(WWWW[[#This Row],['# HH received Sanitary Pads]]/WWWW[[#This Row],[Total HH]]&gt;1,1,WWWW[[#This Row],['# HH received Sanitary Pads]]/WWWW[[#This Row],[Total HH]])</f>
        <v>0</v>
      </c>
      <c r="CE179" s="210">
        <f>WWWW[[#This Row],['# HH received soaps]]*5</f>
        <v>0</v>
      </c>
      <c r="CF179" s="210">
        <f>WWWW[[#This Row],['# HH received Sanitary Pads]]*5</f>
        <v>0</v>
      </c>
      <c r="CG179" s="210">
        <f>IF(WWWW[[#This Row],['# People with access to soap]]&gt;WWWW[[#This Row],['# People with access to Sanity Pads]],WWWW[[#This Row],['# People with access to soap]],WWWW[[#This Row],['# People with access to Sanity Pads]])</f>
        <v>0</v>
      </c>
      <c r="CH179" s="209">
        <f>WWWW[[#This Row],[Total HH]]*WWWW[[#This Row],[%HHs with access to functional hand washing stations]]</f>
        <v>0</v>
      </c>
      <c r="CI179" s="699">
        <f>VLOOKUP(WWWW[[#This Row],[Site Name]],SiteDB6[[Site Name]:[CCCM Management]],6,FALSE)</f>
        <v>0</v>
      </c>
      <c r="CJ179" s="699">
        <f>VLOOKUP(WWWW[[#This Row],[Site Name]],SiteDB6[[Site Name]:[CCCM Focal Agency]],7,FALSE)</f>
        <v>0</v>
      </c>
      <c r="CK179" s="699" t="str">
        <f>VLOOKUP(WWWW[[#This Row],[Site Name]],SiteDB6[[Site Name]:[Location Type]],8,FALSE)</f>
        <v>Village_Not HRP</v>
      </c>
      <c r="CL179" s="699" t="str">
        <f>VLOOKUP(WWWW[[#This Row],[Site Name]],SiteDB6[[Site Name]:[Location Type 1]],9,FALSE)</f>
        <v>Village</v>
      </c>
      <c r="CM179" s="699" t="str">
        <f>VLOOKUP(WWWW[[#This Row],[Site Name]],SiteDB6[[Site Name]:[Type of Accommodation]],10,FALSE)</f>
        <v>Village_Not HRP</v>
      </c>
      <c r="CN179" s="699" t="str">
        <f>VLOOKUP(WWWW[[#This Row],[Site Name]],SiteDB6[[Site Name]:[Ethnic or GCA/NGCA]],11,FALSE)</f>
        <v>Rakhine</v>
      </c>
      <c r="CO179" s="699">
        <f>VLOOKUP(WWWW[[#This Row],[Site Name]],SiteDB6[[Site Name]:[Lat]],12,FALSE)</f>
        <v>19.988689422607401</v>
      </c>
      <c r="CP179" s="699">
        <f>VLOOKUP(WWWW[[#This Row],[Site Name]],SiteDB6[[Site Name]:[Long]],13,FALSE)</f>
        <v>93.842460632324205</v>
      </c>
      <c r="CQ179" s="699" t="str">
        <f>VLOOKUP(WWWW[[#This Row],[Site Name]],SiteDB6[[Site Name]:[Pcode]],3,FALSE)</f>
        <v>199236</v>
      </c>
      <c r="CR179" s="660" t="str">
        <f t="shared" si="2"/>
        <v>Covered</v>
      </c>
      <c r="CS179" s="660"/>
      <c r="CT179" s="24"/>
      <c r="CU179" s="24"/>
      <c r="CV179" s="24"/>
    </row>
    <row r="180" spans="1:100" ht="15.75" customHeight="1" x14ac:dyDescent="0.25">
      <c r="A180" s="833" t="s">
        <v>3206</v>
      </c>
      <c r="B180" s="206" t="s">
        <v>2444</v>
      </c>
      <c r="C180" s="206" t="s">
        <v>454</v>
      </c>
      <c r="D180" s="206" t="s">
        <v>486</v>
      </c>
      <c r="E180" s="206" t="s">
        <v>534</v>
      </c>
      <c r="F180" s="206">
        <f>ROUND(WWWW[[#This Row],[Total PoP ]]/5,0)</f>
        <v>34</v>
      </c>
      <c r="G180" s="209">
        <v>171</v>
      </c>
      <c r="H180" s="206"/>
      <c r="I180" s="206" t="s">
        <v>488</v>
      </c>
      <c r="J180" s="207">
        <v>43586</v>
      </c>
      <c r="K180" s="206"/>
      <c r="L180" s="206" t="s">
        <v>48</v>
      </c>
      <c r="M180" s="208">
        <v>0</v>
      </c>
      <c r="N180" s="208">
        <v>0</v>
      </c>
      <c r="O180" s="316">
        <v>0</v>
      </c>
      <c r="P180" s="317">
        <v>0</v>
      </c>
      <c r="Q180" s="317"/>
      <c r="R180" s="318"/>
      <c r="S180" s="318">
        <v>0</v>
      </c>
      <c r="T180" s="318"/>
      <c r="U180" s="318"/>
      <c r="V180" s="318"/>
      <c r="W180" s="318"/>
      <c r="X180" s="318"/>
      <c r="Y180" s="318"/>
      <c r="Z180" s="318"/>
      <c r="AA180" s="310">
        <v>0</v>
      </c>
      <c r="AB180" s="310"/>
      <c r="AC180" s="66"/>
      <c r="AD180" s="66"/>
      <c r="AE180" s="310">
        <v>0</v>
      </c>
      <c r="AF180" s="310" t="s">
        <v>286</v>
      </c>
      <c r="AG180" s="311" t="s">
        <v>286</v>
      </c>
      <c r="AH180" s="311"/>
      <c r="AI180" s="310"/>
      <c r="AJ180" s="310"/>
      <c r="AK180" s="841">
        <v>0</v>
      </c>
      <c r="AL180" s="842"/>
      <c r="AM180" s="842">
        <v>0</v>
      </c>
      <c r="AN180" s="863"/>
      <c r="AO180" s="863">
        <v>0</v>
      </c>
      <c r="AP180" s="838"/>
      <c r="AQ180" s="843"/>
      <c r="AR180" s="843"/>
      <c r="AS180" s="843"/>
      <c r="AT180" s="843"/>
      <c r="AU180" s="843"/>
      <c r="AV180" s="844"/>
      <c r="AW180" s="208" t="str">
        <f>IFERROR(WWWW[[#This Row],['# of Water passed at source]]/WWWW[[#This Row],['# of Water tested at source]],"no test")</f>
        <v>no test</v>
      </c>
      <c r="AX180" s="211" t="str">
        <f>IFERROR(WWWW[[#This Row],['# of Water passed at HH]]/WWWW[[#This Row],['# of Water tested at HH]],"no test")</f>
        <v>no test</v>
      </c>
      <c r="AY180" s="210" t="str">
        <f>IF(AND(WWWW[[#This Row],[%of Water samples which passed at water source]]="no test",WWWW[[#This Row],[%Water samples which passed at HH]]="no test"),"No Test","Tested")</f>
        <v>No Test</v>
      </c>
      <c r="AZ18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0" s="211">
        <f>IF(WWWW[[#This Row],[Location Type 1]]="Village",WWWW[[#This Row],[Access to safe drinking water for Village]],WWWW[[#This Row],[Access to safe drinking water for Camp]])</f>
        <v>0</v>
      </c>
      <c r="BC180" s="209">
        <f>WWWW[[#This Row],[%Equitable and continuous access to sufficient quantity of safe drinking water]]*WWWW[[#This Row],[Total PoP ]]</f>
        <v>0</v>
      </c>
      <c r="BD180" s="211">
        <f>IF((WWWW[[#This Row],['# Existing protected/fenced ponds ]]*250)/WWWW[[#This Row],[Total PoP ]]&gt;1,1,WWWW[[#This Row],['# Existing protected/fenced ponds ]]*250/WWWW[[#This Row],[Total PoP ]])</f>
        <v>0</v>
      </c>
      <c r="BE180" s="209">
        <f>WWWW[[#This Row],[Access to unimproved water points]]*WWWW[[#This Row],[Total PoP ]]</f>
        <v>0</v>
      </c>
      <c r="BF18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0" s="209">
        <f>ROUND(WWWW[[#This Row],['#people Equitable and continuous access to sufficient quantity of domestic water borehole n ponds_2]]/500,0)</f>
        <v>0</v>
      </c>
      <c r="BI180" s="208">
        <f>1-WWWW[[#This Row],[%Equitable and continuous access to sufficient quantity of domestic water borehole n ponds]]</f>
        <v>1</v>
      </c>
      <c r="BJ180" s="209">
        <f>WWWW[[#This Row],[%equitable and continuous access to sufficient quantity of safe drinking and domestic water''s GAP]]*WWWW[[#This Row],[Total PoP ]]</f>
        <v>171</v>
      </c>
      <c r="BK180" s="210">
        <f>IF(WWWW[[#This Row],[Total required water points]]-WWWW[[#This Row],['#Water points coverage]]&lt;0,0,WWWW[[#This Row],[Total required water points]]-WWWW[[#This Row],['#Water points coverage]])</f>
        <v>1</v>
      </c>
      <c r="BL180" s="210">
        <f>ROUND(IF(WWWW[[#This Row],[Total PoP ]]&lt;500,1,WWWW[[#This Row],[Total PoP ]]/500),0)</f>
        <v>1</v>
      </c>
      <c r="BM180" s="210">
        <f>WWWW[[#This Row],['# Existing functional latrines]]+WWWW[[#This Row],['# Existing latrines dysfunctional]]</f>
        <v>0</v>
      </c>
      <c r="BN18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0" s="352">
        <f>WWWW[[#This Row],[% people access to functioning Latrine]]*WWWW[[#This Row],[Total PoP ]]</f>
        <v>0</v>
      </c>
      <c r="BP18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80" s="209">
        <f>IF(WWWW[[#This Row],[Total required Latrines]]-WWWW[[#This Row],[Total '# of latrine]]&lt;0,0,WWWW[[#This Row],[Total required Latrines]]-WWWW[[#This Row],[Total '# of latrine]])</f>
        <v>29</v>
      </c>
      <c r="BR180" s="210">
        <f>ROUND(IF(WWWW[[#This Row],[Location Type 1]]="camp",WWWW[[#This Row],[Total PoP ]]/20,WWWW[[#This Row],[Total PoP ]]/6),0)</f>
        <v>29</v>
      </c>
      <c r="BS180" s="212">
        <f>IF(OR(WWWW[[#This Row],['# Existing latrines dysfunctional]]="",WWWW[[#This Row],['# Existing latrines dysfunctional]]=0),0,WWWW[[#This Row],['# Existing latrines dysfunctional]]/WWWW[[#This Row],[Total '# of latrine]])</f>
        <v>0</v>
      </c>
      <c r="BT18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0" s="209">
        <f>IF(500*WWWW[[#This Row],['# Hygiene Promoters ]]&gt;WWWW[[#This Row],[Total PoP ]],WWWW[[#This Row],[Total PoP ]],500*WWWW[[#This Row],['# Hygiene Promoters ]])</f>
        <v>0</v>
      </c>
      <c r="BV180" s="209">
        <f>IF(WWWW[[#This Row],[% of HH with access to Sanitary Pad]]&gt;=100%,1,0)</f>
        <v>0</v>
      </c>
      <c r="BW180" s="209">
        <f>IF(WWWW[[#This Row],[Total PoP ]]=0,0,IF(WWWW[[#This Row],['# Hygiene Promoters ]]=0,0,IF(WWWW[[#This Row],[Location Type 1]]="Village",IF(WWWW[[#This Row],[Total PoP ]]/WWWW[[#This Row],['# Hygiene Promoters ]]&lt;1000,1,0),IF(WWWW[[#This Row],[Total PoP ]]/WWWW[[#This Row],['# Hygiene Promoters ]]&lt;600,1,0))))</f>
        <v>0</v>
      </c>
      <c r="BX180" s="209">
        <f>IF(WWWW[[#This Row],[%HH with access to soap]]&gt;=100%,1,0)</f>
        <v>0</v>
      </c>
      <c r="BY180" s="209">
        <f>IF(WWWW[[#This Row],[% of HHs with access to Sanitary pad more than '#%]]+WWWW[[#This Row],[Ratio of Hyiene promoters to people less than '#]]+WWWW[[#This Row],[% of HHs with access to soap more than '#%]]&gt;=2,WWWW[[#This Row],[Total PoP ]],0)</f>
        <v>0</v>
      </c>
      <c r="BZ180" s="208">
        <f>WWWW[[#This Row],[People adopt basic personal and community hygiene practices]]/WWWW[[#This Row],[Total PoP ]]</f>
        <v>0</v>
      </c>
      <c r="CA180" s="212">
        <f>1-WWWW[[#This Row],[Hygiene Coverage%]]</f>
        <v>1</v>
      </c>
      <c r="CB180" s="211">
        <f>WWWW[[#This Row],['# people reached by regular dedicated hygiene promotion_5]]/WWWW[[#This Row],[Total PoP ]]</f>
        <v>0</v>
      </c>
      <c r="CC180" s="211">
        <f>IF(WWWW[[#This Row],['# HH received soaps]]/WWWW[[#This Row],[Total HH]]&gt;1,1,WWWW[[#This Row],['# HH received soaps]]/WWWW[[#This Row],[Total HH]])</f>
        <v>0</v>
      </c>
      <c r="CD180" s="211">
        <f>IF(WWWW[[#This Row],['# HH received Sanitary Pads]]/WWWW[[#This Row],[Total HH]]&gt;1,1,WWWW[[#This Row],['# HH received Sanitary Pads]]/WWWW[[#This Row],[Total HH]])</f>
        <v>0</v>
      </c>
      <c r="CE180" s="210">
        <f>WWWW[[#This Row],['# HH received soaps]]*5</f>
        <v>0</v>
      </c>
      <c r="CF180" s="210">
        <f>WWWW[[#This Row],['# HH received Sanitary Pads]]*5</f>
        <v>0</v>
      </c>
      <c r="CG180" s="210">
        <f>IF(WWWW[[#This Row],['# People with access to soap]]&gt;WWWW[[#This Row],['# People with access to Sanity Pads]],WWWW[[#This Row],['# People with access to soap]],WWWW[[#This Row],['# People with access to Sanity Pads]])</f>
        <v>0</v>
      </c>
      <c r="CH180" s="209">
        <f>WWWW[[#This Row],[Total HH]]*WWWW[[#This Row],[%HHs with access to functional hand washing stations]]</f>
        <v>0</v>
      </c>
      <c r="CI180" s="699">
        <f>VLOOKUP(WWWW[[#This Row],[Site Name]],SiteDB6[[Site Name]:[CCCM Management]],6,FALSE)</f>
        <v>0</v>
      </c>
      <c r="CJ180" s="699">
        <f>VLOOKUP(WWWW[[#This Row],[Site Name]],SiteDB6[[Site Name]:[CCCM Focal Agency]],7,FALSE)</f>
        <v>0</v>
      </c>
      <c r="CK180" s="699" t="str">
        <f>VLOOKUP(WWWW[[#This Row],[Site Name]],SiteDB6[[Site Name]:[Location Type]],8,FALSE)</f>
        <v>Village_Not HRP</v>
      </c>
      <c r="CL180" s="699" t="str">
        <f>VLOOKUP(WWWW[[#This Row],[Site Name]],SiteDB6[[Site Name]:[Location Type 1]],9,FALSE)</f>
        <v>Village</v>
      </c>
      <c r="CM180" s="699" t="str">
        <f>VLOOKUP(WWWW[[#This Row],[Site Name]],SiteDB6[[Site Name]:[Type of Accommodation]],10,FALSE)</f>
        <v>Village_Not HRP</v>
      </c>
      <c r="CN180" s="699" t="str">
        <f>VLOOKUP(WWWW[[#This Row],[Site Name]],SiteDB6[[Site Name]:[Ethnic or GCA/NGCA]],11,FALSE)</f>
        <v>Rakhine</v>
      </c>
      <c r="CO180" s="699">
        <f>VLOOKUP(WWWW[[#This Row],[Site Name]],SiteDB6[[Site Name]:[Lat]],12,FALSE)</f>
        <v>19.610979080200199</v>
      </c>
      <c r="CP180" s="699">
        <f>VLOOKUP(WWWW[[#This Row],[Site Name]],SiteDB6[[Site Name]:[Long]],13,FALSE)</f>
        <v>93.9847412109375</v>
      </c>
      <c r="CQ180" s="699" t="str">
        <f>VLOOKUP(WWWW[[#This Row],[Site Name]],SiteDB6[[Site Name]:[Pcode]],3,FALSE)</f>
        <v>199264</v>
      </c>
      <c r="CR180" s="660" t="str">
        <f t="shared" si="2"/>
        <v>Covered</v>
      </c>
      <c r="CS180" s="660"/>
      <c r="CT180" s="24"/>
      <c r="CU180" s="24"/>
      <c r="CV180" s="24"/>
    </row>
    <row r="181" spans="1:100" ht="15.75" customHeight="1" x14ac:dyDescent="0.25">
      <c r="A181" s="833" t="s">
        <v>3206</v>
      </c>
      <c r="B181" s="206" t="s">
        <v>2444</v>
      </c>
      <c r="C181" s="206" t="s">
        <v>454</v>
      </c>
      <c r="D181" s="206" t="s">
        <v>486</v>
      </c>
      <c r="E181" s="206" t="s">
        <v>543</v>
      </c>
      <c r="F181" s="206">
        <f>ROUND(WWWW[[#This Row],[Total PoP ]]/5,0)</f>
        <v>55</v>
      </c>
      <c r="G181" s="209">
        <v>273</v>
      </c>
      <c r="H181" s="206"/>
      <c r="I181" s="206" t="s">
        <v>488</v>
      </c>
      <c r="J181" s="207">
        <v>43586</v>
      </c>
      <c r="K181" s="206"/>
      <c r="L181" s="206" t="s">
        <v>48</v>
      </c>
      <c r="M181" s="208">
        <v>0</v>
      </c>
      <c r="N181" s="208">
        <v>0</v>
      </c>
      <c r="O181" s="316">
        <v>0</v>
      </c>
      <c r="P181" s="317">
        <v>0</v>
      </c>
      <c r="Q181" s="317"/>
      <c r="R181" s="318"/>
      <c r="S181" s="318">
        <v>0</v>
      </c>
      <c r="T181" s="318"/>
      <c r="U181" s="318"/>
      <c r="V181" s="318"/>
      <c r="W181" s="318"/>
      <c r="X181" s="318"/>
      <c r="Y181" s="318"/>
      <c r="Z181" s="318"/>
      <c r="AA181" s="310">
        <v>0</v>
      </c>
      <c r="AB181" s="310"/>
      <c r="AC181" s="66"/>
      <c r="AD181" s="66"/>
      <c r="AE181" s="310">
        <v>0</v>
      </c>
      <c r="AF181" s="310" t="s">
        <v>286</v>
      </c>
      <c r="AG181" s="311" t="s">
        <v>286</v>
      </c>
      <c r="AH181" s="311"/>
      <c r="AI181" s="310"/>
      <c r="AJ181" s="310"/>
      <c r="AK181" s="841">
        <v>0</v>
      </c>
      <c r="AL181" s="842"/>
      <c r="AM181" s="842">
        <v>0</v>
      </c>
      <c r="AN181" s="863"/>
      <c r="AO181" s="863">
        <v>0</v>
      </c>
      <c r="AP181" s="838"/>
      <c r="AQ181" s="843"/>
      <c r="AR181" s="843"/>
      <c r="AS181" s="843"/>
      <c r="AT181" s="843"/>
      <c r="AU181" s="843"/>
      <c r="AV181" s="844"/>
      <c r="AW181" s="208" t="str">
        <f>IFERROR(WWWW[[#This Row],['# of Water passed at source]]/WWWW[[#This Row],['# of Water tested at source]],"no test")</f>
        <v>no test</v>
      </c>
      <c r="AX181" s="211" t="str">
        <f>IFERROR(WWWW[[#This Row],['# of Water passed at HH]]/WWWW[[#This Row],['# of Water tested at HH]],"no test")</f>
        <v>no test</v>
      </c>
      <c r="AY181" s="210" t="str">
        <f>IF(AND(WWWW[[#This Row],[%of Water samples which passed at water source]]="no test",WWWW[[#This Row],[%Water samples which passed at HH]]="no test"),"No Test","Tested")</f>
        <v>No Test</v>
      </c>
      <c r="AZ18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1" s="211">
        <f>IF(WWWW[[#This Row],[Location Type 1]]="Village",WWWW[[#This Row],[Access to safe drinking water for Village]],WWWW[[#This Row],[Access to safe drinking water for Camp]])</f>
        <v>0</v>
      </c>
      <c r="BC181" s="209">
        <f>WWWW[[#This Row],[%Equitable and continuous access to sufficient quantity of safe drinking water]]*WWWW[[#This Row],[Total PoP ]]</f>
        <v>0</v>
      </c>
      <c r="BD181" s="211">
        <f>IF((WWWW[[#This Row],['# Existing protected/fenced ponds ]]*250)/WWWW[[#This Row],[Total PoP ]]&gt;1,1,WWWW[[#This Row],['# Existing protected/fenced ponds ]]*250/WWWW[[#This Row],[Total PoP ]])</f>
        <v>0</v>
      </c>
      <c r="BE181" s="209">
        <f>WWWW[[#This Row],[Access to unimproved water points]]*WWWW[[#This Row],[Total PoP ]]</f>
        <v>0</v>
      </c>
      <c r="BF18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1" s="209">
        <f>ROUND(WWWW[[#This Row],['#people Equitable and continuous access to sufficient quantity of domestic water borehole n ponds_2]]/500,0)</f>
        <v>0</v>
      </c>
      <c r="BI181" s="208">
        <f>1-WWWW[[#This Row],[%Equitable and continuous access to sufficient quantity of domestic water borehole n ponds]]</f>
        <v>1</v>
      </c>
      <c r="BJ181" s="209">
        <f>WWWW[[#This Row],[%equitable and continuous access to sufficient quantity of safe drinking and domestic water''s GAP]]*WWWW[[#This Row],[Total PoP ]]</f>
        <v>273</v>
      </c>
      <c r="BK181" s="210">
        <f>IF(WWWW[[#This Row],[Total required water points]]-WWWW[[#This Row],['#Water points coverage]]&lt;0,0,WWWW[[#This Row],[Total required water points]]-WWWW[[#This Row],['#Water points coverage]])</f>
        <v>1</v>
      </c>
      <c r="BL181" s="210">
        <f>ROUND(IF(WWWW[[#This Row],[Total PoP ]]&lt;500,1,WWWW[[#This Row],[Total PoP ]]/500),0)</f>
        <v>1</v>
      </c>
      <c r="BM181" s="210">
        <f>WWWW[[#This Row],['# Existing functional latrines]]+WWWW[[#This Row],['# Existing latrines dysfunctional]]</f>
        <v>0</v>
      </c>
      <c r="BN18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1" s="352">
        <f>WWWW[[#This Row],[% people access to functioning Latrine]]*WWWW[[#This Row],[Total PoP ]]</f>
        <v>0</v>
      </c>
      <c r="BP18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81" s="209">
        <f>IF(WWWW[[#This Row],[Total required Latrines]]-WWWW[[#This Row],[Total '# of latrine]]&lt;0,0,WWWW[[#This Row],[Total required Latrines]]-WWWW[[#This Row],[Total '# of latrine]])</f>
        <v>46</v>
      </c>
      <c r="BR181" s="210">
        <f>ROUND(IF(WWWW[[#This Row],[Location Type 1]]="camp",WWWW[[#This Row],[Total PoP ]]/20,WWWW[[#This Row],[Total PoP ]]/6),0)</f>
        <v>46</v>
      </c>
      <c r="BS181" s="212">
        <f>IF(OR(WWWW[[#This Row],['# Existing latrines dysfunctional]]="",WWWW[[#This Row],['# Existing latrines dysfunctional]]=0),0,WWWW[[#This Row],['# Existing latrines dysfunctional]]/WWWW[[#This Row],[Total '# of latrine]])</f>
        <v>0</v>
      </c>
      <c r="BT18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1" s="209">
        <f>IF(500*WWWW[[#This Row],['# Hygiene Promoters ]]&gt;WWWW[[#This Row],[Total PoP ]],WWWW[[#This Row],[Total PoP ]],500*WWWW[[#This Row],['# Hygiene Promoters ]])</f>
        <v>0</v>
      </c>
      <c r="BV181" s="209">
        <f>IF(WWWW[[#This Row],[% of HH with access to Sanitary Pad]]&gt;=100%,1,0)</f>
        <v>0</v>
      </c>
      <c r="BW181" s="209">
        <f>IF(WWWW[[#This Row],[Total PoP ]]=0,0,IF(WWWW[[#This Row],['# Hygiene Promoters ]]=0,0,IF(WWWW[[#This Row],[Location Type 1]]="Village",IF(WWWW[[#This Row],[Total PoP ]]/WWWW[[#This Row],['# Hygiene Promoters ]]&lt;1000,1,0),IF(WWWW[[#This Row],[Total PoP ]]/WWWW[[#This Row],['# Hygiene Promoters ]]&lt;600,1,0))))</f>
        <v>0</v>
      </c>
      <c r="BX181" s="209">
        <f>IF(WWWW[[#This Row],[%HH with access to soap]]&gt;=100%,1,0)</f>
        <v>0</v>
      </c>
      <c r="BY181" s="209">
        <f>IF(WWWW[[#This Row],[% of HHs with access to Sanitary pad more than '#%]]+WWWW[[#This Row],[Ratio of Hyiene promoters to people less than '#]]+WWWW[[#This Row],[% of HHs with access to soap more than '#%]]&gt;=2,WWWW[[#This Row],[Total PoP ]],0)</f>
        <v>0</v>
      </c>
      <c r="BZ181" s="208">
        <f>WWWW[[#This Row],[People adopt basic personal and community hygiene practices]]/WWWW[[#This Row],[Total PoP ]]</f>
        <v>0</v>
      </c>
      <c r="CA181" s="212">
        <f>1-WWWW[[#This Row],[Hygiene Coverage%]]</f>
        <v>1</v>
      </c>
      <c r="CB181" s="211">
        <f>WWWW[[#This Row],['# people reached by regular dedicated hygiene promotion_5]]/WWWW[[#This Row],[Total PoP ]]</f>
        <v>0</v>
      </c>
      <c r="CC181" s="211">
        <f>IF(WWWW[[#This Row],['# HH received soaps]]/WWWW[[#This Row],[Total HH]]&gt;1,1,WWWW[[#This Row],['# HH received soaps]]/WWWW[[#This Row],[Total HH]])</f>
        <v>0</v>
      </c>
      <c r="CD181" s="211">
        <f>IF(WWWW[[#This Row],['# HH received Sanitary Pads]]/WWWW[[#This Row],[Total HH]]&gt;1,1,WWWW[[#This Row],['# HH received Sanitary Pads]]/WWWW[[#This Row],[Total HH]])</f>
        <v>0</v>
      </c>
      <c r="CE181" s="210">
        <f>WWWW[[#This Row],['# HH received soaps]]*5</f>
        <v>0</v>
      </c>
      <c r="CF181" s="210">
        <f>WWWW[[#This Row],['# HH received Sanitary Pads]]*5</f>
        <v>0</v>
      </c>
      <c r="CG181" s="210">
        <f>IF(WWWW[[#This Row],['# People with access to soap]]&gt;WWWW[[#This Row],['# People with access to Sanity Pads]],WWWW[[#This Row],['# People with access to soap]],WWWW[[#This Row],['# People with access to Sanity Pads]])</f>
        <v>0</v>
      </c>
      <c r="CH181" s="209">
        <f>WWWW[[#This Row],[Total HH]]*WWWW[[#This Row],[%HHs with access to functional hand washing stations]]</f>
        <v>0</v>
      </c>
      <c r="CI181" s="699">
        <f>VLOOKUP(WWWW[[#This Row],[Site Name]],SiteDB6[[Site Name]:[CCCM Management]],6,FALSE)</f>
        <v>0</v>
      </c>
      <c r="CJ181" s="699">
        <f>VLOOKUP(WWWW[[#This Row],[Site Name]],SiteDB6[[Site Name]:[CCCM Focal Agency]],7,FALSE)</f>
        <v>0</v>
      </c>
      <c r="CK181" s="699" t="str">
        <f>VLOOKUP(WWWW[[#This Row],[Site Name]],SiteDB6[[Site Name]:[Location Type]],8,FALSE)</f>
        <v>Village_Not HRP</v>
      </c>
      <c r="CL181" s="699" t="str">
        <f>VLOOKUP(WWWW[[#This Row],[Site Name]],SiteDB6[[Site Name]:[Location Type 1]],9,FALSE)</f>
        <v>Village</v>
      </c>
      <c r="CM181" s="699" t="str">
        <f>VLOOKUP(WWWW[[#This Row],[Site Name]],SiteDB6[[Site Name]:[Type of Accommodation]],10,FALSE)</f>
        <v>Village_Not HRP</v>
      </c>
      <c r="CN181" s="699" t="str">
        <f>VLOOKUP(WWWW[[#This Row],[Site Name]],SiteDB6[[Site Name]:[Ethnic or GCA/NGCA]],11,FALSE)</f>
        <v>Rakhine</v>
      </c>
      <c r="CO181" s="699">
        <f>VLOOKUP(WWWW[[#This Row],[Site Name]],SiteDB6[[Site Name]:[Lat]],12,FALSE)</f>
        <v>19.721389770507798</v>
      </c>
      <c r="CP181" s="699">
        <f>VLOOKUP(WWWW[[#This Row],[Site Name]],SiteDB6[[Site Name]:[Long]],13,FALSE)</f>
        <v>94.019851684570298</v>
      </c>
      <c r="CQ181" s="699" t="str">
        <f>VLOOKUP(WWWW[[#This Row],[Site Name]],SiteDB6[[Site Name]:[Pcode]],3,FALSE)</f>
        <v>199159</v>
      </c>
      <c r="CR181" s="660" t="str">
        <f t="shared" si="2"/>
        <v>Covered</v>
      </c>
      <c r="CS181" s="660"/>
      <c r="CT181" s="24"/>
      <c r="CU181" s="24"/>
      <c r="CV181" s="24"/>
    </row>
    <row r="182" spans="1:100" ht="15.75" customHeight="1" x14ac:dyDescent="0.25">
      <c r="A182" s="833" t="s">
        <v>3206</v>
      </c>
      <c r="B182" s="206" t="s">
        <v>2444</v>
      </c>
      <c r="C182" s="206" t="s">
        <v>454</v>
      </c>
      <c r="D182" s="206" t="s">
        <v>486</v>
      </c>
      <c r="E182" s="206" t="s">
        <v>558</v>
      </c>
      <c r="F182" s="206">
        <f>ROUND(WWWW[[#This Row],[Total PoP ]]/5,0)</f>
        <v>62</v>
      </c>
      <c r="G182" s="209">
        <v>312</v>
      </c>
      <c r="H182" s="206"/>
      <c r="I182" s="206" t="s">
        <v>488</v>
      </c>
      <c r="J182" s="207">
        <v>43586</v>
      </c>
      <c r="K182" s="206"/>
      <c r="L182" s="206" t="s">
        <v>48</v>
      </c>
      <c r="M182" s="208">
        <v>0</v>
      </c>
      <c r="N182" s="208">
        <v>0</v>
      </c>
      <c r="O182" s="316">
        <v>0</v>
      </c>
      <c r="P182" s="317">
        <v>0</v>
      </c>
      <c r="Q182" s="317"/>
      <c r="R182" s="318"/>
      <c r="S182" s="318">
        <v>0</v>
      </c>
      <c r="T182" s="318"/>
      <c r="U182" s="318"/>
      <c r="V182" s="318"/>
      <c r="W182" s="318"/>
      <c r="X182" s="318"/>
      <c r="Y182" s="318"/>
      <c r="Z182" s="318"/>
      <c r="AA182" s="310">
        <v>0</v>
      </c>
      <c r="AB182" s="310"/>
      <c r="AC182" s="66"/>
      <c r="AD182" s="66"/>
      <c r="AE182" s="310">
        <v>0</v>
      </c>
      <c r="AF182" s="310" t="s">
        <v>286</v>
      </c>
      <c r="AG182" s="311" t="s">
        <v>286</v>
      </c>
      <c r="AH182" s="311"/>
      <c r="AI182" s="310"/>
      <c r="AJ182" s="310"/>
      <c r="AK182" s="841">
        <v>0</v>
      </c>
      <c r="AL182" s="842"/>
      <c r="AM182" s="842">
        <v>0</v>
      </c>
      <c r="AN182" s="863"/>
      <c r="AO182" s="863">
        <v>0</v>
      </c>
      <c r="AP182" s="838"/>
      <c r="AQ182" s="843"/>
      <c r="AR182" s="843"/>
      <c r="AS182" s="843"/>
      <c r="AT182" s="843"/>
      <c r="AU182" s="843"/>
      <c r="AV182" s="844"/>
      <c r="AW182" s="208" t="str">
        <f>IFERROR(WWWW[[#This Row],['# of Water passed at source]]/WWWW[[#This Row],['# of Water tested at source]],"no test")</f>
        <v>no test</v>
      </c>
      <c r="AX182" s="211" t="str">
        <f>IFERROR(WWWW[[#This Row],['# of Water passed at HH]]/WWWW[[#This Row],['# of Water tested at HH]],"no test")</f>
        <v>no test</v>
      </c>
      <c r="AY182" s="210" t="str">
        <f>IF(AND(WWWW[[#This Row],[%of Water samples which passed at water source]]="no test",WWWW[[#This Row],[%Water samples which passed at HH]]="no test"),"No Test","Tested")</f>
        <v>No Test</v>
      </c>
      <c r="AZ18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2" s="211">
        <f>IF(WWWW[[#This Row],[Location Type 1]]="Village",WWWW[[#This Row],[Access to safe drinking water for Village]],WWWW[[#This Row],[Access to safe drinking water for Camp]])</f>
        <v>0</v>
      </c>
      <c r="BC182" s="209">
        <f>WWWW[[#This Row],[%Equitable and continuous access to sufficient quantity of safe drinking water]]*WWWW[[#This Row],[Total PoP ]]</f>
        <v>0</v>
      </c>
      <c r="BD182" s="211">
        <f>IF((WWWW[[#This Row],['# Existing protected/fenced ponds ]]*250)/WWWW[[#This Row],[Total PoP ]]&gt;1,1,WWWW[[#This Row],['# Existing protected/fenced ponds ]]*250/WWWW[[#This Row],[Total PoP ]])</f>
        <v>0</v>
      </c>
      <c r="BE182" s="209">
        <f>WWWW[[#This Row],[Access to unimproved water points]]*WWWW[[#This Row],[Total PoP ]]</f>
        <v>0</v>
      </c>
      <c r="BF18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2" s="209">
        <f>ROUND(WWWW[[#This Row],['#people Equitable and continuous access to sufficient quantity of domestic water borehole n ponds_2]]/500,0)</f>
        <v>0</v>
      </c>
      <c r="BI182" s="208">
        <f>1-WWWW[[#This Row],[%Equitable and continuous access to sufficient quantity of domestic water borehole n ponds]]</f>
        <v>1</v>
      </c>
      <c r="BJ182" s="209">
        <f>WWWW[[#This Row],[%equitable and continuous access to sufficient quantity of safe drinking and domestic water''s GAP]]*WWWW[[#This Row],[Total PoP ]]</f>
        <v>312</v>
      </c>
      <c r="BK182" s="210">
        <f>IF(WWWW[[#This Row],[Total required water points]]-WWWW[[#This Row],['#Water points coverage]]&lt;0,0,WWWW[[#This Row],[Total required water points]]-WWWW[[#This Row],['#Water points coverage]])</f>
        <v>1</v>
      </c>
      <c r="BL182" s="210">
        <f>ROUND(IF(WWWW[[#This Row],[Total PoP ]]&lt;500,1,WWWW[[#This Row],[Total PoP ]]/500),0)</f>
        <v>1</v>
      </c>
      <c r="BM182" s="210">
        <f>WWWW[[#This Row],['# Existing functional latrines]]+WWWW[[#This Row],['# Existing latrines dysfunctional]]</f>
        <v>0</v>
      </c>
      <c r="BN18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2" s="352">
        <f>WWWW[[#This Row],[% people access to functioning Latrine]]*WWWW[[#This Row],[Total PoP ]]</f>
        <v>0</v>
      </c>
      <c r="BP18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82" s="209">
        <f>IF(WWWW[[#This Row],[Total required Latrines]]-WWWW[[#This Row],[Total '# of latrine]]&lt;0,0,WWWW[[#This Row],[Total required Latrines]]-WWWW[[#This Row],[Total '# of latrine]])</f>
        <v>52</v>
      </c>
      <c r="BR182" s="210">
        <f>ROUND(IF(WWWW[[#This Row],[Location Type 1]]="camp",WWWW[[#This Row],[Total PoP ]]/20,WWWW[[#This Row],[Total PoP ]]/6),0)</f>
        <v>52</v>
      </c>
      <c r="BS182" s="212">
        <f>IF(OR(WWWW[[#This Row],['# Existing latrines dysfunctional]]="",WWWW[[#This Row],['# Existing latrines dysfunctional]]=0),0,WWWW[[#This Row],['# Existing latrines dysfunctional]]/WWWW[[#This Row],[Total '# of latrine]])</f>
        <v>0</v>
      </c>
      <c r="BT18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2" s="209">
        <f>IF(500*WWWW[[#This Row],['# Hygiene Promoters ]]&gt;WWWW[[#This Row],[Total PoP ]],WWWW[[#This Row],[Total PoP ]],500*WWWW[[#This Row],['# Hygiene Promoters ]])</f>
        <v>0</v>
      </c>
      <c r="BV182" s="209">
        <f>IF(WWWW[[#This Row],[% of HH with access to Sanitary Pad]]&gt;=100%,1,0)</f>
        <v>0</v>
      </c>
      <c r="BW182" s="209">
        <f>IF(WWWW[[#This Row],[Total PoP ]]=0,0,IF(WWWW[[#This Row],['# Hygiene Promoters ]]=0,0,IF(WWWW[[#This Row],[Location Type 1]]="Village",IF(WWWW[[#This Row],[Total PoP ]]/WWWW[[#This Row],['# Hygiene Promoters ]]&lt;1000,1,0),IF(WWWW[[#This Row],[Total PoP ]]/WWWW[[#This Row],['# Hygiene Promoters ]]&lt;600,1,0))))</f>
        <v>0</v>
      </c>
      <c r="BX182" s="209">
        <f>IF(WWWW[[#This Row],[%HH with access to soap]]&gt;=100%,1,0)</f>
        <v>0</v>
      </c>
      <c r="BY182" s="209">
        <f>IF(WWWW[[#This Row],[% of HHs with access to Sanitary pad more than '#%]]+WWWW[[#This Row],[Ratio of Hyiene promoters to people less than '#]]+WWWW[[#This Row],[% of HHs with access to soap more than '#%]]&gt;=2,WWWW[[#This Row],[Total PoP ]],0)</f>
        <v>0</v>
      </c>
      <c r="BZ182" s="208">
        <f>WWWW[[#This Row],[People adopt basic personal and community hygiene practices]]/WWWW[[#This Row],[Total PoP ]]</f>
        <v>0</v>
      </c>
      <c r="CA182" s="212">
        <f>1-WWWW[[#This Row],[Hygiene Coverage%]]</f>
        <v>1</v>
      </c>
      <c r="CB182" s="211">
        <f>WWWW[[#This Row],['# people reached by regular dedicated hygiene promotion_5]]/WWWW[[#This Row],[Total PoP ]]</f>
        <v>0</v>
      </c>
      <c r="CC182" s="211">
        <f>IF(WWWW[[#This Row],['# HH received soaps]]/WWWW[[#This Row],[Total HH]]&gt;1,1,WWWW[[#This Row],['# HH received soaps]]/WWWW[[#This Row],[Total HH]])</f>
        <v>0</v>
      </c>
      <c r="CD182" s="211">
        <f>IF(WWWW[[#This Row],['# HH received Sanitary Pads]]/WWWW[[#This Row],[Total HH]]&gt;1,1,WWWW[[#This Row],['# HH received Sanitary Pads]]/WWWW[[#This Row],[Total HH]])</f>
        <v>0</v>
      </c>
      <c r="CE182" s="210">
        <f>WWWW[[#This Row],['# HH received soaps]]*5</f>
        <v>0</v>
      </c>
      <c r="CF182" s="210">
        <f>WWWW[[#This Row],['# HH received Sanitary Pads]]*5</f>
        <v>0</v>
      </c>
      <c r="CG182" s="210">
        <f>IF(WWWW[[#This Row],['# People with access to soap]]&gt;WWWW[[#This Row],['# People with access to Sanity Pads]],WWWW[[#This Row],['# People with access to soap]],WWWW[[#This Row],['# People with access to Sanity Pads]])</f>
        <v>0</v>
      </c>
      <c r="CH182" s="209">
        <f>WWWW[[#This Row],[Total HH]]*WWWW[[#This Row],[%HHs with access to functional hand washing stations]]</f>
        <v>0</v>
      </c>
      <c r="CI182" s="699">
        <f>VLOOKUP(WWWW[[#This Row],[Site Name]],SiteDB6[[Site Name]:[CCCM Management]],6,FALSE)</f>
        <v>0</v>
      </c>
      <c r="CJ182" s="699">
        <f>VLOOKUP(WWWW[[#This Row],[Site Name]],SiteDB6[[Site Name]:[CCCM Focal Agency]],7,FALSE)</f>
        <v>0</v>
      </c>
      <c r="CK182" s="699" t="str">
        <f>VLOOKUP(WWWW[[#This Row],[Site Name]],SiteDB6[[Site Name]:[Location Type]],8,FALSE)</f>
        <v>Village_Not HRP</v>
      </c>
      <c r="CL182" s="699" t="str">
        <f>VLOOKUP(WWWW[[#This Row],[Site Name]],SiteDB6[[Site Name]:[Location Type 1]],9,FALSE)</f>
        <v>Village</v>
      </c>
      <c r="CM182" s="699" t="str">
        <f>VLOOKUP(WWWW[[#This Row],[Site Name]],SiteDB6[[Site Name]:[Type of Accommodation]],10,FALSE)</f>
        <v>Village_Not HRP</v>
      </c>
      <c r="CN182" s="699" t="str">
        <f>VLOOKUP(WWWW[[#This Row],[Site Name]],SiteDB6[[Site Name]:[Ethnic or GCA/NGCA]],11,FALSE)</f>
        <v>Rakhine</v>
      </c>
      <c r="CO182" s="699">
        <f>VLOOKUP(WWWW[[#This Row],[Site Name]],SiteDB6[[Site Name]:[Lat]],12,FALSE)</f>
        <v>20.0087699890137</v>
      </c>
      <c r="CP182" s="699">
        <f>VLOOKUP(WWWW[[#This Row],[Site Name]],SiteDB6[[Site Name]:[Long]],13,FALSE)</f>
        <v>93.816879272460895</v>
      </c>
      <c r="CQ182" s="699" t="str">
        <f>VLOOKUP(WWWW[[#This Row],[Site Name]],SiteDB6[[Site Name]:[Pcode]],3,FALSE)</f>
        <v>199240</v>
      </c>
      <c r="CR182" s="660" t="str">
        <f t="shared" si="2"/>
        <v>Covered</v>
      </c>
      <c r="CS182" s="660"/>
      <c r="CT182" s="24"/>
      <c r="CU182" s="24"/>
      <c r="CV182" s="24"/>
    </row>
    <row r="183" spans="1:100" ht="15.75" customHeight="1" x14ac:dyDescent="0.25">
      <c r="A183" s="833" t="s">
        <v>3206</v>
      </c>
      <c r="B183" s="206" t="s">
        <v>2444</v>
      </c>
      <c r="C183" s="206" t="s">
        <v>454</v>
      </c>
      <c r="D183" s="206" t="s">
        <v>486</v>
      </c>
      <c r="E183" s="206" t="s">
        <v>550</v>
      </c>
      <c r="F183" s="206">
        <f>ROUND(WWWW[[#This Row],[Total PoP ]]/5,0)</f>
        <v>135</v>
      </c>
      <c r="G183" s="209">
        <v>674</v>
      </c>
      <c r="H183" s="206"/>
      <c r="I183" s="206" t="s">
        <v>488</v>
      </c>
      <c r="J183" s="207">
        <v>43586</v>
      </c>
      <c r="K183" s="206"/>
      <c r="L183" s="206" t="s">
        <v>48</v>
      </c>
      <c r="M183" s="208">
        <v>0</v>
      </c>
      <c r="N183" s="208">
        <v>0</v>
      </c>
      <c r="O183" s="323">
        <v>0</v>
      </c>
      <c r="P183" s="317">
        <v>0</v>
      </c>
      <c r="Q183" s="317"/>
      <c r="R183" s="318"/>
      <c r="S183" s="318">
        <v>0</v>
      </c>
      <c r="T183" s="318"/>
      <c r="U183" s="318"/>
      <c r="V183" s="318"/>
      <c r="W183" s="318"/>
      <c r="X183" s="318"/>
      <c r="Y183" s="318"/>
      <c r="Z183" s="318"/>
      <c r="AA183" s="310">
        <v>0</v>
      </c>
      <c r="AB183" s="310"/>
      <c r="AC183" s="66"/>
      <c r="AD183" s="66"/>
      <c r="AE183" s="310">
        <v>0</v>
      </c>
      <c r="AF183" s="310" t="s">
        <v>286</v>
      </c>
      <c r="AG183" s="311" t="s">
        <v>286</v>
      </c>
      <c r="AH183" s="311"/>
      <c r="AI183" s="310"/>
      <c r="AJ183" s="310"/>
      <c r="AK183" s="841">
        <v>0</v>
      </c>
      <c r="AL183" s="842"/>
      <c r="AM183" s="842">
        <v>0</v>
      </c>
      <c r="AN183" s="863"/>
      <c r="AO183" s="863">
        <v>0</v>
      </c>
      <c r="AP183" s="838"/>
      <c r="AQ183" s="843"/>
      <c r="AR183" s="843"/>
      <c r="AS183" s="843"/>
      <c r="AT183" s="843"/>
      <c r="AU183" s="843"/>
      <c r="AV183" s="844"/>
      <c r="AW183" s="208" t="str">
        <f>IFERROR(WWWW[[#This Row],['# of Water passed at source]]/WWWW[[#This Row],['# of Water tested at source]],"no test")</f>
        <v>no test</v>
      </c>
      <c r="AX183" s="211" t="str">
        <f>IFERROR(WWWW[[#This Row],['# of Water passed at HH]]/WWWW[[#This Row],['# of Water tested at HH]],"no test")</f>
        <v>no test</v>
      </c>
      <c r="AY183" s="210" t="str">
        <f>IF(AND(WWWW[[#This Row],[%of Water samples which passed at water source]]="no test",WWWW[[#This Row],[%Water samples which passed at HH]]="no test"),"No Test","Tested")</f>
        <v>No Test</v>
      </c>
      <c r="AZ18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3" s="211">
        <f>IF(WWWW[[#This Row],[Location Type 1]]="Village",WWWW[[#This Row],[Access to safe drinking water for Village]],WWWW[[#This Row],[Access to safe drinking water for Camp]])</f>
        <v>0</v>
      </c>
      <c r="BC183" s="209">
        <f>WWWW[[#This Row],[%Equitable and continuous access to sufficient quantity of safe drinking water]]*WWWW[[#This Row],[Total PoP ]]</f>
        <v>0</v>
      </c>
      <c r="BD183" s="211">
        <f>IF((WWWW[[#This Row],['# Existing protected/fenced ponds ]]*250)/WWWW[[#This Row],[Total PoP ]]&gt;1,1,WWWW[[#This Row],['# Existing protected/fenced ponds ]]*250/WWWW[[#This Row],[Total PoP ]])</f>
        <v>0</v>
      </c>
      <c r="BE183" s="209">
        <f>WWWW[[#This Row],[Access to unimproved water points]]*WWWW[[#This Row],[Total PoP ]]</f>
        <v>0</v>
      </c>
      <c r="BF18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3" s="209">
        <f>ROUND(WWWW[[#This Row],['#people Equitable and continuous access to sufficient quantity of domestic water borehole n ponds_2]]/500,0)</f>
        <v>0</v>
      </c>
      <c r="BI183" s="208">
        <f>1-WWWW[[#This Row],[%Equitable and continuous access to sufficient quantity of domestic water borehole n ponds]]</f>
        <v>1</v>
      </c>
      <c r="BJ183" s="209">
        <f>WWWW[[#This Row],[%equitable and continuous access to sufficient quantity of safe drinking and domestic water''s GAP]]*WWWW[[#This Row],[Total PoP ]]</f>
        <v>674</v>
      </c>
      <c r="BK183" s="210">
        <f>IF(WWWW[[#This Row],[Total required water points]]-WWWW[[#This Row],['#Water points coverage]]&lt;0,0,WWWW[[#This Row],[Total required water points]]-WWWW[[#This Row],['#Water points coverage]])</f>
        <v>1</v>
      </c>
      <c r="BL183" s="210">
        <f>ROUND(IF(WWWW[[#This Row],[Total PoP ]]&lt;500,1,WWWW[[#This Row],[Total PoP ]]/500),0)</f>
        <v>1</v>
      </c>
      <c r="BM183" s="210">
        <f>WWWW[[#This Row],['# Existing functional latrines]]+WWWW[[#This Row],['# Existing latrines dysfunctional]]</f>
        <v>0</v>
      </c>
      <c r="BN18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3" s="352">
        <f>WWWW[[#This Row],[% people access to functioning Latrine]]*WWWW[[#This Row],[Total PoP ]]</f>
        <v>0</v>
      </c>
      <c r="BP18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0.9970326409495549</v>
      </c>
      <c r="BQ183" s="209">
        <f>IF(WWWW[[#This Row],[Total required Latrines]]-WWWW[[#This Row],[Total '# of latrine]]&lt;0,0,WWWW[[#This Row],[Total required Latrines]]-WWWW[[#This Row],[Total '# of latrine]])</f>
        <v>112</v>
      </c>
      <c r="BR183" s="210">
        <f>ROUND(IF(WWWW[[#This Row],[Location Type 1]]="camp",WWWW[[#This Row],[Total PoP ]]/20,WWWW[[#This Row],[Total PoP ]]/6),0)</f>
        <v>112</v>
      </c>
      <c r="BS183" s="212">
        <f>IF(OR(WWWW[[#This Row],['# Existing latrines dysfunctional]]="",WWWW[[#This Row],['# Existing latrines dysfunctional]]=0),0,WWWW[[#This Row],['# Existing latrines dysfunctional]]/WWWW[[#This Row],[Total '# of latrine]])</f>
        <v>0</v>
      </c>
      <c r="BT18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3" s="209">
        <f>IF(500*WWWW[[#This Row],['# Hygiene Promoters ]]&gt;WWWW[[#This Row],[Total PoP ]],WWWW[[#This Row],[Total PoP ]],500*WWWW[[#This Row],['# Hygiene Promoters ]])</f>
        <v>0</v>
      </c>
      <c r="BV183" s="209">
        <f>IF(WWWW[[#This Row],[% of HH with access to Sanitary Pad]]&gt;=100%,1,0)</f>
        <v>0</v>
      </c>
      <c r="BW183" s="209">
        <f>IF(WWWW[[#This Row],[Total PoP ]]=0,0,IF(WWWW[[#This Row],['# Hygiene Promoters ]]=0,0,IF(WWWW[[#This Row],[Location Type 1]]="Village",IF(WWWW[[#This Row],[Total PoP ]]/WWWW[[#This Row],['# Hygiene Promoters ]]&lt;1000,1,0),IF(WWWW[[#This Row],[Total PoP ]]/WWWW[[#This Row],['# Hygiene Promoters ]]&lt;600,1,0))))</f>
        <v>0</v>
      </c>
      <c r="BX183" s="209">
        <f>IF(WWWW[[#This Row],[%HH with access to soap]]&gt;=100%,1,0)</f>
        <v>0</v>
      </c>
      <c r="BY183" s="209">
        <f>IF(WWWW[[#This Row],[% of HHs with access to Sanitary pad more than '#%]]+WWWW[[#This Row],[Ratio of Hyiene promoters to people less than '#]]+WWWW[[#This Row],[% of HHs with access to soap more than '#%]]&gt;=2,WWWW[[#This Row],[Total PoP ]],0)</f>
        <v>0</v>
      </c>
      <c r="BZ183" s="208">
        <f>WWWW[[#This Row],[People adopt basic personal and community hygiene practices]]/WWWW[[#This Row],[Total PoP ]]</f>
        <v>0</v>
      </c>
      <c r="CA183" s="212">
        <f>1-WWWW[[#This Row],[Hygiene Coverage%]]</f>
        <v>1</v>
      </c>
      <c r="CB183" s="211">
        <f>WWWW[[#This Row],['# people reached by regular dedicated hygiene promotion_5]]/WWWW[[#This Row],[Total PoP ]]</f>
        <v>0</v>
      </c>
      <c r="CC183" s="211">
        <f>IF(WWWW[[#This Row],['# HH received soaps]]/WWWW[[#This Row],[Total HH]]&gt;1,1,WWWW[[#This Row],['# HH received soaps]]/WWWW[[#This Row],[Total HH]])</f>
        <v>0</v>
      </c>
      <c r="CD183" s="211">
        <f>IF(WWWW[[#This Row],['# HH received Sanitary Pads]]/WWWW[[#This Row],[Total HH]]&gt;1,1,WWWW[[#This Row],['# HH received Sanitary Pads]]/WWWW[[#This Row],[Total HH]])</f>
        <v>0</v>
      </c>
      <c r="CE183" s="210">
        <f>WWWW[[#This Row],['# HH received soaps]]*5</f>
        <v>0</v>
      </c>
      <c r="CF183" s="210">
        <f>WWWW[[#This Row],['# HH received Sanitary Pads]]*5</f>
        <v>0</v>
      </c>
      <c r="CG183" s="210">
        <f>IF(WWWW[[#This Row],['# People with access to soap]]&gt;WWWW[[#This Row],['# People with access to Sanity Pads]],WWWW[[#This Row],['# People with access to soap]],WWWW[[#This Row],['# People with access to Sanity Pads]])</f>
        <v>0</v>
      </c>
      <c r="CH183" s="209">
        <f>WWWW[[#This Row],[Total HH]]*WWWW[[#This Row],[%HHs with access to functional hand washing stations]]</f>
        <v>0</v>
      </c>
      <c r="CI183" s="699">
        <f>VLOOKUP(WWWW[[#This Row],[Site Name]],SiteDB6[[Site Name]:[CCCM Management]],6,FALSE)</f>
        <v>0</v>
      </c>
      <c r="CJ183" s="699">
        <f>VLOOKUP(WWWW[[#This Row],[Site Name]],SiteDB6[[Site Name]:[CCCM Focal Agency]],7,FALSE)</f>
        <v>0</v>
      </c>
      <c r="CK183" s="699" t="str">
        <f>VLOOKUP(WWWW[[#This Row],[Site Name]],SiteDB6[[Site Name]:[Location Type]],8,FALSE)</f>
        <v>Village_Not HRP</v>
      </c>
      <c r="CL183" s="699" t="str">
        <f>VLOOKUP(WWWW[[#This Row],[Site Name]],SiteDB6[[Site Name]:[Location Type 1]],9,FALSE)</f>
        <v>Village</v>
      </c>
      <c r="CM183" s="699" t="str">
        <f>VLOOKUP(WWWW[[#This Row],[Site Name]],SiteDB6[[Site Name]:[Type of Accommodation]],10,FALSE)</f>
        <v>Village_Not HRP</v>
      </c>
      <c r="CN183" s="699" t="str">
        <f>VLOOKUP(WWWW[[#This Row],[Site Name]],SiteDB6[[Site Name]:[Ethnic or GCA/NGCA]],11,FALSE)</f>
        <v>Chin</v>
      </c>
      <c r="CO183" s="699">
        <f>VLOOKUP(WWWW[[#This Row],[Site Name]],SiteDB6[[Site Name]:[Lat]],12,FALSE)</f>
        <v>19.955690383911101</v>
      </c>
      <c r="CP183" s="699">
        <f>VLOOKUP(WWWW[[#This Row],[Site Name]],SiteDB6[[Site Name]:[Long]],13,FALSE)</f>
        <v>93.801551818847699</v>
      </c>
      <c r="CQ183" s="699" t="str">
        <f>VLOOKUP(WWWW[[#This Row],[Site Name]],SiteDB6[[Site Name]:[Pcode]],3,FALSE)</f>
        <v>199134</v>
      </c>
      <c r="CR183" s="660" t="str">
        <f t="shared" si="2"/>
        <v>Covered</v>
      </c>
      <c r="CS183" s="660"/>
      <c r="CT183" s="24"/>
      <c r="CU183" s="24"/>
      <c r="CV183" s="24"/>
    </row>
    <row r="184" spans="1:100" ht="15.75" customHeight="1" x14ac:dyDescent="0.25">
      <c r="A184" s="833" t="s">
        <v>3206</v>
      </c>
      <c r="B184" s="206" t="s">
        <v>2444</v>
      </c>
      <c r="C184" s="206" t="s">
        <v>454</v>
      </c>
      <c r="D184" s="206" t="s">
        <v>486</v>
      </c>
      <c r="E184" s="206" t="s">
        <v>542</v>
      </c>
      <c r="F184" s="206">
        <f>ROUND(WWWW[[#This Row],[Total PoP ]]/5,0)</f>
        <v>75</v>
      </c>
      <c r="G184" s="209">
        <v>373</v>
      </c>
      <c r="H184" s="206"/>
      <c r="I184" s="206" t="s">
        <v>488</v>
      </c>
      <c r="J184" s="207">
        <v>43586</v>
      </c>
      <c r="K184" s="206"/>
      <c r="L184" s="206" t="s">
        <v>48</v>
      </c>
      <c r="M184" s="208">
        <v>0</v>
      </c>
      <c r="N184" s="208">
        <v>0</v>
      </c>
      <c r="O184" s="316">
        <v>0</v>
      </c>
      <c r="P184" s="317">
        <v>0</v>
      </c>
      <c r="Q184" s="317"/>
      <c r="R184" s="318"/>
      <c r="S184" s="318">
        <v>0</v>
      </c>
      <c r="T184" s="318"/>
      <c r="U184" s="318"/>
      <c r="V184" s="318"/>
      <c r="W184" s="318"/>
      <c r="X184" s="318"/>
      <c r="Y184" s="318"/>
      <c r="Z184" s="318"/>
      <c r="AA184" s="310">
        <v>0</v>
      </c>
      <c r="AB184" s="310"/>
      <c r="AC184" s="66"/>
      <c r="AD184" s="66"/>
      <c r="AE184" s="310">
        <v>0</v>
      </c>
      <c r="AF184" s="310" t="s">
        <v>286</v>
      </c>
      <c r="AG184" s="311" t="s">
        <v>286</v>
      </c>
      <c r="AH184" s="311"/>
      <c r="AI184" s="310"/>
      <c r="AJ184" s="310"/>
      <c r="AK184" s="841">
        <v>0</v>
      </c>
      <c r="AL184" s="842"/>
      <c r="AM184" s="842">
        <v>0</v>
      </c>
      <c r="AN184" s="863"/>
      <c r="AO184" s="863">
        <v>0</v>
      </c>
      <c r="AP184" s="838"/>
      <c r="AQ184" s="843"/>
      <c r="AR184" s="843"/>
      <c r="AS184" s="843"/>
      <c r="AT184" s="843"/>
      <c r="AU184" s="843"/>
      <c r="AV184" s="844"/>
      <c r="AW184" s="208" t="str">
        <f>IFERROR(WWWW[[#This Row],['# of Water passed at source]]/WWWW[[#This Row],['# of Water tested at source]],"no test")</f>
        <v>no test</v>
      </c>
      <c r="AX184" s="211" t="str">
        <f>IFERROR(WWWW[[#This Row],['# of Water passed at HH]]/WWWW[[#This Row],['# of Water tested at HH]],"no test")</f>
        <v>no test</v>
      </c>
      <c r="AY184" s="210" t="str">
        <f>IF(AND(WWWW[[#This Row],[%of Water samples which passed at water source]]="no test",WWWW[[#This Row],[%Water samples which passed at HH]]="no test"),"No Test","Tested")</f>
        <v>No Test</v>
      </c>
      <c r="AZ18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4" s="211">
        <f>IF(WWWW[[#This Row],[Location Type 1]]="Village",WWWW[[#This Row],[Access to safe drinking water for Village]],WWWW[[#This Row],[Access to safe drinking water for Camp]])</f>
        <v>0</v>
      </c>
      <c r="BC184" s="209">
        <f>WWWW[[#This Row],[%Equitable and continuous access to sufficient quantity of safe drinking water]]*WWWW[[#This Row],[Total PoP ]]</f>
        <v>0</v>
      </c>
      <c r="BD184" s="211">
        <f>IF((WWWW[[#This Row],['# Existing protected/fenced ponds ]]*250)/WWWW[[#This Row],[Total PoP ]]&gt;1,1,WWWW[[#This Row],['# Existing protected/fenced ponds ]]*250/WWWW[[#This Row],[Total PoP ]])</f>
        <v>0</v>
      </c>
      <c r="BE184" s="209">
        <f>WWWW[[#This Row],[Access to unimproved water points]]*WWWW[[#This Row],[Total PoP ]]</f>
        <v>0</v>
      </c>
      <c r="BF18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4" s="209">
        <f>ROUND(WWWW[[#This Row],['#people Equitable and continuous access to sufficient quantity of domestic water borehole n ponds_2]]/500,0)</f>
        <v>0</v>
      </c>
      <c r="BI184" s="208">
        <f>1-WWWW[[#This Row],[%Equitable and continuous access to sufficient quantity of domestic water borehole n ponds]]</f>
        <v>1</v>
      </c>
      <c r="BJ184" s="209">
        <f>WWWW[[#This Row],[%equitable and continuous access to sufficient quantity of safe drinking and domestic water''s GAP]]*WWWW[[#This Row],[Total PoP ]]</f>
        <v>373</v>
      </c>
      <c r="BK184" s="210">
        <f>IF(WWWW[[#This Row],[Total required water points]]-WWWW[[#This Row],['#Water points coverage]]&lt;0,0,WWWW[[#This Row],[Total required water points]]-WWWW[[#This Row],['#Water points coverage]])</f>
        <v>1</v>
      </c>
      <c r="BL184" s="210">
        <f>ROUND(IF(WWWW[[#This Row],[Total PoP ]]&lt;500,1,WWWW[[#This Row],[Total PoP ]]/500),0)</f>
        <v>1</v>
      </c>
      <c r="BM184" s="210">
        <f>WWWW[[#This Row],['# Existing functional latrines]]+WWWW[[#This Row],['# Existing latrines dysfunctional]]</f>
        <v>0</v>
      </c>
      <c r="BN18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4" s="352">
        <f>WWWW[[#This Row],[% people access to functioning Latrine]]*WWWW[[#This Row],[Total PoP ]]</f>
        <v>0</v>
      </c>
      <c r="BP18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0.99731903485254692</v>
      </c>
      <c r="BQ184" s="209">
        <f>IF(WWWW[[#This Row],[Total required Latrines]]-WWWW[[#This Row],[Total '# of latrine]]&lt;0,0,WWWW[[#This Row],[Total required Latrines]]-WWWW[[#This Row],[Total '# of latrine]])</f>
        <v>62</v>
      </c>
      <c r="BR184" s="210">
        <f>ROUND(IF(WWWW[[#This Row],[Location Type 1]]="camp",WWWW[[#This Row],[Total PoP ]]/20,WWWW[[#This Row],[Total PoP ]]/6),0)</f>
        <v>62</v>
      </c>
      <c r="BS184" s="212">
        <f>IF(OR(WWWW[[#This Row],['# Existing latrines dysfunctional]]="",WWWW[[#This Row],['# Existing latrines dysfunctional]]=0),0,WWWW[[#This Row],['# Existing latrines dysfunctional]]/WWWW[[#This Row],[Total '# of latrine]])</f>
        <v>0</v>
      </c>
      <c r="BT18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4" s="209">
        <f>IF(500*WWWW[[#This Row],['# Hygiene Promoters ]]&gt;WWWW[[#This Row],[Total PoP ]],WWWW[[#This Row],[Total PoP ]],500*WWWW[[#This Row],['# Hygiene Promoters ]])</f>
        <v>0</v>
      </c>
      <c r="BV184" s="209">
        <f>IF(WWWW[[#This Row],[% of HH with access to Sanitary Pad]]&gt;=100%,1,0)</f>
        <v>0</v>
      </c>
      <c r="BW184" s="209">
        <f>IF(WWWW[[#This Row],[Total PoP ]]=0,0,IF(WWWW[[#This Row],['# Hygiene Promoters ]]=0,0,IF(WWWW[[#This Row],[Location Type 1]]="Village",IF(WWWW[[#This Row],[Total PoP ]]/WWWW[[#This Row],['# Hygiene Promoters ]]&lt;1000,1,0),IF(WWWW[[#This Row],[Total PoP ]]/WWWW[[#This Row],['# Hygiene Promoters ]]&lt;600,1,0))))</f>
        <v>0</v>
      </c>
      <c r="BX184" s="209">
        <f>IF(WWWW[[#This Row],[%HH with access to soap]]&gt;=100%,1,0)</f>
        <v>0</v>
      </c>
      <c r="BY184" s="209">
        <f>IF(WWWW[[#This Row],[% of HHs with access to Sanitary pad more than '#%]]+WWWW[[#This Row],[Ratio of Hyiene promoters to people less than '#]]+WWWW[[#This Row],[% of HHs with access to soap more than '#%]]&gt;=2,WWWW[[#This Row],[Total PoP ]],0)</f>
        <v>0</v>
      </c>
      <c r="BZ184" s="208">
        <f>WWWW[[#This Row],[People adopt basic personal and community hygiene practices]]/WWWW[[#This Row],[Total PoP ]]</f>
        <v>0</v>
      </c>
      <c r="CA184" s="212">
        <f>1-WWWW[[#This Row],[Hygiene Coverage%]]</f>
        <v>1</v>
      </c>
      <c r="CB184" s="211">
        <f>WWWW[[#This Row],['# people reached by regular dedicated hygiene promotion_5]]/WWWW[[#This Row],[Total PoP ]]</f>
        <v>0</v>
      </c>
      <c r="CC184" s="211">
        <f>IF(WWWW[[#This Row],['# HH received soaps]]/WWWW[[#This Row],[Total HH]]&gt;1,1,WWWW[[#This Row],['# HH received soaps]]/WWWW[[#This Row],[Total HH]])</f>
        <v>0</v>
      </c>
      <c r="CD184" s="211">
        <f>IF(WWWW[[#This Row],['# HH received Sanitary Pads]]/WWWW[[#This Row],[Total HH]]&gt;1,1,WWWW[[#This Row],['# HH received Sanitary Pads]]/WWWW[[#This Row],[Total HH]])</f>
        <v>0</v>
      </c>
      <c r="CE184" s="210">
        <f>WWWW[[#This Row],['# HH received soaps]]*5</f>
        <v>0</v>
      </c>
      <c r="CF184" s="210">
        <f>WWWW[[#This Row],['# HH received Sanitary Pads]]*5</f>
        <v>0</v>
      </c>
      <c r="CG184" s="210">
        <f>IF(WWWW[[#This Row],['# People with access to soap]]&gt;WWWW[[#This Row],['# People with access to Sanity Pads]],WWWW[[#This Row],['# People with access to soap]],WWWW[[#This Row],['# People with access to Sanity Pads]])</f>
        <v>0</v>
      </c>
      <c r="CH184" s="209">
        <f>WWWW[[#This Row],[Total HH]]*WWWW[[#This Row],[%HHs with access to functional hand washing stations]]</f>
        <v>0</v>
      </c>
      <c r="CI184" s="699">
        <f>VLOOKUP(WWWW[[#This Row],[Site Name]],SiteDB6[[Site Name]:[CCCM Management]],6,FALSE)</f>
        <v>0</v>
      </c>
      <c r="CJ184" s="699">
        <f>VLOOKUP(WWWW[[#This Row],[Site Name]],SiteDB6[[Site Name]:[CCCM Focal Agency]],7,FALSE)</f>
        <v>0</v>
      </c>
      <c r="CK184" s="699" t="str">
        <f>VLOOKUP(WWWW[[#This Row],[Site Name]],SiteDB6[[Site Name]:[Location Type]],8,FALSE)</f>
        <v>Village_Not HRP</v>
      </c>
      <c r="CL184" s="699" t="str">
        <f>VLOOKUP(WWWW[[#This Row],[Site Name]],SiteDB6[[Site Name]:[Location Type 1]],9,FALSE)</f>
        <v>Village</v>
      </c>
      <c r="CM184" s="699" t="str">
        <f>VLOOKUP(WWWW[[#This Row],[Site Name]],SiteDB6[[Site Name]:[Type of Accommodation]],10,FALSE)</f>
        <v>Village_Not HRP</v>
      </c>
      <c r="CN184" s="699" t="str">
        <f>VLOOKUP(WWWW[[#This Row],[Site Name]],SiteDB6[[Site Name]:[Ethnic or GCA/NGCA]],11,FALSE)</f>
        <v>Chin+Rakhine</v>
      </c>
      <c r="CO184" s="699">
        <f>VLOOKUP(WWWW[[#This Row],[Site Name]],SiteDB6[[Site Name]:[Lat]],12,FALSE)</f>
        <v>19.7062797546387</v>
      </c>
      <c r="CP184" s="699">
        <f>VLOOKUP(WWWW[[#This Row],[Site Name]],SiteDB6[[Site Name]:[Long]],13,FALSE)</f>
        <v>94.016433715820298</v>
      </c>
      <c r="CQ184" s="699" t="str">
        <f>VLOOKUP(WWWW[[#This Row],[Site Name]],SiteDB6[[Site Name]:[Pcode]],3,FALSE)</f>
        <v>199161</v>
      </c>
      <c r="CR184" s="660" t="str">
        <f t="shared" si="2"/>
        <v>Covered</v>
      </c>
      <c r="CS184" s="660"/>
      <c r="CT184" s="24"/>
      <c r="CU184" s="24"/>
      <c r="CV184" s="24"/>
    </row>
    <row r="185" spans="1:100" ht="15.75" customHeight="1" x14ac:dyDescent="0.25">
      <c r="A185" s="833" t="s">
        <v>3206</v>
      </c>
      <c r="B185" s="206" t="s">
        <v>2444</v>
      </c>
      <c r="C185" s="206" t="s">
        <v>454</v>
      </c>
      <c r="D185" s="206" t="s">
        <v>486</v>
      </c>
      <c r="E185" s="206" t="s">
        <v>537</v>
      </c>
      <c r="F185" s="206">
        <f>ROUND(WWWW[[#This Row],[Total PoP ]]/5,0)</f>
        <v>27</v>
      </c>
      <c r="G185" s="209">
        <v>136</v>
      </c>
      <c r="H185" s="206"/>
      <c r="I185" s="206" t="s">
        <v>488</v>
      </c>
      <c r="J185" s="207">
        <v>43586</v>
      </c>
      <c r="K185" s="206"/>
      <c r="L185" s="206" t="s">
        <v>48</v>
      </c>
      <c r="M185" s="208">
        <v>0</v>
      </c>
      <c r="N185" s="208">
        <v>0</v>
      </c>
      <c r="O185" s="323">
        <v>0</v>
      </c>
      <c r="P185" s="317">
        <v>0</v>
      </c>
      <c r="Q185" s="317"/>
      <c r="R185" s="318"/>
      <c r="S185" s="318">
        <v>0</v>
      </c>
      <c r="T185" s="318"/>
      <c r="U185" s="318"/>
      <c r="V185" s="318"/>
      <c r="W185" s="318"/>
      <c r="X185" s="318"/>
      <c r="Y185" s="318"/>
      <c r="Z185" s="318"/>
      <c r="AA185" s="310">
        <v>0</v>
      </c>
      <c r="AB185" s="311"/>
      <c r="AC185" s="310"/>
      <c r="AD185" s="66"/>
      <c r="AE185" s="310">
        <v>0</v>
      </c>
      <c r="AF185" s="310" t="s">
        <v>286</v>
      </c>
      <c r="AG185" s="311" t="s">
        <v>286</v>
      </c>
      <c r="AH185" s="66"/>
      <c r="AI185" s="66"/>
      <c r="AJ185" s="311"/>
      <c r="AK185" s="841">
        <v>0</v>
      </c>
      <c r="AL185" s="846"/>
      <c r="AM185" s="844">
        <v>0</v>
      </c>
      <c r="AN185" s="863"/>
      <c r="AO185" s="863">
        <v>0</v>
      </c>
      <c r="AP185" s="838"/>
      <c r="AQ185" s="843"/>
      <c r="AR185" s="843"/>
      <c r="AS185" s="843"/>
      <c r="AT185" s="843"/>
      <c r="AU185" s="843"/>
      <c r="AV185" s="844"/>
      <c r="AW185" s="208" t="str">
        <f>IFERROR(WWWW[[#This Row],['# of Water passed at source]]/WWWW[[#This Row],['# of Water tested at source]],"no test")</f>
        <v>no test</v>
      </c>
      <c r="AX185" s="211" t="str">
        <f>IFERROR(WWWW[[#This Row],['# of Water passed at HH]]/WWWW[[#This Row],['# of Water tested at HH]],"no test")</f>
        <v>no test</v>
      </c>
      <c r="AY185" s="210" t="str">
        <f>IF(AND(WWWW[[#This Row],[%of Water samples which passed at water source]]="no test",WWWW[[#This Row],[%Water samples which passed at HH]]="no test"),"No Test","Tested")</f>
        <v>No Test</v>
      </c>
      <c r="AZ18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5" s="211">
        <f>IF(WWWW[[#This Row],[Location Type 1]]="Village",WWWW[[#This Row],[Access to safe drinking water for Village]],WWWW[[#This Row],[Access to safe drinking water for Camp]])</f>
        <v>0</v>
      </c>
      <c r="BC185" s="209">
        <f>WWWW[[#This Row],[%Equitable and continuous access to sufficient quantity of safe drinking water]]*WWWW[[#This Row],[Total PoP ]]</f>
        <v>0</v>
      </c>
      <c r="BD185" s="211">
        <f>IF((WWWW[[#This Row],['# Existing protected/fenced ponds ]]*250)/WWWW[[#This Row],[Total PoP ]]&gt;1,1,WWWW[[#This Row],['# Existing protected/fenced ponds ]]*250/WWWW[[#This Row],[Total PoP ]])</f>
        <v>0</v>
      </c>
      <c r="BE185" s="209">
        <f>WWWW[[#This Row],[Access to unimproved water points]]*WWWW[[#This Row],[Total PoP ]]</f>
        <v>0</v>
      </c>
      <c r="BF18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5" s="209">
        <f>ROUND(WWWW[[#This Row],['#people Equitable and continuous access to sufficient quantity of domestic water borehole n ponds_2]]/500,0)</f>
        <v>0</v>
      </c>
      <c r="BI185" s="208">
        <f>1-WWWW[[#This Row],[%Equitable and continuous access to sufficient quantity of domestic water borehole n ponds]]</f>
        <v>1</v>
      </c>
      <c r="BJ185" s="209">
        <f>WWWW[[#This Row],[%equitable and continuous access to sufficient quantity of safe drinking and domestic water''s GAP]]*WWWW[[#This Row],[Total PoP ]]</f>
        <v>136</v>
      </c>
      <c r="BK185" s="210">
        <f>IF(WWWW[[#This Row],[Total required water points]]-WWWW[[#This Row],['#Water points coverage]]&lt;0,0,WWWW[[#This Row],[Total required water points]]-WWWW[[#This Row],['#Water points coverage]])</f>
        <v>1</v>
      </c>
      <c r="BL185" s="210">
        <f>ROUND(IF(WWWW[[#This Row],[Total PoP ]]&lt;500,1,WWWW[[#This Row],[Total PoP ]]/500),0)</f>
        <v>1</v>
      </c>
      <c r="BM185" s="210">
        <f>WWWW[[#This Row],['# Existing functional latrines]]+WWWW[[#This Row],['# Existing latrines dysfunctional]]</f>
        <v>0</v>
      </c>
      <c r="BN18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5" s="352">
        <f>WWWW[[#This Row],[% people access to functioning Latrine]]*WWWW[[#This Row],[Total PoP ]]</f>
        <v>0</v>
      </c>
      <c r="BP18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85" s="209">
        <f>IF(WWWW[[#This Row],[Total required Latrines]]-WWWW[[#This Row],[Total '# of latrine]]&lt;0,0,WWWW[[#This Row],[Total required Latrines]]-WWWW[[#This Row],[Total '# of latrine]])</f>
        <v>23</v>
      </c>
      <c r="BR185" s="210">
        <f>ROUND(IF(WWWW[[#This Row],[Location Type 1]]="camp",WWWW[[#This Row],[Total PoP ]]/20,WWWW[[#This Row],[Total PoP ]]/6),0)</f>
        <v>23</v>
      </c>
      <c r="BS185" s="212">
        <f>IF(OR(WWWW[[#This Row],['# Existing latrines dysfunctional]]="",WWWW[[#This Row],['# Existing latrines dysfunctional]]=0),0,WWWW[[#This Row],['# Existing latrines dysfunctional]]/WWWW[[#This Row],[Total '# of latrine]])</f>
        <v>0</v>
      </c>
      <c r="BT18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5" s="209">
        <f>IF(500*WWWW[[#This Row],['# Hygiene Promoters ]]&gt;WWWW[[#This Row],[Total PoP ]],WWWW[[#This Row],[Total PoP ]],500*WWWW[[#This Row],['# Hygiene Promoters ]])</f>
        <v>0</v>
      </c>
      <c r="BV185" s="209">
        <f>IF(WWWW[[#This Row],[% of HH with access to Sanitary Pad]]&gt;=100%,1,0)</f>
        <v>0</v>
      </c>
      <c r="BW185" s="209">
        <f>IF(WWWW[[#This Row],[Total PoP ]]=0,0,IF(WWWW[[#This Row],['# Hygiene Promoters ]]=0,0,IF(WWWW[[#This Row],[Location Type 1]]="Village",IF(WWWW[[#This Row],[Total PoP ]]/WWWW[[#This Row],['# Hygiene Promoters ]]&lt;1000,1,0),IF(WWWW[[#This Row],[Total PoP ]]/WWWW[[#This Row],['# Hygiene Promoters ]]&lt;600,1,0))))</f>
        <v>0</v>
      </c>
      <c r="BX185" s="209">
        <f>IF(WWWW[[#This Row],[%HH with access to soap]]&gt;=100%,1,0)</f>
        <v>0</v>
      </c>
      <c r="BY185" s="209">
        <f>IF(WWWW[[#This Row],[% of HHs with access to Sanitary pad more than '#%]]+WWWW[[#This Row],[Ratio of Hyiene promoters to people less than '#]]+WWWW[[#This Row],[% of HHs with access to soap more than '#%]]&gt;=2,WWWW[[#This Row],[Total PoP ]],0)</f>
        <v>0</v>
      </c>
      <c r="BZ185" s="208">
        <f>WWWW[[#This Row],[People adopt basic personal and community hygiene practices]]/WWWW[[#This Row],[Total PoP ]]</f>
        <v>0</v>
      </c>
      <c r="CA185" s="212">
        <f>1-WWWW[[#This Row],[Hygiene Coverage%]]</f>
        <v>1</v>
      </c>
      <c r="CB185" s="211">
        <f>WWWW[[#This Row],['# people reached by regular dedicated hygiene promotion_5]]/WWWW[[#This Row],[Total PoP ]]</f>
        <v>0</v>
      </c>
      <c r="CC185" s="211">
        <f>IF(WWWW[[#This Row],['# HH received soaps]]/WWWW[[#This Row],[Total HH]]&gt;1,1,WWWW[[#This Row],['# HH received soaps]]/WWWW[[#This Row],[Total HH]])</f>
        <v>0</v>
      </c>
      <c r="CD185" s="211">
        <f>IF(WWWW[[#This Row],['# HH received Sanitary Pads]]/WWWW[[#This Row],[Total HH]]&gt;1,1,WWWW[[#This Row],['# HH received Sanitary Pads]]/WWWW[[#This Row],[Total HH]])</f>
        <v>0</v>
      </c>
      <c r="CE185" s="210">
        <f>WWWW[[#This Row],['# HH received soaps]]*5</f>
        <v>0</v>
      </c>
      <c r="CF185" s="210">
        <f>WWWW[[#This Row],['# HH received Sanitary Pads]]*5</f>
        <v>0</v>
      </c>
      <c r="CG185" s="210">
        <f>IF(WWWW[[#This Row],['# People with access to soap]]&gt;WWWW[[#This Row],['# People with access to Sanity Pads]],WWWW[[#This Row],['# People with access to soap]],WWWW[[#This Row],['# People with access to Sanity Pads]])</f>
        <v>0</v>
      </c>
      <c r="CH185" s="209">
        <f>WWWW[[#This Row],[Total HH]]*WWWW[[#This Row],[%HHs with access to functional hand washing stations]]</f>
        <v>0</v>
      </c>
      <c r="CI185" s="699">
        <f>VLOOKUP(WWWW[[#This Row],[Site Name]],SiteDB6[[Site Name]:[CCCM Management]],6,FALSE)</f>
        <v>0</v>
      </c>
      <c r="CJ185" s="699">
        <f>VLOOKUP(WWWW[[#This Row],[Site Name]],SiteDB6[[Site Name]:[CCCM Focal Agency]],7,FALSE)</f>
        <v>0</v>
      </c>
      <c r="CK185" s="699" t="str">
        <f>VLOOKUP(WWWW[[#This Row],[Site Name]],SiteDB6[[Site Name]:[Location Type]],8,FALSE)</f>
        <v>Village_Not HRP</v>
      </c>
      <c r="CL185" s="699" t="str">
        <f>VLOOKUP(WWWW[[#This Row],[Site Name]],SiteDB6[[Site Name]:[Location Type 1]],9,FALSE)</f>
        <v>Village</v>
      </c>
      <c r="CM185" s="699" t="str">
        <f>VLOOKUP(WWWW[[#This Row],[Site Name]],SiteDB6[[Site Name]:[Type of Accommodation]],10,FALSE)</f>
        <v>Village_Not HRP</v>
      </c>
      <c r="CN185" s="699" t="str">
        <f>VLOOKUP(WWWW[[#This Row],[Site Name]],SiteDB6[[Site Name]:[Ethnic or GCA/NGCA]],11,FALSE)</f>
        <v>Chin+Rakhine</v>
      </c>
      <c r="CO185" s="699">
        <f>VLOOKUP(WWWW[[#This Row],[Site Name]],SiteDB6[[Site Name]:[Lat]],12,FALSE)</f>
        <v>19.619289398193398</v>
      </c>
      <c r="CP185" s="699">
        <f>VLOOKUP(WWWW[[#This Row],[Site Name]],SiteDB6[[Site Name]:[Long]],13,FALSE)</f>
        <v>93.959686279296903</v>
      </c>
      <c r="CQ185" s="699" t="str">
        <f>VLOOKUP(WWWW[[#This Row],[Site Name]],SiteDB6[[Site Name]:[Pcode]],3,FALSE)</f>
        <v>199266</v>
      </c>
      <c r="CR185" s="660" t="str">
        <f t="shared" si="2"/>
        <v>Covered</v>
      </c>
      <c r="CS185" s="660"/>
      <c r="CT185" s="24"/>
      <c r="CU185" s="24"/>
      <c r="CV185" s="24"/>
    </row>
    <row r="186" spans="1:100" ht="15.75" customHeight="1" x14ac:dyDescent="0.25">
      <c r="A186" s="833" t="s">
        <v>3206</v>
      </c>
      <c r="B186" s="206" t="s">
        <v>2444</v>
      </c>
      <c r="C186" s="206" t="s">
        <v>454</v>
      </c>
      <c r="D186" s="206" t="s">
        <v>486</v>
      </c>
      <c r="E186" s="206" t="s">
        <v>532</v>
      </c>
      <c r="F186" s="206">
        <f>ROUND(WWWW[[#This Row],[Total PoP ]]/5,0)</f>
        <v>58</v>
      </c>
      <c r="G186" s="209">
        <v>290</v>
      </c>
      <c r="H186" s="206"/>
      <c r="I186" s="206" t="s">
        <v>488</v>
      </c>
      <c r="J186" s="207">
        <v>43586</v>
      </c>
      <c r="K186" s="206"/>
      <c r="L186" s="206" t="s">
        <v>48</v>
      </c>
      <c r="M186" s="208">
        <v>0</v>
      </c>
      <c r="N186" s="208">
        <v>0</v>
      </c>
      <c r="O186" s="323">
        <v>0</v>
      </c>
      <c r="P186" s="317">
        <v>0</v>
      </c>
      <c r="Q186" s="317"/>
      <c r="R186" s="318"/>
      <c r="S186" s="318">
        <v>0</v>
      </c>
      <c r="T186" s="318"/>
      <c r="U186" s="318"/>
      <c r="V186" s="318"/>
      <c r="W186" s="318"/>
      <c r="X186" s="318"/>
      <c r="Y186" s="318"/>
      <c r="Z186" s="318"/>
      <c r="AA186" s="310">
        <v>0</v>
      </c>
      <c r="AB186" s="311"/>
      <c r="AC186" s="66"/>
      <c r="AD186" s="66"/>
      <c r="AE186" s="310">
        <v>0</v>
      </c>
      <c r="AF186" s="310" t="s">
        <v>286</v>
      </c>
      <c r="AG186" s="311" t="s">
        <v>286</v>
      </c>
      <c r="AH186" s="66"/>
      <c r="AI186" s="66"/>
      <c r="AJ186" s="311"/>
      <c r="AK186" s="841">
        <v>0</v>
      </c>
      <c r="AL186" s="846"/>
      <c r="AM186" s="844">
        <v>0</v>
      </c>
      <c r="AN186" s="863"/>
      <c r="AO186" s="863">
        <v>0</v>
      </c>
      <c r="AP186" s="838"/>
      <c r="AQ186" s="843"/>
      <c r="AR186" s="843"/>
      <c r="AS186" s="843"/>
      <c r="AT186" s="843"/>
      <c r="AU186" s="843"/>
      <c r="AV186" s="844"/>
      <c r="AW186" s="208" t="str">
        <f>IFERROR(WWWW[[#This Row],['# of Water passed at source]]/WWWW[[#This Row],['# of Water tested at source]],"no test")</f>
        <v>no test</v>
      </c>
      <c r="AX186" s="211" t="str">
        <f>IFERROR(WWWW[[#This Row],['# of Water passed at HH]]/WWWW[[#This Row],['# of Water tested at HH]],"no test")</f>
        <v>no test</v>
      </c>
      <c r="AY186" s="210" t="str">
        <f>IF(AND(WWWW[[#This Row],[%of Water samples which passed at water source]]="no test",WWWW[[#This Row],[%Water samples which passed at HH]]="no test"),"No Test","Tested")</f>
        <v>No Test</v>
      </c>
      <c r="AZ18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6" s="211">
        <f>IF(WWWW[[#This Row],[Location Type 1]]="Village",WWWW[[#This Row],[Access to safe drinking water for Village]],WWWW[[#This Row],[Access to safe drinking water for Camp]])</f>
        <v>0</v>
      </c>
      <c r="BC186" s="209">
        <f>WWWW[[#This Row],[%Equitable and continuous access to sufficient quantity of safe drinking water]]*WWWW[[#This Row],[Total PoP ]]</f>
        <v>0</v>
      </c>
      <c r="BD186" s="211">
        <f>IF((WWWW[[#This Row],['# Existing protected/fenced ponds ]]*250)/WWWW[[#This Row],[Total PoP ]]&gt;1,1,WWWW[[#This Row],['# Existing protected/fenced ponds ]]*250/WWWW[[#This Row],[Total PoP ]])</f>
        <v>0</v>
      </c>
      <c r="BE186" s="209">
        <f>WWWW[[#This Row],[Access to unimproved water points]]*WWWW[[#This Row],[Total PoP ]]</f>
        <v>0</v>
      </c>
      <c r="BF18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6" s="209">
        <f>ROUND(WWWW[[#This Row],['#people Equitable and continuous access to sufficient quantity of domestic water borehole n ponds_2]]/500,0)</f>
        <v>0</v>
      </c>
      <c r="BI186" s="208">
        <f>1-WWWW[[#This Row],[%Equitable and continuous access to sufficient quantity of domestic water borehole n ponds]]</f>
        <v>1</v>
      </c>
      <c r="BJ186" s="209">
        <f>WWWW[[#This Row],[%equitable and continuous access to sufficient quantity of safe drinking and domestic water''s GAP]]*WWWW[[#This Row],[Total PoP ]]</f>
        <v>290</v>
      </c>
      <c r="BK186" s="210">
        <f>IF(WWWW[[#This Row],[Total required water points]]-WWWW[[#This Row],['#Water points coverage]]&lt;0,0,WWWW[[#This Row],[Total required water points]]-WWWW[[#This Row],['#Water points coverage]])</f>
        <v>1</v>
      </c>
      <c r="BL186" s="210">
        <f>ROUND(IF(WWWW[[#This Row],[Total PoP ]]&lt;500,1,WWWW[[#This Row],[Total PoP ]]/500),0)</f>
        <v>1</v>
      </c>
      <c r="BM186" s="210">
        <f>WWWW[[#This Row],['# Existing functional latrines]]+WWWW[[#This Row],['# Existing latrines dysfunctional]]</f>
        <v>0</v>
      </c>
      <c r="BN18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6" s="352">
        <f>WWWW[[#This Row],[% people access to functioning Latrine]]*WWWW[[#This Row],[Total PoP ]]</f>
        <v>0</v>
      </c>
      <c r="BP18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0.99310344827586206</v>
      </c>
      <c r="BQ186" s="209">
        <f>IF(WWWW[[#This Row],[Total required Latrines]]-WWWW[[#This Row],[Total '# of latrine]]&lt;0,0,WWWW[[#This Row],[Total required Latrines]]-WWWW[[#This Row],[Total '# of latrine]])</f>
        <v>48</v>
      </c>
      <c r="BR186" s="210">
        <f>ROUND(IF(WWWW[[#This Row],[Location Type 1]]="camp",WWWW[[#This Row],[Total PoP ]]/20,WWWW[[#This Row],[Total PoP ]]/6),0)</f>
        <v>48</v>
      </c>
      <c r="BS186" s="212">
        <f>IF(OR(WWWW[[#This Row],['# Existing latrines dysfunctional]]="",WWWW[[#This Row],['# Existing latrines dysfunctional]]=0),0,WWWW[[#This Row],['# Existing latrines dysfunctional]]/WWWW[[#This Row],[Total '# of latrine]])</f>
        <v>0</v>
      </c>
      <c r="BT18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6" s="209">
        <f>IF(500*WWWW[[#This Row],['# Hygiene Promoters ]]&gt;WWWW[[#This Row],[Total PoP ]],WWWW[[#This Row],[Total PoP ]],500*WWWW[[#This Row],['# Hygiene Promoters ]])</f>
        <v>0</v>
      </c>
      <c r="BV186" s="209">
        <f>IF(WWWW[[#This Row],[% of HH with access to Sanitary Pad]]&gt;=100%,1,0)</f>
        <v>0</v>
      </c>
      <c r="BW186" s="209">
        <f>IF(WWWW[[#This Row],[Total PoP ]]=0,0,IF(WWWW[[#This Row],['# Hygiene Promoters ]]=0,0,IF(WWWW[[#This Row],[Location Type 1]]="Village",IF(WWWW[[#This Row],[Total PoP ]]/WWWW[[#This Row],['# Hygiene Promoters ]]&lt;1000,1,0),IF(WWWW[[#This Row],[Total PoP ]]/WWWW[[#This Row],['# Hygiene Promoters ]]&lt;600,1,0))))</f>
        <v>0</v>
      </c>
      <c r="BX186" s="209">
        <f>IF(WWWW[[#This Row],[%HH with access to soap]]&gt;=100%,1,0)</f>
        <v>0</v>
      </c>
      <c r="BY186" s="209">
        <f>IF(WWWW[[#This Row],[% of HHs with access to Sanitary pad more than '#%]]+WWWW[[#This Row],[Ratio of Hyiene promoters to people less than '#]]+WWWW[[#This Row],[% of HHs with access to soap more than '#%]]&gt;=2,WWWW[[#This Row],[Total PoP ]],0)</f>
        <v>0</v>
      </c>
      <c r="BZ186" s="208">
        <f>WWWW[[#This Row],[People adopt basic personal and community hygiene practices]]/WWWW[[#This Row],[Total PoP ]]</f>
        <v>0</v>
      </c>
      <c r="CA186" s="212">
        <f>1-WWWW[[#This Row],[Hygiene Coverage%]]</f>
        <v>1</v>
      </c>
      <c r="CB186" s="211">
        <f>WWWW[[#This Row],['# people reached by regular dedicated hygiene promotion_5]]/WWWW[[#This Row],[Total PoP ]]</f>
        <v>0</v>
      </c>
      <c r="CC186" s="211">
        <f>IF(WWWW[[#This Row],['# HH received soaps]]/WWWW[[#This Row],[Total HH]]&gt;1,1,WWWW[[#This Row],['# HH received soaps]]/WWWW[[#This Row],[Total HH]])</f>
        <v>0</v>
      </c>
      <c r="CD186" s="211">
        <f>IF(WWWW[[#This Row],['# HH received Sanitary Pads]]/WWWW[[#This Row],[Total HH]]&gt;1,1,WWWW[[#This Row],['# HH received Sanitary Pads]]/WWWW[[#This Row],[Total HH]])</f>
        <v>0</v>
      </c>
      <c r="CE186" s="210">
        <f>WWWW[[#This Row],['# HH received soaps]]*5</f>
        <v>0</v>
      </c>
      <c r="CF186" s="210">
        <f>WWWW[[#This Row],['# HH received Sanitary Pads]]*5</f>
        <v>0</v>
      </c>
      <c r="CG186" s="210">
        <f>IF(WWWW[[#This Row],['# People with access to soap]]&gt;WWWW[[#This Row],['# People with access to Sanity Pads]],WWWW[[#This Row],['# People with access to soap]],WWWW[[#This Row],['# People with access to Sanity Pads]])</f>
        <v>0</v>
      </c>
      <c r="CH186" s="209">
        <f>WWWW[[#This Row],[Total HH]]*WWWW[[#This Row],[%HHs with access to functional hand washing stations]]</f>
        <v>0</v>
      </c>
      <c r="CI186" s="699">
        <f>VLOOKUP(WWWW[[#This Row],[Site Name]],SiteDB6[[Site Name]:[CCCM Management]],6,FALSE)</f>
        <v>0</v>
      </c>
      <c r="CJ186" s="699">
        <f>VLOOKUP(WWWW[[#This Row],[Site Name]],SiteDB6[[Site Name]:[CCCM Focal Agency]],7,FALSE)</f>
        <v>0</v>
      </c>
      <c r="CK186" s="699" t="str">
        <f>VLOOKUP(WWWW[[#This Row],[Site Name]],SiteDB6[[Site Name]:[Location Type]],8,FALSE)</f>
        <v>Village_Not HRP</v>
      </c>
      <c r="CL186" s="699" t="str">
        <f>VLOOKUP(WWWW[[#This Row],[Site Name]],SiteDB6[[Site Name]:[Location Type 1]],9,FALSE)</f>
        <v>Village</v>
      </c>
      <c r="CM186" s="699" t="str">
        <f>VLOOKUP(WWWW[[#This Row],[Site Name]],SiteDB6[[Site Name]:[Type of Accommodation]],10,FALSE)</f>
        <v>Village_Not HRP</v>
      </c>
      <c r="CN186" s="699" t="str">
        <f>VLOOKUP(WWWW[[#This Row],[Site Name]],SiteDB6[[Site Name]:[Ethnic or GCA/NGCA]],11,FALSE)</f>
        <v>Rakhine</v>
      </c>
      <c r="CO186" s="699">
        <f>VLOOKUP(WWWW[[#This Row],[Site Name]],SiteDB6[[Site Name]:[Lat]],12,FALSE)</f>
        <v>19.484790802001999</v>
      </c>
      <c r="CP186" s="699">
        <f>VLOOKUP(WWWW[[#This Row],[Site Name]],SiteDB6[[Site Name]:[Long]],13,FALSE)</f>
        <v>94.007926940917997</v>
      </c>
      <c r="CQ186" s="699" t="str">
        <f>VLOOKUP(WWWW[[#This Row],[Site Name]],SiteDB6[[Site Name]:[Pcode]],3,FALSE)</f>
        <v>199191</v>
      </c>
      <c r="CR186" s="660" t="str">
        <f t="shared" si="2"/>
        <v>Covered</v>
      </c>
      <c r="CS186" s="699"/>
      <c r="CT186" s="24"/>
      <c r="CU186" s="24"/>
      <c r="CV186" s="24"/>
    </row>
    <row r="187" spans="1:100" ht="15.75" customHeight="1" x14ac:dyDescent="0.25">
      <c r="A187" s="833" t="s">
        <v>3206</v>
      </c>
      <c r="B187" s="206" t="s">
        <v>2444</v>
      </c>
      <c r="C187" s="206" t="s">
        <v>454</v>
      </c>
      <c r="D187" s="206" t="s">
        <v>486</v>
      </c>
      <c r="E187" s="206" t="s">
        <v>487</v>
      </c>
      <c r="F187" s="206">
        <f>ROUND(WWWW[[#This Row],[Total PoP ]]/5,0)</f>
        <v>194</v>
      </c>
      <c r="G187" s="209">
        <v>972</v>
      </c>
      <c r="H187" s="206"/>
      <c r="I187" s="206" t="s">
        <v>488</v>
      </c>
      <c r="J187" s="207">
        <v>43586</v>
      </c>
      <c r="K187" s="206"/>
      <c r="L187" s="206" t="s">
        <v>48</v>
      </c>
      <c r="M187" s="208">
        <v>0</v>
      </c>
      <c r="N187" s="208">
        <v>0</v>
      </c>
      <c r="O187" s="316">
        <v>0</v>
      </c>
      <c r="P187" s="317">
        <v>0</v>
      </c>
      <c r="Q187" s="317"/>
      <c r="R187" s="318"/>
      <c r="S187" s="318">
        <v>0</v>
      </c>
      <c r="T187" s="318"/>
      <c r="U187" s="318"/>
      <c r="V187" s="318"/>
      <c r="W187" s="318"/>
      <c r="X187" s="318"/>
      <c r="Y187" s="318"/>
      <c r="Z187" s="318"/>
      <c r="AA187" s="310">
        <v>0</v>
      </c>
      <c r="AB187" s="310"/>
      <c r="AC187" s="310"/>
      <c r="AD187" s="66"/>
      <c r="AE187" s="310">
        <v>0</v>
      </c>
      <c r="AF187" s="310" t="s">
        <v>286</v>
      </c>
      <c r="AG187" s="311" t="s">
        <v>286</v>
      </c>
      <c r="AH187" s="66"/>
      <c r="AI187" s="66"/>
      <c r="AJ187" s="310"/>
      <c r="AK187" s="841">
        <v>0</v>
      </c>
      <c r="AL187" s="842"/>
      <c r="AM187" s="842">
        <v>0</v>
      </c>
      <c r="AN187" s="863"/>
      <c r="AO187" s="863">
        <v>0</v>
      </c>
      <c r="AP187" s="838"/>
      <c r="AQ187" s="843"/>
      <c r="AR187" s="843"/>
      <c r="AS187" s="843"/>
      <c r="AT187" s="843"/>
      <c r="AU187" s="843"/>
      <c r="AV187" s="844"/>
      <c r="AW187" s="208" t="str">
        <f>IFERROR(WWWW[[#This Row],['# of Water passed at source]]/WWWW[[#This Row],['# of Water tested at source]],"no test")</f>
        <v>no test</v>
      </c>
      <c r="AX187" s="211" t="str">
        <f>IFERROR(WWWW[[#This Row],['# of Water passed at HH]]/WWWW[[#This Row],['# of Water tested at HH]],"no test")</f>
        <v>no test</v>
      </c>
      <c r="AY187" s="210" t="str">
        <f>IF(AND(WWWW[[#This Row],[%of Water samples which passed at water source]]="no test",WWWW[[#This Row],[%Water samples which passed at HH]]="no test"),"No Test","Tested")</f>
        <v>No Test</v>
      </c>
      <c r="AZ18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7" s="211">
        <f>IF(WWWW[[#This Row],[Location Type 1]]="Village",WWWW[[#This Row],[Access to safe drinking water for Village]],WWWW[[#This Row],[Access to safe drinking water for Camp]])</f>
        <v>0</v>
      </c>
      <c r="BC187" s="209">
        <f>WWWW[[#This Row],[%Equitable and continuous access to sufficient quantity of safe drinking water]]*WWWW[[#This Row],[Total PoP ]]</f>
        <v>0</v>
      </c>
      <c r="BD187" s="211">
        <f>IF((WWWW[[#This Row],['# Existing protected/fenced ponds ]]*250)/WWWW[[#This Row],[Total PoP ]]&gt;1,1,WWWW[[#This Row],['# Existing protected/fenced ponds ]]*250/WWWW[[#This Row],[Total PoP ]])</f>
        <v>0</v>
      </c>
      <c r="BE187" s="209">
        <f>WWWW[[#This Row],[Access to unimproved water points]]*WWWW[[#This Row],[Total PoP ]]</f>
        <v>0</v>
      </c>
      <c r="BF18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7" s="209">
        <f>ROUND(WWWW[[#This Row],['#people Equitable and continuous access to sufficient quantity of domestic water borehole n ponds_2]]/500,0)</f>
        <v>0</v>
      </c>
      <c r="BI187" s="208">
        <f>1-WWWW[[#This Row],[%Equitable and continuous access to sufficient quantity of domestic water borehole n ponds]]</f>
        <v>1</v>
      </c>
      <c r="BJ187" s="209">
        <f>WWWW[[#This Row],[%equitable and continuous access to sufficient quantity of safe drinking and domestic water''s GAP]]*WWWW[[#This Row],[Total PoP ]]</f>
        <v>972</v>
      </c>
      <c r="BK187" s="210">
        <f>IF(WWWW[[#This Row],[Total required water points]]-WWWW[[#This Row],['#Water points coverage]]&lt;0,0,WWWW[[#This Row],[Total required water points]]-WWWW[[#This Row],['#Water points coverage]])</f>
        <v>2</v>
      </c>
      <c r="BL187" s="210">
        <f>ROUND(IF(WWWW[[#This Row],[Total PoP ]]&lt;500,1,WWWW[[#This Row],[Total PoP ]]/500),0)</f>
        <v>2</v>
      </c>
      <c r="BM187" s="210">
        <f>WWWW[[#This Row],['# Existing functional latrines]]+WWWW[[#This Row],['# Existing latrines dysfunctional]]</f>
        <v>0</v>
      </c>
      <c r="BN18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7" s="352">
        <f>WWWW[[#This Row],[% people access to functioning Latrine]]*WWWW[[#This Row],[Total PoP ]]</f>
        <v>0</v>
      </c>
      <c r="BP18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87" s="209">
        <f>IF(WWWW[[#This Row],[Total required Latrines]]-WWWW[[#This Row],[Total '# of latrine]]&lt;0,0,WWWW[[#This Row],[Total required Latrines]]-WWWW[[#This Row],[Total '# of latrine]])</f>
        <v>162</v>
      </c>
      <c r="BR187" s="210">
        <f>ROUND(IF(WWWW[[#This Row],[Location Type 1]]="camp",WWWW[[#This Row],[Total PoP ]]/20,WWWW[[#This Row],[Total PoP ]]/6),0)</f>
        <v>162</v>
      </c>
      <c r="BS187" s="212">
        <f>IF(OR(WWWW[[#This Row],['# Existing latrines dysfunctional]]="",WWWW[[#This Row],['# Existing latrines dysfunctional]]=0),0,WWWW[[#This Row],['# Existing latrines dysfunctional]]/WWWW[[#This Row],[Total '# of latrine]])</f>
        <v>0</v>
      </c>
      <c r="BT18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7" s="209">
        <f>IF(500*WWWW[[#This Row],['# Hygiene Promoters ]]&gt;WWWW[[#This Row],[Total PoP ]],WWWW[[#This Row],[Total PoP ]],500*WWWW[[#This Row],['# Hygiene Promoters ]])</f>
        <v>0</v>
      </c>
      <c r="BV187" s="209">
        <f>IF(WWWW[[#This Row],[% of HH with access to Sanitary Pad]]&gt;=100%,1,0)</f>
        <v>0</v>
      </c>
      <c r="BW187" s="209">
        <f>IF(WWWW[[#This Row],[Total PoP ]]=0,0,IF(WWWW[[#This Row],['# Hygiene Promoters ]]=0,0,IF(WWWW[[#This Row],[Location Type 1]]="Village",IF(WWWW[[#This Row],[Total PoP ]]/WWWW[[#This Row],['# Hygiene Promoters ]]&lt;1000,1,0),IF(WWWW[[#This Row],[Total PoP ]]/WWWW[[#This Row],['# Hygiene Promoters ]]&lt;600,1,0))))</f>
        <v>0</v>
      </c>
      <c r="BX187" s="209">
        <f>IF(WWWW[[#This Row],[%HH with access to soap]]&gt;=100%,1,0)</f>
        <v>0</v>
      </c>
      <c r="BY187" s="209">
        <f>IF(WWWW[[#This Row],[% of HHs with access to Sanitary pad more than '#%]]+WWWW[[#This Row],[Ratio of Hyiene promoters to people less than '#]]+WWWW[[#This Row],[% of HHs with access to soap more than '#%]]&gt;=2,WWWW[[#This Row],[Total PoP ]],0)</f>
        <v>0</v>
      </c>
      <c r="BZ187" s="208">
        <f>WWWW[[#This Row],[People adopt basic personal and community hygiene practices]]/WWWW[[#This Row],[Total PoP ]]</f>
        <v>0</v>
      </c>
      <c r="CA187" s="212">
        <f>1-WWWW[[#This Row],[Hygiene Coverage%]]</f>
        <v>1</v>
      </c>
      <c r="CB187" s="211">
        <f>WWWW[[#This Row],['# people reached by regular dedicated hygiene promotion_5]]/WWWW[[#This Row],[Total PoP ]]</f>
        <v>0</v>
      </c>
      <c r="CC187" s="211">
        <f>IF(WWWW[[#This Row],['# HH received soaps]]/WWWW[[#This Row],[Total HH]]&gt;1,1,WWWW[[#This Row],['# HH received soaps]]/WWWW[[#This Row],[Total HH]])</f>
        <v>0</v>
      </c>
      <c r="CD187" s="211">
        <f>IF(WWWW[[#This Row],['# HH received Sanitary Pads]]/WWWW[[#This Row],[Total HH]]&gt;1,1,WWWW[[#This Row],['# HH received Sanitary Pads]]/WWWW[[#This Row],[Total HH]])</f>
        <v>0</v>
      </c>
      <c r="CE187" s="210">
        <f>WWWW[[#This Row],['# HH received soaps]]*5</f>
        <v>0</v>
      </c>
      <c r="CF187" s="210">
        <f>WWWW[[#This Row],['# HH received Sanitary Pads]]*5</f>
        <v>0</v>
      </c>
      <c r="CG187" s="210">
        <f>IF(WWWW[[#This Row],['# People with access to soap]]&gt;WWWW[[#This Row],['# People with access to Sanity Pads]],WWWW[[#This Row],['# People with access to soap]],WWWW[[#This Row],['# People with access to Sanity Pads]])</f>
        <v>0</v>
      </c>
      <c r="CH187" s="209">
        <f>WWWW[[#This Row],[Total HH]]*WWWW[[#This Row],[%HHs with access to functional hand washing stations]]</f>
        <v>0</v>
      </c>
      <c r="CI187" s="699">
        <f>VLOOKUP(WWWW[[#This Row],[Site Name]],SiteDB6[[Site Name]:[CCCM Management]],6,FALSE)</f>
        <v>0</v>
      </c>
      <c r="CJ187" s="699">
        <f>VLOOKUP(WWWW[[#This Row],[Site Name]],SiteDB6[[Site Name]:[CCCM Focal Agency]],7,FALSE)</f>
        <v>0</v>
      </c>
      <c r="CK187" s="699" t="str">
        <f>VLOOKUP(WWWW[[#This Row],[Site Name]],SiteDB6[[Site Name]:[Location Type]],8,FALSE)</f>
        <v>Village_Not HRP</v>
      </c>
      <c r="CL187" s="699" t="str">
        <f>VLOOKUP(WWWW[[#This Row],[Site Name]],SiteDB6[[Site Name]:[Location Type 1]],9,FALSE)</f>
        <v>Village</v>
      </c>
      <c r="CM187" s="699" t="str">
        <f>VLOOKUP(WWWW[[#This Row],[Site Name]],SiteDB6[[Site Name]:[Type of Accommodation]],10,FALSE)</f>
        <v>Village_Not HRP</v>
      </c>
      <c r="CN187" s="699" t="str">
        <f>VLOOKUP(WWWW[[#This Row],[Site Name]],SiteDB6[[Site Name]:[Ethnic or GCA/NGCA]],11,FALSE)</f>
        <v>Chin</v>
      </c>
      <c r="CO187" s="699">
        <f>VLOOKUP(WWWW[[#This Row],[Site Name]],SiteDB6[[Site Name]:[Lat]],12,FALSE)</f>
        <v>0</v>
      </c>
      <c r="CP187" s="699">
        <f>VLOOKUP(WWWW[[#This Row],[Site Name]],SiteDB6[[Site Name]:[Long]],13,FALSE)</f>
        <v>0</v>
      </c>
      <c r="CQ187" s="699">
        <f>VLOOKUP(WWWW[[#This Row],[Site Name]],SiteDB6[[Site Name]:[Pcode]],3,FALSE)</f>
        <v>0</v>
      </c>
      <c r="CR187" s="660" t="str">
        <f t="shared" si="2"/>
        <v>Covered</v>
      </c>
      <c r="CS187" s="699"/>
      <c r="CT187" s="24"/>
      <c r="CU187" s="24"/>
      <c r="CV187" s="24"/>
    </row>
    <row r="188" spans="1:100" ht="15.75" customHeight="1" x14ac:dyDescent="0.25">
      <c r="A188" s="833" t="s">
        <v>3206</v>
      </c>
      <c r="B188" s="206" t="s">
        <v>2444</v>
      </c>
      <c r="C188" s="206" t="s">
        <v>454</v>
      </c>
      <c r="D188" s="206" t="s">
        <v>486</v>
      </c>
      <c r="E188" s="206" t="s">
        <v>555</v>
      </c>
      <c r="F188" s="206">
        <f>ROUND(WWWW[[#This Row],[Total PoP ]]/5,0)</f>
        <v>104</v>
      </c>
      <c r="G188" s="209">
        <v>521</v>
      </c>
      <c r="H188" s="206"/>
      <c r="I188" s="206" t="s">
        <v>488</v>
      </c>
      <c r="J188" s="207">
        <v>43586</v>
      </c>
      <c r="K188" s="206"/>
      <c r="L188" s="206" t="s">
        <v>48</v>
      </c>
      <c r="M188" s="208">
        <v>0</v>
      </c>
      <c r="N188" s="208">
        <v>0</v>
      </c>
      <c r="O188" s="316">
        <v>0</v>
      </c>
      <c r="P188" s="317">
        <v>0</v>
      </c>
      <c r="Q188" s="317"/>
      <c r="R188" s="318"/>
      <c r="S188" s="318">
        <v>0</v>
      </c>
      <c r="T188" s="318"/>
      <c r="U188" s="318"/>
      <c r="V188" s="318"/>
      <c r="W188" s="318"/>
      <c r="X188" s="318"/>
      <c r="Y188" s="318"/>
      <c r="Z188" s="318"/>
      <c r="AA188" s="310">
        <v>0</v>
      </c>
      <c r="AB188" s="310"/>
      <c r="AC188" s="66"/>
      <c r="AD188" s="66"/>
      <c r="AE188" s="310">
        <v>0</v>
      </c>
      <c r="AF188" s="310" t="s">
        <v>286</v>
      </c>
      <c r="AG188" s="311" t="s">
        <v>286</v>
      </c>
      <c r="AH188" s="311"/>
      <c r="AI188" s="310"/>
      <c r="AJ188" s="310"/>
      <c r="AK188" s="841">
        <v>0</v>
      </c>
      <c r="AL188" s="842"/>
      <c r="AM188" s="842">
        <v>0</v>
      </c>
      <c r="AN188" s="863"/>
      <c r="AO188" s="863">
        <v>0</v>
      </c>
      <c r="AP188" s="838"/>
      <c r="AQ188" s="843"/>
      <c r="AR188" s="843"/>
      <c r="AS188" s="843"/>
      <c r="AT188" s="843"/>
      <c r="AU188" s="843"/>
      <c r="AV188" s="844"/>
      <c r="AW188" s="208" t="str">
        <f>IFERROR(WWWW[[#This Row],['# of Water passed at source]]/WWWW[[#This Row],['# of Water tested at source]],"no test")</f>
        <v>no test</v>
      </c>
      <c r="AX188" s="211" t="str">
        <f>IFERROR(WWWW[[#This Row],['# of Water passed at HH]]/WWWW[[#This Row],['# of Water tested at HH]],"no test")</f>
        <v>no test</v>
      </c>
      <c r="AY188" s="210" t="str">
        <f>IF(AND(WWWW[[#This Row],[%of Water samples which passed at water source]]="no test",WWWW[[#This Row],[%Water samples which passed at HH]]="no test"),"No Test","Tested")</f>
        <v>No Test</v>
      </c>
      <c r="AZ18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8" s="211">
        <f>IF(WWWW[[#This Row],[Location Type 1]]="Village",WWWW[[#This Row],[Access to safe drinking water for Village]],WWWW[[#This Row],[Access to safe drinking water for Camp]])</f>
        <v>0</v>
      </c>
      <c r="BC188" s="209">
        <f>WWWW[[#This Row],[%Equitable and continuous access to sufficient quantity of safe drinking water]]*WWWW[[#This Row],[Total PoP ]]</f>
        <v>0</v>
      </c>
      <c r="BD188" s="211">
        <f>IF((WWWW[[#This Row],['# Existing protected/fenced ponds ]]*250)/WWWW[[#This Row],[Total PoP ]]&gt;1,1,WWWW[[#This Row],['# Existing protected/fenced ponds ]]*250/WWWW[[#This Row],[Total PoP ]])</f>
        <v>0</v>
      </c>
      <c r="BE188" s="209">
        <f>WWWW[[#This Row],[Access to unimproved water points]]*WWWW[[#This Row],[Total PoP ]]</f>
        <v>0</v>
      </c>
      <c r="BF18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8" s="209">
        <f>ROUND(WWWW[[#This Row],['#people Equitable and continuous access to sufficient quantity of domestic water borehole n ponds_2]]/500,0)</f>
        <v>0</v>
      </c>
      <c r="BI188" s="208">
        <f>1-WWWW[[#This Row],[%Equitable and continuous access to sufficient quantity of domestic water borehole n ponds]]</f>
        <v>1</v>
      </c>
      <c r="BJ188" s="209">
        <f>WWWW[[#This Row],[%equitable and continuous access to sufficient quantity of safe drinking and domestic water''s GAP]]*WWWW[[#This Row],[Total PoP ]]</f>
        <v>521</v>
      </c>
      <c r="BK188" s="210">
        <f>IF(WWWW[[#This Row],[Total required water points]]-WWWW[[#This Row],['#Water points coverage]]&lt;0,0,WWWW[[#This Row],[Total required water points]]-WWWW[[#This Row],['#Water points coverage]])</f>
        <v>1</v>
      </c>
      <c r="BL188" s="210">
        <f>ROUND(IF(WWWW[[#This Row],[Total PoP ]]&lt;500,1,WWWW[[#This Row],[Total PoP ]]/500),0)</f>
        <v>1</v>
      </c>
      <c r="BM188" s="210">
        <f>WWWW[[#This Row],['# Existing functional latrines]]+WWWW[[#This Row],['# Existing latrines dysfunctional]]</f>
        <v>0</v>
      </c>
      <c r="BN18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8" s="352">
        <f>WWWW[[#This Row],[% people access to functioning Latrine]]*WWWW[[#This Row],[Total PoP ]]</f>
        <v>0</v>
      </c>
      <c r="BP18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88" s="209">
        <f>IF(WWWW[[#This Row],[Total required Latrines]]-WWWW[[#This Row],[Total '# of latrine]]&lt;0,0,WWWW[[#This Row],[Total required Latrines]]-WWWW[[#This Row],[Total '# of latrine]])</f>
        <v>87</v>
      </c>
      <c r="BR188" s="210">
        <f>ROUND(IF(WWWW[[#This Row],[Location Type 1]]="camp",WWWW[[#This Row],[Total PoP ]]/20,WWWW[[#This Row],[Total PoP ]]/6),0)</f>
        <v>87</v>
      </c>
      <c r="BS188" s="212">
        <f>IF(OR(WWWW[[#This Row],['# Existing latrines dysfunctional]]="",WWWW[[#This Row],['# Existing latrines dysfunctional]]=0),0,WWWW[[#This Row],['# Existing latrines dysfunctional]]/WWWW[[#This Row],[Total '# of latrine]])</f>
        <v>0</v>
      </c>
      <c r="BT18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8" s="209">
        <f>IF(500*WWWW[[#This Row],['# Hygiene Promoters ]]&gt;WWWW[[#This Row],[Total PoP ]],WWWW[[#This Row],[Total PoP ]],500*WWWW[[#This Row],['# Hygiene Promoters ]])</f>
        <v>0</v>
      </c>
      <c r="BV188" s="209">
        <f>IF(WWWW[[#This Row],[% of HH with access to Sanitary Pad]]&gt;=100%,1,0)</f>
        <v>0</v>
      </c>
      <c r="BW188" s="209">
        <f>IF(WWWW[[#This Row],[Total PoP ]]=0,0,IF(WWWW[[#This Row],['# Hygiene Promoters ]]=0,0,IF(WWWW[[#This Row],[Location Type 1]]="Village",IF(WWWW[[#This Row],[Total PoP ]]/WWWW[[#This Row],['# Hygiene Promoters ]]&lt;1000,1,0),IF(WWWW[[#This Row],[Total PoP ]]/WWWW[[#This Row],['# Hygiene Promoters ]]&lt;600,1,0))))</f>
        <v>0</v>
      </c>
      <c r="BX188" s="209">
        <f>IF(WWWW[[#This Row],[%HH with access to soap]]&gt;=100%,1,0)</f>
        <v>0</v>
      </c>
      <c r="BY188" s="209">
        <f>IF(WWWW[[#This Row],[% of HHs with access to Sanitary pad more than '#%]]+WWWW[[#This Row],[Ratio of Hyiene promoters to people less than '#]]+WWWW[[#This Row],[% of HHs with access to soap more than '#%]]&gt;=2,WWWW[[#This Row],[Total PoP ]],0)</f>
        <v>0</v>
      </c>
      <c r="BZ188" s="208">
        <f>WWWW[[#This Row],[People adopt basic personal and community hygiene practices]]/WWWW[[#This Row],[Total PoP ]]</f>
        <v>0</v>
      </c>
      <c r="CA188" s="212">
        <f>1-WWWW[[#This Row],[Hygiene Coverage%]]</f>
        <v>1</v>
      </c>
      <c r="CB188" s="211">
        <f>WWWW[[#This Row],['# people reached by regular dedicated hygiene promotion_5]]/WWWW[[#This Row],[Total PoP ]]</f>
        <v>0</v>
      </c>
      <c r="CC188" s="211">
        <f>IF(WWWW[[#This Row],['# HH received soaps]]/WWWW[[#This Row],[Total HH]]&gt;1,1,WWWW[[#This Row],['# HH received soaps]]/WWWW[[#This Row],[Total HH]])</f>
        <v>0</v>
      </c>
      <c r="CD188" s="211">
        <f>IF(WWWW[[#This Row],['# HH received Sanitary Pads]]/WWWW[[#This Row],[Total HH]]&gt;1,1,WWWW[[#This Row],['# HH received Sanitary Pads]]/WWWW[[#This Row],[Total HH]])</f>
        <v>0</v>
      </c>
      <c r="CE188" s="210">
        <f>WWWW[[#This Row],['# HH received soaps]]*5</f>
        <v>0</v>
      </c>
      <c r="CF188" s="210">
        <f>WWWW[[#This Row],['# HH received Sanitary Pads]]*5</f>
        <v>0</v>
      </c>
      <c r="CG188" s="210">
        <f>IF(WWWW[[#This Row],['# People with access to soap]]&gt;WWWW[[#This Row],['# People with access to Sanity Pads]],WWWW[[#This Row],['# People with access to soap]],WWWW[[#This Row],['# People with access to Sanity Pads]])</f>
        <v>0</v>
      </c>
      <c r="CH188" s="209">
        <f>WWWW[[#This Row],[Total HH]]*WWWW[[#This Row],[%HHs with access to functional hand washing stations]]</f>
        <v>0</v>
      </c>
      <c r="CI188" s="699">
        <f>VLOOKUP(WWWW[[#This Row],[Site Name]],SiteDB6[[Site Name]:[CCCM Management]],6,FALSE)</f>
        <v>0</v>
      </c>
      <c r="CJ188" s="699">
        <f>VLOOKUP(WWWW[[#This Row],[Site Name]],SiteDB6[[Site Name]:[CCCM Focal Agency]],7,FALSE)</f>
        <v>0</v>
      </c>
      <c r="CK188" s="699" t="str">
        <f>VLOOKUP(WWWW[[#This Row],[Site Name]],SiteDB6[[Site Name]:[Location Type]],8,FALSE)</f>
        <v>Village_Not HRP</v>
      </c>
      <c r="CL188" s="699" t="str">
        <f>VLOOKUP(WWWW[[#This Row],[Site Name]],SiteDB6[[Site Name]:[Location Type 1]],9,FALSE)</f>
        <v>Village</v>
      </c>
      <c r="CM188" s="699" t="str">
        <f>VLOOKUP(WWWW[[#This Row],[Site Name]],SiteDB6[[Site Name]:[Type of Accommodation]],10,FALSE)</f>
        <v>Village_Not HRP</v>
      </c>
      <c r="CN188" s="699" t="str">
        <f>VLOOKUP(WWWW[[#This Row],[Site Name]],SiteDB6[[Site Name]:[Ethnic or GCA/NGCA]],11,FALSE)</f>
        <v>Rakhine</v>
      </c>
      <c r="CO188" s="699">
        <f>VLOOKUP(WWWW[[#This Row],[Site Name]],SiteDB6[[Site Name]:[Lat]],12,FALSE)</f>
        <v>19.989589691162099</v>
      </c>
      <c r="CP188" s="699">
        <f>VLOOKUP(WWWW[[#This Row],[Site Name]],SiteDB6[[Site Name]:[Long]],13,FALSE)</f>
        <v>93.823867797851605</v>
      </c>
      <c r="CQ188" s="699" t="str">
        <f>VLOOKUP(WWWW[[#This Row],[Site Name]],SiteDB6[[Site Name]:[Pcode]],3,FALSE)</f>
        <v>199250</v>
      </c>
      <c r="CR188" s="660" t="str">
        <f t="shared" si="2"/>
        <v>Covered</v>
      </c>
      <c r="CS188" s="660"/>
      <c r="CT188" s="24"/>
      <c r="CU188" s="24"/>
      <c r="CV188" s="24"/>
    </row>
    <row r="189" spans="1:100" ht="15.75" customHeight="1" x14ac:dyDescent="0.25">
      <c r="A189" s="833" t="s">
        <v>3206</v>
      </c>
      <c r="B189" s="206" t="s">
        <v>2444</v>
      </c>
      <c r="C189" s="206" t="s">
        <v>454</v>
      </c>
      <c r="D189" s="206" t="s">
        <v>486</v>
      </c>
      <c r="E189" s="206" t="s">
        <v>544</v>
      </c>
      <c r="F189" s="206">
        <f>ROUND(WWWW[[#This Row],[Total PoP ]]/5,0)</f>
        <v>44</v>
      </c>
      <c r="G189" s="209">
        <v>221</v>
      </c>
      <c r="H189" s="206"/>
      <c r="I189" s="206" t="s">
        <v>488</v>
      </c>
      <c r="J189" s="207">
        <v>43586</v>
      </c>
      <c r="K189" s="206"/>
      <c r="L189" s="206" t="s">
        <v>48</v>
      </c>
      <c r="M189" s="208">
        <v>0</v>
      </c>
      <c r="N189" s="208">
        <v>0</v>
      </c>
      <c r="O189" s="323">
        <v>0</v>
      </c>
      <c r="P189" s="317">
        <v>0</v>
      </c>
      <c r="Q189" s="317"/>
      <c r="R189" s="318"/>
      <c r="S189" s="318">
        <v>0</v>
      </c>
      <c r="T189" s="318"/>
      <c r="U189" s="318"/>
      <c r="V189" s="318"/>
      <c r="W189" s="318"/>
      <c r="X189" s="318"/>
      <c r="Y189" s="318"/>
      <c r="Z189" s="318"/>
      <c r="AA189" s="310">
        <v>0</v>
      </c>
      <c r="AB189" s="310"/>
      <c r="AC189" s="66"/>
      <c r="AD189" s="66"/>
      <c r="AE189" s="310">
        <v>0</v>
      </c>
      <c r="AF189" s="310" t="s">
        <v>286</v>
      </c>
      <c r="AG189" s="311" t="s">
        <v>286</v>
      </c>
      <c r="AH189" s="311"/>
      <c r="AI189" s="310"/>
      <c r="AJ189" s="310"/>
      <c r="AK189" s="841">
        <v>0</v>
      </c>
      <c r="AL189" s="842"/>
      <c r="AM189" s="842">
        <v>0</v>
      </c>
      <c r="AN189" s="863"/>
      <c r="AO189" s="863">
        <v>0</v>
      </c>
      <c r="AP189" s="838"/>
      <c r="AQ189" s="843"/>
      <c r="AR189" s="843"/>
      <c r="AS189" s="843"/>
      <c r="AT189" s="843"/>
      <c r="AU189" s="843"/>
      <c r="AV189" s="844"/>
      <c r="AW189" s="208" t="str">
        <f>IFERROR(WWWW[[#This Row],['# of Water passed at source]]/WWWW[[#This Row],['# of Water tested at source]],"no test")</f>
        <v>no test</v>
      </c>
      <c r="AX189" s="211" t="str">
        <f>IFERROR(WWWW[[#This Row],['# of Water passed at HH]]/WWWW[[#This Row],['# of Water tested at HH]],"no test")</f>
        <v>no test</v>
      </c>
      <c r="AY189" s="210" t="str">
        <f>IF(AND(WWWW[[#This Row],[%of Water samples which passed at water source]]="no test",WWWW[[#This Row],[%Water samples which passed at HH]]="no test"),"No Test","Tested")</f>
        <v>No Test</v>
      </c>
      <c r="AZ18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8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89" s="211">
        <f>IF(WWWW[[#This Row],[Location Type 1]]="Village",WWWW[[#This Row],[Access to safe drinking water for Village]],WWWW[[#This Row],[Access to safe drinking water for Camp]])</f>
        <v>0</v>
      </c>
      <c r="BC189" s="209">
        <f>WWWW[[#This Row],[%Equitable and continuous access to sufficient quantity of safe drinking water]]*WWWW[[#This Row],[Total PoP ]]</f>
        <v>0</v>
      </c>
      <c r="BD189" s="211">
        <f>IF((WWWW[[#This Row],['# Existing protected/fenced ponds ]]*250)/WWWW[[#This Row],[Total PoP ]]&gt;1,1,WWWW[[#This Row],['# Existing protected/fenced ponds ]]*250/WWWW[[#This Row],[Total PoP ]])</f>
        <v>0</v>
      </c>
      <c r="BE189" s="209">
        <f>WWWW[[#This Row],[Access to unimproved water points]]*WWWW[[#This Row],[Total PoP ]]</f>
        <v>0</v>
      </c>
      <c r="BF18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8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89" s="209">
        <f>ROUND(WWWW[[#This Row],['#people Equitable and continuous access to sufficient quantity of domestic water borehole n ponds_2]]/500,0)</f>
        <v>0</v>
      </c>
      <c r="BI189" s="208">
        <f>1-WWWW[[#This Row],[%Equitable and continuous access to sufficient quantity of domestic water borehole n ponds]]</f>
        <v>1</v>
      </c>
      <c r="BJ189" s="209">
        <f>WWWW[[#This Row],[%equitable and continuous access to sufficient quantity of safe drinking and domestic water''s GAP]]*WWWW[[#This Row],[Total PoP ]]</f>
        <v>221</v>
      </c>
      <c r="BK189" s="210">
        <f>IF(WWWW[[#This Row],[Total required water points]]-WWWW[[#This Row],['#Water points coverage]]&lt;0,0,WWWW[[#This Row],[Total required water points]]-WWWW[[#This Row],['#Water points coverage]])</f>
        <v>1</v>
      </c>
      <c r="BL189" s="210">
        <f>ROUND(IF(WWWW[[#This Row],[Total PoP ]]&lt;500,1,WWWW[[#This Row],[Total PoP ]]/500),0)</f>
        <v>1</v>
      </c>
      <c r="BM189" s="210">
        <f>WWWW[[#This Row],['# Existing functional latrines]]+WWWW[[#This Row],['# Existing latrines dysfunctional]]</f>
        <v>0</v>
      </c>
      <c r="BN18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89" s="352">
        <f>WWWW[[#This Row],[% people access to functioning Latrine]]*WWWW[[#This Row],[Total PoP ]]</f>
        <v>0</v>
      </c>
      <c r="BP18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89" s="209">
        <f>IF(WWWW[[#This Row],[Total required Latrines]]-WWWW[[#This Row],[Total '# of latrine]]&lt;0,0,WWWW[[#This Row],[Total required Latrines]]-WWWW[[#This Row],[Total '# of latrine]])</f>
        <v>37</v>
      </c>
      <c r="BR189" s="210">
        <f>ROUND(IF(WWWW[[#This Row],[Location Type 1]]="camp",WWWW[[#This Row],[Total PoP ]]/20,WWWW[[#This Row],[Total PoP ]]/6),0)</f>
        <v>37</v>
      </c>
      <c r="BS189" s="212">
        <f>IF(OR(WWWW[[#This Row],['# Existing latrines dysfunctional]]="",WWWW[[#This Row],['# Existing latrines dysfunctional]]=0),0,WWWW[[#This Row],['# Existing latrines dysfunctional]]/WWWW[[#This Row],[Total '# of latrine]])</f>
        <v>0</v>
      </c>
      <c r="BT18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89" s="209">
        <f>IF(500*WWWW[[#This Row],['# Hygiene Promoters ]]&gt;WWWW[[#This Row],[Total PoP ]],WWWW[[#This Row],[Total PoP ]],500*WWWW[[#This Row],['# Hygiene Promoters ]])</f>
        <v>0</v>
      </c>
      <c r="BV189" s="209">
        <f>IF(WWWW[[#This Row],[% of HH with access to Sanitary Pad]]&gt;=100%,1,0)</f>
        <v>0</v>
      </c>
      <c r="BW189" s="209">
        <f>IF(WWWW[[#This Row],[Total PoP ]]=0,0,IF(WWWW[[#This Row],['# Hygiene Promoters ]]=0,0,IF(WWWW[[#This Row],[Location Type 1]]="Village",IF(WWWW[[#This Row],[Total PoP ]]/WWWW[[#This Row],['# Hygiene Promoters ]]&lt;1000,1,0),IF(WWWW[[#This Row],[Total PoP ]]/WWWW[[#This Row],['# Hygiene Promoters ]]&lt;600,1,0))))</f>
        <v>0</v>
      </c>
      <c r="BX189" s="209">
        <f>IF(WWWW[[#This Row],[%HH with access to soap]]&gt;=100%,1,0)</f>
        <v>0</v>
      </c>
      <c r="BY189" s="209">
        <f>IF(WWWW[[#This Row],[% of HHs with access to Sanitary pad more than '#%]]+WWWW[[#This Row],[Ratio of Hyiene promoters to people less than '#]]+WWWW[[#This Row],[% of HHs with access to soap more than '#%]]&gt;=2,WWWW[[#This Row],[Total PoP ]],0)</f>
        <v>0</v>
      </c>
      <c r="BZ189" s="208">
        <f>WWWW[[#This Row],[People adopt basic personal and community hygiene practices]]/WWWW[[#This Row],[Total PoP ]]</f>
        <v>0</v>
      </c>
      <c r="CA189" s="212">
        <f>1-WWWW[[#This Row],[Hygiene Coverage%]]</f>
        <v>1</v>
      </c>
      <c r="CB189" s="211">
        <f>WWWW[[#This Row],['# people reached by regular dedicated hygiene promotion_5]]/WWWW[[#This Row],[Total PoP ]]</f>
        <v>0</v>
      </c>
      <c r="CC189" s="211">
        <f>IF(WWWW[[#This Row],['# HH received soaps]]/WWWW[[#This Row],[Total HH]]&gt;1,1,WWWW[[#This Row],['# HH received soaps]]/WWWW[[#This Row],[Total HH]])</f>
        <v>0</v>
      </c>
      <c r="CD189" s="211">
        <f>IF(WWWW[[#This Row],['# HH received Sanitary Pads]]/WWWW[[#This Row],[Total HH]]&gt;1,1,WWWW[[#This Row],['# HH received Sanitary Pads]]/WWWW[[#This Row],[Total HH]])</f>
        <v>0</v>
      </c>
      <c r="CE189" s="210">
        <f>WWWW[[#This Row],['# HH received soaps]]*5</f>
        <v>0</v>
      </c>
      <c r="CF189" s="210">
        <f>WWWW[[#This Row],['# HH received Sanitary Pads]]*5</f>
        <v>0</v>
      </c>
      <c r="CG189" s="210">
        <f>IF(WWWW[[#This Row],['# People with access to soap]]&gt;WWWW[[#This Row],['# People with access to Sanity Pads]],WWWW[[#This Row],['# People with access to soap]],WWWW[[#This Row],['# People with access to Sanity Pads]])</f>
        <v>0</v>
      </c>
      <c r="CH189" s="209">
        <f>WWWW[[#This Row],[Total HH]]*WWWW[[#This Row],[%HHs with access to functional hand washing stations]]</f>
        <v>0</v>
      </c>
      <c r="CI189" s="699">
        <f>VLOOKUP(WWWW[[#This Row],[Site Name]],SiteDB6[[Site Name]:[CCCM Management]],6,FALSE)</f>
        <v>0</v>
      </c>
      <c r="CJ189" s="699">
        <f>VLOOKUP(WWWW[[#This Row],[Site Name]],SiteDB6[[Site Name]:[CCCM Focal Agency]],7,FALSE)</f>
        <v>0</v>
      </c>
      <c r="CK189" s="699" t="str">
        <f>VLOOKUP(WWWW[[#This Row],[Site Name]],SiteDB6[[Site Name]:[Location Type]],8,FALSE)</f>
        <v>Village_Not HRP</v>
      </c>
      <c r="CL189" s="699" t="str">
        <f>VLOOKUP(WWWW[[#This Row],[Site Name]],SiteDB6[[Site Name]:[Location Type 1]],9,FALSE)</f>
        <v>Village</v>
      </c>
      <c r="CM189" s="699" t="str">
        <f>VLOOKUP(WWWW[[#This Row],[Site Name]],SiteDB6[[Site Name]:[Type of Accommodation]],10,FALSE)</f>
        <v>Village_Not HRP</v>
      </c>
      <c r="CN189" s="699" t="str">
        <f>VLOOKUP(WWWW[[#This Row],[Site Name]],SiteDB6[[Site Name]:[Ethnic or GCA/NGCA]],11,FALSE)</f>
        <v>Rakhine</v>
      </c>
      <c r="CO189" s="699">
        <f>VLOOKUP(WWWW[[#This Row],[Site Name]],SiteDB6[[Site Name]:[Lat]],12,FALSE)</f>
        <v>19.725629806518601</v>
      </c>
      <c r="CP189" s="699">
        <f>VLOOKUP(WWWW[[#This Row],[Site Name]],SiteDB6[[Site Name]:[Long]],13,FALSE)</f>
        <v>94.031059265136705</v>
      </c>
      <c r="CQ189" s="699" t="str">
        <f>VLOOKUP(WWWW[[#This Row],[Site Name]],SiteDB6[[Site Name]:[Pcode]],3,FALSE)</f>
        <v>199158</v>
      </c>
      <c r="CR189" s="660" t="str">
        <f t="shared" si="2"/>
        <v>Covered</v>
      </c>
      <c r="CS189" s="660"/>
      <c r="CT189" s="24"/>
      <c r="CU189" s="24"/>
      <c r="CV189" s="24"/>
    </row>
    <row r="190" spans="1:100" ht="15.75" customHeight="1" x14ac:dyDescent="0.25">
      <c r="A190" s="833" t="s">
        <v>3206</v>
      </c>
      <c r="B190" s="206" t="s">
        <v>2444</v>
      </c>
      <c r="C190" s="206" t="s">
        <v>454</v>
      </c>
      <c r="D190" s="206" t="s">
        <v>486</v>
      </c>
      <c r="E190" s="206" t="s">
        <v>533</v>
      </c>
      <c r="F190" s="206">
        <f>ROUND(WWWW[[#This Row],[Total PoP ]]/5,0)</f>
        <v>47</v>
      </c>
      <c r="G190" s="209">
        <v>237</v>
      </c>
      <c r="H190" s="206"/>
      <c r="I190" s="206" t="s">
        <v>488</v>
      </c>
      <c r="J190" s="207">
        <v>43586</v>
      </c>
      <c r="K190" s="206"/>
      <c r="L190" s="206" t="s">
        <v>48</v>
      </c>
      <c r="M190" s="208">
        <v>0</v>
      </c>
      <c r="N190" s="208">
        <v>0</v>
      </c>
      <c r="O190" s="316">
        <v>0</v>
      </c>
      <c r="P190" s="317">
        <v>0</v>
      </c>
      <c r="Q190" s="317"/>
      <c r="R190" s="318"/>
      <c r="S190" s="318">
        <v>0</v>
      </c>
      <c r="T190" s="318"/>
      <c r="U190" s="318"/>
      <c r="V190" s="318"/>
      <c r="W190" s="318"/>
      <c r="X190" s="318"/>
      <c r="Y190" s="318"/>
      <c r="Z190" s="318"/>
      <c r="AA190" s="310">
        <v>0</v>
      </c>
      <c r="AB190" s="310"/>
      <c r="AC190" s="66"/>
      <c r="AD190" s="66"/>
      <c r="AE190" s="310">
        <v>0</v>
      </c>
      <c r="AF190" s="310" t="s">
        <v>286</v>
      </c>
      <c r="AG190" s="311" t="s">
        <v>286</v>
      </c>
      <c r="AH190" s="311"/>
      <c r="AI190" s="310"/>
      <c r="AJ190" s="310"/>
      <c r="AK190" s="841">
        <v>0</v>
      </c>
      <c r="AL190" s="842"/>
      <c r="AM190" s="842">
        <v>0</v>
      </c>
      <c r="AN190" s="863"/>
      <c r="AO190" s="863">
        <v>0</v>
      </c>
      <c r="AP190" s="838"/>
      <c r="AQ190" s="843"/>
      <c r="AR190" s="843"/>
      <c r="AS190" s="843"/>
      <c r="AT190" s="843"/>
      <c r="AU190" s="843"/>
      <c r="AV190" s="844"/>
      <c r="AW190" s="208" t="str">
        <f>IFERROR(WWWW[[#This Row],['# of Water passed at source]]/WWWW[[#This Row],['# of Water tested at source]],"no test")</f>
        <v>no test</v>
      </c>
      <c r="AX190" s="211" t="str">
        <f>IFERROR(WWWW[[#This Row],['# of Water passed at HH]]/WWWW[[#This Row],['# of Water tested at HH]],"no test")</f>
        <v>no test</v>
      </c>
      <c r="AY190" s="210" t="str">
        <f>IF(AND(WWWW[[#This Row],[%of Water samples which passed at water source]]="no test",WWWW[[#This Row],[%Water samples which passed at HH]]="no test"),"No Test","Tested")</f>
        <v>No Test</v>
      </c>
      <c r="AZ19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0" s="211">
        <f>IF(WWWW[[#This Row],[Location Type 1]]="Village",WWWW[[#This Row],[Access to safe drinking water for Village]],WWWW[[#This Row],[Access to safe drinking water for Camp]])</f>
        <v>0</v>
      </c>
      <c r="BC190" s="209">
        <f>WWWW[[#This Row],[%Equitable and continuous access to sufficient quantity of safe drinking water]]*WWWW[[#This Row],[Total PoP ]]</f>
        <v>0</v>
      </c>
      <c r="BD190" s="211">
        <f>IF((WWWW[[#This Row],['# Existing protected/fenced ponds ]]*250)/WWWW[[#This Row],[Total PoP ]]&gt;1,1,WWWW[[#This Row],['# Existing protected/fenced ponds ]]*250/WWWW[[#This Row],[Total PoP ]])</f>
        <v>0</v>
      </c>
      <c r="BE190" s="209">
        <f>WWWW[[#This Row],[Access to unimproved water points]]*WWWW[[#This Row],[Total PoP ]]</f>
        <v>0</v>
      </c>
      <c r="BF19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0" s="209">
        <f>ROUND(WWWW[[#This Row],['#people Equitable and continuous access to sufficient quantity of domestic water borehole n ponds_2]]/500,0)</f>
        <v>0</v>
      </c>
      <c r="BI190" s="208">
        <f>1-WWWW[[#This Row],[%Equitable and continuous access to sufficient quantity of domestic water borehole n ponds]]</f>
        <v>1</v>
      </c>
      <c r="BJ190" s="209">
        <f>WWWW[[#This Row],[%equitable and continuous access to sufficient quantity of safe drinking and domestic water''s GAP]]*WWWW[[#This Row],[Total PoP ]]</f>
        <v>237</v>
      </c>
      <c r="BK190" s="210">
        <f>IF(WWWW[[#This Row],[Total required water points]]-WWWW[[#This Row],['#Water points coverage]]&lt;0,0,WWWW[[#This Row],[Total required water points]]-WWWW[[#This Row],['#Water points coverage]])</f>
        <v>1</v>
      </c>
      <c r="BL190" s="210">
        <f>ROUND(IF(WWWW[[#This Row],[Total PoP ]]&lt;500,1,WWWW[[#This Row],[Total PoP ]]/500),0)</f>
        <v>1</v>
      </c>
      <c r="BM190" s="210">
        <f>WWWW[[#This Row],['# Existing functional latrines]]+WWWW[[#This Row],['# Existing latrines dysfunctional]]</f>
        <v>0</v>
      </c>
      <c r="BN19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0" s="352">
        <f>WWWW[[#This Row],[% people access to functioning Latrine]]*WWWW[[#This Row],[Total PoP ]]</f>
        <v>0</v>
      </c>
      <c r="BP19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0" s="209">
        <f>IF(WWWW[[#This Row],[Total required Latrines]]-WWWW[[#This Row],[Total '# of latrine]]&lt;0,0,WWWW[[#This Row],[Total required Latrines]]-WWWW[[#This Row],[Total '# of latrine]])</f>
        <v>40</v>
      </c>
      <c r="BR190" s="210">
        <f>ROUND(IF(WWWW[[#This Row],[Location Type 1]]="camp",WWWW[[#This Row],[Total PoP ]]/20,WWWW[[#This Row],[Total PoP ]]/6),0)</f>
        <v>40</v>
      </c>
      <c r="BS190" s="212">
        <f>IF(OR(WWWW[[#This Row],['# Existing latrines dysfunctional]]="",WWWW[[#This Row],['# Existing latrines dysfunctional]]=0),0,WWWW[[#This Row],['# Existing latrines dysfunctional]]/WWWW[[#This Row],[Total '# of latrine]])</f>
        <v>0</v>
      </c>
      <c r="BT19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0" s="209">
        <f>IF(500*WWWW[[#This Row],['# Hygiene Promoters ]]&gt;WWWW[[#This Row],[Total PoP ]],WWWW[[#This Row],[Total PoP ]],500*WWWW[[#This Row],['# Hygiene Promoters ]])</f>
        <v>0</v>
      </c>
      <c r="BV190" s="209">
        <f>IF(WWWW[[#This Row],[% of HH with access to Sanitary Pad]]&gt;=100%,1,0)</f>
        <v>0</v>
      </c>
      <c r="BW190" s="209">
        <f>IF(WWWW[[#This Row],[Total PoP ]]=0,0,IF(WWWW[[#This Row],['# Hygiene Promoters ]]=0,0,IF(WWWW[[#This Row],[Location Type 1]]="Village",IF(WWWW[[#This Row],[Total PoP ]]/WWWW[[#This Row],['# Hygiene Promoters ]]&lt;1000,1,0),IF(WWWW[[#This Row],[Total PoP ]]/WWWW[[#This Row],['# Hygiene Promoters ]]&lt;600,1,0))))</f>
        <v>0</v>
      </c>
      <c r="BX190" s="209">
        <f>IF(WWWW[[#This Row],[%HH with access to soap]]&gt;=100%,1,0)</f>
        <v>0</v>
      </c>
      <c r="BY190" s="209">
        <f>IF(WWWW[[#This Row],[% of HHs with access to Sanitary pad more than '#%]]+WWWW[[#This Row],[Ratio of Hyiene promoters to people less than '#]]+WWWW[[#This Row],[% of HHs with access to soap more than '#%]]&gt;=2,WWWW[[#This Row],[Total PoP ]],0)</f>
        <v>0</v>
      </c>
      <c r="BZ190" s="208">
        <f>WWWW[[#This Row],[People adopt basic personal and community hygiene practices]]/WWWW[[#This Row],[Total PoP ]]</f>
        <v>0</v>
      </c>
      <c r="CA190" s="212">
        <f>1-WWWW[[#This Row],[Hygiene Coverage%]]</f>
        <v>1</v>
      </c>
      <c r="CB190" s="211">
        <f>WWWW[[#This Row],['# people reached by regular dedicated hygiene promotion_5]]/WWWW[[#This Row],[Total PoP ]]</f>
        <v>0</v>
      </c>
      <c r="CC190" s="211">
        <f>IF(WWWW[[#This Row],['# HH received soaps]]/WWWW[[#This Row],[Total HH]]&gt;1,1,WWWW[[#This Row],['# HH received soaps]]/WWWW[[#This Row],[Total HH]])</f>
        <v>0</v>
      </c>
      <c r="CD190" s="211">
        <f>IF(WWWW[[#This Row],['# HH received Sanitary Pads]]/WWWW[[#This Row],[Total HH]]&gt;1,1,WWWW[[#This Row],['# HH received Sanitary Pads]]/WWWW[[#This Row],[Total HH]])</f>
        <v>0</v>
      </c>
      <c r="CE190" s="210">
        <f>WWWW[[#This Row],['# HH received soaps]]*5</f>
        <v>0</v>
      </c>
      <c r="CF190" s="210">
        <f>WWWW[[#This Row],['# HH received Sanitary Pads]]*5</f>
        <v>0</v>
      </c>
      <c r="CG190" s="210">
        <f>IF(WWWW[[#This Row],['# People with access to soap]]&gt;WWWW[[#This Row],['# People with access to Sanity Pads]],WWWW[[#This Row],['# People with access to soap]],WWWW[[#This Row],['# People with access to Sanity Pads]])</f>
        <v>0</v>
      </c>
      <c r="CH190" s="209">
        <f>WWWW[[#This Row],[Total HH]]*WWWW[[#This Row],[%HHs with access to functional hand washing stations]]</f>
        <v>0</v>
      </c>
      <c r="CI190" s="699">
        <f>VLOOKUP(WWWW[[#This Row],[Site Name]],SiteDB6[[Site Name]:[CCCM Management]],6,FALSE)</f>
        <v>0</v>
      </c>
      <c r="CJ190" s="699">
        <f>VLOOKUP(WWWW[[#This Row],[Site Name]],SiteDB6[[Site Name]:[CCCM Focal Agency]],7,FALSE)</f>
        <v>0</v>
      </c>
      <c r="CK190" s="699" t="str">
        <f>VLOOKUP(WWWW[[#This Row],[Site Name]],SiteDB6[[Site Name]:[Location Type]],8,FALSE)</f>
        <v>Village_Not HRP</v>
      </c>
      <c r="CL190" s="699" t="str">
        <f>VLOOKUP(WWWW[[#This Row],[Site Name]],SiteDB6[[Site Name]:[Location Type 1]],9,FALSE)</f>
        <v>Village</v>
      </c>
      <c r="CM190" s="699" t="str">
        <f>VLOOKUP(WWWW[[#This Row],[Site Name]],SiteDB6[[Site Name]:[Type of Accommodation]],10,FALSE)</f>
        <v>Village_Not HRP</v>
      </c>
      <c r="CN190" s="699" t="str">
        <f>VLOOKUP(WWWW[[#This Row],[Site Name]],SiteDB6[[Site Name]:[Ethnic or GCA/NGCA]],11,FALSE)</f>
        <v>Rakhine</v>
      </c>
      <c r="CO190" s="699">
        <f>VLOOKUP(WWWW[[#This Row],[Site Name]],SiteDB6[[Site Name]:[Lat]],12,FALSE)</f>
        <v>19.591590881347699</v>
      </c>
      <c r="CP190" s="699">
        <f>VLOOKUP(WWWW[[#This Row],[Site Name]],SiteDB6[[Site Name]:[Long]],13,FALSE)</f>
        <v>93.808258056640597</v>
      </c>
      <c r="CQ190" s="699">
        <f>VLOOKUP(WWWW[[#This Row],[Site Name]],SiteDB6[[Site Name]:[Pcode]],3,FALSE)</f>
        <v>199195</v>
      </c>
      <c r="CR190" s="660" t="str">
        <f t="shared" si="2"/>
        <v>Covered</v>
      </c>
      <c r="CS190" s="660"/>
      <c r="CT190" s="24"/>
      <c r="CU190" s="24"/>
      <c r="CV190" s="24"/>
    </row>
    <row r="191" spans="1:100" ht="15.75" customHeight="1" x14ac:dyDescent="0.25">
      <c r="A191" s="833" t="s">
        <v>3206</v>
      </c>
      <c r="B191" s="206" t="s">
        <v>2444</v>
      </c>
      <c r="C191" s="206" t="s">
        <v>454</v>
      </c>
      <c r="D191" s="206" t="s">
        <v>486</v>
      </c>
      <c r="E191" s="206" t="s">
        <v>539</v>
      </c>
      <c r="F191" s="206">
        <f>ROUND(WWWW[[#This Row],[Total PoP ]]/5,0)</f>
        <v>89</v>
      </c>
      <c r="G191" s="209">
        <v>443</v>
      </c>
      <c r="H191" s="206"/>
      <c r="I191" s="206" t="s">
        <v>488</v>
      </c>
      <c r="J191" s="207">
        <v>43586</v>
      </c>
      <c r="K191" s="206"/>
      <c r="L191" s="206" t="s">
        <v>48</v>
      </c>
      <c r="M191" s="208">
        <v>0</v>
      </c>
      <c r="N191" s="208">
        <v>0</v>
      </c>
      <c r="O191" s="323">
        <v>0</v>
      </c>
      <c r="P191" s="317">
        <v>0</v>
      </c>
      <c r="Q191" s="317"/>
      <c r="R191" s="318"/>
      <c r="S191" s="318">
        <v>0</v>
      </c>
      <c r="T191" s="318"/>
      <c r="U191" s="318"/>
      <c r="V191" s="318"/>
      <c r="W191" s="318"/>
      <c r="X191" s="318"/>
      <c r="Y191" s="318"/>
      <c r="Z191" s="318"/>
      <c r="AA191" s="310">
        <v>0</v>
      </c>
      <c r="AB191" s="310"/>
      <c r="AC191" s="66"/>
      <c r="AD191" s="66"/>
      <c r="AE191" s="310">
        <v>0</v>
      </c>
      <c r="AF191" s="310" t="s">
        <v>286</v>
      </c>
      <c r="AG191" s="311" t="s">
        <v>286</v>
      </c>
      <c r="AH191" s="311"/>
      <c r="AI191" s="310"/>
      <c r="AJ191" s="310"/>
      <c r="AK191" s="841">
        <v>0</v>
      </c>
      <c r="AL191" s="842"/>
      <c r="AM191" s="842">
        <v>0</v>
      </c>
      <c r="AN191" s="863"/>
      <c r="AO191" s="863">
        <v>0</v>
      </c>
      <c r="AP191" s="838"/>
      <c r="AQ191" s="843"/>
      <c r="AR191" s="843"/>
      <c r="AS191" s="843"/>
      <c r="AT191" s="843"/>
      <c r="AU191" s="843"/>
      <c r="AV191" s="844"/>
      <c r="AW191" s="208" t="str">
        <f>IFERROR(WWWW[[#This Row],['# of Water passed at source]]/WWWW[[#This Row],['# of Water tested at source]],"no test")</f>
        <v>no test</v>
      </c>
      <c r="AX191" s="211" t="str">
        <f>IFERROR(WWWW[[#This Row],['# of Water passed at HH]]/WWWW[[#This Row],['# of Water tested at HH]],"no test")</f>
        <v>no test</v>
      </c>
      <c r="AY191" s="210" t="str">
        <f>IF(AND(WWWW[[#This Row],[%of Water samples which passed at water source]]="no test",WWWW[[#This Row],[%Water samples which passed at HH]]="no test"),"No Test","Tested")</f>
        <v>No Test</v>
      </c>
      <c r="AZ19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1" s="211">
        <f>IF(WWWW[[#This Row],[Location Type 1]]="Village",WWWW[[#This Row],[Access to safe drinking water for Village]],WWWW[[#This Row],[Access to safe drinking water for Camp]])</f>
        <v>0</v>
      </c>
      <c r="BC191" s="209">
        <f>WWWW[[#This Row],[%Equitable and continuous access to sufficient quantity of safe drinking water]]*WWWW[[#This Row],[Total PoP ]]</f>
        <v>0</v>
      </c>
      <c r="BD191" s="211">
        <f>IF((WWWW[[#This Row],['# Existing protected/fenced ponds ]]*250)/WWWW[[#This Row],[Total PoP ]]&gt;1,1,WWWW[[#This Row],['# Existing protected/fenced ponds ]]*250/WWWW[[#This Row],[Total PoP ]])</f>
        <v>0</v>
      </c>
      <c r="BE191" s="209">
        <f>WWWW[[#This Row],[Access to unimproved water points]]*WWWW[[#This Row],[Total PoP ]]</f>
        <v>0</v>
      </c>
      <c r="BF19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1" s="209">
        <f>ROUND(WWWW[[#This Row],['#people Equitable and continuous access to sufficient quantity of domestic water borehole n ponds_2]]/500,0)</f>
        <v>0</v>
      </c>
      <c r="BI191" s="208">
        <f>1-WWWW[[#This Row],[%Equitable and continuous access to sufficient quantity of domestic water borehole n ponds]]</f>
        <v>1</v>
      </c>
      <c r="BJ191" s="209">
        <f>WWWW[[#This Row],[%equitable and continuous access to sufficient quantity of safe drinking and domestic water''s GAP]]*WWWW[[#This Row],[Total PoP ]]</f>
        <v>443</v>
      </c>
      <c r="BK191" s="210">
        <f>IF(WWWW[[#This Row],[Total required water points]]-WWWW[[#This Row],['#Water points coverage]]&lt;0,0,WWWW[[#This Row],[Total required water points]]-WWWW[[#This Row],['#Water points coverage]])</f>
        <v>1</v>
      </c>
      <c r="BL191" s="210">
        <f>ROUND(IF(WWWW[[#This Row],[Total PoP ]]&lt;500,1,WWWW[[#This Row],[Total PoP ]]/500),0)</f>
        <v>1</v>
      </c>
      <c r="BM191" s="210">
        <f>WWWW[[#This Row],['# Existing functional latrines]]+WWWW[[#This Row],['# Existing latrines dysfunctional]]</f>
        <v>0</v>
      </c>
      <c r="BN19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1" s="352">
        <f>WWWW[[#This Row],[% people access to functioning Latrine]]*WWWW[[#This Row],[Total PoP ]]</f>
        <v>0</v>
      </c>
      <c r="BP19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1" s="209">
        <f>IF(WWWW[[#This Row],[Total required Latrines]]-WWWW[[#This Row],[Total '# of latrine]]&lt;0,0,WWWW[[#This Row],[Total required Latrines]]-WWWW[[#This Row],[Total '# of latrine]])</f>
        <v>74</v>
      </c>
      <c r="BR191" s="210">
        <f>ROUND(IF(WWWW[[#This Row],[Location Type 1]]="camp",WWWW[[#This Row],[Total PoP ]]/20,WWWW[[#This Row],[Total PoP ]]/6),0)</f>
        <v>74</v>
      </c>
      <c r="BS191" s="212">
        <f>IF(OR(WWWW[[#This Row],['# Existing latrines dysfunctional]]="",WWWW[[#This Row],['# Existing latrines dysfunctional]]=0),0,WWWW[[#This Row],['# Existing latrines dysfunctional]]/WWWW[[#This Row],[Total '# of latrine]])</f>
        <v>0</v>
      </c>
      <c r="BT19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1" s="209">
        <f>IF(500*WWWW[[#This Row],['# Hygiene Promoters ]]&gt;WWWW[[#This Row],[Total PoP ]],WWWW[[#This Row],[Total PoP ]],500*WWWW[[#This Row],['# Hygiene Promoters ]])</f>
        <v>0</v>
      </c>
      <c r="BV191" s="209">
        <f>IF(WWWW[[#This Row],[% of HH with access to Sanitary Pad]]&gt;=100%,1,0)</f>
        <v>0</v>
      </c>
      <c r="BW191" s="209">
        <f>IF(WWWW[[#This Row],[Total PoP ]]=0,0,IF(WWWW[[#This Row],['# Hygiene Promoters ]]=0,0,IF(WWWW[[#This Row],[Location Type 1]]="Village",IF(WWWW[[#This Row],[Total PoP ]]/WWWW[[#This Row],['# Hygiene Promoters ]]&lt;1000,1,0),IF(WWWW[[#This Row],[Total PoP ]]/WWWW[[#This Row],['# Hygiene Promoters ]]&lt;600,1,0))))</f>
        <v>0</v>
      </c>
      <c r="BX191" s="209">
        <f>IF(WWWW[[#This Row],[%HH with access to soap]]&gt;=100%,1,0)</f>
        <v>0</v>
      </c>
      <c r="BY191" s="209">
        <f>IF(WWWW[[#This Row],[% of HHs with access to Sanitary pad more than '#%]]+WWWW[[#This Row],[Ratio of Hyiene promoters to people less than '#]]+WWWW[[#This Row],[% of HHs with access to soap more than '#%]]&gt;=2,WWWW[[#This Row],[Total PoP ]],0)</f>
        <v>0</v>
      </c>
      <c r="BZ191" s="208">
        <f>WWWW[[#This Row],[People adopt basic personal and community hygiene practices]]/WWWW[[#This Row],[Total PoP ]]</f>
        <v>0</v>
      </c>
      <c r="CA191" s="212">
        <f>1-WWWW[[#This Row],[Hygiene Coverage%]]</f>
        <v>1</v>
      </c>
      <c r="CB191" s="211">
        <f>WWWW[[#This Row],['# people reached by regular dedicated hygiene promotion_5]]/WWWW[[#This Row],[Total PoP ]]</f>
        <v>0</v>
      </c>
      <c r="CC191" s="211">
        <f>IF(WWWW[[#This Row],['# HH received soaps]]/WWWW[[#This Row],[Total HH]]&gt;1,1,WWWW[[#This Row],['# HH received soaps]]/WWWW[[#This Row],[Total HH]])</f>
        <v>0</v>
      </c>
      <c r="CD191" s="211">
        <f>IF(WWWW[[#This Row],['# HH received Sanitary Pads]]/WWWW[[#This Row],[Total HH]]&gt;1,1,WWWW[[#This Row],['# HH received Sanitary Pads]]/WWWW[[#This Row],[Total HH]])</f>
        <v>0</v>
      </c>
      <c r="CE191" s="210">
        <f>WWWW[[#This Row],['# HH received soaps]]*5</f>
        <v>0</v>
      </c>
      <c r="CF191" s="210">
        <f>WWWW[[#This Row],['# HH received Sanitary Pads]]*5</f>
        <v>0</v>
      </c>
      <c r="CG191" s="210">
        <f>IF(WWWW[[#This Row],['# People with access to soap]]&gt;WWWW[[#This Row],['# People with access to Sanity Pads]],WWWW[[#This Row],['# People with access to soap]],WWWW[[#This Row],['# People with access to Sanity Pads]])</f>
        <v>0</v>
      </c>
      <c r="CH191" s="209">
        <f>WWWW[[#This Row],[Total HH]]*WWWW[[#This Row],[%HHs with access to functional hand washing stations]]</f>
        <v>0</v>
      </c>
      <c r="CI191" s="699">
        <f>VLOOKUP(WWWW[[#This Row],[Site Name]],SiteDB6[[Site Name]:[CCCM Management]],6,FALSE)</f>
        <v>0</v>
      </c>
      <c r="CJ191" s="699">
        <f>VLOOKUP(WWWW[[#This Row],[Site Name]],SiteDB6[[Site Name]:[CCCM Focal Agency]],7,FALSE)</f>
        <v>0</v>
      </c>
      <c r="CK191" s="699" t="str">
        <f>VLOOKUP(WWWW[[#This Row],[Site Name]],SiteDB6[[Site Name]:[Location Type]],8,FALSE)</f>
        <v>Village_Not HRP</v>
      </c>
      <c r="CL191" s="699" t="str">
        <f>VLOOKUP(WWWW[[#This Row],[Site Name]],SiteDB6[[Site Name]:[Location Type 1]],9,FALSE)</f>
        <v>Village</v>
      </c>
      <c r="CM191" s="699" t="str">
        <f>VLOOKUP(WWWW[[#This Row],[Site Name]],SiteDB6[[Site Name]:[Type of Accommodation]],10,FALSE)</f>
        <v>Village_Not HRP</v>
      </c>
      <c r="CN191" s="699" t="str">
        <f>VLOOKUP(WWWW[[#This Row],[Site Name]],SiteDB6[[Site Name]:[Ethnic or GCA/NGCA]],11,FALSE)</f>
        <v>Chin+Rakhine</v>
      </c>
      <c r="CO191" s="699">
        <f>VLOOKUP(WWWW[[#This Row],[Site Name]],SiteDB6[[Site Name]:[Lat]],12,FALSE)</f>
        <v>19.639009475708001</v>
      </c>
      <c r="CP191" s="699">
        <f>VLOOKUP(WWWW[[#This Row],[Site Name]],SiteDB6[[Site Name]:[Long]],13,FALSE)</f>
        <v>94.036079406738295</v>
      </c>
      <c r="CQ191" s="699" t="str">
        <f>VLOOKUP(WWWW[[#This Row],[Site Name]],SiteDB6[[Site Name]:[Pcode]],3,FALSE)</f>
        <v>199223</v>
      </c>
      <c r="CR191" s="660" t="str">
        <f t="shared" si="2"/>
        <v>Covered</v>
      </c>
      <c r="CS191" s="660"/>
      <c r="CT191" s="24"/>
      <c r="CU191" s="24"/>
      <c r="CV191" s="24"/>
    </row>
    <row r="192" spans="1:100" ht="15.75" customHeight="1" x14ac:dyDescent="0.25">
      <c r="A192" s="833" t="s">
        <v>3206</v>
      </c>
      <c r="B192" s="206" t="s">
        <v>2444</v>
      </c>
      <c r="C192" s="206" t="s">
        <v>454</v>
      </c>
      <c r="D192" s="206" t="s">
        <v>486</v>
      </c>
      <c r="E192" s="206" t="s">
        <v>546</v>
      </c>
      <c r="F192" s="206">
        <f>ROUND(WWWW[[#This Row],[Total PoP ]]/5,0)</f>
        <v>75</v>
      </c>
      <c r="G192" s="209">
        <v>375</v>
      </c>
      <c r="H192" s="206"/>
      <c r="I192" s="206" t="s">
        <v>488</v>
      </c>
      <c r="J192" s="207">
        <v>43586</v>
      </c>
      <c r="K192" s="206"/>
      <c r="L192" s="206" t="s">
        <v>48</v>
      </c>
      <c r="M192" s="208">
        <v>0</v>
      </c>
      <c r="N192" s="208">
        <v>0</v>
      </c>
      <c r="O192" s="323">
        <v>0</v>
      </c>
      <c r="P192" s="317">
        <v>0</v>
      </c>
      <c r="Q192" s="317"/>
      <c r="R192" s="318"/>
      <c r="S192" s="318">
        <v>0</v>
      </c>
      <c r="T192" s="318"/>
      <c r="U192" s="318"/>
      <c r="V192" s="318"/>
      <c r="W192" s="318"/>
      <c r="X192" s="318"/>
      <c r="Y192" s="318"/>
      <c r="Z192" s="318"/>
      <c r="AA192" s="310">
        <v>0</v>
      </c>
      <c r="AB192" s="311"/>
      <c r="AC192" s="66"/>
      <c r="AD192" s="66"/>
      <c r="AE192" s="310">
        <v>0</v>
      </c>
      <c r="AF192" s="310" t="s">
        <v>286</v>
      </c>
      <c r="AG192" s="311" t="s">
        <v>286</v>
      </c>
      <c r="AH192" s="66"/>
      <c r="AI192" s="66"/>
      <c r="AJ192" s="311"/>
      <c r="AK192" s="841">
        <v>0</v>
      </c>
      <c r="AL192" s="846"/>
      <c r="AM192" s="844">
        <v>0</v>
      </c>
      <c r="AN192" s="863"/>
      <c r="AO192" s="863">
        <v>0</v>
      </c>
      <c r="AP192" s="838"/>
      <c r="AQ192" s="843"/>
      <c r="AR192" s="843"/>
      <c r="AS192" s="843"/>
      <c r="AT192" s="843"/>
      <c r="AU192" s="843"/>
      <c r="AV192" s="844"/>
      <c r="AW192" s="208" t="str">
        <f>IFERROR(WWWW[[#This Row],['# of Water passed at source]]/WWWW[[#This Row],['# of Water tested at source]],"no test")</f>
        <v>no test</v>
      </c>
      <c r="AX192" s="211" t="str">
        <f>IFERROR(WWWW[[#This Row],['# of Water passed at HH]]/WWWW[[#This Row],['# of Water tested at HH]],"no test")</f>
        <v>no test</v>
      </c>
      <c r="AY192" s="210" t="str">
        <f>IF(AND(WWWW[[#This Row],[%of Water samples which passed at water source]]="no test",WWWW[[#This Row],[%Water samples which passed at HH]]="no test"),"No Test","Tested")</f>
        <v>No Test</v>
      </c>
      <c r="AZ19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2" s="211">
        <f>IF(WWWW[[#This Row],[Location Type 1]]="Village",WWWW[[#This Row],[Access to safe drinking water for Village]],WWWW[[#This Row],[Access to safe drinking water for Camp]])</f>
        <v>0</v>
      </c>
      <c r="BC192" s="209">
        <f>WWWW[[#This Row],[%Equitable and continuous access to sufficient quantity of safe drinking water]]*WWWW[[#This Row],[Total PoP ]]</f>
        <v>0</v>
      </c>
      <c r="BD192" s="211">
        <f>IF((WWWW[[#This Row],['# Existing protected/fenced ponds ]]*250)/WWWW[[#This Row],[Total PoP ]]&gt;1,1,WWWW[[#This Row],['# Existing protected/fenced ponds ]]*250/WWWW[[#This Row],[Total PoP ]])</f>
        <v>0</v>
      </c>
      <c r="BE192" s="209">
        <f>WWWW[[#This Row],[Access to unimproved water points]]*WWWW[[#This Row],[Total PoP ]]</f>
        <v>0</v>
      </c>
      <c r="BF19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2" s="209">
        <f>ROUND(WWWW[[#This Row],['#people Equitable and continuous access to sufficient quantity of domestic water borehole n ponds_2]]/500,0)</f>
        <v>0</v>
      </c>
      <c r="BI192" s="208">
        <f>1-WWWW[[#This Row],[%Equitable and continuous access to sufficient quantity of domestic water borehole n ponds]]</f>
        <v>1</v>
      </c>
      <c r="BJ192" s="209">
        <f>WWWW[[#This Row],[%equitable and continuous access to sufficient quantity of safe drinking and domestic water''s GAP]]*WWWW[[#This Row],[Total PoP ]]</f>
        <v>375</v>
      </c>
      <c r="BK192" s="210">
        <f>IF(WWWW[[#This Row],[Total required water points]]-WWWW[[#This Row],['#Water points coverage]]&lt;0,0,WWWW[[#This Row],[Total required water points]]-WWWW[[#This Row],['#Water points coverage]])</f>
        <v>1</v>
      </c>
      <c r="BL192" s="210">
        <f>ROUND(IF(WWWW[[#This Row],[Total PoP ]]&lt;500,1,WWWW[[#This Row],[Total PoP ]]/500),0)</f>
        <v>1</v>
      </c>
      <c r="BM192" s="210">
        <f>WWWW[[#This Row],['# Existing functional latrines]]+WWWW[[#This Row],['# Existing latrines dysfunctional]]</f>
        <v>0</v>
      </c>
      <c r="BN19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2" s="352">
        <f>WWWW[[#This Row],[% people access to functioning Latrine]]*WWWW[[#This Row],[Total PoP ]]</f>
        <v>0</v>
      </c>
      <c r="BP19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2" s="209">
        <f>IF(WWWW[[#This Row],[Total required Latrines]]-WWWW[[#This Row],[Total '# of latrine]]&lt;0,0,WWWW[[#This Row],[Total required Latrines]]-WWWW[[#This Row],[Total '# of latrine]])</f>
        <v>63</v>
      </c>
      <c r="BR192" s="210">
        <f>ROUND(IF(WWWW[[#This Row],[Location Type 1]]="camp",WWWW[[#This Row],[Total PoP ]]/20,WWWW[[#This Row],[Total PoP ]]/6),0)</f>
        <v>63</v>
      </c>
      <c r="BS192" s="212">
        <f>IF(OR(WWWW[[#This Row],['# Existing latrines dysfunctional]]="",WWWW[[#This Row],['# Existing latrines dysfunctional]]=0),0,WWWW[[#This Row],['# Existing latrines dysfunctional]]/WWWW[[#This Row],[Total '# of latrine]])</f>
        <v>0</v>
      </c>
      <c r="BT19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2" s="209">
        <f>IF(500*WWWW[[#This Row],['# Hygiene Promoters ]]&gt;WWWW[[#This Row],[Total PoP ]],WWWW[[#This Row],[Total PoP ]],500*WWWW[[#This Row],['# Hygiene Promoters ]])</f>
        <v>0</v>
      </c>
      <c r="BV192" s="209">
        <f>IF(WWWW[[#This Row],[% of HH with access to Sanitary Pad]]&gt;=100%,1,0)</f>
        <v>0</v>
      </c>
      <c r="BW192" s="209">
        <f>IF(WWWW[[#This Row],[Total PoP ]]=0,0,IF(WWWW[[#This Row],['# Hygiene Promoters ]]=0,0,IF(WWWW[[#This Row],[Location Type 1]]="Village",IF(WWWW[[#This Row],[Total PoP ]]/WWWW[[#This Row],['# Hygiene Promoters ]]&lt;1000,1,0),IF(WWWW[[#This Row],[Total PoP ]]/WWWW[[#This Row],['# Hygiene Promoters ]]&lt;600,1,0))))</f>
        <v>0</v>
      </c>
      <c r="BX192" s="209">
        <f>IF(WWWW[[#This Row],[%HH with access to soap]]&gt;=100%,1,0)</f>
        <v>0</v>
      </c>
      <c r="BY192" s="209">
        <f>IF(WWWW[[#This Row],[% of HHs with access to Sanitary pad more than '#%]]+WWWW[[#This Row],[Ratio of Hyiene promoters to people less than '#]]+WWWW[[#This Row],[% of HHs with access to soap more than '#%]]&gt;=2,WWWW[[#This Row],[Total PoP ]],0)</f>
        <v>0</v>
      </c>
      <c r="BZ192" s="208">
        <f>WWWW[[#This Row],[People adopt basic personal and community hygiene practices]]/WWWW[[#This Row],[Total PoP ]]</f>
        <v>0</v>
      </c>
      <c r="CA192" s="212">
        <f>1-WWWW[[#This Row],[Hygiene Coverage%]]</f>
        <v>1</v>
      </c>
      <c r="CB192" s="211">
        <f>WWWW[[#This Row],['# people reached by regular dedicated hygiene promotion_5]]/WWWW[[#This Row],[Total PoP ]]</f>
        <v>0</v>
      </c>
      <c r="CC192" s="211">
        <f>IF(WWWW[[#This Row],['# HH received soaps]]/WWWW[[#This Row],[Total HH]]&gt;1,1,WWWW[[#This Row],['# HH received soaps]]/WWWW[[#This Row],[Total HH]])</f>
        <v>0</v>
      </c>
      <c r="CD192" s="211">
        <f>IF(WWWW[[#This Row],['# HH received Sanitary Pads]]/WWWW[[#This Row],[Total HH]]&gt;1,1,WWWW[[#This Row],['# HH received Sanitary Pads]]/WWWW[[#This Row],[Total HH]])</f>
        <v>0</v>
      </c>
      <c r="CE192" s="210">
        <f>WWWW[[#This Row],['# HH received soaps]]*5</f>
        <v>0</v>
      </c>
      <c r="CF192" s="210">
        <f>WWWW[[#This Row],['# HH received Sanitary Pads]]*5</f>
        <v>0</v>
      </c>
      <c r="CG192" s="210">
        <f>IF(WWWW[[#This Row],['# People with access to soap]]&gt;WWWW[[#This Row],['# People with access to Sanity Pads]],WWWW[[#This Row],['# People with access to soap]],WWWW[[#This Row],['# People with access to Sanity Pads]])</f>
        <v>0</v>
      </c>
      <c r="CH192" s="209">
        <f>WWWW[[#This Row],[Total HH]]*WWWW[[#This Row],[%HHs with access to functional hand washing stations]]</f>
        <v>0</v>
      </c>
      <c r="CI192" s="699">
        <f>VLOOKUP(WWWW[[#This Row],[Site Name]],SiteDB6[[Site Name]:[CCCM Management]],6,FALSE)</f>
        <v>0</v>
      </c>
      <c r="CJ192" s="699">
        <f>VLOOKUP(WWWW[[#This Row],[Site Name]],SiteDB6[[Site Name]:[CCCM Focal Agency]],7,FALSE)</f>
        <v>0</v>
      </c>
      <c r="CK192" s="699" t="str">
        <f>VLOOKUP(WWWW[[#This Row],[Site Name]],SiteDB6[[Site Name]:[Location Type]],8,FALSE)</f>
        <v>Village_Not HRP</v>
      </c>
      <c r="CL192" s="699" t="str">
        <f>VLOOKUP(WWWW[[#This Row],[Site Name]],SiteDB6[[Site Name]:[Location Type 1]],9,FALSE)</f>
        <v>Village</v>
      </c>
      <c r="CM192" s="699" t="str">
        <f>VLOOKUP(WWWW[[#This Row],[Site Name]],SiteDB6[[Site Name]:[Type of Accommodation]],10,FALSE)</f>
        <v>Village_Not HRP</v>
      </c>
      <c r="CN192" s="699" t="str">
        <f>VLOOKUP(WWWW[[#This Row],[Site Name]],SiteDB6[[Site Name]:[Ethnic or GCA/NGCA]],11,FALSE)</f>
        <v>Rakhine</v>
      </c>
      <c r="CO192" s="699">
        <f>VLOOKUP(WWWW[[#This Row],[Site Name]],SiteDB6[[Site Name]:[Lat]],12,FALSE)</f>
        <v>19.738719940185501</v>
      </c>
      <c r="CP192" s="699">
        <f>VLOOKUP(WWWW[[#This Row],[Site Name]],SiteDB6[[Site Name]:[Long]],13,FALSE)</f>
        <v>94.035491943359403</v>
      </c>
      <c r="CQ192" s="699" t="str">
        <f>VLOOKUP(WWWW[[#This Row],[Site Name]],SiteDB6[[Site Name]:[Pcode]],3,FALSE)</f>
        <v>199160</v>
      </c>
      <c r="CR192" s="660" t="str">
        <f t="shared" si="2"/>
        <v>Covered</v>
      </c>
      <c r="CS192" s="699"/>
      <c r="CT192" s="24"/>
      <c r="CU192" s="24"/>
      <c r="CV192" s="24"/>
    </row>
    <row r="193" spans="1:100" ht="15.75" customHeight="1" thickBot="1" x14ac:dyDescent="0.3">
      <c r="A193" s="833" t="s">
        <v>3206</v>
      </c>
      <c r="B193" s="206" t="s">
        <v>2444</v>
      </c>
      <c r="C193" s="206" t="s">
        <v>454</v>
      </c>
      <c r="D193" s="206" t="s">
        <v>486</v>
      </c>
      <c r="E193" s="206" t="s">
        <v>540</v>
      </c>
      <c r="F193" s="206">
        <f>ROUND(WWWW[[#This Row],[Total PoP ]]/5,0)</f>
        <v>248</v>
      </c>
      <c r="G193" s="209">
        <v>1241</v>
      </c>
      <c r="H193" s="206"/>
      <c r="I193" s="206" t="s">
        <v>488</v>
      </c>
      <c r="J193" s="207">
        <v>43586</v>
      </c>
      <c r="K193" s="206"/>
      <c r="L193" s="206" t="s">
        <v>48</v>
      </c>
      <c r="M193" s="208">
        <v>0</v>
      </c>
      <c r="N193" s="208">
        <v>0</v>
      </c>
      <c r="O193" s="316">
        <v>0</v>
      </c>
      <c r="P193" s="317">
        <v>0</v>
      </c>
      <c r="Q193" s="317"/>
      <c r="R193" s="318"/>
      <c r="S193" s="318">
        <v>0</v>
      </c>
      <c r="T193" s="318"/>
      <c r="U193" s="318"/>
      <c r="V193" s="318"/>
      <c r="W193" s="318"/>
      <c r="X193" s="318"/>
      <c r="Y193" s="318"/>
      <c r="Z193" s="318"/>
      <c r="AA193" s="310">
        <v>0</v>
      </c>
      <c r="AB193" s="310"/>
      <c r="AC193" s="66"/>
      <c r="AD193" s="66"/>
      <c r="AE193" s="310">
        <v>0</v>
      </c>
      <c r="AF193" s="310" t="s">
        <v>286</v>
      </c>
      <c r="AG193" s="311" t="s">
        <v>286</v>
      </c>
      <c r="AH193" s="311"/>
      <c r="AI193" s="310"/>
      <c r="AJ193" s="310"/>
      <c r="AK193" s="841">
        <v>0</v>
      </c>
      <c r="AL193" s="842"/>
      <c r="AM193" s="842">
        <v>0</v>
      </c>
      <c r="AN193" s="863"/>
      <c r="AO193" s="863">
        <v>0</v>
      </c>
      <c r="AP193" s="838"/>
      <c r="AQ193" s="843"/>
      <c r="AR193" s="843"/>
      <c r="AS193" s="843"/>
      <c r="AT193" s="843"/>
      <c r="AU193" s="843"/>
      <c r="AV193" s="844"/>
      <c r="AW193" s="208" t="str">
        <f>IFERROR(WWWW[[#This Row],['# of Water passed at source]]/WWWW[[#This Row],['# of Water tested at source]],"no test")</f>
        <v>no test</v>
      </c>
      <c r="AX193" s="211" t="str">
        <f>IFERROR(WWWW[[#This Row],['# of Water passed at HH]]/WWWW[[#This Row],['# of Water tested at HH]],"no test")</f>
        <v>no test</v>
      </c>
      <c r="AY193" s="210" t="str">
        <f>IF(AND(WWWW[[#This Row],[%of Water samples which passed at water source]]="no test",WWWW[[#This Row],[%Water samples which passed at HH]]="no test"),"No Test","Tested")</f>
        <v>No Test</v>
      </c>
      <c r="AZ19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3" s="211">
        <f>IF(WWWW[[#This Row],[Location Type 1]]="Village",WWWW[[#This Row],[Access to safe drinking water for Village]],WWWW[[#This Row],[Access to safe drinking water for Camp]])</f>
        <v>0</v>
      </c>
      <c r="BC193" s="209">
        <f>WWWW[[#This Row],[%Equitable and continuous access to sufficient quantity of safe drinking water]]*WWWW[[#This Row],[Total PoP ]]</f>
        <v>0</v>
      </c>
      <c r="BD193" s="211">
        <f>IF((WWWW[[#This Row],['# Existing protected/fenced ponds ]]*250)/WWWW[[#This Row],[Total PoP ]]&gt;1,1,WWWW[[#This Row],['# Existing protected/fenced ponds ]]*250/WWWW[[#This Row],[Total PoP ]])</f>
        <v>0</v>
      </c>
      <c r="BE193" s="209">
        <f>WWWW[[#This Row],[Access to unimproved water points]]*WWWW[[#This Row],[Total PoP ]]</f>
        <v>0</v>
      </c>
      <c r="BF19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3" s="209">
        <f>ROUND(WWWW[[#This Row],['#people Equitable and continuous access to sufficient quantity of domestic water borehole n ponds_2]]/500,0)</f>
        <v>0</v>
      </c>
      <c r="BI193" s="208">
        <f>1-WWWW[[#This Row],[%Equitable and continuous access to sufficient quantity of domestic water borehole n ponds]]</f>
        <v>1</v>
      </c>
      <c r="BJ193" s="209">
        <f>WWWW[[#This Row],[%equitable and continuous access to sufficient quantity of safe drinking and domestic water''s GAP]]*WWWW[[#This Row],[Total PoP ]]</f>
        <v>1241</v>
      </c>
      <c r="BK193" s="210">
        <f>IF(WWWW[[#This Row],[Total required water points]]-WWWW[[#This Row],['#Water points coverage]]&lt;0,0,WWWW[[#This Row],[Total required water points]]-WWWW[[#This Row],['#Water points coverage]])</f>
        <v>2</v>
      </c>
      <c r="BL193" s="210">
        <f>ROUND(IF(WWWW[[#This Row],[Total PoP ]]&lt;500,1,WWWW[[#This Row],[Total PoP ]]/500),0)</f>
        <v>2</v>
      </c>
      <c r="BM193" s="210">
        <f>WWWW[[#This Row],['# Existing functional latrines]]+WWWW[[#This Row],['# Existing latrines dysfunctional]]</f>
        <v>0</v>
      </c>
      <c r="BN19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3" s="352">
        <f>WWWW[[#This Row],[% people access to functioning Latrine]]*WWWW[[#This Row],[Total PoP ]]</f>
        <v>0</v>
      </c>
      <c r="BP19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3" s="209">
        <f>IF(WWWW[[#This Row],[Total required Latrines]]-WWWW[[#This Row],[Total '# of latrine]]&lt;0,0,WWWW[[#This Row],[Total required Latrines]]-WWWW[[#This Row],[Total '# of latrine]])</f>
        <v>207</v>
      </c>
      <c r="BR193" s="210">
        <f>ROUND(IF(WWWW[[#This Row],[Location Type 1]]="camp",WWWW[[#This Row],[Total PoP ]]/20,WWWW[[#This Row],[Total PoP ]]/6),0)</f>
        <v>207</v>
      </c>
      <c r="BS193" s="212">
        <f>IF(OR(WWWW[[#This Row],['# Existing latrines dysfunctional]]="",WWWW[[#This Row],['# Existing latrines dysfunctional]]=0),0,WWWW[[#This Row],['# Existing latrines dysfunctional]]/WWWW[[#This Row],[Total '# of latrine]])</f>
        <v>0</v>
      </c>
      <c r="BT19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3" s="209">
        <f>IF(500*WWWW[[#This Row],['# Hygiene Promoters ]]&gt;WWWW[[#This Row],[Total PoP ]],WWWW[[#This Row],[Total PoP ]],500*WWWW[[#This Row],['# Hygiene Promoters ]])</f>
        <v>0</v>
      </c>
      <c r="BV193" s="209">
        <f>IF(WWWW[[#This Row],[% of HH with access to Sanitary Pad]]&gt;=100%,1,0)</f>
        <v>0</v>
      </c>
      <c r="BW193" s="209">
        <f>IF(WWWW[[#This Row],[Total PoP ]]=0,0,IF(WWWW[[#This Row],['# Hygiene Promoters ]]=0,0,IF(WWWW[[#This Row],[Location Type 1]]="Village",IF(WWWW[[#This Row],[Total PoP ]]/WWWW[[#This Row],['# Hygiene Promoters ]]&lt;1000,1,0),IF(WWWW[[#This Row],[Total PoP ]]/WWWW[[#This Row],['# Hygiene Promoters ]]&lt;600,1,0))))</f>
        <v>0</v>
      </c>
      <c r="BX193" s="209">
        <f>IF(WWWW[[#This Row],[%HH with access to soap]]&gt;=100%,1,0)</f>
        <v>0</v>
      </c>
      <c r="BY193" s="209">
        <f>IF(WWWW[[#This Row],[% of HHs with access to Sanitary pad more than '#%]]+WWWW[[#This Row],[Ratio of Hyiene promoters to people less than '#]]+WWWW[[#This Row],[% of HHs with access to soap more than '#%]]&gt;=2,WWWW[[#This Row],[Total PoP ]],0)</f>
        <v>0</v>
      </c>
      <c r="BZ193" s="208">
        <f>WWWW[[#This Row],[People adopt basic personal and community hygiene practices]]/WWWW[[#This Row],[Total PoP ]]</f>
        <v>0</v>
      </c>
      <c r="CA193" s="212">
        <f>1-WWWW[[#This Row],[Hygiene Coverage%]]</f>
        <v>1</v>
      </c>
      <c r="CB193" s="211">
        <f>WWWW[[#This Row],['# people reached by regular dedicated hygiene promotion_5]]/WWWW[[#This Row],[Total PoP ]]</f>
        <v>0</v>
      </c>
      <c r="CC193" s="211">
        <f>IF(WWWW[[#This Row],['# HH received soaps]]/WWWW[[#This Row],[Total HH]]&gt;1,1,WWWW[[#This Row],['# HH received soaps]]/WWWW[[#This Row],[Total HH]])</f>
        <v>0</v>
      </c>
      <c r="CD193" s="211">
        <f>IF(WWWW[[#This Row],['# HH received Sanitary Pads]]/WWWW[[#This Row],[Total HH]]&gt;1,1,WWWW[[#This Row],['# HH received Sanitary Pads]]/WWWW[[#This Row],[Total HH]])</f>
        <v>0</v>
      </c>
      <c r="CE193" s="210">
        <f>WWWW[[#This Row],['# HH received soaps]]*5</f>
        <v>0</v>
      </c>
      <c r="CF193" s="210">
        <f>WWWW[[#This Row],['# HH received Sanitary Pads]]*5</f>
        <v>0</v>
      </c>
      <c r="CG193" s="210">
        <f>IF(WWWW[[#This Row],['# People with access to soap]]&gt;WWWW[[#This Row],['# People with access to Sanity Pads]],WWWW[[#This Row],['# People with access to soap]],WWWW[[#This Row],['# People with access to Sanity Pads]])</f>
        <v>0</v>
      </c>
      <c r="CH193" s="209">
        <f>WWWW[[#This Row],[Total HH]]*WWWW[[#This Row],[%HHs with access to functional hand washing stations]]</f>
        <v>0</v>
      </c>
      <c r="CI193" s="699">
        <f>VLOOKUP(WWWW[[#This Row],[Site Name]],SiteDB6[[Site Name]:[CCCM Management]],6,FALSE)</f>
        <v>0</v>
      </c>
      <c r="CJ193" s="699">
        <f>VLOOKUP(WWWW[[#This Row],[Site Name]],SiteDB6[[Site Name]:[CCCM Focal Agency]],7,FALSE)</f>
        <v>0</v>
      </c>
      <c r="CK193" s="699" t="str">
        <f>VLOOKUP(WWWW[[#This Row],[Site Name]],SiteDB6[[Site Name]:[Location Type]],8,FALSE)</f>
        <v>Village_Not HRP</v>
      </c>
      <c r="CL193" s="699" t="str">
        <f>VLOOKUP(WWWW[[#This Row],[Site Name]],SiteDB6[[Site Name]:[Location Type 1]],9,FALSE)</f>
        <v>Village</v>
      </c>
      <c r="CM193" s="699" t="str">
        <f>VLOOKUP(WWWW[[#This Row],[Site Name]],SiteDB6[[Site Name]:[Type of Accommodation]],10,FALSE)</f>
        <v>Village_Not HRP</v>
      </c>
      <c r="CN193" s="699" t="str">
        <f>VLOOKUP(WWWW[[#This Row],[Site Name]],SiteDB6[[Site Name]:[Ethnic or GCA/NGCA]],11,FALSE)</f>
        <v>Rakhine</v>
      </c>
      <c r="CO193" s="699">
        <f>VLOOKUP(WWWW[[#This Row],[Site Name]],SiteDB6[[Site Name]:[Lat]],12,FALSE)</f>
        <v>19.646549224853501</v>
      </c>
      <c r="CP193" s="699">
        <f>VLOOKUP(WWWW[[#This Row],[Site Name]],SiteDB6[[Site Name]:[Long]],13,FALSE)</f>
        <v>94.004188537597699</v>
      </c>
      <c r="CQ193" s="699" t="str">
        <f>VLOOKUP(WWWW[[#This Row],[Site Name]],SiteDB6[[Site Name]:[Pcode]],3,FALSE)</f>
        <v>199218</v>
      </c>
      <c r="CR193" s="660" t="str">
        <f t="shared" si="2"/>
        <v>Covered</v>
      </c>
      <c r="CS193" s="660"/>
      <c r="CT193" s="24"/>
      <c r="CU193" s="24"/>
      <c r="CV193" s="24"/>
    </row>
    <row r="194" spans="1:100" ht="16.5" customHeight="1" thickBot="1" x14ac:dyDescent="0.3">
      <c r="A194" s="833" t="s">
        <v>3206</v>
      </c>
      <c r="B194" s="206" t="s">
        <v>2444</v>
      </c>
      <c r="C194" s="206" t="s">
        <v>454</v>
      </c>
      <c r="D194" s="206" t="s">
        <v>486</v>
      </c>
      <c r="E194" s="206" t="s">
        <v>556</v>
      </c>
      <c r="F194" s="206">
        <f>ROUND(WWWW[[#This Row],[Total PoP ]]/5,0)</f>
        <v>107</v>
      </c>
      <c r="G194" s="398">
        <v>534</v>
      </c>
      <c r="H194" s="206"/>
      <c r="I194" s="206" t="s">
        <v>488</v>
      </c>
      <c r="J194" s="207">
        <v>43586</v>
      </c>
      <c r="K194" s="206"/>
      <c r="L194" s="206" t="s">
        <v>48</v>
      </c>
      <c r="M194" s="208">
        <v>0</v>
      </c>
      <c r="N194" s="208">
        <v>0</v>
      </c>
      <c r="O194" s="316">
        <v>0</v>
      </c>
      <c r="P194" s="317">
        <v>0</v>
      </c>
      <c r="Q194" s="317"/>
      <c r="R194" s="318"/>
      <c r="S194" s="318">
        <v>0</v>
      </c>
      <c r="T194" s="318"/>
      <c r="U194" s="318"/>
      <c r="V194" s="318"/>
      <c r="W194" s="318"/>
      <c r="X194" s="318"/>
      <c r="Y194" s="318"/>
      <c r="Z194" s="318"/>
      <c r="AA194" s="310">
        <v>0</v>
      </c>
      <c r="AB194" s="310"/>
      <c r="AC194" s="66"/>
      <c r="AD194" s="66"/>
      <c r="AE194" s="310">
        <v>0</v>
      </c>
      <c r="AF194" s="310" t="s">
        <v>286</v>
      </c>
      <c r="AG194" s="311" t="s">
        <v>286</v>
      </c>
      <c r="AH194" s="311"/>
      <c r="AI194" s="310"/>
      <c r="AJ194" s="310"/>
      <c r="AK194" s="841">
        <v>0</v>
      </c>
      <c r="AL194" s="842"/>
      <c r="AM194" s="842">
        <v>0</v>
      </c>
      <c r="AN194" s="863"/>
      <c r="AO194" s="863">
        <v>0</v>
      </c>
      <c r="AP194" s="843"/>
      <c r="AQ194" s="843"/>
      <c r="AR194" s="843"/>
      <c r="AS194" s="843"/>
      <c r="AT194" s="843"/>
      <c r="AU194" s="843"/>
      <c r="AV194" s="844"/>
      <c r="AW194" s="208" t="str">
        <f>IFERROR(WWWW[[#This Row],['# of Water passed at source]]/WWWW[[#This Row],['# of Water tested at source]],"no test")</f>
        <v>no test</v>
      </c>
      <c r="AX194" s="211" t="str">
        <f>IFERROR(WWWW[[#This Row],['# of Water passed at HH]]/WWWW[[#This Row],['# of Water tested at HH]],"no test")</f>
        <v>no test</v>
      </c>
      <c r="AY194" s="210" t="str">
        <f>IF(AND(WWWW[[#This Row],[%of Water samples which passed at water source]]="no test",WWWW[[#This Row],[%Water samples which passed at HH]]="no test"),"No Test","Tested")</f>
        <v>No Test</v>
      </c>
      <c r="AZ19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4" s="211">
        <f>IF(WWWW[[#This Row],[Location Type 1]]="Village",WWWW[[#This Row],[Access to safe drinking water for Village]],WWWW[[#This Row],[Access to safe drinking water for Camp]])</f>
        <v>0</v>
      </c>
      <c r="BC194" s="209">
        <f>WWWW[[#This Row],[%Equitable and continuous access to sufficient quantity of safe drinking water]]*WWWW[[#This Row],[Total PoP ]]</f>
        <v>0</v>
      </c>
      <c r="BD194" s="211">
        <f>IF((WWWW[[#This Row],['# Existing protected/fenced ponds ]]*250)/WWWW[[#This Row],[Total PoP ]]&gt;1,1,WWWW[[#This Row],['# Existing protected/fenced ponds ]]*250/WWWW[[#This Row],[Total PoP ]])</f>
        <v>0</v>
      </c>
      <c r="BE194" s="209">
        <f>WWWW[[#This Row],[Access to unimproved water points]]*WWWW[[#This Row],[Total PoP ]]</f>
        <v>0</v>
      </c>
      <c r="BF19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4" s="209">
        <f>ROUND(WWWW[[#This Row],['#people Equitable and continuous access to sufficient quantity of domestic water borehole n ponds_2]]/500,0)</f>
        <v>0</v>
      </c>
      <c r="BI194" s="208">
        <f>1-WWWW[[#This Row],[%Equitable and continuous access to sufficient quantity of domestic water borehole n ponds]]</f>
        <v>1</v>
      </c>
      <c r="BJ194" s="209">
        <f>WWWW[[#This Row],[%equitable and continuous access to sufficient quantity of safe drinking and domestic water''s GAP]]*WWWW[[#This Row],[Total PoP ]]</f>
        <v>534</v>
      </c>
      <c r="BK194" s="210">
        <f>IF(WWWW[[#This Row],[Total required water points]]-WWWW[[#This Row],['#Water points coverage]]&lt;0,0,WWWW[[#This Row],[Total required water points]]-WWWW[[#This Row],['#Water points coverage]])</f>
        <v>1</v>
      </c>
      <c r="BL194" s="210">
        <f>ROUND(IF(WWWW[[#This Row],[Total PoP ]]&lt;500,1,WWWW[[#This Row],[Total PoP ]]/500),0)</f>
        <v>1</v>
      </c>
      <c r="BM194" s="210">
        <f>WWWW[[#This Row],['# Existing functional latrines]]+WWWW[[#This Row],['# Existing latrines dysfunctional]]</f>
        <v>0</v>
      </c>
      <c r="BN19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4" s="352">
        <f>WWWW[[#This Row],[% people access to functioning Latrine]]*WWWW[[#This Row],[Total PoP ]]</f>
        <v>0</v>
      </c>
      <c r="BP19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4" s="209">
        <f>IF(WWWW[[#This Row],[Total required Latrines]]-WWWW[[#This Row],[Total '# of latrine]]&lt;0,0,WWWW[[#This Row],[Total required Latrines]]-WWWW[[#This Row],[Total '# of latrine]])</f>
        <v>89</v>
      </c>
      <c r="BR194" s="210">
        <f>ROUND(IF(WWWW[[#This Row],[Location Type 1]]="camp",WWWW[[#This Row],[Total PoP ]]/20,WWWW[[#This Row],[Total PoP ]]/6),0)</f>
        <v>89</v>
      </c>
      <c r="BS194" s="212">
        <f>IF(OR(WWWW[[#This Row],['# Existing latrines dysfunctional]]="",WWWW[[#This Row],['# Existing latrines dysfunctional]]=0),0,WWWW[[#This Row],['# Existing latrines dysfunctional]]/WWWW[[#This Row],[Total '# of latrine]])</f>
        <v>0</v>
      </c>
      <c r="BT19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4" s="209">
        <f>IF(500*WWWW[[#This Row],['# Hygiene Promoters ]]&gt;WWWW[[#This Row],[Total PoP ]],WWWW[[#This Row],[Total PoP ]],500*WWWW[[#This Row],['# Hygiene Promoters ]])</f>
        <v>0</v>
      </c>
      <c r="BV194" s="209">
        <f>IF(WWWW[[#This Row],[% of HH with access to Sanitary Pad]]&gt;=100%,1,0)</f>
        <v>0</v>
      </c>
      <c r="BW194" s="209">
        <f>IF(WWWW[[#This Row],[Total PoP ]]=0,0,IF(WWWW[[#This Row],['# Hygiene Promoters ]]=0,0,IF(WWWW[[#This Row],[Location Type 1]]="Village",IF(WWWW[[#This Row],[Total PoP ]]/WWWW[[#This Row],['# Hygiene Promoters ]]&lt;1000,1,0),IF(WWWW[[#This Row],[Total PoP ]]/WWWW[[#This Row],['# Hygiene Promoters ]]&lt;600,1,0))))</f>
        <v>0</v>
      </c>
      <c r="BX194" s="209">
        <f>IF(WWWW[[#This Row],[%HH with access to soap]]&gt;=100%,1,0)</f>
        <v>0</v>
      </c>
      <c r="BY194" s="209">
        <f>IF(WWWW[[#This Row],[% of HHs with access to Sanitary pad more than '#%]]+WWWW[[#This Row],[Ratio of Hyiene promoters to people less than '#]]+WWWW[[#This Row],[% of HHs with access to soap more than '#%]]&gt;=2,WWWW[[#This Row],[Total PoP ]],0)</f>
        <v>0</v>
      </c>
      <c r="BZ194" s="208">
        <f>WWWW[[#This Row],[People adopt basic personal and community hygiene practices]]/WWWW[[#This Row],[Total PoP ]]</f>
        <v>0</v>
      </c>
      <c r="CA194" s="212">
        <f>1-WWWW[[#This Row],[Hygiene Coverage%]]</f>
        <v>1</v>
      </c>
      <c r="CB194" s="211">
        <f>WWWW[[#This Row],['# people reached by regular dedicated hygiene promotion_5]]/WWWW[[#This Row],[Total PoP ]]</f>
        <v>0</v>
      </c>
      <c r="CC194" s="211">
        <f>IF(WWWW[[#This Row],['# HH received soaps]]/WWWW[[#This Row],[Total HH]]&gt;1,1,WWWW[[#This Row],['# HH received soaps]]/WWWW[[#This Row],[Total HH]])</f>
        <v>0</v>
      </c>
      <c r="CD194" s="211">
        <f>IF(WWWW[[#This Row],['# HH received Sanitary Pads]]/WWWW[[#This Row],[Total HH]]&gt;1,1,WWWW[[#This Row],['# HH received Sanitary Pads]]/WWWW[[#This Row],[Total HH]])</f>
        <v>0</v>
      </c>
      <c r="CE194" s="210">
        <f>WWWW[[#This Row],['# HH received soaps]]*5</f>
        <v>0</v>
      </c>
      <c r="CF194" s="210">
        <f>WWWW[[#This Row],['# HH received Sanitary Pads]]*5</f>
        <v>0</v>
      </c>
      <c r="CG194" s="210">
        <f>IF(WWWW[[#This Row],['# People with access to soap]]&gt;WWWW[[#This Row],['# People with access to Sanity Pads]],WWWW[[#This Row],['# People with access to soap]],WWWW[[#This Row],['# People with access to Sanity Pads]])</f>
        <v>0</v>
      </c>
      <c r="CH194" s="209">
        <f>WWWW[[#This Row],[Total HH]]*WWWW[[#This Row],[%HHs with access to functional hand washing stations]]</f>
        <v>0</v>
      </c>
      <c r="CI194" s="699">
        <f>VLOOKUP(WWWW[[#This Row],[Site Name]],SiteDB6[[Site Name]:[CCCM Management]],6,FALSE)</f>
        <v>0</v>
      </c>
      <c r="CJ194" s="699">
        <f>VLOOKUP(WWWW[[#This Row],[Site Name]],SiteDB6[[Site Name]:[CCCM Focal Agency]],7,FALSE)</f>
        <v>0</v>
      </c>
      <c r="CK194" s="699" t="str">
        <f>VLOOKUP(WWWW[[#This Row],[Site Name]],SiteDB6[[Site Name]:[Location Type]],8,FALSE)</f>
        <v>Village_Not HRP</v>
      </c>
      <c r="CL194" s="699" t="str">
        <f>VLOOKUP(WWWW[[#This Row],[Site Name]],SiteDB6[[Site Name]:[Location Type 1]],9,FALSE)</f>
        <v>Village</v>
      </c>
      <c r="CM194" s="699" t="str">
        <f>VLOOKUP(WWWW[[#This Row],[Site Name]],SiteDB6[[Site Name]:[Type of Accommodation]],10,FALSE)</f>
        <v>Village_Not HRP</v>
      </c>
      <c r="CN194" s="699" t="str">
        <f>VLOOKUP(WWWW[[#This Row],[Site Name]],SiteDB6[[Site Name]:[Ethnic or GCA/NGCA]],11,FALSE)</f>
        <v>Chin+Rakhine</v>
      </c>
      <c r="CO194" s="699">
        <f>VLOOKUP(WWWW[[#This Row],[Site Name]],SiteDB6[[Site Name]:[Lat]],12,FALSE)</f>
        <v>19.991359710693398</v>
      </c>
      <c r="CP194" s="699">
        <f>VLOOKUP(WWWW[[#This Row],[Site Name]],SiteDB6[[Site Name]:[Long]],13,FALSE)</f>
        <v>93.834663391113295</v>
      </c>
      <c r="CQ194" s="699" t="str">
        <f>VLOOKUP(WWWW[[#This Row],[Site Name]],SiteDB6[[Site Name]:[Pcode]],3,FALSE)</f>
        <v>199248</v>
      </c>
      <c r="CR194" s="660" t="str">
        <f t="shared" si="2"/>
        <v>Covered</v>
      </c>
      <c r="CS194" s="660"/>
      <c r="CT194" s="24"/>
      <c r="CU194" s="24"/>
      <c r="CV194" s="24"/>
    </row>
    <row r="195" spans="1:100" ht="16.5" customHeight="1" thickBot="1" x14ac:dyDescent="0.3">
      <c r="A195" s="833" t="s">
        <v>3206</v>
      </c>
      <c r="B195" s="206" t="s">
        <v>2444</v>
      </c>
      <c r="C195" s="206" t="s">
        <v>454</v>
      </c>
      <c r="D195" s="206" t="s">
        <v>486</v>
      </c>
      <c r="E195" s="206" t="s">
        <v>547</v>
      </c>
      <c r="F195" s="206">
        <f>ROUND(WWWW[[#This Row],[Total PoP ]]/5,0)</f>
        <v>123</v>
      </c>
      <c r="G195" s="398">
        <v>615</v>
      </c>
      <c r="H195" s="206"/>
      <c r="I195" s="206" t="s">
        <v>488</v>
      </c>
      <c r="J195" s="207">
        <v>43586</v>
      </c>
      <c r="K195" s="206"/>
      <c r="L195" s="206" t="s">
        <v>48</v>
      </c>
      <c r="M195" s="208">
        <v>0</v>
      </c>
      <c r="N195" s="208">
        <v>0</v>
      </c>
      <c r="O195" s="323">
        <v>0</v>
      </c>
      <c r="P195" s="317">
        <v>0</v>
      </c>
      <c r="Q195" s="317"/>
      <c r="R195" s="318"/>
      <c r="S195" s="318">
        <v>0</v>
      </c>
      <c r="T195" s="318"/>
      <c r="U195" s="318"/>
      <c r="V195" s="318"/>
      <c r="W195" s="318"/>
      <c r="X195" s="318"/>
      <c r="Y195" s="318"/>
      <c r="Z195" s="318"/>
      <c r="AA195" s="310">
        <v>0</v>
      </c>
      <c r="AB195" s="311"/>
      <c r="AC195" s="66"/>
      <c r="AD195" s="66"/>
      <c r="AE195" s="310">
        <v>0</v>
      </c>
      <c r="AF195" s="310" t="s">
        <v>286</v>
      </c>
      <c r="AG195" s="311" t="s">
        <v>286</v>
      </c>
      <c r="AH195" s="66"/>
      <c r="AI195" s="66"/>
      <c r="AJ195" s="311"/>
      <c r="AK195" s="841">
        <v>0</v>
      </c>
      <c r="AL195" s="846"/>
      <c r="AM195" s="844">
        <v>0</v>
      </c>
      <c r="AN195" s="863"/>
      <c r="AO195" s="863">
        <v>0</v>
      </c>
      <c r="AP195" s="843"/>
      <c r="AQ195" s="843"/>
      <c r="AR195" s="843"/>
      <c r="AS195" s="843"/>
      <c r="AT195" s="843"/>
      <c r="AU195" s="843"/>
      <c r="AV195" s="844"/>
      <c r="AW195" s="208" t="str">
        <f>IFERROR(WWWW[[#This Row],['# of Water passed at source]]/WWWW[[#This Row],['# of Water tested at source]],"no test")</f>
        <v>no test</v>
      </c>
      <c r="AX195" s="211" t="str">
        <f>IFERROR(WWWW[[#This Row],['# of Water passed at HH]]/WWWW[[#This Row],['# of Water tested at HH]],"no test")</f>
        <v>no test</v>
      </c>
      <c r="AY195" s="210" t="str">
        <f>IF(AND(WWWW[[#This Row],[%of Water samples which passed at water source]]="no test",WWWW[[#This Row],[%Water samples which passed at HH]]="no test"),"No Test","Tested")</f>
        <v>No Test</v>
      </c>
      <c r="AZ19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5" s="211">
        <f>IF(WWWW[[#This Row],[Location Type 1]]="Village",WWWW[[#This Row],[Access to safe drinking water for Village]],WWWW[[#This Row],[Access to safe drinking water for Camp]])</f>
        <v>0</v>
      </c>
      <c r="BC195" s="209">
        <f>WWWW[[#This Row],[%Equitable and continuous access to sufficient quantity of safe drinking water]]*WWWW[[#This Row],[Total PoP ]]</f>
        <v>0</v>
      </c>
      <c r="BD195" s="211">
        <f>IF((WWWW[[#This Row],['# Existing protected/fenced ponds ]]*250)/WWWW[[#This Row],[Total PoP ]]&gt;1,1,WWWW[[#This Row],['# Existing protected/fenced ponds ]]*250/WWWW[[#This Row],[Total PoP ]])</f>
        <v>0</v>
      </c>
      <c r="BE195" s="209">
        <f>WWWW[[#This Row],[Access to unimproved water points]]*WWWW[[#This Row],[Total PoP ]]</f>
        <v>0</v>
      </c>
      <c r="BF19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5" s="209">
        <f>ROUND(WWWW[[#This Row],['#people Equitable and continuous access to sufficient quantity of domestic water borehole n ponds_2]]/500,0)</f>
        <v>0</v>
      </c>
      <c r="BI195" s="208">
        <f>1-WWWW[[#This Row],[%Equitable and continuous access to sufficient quantity of domestic water borehole n ponds]]</f>
        <v>1</v>
      </c>
      <c r="BJ195" s="209">
        <f>WWWW[[#This Row],[%equitable and continuous access to sufficient quantity of safe drinking and domestic water''s GAP]]*WWWW[[#This Row],[Total PoP ]]</f>
        <v>615</v>
      </c>
      <c r="BK195" s="210">
        <f>IF(WWWW[[#This Row],[Total required water points]]-WWWW[[#This Row],['#Water points coverage]]&lt;0,0,WWWW[[#This Row],[Total required water points]]-WWWW[[#This Row],['#Water points coverage]])</f>
        <v>1</v>
      </c>
      <c r="BL195" s="210">
        <f>ROUND(IF(WWWW[[#This Row],[Total PoP ]]&lt;500,1,WWWW[[#This Row],[Total PoP ]]/500),0)</f>
        <v>1</v>
      </c>
      <c r="BM195" s="210">
        <f>WWWW[[#This Row],['# Existing functional latrines]]+WWWW[[#This Row],['# Existing latrines dysfunctional]]</f>
        <v>0</v>
      </c>
      <c r="BN19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5" s="352">
        <f>WWWW[[#This Row],[% people access to functioning Latrine]]*WWWW[[#This Row],[Total PoP ]]</f>
        <v>0</v>
      </c>
      <c r="BP19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5" s="209">
        <f>IF(WWWW[[#This Row],[Total required Latrines]]-WWWW[[#This Row],[Total '# of latrine]]&lt;0,0,WWWW[[#This Row],[Total required Latrines]]-WWWW[[#This Row],[Total '# of latrine]])</f>
        <v>103</v>
      </c>
      <c r="BR195" s="210">
        <f>ROUND(IF(WWWW[[#This Row],[Location Type 1]]="camp",WWWW[[#This Row],[Total PoP ]]/20,WWWW[[#This Row],[Total PoP ]]/6),0)</f>
        <v>103</v>
      </c>
      <c r="BS195" s="212">
        <f>IF(OR(WWWW[[#This Row],['# Existing latrines dysfunctional]]="",WWWW[[#This Row],['# Existing latrines dysfunctional]]=0),0,WWWW[[#This Row],['# Existing latrines dysfunctional]]/WWWW[[#This Row],[Total '# of latrine]])</f>
        <v>0</v>
      </c>
      <c r="BT19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5" s="209">
        <f>IF(500*WWWW[[#This Row],['# Hygiene Promoters ]]&gt;WWWW[[#This Row],[Total PoP ]],WWWW[[#This Row],[Total PoP ]],500*WWWW[[#This Row],['# Hygiene Promoters ]])</f>
        <v>0</v>
      </c>
      <c r="BV195" s="209">
        <f>IF(WWWW[[#This Row],[% of HH with access to Sanitary Pad]]&gt;=100%,1,0)</f>
        <v>0</v>
      </c>
      <c r="BW195" s="209">
        <f>IF(WWWW[[#This Row],[Total PoP ]]=0,0,IF(WWWW[[#This Row],['# Hygiene Promoters ]]=0,0,IF(WWWW[[#This Row],[Location Type 1]]="Village",IF(WWWW[[#This Row],[Total PoP ]]/WWWW[[#This Row],['# Hygiene Promoters ]]&lt;1000,1,0),IF(WWWW[[#This Row],[Total PoP ]]/WWWW[[#This Row],['# Hygiene Promoters ]]&lt;600,1,0))))</f>
        <v>0</v>
      </c>
      <c r="BX195" s="209">
        <f>IF(WWWW[[#This Row],[%HH with access to soap]]&gt;=100%,1,0)</f>
        <v>0</v>
      </c>
      <c r="BY195" s="209">
        <f>IF(WWWW[[#This Row],[% of HHs with access to Sanitary pad more than '#%]]+WWWW[[#This Row],[Ratio of Hyiene promoters to people less than '#]]+WWWW[[#This Row],[% of HHs with access to soap more than '#%]]&gt;=2,WWWW[[#This Row],[Total PoP ]],0)</f>
        <v>0</v>
      </c>
      <c r="BZ195" s="208">
        <f>WWWW[[#This Row],[People adopt basic personal and community hygiene practices]]/WWWW[[#This Row],[Total PoP ]]</f>
        <v>0</v>
      </c>
      <c r="CA195" s="212">
        <f>1-WWWW[[#This Row],[Hygiene Coverage%]]</f>
        <v>1</v>
      </c>
      <c r="CB195" s="211">
        <f>WWWW[[#This Row],['# people reached by regular dedicated hygiene promotion_5]]/WWWW[[#This Row],[Total PoP ]]</f>
        <v>0</v>
      </c>
      <c r="CC195" s="211">
        <f>IF(WWWW[[#This Row],['# HH received soaps]]/WWWW[[#This Row],[Total HH]]&gt;1,1,WWWW[[#This Row],['# HH received soaps]]/WWWW[[#This Row],[Total HH]])</f>
        <v>0</v>
      </c>
      <c r="CD195" s="211">
        <f>IF(WWWW[[#This Row],['# HH received Sanitary Pads]]/WWWW[[#This Row],[Total HH]]&gt;1,1,WWWW[[#This Row],['# HH received Sanitary Pads]]/WWWW[[#This Row],[Total HH]])</f>
        <v>0</v>
      </c>
      <c r="CE195" s="210">
        <f>WWWW[[#This Row],['# HH received soaps]]*5</f>
        <v>0</v>
      </c>
      <c r="CF195" s="210">
        <f>WWWW[[#This Row],['# HH received Sanitary Pads]]*5</f>
        <v>0</v>
      </c>
      <c r="CG195" s="210">
        <f>IF(WWWW[[#This Row],['# People with access to soap]]&gt;WWWW[[#This Row],['# People with access to Sanity Pads]],WWWW[[#This Row],['# People with access to soap]],WWWW[[#This Row],['# People with access to Sanity Pads]])</f>
        <v>0</v>
      </c>
      <c r="CH195" s="209">
        <f>WWWW[[#This Row],[Total HH]]*WWWW[[#This Row],[%HHs with access to functional hand washing stations]]</f>
        <v>0</v>
      </c>
      <c r="CI195" s="699">
        <f>VLOOKUP(WWWW[[#This Row],[Site Name]],SiteDB6[[Site Name]:[CCCM Management]],6,FALSE)</f>
        <v>0</v>
      </c>
      <c r="CJ195" s="699">
        <f>VLOOKUP(WWWW[[#This Row],[Site Name]],SiteDB6[[Site Name]:[CCCM Focal Agency]],7,FALSE)</f>
        <v>0</v>
      </c>
      <c r="CK195" s="699" t="str">
        <f>VLOOKUP(WWWW[[#This Row],[Site Name]],SiteDB6[[Site Name]:[Location Type]],8,FALSE)</f>
        <v>Village_Not HRP</v>
      </c>
      <c r="CL195" s="699" t="str">
        <f>VLOOKUP(WWWW[[#This Row],[Site Name]],SiteDB6[[Site Name]:[Location Type 1]],9,FALSE)</f>
        <v>Village</v>
      </c>
      <c r="CM195" s="699" t="str">
        <f>VLOOKUP(WWWW[[#This Row],[Site Name]],SiteDB6[[Site Name]:[Type of Accommodation]],10,FALSE)</f>
        <v>Village_Not HRP</v>
      </c>
      <c r="CN195" s="699" t="str">
        <f>VLOOKUP(WWWW[[#This Row],[Site Name]],SiteDB6[[Site Name]:[Ethnic or GCA/NGCA]],11,FALSE)</f>
        <v>Rakhine</v>
      </c>
      <c r="CO195" s="699">
        <f>VLOOKUP(WWWW[[#This Row],[Site Name]],SiteDB6[[Site Name]:[Lat]],12,FALSE)</f>
        <v>19.9044303894043</v>
      </c>
      <c r="CP195" s="699">
        <f>VLOOKUP(WWWW[[#This Row],[Site Name]],SiteDB6[[Site Name]:[Long]],13,FALSE)</f>
        <v>93.792778015136705</v>
      </c>
      <c r="CQ195" s="699" t="str">
        <f>VLOOKUP(WWWW[[#This Row],[Site Name]],SiteDB6[[Site Name]:[Pcode]],3,FALSE)</f>
        <v>199137</v>
      </c>
      <c r="CR195" s="660" t="str">
        <f t="shared" si="2"/>
        <v>Covered</v>
      </c>
      <c r="CS195" s="699"/>
      <c r="CT195" s="24"/>
      <c r="CU195" s="24"/>
      <c r="CV195" s="24"/>
    </row>
    <row r="196" spans="1:100" ht="16.5" customHeight="1" thickBot="1" x14ac:dyDescent="0.3">
      <c r="A196" s="833" t="s">
        <v>3206</v>
      </c>
      <c r="B196" s="206" t="s">
        <v>2444</v>
      </c>
      <c r="C196" s="206" t="s">
        <v>454</v>
      </c>
      <c r="D196" s="206" t="s">
        <v>486</v>
      </c>
      <c r="E196" s="206" t="s">
        <v>549</v>
      </c>
      <c r="F196" s="206">
        <f>ROUND(WWWW[[#This Row],[Total PoP ]]/5,0)</f>
        <v>115</v>
      </c>
      <c r="G196" s="398">
        <v>575</v>
      </c>
      <c r="H196" s="206"/>
      <c r="I196" s="206" t="s">
        <v>488</v>
      </c>
      <c r="J196" s="207">
        <v>43586</v>
      </c>
      <c r="K196" s="206"/>
      <c r="L196" s="206" t="s">
        <v>48</v>
      </c>
      <c r="M196" s="208">
        <v>0</v>
      </c>
      <c r="N196" s="208">
        <v>0</v>
      </c>
      <c r="O196" s="316">
        <v>0</v>
      </c>
      <c r="P196" s="317">
        <v>0</v>
      </c>
      <c r="Q196" s="317"/>
      <c r="R196" s="318"/>
      <c r="S196" s="318">
        <v>0</v>
      </c>
      <c r="T196" s="318"/>
      <c r="U196" s="318"/>
      <c r="V196" s="318"/>
      <c r="W196" s="318"/>
      <c r="X196" s="318"/>
      <c r="Y196" s="318"/>
      <c r="Z196" s="318"/>
      <c r="AA196" s="310">
        <v>0</v>
      </c>
      <c r="AB196" s="310"/>
      <c r="AC196" s="310"/>
      <c r="AD196" s="66"/>
      <c r="AE196" s="310">
        <v>0</v>
      </c>
      <c r="AF196" s="310" t="s">
        <v>286</v>
      </c>
      <c r="AG196" s="311" t="s">
        <v>286</v>
      </c>
      <c r="AH196" s="66"/>
      <c r="AI196" s="66"/>
      <c r="AJ196" s="310"/>
      <c r="AK196" s="841">
        <v>0</v>
      </c>
      <c r="AL196" s="842"/>
      <c r="AM196" s="842">
        <v>0</v>
      </c>
      <c r="AN196" s="863"/>
      <c r="AO196" s="863">
        <v>0</v>
      </c>
      <c r="AP196" s="843"/>
      <c r="AQ196" s="843"/>
      <c r="AR196" s="843"/>
      <c r="AS196" s="843"/>
      <c r="AT196" s="843"/>
      <c r="AU196" s="843"/>
      <c r="AV196" s="844"/>
      <c r="AW196" s="208" t="str">
        <f>IFERROR(WWWW[[#This Row],['# of Water passed at source]]/WWWW[[#This Row],['# of Water tested at source]],"no test")</f>
        <v>no test</v>
      </c>
      <c r="AX196" s="211" t="str">
        <f>IFERROR(WWWW[[#This Row],['# of Water passed at HH]]/WWWW[[#This Row],['# of Water tested at HH]],"no test")</f>
        <v>no test</v>
      </c>
      <c r="AY196" s="210" t="str">
        <f>IF(AND(WWWW[[#This Row],[%of Water samples which passed at water source]]="no test",WWWW[[#This Row],[%Water samples which passed at HH]]="no test"),"No Test","Tested")</f>
        <v>No Test</v>
      </c>
      <c r="AZ19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6" s="211">
        <f>IF(WWWW[[#This Row],[Location Type 1]]="Village",WWWW[[#This Row],[Access to safe drinking water for Village]],WWWW[[#This Row],[Access to safe drinking water for Camp]])</f>
        <v>0</v>
      </c>
      <c r="BC196" s="209">
        <f>WWWW[[#This Row],[%Equitable and continuous access to sufficient quantity of safe drinking water]]*WWWW[[#This Row],[Total PoP ]]</f>
        <v>0</v>
      </c>
      <c r="BD196" s="211">
        <f>IF((WWWW[[#This Row],['# Existing protected/fenced ponds ]]*250)/WWWW[[#This Row],[Total PoP ]]&gt;1,1,WWWW[[#This Row],['# Existing protected/fenced ponds ]]*250/WWWW[[#This Row],[Total PoP ]])</f>
        <v>0</v>
      </c>
      <c r="BE196" s="209">
        <f>WWWW[[#This Row],[Access to unimproved water points]]*WWWW[[#This Row],[Total PoP ]]</f>
        <v>0</v>
      </c>
      <c r="BF19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6" s="209">
        <f>ROUND(WWWW[[#This Row],['#people Equitable and continuous access to sufficient quantity of domestic water borehole n ponds_2]]/500,0)</f>
        <v>0</v>
      </c>
      <c r="BI196" s="208">
        <f>1-WWWW[[#This Row],[%Equitable and continuous access to sufficient quantity of domestic water borehole n ponds]]</f>
        <v>1</v>
      </c>
      <c r="BJ196" s="209">
        <f>WWWW[[#This Row],[%equitable and continuous access to sufficient quantity of safe drinking and domestic water''s GAP]]*WWWW[[#This Row],[Total PoP ]]</f>
        <v>575</v>
      </c>
      <c r="BK196" s="210">
        <f>IF(WWWW[[#This Row],[Total required water points]]-WWWW[[#This Row],['#Water points coverage]]&lt;0,0,WWWW[[#This Row],[Total required water points]]-WWWW[[#This Row],['#Water points coverage]])</f>
        <v>1</v>
      </c>
      <c r="BL196" s="210">
        <f>ROUND(IF(WWWW[[#This Row],[Total PoP ]]&lt;500,1,WWWW[[#This Row],[Total PoP ]]/500),0)</f>
        <v>1</v>
      </c>
      <c r="BM196" s="210">
        <f>WWWW[[#This Row],['# Existing functional latrines]]+WWWW[[#This Row],['# Existing latrines dysfunctional]]</f>
        <v>0</v>
      </c>
      <c r="BN19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6" s="352">
        <f>WWWW[[#This Row],[% people access to functioning Latrine]]*WWWW[[#This Row],[Total PoP ]]</f>
        <v>0</v>
      </c>
      <c r="BP19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6" s="209">
        <f>IF(WWWW[[#This Row],[Total required Latrines]]-WWWW[[#This Row],[Total '# of latrine]]&lt;0,0,WWWW[[#This Row],[Total required Latrines]]-WWWW[[#This Row],[Total '# of latrine]])</f>
        <v>96</v>
      </c>
      <c r="BR196" s="210">
        <f>ROUND(IF(WWWW[[#This Row],[Location Type 1]]="camp",WWWW[[#This Row],[Total PoP ]]/20,WWWW[[#This Row],[Total PoP ]]/6),0)</f>
        <v>96</v>
      </c>
      <c r="BS196" s="212">
        <f>IF(OR(WWWW[[#This Row],['# Existing latrines dysfunctional]]="",WWWW[[#This Row],['# Existing latrines dysfunctional]]=0),0,WWWW[[#This Row],['# Existing latrines dysfunctional]]/WWWW[[#This Row],[Total '# of latrine]])</f>
        <v>0</v>
      </c>
      <c r="BT19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6" s="209">
        <f>IF(500*WWWW[[#This Row],['# Hygiene Promoters ]]&gt;WWWW[[#This Row],[Total PoP ]],WWWW[[#This Row],[Total PoP ]],500*WWWW[[#This Row],['# Hygiene Promoters ]])</f>
        <v>0</v>
      </c>
      <c r="BV196" s="209">
        <f>IF(WWWW[[#This Row],[% of HH with access to Sanitary Pad]]&gt;=100%,1,0)</f>
        <v>0</v>
      </c>
      <c r="BW196" s="209">
        <f>IF(WWWW[[#This Row],[Total PoP ]]=0,0,IF(WWWW[[#This Row],['# Hygiene Promoters ]]=0,0,IF(WWWW[[#This Row],[Location Type 1]]="Village",IF(WWWW[[#This Row],[Total PoP ]]/WWWW[[#This Row],['# Hygiene Promoters ]]&lt;1000,1,0),IF(WWWW[[#This Row],[Total PoP ]]/WWWW[[#This Row],['# Hygiene Promoters ]]&lt;600,1,0))))</f>
        <v>0</v>
      </c>
      <c r="BX196" s="209">
        <f>IF(WWWW[[#This Row],[%HH with access to soap]]&gt;=100%,1,0)</f>
        <v>0</v>
      </c>
      <c r="BY196" s="209">
        <f>IF(WWWW[[#This Row],[% of HHs with access to Sanitary pad more than '#%]]+WWWW[[#This Row],[Ratio of Hyiene promoters to people less than '#]]+WWWW[[#This Row],[% of HHs with access to soap more than '#%]]&gt;=2,WWWW[[#This Row],[Total PoP ]],0)</f>
        <v>0</v>
      </c>
      <c r="BZ196" s="208">
        <f>WWWW[[#This Row],[People adopt basic personal and community hygiene practices]]/WWWW[[#This Row],[Total PoP ]]</f>
        <v>0</v>
      </c>
      <c r="CA196" s="212">
        <f>1-WWWW[[#This Row],[Hygiene Coverage%]]</f>
        <v>1</v>
      </c>
      <c r="CB196" s="211">
        <f>WWWW[[#This Row],['# people reached by regular dedicated hygiene promotion_5]]/WWWW[[#This Row],[Total PoP ]]</f>
        <v>0</v>
      </c>
      <c r="CC196" s="211">
        <f>IF(WWWW[[#This Row],['# HH received soaps]]/WWWW[[#This Row],[Total HH]]&gt;1,1,WWWW[[#This Row],['# HH received soaps]]/WWWW[[#This Row],[Total HH]])</f>
        <v>0</v>
      </c>
      <c r="CD196" s="211">
        <f>IF(WWWW[[#This Row],['# HH received Sanitary Pads]]/WWWW[[#This Row],[Total HH]]&gt;1,1,WWWW[[#This Row],['# HH received Sanitary Pads]]/WWWW[[#This Row],[Total HH]])</f>
        <v>0</v>
      </c>
      <c r="CE196" s="210">
        <f>WWWW[[#This Row],['# HH received soaps]]*5</f>
        <v>0</v>
      </c>
      <c r="CF196" s="210">
        <f>WWWW[[#This Row],['# HH received Sanitary Pads]]*5</f>
        <v>0</v>
      </c>
      <c r="CG196" s="210">
        <f>IF(WWWW[[#This Row],['# People with access to soap]]&gt;WWWW[[#This Row],['# People with access to Sanity Pads]],WWWW[[#This Row],['# People with access to soap]],WWWW[[#This Row],['# People with access to Sanity Pads]])</f>
        <v>0</v>
      </c>
      <c r="CH196" s="209">
        <f>WWWW[[#This Row],[Total HH]]*WWWW[[#This Row],[%HHs with access to functional hand washing stations]]</f>
        <v>0</v>
      </c>
      <c r="CI196" s="699">
        <f>VLOOKUP(WWWW[[#This Row],[Site Name]],SiteDB6[[Site Name]:[CCCM Management]],6,FALSE)</f>
        <v>0</v>
      </c>
      <c r="CJ196" s="699">
        <f>VLOOKUP(WWWW[[#This Row],[Site Name]],SiteDB6[[Site Name]:[CCCM Focal Agency]],7,FALSE)</f>
        <v>0</v>
      </c>
      <c r="CK196" s="699" t="str">
        <f>VLOOKUP(WWWW[[#This Row],[Site Name]],SiteDB6[[Site Name]:[Location Type]],8,FALSE)</f>
        <v>Village_Not HRP</v>
      </c>
      <c r="CL196" s="699" t="str">
        <f>VLOOKUP(WWWW[[#This Row],[Site Name]],SiteDB6[[Site Name]:[Location Type 1]],9,FALSE)</f>
        <v>Village</v>
      </c>
      <c r="CM196" s="699" t="str">
        <f>VLOOKUP(WWWW[[#This Row],[Site Name]],SiteDB6[[Site Name]:[Type of Accommodation]],10,FALSE)</f>
        <v>Village_Not HRP</v>
      </c>
      <c r="CN196" s="699" t="str">
        <f>VLOOKUP(WWWW[[#This Row],[Site Name]],SiteDB6[[Site Name]:[Ethnic or GCA/NGCA]],11,FALSE)</f>
        <v>Chin+Rakhine</v>
      </c>
      <c r="CO196" s="699">
        <f>VLOOKUP(WWWW[[#This Row],[Site Name]],SiteDB6[[Site Name]:[Lat]],12,FALSE)</f>
        <v>19.930080413818398</v>
      </c>
      <c r="CP196" s="699">
        <f>VLOOKUP(WWWW[[#This Row],[Site Name]],SiteDB6[[Site Name]:[Long]],13,FALSE)</f>
        <v>93.787002563476605</v>
      </c>
      <c r="CQ196" s="699" t="str">
        <f>VLOOKUP(WWWW[[#This Row],[Site Name]],SiteDB6[[Site Name]:[Pcode]],3,FALSE)</f>
        <v>199135</v>
      </c>
      <c r="CR196" s="660" t="str">
        <f t="shared" si="2"/>
        <v>Covered</v>
      </c>
      <c r="CS196" s="699"/>
      <c r="CT196" s="24"/>
      <c r="CU196" s="24"/>
      <c r="CV196" s="24"/>
    </row>
    <row r="197" spans="1:100" ht="16.5" customHeight="1" thickBot="1" x14ac:dyDescent="0.3">
      <c r="A197" s="833" t="s">
        <v>3206</v>
      </c>
      <c r="B197" s="206" t="s">
        <v>2444</v>
      </c>
      <c r="C197" s="206" t="s">
        <v>454</v>
      </c>
      <c r="D197" s="206" t="s">
        <v>486</v>
      </c>
      <c r="E197" s="206" t="s">
        <v>535</v>
      </c>
      <c r="F197" s="206">
        <f>ROUND(WWWW[[#This Row],[Total PoP ]]/5,0)</f>
        <v>144</v>
      </c>
      <c r="G197" s="398">
        <v>719</v>
      </c>
      <c r="H197" s="206"/>
      <c r="I197" s="206" t="s">
        <v>488</v>
      </c>
      <c r="J197" s="207">
        <v>43586</v>
      </c>
      <c r="K197" s="206"/>
      <c r="L197" s="206" t="s">
        <v>48</v>
      </c>
      <c r="M197" s="208">
        <v>0</v>
      </c>
      <c r="N197" s="208">
        <v>0</v>
      </c>
      <c r="O197" s="323">
        <v>0</v>
      </c>
      <c r="P197" s="317">
        <v>0</v>
      </c>
      <c r="Q197" s="317"/>
      <c r="R197" s="318"/>
      <c r="S197" s="318">
        <v>0</v>
      </c>
      <c r="T197" s="318"/>
      <c r="U197" s="318"/>
      <c r="V197" s="318"/>
      <c r="W197" s="318"/>
      <c r="X197" s="318"/>
      <c r="Y197" s="318"/>
      <c r="Z197" s="318"/>
      <c r="AA197" s="310">
        <v>0</v>
      </c>
      <c r="AB197" s="310"/>
      <c r="AC197" s="310"/>
      <c r="AD197" s="66"/>
      <c r="AE197" s="310">
        <v>0</v>
      </c>
      <c r="AF197" s="310" t="s">
        <v>286</v>
      </c>
      <c r="AG197" s="311" t="s">
        <v>286</v>
      </c>
      <c r="AH197" s="66"/>
      <c r="AI197" s="66"/>
      <c r="AJ197" s="310"/>
      <c r="AK197" s="841">
        <v>0</v>
      </c>
      <c r="AL197" s="842"/>
      <c r="AM197" s="842">
        <v>0</v>
      </c>
      <c r="AN197" s="863"/>
      <c r="AO197" s="863">
        <v>0</v>
      </c>
      <c r="AP197" s="843"/>
      <c r="AQ197" s="843"/>
      <c r="AR197" s="843"/>
      <c r="AS197" s="843"/>
      <c r="AT197" s="843"/>
      <c r="AU197" s="843"/>
      <c r="AV197" s="844"/>
      <c r="AW197" s="208" t="str">
        <f>IFERROR(WWWW[[#This Row],['# of Water passed at source]]/WWWW[[#This Row],['# of Water tested at source]],"no test")</f>
        <v>no test</v>
      </c>
      <c r="AX197" s="211" t="str">
        <f>IFERROR(WWWW[[#This Row],['# of Water passed at HH]]/WWWW[[#This Row],['# of Water tested at HH]],"no test")</f>
        <v>no test</v>
      </c>
      <c r="AY197" s="210" t="str">
        <f>IF(AND(WWWW[[#This Row],[%of Water samples which passed at water source]]="no test",WWWW[[#This Row],[%Water samples which passed at HH]]="no test"),"No Test","Tested")</f>
        <v>No Test</v>
      </c>
      <c r="AZ19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7" s="211">
        <f>IF(WWWW[[#This Row],[Location Type 1]]="Village",WWWW[[#This Row],[Access to safe drinking water for Village]],WWWW[[#This Row],[Access to safe drinking water for Camp]])</f>
        <v>0</v>
      </c>
      <c r="BC197" s="209">
        <f>WWWW[[#This Row],[%Equitable and continuous access to sufficient quantity of safe drinking water]]*WWWW[[#This Row],[Total PoP ]]</f>
        <v>0</v>
      </c>
      <c r="BD197" s="211">
        <f>IF((WWWW[[#This Row],['# Existing protected/fenced ponds ]]*250)/WWWW[[#This Row],[Total PoP ]]&gt;1,1,WWWW[[#This Row],['# Existing protected/fenced ponds ]]*250/WWWW[[#This Row],[Total PoP ]])</f>
        <v>0</v>
      </c>
      <c r="BE197" s="209">
        <f>WWWW[[#This Row],[Access to unimproved water points]]*WWWW[[#This Row],[Total PoP ]]</f>
        <v>0</v>
      </c>
      <c r="BF19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7" s="209">
        <f>ROUND(WWWW[[#This Row],['#people Equitable and continuous access to sufficient quantity of domestic water borehole n ponds_2]]/500,0)</f>
        <v>0</v>
      </c>
      <c r="BI197" s="208">
        <f>1-WWWW[[#This Row],[%Equitable and continuous access to sufficient quantity of domestic water borehole n ponds]]</f>
        <v>1</v>
      </c>
      <c r="BJ197" s="209">
        <f>WWWW[[#This Row],[%equitable and continuous access to sufficient quantity of safe drinking and domestic water''s GAP]]*WWWW[[#This Row],[Total PoP ]]</f>
        <v>719</v>
      </c>
      <c r="BK197" s="210">
        <f>IF(WWWW[[#This Row],[Total required water points]]-WWWW[[#This Row],['#Water points coverage]]&lt;0,0,WWWW[[#This Row],[Total required water points]]-WWWW[[#This Row],['#Water points coverage]])</f>
        <v>1</v>
      </c>
      <c r="BL197" s="210">
        <f>ROUND(IF(WWWW[[#This Row],[Total PoP ]]&lt;500,1,WWWW[[#This Row],[Total PoP ]]/500),0)</f>
        <v>1</v>
      </c>
      <c r="BM197" s="210">
        <f>WWWW[[#This Row],['# Existing functional latrines]]+WWWW[[#This Row],['# Existing latrines dysfunctional]]</f>
        <v>0</v>
      </c>
      <c r="BN19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7" s="352">
        <f>WWWW[[#This Row],[% people access to functioning Latrine]]*WWWW[[#This Row],[Total PoP ]]</f>
        <v>0</v>
      </c>
      <c r="BP19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7" s="209">
        <f>IF(WWWW[[#This Row],[Total required Latrines]]-WWWW[[#This Row],[Total '# of latrine]]&lt;0,0,WWWW[[#This Row],[Total required Latrines]]-WWWW[[#This Row],[Total '# of latrine]])</f>
        <v>120</v>
      </c>
      <c r="BR197" s="210">
        <f>ROUND(IF(WWWW[[#This Row],[Location Type 1]]="camp",WWWW[[#This Row],[Total PoP ]]/20,WWWW[[#This Row],[Total PoP ]]/6),0)</f>
        <v>120</v>
      </c>
      <c r="BS197" s="212">
        <f>IF(OR(WWWW[[#This Row],['# Existing latrines dysfunctional]]="",WWWW[[#This Row],['# Existing latrines dysfunctional]]=0),0,WWWW[[#This Row],['# Existing latrines dysfunctional]]/WWWW[[#This Row],[Total '# of latrine]])</f>
        <v>0</v>
      </c>
      <c r="BT19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7" s="209">
        <f>IF(500*WWWW[[#This Row],['# Hygiene Promoters ]]&gt;WWWW[[#This Row],[Total PoP ]],WWWW[[#This Row],[Total PoP ]],500*WWWW[[#This Row],['# Hygiene Promoters ]])</f>
        <v>0</v>
      </c>
      <c r="BV197" s="209">
        <f>IF(WWWW[[#This Row],[% of HH with access to Sanitary Pad]]&gt;=100%,1,0)</f>
        <v>0</v>
      </c>
      <c r="BW197" s="209">
        <f>IF(WWWW[[#This Row],[Total PoP ]]=0,0,IF(WWWW[[#This Row],['# Hygiene Promoters ]]=0,0,IF(WWWW[[#This Row],[Location Type 1]]="Village",IF(WWWW[[#This Row],[Total PoP ]]/WWWW[[#This Row],['# Hygiene Promoters ]]&lt;1000,1,0),IF(WWWW[[#This Row],[Total PoP ]]/WWWW[[#This Row],['# Hygiene Promoters ]]&lt;600,1,0))))</f>
        <v>0</v>
      </c>
      <c r="BX197" s="209">
        <f>IF(WWWW[[#This Row],[%HH with access to soap]]&gt;=100%,1,0)</f>
        <v>0</v>
      </c>
      <c r="BY197" s="209">
        <f>IF(WWWW[[#This Row],[% of HHs with access to Sanitary pad more than '#%]]+WWWW[[#This Row],[Ratio of Hyiene promoters to people less than '#]]+WWWW[[#This Row],[% of HHs with access to soap more than '#%]]&gt;=2,WWWW[[#This Row],[Total PoP ]],0)</f>
        <v>0</v>
      </c>
      <c r="BZ197" s="208">
        <f>WWWW[[#This Row],[People adopt basic personal and community hygiene practices]]/WWWW[[#This Row],[Total PoP ]]</f>
        <v>0</v>
      </c>
      <c r="CA197" s="212">
        <f>1-WWWW[[#This Row],[Hygiene Coverage%]]</f>
        <v>1</v>
      </c>
      <c r="CB197" s="211">
        <f>WWWW[[#This Row],['# people reached by regular dedicated hygiene promotion_5]]/WWWW[[#This Row],[Total PoP ]]</f>
        <v>0</v>
      </c>
      <c r="CC197" s="211">
        <f>IF(WWWW[[#This Row],['# HH received soaps]]/WWWW[[#This Row],[Total HH]]&gt;1,1,WWWW[[#This Row],['# HH received soaps]]/WWWW[[#This Row],[Total HH]])</f>
        <v>0</v>
      </c>
      <c r="CD197" s="211">
        <f>IF(WWWW[[#This Row],['# HH received Sanitary Pads]]/WWWW[[#This Row],[Total HH]]&gt;1,1,WWWW[[#This Row],['# HH received Sanitary Pads]]/WWWW[[#This Row],[Total HH]])</f>
        <v>0</v>
      </c>
      <c r="CE197" s="210">
        <f>WWWW[[#This Row],['# HH received soaps]]*5</f>
        <v>0</v>
      </c>
      <c r="CF197" s="210">
        <f>WWWW[[#This Row],['# HH received Sanitary Pads]]*5</f>
        <v>0</v>
      </c>
      <c r="CG197" s="210">
        <f>IF(WWWW[[#This Row],['# People with access to soap]]&gt;WWWW[[#This Row],['# People with access to Sanity Pads]],WWWW[[#This Row],['# People with access to soap]],WWWW[[#This Row],['# People with access to Sanity Pads]])</f>
        <v>0</v>
      </c>
      <c r="CH197" s="209">
        <f>WWWW[[#This Row],[Total HH]]*WWWW[[#This Row],[%HHs with access to functional hand washing stations]]</f>
        <v>0</v>
      </c>
      <c r="CI197" s="699">
        <f>VLOOKUP(WWWW[[#This Row],[Site Name]],SiteDB6[[Site Name]:[CCCM Management]],6,FALSE)</f>
        <v>0</v>
      </c>
      <c r="CJ197" s="699">
        <f>VLOOKUP(WWWW[[#This Row],[Site Name]],SiteDB6[[Site Name]:[CCCM Focal Agency]],7,FALSE)</f>
        <v>0</v>
      </c>
      <c r="CK197" s="699" t="str">
        <f>VLOOKUP(WWWW[[#This Row],[Site Name]],SiteDB6[[Site Name]:[Location Type]],8,FALSE)</f>
        <v>Village_Not HRP</v>
      </c>
      <c r="CL197" s="699" t="str">
        <f>VLOOKUP(WWWW[[#This Row],[Site Name]],SiteDB6[[Site Name]:[Location Type 1]],9,FALSE)</f>
        <v>Village</v>
      </c>
      <c r="CM197" s="699" t="str">
        <f>VLOOKUP(WWWW[[#This Row],[Site Name]],SiteDB6[[Site Name]:[Type of Accommodation]],10,FALSE)</f>
        <v>Village_Not HRP</v>
      </c>
      <c r="CN197" s="699" t="str">
        <f>VLOOKUP(WWWW[[#This Row],[Site Name]],SiteDB6[[Site Name]:[Ethnic or GCA/NGCA]],11,FALSE)</f>
        <v>Rakhine</v>
      </c>
      <c r="CO197" s="699">
        <f>VLOOKUP(WWWW[[#This Row],[Site Name]],SiteDB6[[Site Name]:[Lat]],12,FALSE)</f>
        <v>19.611209869384801</v>
      </c>
      <c r="CP197" s="699">
        <f>VLOOKUP(WWWW[[#This Row],[Site Name]],SiteDB6[[Site Name]:[Long]],13,FALSE)</f>
        <v>93.995933532714801</v>
      </c>
      <c r="CQ197" s="699" t="str">
        <f>VLOOKUP(WWWW[[#This Row],[Site Name]],SiteDB6[[Site Name]:[Pcode]],3,FALSE)</f>
        <v>199261</v>
      </c>
      <c r="CR197" s="660" t="str">
        <f t="shared" si="2"/>
        <v>Covered</v>
      </c>
      <c r="CS197" s="699"/>
      <c r="CT197" s="24"/>
      <c r="CU197" s="24"/>
      <c r="CV197" s="24"/>
    </row>
    <row r="198" spans="1:100" ht="16.5" customHeight="1" thickBot="1" x14ac:dyDescent="0.3">
      <c r="A198" s="833" t="s">
        <v>3206</v>
      </c>
      <c r="B198" s="206" t="s">
        <v>2444</v>
      </c>
      <c r="C198" s="206" t="s">
        <v>454</v>
      </c>
      <c r="D198" s="206" t="s">
        <v>486</v>
      </c>
      <c r="E198" s="206" t="s">
        <v>541</v>
      </c>
      <c r="F198" s="206">
        <f>ROUND(WWWW[[#This Row],[Total PoP ]]/5,0)</f>
        <v>110</v>
      </c>
      <c r="G198" s="398">
        <v>549</v>
      </c>
      <c r="H198" s="206"/>
      <c r="I198" s="206" t="s">
        <v>488</v>
      </c>
      <c r="J198" s="207">
        <v>43586</v>
      </c>
      <c r="K198" s="206"/>
      <c r="L198" s="206" t="s">
        <v>48</v>
      </c>
      <c r="M198" s="208">
        <v>0</v>
      </c>
      <c r="N198" s="208">
        <v>0</v>
      </c>
      <c r="O198" s="316">
        <v>0</v>
      </c>
      <c r="P198" s="317">
        <v>0</v>
      </c>
      <c r="Q198" s="317"/>
      <c r="R198" s="318"/>
      <c r="S198" s="318">
        <v>0</v>
      </c>
      <c r="T198" s="318"/>
      <c r="U198" s="318"/>
      <c r="V198" s="318"/>
      <c r="W198" s="318"/>
      <c r="X198" s="318"/>
      <c r="Y198" s="318"/>
      <c r="Z198" s="318"/>
      <c r="AA198" s="310">
        <v>0</v>
      </c>
      <c r="AB198" s="310"/>
      <c r="AC198" s="66"/>
      <c r="AD198" s="66"/>
      <c r="AE198" s="310">
        <v>0</v>
      </c>
      <c r="AF198" s="310" t="s">
        <v>286</v>
      </c>
      <c r="AG198" s="311" t="s">
        <v>286</v>
      </c>
      <c r="AH198" s="311"/>
      <c r="AI198" s="310"/>
      <c r="AJ198" s="310"/>
      <c r="AK198" s="841">
        <v>0</v>
      </c>
      <c r="AL198" s="842"/>
      <c r="AM198" s="842">
        <v>0</v>
      </c>
      <c r="AN198" s="863"/>
      <c r="AO198" s="863">
        <v>0</v>
      </c>
      <c r="AP198" s="843"/>
      <c r="AQ198" s="843"/>
      <c r="AR198" s="843"/>
      <c r="AS198" s="843"/>
      <c r="AT198" s="843"/>
      <c r="AU198" s="843"/>
      <c r="AV198" s="844"/>
      <c r="AW198" s="208" t="str">
        <f>IFERROR(WWWW[[#This Row],['# of Water passed at source]]/WWWW[[#This Row],['# of Water tested at source]],"no test")</f>
        <v>no test</v>
      </c>
      <c r="AX198" s="211" t="str">
        <f>IFERROR(WWWW[[#This Row],['# of Water passed at HH]]/WWWW[[#This Row],['# of Water tested at HH]],"no test")</f>
        <v>no test</v>
      </c>
      <c r="AY198" s="210" t="str">
        <f>IF(AND(WWWW[[#This Row],[%of Water samples which passed at water source]]="no test",WWWW[[#This Row],[%Water samples which passed at HH]]="no test"),"No Test","Tested")</f>
        <v>No Test</v>
      </c>
      <c r="AZ19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8" s="211">
        <f>IF(WWWW[[#This Row],[Location Type 1]]="Village",WWWW[[#This Row],[Access to safe drinking water for Village]],WWWW[[#This Row],[Access to safe drinking water for Camp]])</f>
        <v>0</v>
      </c>
      <c r="BC198" s="209">
        <f>WWWW[[#This Row],[%Equitable and continuous access to sufficient quantity of safe drinking water]]*WWWW[[#This Row],[Total PoP ]]</f>
        <v>0</v>
      </c>
      <c r="BD198" s="211">
        <f>IF((WWWW[[#This Row],['# Existing protected/fenced ponds ]]*250)/WWWW[[#This Row],[Total PoP ]]&gt;1,1,WWWW[[#This Row],['# Existing protected/fenced ponds ]]*250/WWWW[[#This Row],[Total PoP ]])</f>
        <v>0</v>
      </c>
      <c r="BE198" s="209">
        <f>WWWW[[#This Row],[Access to unimproved water points]]*WWWW[[#This Row],[Total PoP ]]</f>
        <v>0</v>
      </c>
      <c r="BF19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8" s="209">
        <f>ROUND(WWWW[[#This Row],['#people Equitable and continuous access to sufficient quantity of domestic water borehole n ponds_2]]/500,0)</f>
        <v>0</v>
      </c>
      <c r="BI198" s="208">
        <f>1-WWWW[[#This Row],[%Equitable and continuous access to sufficient quantity of domestic water borehole n ponds]]</f>
        <v>1</v>
      </c>
      <c r="BJ198" s="209">
        <f>WWWW[[#This Row],[%equitable and continuous access to sufficient quantity of safe drinking and domestic water''s GAP]]*WWWW[[#This Row],[Total PoP ]]</f>
        <v>549</v>
      </c>
      <c r="BK198" s="210">
        <f>IF(WWWW[[#This Row],[Total required water points]]-WWWW[[#This Row],['#Water points coverage]]&lt;0,0,WWWW[[#This Row],[Total required water points]]-WWWW[[#This Row],['#Water points coverage]])</f>
        <v>1</v>
      </c>
      <c r="BL198" s="210">
        <f>ROUND(IF(WWWW[[#This Row],[Total PoP ]]&lt;500,1,WWWW[[#This Row],[Total PoP ]]/500),0)</f>
        <v>1</v>
      </c>
      <c r="BM198" s="210">
        <f>WWWW[[#This Row],['# Existing functional latrines]]+WWWW[[#This Row],['# Existing latrines dysfunctional]]</f>
        <v>0</v>
      </c>
      <c r="BN19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8" s="352">
        <f>WWWW[[#This Row],[% people access to functioning Latrine]]*WWWW[[#This Row],[Total PoP ]]</f>
        <v>0</v>
      </c>
      <c r="BP19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8" s="209">
        <f>IF(WWWW[[#This Row],[Total required Latrines]]-WWWW[[#This Row],[Total '# of latrine]]&lt;0,0,WWWW[[#This Row],[Total required Latrines]]-WWWW[[#This Row],[Total '# of latrine]])</f>
        <v>92</v>
      </c>
      <c r="BR198" s="210">
        <f>ROUND(IF(WWWW[[#This Row],[Location Type 1]]="camp",WWWW[[#This Row],[Total PoP ]]/20,WWWW[[#This Row],[Total PoP ]]/6),0)</f>
        <v>92</v>
      </c>
      <c r="BS198" s="212">
        <f>IF(OR(WWWW[[#This Row],['# Existing latrines dysfunctional]]="",WWWW[[#This Row],['# Existing latrines dysfunctional]]=0),0,WWWW[[#This Row],['# Existing latrines dysfunctional]]/WWWW[[#This Row],[Total '# of latrine]])</f>
        <v>0</v>
      </c>
      <c r="BT19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8" s="209">
        <f>IF(500*WWWW[[#This Row],['# Hygiene Promoters ]]&gt;WWWW[[#This Row],[Total PoP ]],WWWW[[#This Row],[Total PoP ]],500*WWWW[[#This Row],['# Hygiene Promoters ]])</f>
        <v>0</v>
      </c>
      <c r="BV198" s="209">
        <f>IF(WWWW[[#This Row],[% of HH with access to Sanitary Pad]]&gt;=100%,1,0)</f>
        <v>0</v>
      </c>
      <c r="BW198" s="209">
        <f>IF(WWWW[[#This Row],[Total PoP ]]=0,0,IF(WWWW[[#This Row],['# Hygiene Promoters ]]=0,0,IF(WWWW[[#This Row],[Location Type 1]]="Village",IF(WWWW[[#This Row],[Total PoP ]]/WWWW[[#This Row],['# Hygiene Promoters ]]&lt;1000,1,0),IF(WWWW[[#This Row],[Total PoP ]]/WWWW[[#This Row],['# Hygiene Promoters ]]&lt;600,1,0))))</f>
        <v>0</v>
      </c>
      <c r="BX198" s="209">
        <f>IF(WWWW[[#This Row],[%HH with access to soap]]&gt;=100%,1,0)</f>
        <v>0</v>
      </c>
      <c r="BY198" s="209">
        <f>IF(WWWW[[#This Row],[% of HHs with access to Sanitary pad more than '#%]]+WWWW[[#This Row],[Ratio of Hyiene promoters to people less than '#]]+WWWW[[#This Row],[% of HHs with access to soap more than '#%]]&gt;=2,WWWW[[#This Row],[Total PoP ]],0)</f>
        <v>0</v>
      </c>
      <c r="BZ198" s="208">
        <f>WWWW[[#This Row],[People adopt basic personal and community hygiene practices]]/WWWW[[#This Row],[Total PoP ]]</f>
        <v>0</v>
      </c>
      <c r="CA198" s="212">
        <f>1-WWWW[[#This Row],[Hygiene Coverage%]]</f>
        <v>1</v>
      </c>
      <c r="CB198" s="211">
        <f>WWWW[[#This Row],['# people reached by regular dedicated hygiene promotion_5]]/WWWW[[#This Row],[Total PoP ]]</f>
        <v>0</v>
      </c>
      <c r="CC198" s="211">
        <f>IF(WWWW[[#This Row],['# HH received soaps]]/WWWW[[#This Row],[Total HH]]&gt;1,1,WWWW[[#This Row],['# HH received soaps]]/WWWW[[#This Row],[Total HH]])</f>
        <v>0</v>
      </c>
      <c r="CD198" s="211">
        <f>IF(WWWW[[#This Row],['# HH received Sanitary Pads]]/WWWW[[#This Row],[Total HH]]&gt;1,1,WWWW[[#This Row],['# HH received Sanitary Pads]]/WWWW[[#This Row],[Total HH]])</f>
        <v>0</v>
      </c>
      <c r="CE198" s="210">
        <f>WWWW[[#This Row],['# HH received soaps]]*5</f>
        <v>0</v>
      </c>
      <c r="CF198" s="210">
        <f>WWWW[[#This Row],['# HH received Sanitary Pads]]*5</f>
        <v>0</v>
      </c>
      <c r="CG198" s="210">
        <f>IF(WWWW[[#This Row],['# People with access to soap]]&gt;WWWW[[#This Row],['# People with access to Sanity Pads]],WWWW[[#This Row],['# People with access to soap]],WWWW[[#This Row],['# People with access to Sanity Pads]])</f>
        <v>0</v>
      </c>
      <c r="CH198" s="209">
        <f>WWWW[[#This Row],[Total HH]]*WWWW[[#This Row],[%HHs with access to functional hand washing stations]]</f>
        <v>0</v>
      </c>
      <c r="CI198" s="699">
        <f>VLOOKUP(WWWW[[#This Row],[Site Name]],SiteDB6[[Site Name]:[CCCM Management]],6,FALSE)</f>
        <v>0</v>
      </c>
      <c r="CJ198" s="699">
        <f>VLOOKUP(WWWW[[#This Row],[Site Name]],SiteDB6[[Site Name]:[CCCM Focal Agency]],7,FALSE)</f>
        <v>0</v>
      </c>
      <c r="CK198" s="699" t="str">
        <f>VLOOKUP(WWWW[[#This Row],[Site Name]],SiteDB6[[Site Name]:[Location Type]],8,FALSE)</f>
        <v>Village_Not HRP</v>
      </c>
      <c r="CL198" s="699" t="str">
        <f>VLOOKUP(WWWW[[#This Row],[Site Name]],SiteDB6[[Site Name]:[Location Type 1]],9,FALSE)</f>
        <v>Village</v>
      </c>
      <c r="CM198" s="699" t="str">
        <f>VLOOKUP(WWWW[[#This Row],[Site Name]],SiteDB6[[Site Name]:[Type of Accommodation]],10,FALSE)</f>
        <v>Village_Not HRP</v>
      </c>
      <c r="CN198" s="699" t="str">
        <f>VLOOKUP(WWWW[[#This Row],[Site Name]],SiteDB6[[Site Name]:[Ethnic or GCA/NGCA]],11,FALSE)</f>
        <v>Chin+Rakhine</v>
      </c>
      <c r="CO198" s="699">
        <f>VLOOKUP(WWWW[[#This Row],[Site Name]],SiteDB6[[Site Name]:[Lat]],12,FALSE)</f>
        <v>19.686580657958999</v>
      </c>
      <c r="CP198" s="699">
        <f>VLOOKUP(WWWW[[#This Row],[Site Name]],SiteDB6[[Site Name]:[Long]],13,FALSE)</f>
        <v>94.048843383789105</v>
      </c>
      <c r="CQ198" s="699" t="str">
        <f>VLOOKUP(WWWW[[#This Row],[Site Name]],SiteDB6[[Site Name]:[Pcode]],3,FALSE)</f>
        <v>199156</v>
      </c>
      <c r="CR198" s="660" t="str">
        <f t="shared" si="2"/>
        <v>Covered</v>
      </c>
      <c r="CS198" s="660"/>
      <c r="CT198" s="24"/>
      <c r="CU198" s="24"/>
      <c r="CV198" s="24"/>
    </row>
    <row r="199" spans="1:100" ht="16.5" customHeight="1" thickBot="1" x14ac:dyDescent="0.3">
      <c r="A199" s="833" t="s">
        <v>3206</v>
      </c>
      <c r="B199" s="206" t="s">
        <v>2444</v>
      </c>
      <c r="C199" s="206" t="s">
        <v>454</v>
      </c>
      <c r="D199" s="206" t="s">
        <v>486</v>
      </c>
      <c r="E199" s="206" t="s">
        <v>538</v>
      </c>
      <c r="F199" s="206">
        <f>ROUND(WWWW[[#This Row],[Total PoP ]]/5,0)</f>
        <v>72</v>
      </c>
      <c r="G199" s="398">
        <v>360</v>
      </c>
      <c r="H199" s="206"/>
      <c r="I199" s="206" t="s">
        <v>488</v>
      </c>
      <c r="J199" s="207">
        <v>43586</v>
      </c>
      <c r="K199" s="207"/>
      <c r="L199" s="206" t="s">
        <v>48</v>
      </c>
      <c r="M199" s="208">
        <v>0</v>
      </c>
      <c r="N199" s="208">
        <v>0</v>
      </c>
      <c r="O199" s="323">
        <v>0</v>
      </c>
      <c r="P199" s="317">
        <v>0</v>
      </c>
      <c r="Q199" s="317"/>
      <c r="R199" s="318"/>
      <c r="S199" s="318">
        <v>0</v>
      </c>
      <c r="T199" s="318"/>
      <c r="U199" s="318"/>
      <c r="V199" s="318"/>
      <c r="W199" s="318"/>
      <c r="X199" s="318"/>
      <c r="Y199" s="318"/>
      <c r="Z199" s="318"/>
      <c r="AA199" s="310">
        <v>0</v>
      </c>
      <c r="AB199" s="310"/>
      <c r="AC199" s="66"/>
      <c r="AD199" s="66"/>
      <c r="AE199" s="310">
        <v>0</v>
      </c>
      <c r="AF199" s="310" t="s">
        <v>286</v>
      </c>
      <c r="AG199" s="311" t="s">
        <v>286</v>
      </c>
      <c r="AH199" s="311"/>
      <c r="AI199" s="311"/>
      <c r="AJ199" s="310"/>
      <c r="AK199" s="841">
        <v>0</v>
      </c>
      <c r="AL199" s="842"/>
      <c r="AM199" s="842">
        <v>0</v>
      </c>
      <c r="AN199" s="863"/>
      <c r="AO199" s="863">
        <v>0</v>
      </c>
      <c r="AP199" s="843"/>
      <c r="AQ199" s="843"/>
      <c r="AR199" s="843"/>
      <c r="AS199" s="843"/>
      <c r="AT199" s="843"/>
      <c r="AU199" s="843"/>
      <c r="AV199" s="844"/>
      <c r="AW199" s="208" t="str">
        <f>IFERROR(WWWW[[#This Row],['# of Water passed at source]]/WWWW[[#This Row],['# of Water tested at source]],"no test")</f>
        <v>no test</v>
      </c>
      <c r="AX199" s="211" t="str">
        <f>IFERROR(WWWW[[#This Row],['# of Water passed at HH]]/WWWW[[#This Row],['# of Water tested at HH]],"no test")</f>
        <v>no test</v>
      </c>
      <c r="AY199" s="210" t="str">
        <f>IF(AND(WWWW[[#This Row],[%of Water samples which passed at water source]]="no test",WWWW[[#This Row],[%Water samples which passed at HH]]="no test"),"No Test","Tested")</f>
        <v>No Test</v>
      </c>
      <c r="AZ19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19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199" s="211">
        <f>IF(WWWW[[#This Row],[Location Type 1]]="Village",WWWW[[#This Row],[Access to safe drinking water for Village]],WWWW[[#This Row],[Access to safe drinking water for Camp]])</f>
        <v>0</v>
      </c>
      <c r="BC199" s="209">
        <f>WWWW[[#This Row],[%Equitable and continuous access to sufficient quantity of safe drinking water]]*WWWW[[#This Row],[Total PoP ]]</f>
        <v>0</v>
      </c>
      <c r="BD199" s="211">
        <f>IF((WWWW[[#This Row],['# Existing protected/fenced ponds ]]*250)/WWWW[[#This Row],[Total PoP ]]&gt;1,1,WWWW[[#This Row],['# Existing protected/fenced ponds ]]*250/WWWW[[#This Row],[Total PoP ]])</f>
        <v>0</v>
      </c>
      <c r="BE199" s="209">
        <f>WWWW[[#This Row],[Access to unimproved water points]]*WWWW[[#This Row],[Total PoP ]]</f>
        <v>0</v>
      </c>
      <c r="BF19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19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199" s="209">
        <f>ROUND(WWWW[[#This Row],['#people Equitable and continuous access to sufficient quantity of domestic water borehole n ponds_2]]/500,0)</f>
        <v>0</v>
      </c>
      <c r="BI199" s="208">
        <f>1-WWWW[[#This Row],[%Equitable and continuous access to sufficient quantity of domestic water borehole n ponds]]</f>
        <v>1</v>
      </c>
      <c r="BJ199" s="209">
        <f>WWWW[[#This Row],[%equitable and continuous access to sufficient quantity of safe drinking and domestic water''s GAP]]*WWWW[[#This Row],[Total PoP ]]</f>
        <v>360</v>
      </c>
      <c r="BK199" s="210">
        <f>IF(WWWW[[#This Row],[Total required water points]]-WWWW[[#This Row],['#Water points coverage]]&lt;0,0,WWWW[[#This Row],[Total required water points]]-WWWW[[#This Row],['#Water points coverage]])</f>
        <v>1</v>
      </c>
      <c r="BL199" s="210">
        <f>ROUND(IF(WWWW[[#This Row],[Total PoP ]]&lt;500,1,WWWW[[#This Row],[Total PoP ]]/500),0)</f>
        <v>1</v>
      </c>
      <c r="BM199" s="210">
        <f>WWWW[[#This Row],['# Existing functional latrines]]+WWWW[[#This Row],['# Existing latrines dysfunctional]]</f>
        <v>0</v>
      </c>
      <c r="BN19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199" s="352">
        <f>WWWW[[#This Row],[% people access to functioning Latrine]]*WWWW[[#This Row],[Total PoP ]]</f>
        <v>0</v>
      </c>
      <c r="BP19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199" s="209">
        <f>IF(WWWW[[#This Row],[Total required Latrines]]-WWWW[[#This Row],[Total '# of latrine]]&lt;0,0,WWWW[[#This Row],[Total required Latrines]]-WWWW[[#This Row],[Total '# of latrine]])</f>
        <v>60</v>
      </c>
      <c r="BR199" s="210">
        <f>ROUND(IF(WWWW[[#This Row],[Location Type 1]]="camp",WWWW[[#This Row],[Total PoP ]]/20,WWWW[[#This Row],[Total PoP ]]/6),0)</f>
        <v>60</v>
      </c>
      <c r="BS199" s="212">
        <f>IF(OR(WWWW[[#This Row],['# Existing latrines dysfunctional]]="",WWWW[[#This Row],['# Existing latrines dysfunctional]]=0),0,WWWW[[#This Row],['# Existing latrines dysfunctional]]/WWWW[[#This Row],[Total '# of latrine]])</f>
        <v>0</v>
      </c>
      <c r="BT19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199" s="209">
        <f>IF(500*WWWW[[#This Row],['# Hygiene Promoters ]]&gt;WWWW[[#This Row],[Total PoP ]],WWWW[[#This Row],[Total PoP ]],500*WWWW[[#This Row],['# Hygiene Promoters ]])</f>
        <v>0</v>
      </c>
      <c r="BV199" s="209">
        <f>IF(WWWW[[#This Row],[% of HH with access to Sanitary Pad]]&gt;=100%,1,0)</f>
        <v>0</v>
      </c>
      <c r="BW199" s="209">
        <f>IF(WWWW[[#This Row],[Total PoP ]]=0,0,IF(WWWW[[#This Row],['# Hygiene Promoters ]]=0,0,IF(WWWW[[#This Row],[Location Type 1]]="Village",IF(WWWW[[#This Row],[Total PoP ]]/WWWW[[#This Row],['# Hygiene Promoters ]]&lt;1000,1,0),IF(WWWW[[#This Row],[Total PoP ]]/WWWW[[#This Row],['# Hygiene Promoters ]]&lt;600,1,0))))</f>
        <v>0</v>
      </c>
      <c r="BX199" s="209">
        <f>IF(WWWW[[#This Row],[%HH with access to soap]]&gt;=100%,1,0)</f>
        <v>0</v>
      </c>
      <c r="BY199" s="209">
        <f>IF(WWWW[[#This Row],[% of HHs with access to Sanitary pad more than '#%]]+WWWW[[#This Row],[Ratio of Hyiene promoters to people less than '#]]+WWWW[[#This Row],[% of HHs with access to soap more than '#%]]&gt;=2,WWWW[[#This Row],[Total PoP ]],0)</f>
        <v>0</v>
      </c>
      <c r="BZ199" s="208">
        <f>WWWW[[#This Row],[People adopt basic personal and community hygiene practices]]/WWWW[[#This Row],[Total PoP ]]</f>
        <v>0</v>
      </c>
      <c r="CA199" s="212">
        <f>1-WWWW[[#This Row],[Hygiene Coverage%]]</f>
        <v>1</v>
      </c>
      <c r="CB199" s="211">
        <f>WWWW[[#This Row],['# people reached by regular dedicated hygiene promotion_5]]/WWWW[[#This Row],[Total PoP ]]</f>
        <v>0</v>
      </c>
      <c r="CC199" s="211">
        <f>IF(WWWW[[#This Row],['# HH received soaps]]/WWWW[[#This Row],[Total HH]]&gt;1,1,WWWW[[#This Row],['# HH received soaps]]/WWWW[[#This Row],[Total HH]])</f>
        <v>0</v>
      </c>
      <c r="CD199" s="211">
        <f>IF(WWWW[[#This Row],['# HH received Sanitary Pads]]/WWWW[[#This Row],[Total HH]]&gt;1,1,WWWW[[#This Row],['# HH received Sanitary Pads]]/WWWW[[#This Row],[Total HH]])</f>
        <v>0</v>
      </c>
      <c r="CE199" s="210">
        <f>WWWW[[#This Row],['# HH received soaps]]*5</f>
        <v>0</v>
      </c>
      <c r="CF199" s="210">
        <f>WWWW[[#This Row],['# HH received Sanitary Pads]]*5</f>
        <v>0</v>
      </c>
      <c r="CG199" s="210">
        <f>IF(WWWW[[#This Row],['# People with access to soap]]&gt;WWWW[[#This Row],['# People with access to Sanity Pads]],WWWW[[#This Row],['# People with access to soap]],WWWW[[#This Row],['# People with access to Sanity Pads]])</f>
        <v>0</v>
      </c>
      <c r="CH199" s="209">
        <f>WWWW[[#This Row],[Total HH]]*WWWW[[#This Row],[%HHs with access to functional hand washing stations]]</f>
        <v>0</v>
      </c>
      <c r="CI199" s="699">
        <f>VLOOKUP(WWWW[[#This Row],[Site Name]],SiteDB6[[Site Name]:[CCCM Management]],6,FALSE)</f>
        <v>0</v>
      </c>
      <c r="CJ199" s="699">
        <f>VLOOKUP(WWWW[[#This Row],[Site Name]],SiteDB6[[Site Name]:[CCCM Focal Agency]],7,FALSE)</f>
        <v>0</v>
      </c>
      <c r="CK199" s="699" t="str">
        <f>VLOOKUP(WWWW[[#This Row],[Site Name]],SiteDB6[[Site Name]:[Location Type]],8,FALSE)</f>
        <v>Village_Not HRP</v>
      </c>
      <c r="CL199" s="699" t="str">
        <f>VLOOKUP(WWWW[[#This Row],[Site Name]],SiteDB6[[Site Name]:[Location Type 1]],9,FALSE)</f>
        <v>Village</v>
      </c>
      <c r="CM199" s="699" t="str">
        <f>VLOOKUP(WWWW[[#This Row],[Site Name]],SiteDB6[[Site Name]:[Type of Accommodation]],10,FALSE)</f>
        <v>Village_Not HRP</v>
      </c>
      <c r="CN199" s="699" t="str">
        <f>VLOOKUP(WWWW[[#This Row],[Site Name]],SiteDB6[[Site Name]:[Ethnic or GCA/NGCA]],11,FALSE)</f>
        <v>Rakhine</v>
      </c>
      <c r="CO199" s="699">
        <f>VLOOKUP(WWWW[[#This Row],[Site Name]],SiteDB6[[Site Name]:[Lat]],12,FALSE)</f>
        <v>19.627199172973601</v>
      </c>
      <c r="CP199" s="699">
        <f>VLOOKUP(WWWW[[#This Row],[Site Name]],SiteDB6[[Site Name]:[Long]],13,FALSE)</f>
        <v>93.962989807128906</v>
      </c>
      <c r="CQ199" s="699" t="str">
        <f>VLOOKUP(WWWW[[#This Row],[Site Name]],SiteDB6[[Site Name]:[Pcode]],3,FALSE)</f>
        <v>199265</v>
      </c>
      <c r="CR199" s="660" t="str">
        <f t="shared" ref="CR199:CR211" si="3">IF(B199="none","Notcovered","Covered")</f>
        <v>Covered</v>
      </c>
      <c r="CS199" s="660"/>
      <c r="CT199" s="24"/>
      <c r="CU199" s="24"/>
      <c r="CV199" s="24"/>
    </row>
    <row r="200" spans="1:100" ht="16.5" customHeight="1" thickBot="1" x14ac:dyDescent="0.3">
      <c r="A200" s="833" t="s">
        <v>3206</v>
      </c>
      <c r="B200" s="206" t="s">
        <v>2444</v>
      </c>
      <c r="C200" s="206" t="s">
        <v>454</v>
      </c>
      <c r="D200" s="206" t="s">
        <v>486</v>
      </c>
      <c r="E200" s="206" t="s">
        <v>536</v>
      </c>
      <c r="F200" s="206">
        <f>ROUND(WWWW[[#This Row],[Total PoP ]]/5,0)</f>
        <v>84</v>
      </c>
      <c r="G200" s="398">
        <v>419</v>
      </c>
      <c r="H200" s="206"/>
      <c r="I200" s="206" t="s">
        <v>488</v>
      </c>
      <c r="J200" s="207">
        <v>43586</v>
      </c>
      <c r="K200" s="206"/>
      <c r="L200" s="206" t="s">
        <v>48</v>
      </c>
      <c r="M200" s="208">
        <v>0</v>
      </c>
      <c r="N200" s="208">
        <v>0</v>
      </c>
      <c r="O200" s="323">
        <v>0</v>
      </c>
      <c r="P200" s="317">
        <v>0</v>
      </c>
      <c r="Q200" s="317"/>
      <c r="R200" s="318"/>
      <c r="S200" s="318">
        <v>0</v>
      </c>
      <c r="T200" s="318"/>
      <c r="U200" s="318"/>
      <c r="V200" s="318"/>
      <c r="W200" s="318"/>
      <c r="X200" s="318"/>
      <c r="Y200" s="318"/>
      <c r="Z200" s="318"/>
      <c r="AA200" s="310">
        <v>0</v>
      </c>
      <c r="AB200" s="310"/>
      <c r="AC200" s="66"/>
      <c r="AD200" s="66"/>
      <c r="AE200" s="310">
        <v>0</v>
      </c>
      <c r="AF200" s="310" t="s">
        <v>286</v>
      </c>
      <c r="AG200" s="311" t="s">
        <v>286</v>
      </c>
      <c r="AH200" s="311"/>
      <c r="AI200" s="310"/>
      <c r="AJ200" s="310"/>
      <c r="AK200" s="841">
        <v>0</v>
      </c>
      <c r="AL200" s="842"/>
      <c r="AM200" s="842">
        <v>0</v>
      </c>
      <c r="AN200" s="863"/>
      <c r="AO200" s="863">
        <v>0</v>
      </c>
      <c r="AP200" s="843"/>
      <c r="AQ200" s="843"/>
      <c r="AR200" s="843"/>
      <c r="AS200" s="843"/>
      <c r="AT200" s="843"/>
      <c r="AU200" s="843"/>
      <c r="AV200" s="844"/>
      <c r="AW200" s="208" t="str">
        <f>IFERROR(WWWW[[#This Row],['# of Water passed at source]]/WWWW[[#This Row],['# of Water tested at source]],"no test")</f>
        <v>no test</v>
      </c>
      <c r="AX200" s="211" t="str">
        <f>IFERROR(WWWW[[#This Row],['# of Water passed at HH]]/WWWW[[#This Row],['# of Water tested at HH]],"no test")</f>
        <v>no test</v>
      </c>
      <c r="AY200" s="210" t="str">
        <f>IF(AND(WWWW[[#This Row],[%of Water samples which passed at water source]]="no test",WWWW[[#This Row],[%Water samples which passed at HH]]="no test"),"No Test","Tested")</f>
        <v>No Test</v>
      </c>
      <c r="AZ20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0" s="211">
        <f>IF(WWWW[[#This Row],[Location Type 1]]="Village",WWWW[[#This Row],[Access to safe drinking water for Village]],WWWW[[#This Row],[Access to safe drinking water for Camp]])</f>
        <v>0</v>
      </c>
      <c r="BC200" s="209">
        <f>WWWW[[#This Row],[%Equitable and continuous access to sufficient quantity of safe drinking water]]*WWWW[[#This Row],[Total PoP ]]</f>
        <v>0</v>
      </c>
      <c r="BD200" s="211">
        <f>IF((WWWW[[#This Row],['# Existing protected/fenced ponds ]]*250)/WWWW[[#This Row],[Total PoP ]]&gt;1,1,WWWW[[#This Row],['# Existing protected/fenced ponds ]]*250/WWWW[[#This Row],[Total PoP ]])</f>
        <v>0</v>
      </c>
      <c r="BE200" s="209">
        <f>WWWW[[#This Row],[Access to unimproved water points]]*WWWW[[#This Row],[Total PoP ]]</f>
        <v>0</v>
      </c>
      <c r="BF20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0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00" s="209">
        <f>ROUND(WWWW[[#This Row],['#people Equitable and continuous access to sufficient quantity of domestic water borehole n ponds_2]]/500,0)</f>
        <v>0</v>
      </c>
      <c r="BI200" s="208">
        <f>1-WWWW[[#This Row],[%Equitable and continuous access to sufficient quantity of domestic water borehole n ponds]]</f>
        <v>1</v>
      </c>
      <c r="BJ200" s="209">
        <f>WWWW[[#This Row],[%equitable and continuous access to sufficient quantity of safe drinking and domestic water''s GAP]]*WWWW[[#This Row],[Total PoP ]]</f>
        <v>419</v>
      </c>
      <c r="BK200" s="210">
        <f>IF(WWWW[[#This Row],[Total required water points]]-WWWW[[#This Row],['#Water points coverage]]&lt;0,0,WWWW[[#This Row],[Total required water points]]-WWWW[[#This Row],['#Water points coverage]])</f>
        <v>1</v>
      </c>
      <c r="BL200" s="210">
        <f>ROUND(IF(WWWW[[#This Row],[Total PoP ]]&lt;500,1,WWWW[[#This Row],[Total PoP ]]/500),0)</f>
        <v>1</v>
      </c>
      <c r="BM200" s="210">
        <f>WWWW[[#This Row],['# Existing functional latrines]]+WWWW[[#This Row],['# Existing latrines dysfunctional]]</f>
        <v>0</v>
      </c>
      <c r="BN20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00" s="352">
        <f>WWWW[[#This Row],[% people access to functioning Latrine]]*WWWW[[#This Row],[Total PoP ]]</f>
        <v>0</v>
      </c>
      <c r="BP20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00" s="209">
        <f>IF(WWWW[[#This Row],[Total required Latrines]]-WWWW[[#This Row],[Total '# of latrine]]&lt;0,0,WWWW[[#This Row],[Total required Latrines]]-WWWW[[#This Row],[Total '# of latrine]])</f>
        <v>70</v>
      </c>
      <c r="BR200" s="210">
        <f>ROUND(IF(WWWW[[#This Row],[Location Type 1]]="camp",WWWW[[#This Row],[Total PoP ]]/20,WWWW[[#This Row],[Total PoP ]]/6),0)</f>
        <v>70</v>
      </c>
      <c r="BS200" s="212">
        <f>IF(OR(WWWW[[#This Row],['# Existing latrines dysfunctional]]="",WWWW[[#This Row],['# Existing latrines dysfunctional]]=0),0,WWWW[[#This Row],['# Existing latrines dysfunctional]]/WWWW[[#This Row],[Total '# of latrine]])</f>
        <v>0</v>
      </c>
      <c r="BT20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0" s="209">
        <f>IF(500*WWWW[[#This Row],['# Hygiene Promoters ]]&gt;WWWW[[#This Row],[Total PoP ]],WWWW[[#This Row],[Total PoP ]],500*WWWW[[#This Row],['# Hygiene Promoters ]])</f>
        <v>0</v>
      </c>
      <c r="BV200" s="209">
        <f>IF(WWWW[[#This Row],[% of HH with access to Sanitary Pad]]&gt;=100%,1,0)</f>
        <v>0</v>
      </c>
      <c r="BW200" s="209">
        <f>IF(WWWW[[#This Row],[Total PoP ]]=0,0,IF(WWWW[[#This Row],['# Hygiene Promoters ]]=0,0,IF(WWWW[[#This Row],[Location Type 1]]="Village",IF(WWWW[[#This Row],[Total PoP ]]/WWWW[[#This Row],['# Hygiene Promoters ]]&lt;1000,1,0),IF(WWWW[[#This Row],[Total PoP ]]/WWWW[[#This Row],['# Hygiene Promoters ]]&lt;600,1,0))))</f>
        <v>0</v>
      </c>
      <c r="BX200" s="209">
        <f>IF(WWWW[[#This Row],[%HH with access to soap]]&gt;=100%,1,0)</f>
        <v>0</v>
      </c>
      <c r="BY200" s="209">
        <f>IF(WWWW[[#This Row],[% of HHs with access to Sanitary pad more than '#%]]+WWWW[[#This Row],[Ratio of Hyiene promoters to people less than '#]]+WWWW[[#This Row],[% of HHs with access to soap more than '#%]]&gt;=2,WWWW[[#This Row],[Total PoP ]],0)</f>
        <v>0</v>
      </c>
      <c r="BZ200" s="208">
        <f>WWWW[[#This Row],[People adopt basic personal and community hygiene practices]]/WWWW[[#This Row],[Total PoP ]]</f>
        <v>0</v>
      </c>
      <c r="CA200" s="212">
        <f>1-WWWW[[#This Row],[Hygiene Coverage%]]</f>
        <v>1</v>
      </c>
      <c r="CB200" s="211">
        <f>WWWW[[#This Row],['# people reached by regular dedicated hygiene promotion_5]]/WWWW[[#This Row],[Total PoP ]]</f>
        <v>0</v>
      </c>
      <c r="CC200" s="211">
        <f>IF(WWWW[[#This Row],['# HH received soaps]]/WWWW[[#This Row],[Total HH]]&gt;1,1,WWWW[[#This Row],['# HH received soaps]]/WWWW[[#This Row],[Total HH]])</f>
        <v>0</v>
      </c>
      <c r="CD200" s="211">
        <f>IF(WWWW[[#This Row],['# HH received Sanitary Pads]]/WWWW[[#This Row],[Total HH]]&gt;1,1,WWWW[[#This Row],['# HH received Sanitary Pads]]/WWWW[[#This Row],[Total HH]])</f>
        <v>0</v>
      </c>
      <c r="CE200" s="210">
        <f>WWWW[[#This Row],['# HH received soaps]]*5</f>
        <v>0</v>
      </c>
      <c r="CF200" s="210">
        <f>WWWW[[#This Row],['# HH received Sanitary Pads]]*5</f>
        <v>0</v>
      </c>
      <c r="CG200" s="210">
        <f>IF(WWWW[[#This Row],['# People with access to soap]]&gt;WWWW[[#This Row],['# People with access to Sanity Pads]],WWWW[[#This Row],['# People with access to soap]],WWWW[[#This Row],['# People with access to Sanity Pads]])</f>
        <v>0</v>
      </c>
      <c r="CH200" s="209">
        <f>WWWW[[#This Row],[Total HH]]*WWWW[[#This Row],[%HHs with access to functional hand washing stations]]</f>
        <v>0</v>
      </c>
      <c r="CI200" s="699">
        <f>VLOOKUP(WWWW[[#This Row],[Site Name]],SiteDB6[[Site Name]:[CCCM Management]],6,FALSE)</f>
        <v>0</v>
      </c>
      <c r="CJ200" s="699">
        <f>VLOOKUP(WWWW[[#This Row],[Site Name]],SiteDB6[[Site Name]:[CCCM Focal Agency]],7,FALSE)</f>
        <v>0</v>
      </c>
      <c r="CK200" s="699" t="str">
        <f>VLOOKUP(WWWW[[#This Row],[Site Name]],SiteDB6[[Site Name]:[Location Type]],8,FALSE)</f>
        <v>Village_Not HRP</v>
      </c>
      <c r="CL200" s="699" t="str">
        <f>VLOOKUP(WWWW[[#This Row],[Site Name]],SiteDB6[[Site Name]:[Location Type 1]],9,FALSE)</f>
        <v>Village</v>
      </c>
      <c r="CM200" s="699" t="str">
        <f>VLOOKUP(WWWW[[#This Row],[Site Name]],SiteDB6[[Site Name]:[Type of Accommodation]],10,FALSE)</f>
        <v>Village_Not HRP</v>
      </c>
      <c r="CN200" s="699" t="str">
        <f>VLOOKUP(WWWW[[#This Row],[Site Name]],SiteDB6[[Site Name]:[Ethnic or GCA/NGCA]],11,FALSE)</f>
        <v>Rakhine</v>
      </c>
      <c r="CO200" s="699">
        <f>VLOOKUP(WWWW[[#This Row],[Site Name]],SiteDB6[[Site Name]:[Lat]],12,FALSE)</f>
        <v>19.615800857543899</v>
      </c>
      <c r="CP200" s="699">
        <f>VLOOKUP(WWWW[[#This Row],[Site Name]],SiteDB6[[Site Name]:[Long]],13,FALSE)</f>
        <v>94.000473022460895</v>
      </c>
      <c r="CQ200" s="699" t="str">
        <f>VLOOKUP(WWWW[[#This Row],[Site Name]],SiteDB6[[Site Name]:[Pcode]],3,FALSE)</f>
        <v>199262</v>
      </c>
      <c r="CR200" s="660" t="str">
        <f t="shared" si="3"/>
        <v>Covered</v>
      </c>
      <c r="CS200" s="660"/>
      <c r="CT200" s="24"/>
      <c r="CU200" s="24"/>
      <c r="CV200" s="24"/>
    </row>
    <row r="201" spans="1:100" ht="16.5" customHeight="1" thickBot="1" x14ac:dyDescent="0.3">
      <c r="A201" s="833" t="s">
        <v>3206</v>
      </c>
      <c r="B201" s="206" t="s">
        <v>2444</v>
      </c>
      <c r="C201" s="206" t="s">
        <v>454</v>
      </c>
      <c r="D201" s="206" t="s">
        <v>486</v>
      </c>
      <c r="E201" s="206" t="s">
        <v>553</v>
      </c>
      <c r="F201" s="206">
        <f>ROUND(WWWW[[#This Row],[Total PoP ]]/5,0)</f>
        <v>235</v>
      </c>
      <c r="G201" s="398">
        <v>1176</v>
      </c>
      <c r="H201" s="206"/>
      <c r="I201" s="206" t="s">
        <v>488</v>
      </c>
      <c r="J201" s="207">
        <v>43586</v>
      </c>
      <c r="K201" s="206"/>
      <c r="L201" s="206" t="s">
        <v>48</v>
      </c>
      <c r="M201" s="208">
        <v>0</v>
      </c>
      <c r="N201" s="208">
        <v>0</v>
      </c>
      <c r="O201" s="323">
        <v>0</v>
      </c>
      <c r="P201" s="317">
        <v>0</v>
      </c>
      <c r="Q201" s="317"/>
      <c r="R201" s="318"/>
      <c r="S201" s="318">
        <v>0</v>
      </c>
      <c r="T201" s="318"/>
      <c r="U201" s="318"/>
      <c r="V201" s="318"/>
      <c r="W201" s="318"/>
      <c r="X201" s="318"/>
      <c r="Y201" s="318"/>
      <c r="Z201" s="318"/>
      <c r="AA201" s="310">
        <v>0</v>
      </c>
      <c r="AB201" s="311"/>
      <c r="AC201" s="66"/>
      <c r="AD201" s="66"/>
      <c r="AE201" s="310">
        <v>0</v>
      </c>
      <c r="AF201" s="310" t="s">
        <v>286</v>
      </c>
      <c r="AG201" s="311" t="s">
        <v>286</v>
      </c>
      <c r="AH201" s="66"/>
      <c r="AI201" s="66"/>
      <c r="AJ201" s="311"/>
      <c r="AK201" s="841">
        <v>0</v>
      </c>
      <c r="AL201" s="846"/>
      <c r="AM201" s="844">
        <v>0</v>
      </c>
      <c r="AN201" s="863"/>
      <c r="AO201" s="863">
        <v>0</v>
      </c>
      <c r="AP201" s="843"/>
      <c r="AQ201" s="843"/>
      <c r="AR201" s="843"/>
      <c r="AS201" s="843"/>
      <c r="AT201" s="843"/>
      <c r="AU201" s="843"/>
      <c r="AV201" s="844"/>
      <c r="AW201" s="208" t="str">
        <f>IFERROR(WWWW[[#This Row],['# of Water passed at source]]/WWWW[[#This Row],['# of Water tested at source]],"no test")</f>
        <v>no test</v>
      </c>
      <c r="AX201" s="211" t="str">
        <f>IFERROR(WWWW[[#This Row],['# of Water passed at HH]]/WWWW[[#This Row],['# of Water tested at HH]],"no test")</f>
        <v>no test</v>
      </c>
      <c r="AY201" s="210" t="str">
        <f>IF(AND(WWWW[[#This Row],[%of Water samples which passed at water source]]="no test",WWWW[[#This Row],[%Water samples which passed at HH]]="no test"),"No Test","Tested")</f>
        <v>No Test</v>
      </c>
      <c r="AZ20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1" s="211">
        <f>IF(WWWW[[#This Row],[Location Type 1]]="Village",WWWW[[#This Row],[Access to safe drinking water for Village]],WWWW[[#This Row],[Access to safe drinking water for Camp]])</f>
        <v>0</v>
      </c>
      <c r="BC201" s="209">
        <f>WWWW[[#This Row],[%Equitable and continuous access to sufficient quantity of safe drinking water]]*WWWW[[#This Row],[Total PoP ]]</f>
        <v>0</v>
      </c>
      <c r="BD201" s="211">
        <f>IF((WWWW[[#This Row],['# Existing protected/fenced ponds ]]*250)/WWWW[[#This Row],[Total PoP ]]&gt;1,1,WWWW[[#This Row],['# Existing protected/fenced ponds ]]*250/WWWW[[#This Row],[Total PoP ]])</f>
        <v>0</v>
      </c>
      <c r="BE201" s="209">
        <f>WWWW[[#This Row],[Access to unimproved water points]]*WWWW[[#This Row],[Total PoP ]]</f>
        <v>0</v>
      </c>
      <c r="BF20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0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01" s="209">
        <f>ROUND(WWWW[[#This Row],['#people Equitable and continuous access to sufficient quantity of domestic water borehole n ponds_2]]/500,0)</f>
        <v>0</v>
      </c>
      <c r="BI201" s="208">
        <f>1-WWWW[[#This Row],[%Equitable and continuous access to sufficient quantity of domestic water borehole n ponds]]</f>
        <v>1</v>
      </c>
      <c r="BJ201" s="209">
        <f>WWWW[[#This Row],[%equitable and continuous access to sufficient quantity of safe drinking and domestic water''s GAP]]*WWWW[[#This Row],[Total PoP ]]</f>
        <v>1176</v>
      </c>
      <c r="BK201" s="210">
        <f>IF(WWWW[[#This Row],[Total required water points]]-WWWW[[#This Row],['#Water points coverage]]&lt;0,0,WWWW[[#This Row],[Total required water points]]-WWWW[[#This Row],['#Water points coverage]])</f>
        <v>2</v>
      </c>
      <c r="BL201" s="210">
        <f>ROUND(IF(WWWW[[#This Row],[Total PoP ]]&lt;500,1,WWWW[[#This Row],[Total PoP ]]/500),0)</f>
        <v>2</v>
      </c>
      <c r="BM201" s="210">
        <f>WWWW[[#This Row],['# Existing functional latrines]]+WWWW[[#This Row],['# Existing latrines dysfunctional]]</f>
        <v>0</v>
      </c>
      <c r="BN20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01" s="352">
        <f>WWWW[[#This Row],[% people access to functioning Latrine]]*WWWW[[#This Row],[Total PoP ]]</f>
        <v>0</v>
      </c>
      <c r="BP20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01" s="209">
        <f>IF(WWWW[[#This Row],[Total required Latrines]]-WWWW[[#This Row],[Total '# of latrine]]&lt;0,0,WWWW[[#This Row],[Total required Latrines]]-WWWW[[#This Row],[Total '# of latrine]])</f>
        <v>196</v>
      </c>
      <c r="BR201" s="210">
        <f>ROUND(IF(WWWW[[#This Row],[Location Type 1]]="camp",WWWW[[#This Row],[Total PoP ]]/20,WWWW[[#This Row],[Total PoP ]]/6),0)</f>
        <v>196</v>
      </c>
      <c r="BS201" s="212">
        <f>IF(OR(WWWW[[#This Row],['# Existing latrines dysfunctional]]="",WWWW[[#This Row],['# Existing latrines dysfunctional]]=0),0,WWWW[[#This Row],['# Existing latrines dysfunctional]]/WWWW[[#This Row],[Total '# of latrine]])</f>
        <v>0</v>
      </c>
      <c r="BT20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1" s="209">
        <f>IF(500*WWWW[[#This Row],['# Hygiene Promoters ]]&gt;WWWW[[#This Row],[Total PoP ]],WWWW[[#This Row],[Total PoP ]],500*WWWW[[#This Row],['# Hygiene Promoters ]])</f>
        <v>0</v>
      </c>
      <c r="BV201" s="209">
        <f>IF(WWWW[[#This Row],[% of HH with access to Sanitary Pad]]&gt;=100%,1,0)</f>
        <v>0</v>
      </c>
      <c r="BW201" s="209">
        <f>IF(WWWW[[#This Row],[Total PoP ]]=0,0,IF(WWWW[[#This Row],['# Hygiene Promoters ]]=0,0,IF(WWWW[[#This Row],[Location Type 1]]="Village",IF(WWWW[[#This Row],[Total PoP ]]/WWWW[[#This Row],['# Hygiene Promoters ]]&lt;1000,1,0),IF(WWWW[[#This Row],[Total PoP ]]/WWWW[[#This Row],['# Hygiene Promoters ]]&lt;600,1,0))))</f>
        <v>0</v>
      </c>
      <c r="BX201" s="209">
        <f>IF(WWWW[[#This Row],[%HH with access to soap]]&gt;=100%,1,0)</f>
        <v>0</v>
      </c>
      <c r="BY201" s="209">
        <f>IF(WWWW[[#This Row],[% of HHs with access to Sanitary pad more than '#%]]+WWWW[[#This Row],[Ratio of Hyiene promoters to people less than '#]]+WWWW[[#This Row],[% of HHs with access to soap more than '#%]]&gt;=2,WWWW[[#This Row],[Total PoP ]],0)</f>
        <v>0</v>
      </c>
      <c r="BZ201" s="208">
        <f>WWWW[[#This Row],[People adopt basic personal and community hygiene practices]]/WWWW[[#This Row],[Total PoP ]]</f>
        <v>0</v>
      </c>
      <c r="CA201" s="212">
        <f>1-WWWW[[#This Row],[Hygiene Coverage%]]</f>
        <v>1</v>
      </c>
      <c r="CB201" s="211">
        <f>WWWW[[#This Row],['# people reached by regular dedicated hygiene promotion_5]]/WWWW[[#This Row],[Total PoP ]]</f>
        <v>0</v>
      </c>
      <c r="CC201" s="211">
        <f>IF(WWWW[[#This Row],['# HH received soaps]]/WWWW[[#This Row],[Total HH]]&gt;1,1,WWWW[[#This Row],['# HH received soaps]]/WWWW[[#This Row],[Total HH]])</f>
        <v>0</v>
      </c>
      <c r="CD201" s="211">
        <f>IF(WWWW[[#This Row],['# HH received Sanitary Pads]]/WWWW[[#This Row],[Total HH]]&gt;1,1,WWWW[[#This Row],['# HH received Sanitary Pads]]/WWWW[[#This Row],[Total HH]])</f>
        <v>0</v>
      </c>
      <c r="CE201" s="210">
        <f>WWWW[[#This Row],['# HH received soaps]]*5</f>
        <v>0</v>
      </c>
      <c r="CF201" s="210">
        <f>WWWW[[#This Row],['# HH received Sanitary Pads]]*5</f>
        <v>0</v>
      </c>
      <c r="CG201" s="210">
        <f>IF(WWWW[[#This Row],['# People with access to soap]]&gt;WWWW[[#This Row],['# People with access to Sanity Pads]],WWWW[[#This Row],['# People with access to soap]],WWWW[[#This Row],['# People with access to Sanity Pads]])</f>
        <v>0</v>
      </c>
      <c r="CH201" s="209">
        <f>WWWW[[#This Row],[Total HH]]*WWWW[[#This Row],[%HHs with access to functional hand washing stations]]</f>
        <v>0</v>
      </c>
      <c r="CI201" s="699">
        <f>VLOOKUP(WWWW[[#This Row],[Site Name]],SiteDB6[[Site Name]:[CCCM Management]],6,FALSE)</f>
        <v>0</v>
      </c>
      <c r="CJ201" s="699">
        <f>VLOOKUP(WWWW[[#This Row],[Site Name]],SiteDB6[[Site Name]:[CCCM Focal Agency]],7,FALSE)</f>
        <v>0</v>
      </c>
      <c r="CK201" s="699" t="str">
        <f>VLOOKUP(WWWW[[#This Row],[Site Name]],SiteDB6[[Site Name]:[Location Type]],8,FALSE)</f>
        <v>Village_Not HRP</v>
      </c>
      <c r="CL201" s="699" t="str">
        <f>VLOOKUP(WWWW[[#This Row],[Site Name]],SiteDB6[[Site Name]:[Location Type 1]],9,FALSE)</f>
        <v>Village</v>
      </c>
      <c r="CM201" s="699" t="str">
        <f>VLOOKUP(WWWW[[#This Row],[Site Name]],SiteDB6[[Site Name]:[Type of Accommodation]],10,FALSE)</f>
        <v>Village_Not HRP</v>
      </c>
      <c r="CN201" s="699" t="str">
        <f>VLOOKUP(WWWW[[#This Row],[Site Name]],SiteDB6[[Site Name]:[Ethnic or GCA/NGCA]],11,FALSE)</f>
        <v>Chin+Rakhine</v>
      </c>
      <c r="CO201" s="699">
        <f>VLOOKUP(WWWW[[#This Row],[Site Name]],SiteDB6[[Site Name]:[Lat]],12,FALSE)</f>
        <v>19.988599777221701</v>
      </c>
      <c r="CP201" s="699">
        <f>VLOOKUP(WWWW[[#This Row],[Site Name]],SiteDB6[[Site Name]:[Long]],13,FALSE)</f>
        <v>93.803939819335895</v>
      </c>
      <c r="CQ201" s="699" t="str">
        <f>VLOOKUP(WWWW[[#This Row],[Site Name]],SiteDB6[[Site Name]:[Pcode]],3,FALSE)</f>
        <v>199241</v>
      </c>
      <c r="CR201" s="660" t="str">
        <f t="shared" si="3"/>
        <v>Covered</v>
      </c>
      <c r="CS201" s="660"/>
      <c r="CT201" s="24"/>
      <c r="CU201" s="24"/>
      <c r="CV201" s="24"/>
    </row>
    <row r="202" spans="1:100" ht="16.5" customHeight="1" thickBot="1" x14ac:dyDescent="0.3">
      <c r="A202" s="833" t="s">
        <v>3206</v>
      </c>
      <c r="B202" s="206" t="s">
        <v>2444</v>
      </c>
      <c r="C202" s="206" t="s">
        <v>454</v>
      </c>
      <c r="D202" s="206" t="s">
        <v>486</v>
      </c>
      <c r="E202" s="206" t="s">
        <v>551</v>
      </c>
      <c r="F202" s="206">
        <f>ROUND(WWWW[[#This Row],[Total PoP ]]/5,0)</f>
        <v>82</v>
      </c>
      <c r="G202" s="398">
        <v>412</v>
      </c>
      <c r="H202" s="206"/>
      <c r="I202" s="206" t="s">
        <v>488</v>
      </c>
      <c r="J202" s="207">
        <v>43586</v>
      </c>
      <c r="K202" s="206"/>
      <c r="L202" s="206" t="s">
        <v>48</v>
      </c>
      <c r="M202" s="208">
        <v>0</v>
      </c>
      <c r="N202" s="208">
        <v>0</v>
      </c>
      <c r="O202" s="316">
        <v>0</v>
      </c>
      <c r="P202" s="317">
        <v>0</v>
      </c>
      <c r="Q202" s="317"/>
      <c r="R202" s="318"/>
      <c r="S202" s="318">
        <v>0</v>
      </c>
      <c r="T202" s="318"/>
      <c r="U202" s="318"/>
      <c r="V202" s="318"/>
      <c r="W202" s="318"/>
      <c r="X202" s="318"/>
      <c r="Y202" s="318"/>
      <c r="Z202" s="318"/>
      <c r="AA202" s="310">
        <v>0</v>
      </c>
      <c r="AB202" s="310"/>
      <c r="AC202" s="66"/>
      <c r="AD202" s="66"/>
      <c r="AE202" s="310">
        <v>0</v>
      </c>
      <c r="AF202" s="310" t="s">
        <v>286</v>
      </c>
      <c r="AG202" s="311" t="s">
        <v>286</v>
      </c>
      <c r="AH202" s="311"/>
      <c r="AI202" s="310"/>
      <c r="AJ202" s="310"/>
      <c r="AK202" s="841">
        <v>0</v>
      </c>
      <c r="AL202" s="842"/>
      <c r="AM202" s="842">
        <v>0</v>
      </c>
      <c r="AN202" s="863"/>
      <c r="AO202" s="863">
        <v>0</v>
      </c>
      <c r="AP202" s="843"/>
      <c r="AQ202" s="843"/>
      <c r="AR202" s="843"/>
      <c r="AS202" s="843"/>
      <c r="AT202" s="843"/>
      <c r="AU202" s="843"/>
      <c r="AV202" s="844"/>
      <c r="AW202" s="208" t="str">
        <f>IFERROR(WWWW[[#This Row],['# of Water passed at source]]/WWWW[[#This Row],['# of Water tested at source]],"no test")</f>
        <v>no test</v>
      </c>
      <c r="AX202" s="211" t="str">
        <f>IFERROR(WWWW[[#This Row],['# of Water passed at HH]]/WWWW[[#This Row],['# of Water tested at HH]],"no test")</f>
        <v>no test</v>
      </c>
      <c r="AY202" s="210" t="str">
        <f>IF(AND(WWWW[[#This Row],[%of Water samples which passed at water source]]="no test",WWWW[[#This Row],[%Water samples which passed at HH]]="no test"),"No Test","Tested")</f>
        <v>No Test</v>
      </c>
      <c r="AZ20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2" s="211">
        <f>IF(WWWW[[#This Row],[Location Type 1]]="Village",WWWW[[#This Row],[Access to safe drinking water for Village]],WWWW[[#This Row],[Access to safe drinking water for Camp]])</f>
        <v>0</v>
      </c>
      <c r="BC202" s="209">
        <f>WWWW[[#This Row],[%Equitable and continuous access to sufficient quantity of safe drinking water]]*WWWW[[#This Row],[Total PoP ]]</f>
        <v>0</v>
      </c>
      <c r="BD202" s="211">
        <f>IF((WWWW[[#This Row],['# Existing protected/fenced ponds ]]*250)/WWWW[[#This Row],[Total PoP ]]&gt;1,1,WWWW[[#This Row],['# Existing protected/fenced ponds ]]*250/WWWW[[#This Row],[Total PoP ]])</f>
        <v>0</v>
      </c>
      <c r="BE202" s="209">
        <f>WWWW[[#This Row],[Access to unimproved water points]]*WWWW[[#This Row],[Total PoP ]]</f>
        <v>0</v>
      </c>
      <c r="BF20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0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02" s="209">
        <f>ROUND(WWWW[[#This Row],['#people Equitable and continuous access to sufficient quantity of domestic water borehole n ponds_2]]/500,0)</f>
        <v>0</v>
      </c>
      <c r="BI202" s="208">
        <f>1-WWWW[[#This Row],[%Equitable and continuous access to sufficient quantity of domestic water borehole n ponds]]</f>
        <v>1</v>
      </c>
      <c r="BJ202" s="209">
        <f>WWWW[[#This Row],[%equitable and continuous access to sufficient quantity of safe drinking and domestic water''s GAP]]*WWWW[[#This Row],[Total PoP ]]</f>
        <v>412</v>
      </c>
      <c r="BK202" s="210">
        <f>IF(WWWW[[#This Row],[Total required water points]]-WWWW[[#This Row],['#Water points coverage]]&lt;0,0,WWWW[[#This Row],[Total required water points]]-WWWW[[#This Row],['#Water points coverage]])</f>
        <v>1</v>
      </c>
      <c r="BL202" s="210">
        <f>ROUND(IF(WWWW[[#This Row],[Total PoP ]]&lt;500,1,WWWW[[#This Row],[Total PoP ]]/500),0)</f>
        <v>1</v>
      </c>
      <c r="BM202" s="210">
        <f>WWWW[[#This Row],['# Existing functional latrines]]+WWWW[[#This Row],['# Existing latrines dysfunctional]]</f>
        <v>0</v>
      </c>
      <c r="BN20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02" s="352">
        <f>WWWW[[#This Row],[% people access to functioning Latrine]]*WWWW[[#This Row],[Total PoP ]]</f>
        <v>0</v>
      </c>
      <c r="BP20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02" s="209">
        <f>IF(WWWW[[#This Row],[Total required Latrines]]-WWWW[[#This Row],[Total '# of latrine]]&lt;0,0,WWWW[[#This Row],[Total required Latrines]]-WWWW[[#This Row],[Total '# of latrine]])</f>
        <v>69</v>
      </c>
      <c r="BR202" s="210">
        <f>ROUND(IF(WWWW[[#This Row],[Location Type 1]]="camp",WWWW[[#This Row],[Total PoP ]]/20,WWWW[[#This Row],[Total PoP ]]/6),0)</f>
        <v>69</v>
      </c>
      <c r="BS202" s="212">
        <f>IF(OR(WWWW[[#This Row],['# Existing latrines dysfunctional]]="",WWWW[[#This Row],['# Existing latrines dysfunctional]]=0),0,WWWW[[#This Row],['# Existing latrines dysfunctional]]/WWWW[[#This Row],[Total '# of latrine]])</f>
        <v>0</v>
      </c>
      <c r="BT20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2" s="209">
        <f>IF(500*WWWW[[#This Row],['# Hygiene Promoters ]]&gt;WWWW[[#This Row],[Total PoP ]],WWWW[[#This Row],[Total PoP ]],500*WWWW[[#This Row],['# Hygiene Promoters ]])</f>
        <v>0</v>
      </c>
      <c r="BV202" s="209">
        <f>IF(WWWW[[#This Row],[% of HH with access to Sanitary Pad]]&gt;=100%,1,0)</f>
        <v>0</v>
      </c>
      <c r="BW202" s="209">
        <f>IF(WWWW[[#This Row],[Total PoP ]]=0,0,IF(WWWW[[#This Row],['# Hygiene Promoters ]]=0,0,IF(WWWW[[#This Row],[Location Type 1]]="Village",IF(WWWW[[#This Row],[Total PoP ]]/WWWW[[#This Row],['# Hygiene Promoters ]]&lt;1000,1,0),IF(WWWW[[#This Row],[Total PoP ]]/WWWW[[#This Row],['# Hygiene Promoters ]]&lt;600,1,0))))</f>
        <v>0</v>
      </c>
      <c r="BX202" s="209">
        <f>IF(WWWW[[#This Row],[%HH with access to soap]]&gt;=100%,1,0)</f>
        <v>0</v>
      </c>
      <c r="BY202" s="209">
        <f>IF(WWWW[[#This Row],[% of HHs with access to Sanitary pad more than '#%]]+WWWW[[#This Row],[Ratio of Hyiene promoters to people less than '#]]+WWWW[[#This Row],[% of HHs with access to soap more than '#%]]&gt;=2,WWWW[[#This Row],[Total PoP ]],0)</f>
        <v>0</v>
      </c>
      <c r="BZ202" s="208">
        <f>WWWW[[#This Row],[People adopt basic personal and community hygiene practices]]/WWWW[[#This Row],[Total PoP ]]</f>
        <v>0</v>
      </c>
      <c r="CA202" s="212">
        <f>1-WWWW[[#This Row],[Hygiene Coverage%]]</f>
        <v>1</v>
      </c>
      <c r="CB202" s="211">
        <f>WWWW[[#This Row],['# people reached by regular dedicated hygiene promotion_5]]/WWWW[[#This Row],[Total PoP ]]</f>
        <v>0</v>
      </c>
      <c r="CC202" s="211">
        <f>IF(WWWW[[#This Row],['# HH received soaps]]/WWWW[[#This Row],[Total HH]]&gt;1,1,WWWW[[#This Row],['# HH received soaps]]/WWWW[[#This Row],[Total HH]])</f>
        <v>0</v>
      </c>
      <c r="CD202" s="211">
        <f>IF(WWWW[[#This Row],['# HH received Sanitary Pads]]/WWWW[[#This Row],[Total HH]]&gt;1,1,WWWW[[#This Row],['# HH received Sanitary Pads]]/WWWW[[#This Row],[Total HH]])</f>
        <v>0</v>
      </c>
      <c r="CE202" s="210">
        <f>WWWW[[#This Row],['# HH received soaps]]*5</f>
        <v>0</v>
      </c>
      <c r="CF202" s="210">
        <f>WWWW[[#This Row],['# HH received Sanitary Pads]]*5</f>
        <v>0</v>
      </c>
      <c r="CG202" s="210">
        <f>IF(WWWW[[#This Row],['# People with access to soap]]&gt;WWWW[[#This Row],['# People with access to Sanity Pads]],WWWW[[#This Row],['# People with access to soap]],WWWW[[#This Row],['# People with access to Sanity Pads]])</f>
        <v>0</v>
      </c>
      <c r="CH202" s="209">
        <f>WWWW[[#This Row],[Total HH]]*WWWW[[#This Row],[%HHs with access to functional hand washing stations]]</f>
        <v>0</v>
      </c>
      <c r="CI202" s="699">
        <f>VLOOKUP(WWWW[[#This Row],[Site Name]],SiteDB6[[Site Name]:[CCCM Management]],6,FALSE)</f>
        <v>0</v>
      </c>
      <c r="CJ202" s="699">
        <f>VLOOKUP(WWWW[[#This Row],[Site Name]],SiteDB6[[Site Name]:[CCCM Focal Agency]],7,FALSE)</f>
        <v>0</v>
      </c>
      <c r="CK202" s="699" t="str">
        <f>VLOOKUP(WWWW[[#This Row],[Site Name]],SiteDB6[[Site Name]:[Location Type]],8,FALSE)</f>
        <v>Village_Not HRP</v>
      </c>
      <c r="CL202" s="699" t="str">
        <f>VLOOKUP(WWWW[[#This Row],[Site Name]],SiteDB6[[Site Name]:[Location Type 1]],9,FALSE)</f>
        <v>Village</v>
      </c>
      <c r="CM202" s="699" t="str">
        <f>VLOOKUP(WWWW[[#This Row],[Site Name]],SiteDB6[[Site Name]:[Type of Accommodation]],10,FALSE)</f>
        <v>Village_Not HRP</v>
      </c>
      <c r="CN202" s="699" t="str">
        <f>VLOOKUP(WWWW[[#This Row],[Site Name]],SiteDB6[[Site Name]:[Ethnic or GCA/NGCA]],11,FALSE)</f>
        <v>Chin+Rakhine</v>
      </c>
      <c r="CO202" s="699">
        <f>VLOOKUP(WWWW[[#This Row],[Site Name]],SiteDB6[[Site Name]:[Lat]],12,FALSE)</f>
        <v>19.962713241577099</v>
      </c>
      <c r="CP202" s="699">
        <f>VLOOKUP(WWWW[[#This Row],[Site Name]],SiteDB6[[Site Name]:[Long]],13,FALSE)</f>
        <v>93.885574340820298</v>
      </c>
      <c r="CQ202" s="699" t="str">
        <f>VLOOKUP(WWWW[[#This Row],[Site Name]],SiteDB6[[Site Name]:[Pcode]],3,FALSE)</f>
        <v>220838</v>
      </c>
      <c r="CR202" s="660" t="str">
        <f t="shared" si="3"/>
        <v>Covered</v>
      </c>
      <c r="CS202" s="660"/>
      <c r="CT202" s="24"/>
      <c r="CU202" s="24"/>
      <c r="CV202" s="24"/>
    </row>
    <row r="203" spans="1:100" ht="16.5" customHeight="1" thickBot="1" x14ac:dyDescent="0.3">
      <c r="A203" s="833" t="s">
        <v>3206</v>
      </c>
      <c r="B203" s="206" t="s">
        <v>2444</v>
      </c>
      <c r="C203" s="206" t="s">
        <v>454</v>
      </c>
      <c r="D203" s="206" t="s">
        <v>486</v>
      </c>
      <c r="E203" s="206" t="s">
        <v>548</v>
      </c>
      <c r="F203" s="206">
        <f>ROUND(WWWW[[#This Row],[Total PoP ]]/5,0)</f>
        <v>229</v>
      </c>
      <c r="G203" s="398">
        <v>1147</v>
      </c>
      <c r="H203" s="206"/>
      <c r="I203" s="206" t="s">
        <v>488</v>
      </c>
      <c r="J203" s="207">
        <v>43586</v>
      </c>
      <c r="K203" s="206"/>
      <c r="L203" s="206" t="s">
        <v>48</v>
      </c>
      <c r="M203" s="208">
        <v>0</v>
      </c>
      <c r="N203" s="208">
        <v>0</v>
      </c>
      <c r="O203" s="323">
        <v>0</v>
      </c>
      <c r="P203" s="317">
        <v>0</v>
      </c>
      <c r="Q203" s="317"/>
      <c r="R203" s="318"/>
      <c r="S203" s="318">
        <v>0</v>
      </c>
      <c r="T203" s="318"/>
      <c r="U203" s="318"/>
      <c r="V203" s="318"/>
      <c r="W203" s="318"/>
      <c r="X203" s="318"/>
      <c r="Y203" s="318"/>
      <c r="Z203" s="318"/>
      <c r="AA203" s="310">
        <v>0</v>
      </c>
      <c r="AB203" s="310"/>
      <c r="AC203" s="310"/>
      <c r="AD203" s="66"/>
      <c r="AE203" s="310">
        <v>0</v>
      </c>
      <c r="AF203" s="310" t="s">
        <v>286</v>
      </c>
      <c r="AG203" s="311" t="s">
        <v>286</v>
      </c>
      <c r="AH203" s="66"/>
      <c r="AI203" s="66"/>
      <c r="AJ203" s="310"/>
      <c r="AK203" s="841">
        <v>0</v>
      </c>
      <c r="AL203" s="842"/>
      <c r="AM203" s="842">
        <v>0</v>
      </c>
      <c r="AN203" s="863"/>
      <c r="AO203" s="863">
        <v>0</v>
      </c>
      <c r="AP203" s="843"/>
      <c r="AQ203" s="843"/>
      <c r="AR203" s="843"/>
      <c r="AS203" s="843"/>
      <c r="AT203" s="843"/>
      <c r="AU203" s="843"/>
      <c r="AV203" s="844"/>
      <c r="AW203" s="208" t="str">
        <f>IFERROR(WWWW[[#This Row],['# of Water passed at source]]/WWWW[[#This Row],['# of Water tested at source]],"no test")</f>
        <v>no test</v>
      </c>
      <c r="AX203" s="211" t="str">
        <f>IFERROR(WWWW[[#This Row],['# of Water passed at HH]]/WWWW[[#This Row],['# of Water tested at HH]],"no test")</f>
        <v>no test</v>
      </c>
      <c r="AY203" s="210" t="str">
        <f>IF(AND(WWWW[[#This Row],[%of Water samples which passed at water source]]="no test",WWWW[[#This Row],[%Water samples which passed at HH]]="no test"),"No Test","Tested")</f>
        <v>No Test</v>
      </c>
      <c r="AZ20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3" s="211">
        <f>IF(WWWW[[#This Row],[Location Type 1]]="Village",WWWW[[#This Row],[Access to safe drinking water for Village]],WWWW[[#This Row],[Access to safe drinking water for Camp]])</f>
        <v>0</v>
      </c>
      <c r="BC203" s="209">
        <f>WWWW[[#This Row],[%Equitable and continuous access to sufficient quantity of safe drinking water]]*WWWW[[#This Row],[Total PoP ]]</f>
        <v>0</v>
      </c>
      <c r="BD203" s="211">
        <f>IF((WWWW[[#This Row],['# Existing protected/fenced ponds ]]*250)/WWWW[[#This Row],[Total PoP ]]&gt;1,1,WWWW[[#This Row],['# Existing protected/fenced ponds ]]*250/WWWW[[#This Row],[Total PoP ]])</f>
        <v>0</v>
      </c>
      <c r="BE203" s="209">
        <f>WWWW[[#This Row],[Access to unimproved water points]]*WWWW[[#This Row],[Total PoP ]]</f>
        <v>0</v>
      </c>
      <c r="BF20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0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03" s="209">
        <f>ROUND(WWWW[[#This Row],['#people Equitable and continuous access to sufficient quantity of domestic water borehole n ponds_2]]/500,0)</f>
        <v>0</v>
      </c>
      <c r="BI203" s="208">
        <f>1-WWWW[[#This Row],[%Equitable and continuous access to sufficient quantity of domestic water borehole n ponds]]</f>
        <v>1</v>
      </c>
      <c r="BJ203" s="209">
        <f>WWWW[[#This Row],[%equitable and continuous access to sufficient quantity of safe drinking and domestic water''s GAP]]*WWWW[[#This Row],[Total PoP ]]</f>
        <v>1147</v>
      </c>
      <c r="BK203" s="210">
        <f>IF(WWWW[[#This Row],[Total required water points]]-WWWW[[#This Row],['#Water points coverage]]&lt;0,0,WWWW[[#This Row],[Total required water points]]-WWWW[[#This Row],['#Water points coverage]])</f>
        <v>2</v>
      </c>
      <c r="BL203" s="210">
        <f>ROUND(IF(WWWW[[#This Row],[Total PoP ]]&lt;500,1,WWWW[[#This Row],[Total PoP ]]/500),0)</f>
        <v>2</v>
      </c>
      <c r="BM203" s="210">
        <f>WWWW[[#This Row],['# Existing functional latrines]]+WWWW[[#This Row],['# Existing latrines dysfunctional]]</f>
        <v>0</v>
      </c>
      <c r="BN20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03" s="352">
        <f>WWWW[[#This Row],[% people access to functioning Latrine]]*WWWW[[#This Row],[Total PoP ]]</f>
        <v>0</v>
      </c>
      <c r="BP20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0.99912816041848307</v>
      </c>
      <c r="BQ203" s="209">
        <f>IF(WWWW[[#This Row],[Total required Latrines]]-WWWW[[#This Row],[Total '# of latrine]]&lt;0,0,WWWW[[#This Row],[Total required Latrines]]-WWWW[[#This Row],[Total '# of latrine]])</f>
        <v>191</v>
      </c>
      <c r="BR203" s="210">
        <f>ROUND(IF(WWWW[[#This Row],[Location Type 1]]="camp",WWWW[[#This Row],[Total PoP ]]/20,WWWW[[#This Row],[Total PoP ]]/6),0)</f>
        <v>191</v>
      </c>
      <c r="BS203" s="212">
        <f>IF(OR(WWWW[[#This Row],['# Existing latrines dysfunctional]]="",WWWW[[#This Row],['# Existing latrines dysfunctional]]=0),0,WWWW[[#This Row],['# Existing latrines dysfunctional]]/WWWW[[#This Row],[Total '# of latrine]])</f>
        <v>0</v>
      </c>
      <c r="BT20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3" s="209">
        <f>IF(500*WWWW[[#This Row],['# Hygiene Promoters ]]&gt;WWWW[[#This Row],[Total PoP ]],WWWW[[#This Row],[Total PoP ]],500*WWWW[[#This Row],['# Hygiene Promoters ]])</f>
        <v>0</v>
      </c>
      <c r="BV203" s="209">
        <f>IF(WWWW[[#This Row],[% of HH with access to Sanitary Pad]]&gt;=100%,1,0)</f>
        <v>0</v>
      </c>
      <c r="BW203" s="209">
        <f>IF(WWWW[[#This Row],[Total PoP ]]=0,0,IF(WWWW[[#This Row],['# Hygiene Promoters ]]=0,0,IF(WWWW[[#This Row],[Location Type 1]]="Village",IF(WWWW[[#This Row],[Total PoP ]]/WWWW[[#This Row],['# Hygiene Promoters ]]&lt;1000,1,0),IF(WWWW[[#This Row],[Total PoP ]]/WWWW[[#This Row],['# Hygiene Promoters ]]&lt;600,1,0))))</f>
        <v>0</v>
      </c>
      <c r="BX203" s="209">
        <f>IF(WWWW[[#This Row],[%HH with access to soap]]&gt;=100%,1,0)</f>
        <v>0</v>
      </c>
      <c r="BY203" s="209">
        <f>IF(WWWW[[#This Row],[% of HHs with access to Sanitary pad more than '#%]]+WWWW[[#This Row],[Ratio of Hyiene promoters to people less than '#]]+WWWW[[#This Row],[% of HHs with access to soap more than '#%]]&gt;=2,WWWW[[#This Row],[Total PoP ]],0)</f>
        <v>0</v>
      </c>
      <c r="BZ203" s="208">
        <f>WWWW[[#This Row],[People adopt basic personal and community hygiene practices]]/WWWW[[#This Row],[Total PoP ]]</f>
        <v>0</v>
      </c>
      <c r="CA203" s="212">
        <f>1-WWWW[[#This Row],[Hygiene Coverage%]]</f>
        <v>1</v>
      </c>
      <c r="CB203" s="211">
        <f>WWWW[[#This Row],['# people reached by regular dedicated hygiene promotion_5]]/WWWW[[#This Row],[Total PoP ]]</f>
        <v>0</v>
      </c>
      <c r="CC203" s="211">
        <f>IF(WWWW[[#This Row],['# HH received soaps]]/WWWW[[#This Row],[Total HH]]&gt;1,1,WWWW[[#This Row],['# HH received soaps]]/WWWW[[#This Row],[Total HH]])</f>
        <v>0</v>
      </c>
      <c r="CD203" s="211">
        <f>IF(WWWW[[#This Row],['# HH received Sanitary Pads]]/WWWW[[#This Row],[Total HH]]&gt;1,1,WWWW[[#This Row],['# HH received Sanitary Pads]]/WWWW[[#This Row],[Total HH]])</f>
        <v>0</v>
      </c>
      <c r="CE203" s="210">
        <f>WWWW[[#This Row],['# HH received soaps]]*5</f>
        <v>0</v>
      </c>
      <c r="CF203" s="210">
        <f>WWWW[[#This Row],['# HH received Sanitary Pads]]*5</f>
        <v>0</v>
      </c>
      <c r="CG203" s="210">
        <f>IF(WWWW[[#This Row],['# People with access to soap]]&gt;WWWW[[#This Row],['# People with access to Sanity Pads]],WWWW[[#This Row],['# People with access to soap]],WWWW[[#This Row],['# People with access to Sanity Pads]])</f>
        <v>0</v>
      </c>
      <c r="CH203" s="209">
        <f>WWWW[[#This Row],[Total HH]]*WWWW[[#This Row],[%HHs with access to functional hand washing stations]]</f>
        <v>0</v>
      </c>
      <c r="CI203" s="699">
        <f>VLOOKUP(WWWW[[#This Row],[Site Name]],SiteDB6[[Site Name]:[CCCM Management]],6,FALSE)</f>
        <v>0</v>
      </c>
      <c r="CJ203" s="699">
        <f>VLOOKUP(WWWW[[#This Row],[Site Name]],SiteDB6[[Site Name]:[CCCM Focal Agency]],7,FALSE)</f>
        <v>0</v>
      </c>
      <c r="CK203" s="699" t="str">
        <f>VLOOKUP(WWWW[[#This Row],[Site Name]],SiteDB6[[Site Name]:[Location Type]],8,FALSE)</f>
        <v>Village_Not HRP</v>
      </c>
      <c r="CL203" s="699" t="str">
        <f>VLOOKUP(WWWW[[#This Row],[Site Name]],SiteDB6[[Site Name]:[Location Type 1]],9,FALSE)</f>
        <v>Village</v>
      </c>
      <c r="CM203" s="699" t="str">
        <f>VLOOKUP(WWWW[[#This Row],[Site Name]],SiteDB6[[Site Name]:[Type of Accommodation]],10,FALSE)</f>
        <v>Village_Not HRP</v>
      </c>
      <c r="CN203" s="699" t="str">
        <f>VLOOKUP(WWWW[[#This Row],[Site Name]],SiteDB6[[Site Name]:[Ethnic or GCA/NGCA]],11,FALSE)</f>
        <v>Rakhine</v>
      </c>
      <c r="CO203" s="699">
        <f>VLOOKUP(WWWW[[#This Row],[Site Name]],SiteDB6[[Site Name]:[Lat]],12,FALSE)</f>
        <v>19.925739288330099</v>
      </c>
      <c r="CP203" s="699">
        <f>VLOOKUP(WWWW[[#This Row],[Site Name]],SiteDB6[[Site Name]:[Long]],13,FALSE)</f>
        <v>93.792991638183594</v>
      </c>
      <c r="CQ203" s="699" t="str">
        <f>VLOOKUP(WWWW[[#This Row],[Site Name]],SiteDB6[[Site Name]:[Pcode]],3,FALSE)</f>
        <v>199133</v>
      </c>
      <c r="CR203" s="660" t="str">
        <f t="shared" si="3"/>
        <v>Covered</v>
      </c>
      <c r="CS203" s="699"/>
      <c r="CT203" s="24"/>
      <c r="CU203" s="24"/>
      <c r="CV203" s="24"/>
    </row>
    <row r="204" spans="1:100" ht="16.5" customHeight="1" thickBot="1" x14ac:dyDescent="0.3">
      <c r="A204" s="833" t="s">
        <v>3206</v>
      </c>
      <c r="B204" s="206" t="s">
        <v>530</v>
      </c>
      <c r="C204" s="206" t="s">
        <v>454</v>
      </c>
      <c r="D204" s="206" t="s">
        <v>480</v>
      </c>
      <c r="E204" s="206" t="s">
        <v>800</v>
      </c>
      <c r="F204" s="206">
        <v>24</v>
      </c>
      <c r="G204" s="398">
        <v>91</v>
      </c>
      <c r="H204" s="206"/>
      <c r="I204" s="206" t="s">
        <v>388</v>
      </c>
      <c r="J204" s="207">
        <v>43343</v>
      </c>
      <c r="K204" s="206">
        <v>0</v>
      </c>
      <c r="L204" s="206"/>
      <c r="M204" s="208"/>
      <c r="N204" s="208"/>
      <c r="O204" s="316">
        <v>0</v>
      </c>
      <c r="P204" s="317">
        <v>0</v>
      </c>
      <c r="Q204" s="317">
        <v>0</v>
      </c>
      <c r="R204" s="318">
        <v>0</v>
      </c>
      <c r="S204" s="318">
        <v>1</v>
      </c>
      <c r="T204" s="318"/>
      <c r="U204" s="318"/>
      <c r="V204" s="318"/>
      <c r="W204" s="318"/>
      <c r="X204" s="318"/>
      <c r="Y204" s="318"/>
      <c r="Z204" s="318"/>
      <c r="AA204" s="310"/>
      <c r="AB204" s="310"/>
      <c r="AC204" s="66"/>
      <c r="AD204" s="66"/>
      <c r="AE204" s="310">
        <v>10</v>
      </c>
      <c r="AF204" s="310" t="s">
        <v>332</v>
      </c>
      <c r="AG204" s="311" t="s">
        <v>332</v>
      </c>
      <c r="AH204" s="311"/>
      <c r="AI204" s="310"/>
      <c r="AJ204" s="310" t="s">
        <v>2462</v>
      </c>
      <c r="AK204" s="841">
        <v>0</v>
      </c>
      <c r="AL204" s="842" t="s">
        <v>284</v>
      </c>
      <c r="AM204" s="842">
        <v>0</v>
      </c>
      <c r="AN204" s="863">
        <v>0</v>
      </c>
      <c r="AO204" s="863">
        <v>7</v>
      </c>
      <c r="AP204" s="843">
        <v>24</v>
      </c>
      <c r="AQ204" s="843">
        <v>24</v>
      </c>
      <c r="AR204" s="843"/>
      <c r="AS204" s="843"/>
      <c r="AT204" s="843"/>
      <c r="AU204" s="843"/>
      <c r="AV204" s="844"/>
      <c r="AW204" s="208" t="str">
        <f>IFERROR(WWWW[[#This Row],['# of Water passed at source]]/WWWW[[#This Row],['# of Water tested at source]],"no test")</f>
        <v>no test</v>
      </c>
      <c r="AX204" s="211" t="str">
        <f>IFERROR(WWWW[[#This Row],['# of Water passed at HH]]/WWWW[[#This Row],['# of Water tested at HH]],"no test")</f>
        <v>no test</v>
      </c>
      <c r="AY204" s="210" t="str">
        <f>IF(AND(WWWW[[#This Row],[%of Water samples which passed at water source]]="no test",WWWW[[#This Row],[%Water samples which passed at HH]]="no test"),"No Test","Tested")</f>
        <v>No Test</v>
      </c>
      <c r="AZ20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4" s="211">
        <f>IF(WWWW[[#This Row],[Location Type 1]]="Village",WWWW[[#This Row],[Access to safe drinking water for Village]],WWWW[[#This Row],[Access to safe drinking water for Camp]])</f>
        <v>0</v>
      </c>
      <c r="BC204" s="209">
        <f>WWWW[[#This Row],[%Equitable and continuous access to sufficient quantity of safe drinking water]]*WWWW[[#This Row],[Total PoP ]]</f>
        <v>0</v>
      </c>
      <c r="BD204" s="211">
        <f>IF((WWWW[[#This Row],['# Existing protected/fenced ponds ]]*250)/WWWW[[#This Row],[Total PoP ]]&gt;1,1,WWWW[[#This Row],['# Existing protected/fenced ponds ]]*250/WWWW[[#This Row],[Total PoP ]])</f>
        <v>0</v>
      </c>
      <c r="BE204" s="209">
        <f>WWWW[[#This Row],[Access to unimproved water points]]*WWWW[[#This Row],[Total PoP ]]</f>
        <v>0</v>
      </c>
      <c r="BF20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0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04" s="209">
        <f>ROUND(WWWW[[#This Row],['#people Equitable and continuous access to sufficient quantity of domestic water borehole n ponds_2]]/500,0)</f>
        <v>0</v>
      </c>
      <c r="BI204" s="208">
        <f>1-WWWW[[#This Row],[%Equitable and continuous access to sufficient quantity of domestic water borehole n ponds]]</f>
        <v>1</v>
      </c>
      <c r="BJ204" s="209">
        <f>WWWW[[#This Row],[%equitable and continuous access to sufficient quantity of safe drinking and domestic water''s GAP]]*WWWW[[#This Row],[Total PoP ]]</f>
        <v>91</v>
      </c>
      <c r="BK204" s="210">
        <f>IF(WWWW[[#This Row],[Total required water points]]-WWWW[[#This Row],['#Water points coverage]]&lt;0,0,WWWW[[#This Row],[Total required water points]]-WWWW[[#This Row],['#Water points coverage]])</f>
        <v>1</v>
      </c>
      <c r="BL204" s="210">
        <f>ROUND(IF(WWWW[[#This Row],[Total PoP ]]&lt;500,1,WWWW[[#This Row],[Total PoP ]]/500),0)</f>
        <v>1</v>
      </c>
      <c r="BM204" s="210">
        <f>WWWW[[#This Row],['# Existing functional latrines]]+WWWW[[#This Row],['# Existing latrines dysfunctional]]</f>
        <v>0</v>
      </c>
      <c r="BN20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04" s="352">
        <f>WWWW[[#This Row],[% people access to functioning Latrine]]*WWWW[[#This Row],[Total PoP ]]</f>
        <v>0</v>
      </c>
      <c r="BP20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0.98901098901098905</v>
      </c>
      <c r="BQ204" s="209">
        <f>IF(WWWW[[#This Row],[Total required Latrines]]-WWWW[[#This Row],[Total '# of latrine]]&lt;0,0,WWWW[[#This Row],[Total required Latrines]]-WWWW[[#This Row],[Total '# of latrine]])</f>
        <v>15</v>
      </c>
      <c r="BR204" s="210">
        <f>ROUND(IF(WWWW[[#This Row],[Location Type 1]]="camp",WWWW[[#This Row],[Total PoP ]]/20,WWWW[[#This Row],[Total PoP ]]/6),0)</f>
        <v>15</v>
      </c>
      <c r="BS204" s="212">
        <f>IF(OR(WWWW[[#This Row],['# Existing latrines dysfunctional]]="",WWWW[[#This Row],['# Existing latrines dysfunctional]]=0),0,WWWW[[#This Row],['# Existing latrines dysfunctional]]/WWWW[[#This Row],[Total '# of latrine]])</f>
        <v>0</v>
      </c>
      <c r="BT20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4" s="209">
        <f>IF(500*WWWW[[#This Row],['# Hygiene Promoters ]]&gt;WWWW[[#This Row],[Total PoP ]],WWWW[[#This Row],[Total PoP ]],500*WWWW[[#This Row],['# Hygiene Promoters ]])</f>
        <v>91</v>
      </c>
      <c r="BV204" s="209">
        <f>IF(WWWW[[#This Row],[% of HH with access to Sanitary Pad]]&gt;=100%,1,0)</f>
        <v>1</v>
      </c>
      <c r="BW204" s="209">
        <f>IF(WWWW[[#This Row],[Total PoP ]]=0,0,IF(WWWW[[#This Row],['# Hygiene Promoters ]]=0,0,IF(WWWW[[#This Row],[Location Type 1]]="Village",IF(WWWW[[#This Row],[Total PoP ]]/WWWW[[#This Row],['# Hygiene Promoters ]]&lt;1000,1,0),IF(WWWW[[#This Row],[Total PoP ]]/WWWW[[#This Row],['# Hygiene Promoters ]]&lt;600,1,0))))</f>
        <v>1</v>
      </c>
      <c r="BX204" s="209">
        <f>IF(WWWW[[#This Row],[%HH with access to soap]]&gt;=100%,1,0)</f>
        <v>1</v>
      </c>
      <c r="BY204" s="209">
        <f>IF(WWWW[[#This Row],[% of HHs with access to Sanitary pad more than '#%]]+WWWW[[#This Row],[Ratio of Hyiene promoters to people less than '#]]+WWWW[[#This Row],[% of HHs with access to soap more than '#%]]&gt;=2,WWWW[[#This Row],[Total PoP ]],0)</f>
        <v>91</v>
      </c>
      <c r="BZ204" s="208">
        <f>WWWW[[#This Row],[People adopt basic personal and community hygiene practices]]/WWWW[[#This Row],[Total PoP ]]</f>
        <v>1</v>
      </c>
      <c r="CA204" s="212">
        <f>1-WWWW[[#This Row],[Hygiene Coverage%]]</f>
        <v>0</v>
      </c>
      <c r="CB204" s="211">
        <f>WWWW[[#This Row],['# people reached by regular dedicated hygiene promotion_5]]/WWWW[[#This Row],[Total PoP ]]</f>
        <v>1</v>
      </c>
      <c r="CC204" s="211">
        <f>IF(WWWW[[#This Row],['# HH received soaps]]/WWWW[[#This Row],[Total HH]]&gt;1,1,WWWW[[#This Row],['# HH received soaps]]/WWWW[[#This Row],[Total HH]])</f>
        <v>1</v>
      </c>
      <c r="CD204" s="211">
        <f>IF(WWWW[[#This Row],['# HH received Sanitary Pads]]/WWWW[[#This Row],[Total HH]]&gt;1,1,WWWW[[#This Row],['# HH received Sanitary Pads]]/WWWW[[#This Row],[Total HH]])</f>
        <v>1</v>
      </c>
      <c r="CE204" s="210">
        <f>WWWW[[#This Row],['# HH received soaps]]*5</f>
        <v>120</v>
      </c>
      <c r="CF204" s="210">
        <f>WWWW[[#This Row],['# HH received Sanitary Pads]]*5</f>
        <v>120</v>
      </c>
      <c r="CG204" s="210">
        <f>IF(WWWW[[#This Row],['# People with access to soap]]&gt;WWWW[[#This Row],['# People with access to Sanity Pads]],WWWW[[#This Row],['# People with access to soap]],WWWW[[#This Row],['# People with access to Sanity Pads]])</f>
        <v>120</v>
      </c>
      <c r="CH204" s="209">
        <f>WWWW[[#This Row],[Total HH]]*WWWW[[#This Row],[%HHs with access to functional hand washing stations]]</f>
        <v>0</v>
      </c>
      <c r="CI204" s="699">
        <f>VLOOKUP(WWWW[[#This Row],[Site Name]],SiteDB6[[Site Name]:[CCCM Management]],6,FALSE)</f>
        <v>0</v>
      </c>
      <c r="CJ204" s="699">
        <f>VLOOKUP(WWWW[[#This Row],[Site Name]],SiteDB6[[Site Name]:[CCCM Focal Agency]],7,FALSE)</f>
        <v>0</v>
      </c>
      <c r="CK204" s="699" t="str">
        <f>VLOOKUP(WWWW[[#This Row],[Site Name]],SiteDB6[[Site Name]:[Location Type]],8,FALSE)</f>
        <v>Village</v>
      </c>
      <c r="CL204" s="699" t="str">
        <f>VLOOKUP(WWWW[[#This Row],[Site Name]],SiteDB6[[Site Name]:[Location Type 1]],9,FALSE)</f>
        <v>Village</v>
      </c>
      <c r="CM204" s="699" t="str">
        <f>VLOOKUP(WWWW[[#This Row],[Site Name]],SiteDB6[[Site Name]:[Type of Accommodation]],10,FALSE)</f>
        <v>Village</v>
      </c>
      <c r="CN204" s="699" t="str">
        <f>VLOOKUP(WWWW[[#This Row],[Site Name]],SiteDB6[[Site Name]:[Ethnic or GCA/NGCA]],11,FALSE)</f>
        <v>Rakhine</v>
      </c>
      <c r="CO204" s="699">
        <f>VLOOKUP(WWWW[[#This Row],[Site Name]],SiteDB6[[Site Name]:[Lat]],12,FALSE)</f>
        <v>20.8490600585938</v>
      </c>
      <c r="CP204" s="699">
        <f>VLOOKUP(WWWW[[#This Row],[Site Name]],SiteDB6[[Site Name]:[Long]],13,FALSE)</f>
        <v>92.497413635253906</v>
      </c>
      <c r="CQ204" s="699">
        <f>VLOOKUP(WWWW[[#This Row],[Site Name]],SiteDB6[[Site Name]:[Pcode]],3,FALSE)</f>
        <v>198313</v>
      </c>
      <c r="CR204" s="660" t="str">
        <f t="shared" si="3"/>
        <v>Covered</v>
      </c>
      <c r="CS204" s="660"/>
      <c r="CT204" s="24"/>
      <c r="CU204" s="24"/>
      <c r="CV204" s="24"/>
    </row>
    <row r="205" spans="1:100" ht="16.5" customHeight="1" thickBot="1" x14ac:dyDescent="0.3">
      <c r="A205" s="833" t="s">
        <v>3206</v>
      </c>
      <c r="B205" s="206" t="s">
        <v>530</v>
      </c>
      <c r="C205" s="206" t="s">
        <v>454</v>
      </c>
      <c r="D205" s="206" t="s">
        <v>480</v>
      </c>
      <c r="E205" s="206" t="s">
        <v>775</v>
      </c>
      <c r="F205" s="206">
        <v>22</v>
      </c>
      <c r="G205" s="398">
        <v>90</v>
      </c>
      <c r="H205" s="206"/>
      <c r="I205" s="206" t="s">
        <v>388</v>
      </c>
      <c r="J205" s="207">
        <v>43145</v>
      </c>
      <c r="K205" s="206">
        <v>0</v>
      </c>
      <c r="L205" s="206"/>
      <c r="M205" s="208"/>
      <c r="N205" s="208"/>
      <c r="O205" s="316">
        <v>0</v>
      </c>
      <c r="P205" s="317">
        <v>0</v>
      </c>
      <c r="Q205" s="317">
        <v>0</v>
      </c>
      <c r="R205" s="318">
        <v>3</v>
      </c>
      <c r="S205" s="318">
        <v>1</v>
      </c>
      <c r="T205" s="318"/>
      <c r="U205" s="318"/>
      <c r="V205" s="318"/>
      <c r="W205" s="318"/>
      <c r="X205" s="318"/>
      <c r="Y205" s="318"/>
      <c r="Z205" s="318"/>
      <c r="AA205" s="310">
        <v>1</v>
      </c>
      <c r="AB205" s="310">
        <v>0</v>
      </c>
      <c r="AC205" s="66"/>
      <c r="AD205" s="66"/>
      <c r="AE205" s="310">
        <v>1</v>
      </c>
      <c r="AF205" s="310" t="s">
        <v>332</v>
      </c>
      <c r="AG205" s="311" t="s">
        <v>332</v>
      </c>
      <c r="AH205" s="311"/>
      <c r="AI205" s="310"/>
      <c r="AJ205" s="310" t="s">
        <v>2462</v>
      </c>
      <c r="AK205" s="841">
        <v>0</v>
      </c>
      <c r="AL205" s="842" t="s">
        <v>284</v>
      </c>
      <c r="AM205" s="842">
        <v>0</v>
      </c>
      <c r="AN205" s="863">
        <v>0</v>
      </c>
      <c r="AO205" s="863">
        <v>9</v>
      </c>
      <c r="AP205" s="843">
        <v>22</v>
      </c>
      <c r="AQ205" s="843">
        <v>22</v>
      </c>
      <c r="AR205" s="843"/>
      <c r="AS205" s="843"/>
      <c r="AT205" s="843"/>
      <c r="AU205" s="843"/>
      <c r="AV205" s="844"/>
      <c r="AW205" s="208" t="str">
        <f>IFERROR(WWWW[[#This Row],['# of Water passed at source]]/WWWW[[#This Row],['# of Water tested at source]],"no test")</f>
        <v>no test</v>
      </c>
      <c r="AX205" s="211" t="str">
        <f>IFERROR(WWWW[[#This Row],['# of Water passed at HH]]/WWWW[[#This Row],['# of Water tested at HH]],"no test")</f>
        <v>no test</v>
      </c>
      <c r="AY205" s="210" t="str">
        <f>IF(AND(WWWW[[#This Row],[%of Water samples which passed at water source]]="no test",WWWW[[#This Row],[%Water samples which passed at HH]]="no test"),"No Test","Tested")</f>
        <v>No Test</v>
      </c>
      <c r="AZ20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5" s="211">
        <f>IF(WWWW[[#This Row],[Location Type 1]]="Village",WWWW[[#This Row],[Access to safe drinking water for Village]],WWWW[[#This Row],[Access to safe drinking water for Camp]])</f>
        <v>0</v>
      </c>
      <c r="BC205" s="209">
        <f>WWWW[[#This Row],[%Equitable and continuous access to sufficient quantity of safe drinking water]]*WWWW[[#This Row],[Total PoP ]]</f>
        <v>0</v>
      </c>
      <c r="BD205" s="211">
        <f>IF((WWWW[[#This Row],['# Existing protected/fenced ponds ]]*250)/WWWW[[#This Row],[Total PoP ]]&gt;1,1,WWWW[[#This Row],['# Existing protected/fenced ponds ]]*250/WWWW[[#This Row],[Total PoP ]])</f>
        <v>1</v>
      </c>
      <c r="BE205" s="209">
        <f>WWWW[[#This Row],[Access to unimproved water points]]*WWWW[[#This Row],[Total PoP ]]</f>
        <v>90</v>
      </c>
      <c r="BF20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0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90</v>
      </c>
      <c r="BH205" s="209">
        <f>ROUND(WWWW[[#This Row],['#people Equitable and continuous access to sufficient quantity of domestic water borehole n ponds_2]]/500,0)</f>
        <v>0</v>
      </c>
      <c r="BI205" s="208">
        <f>1-WWWW[[#This Row],[%Equitable and continuous access to sufficient quantity of domestic water borehole n ponds]]</f>
        <v>0</v>
      </c>
      <c r="BJ205" s="209">
        <f>WWWW[[#This Row],[%equitable and continuous access to sufficient quantity of safe drinking and domestic water''s GAP]]*WWWW[[#This Row],[Total PoP ]]</f>
        <v>0</v>
      </c>
      <c r="BK205" s="210">
        <f>IF(WWWW[[#This Row],[Total required water points]]-WWWW[[#This Row],['#Water points coverage]]&lt;0,0,WWWW[[#This Row],[Total required water points]]-WWWW[[#This Row],['#Water points coverage]])</f>
        <v>1</v>
      </c>
      <c r="BL205" s="210">
        <f>ROUND(IF(WWWW[[#This Row],[Total PoP ]]&lt;500,1,WWWW[[#This Row],[Total PoP ]]/500),0)</f>
        <v>1</v>
      </c>
      <c r="BM205" s="210">
        <f>WWWW[[#This Row],['# Existing functional latrines]]+WWWW[[#This Row],['# Existing latrines dysfunctional]]</f>
        <v>1</v>
      </c>
      <c r="BN20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6.6666666666666666E-2</v>
      </c>
      <c r="BO205" s="352">
        <f>WWWW[[#This Row],[% people access to functioning Latrine]]*WWWW[[#This Row],[Total PoP ]]</f>
        <v>6</v>
      </c>
      <c r="BP20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0.93333333333333335</v>
      </c>
      <c r="BQ205" s="209">
        <f>IF(WWWW[[#This Row],[Total required Latrines]]-WWWW[[#This Row],[Total '# of latrine]]&lt;0,0,WWWW[[#This Row],[Total required Latrines]]-WWWW[[#This Row],[Total '# of latrine]])</f>
        <v>14</v>
      </c>
      <c r="BR205" s="210">
        <f>ROUND(IF(WWWW[[#This Row],[Location Type 1]]="camp",WWWW[[#This Row],[Total PoP ]]/20,WWWW[[#This Row],[Total PoP ]]/6),0)</f>
        <v>15</v>
      </c>
      <c r="BS205" s="212">
        <f>IF(OR(WWWW[[#This Row],['# Existing latrines dysfunctional]]="",WWWW[[#This Row],['# Existing latrines dysfunctional]]=0),0,WWWW[[#This Row],['# Existing latrines dysfunctional]]/WWWW[[#This Row],[Total '# of latrine]])</f>
        <v>0</v>
      </c>
      <c r="BT20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5" s="209">
        <f>IF(500*WWWW[[#This Row],['# Hygiene Promoters ]]&gt;WWWW[[#This Row],[Total PoP ]],WWWW[[#This Row],[Total PoP ]],500*WWWW[[#This Row],['# Hygiene Promoters ]])</f>
        <v>90</v>
      </c>
      <c r="BV205" s="209">
        <f>IF(WWWW[[#This Row],[% of HH with access to Sanitary Pad]]&gt;=100%,1,0)</f>
        <v>1</v>
      </c>
      <c r="BW205" s="209">
        <f>IF(WWWW[[#This Row],[Total PoP ]]=0,0,IF(WWWW[[#This Row],['# Hygiene Promoters ]]=0,0,IF(WWWW[[#This Row],[Location Type 1]]="Village",IF(WWWW[[#This Row],[Total PoP ]]/WWWW[[#This Row],['# Hygiene Promoters ]]&lt;1000,1,0),IF(WWWW[[#This Row],[Total PoP ]]/WWWW[[#This Row],['# Hygiene Promoters ]]&lt;600,1,0))))</f>
        <v>1</v>
      </c>
      <c r="BX205" s="209">
        <f>IF(WWWW[[#This Row],[%HH with access to soap]]&gt;=100%,1,0)</f>
        <v>1</v>
      </c>
      <c r="BY205" s="209">
        <f>IF(WWWW[[#This Row],[% of HHs with access to Sanitary pad more than '#%]]+WWWW[[#This Row],[Ratio of Hyiene promoters to people less than '#]]+WWWW[[#This Row],[% of HHs with access to soap more than '#%]]&gt;=2,WWWW[[#This Row],[Total PoP ]],0)</f>
        <v>90</v>
      </c>
      <c r="BZ205" s="208">
        <f>WWWW[[#This Row],[People adopt basic personal and community hygiene practices]]/WWWW[[#This Row],[Total PoP ]]</f>
        <v>1</v>
      </c>
      <c r="CA205" s="212">
        <f>1-WWWW[[#This Row],[Hygiene Coverage%]]</f>
        <v>0</v>
      </c>
      <c r="CB205" s="211">
        <f>WWWW[[#This Row],['# people reached by regular dedicated hygiene promotion_5]]/WWWW[[#This Row],[Total PoP ]]</f>
        <v>1</v>
      </c>
      <c r="CC205" s="211">
        <f>IF(WWWW[[#This Row],['# HH received soaps]]/WWWW[[#This Row],[Total HH]]&gt;1,1,WWWW[[#This Row],['# HH received soaps]]/WWWW[[#This Row],[Total HH]])</f>
        <v>1</v>
      </c>
      <c r="CD205" s="211">
        <f>IF(WWWW[[#This Row],['# HH received Sanitary Pads]]/WWWW[[#This Row],[Total HH]]&gt;1,1,WWWW[[#This Row],['# HH received Sanitary Pads]]/WWWW[[#This Row],[Total HH]])</f>
        <v>1</v>
      </c>
      <c r="CE205" s="210">
        <f>WWWW[[#This Row],['# HH received soaps]]*5</f>
        <v>110</v>
      </c>
      <c r="CF205" s="210">
        <f>WWWW[[#This Row],['# HH received Sanitary Pads]]*5</f>
        <v>110</v>
      </c>
      <c r="CG205" s="210">
        <f>IF(WWWW[[#This Row],['# People with access to soap]]&gt;WWWW[[#This Row],['# People with access to Sanity Pads]],WWWW[[#This Row],['# People with access to soap]],WWWW[[#This Row],['# People with access to Sanity Pads]])</f>
        <v>110</v>
      </c>
      <c r="CH205" s="209">
        <f>WWWW[[#This Row],[Total HH]]*WWWW[[#This Row],[%HHs with access to functional hand washing stations]]</f>
        <v>0</v>
      </c>
      <c r="CI205" s="699">
        <f>VLOOKUP(WWWW[[#This Row],[Site Name]],SiteDB6[[Site Name]:[CCCM Management]],6,FALSE)</f>
        <v>0</v>
      </c>
      <c r="CJ205" s="699">
        <f>VLOOKUP(WWWW[[#This Row],[Site Name]],SiteDB6[[Site Name]:[CCCM Focal Agency]],7,FALSE)</f>
        <v>0</v>
      </c>
      <c r="CK205" s="699" t="str">
        <f>VLOOKUP(WWWW[[#This Row],[Site Name]],SiteDB6[[Site Name]:[Location Type]],8,FALSE)</f>
        <v>Village</v>
      </c>
      <c r="CL205" s="699" t="str">
        <f>VLOOKUP(WWWW[[#This Row],[Site Name]],SiteDB6[[Site Name]:[Location Type 1]],9,FALSE)</f>
        <v>Village</v>
      </c>
      <c r="CM205" s="699" t="str">
        <f>VLOOKUP(WWWW[[#This Row],[Site Name]],SiteDB6[[Site Name]:[Type of Accommodation]],10,FALSE)</f>
        <v>Village</v>
      </c>
      <c r="CN205" s="699" t="str">
        <f>VLOOKUP(WWWW[[#This Row],[Site Name]],SiteDB6[[Site Name]:[Ethnic or GCA/NGCA]],11,FALSE)</f>
        <v>Rakhine</v>
      </c>
      <c r="CO205" s="699">
        <f>VLOOKUP(WWWW[[#This Row],[Site Name]],SiteDB6[[Site Name]:[Lat]],12,FALSE)</f>
        <v>20.805580139160199</v>
      </c>
      <c r="CP205" s="699">
        <f>VLOOKUP(WWWW[[#This Row],[Site Name]],SiteDB6[[Site Name]:[Long]],13,FALSE)</f>
        <v>92.549842834472699</v>
      </c>
      <c r="CQ205" s="699">
        <f>VLOOKUP(WWWW[[#This Row],[Site Name]],SiteDB6[[Site Name]:[Pcode]],3,FALSE)</f>
        <v>198336</v>
      </c>
      <c r="CR205" s="660" t="str">
        <f t="shared" si="3"/>
        <v>Covered</v>
      </c>
      <c r="CS205" s="660"/>
      <c r="CT205" s="24"/>
      <c r="CU205" s="24"/>
      <c r="CV205" s="24"/>
    </row>
    <row r="206" spans="1:100" ht="16.5" customHeight="1" thickBot="1" x14ac:dyDescent="0.3">
      <c r="A206" s="833" t="s">
        <v>3206</v>
      </c>
      <c r="B206" s="206" t="s">
        <v>530</v>
      </c>
      <c r="C206" s="206" t="s">
        <v>454</v>
      </c>
      <c r="D206" s="206" t="s">
        <v>480</v>
      </c>
      <c r="E206" s="206" t="s">
        <v>786</v>
      </c>
      <c r="F206" s="206">
        <v>851</v>
      </c>
      <c r="G206" s="398">
        <v>4820</v>
      </c>
      <c r="H206" s="206"/>
      <c r="I206" s="206" t="s">
        <v>388</v>
      </c>
      <c r="J206" s="207">
        <v>43343</v>
      </c>
      <c r="K206" s="206">
        <v>0</v>
      </c>
      <c r="L206" s="206"/>
      <c r="M206" s="208"/>
      <c r="N206" s="208"/>
      <c r="O206" s="316">
        <v>0</v>
      </c>
      <c r="P206" s="317">
        <v>0</v>
      </c>
      <c r="Q206" s="317">
        <v>0</v>
      </c>
      <c r="R206" s="318">
        <v>0</v>
      </c>
      <c r="S206" s="318">
        <v>1</v>
      </c>
      <c r="T206" s="318"/>
      <c r="U206" s="318"/>
      <c r="V206" s="318"/>
      <c r="W206" s="318"/>
      <c r="X206" s="318"/>
      <c r="Y206" s="318"/>
      <c r="Z206" s="318"/>
      <c r="AA206" s="310">
        <v>1</v>
      </c>
      <c r="AB206" s="310">
        <v>0</v>
      </c>
      <c r="AC206" s="66"/>
      <c r="AD206" s="66"/>
      <c r="AE206" s="310">
        <v>10</v>
      </c>
      <c r="AF206" s="310" t="s">
        <v>332</v>
      </c>
      <c r="AG206" s="311" t="s">
        <v>332</v>
      </c>
      <c r="AH206" s="311"/>
      <c r="AI206" s="310"/>
      <c r="AJ206" s="310" t="s">
        <v>2462</v>
      </c>
      <c r="AK206" s="841">
        <v>0</v>
      </c>
      <c r="AL206" s="842" t="s">
        <v>284</v>
      </c>
      <c r="AM206" s="842">
        <v>0</v>
      </c>
      <c r="AN206" s="863">
        <v>0</v>
      </c>
      <c r="AO206" s="863">
        <v>7</v>
      </c>
      <c r="AP206" s="843">
        <v>851</v>
      </c>
      <c r="AQ206" s="843">
        <v>851</v>
      </c>
      <c r="AR206" s="843"/>
      <c r="AS206" s="843"/>
      <c r="AT206" s="843"/>
      <c r="AU206" s="843"/>
      <c r="AV206" s="844"/>
      <c r="AW206" s="208" t="str">
        <f>IFERROR(WWWW[[#This Row],['# of Water passed at source]]/WWWW[[#This Row],['# of Water tested at source]],"no test")</f>
        <v>no test</v>
      </c>
      <c r="AX206" s="211" t="str">
        <f>IFERROR(WWWW[[#This Row],['# of Water passed at HH]]/WWWW[[#This Row],['# of Water tested at HH]],"no test")</f>
        <v>no test</v>
      </c>
      <c r="AY206" s="210" t="str">
        <f>IF(AND(WWWW[[#This Row],[%of Water samples which passed at water source]]="no test",WWWW[[#This Row],[%Water samples which passed at HH]]="no test"),"No Test","Tested")</f>
        <v>No Test</v>
      </c>
      <c r="AZ20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6" s="211">
        <f>IF(WWWW[[#This Row],[Location Type 1]]="Village",WWWW[[#This Row],[Access to safe drinking water for Village]],WWWW[[#This Row],[Access to safe drinking water for Camp]])</f>
        <v>0</v>
      </c>
      <c r="BC206" s="209">
        <f>WWWW[[#This Row],[%Equitable and continuous access to sufficient quantity of safe drinking water]]*WWWW[[#This Row],[Total PoP ]]</f>
        <v>0</v>
      </c>
      <c r="BD206" s="211">
        <f>IF((WWWW[[#This Row],['# Existing protected/fenced ponds ]]*250)/WWWW[[#This Row],[Total PoP ]]&gt;1,1,WWWW[[#This Row],['# Existing protected/fenced ponds ]]*250/WWWW[[#This Row],[Total PoP ]])</f>
        <v>0</v>
      </c>
      <c r="BE206" s="209">
        <f>WWWW[[#This Row],[Access to unimproved water points]]*WWWW[[#This Row],[Total PoP ]]</f>
        <v>0</v>
      </c>
      <c r="BF20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0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06" s="209">
        <f>ROUND(WWWW[[#This Row],['#people Equitable and continuous access to sufficient quantity of domestic water borehole n ponds_2]]/500,0)</f>
        <v>0</v>
      </c>
      <c r="BI206" s="208">
        <f>1-WWWW[[#This Row],[%Equitable and continuous access to sufficient quantity of domestic water borehole n ponds]]</f>
        <v>1</v>
      </c>
      <c r="BJ206" s="209">
        <f>WWWW[[#This Row],[%equitable and continuous access to sufficient quantity of safe drinking and domestic water''s GAP]]*WWWW[[#This Row],[Total PoP ]]</f>
        <v>4820</v>
      </c>
      <c r="BK206" s="210">
        <f>IF(WWWW[[#This Row],[Total required water points]]-WWWW[[#This Row],['#Water points coverage]]&lt;0,0,WWWW[[#This Row],[Total required water points]]-WWWW[[#This Row],['#Water points coverage]])</f>
        <v>10</v>
      </c>
      <c r="BL206" s="210">
        <f>ROUND(IF(WWWW[[#This Row],[Total PoP ]]&lt;500,1,WWWW[[#This Row],[Total PoP ]]/500),0)</f>
        <v>10</v>
      </c>
      <c r="BM206" s="210">
        <f>WWWW[[#This Row],['# Existing functional latrines]]+WWWW[[#This Row],['# Existing latrines dysfunctional]]</f>
        <v>1</v>
      </c>
      <c r="BN20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1.2448132780082987E-3</v>
      </c>
      <c r="BO206" s="352">
        <f>WWWW[[#This Row],[% people access to functioning Latrine]]*WWWW[[#This Row],[Total PoP ]]</f>
        <v>6</v>
      </c>
      <c r="BP20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0.99834024896265561</v>
      </c>
      <c r="BQ206" s="209">
        <f>IF(WWWW[[#This Row],[Total required Latrines]]-WWWW[[#This Row],[Total '# of latrine]]&lt;0,0,WWWW[[#This Row],[Total required Latrines]]-WWWW[[#This Row],[Total '# of latrine]])</f>
        <v>802</v>
      </c>
      <c r="BR206" s="210">
        <f>ROUND(IF(WWWW[[#This Row],[Location Type 1]]="camp",WWWW[[#This Row],[Total PoP ]]/20,WWWW[[#This Row],[Total PoP ]]/6),0)</f>
        <v>803</v>
      </c>
      <c r="BS206" s="212">
        <f>IF(OR(WWWW[[#This Row],['# Existing latrines dysfunctional]]="",WWWW[[#This Row],['# Existing latrines dysfunctional]]=0),0,WWWW[[#This Row],['# Existing latrines dysfunctional]]/WWWW[[#This Row],[Total '# of latrine]])</f>
        <v>0</v>
      </c>
      <c r="BT20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6" s="209">
        <f>IF(500*WWWW[[#This Row],['# Hygiene Promoters ]]&gt;WWWW[[#This Row],[Total PoP ]],WWWW[[#This Row],[Total PoP ]],500*WWWW[[#This Row],['# Hygiene Promoters ]])</f>
        <v>3500</v>
      </c>
      <c r="BV206" s="209">
        <f>IF(WWWW[[#This Row],[% of HH with access to Sanitary Pad]]&gt;=100%,1,0)</f>
        <v>1</v>
      </c>
      <c r="BW206" s="209">
        <f>IF(WWWW[[#This Row],[Total PoP ]]=0,0,IF(WWWW[[#This Row],['# Hygiene Promoters ]]=0,0,IF(WWWW[[#This Row],[Location Type 1]]="Village",IF(WWWW[[#This Row],[Total PoP ]]/WWWW[[#This Row],['# Hygiene Promoters ]]&lt;1000,1,0),IF(WWWW[[#This Row],[Total PoP ]]/WWWW[[#This Row],['# Hygiene Promoters ]]&lt;600,1,0))))</f>
        <v>1</v>
      </c>
      <c r="BX206" s="209">
        <f>IF(WWWW[[#This Row],[%HH with access to soap]]&gt;=100%,1,0)</f>
        <v>1</v>
      </c>
      <c r="BY206" s="209">
        <f>IF(WWWW[[#This Row],[% of HHs with access to Sanitary pad more than '#%]]+WWWW[[#This Row],[Ratio of Hyiene promoters to people less than '#]]+WWWW[[#This Row],[% of HHs with access to soap more than '#%]]&gt;=2,WWWW[[#This Row],[Total PoP ]],0)</f>
        <v>4820</v>
      </c>
      <c r="BZ206" s="208">
        <f>WWWW[[#This Row],[People adopt basic personal and community hygiene practices]]/WWWW[[#This Row],[Total PoP ]]</f>
        <v>1</v>
      </c>
      <c r="CA206" s="212">
        <f>1-WWWW[[#This Row],[Hygiene Coverage%]]</f>
        <v>0</v>
      </c>
      <c r="CB206" s="211">
        <f>WWWW[[#This Row],['# people reached by regular dedicated hygiene promotion_5]]/WWWW[[#This Row],[Total PoP ]]</f>
        <v>0.72614107883817425</v>
      </c>
      <c r="CC206" s="211">
        <f>IF(WWWW[[#This Row],['# HH received soaps]]/WWWW[[#This Row],[Total HH]]&gt;1,1,WWWW[[#This Row],['# HH received soaps]]/WWWW[[#This Row],[Total HH]])</f>
        <v>1</v>
      </c>
      <c r="CD206" s="211">
        <f>IF(WWWW[[#This Row],['# HH received Sanitary Pads]]/WWWW[[#This Row],[Total HH]]&gt;1,1,WWWW[[#This Row],['# HH received Sanitary Pads]]/WWWW[[#This Row],[Total HH]])</f>
        <v>1</v>
      </c>
      <c r="CE206" s="210">
        <f>WWWW[[#This Row],['# HH received soaps]]*5</f>
        <v>4255</v>
      </c>
      <c r="CF206" s="210">
        <f>WWWW[[#This Row],['# HH received Sanitary Pads]]*5</f>
        <v>4255</v>
      </c>
      <c r="CG206" s="210">
        <f>IF(WWWW[[#This Row],['# People with access to soap]]&gt;WWWW[[#This Row],['# People with access to Sanity Pads]],WWWW[[#This Row],['# People with access to soap]],WWWW[[#This Row],['# People with access to Sanity Pads]])</f>
        <v>4255</v>
      </c>
      <c r="CH206" s="209">
        <f>WWWW[[#This Row],[Total HH]]*WWWW[[#This Row],[%HHs with access to functional hand washing stations]]</f>
        <v>0</v>
      </c>
      <c r="CI206" s="699">
        <f>VLOOKUP(WWWW[[#This Row],[Site Name]],SiteDB6[[Site Name]:[CCCM Management]],6,FALSE)</f>
        <v>0</v>
      </c>
      <c r="CJ206" s="699">
        <f>VLOOKUP(WWWW[[#This Row],[Site Name]],SiteDB6[[Site Name]:[CCCM Focal Agency]],7,FALSE)</f>
        <v>0</v>
      </c>
      <c r="CK206" s="699" t="str">
        <f>VLOOKUP(WWWW[[#This Row],[Site Name]],SiteDB6[[Site Name]:[Location Type]],8,FALSE)</f>
        <v>Village</v>
      </c>
      <c r="CL206" s="699" t="str">
        <f>VLOOKUP(WWWW[[#This Row],[Site Name]],SiteDB6[[Site Name]:[Location Type 1]],9,FALSE)</f>
        <v>Village</v>
      </c>
      <c r="CM206" s="699" t="str">
        <f>VLOOKUP(WWWW[[#This Row],[Site Name]],SiteDB6[[Site Name]:[Type of Accommodation]],10,FALSE)</f>
        <v>Village</v>
      </c>
      <c r="CN206" s="699" t="str">
        <f>VLOOKUP(WWWW[[#This Row],[Site Name]],SiteDB6[[Site Name]:[Ethnic or GCA/NGCA]],11,FALSE)</f>
        <v>Muslim</v>
      </c>
      <c r="CO206" s="699">
        <f>VLOOKUP(WWWW[[#This Row],[Site Name]],SiteDB6[[Site Name]:[Lat]],12,FALSE)</f>
        <v>20.821479797363299</v>
      </c>
      <c r="CP206" s="699">
        <f>VLOOKUP(WWWW[[#This Row],[Site Name]],SiteDB6[[Site Name]:[Long]],13,FALSE)</f>
        <v>92.603950500488295</v>
      </c>
      <c r="CQ206" s="699" t="str">
        <f>VLOOKUP(WWWW[[#This Row],[Site Name]],SiteDB6[[Site Name]:[Pcode]],3,FALSE)</f>
        <v>198356</v>
      </c>
      <c r="CR206" s="660" t="str">
        <f t="shared" si="3"/>
        <v>Covered</v>
      </c>
      <c r="CS206" s="660"/>
      <c r="CT206" s="24"/>
      <c r="CU206" s="24"/>
      <c r="CV206" s="24"/>
    </row>
    <row r="207" spans="1:100" ht="16.5" customHeight="1" thickBot="1" x14ac:dyDescent="0.3">
      <c r="A207" s="833" t="s">
        <v>3206</v>
      </c>
      <c r="B207" s="206" t="s">
        <v>530</v>
      </c>
      <c r="C207" s="206" t="s">
        <v>454</v>
      </c>
      <c r="D207" s="206" t="s">
        <v>480</v>
      </c>
      <c r="E207" s="206" t="s">
        <v>845</v>
      </c>
      <c r="F207" s="206">
        <v>22</v>
      </c>
      <c r="G207" s="398">
        <v>88</v>
      </c>
      <c r="H207" s="206"/>
      <c r="I207" s="206" t="s">
        <v>388</v>
      </c>
      <c r="J207" s="207">
        <v>43145</v>
      </c>
      <c r="K207" s="206">
        <v>0</v>
      </c>
      <c r="L207" s="206"/>
      <c r="M207" s="208"/>
      <c r="N207" s="208"/>
      <c r="O207" s="316">
        <v>0</v>
      </c>
      <c r="P207" s="317">
        <v>0</v>
      </c>
      <c r="Q207" s="317">
        <v>0</v>
      </c>
      <c r="R207" s="318">
        <v>1</v>
      </c>
      <c r="S207" s="318">
        <v>1</v>
      </c>
      <c r="T207" s="318"/>
      <c r="U207" s="318"/>
      <c r="V207" s="318"/>
      <c r="W207" s="318"/>
      <c r="X207" s="318"/>
      <c r="Y207" s="318"/>
      <c r="Z207" s="318"/>
      <c r="AA207" s="310">
        <v>1</v>
      </c>
      <c r="AB207" s="310">
        <v>0</v>
      </c>
      <c r="AC207" s="66"/>
      <c r="AD207" s="66"/>
      <c r="AE207" s="310">
        <v>1</v>
      </c>
      <c r="AF207" s="310" t="s">
        <v>332</v>
      </c>
      <c r="AG207" s="311" t="s">
        <v>332</v>
      </c>
      <c r="AH207" s="311"/>
      <c r="AI207" s="310"/>
      <c r="AJ207" s="310" t="s">
        <v>2462</v>
      </c>
      <c r="AK207" s="841">
        <v>0</v>
      </c>
      <c r="AL207" s="842" t="s">
        <v>284</v>
      </c>
      <c r="AM207" s="842">
        <v>0</v>
      </c>
      <c r="AN207" s="863">
        <v>0</v>
      </c>
      <c r="AO207" s="863">
        <v>7</v>
      </c>
      <c r="AP207" s="843"/>
      <c r="AQ207" s="843"/>
      <c r="AR207" s="843"/>
      <c r="AS207" s="843"/>
      <c r="AT207" s="843"/>
      <c r="AU207" s="843"/>
      <c r="AV207" s="844"/>
      <c r="AW207" s="208" t="str">
        <f>IFERROR(WWWW[[#This Row],['# of Water passed at source]]/WWWW[[#This Row],['# of Water tested at source]],"no test")</f>
        <v>no test</v>
      </c>
      <c r="AX207" s="211" t="str">
        <f>IFERROR(WWWW[[#This Row],['# of Water passed at HH]]/WWWW[[#This Row],['# of Water tested at HH]],"no test")</f>
        <v>no test</v>
      </c>
      <c r="AY207" s="210" t="str">
        <f>IF(AND(WWWW[[#This Row],[%of Water samples which passed at water source]]="no test",WWWW[[#This Row],[%Water samples which passed at HH]]="no test"),"No Test","Tested")</f>
        <v>No Test</v>
      </c>
      <c r="AZ20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7" s="211">
        <f>IF(WWWW[[#This Row],[Location Type 1]]="Village",WWWW[[#This Row],[Access to safe drinking water for Village]],WWWW[[#This Row],[Access to safe drinking water for Camp]])</f>
        <v>0</v>
      </c>
      <c r="BC207" s="209">
        <f>WWWW[[#This Row],[%Equitable and continuous access to sufficient quantity of safe drinking water]]*WWWW[[#This Row],[Total PoP ]]</f>
        <v>0</v>
      </c>
      <c r="BD207" s="211">
        <f>IF((WWWW[[#This Row],['# Existing protected/fenced ponds ]]*250)/WWWW[[#This Row],[Total PoP ]]&gt;1,1,WWWW[[#This Row],['# Existing protected/fenced ponds ]]*250/WWWW[[#This Row],[Total PoP ]])</f>
        <v>1</v>
      </c>
      <c r="BE207" s="209">
        <f>WWWW[[#This Row],[Access to unimproved water points]]*WWWW[[#This Row],[Total PoP ]]</f>
        <v>88</v>
      </c>
      <c r="BF20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0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88</v>
      </c>
      <c r="BH207" s="209">
        <f>ROUND(WWWW[[#This Row],['#people Equitable and continuous access to sufficient quantity of domestic water borehole n ponds_2]]/500,0)</f>
        <v>0</v>
      </c>
      <c r="BI207" s="208">
        <f>1-WWWW[[#This Row],[%Equitable and continuous access to sufficient quantity of domestic water borehole n ponds]]</f>
        <v>0</v>
      </c>
      <c r="BJ207" s="209">
        <f>WWWW[[#This Row],[%equitable and continuous access to sufficient quantity of safe drinking and domestic water''s GAP]]*WWWW[[#This Row],[Total PoP ]]</f>
        <v>0</v>
      </c>
      <c r="BK207" s="210">
        <f>IF(WWWW[[#This Row],[Total required water points]]-WWWW[[#This Row],['#Water points coverage]]&lt;0,0,WWWW[[#This Row],[Total required water points]]-WWWW[[#This Row],['#Water points coverage]])</f>
        <v>1</v>
      </c>
      <c r="BL207" s="210">
        <f>ROUND(IF(WWWW[[#This Row],[Total PoP ]]&lt;500,1,WWWW[[#This Row],[Total PoP ]]/500),0)</f>
        <v>1</v>
      </c>
      <c r="BM207" s="210">
        <f>WWWW[[#This Row],['# Existing functional latrines]]+WWWW[[#This Row],['# Existing latrines dysfunctional]]</f>
        <v>1</v>
      </c>
      <c r="BN20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6.8181818181818177E-2</v>
      </c>
      <c r="BO207" s="352">
        <f>WWWW[[#This Row],[% people access to functioning Latrine]]*WWWW[[#This Row],[Total PoP ]]</f>
        <v>6</v>
      </c>
      <c r="BP20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0.95454545454545459</v>
      </c>
      <c r="BQ207" s="209">
        <f>IF(WWWW[[#This Row],[Total required Latrines]]-WWWW[[#This Row],[Total '# of latrine]]&lt;0,0,WWWW[[#This Row],[Total required Latrines]]-WWWW[[#This Row],[Total '# of latrine]])</f>
        <v>14</v>
      </c>
      <c r="BR207" s="210">
        <f>ROUND(IF(WWWW[[#This Row],[Location Type 1]]="camp",WWWW[[#This Row],[Total PoP ]]/20,WWWW[[#This Row],[Total PoP ]]/6),0)</f>
        <v>15</v>
      </c>
      <c r="BS207" s="212">
        <f>IF(OR(WWWW[[#This Row],['# Existing latrines dysfunctional]]="",WWWW[[#This Row],['# Existing latrines dysfunctional]]=0),0,WWWW[[#This Row],['# Existing latrines dysfunctional]]/WWWW[[#This Row],[Total '# of latrine]])</f>
        <v>0</v>
      </c>
      <c r="BT20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7" s="209">
        <f>IF(500*WWWW[[#This Row],['# Hygiene Promoters ]]&gt;WWWW[[#This Row],[Total PoP ]],WWWW[[#This Row],[Total PoP ]],500*WWWW[[#This Row],['# Hygiene Promoters ]])</f>
        <v>88</v>
      </c>
      <c r="BV207" s="209">
        <f>IF(WWWW[[#This Row],[% of HH with access to Sanitary Pad]]&gt;=100%,1,0)</f>
        <v>0</v>
      </c>
      <c r="BW207" s="209">
        <f>IF(WWWW[[#This Row],[Total PoP ]]=0,0,IF(WWWW[[#This Row],['# Hygiene Promoters ]]=0,0,IF(WWWW[[#This Row],[Location Type 1]]="Village",IF(WWWW[[#This Row],[Total PoP ]]/WWWW[[#This Row],['# Hygiene Promoters ]]&lt;1000,1,0),IF(WWWW[[#This Row],[Total PoP ]]/WWWW[[#This Row],['# Hygiene Promoters ]]&lt;600,1,0))))</f>
        <v>1</v>
      </c>
      <c r="BX207" s="209">
        <f>IF(WWWW[[#This Row],[%HH with access to soap]]&gt;=100%,1,0)</f>
        <v>0</v>
      </c>
      <c r="BY207" s="209">
        <f>IF(WWWW[[#This Row],[% of HHs with access to Sanitary pad more than '#%]]+WWWW[[#This Row],[Ratio of Hyiene promoters to people less than '#]]+WWWW[[#This Row],[% of HHs with access to soap more than '#%]]&gt;=2,WWWW[[#This Row],[Total PoP ]],0)</f>
        <v>0</v>
      </c>
      <c r="BZ207" s="208">
        <f>WWWW[[#This Row],[People adopt basic personal and community hygiene practices]]/WWWW[[#This Row],[Total PoP ]]</f>
        <v>0</v>
      </c>
      <c r="CA207" s="212">
        <f>1-WWWW[[#This Row],[Hygiene Coverage%]]</f>
        <v>1</v>
      </c>
      <c r="CB207" s="211">
        <f>WWWW[[#This Row],['# people reached by regular dedicated hygiene promotion_5]]/WWWW[[#This Row],[Total PoP ]]</f>
        <v>1</v>
      </c>
      <c r="CC207" s="211">
        <f>IF(WWWW[[#This Row],['# HH received soaps]]/WWWW[[#This Row],[Total HH]]&gt;1,1,WWWW[[#This Row],['# HH received soaps]]/WWWW[[#This Row],[Total HH]])</f>
        <v>0</v>
      </c>
      <c r="CD207" s="211">
        <f>IF(WWWW[[#This Row],['# HH received Sanitary Pads]]/WWWW[[#This Row],[Total HH]]&gt;1,1,WWWW[[#This Row],['# HH received Sanitary Pads]]/WWWW[[#This Row],[Total HH]])</f>
        <v>0</v>
      </c>
      <c r="CE207" s="210">
        <f>WWWW[[#This Row],['# HH received soaps]]*5</f>
        <v>0</v>
      </c>
      <c r="CF207" s="210">
        <f>WWWW[[#This Row],['# HH received Sanitary Pads]]*5</f>
        <v>0</v>
      </c>
      <c r="CG207" s="210">
        <f>IF(WWWW[[#This Row],['# People with access to soap]]&gt;WWWW[[#This Row],['# People with access to Sanity Pads]],WWWW[[#This Row],['# People with access to soap]],WWWW[[#This Row],['# People with access to Sanity Pads]])</f>
        <v>0</v>
      </c>
      <c r="CH207" s="209">
        <f>WWWW[[#This Row],[Total HH]]*WWWW[[#This Row],[%HHs with access to functional hand washing stations]]</f>
        <v>0</v>
      </c>
      <c r="CI207" s="699">
        <f>VLOOKUP(WWWW[[#This Row],[Site Name]],SiteDB6[[Site Name]:[CCCM Management]],6,FALSE)</f>
        <v>0</v>
      </c>
      <c r="CJ207" s="699">
        <f>VLOOKUP(WWWW[[#This Row],[Site Name]],SiteDB6[[Site Name]:[CCCM Focal Agency]],7,FALSE)</f>
        <v>0</v>
      </c>
      <c r="CK207" s="699" t="str">
        <f>VLOOKUP(WWWW[[#This Row],[Site Name]],SiteDB6[[Site Name]:[Location Type]],8,FALSE)</f>
        <v>Village</v>
      </c>
      <c r="CL207" s="699" t="str">
        <f>VLOOKUP(WWWW[[#This Row],[Site Name]],SiteDB6[[Site Name]:[Location Type 1]],9,FALSE)</f>
        <v>Village</v>
      </c>
      <c r="CM207" s="699" t="str">
        <f>VLOOKUP(WWWW[[#This Row],[Site Name]],SiteDB6[[Site Name]:[Type of Accommodation]],10,FALSE)</f>
        <v>Village</v>
      </c>
      <c r="CN207" s="699" t="str">
        <f>VLOOKUP(WWWW[[#This Row],[Site Name]],SiteDB6[[Site Name]:[Ethnic or GCA/NGCA]],11,FALSE)</f>
        <v>Rakhine</v>
      </c>
      <c r="CO207" s="699">
        <f>VLOOKUP(WWWW[[#This Row],[Site Name]],SiteDB6[[Site Name]:[Lat]],12,FALSE)</f>
        <v>21.025630950927699</v>
      </c>
      <c r="CP207" s="699">
        <f>VLOOKUP(WWWW[[#This Row],[Site Name]],SiteDB6[[Site Name]:[Long]],13,FALSE)</f>
        <v>92.524818420410199</v>
      </c>
      <c r="CQ207" s="699">
        <f>VLOOKUP(WWWW[[#This Row],[Site Name]],SiteDB6[[Site Name]:[Pcode]],3,FALSE)</f>
        <v>198196</v>
      </c>
      <c r="CR207" s="660" t="str">
        <f t="shared" si="3"/>
        <v>Covered</v>
      </c>
      <c r="CS207" s="660"/>
      <c r="CT207" s="24"/>
      <c r="CU207" s="24"/>
      <c r="CV207" s="24"/>
    </row>
    <row r="208" spans="1:100" ht="16.5" customHeight="1" thickBot="1" x14ac:dyDescent="0.3">
      <c r="A208" s="833" t="s">
        <v>3206</v>
      </c>
      <c r="B208" s="206" t="s">
        <v>530</v>
      </c>
      <c r="C208" s="206" t="s">
        <v>454</v>
      </c>
      <c r="D208" s="206" t="s">
        <v>480</v>
      </c>
      <c r="E208" s="206" t="s">
        <v>2511</v>
      </c>
      <c r="F208" s="206">
        <v>95</v>
      </c>
      <c r="G208" s="398">
        <v>370</v>
      </c>
      <c r="H208" s="206"/>
      <c r="I208" s="206" t="s">
        <v>388</v>
      </c>
      <c r="J208" s="207">
        <v>43343</v>
      </c>
      <c r="K208" s="206">
        <v>0</v>
      </c>
      <c r="L208" s="206"/>
      <c r="M208" s="208"/>
      <c r="N208" s="208"/>
      <c r="O208" s="316">
        <v>0</v>
      </c>
      <c r="P208" s="317">
        <v>0</v>
      </c>
      <c r="Q208" s="317">
        <v>0</v>
      </c>
      <c r="R208" s="318">
        <v>0</v>
      </c>
      <c r="S208" s="318">
        <v>1</v>
      </c>
      <c r="T208" s="318"/>
      <c r="U208" s="318"/>
      <c r="V208" s="318"/>
      <c r="W208" s="318"/>
      <c r="X208" s="318"/>
      <c r="Y208" s="318"/>
      <c r="Z208" s="318"/>
      <c r="AA208" s="310"/>
      <c r="AB208" s="310"/>
      <c r="AC208" s="66"/>
      <c r="AD208" s="66"/>
      <c r="AE208" s="310">
        <v>3</v>
      </c>
      <c r="AF208" s="310" t="s">
        <v>332</v>
      </c>
      <c r="AG208" s="311" t="s">
        <v>332</v>
      </c>
      <c r="AH208" s="311"/>
      <c r="AI208" s="310"/>
      <c r="AJ208" s="310" t="s">
        <v>2462</v>
      </c>
      <c r="AK208" s="841">
        <v>0</v>
      </c>
      <c r="AL208" s="842" t="s">
        <v>284</v>
      </c>
      <c r="AM208" s="842">
        <v>0</v>
      </c>
      <c r="AN208" s="863">
        <v>0</v>
      </c>
      <c r="AO208" s="863">
        <v>7</v>
      </c>
      <c r="AP208" s="843">
        <v>95</v>
      </c>
      <c r="AQ208" s="843">
        <v>95</v>
      </c>
      <c r="AR208" s="843"/>
      <c r="AS208" s="843"/>
      <c r="AT208" s="843"/>
      <c r="AU208" s="843"/>
      <c r="AV208" s="844"/>
      <c r="AW208" s="208" t="str">
        <f>IFERROR(WWWW[[#This Row],['# of Water passed at source]]/WWWW[[#This Row],['# of Water tested at source]],"no test")</f>
        <v>no test</v>
      </c>
      <c r="AX208" s="211" t="str">
        <f>IFERROR(WWWW[[#This Row],['# of Water passed at HH]]/WWWW[[#This Row],['# of Water tested at HH]],"no test")</f>
        <v>no test</v>
      </c>
      <c r="AY208" s="210" t="str">
        <f>IF(AND(WWWW[[#This Row],[%of Water samples which passed at water source]]="no test",WWWW[[#This Row],[%Water samples which passed at HH]]="no test"),"No Test","Tested")</f>
        <v>No Test</v>
      </c>
      <c r="AZ20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0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08" s="211">
        <f>IF(WWWW[[#This Row],[Location Type 1]]="Village",WWWW[[#This Row],[Access to safe drinking water for Village]],WWWW[[#This Row],[Access to safe drinking water for Camp]])</f>
        <v>0</v>
      </c>
      <c r="BC208" s="209">
        <f>WWWW[[#This Row],[%Equitable and continuous access to sufficient quantity of safe drinking water]]*WWWW[[#This Row],[Total PoP ]]</f>
        <v>0</v>
      </c>
      <c r="BD208" s="211">
        <f>IF((WWWW[[#This Row],['# Existing protected/fenced ponds ]]*250)/WWWW[[#This Row],[Total PoP ]]&gt;1,1,WWWW[[#This Row],['# Existing protected/fenced ponds ]]*250/WWWW[[#This Row],[Total PoP ]])</f>
        <v>0</v>
      </c>
      <c r="BE208" s="209">
        <f>WWWW[[#This Row],[Access to unimproved water points]]*WWWW[[#This Row],[Total PoP ]]</f>
        <v>0</v>
      </c>
      <c r="BF20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0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08" s="209">
        <f>ROUND(WWWW[[#This Row],['#people Equitable and continuous access to sufficient quantity of domestic water borehole n ponds_2]]/500,0)</f>
        <v>0</v>
      </c>
      <c r="BI208" s="208">
        <f>1-WWWW[[#This Row],[%Equitable and continuous access to sufficient quantity of domestic water borehole n ponds]]</f>
        <v>1</v>
      </c>
      <c r="BJ208" s="209">
        <f>WWWW[[#This Row],[%equitable and continuous access to sufficient quantity of safe drinking and domestic water''s GAP]]*WWWW[[#This Row],[Total PoP ]]</f>
        <v>370</v>
      </c>
      <c r="BK208" s="210">
        <f>IF(WWWW[[#This Row],[Total required water points]]-WWWW[[#This Row],['#Water points coverage]]&lt;0,0,WWWW[[#This Row],[Total required water points]]-WWWW[[#This Row],['#Water points coverage]])</f>
        <v>1</v>
      </c>
      <c r="BL208" s="210">
        <f>ROUND(IF(WWWW[[#This Row],[Total PoP ]]&lt;500,1,WWWW[[#This Row],[Total PoP ]]/500),0)</f>
        <v>1</v>
      </c>
      <c r="BM208" s="210">
        <f>WWWW[[#This Row],['# Existing functional latrines]]+WWWW[[#This Row],['# Existing latrines dysfunctional]]</f>
        <v>0</v>
      </c>
      <c r="BN20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08" s="352">
        <f>WWWW[[#This Row],[% people access to functioning Latrine]]*WWWW[[#This Row],[Total PoP ]]</f>
        <v>0</v>
      </c>
      <c r="BP20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08" s="209">
        <f>IF(WWWW[[#This Row],[Total required Latrines]]-WWWW[[#This Row],[Total '# of latrine]]&lt;0,0,WWWW[[#This Row],[Total required Latrines]]-WWWW[[#This Row],[Total '# of latrine]])</f>
        <v>62</v>
      </c>
      <c r="BR208" s="210">
        <f>ROUND(IF(WWWW[[#This Row],[Location Type 1]]="camp",WWWW[[#This Row],[Total PoP ]]/20,WWWW[[#This Row],[Total PoP ]]/6),0)</f>
        <v>62</v>
      </c>
      <c r="BS208" s="212">
        <f>IF(OR(WWWW[[#This Row],['# Existing latrines dysfunctional]]="",WWWW[[#This Row],['# Existing latrines dysfunctional]]=0),0,WWWW[[#This Row],['# Existing latrines dysfunctional]]/WWWW[[#This Row],[Total '# of latrine]])</f>
        <v>0</v>
      </c>
      <c r="BT20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8" s="209">
        <f>IF(500*WWWW[[#This Row],['# Hygiene Promoters ]]&gt;WWWW[[#This Row],[Total PoP ]],WWWW[[#This Row],[Total PoP ]],500*WWWW[[#This Row],['# Hygiene Promoters ]])</f>
        <v>370</v>
      </c>
      <c r="BV208" s="209">
        <f>IF(WWWW[[#This Row],[% of HH with access to Sanitary Pad]]&gt;=100%,1,0)</f>
        <v>1</v>
      </c>
      <c r="BW208" s="209">
        <f>IF(WWWW[[#This Row],[Total PoP ]]=0,0,IF(WWWW[[#This Row],['# Hygiene Promoters ]]=0,0,IF(WWWW[[#This Row],[Location Type 1]]="Village",IF(WWWW[[#This Row],[Total PoP ]]/WWWW[[#This Row],['# Hygiene Promoters ]]&lt;1000,1,0),IF(WWWW[[#This Row],[Total PoP ]]/WWWW[[#This Row],['# Hygiene Promoters ]]&lt;600,1,0))))</f>
        <v>1</v>
      </c>
      <c r="BX208" s="209">
        <f>IF(WWWW[[#This Row],[%HH with access to soap]]&gt;=100%,1,0)</f>
        <v>1</v>
      </c>
      <c r="BY208" s="209">
        <f>IF(WWWW[[#This Row],[% of HHs with access to Sanitary pad more than '#%]]+WWWW[[#This Row],[Ratio of Hyiene promoters to people less than '#]]+WWWW[[#This Row],[% of HHs with access to soap more than '#%]]&gt;=2,WWWW[[#This Row],[Total PoP ]],0)</f>
        <v>370</v>
      </c>
      <c r="BZ208" s="208">
        <f>WWWW[[#This Row],[People adopt basic personal and community hygiene practices]]/WWWW[[#This Row],[Total PoP ]]</f>
        <v>1</v>
      </c>
      <c r="CA208" s="212">
        <f>1-WWWW[[#This Row],[Hygiene Coverage%]]</f>
        <v>0</v>
      </c>
      <c r="CB208" s="211">
        <f>WWWW[[#This Row],['# people reached by regular dedicated hygiene promotion_5]]/WWWW[[#This Row],[Total PoP ]]</f>
        <v>1</v>
      </c>
      <c r="CC208" s="211">
        <f>IF(WWWW[[#This Row],['# HH received soaps]]/WWWW[[#This Row],[Total HH]]&gt;1,1,WWWW[[#This Row],['# HH received soaps]]/WWWW[[#This Row],[Total HH]])</f>
        <v>1</v>
      </c>
      <c r="CD208" s="211">
        <f>IF(WWWW[[#This Row],['# HH received Sanitary Pads]]/WWWW[[#This Row],[Total HH]]&gt;1,1,WWWW[[#This Row],['# HH received Sanitary Pads]]/WWWW[[#This Row],[Total HH]])</f>
        <v>1</v>
      </c>
      <c r="CE208" s="210">
        <f>WWWW[[#This Row],['# HH received soaps]]*5</f>
        <v>475</v>
      </c>
      <c r="CF208" s="210">
        <f>WWWW[[#This Row],['# HH received Sanitary Pads]]*5</f>
        <v>475</v>
      </c>
      <c r="CG208" s="210">
        <f>IF(WWWW[[#This Row],['# People with access to soap]]&gt;WWWW[[#This Row],['# People with access to Sanity Pads]],WWWW[[#This Row],['# People with access to soap]],WWWW[[#This Row],['# People with access to Sanity Pads]])</f>
        <v>475</v>
      </c>
      <c r="CH208" s="209">
        <f>WWWW[[#This Row],[Total HH]]*WWWW[[#This Row],[%HHs with access to functional hand washing stations]]</f>
        <v>0</v>
      </c>
      <c r="CI208" s="699">
        <f>VLOOKUP(WWWW[[#This Row],[Site Name]],SiteDB6[[Site Name]:[CCCM Management]],6,FALSE)</f>
        <v>0</v>
      </c>
      <c r="CJ208" s="699">
        <f>VLOOKUP(WWWW[[#This Row],[Site Name]],SiteDB6[[Site Name]:[CCCM Focal Agency]],7,FALSE)</f>
        <v>0</v>
      </c>
      <c r="CK208" s="699" t="str">
        <f>VLOOKUP(WWWW[[#This Row],[Site Name]],SiteDB6[[Site Name]:[Location Type]],8,FALSE)</f>
        <v>Village</v>
      </c>
      <c r="CL208" s="699" t="str">
        <f>VLOOKUP(WWWW[[#This Row],[Site Name]],SiteDB6[[Site Name]:[Location Type 1]],9,FALSE)</f>
        <v>Village</v>
      </c>
      <c r="CM208" s="699" t="str">
        <f>VLOOKUP(WWWW[[#This Row],[Site Name]],SiteDB6[[Site Name]:[Type of Accommodation]],10,FALSE)</f>
        <v>Village</v>
      </c>
      <c r="CN208" s="699" t="str">
        <f>VLOOKUP(WWWW[[#This Row],[Site Name]],SiteDB6[[Site Name]:[Ethnic or GCA/NGCA]],11,FALSE)</f>
        <v>Daing Net</v>
      </c>
      <c r="CO208" s="699">
        <f>VLOOKUP(WWWW[[#This Row],[Site Name]],SiteDB6[[Site Name]:[Lat]],12,FALSE)</f>
        <v>20.936040878295898</v>
      </c>
      <c r="CP208" s="699">
        <f>VLOOKUP(WWWW[[#This Row],[Site Name]],SiteDB6[[Site Name]:[Long]],13,FALSE)</f>
        <v>92.475830078125</v>
      </c>
      <c r="CQ208" s="699">
        <f>VLOOKUP(WWWW[[#This Row],[Site Name]],SiteDB6[[Site Name]:[Pcode]],3,FALSE)</f>
        <v>198177</v>
      </c>
      <c r="CR208" s="660" t="str">
        <f t="shared" si="3"/>
        <v>Covered</v>
      </c>
      <c r="CS208" s="660"/>
      <c r="CT208" s="24"/>
      <c r="CU208" s="24"/>
      <c r="CV208" s="24"/>
    </row>
    <row r="209" spans="1:100" ht="16.5" customHeight="1" thickBot="1" x14ac:dyDescent="0.3">
      <c r="A209" s="833" t="s">
        <v>3206</v>
      </c>
      <c r="B209" s="206" t="s">
        <v>460</v>
      </c>
      <c r="C209" s="206" t="s">
        <v>454</v>
      </c>
      <c r="D209" s="206" t="s">
        <v>480</v>
      </c>
      <c r="E209" s="206" t="s">
        <v>825</v>
      </c>
      <c r="F209" s="206">
        <v>360</v>
      </c>
      <c r="G209" s="398">
        <v>1544</v>
      </c>
      <c r="H209" s="206"/>
      <c r="I209" s="206"/>
      <c r="J209" s="207"/>
      <c r="K209" s="206">
        <v>0</v>
      </c>
      <c r="L209" s="206"/>
      <c r="M209" s="208"/>
      <c r="N209" s="208"/>
      <c r="O209" s="316">
        <v>0</v>
      </c>
      <c r="P209" s="317">
        <v>3</v>
      </c>
      <c r="Q209" s="317">
        <v>0</v>
      </c>
      <c r="R209" s="318">
        <v>2</v>
      </c>
      <c r="S209" s="318">
        <v>0</v>
      </c>
      <c r="T209" s="318"/>
      <c r="U209" s="318"/>
      <c r="V209" s="318"/>
      <c r="W209" s="318"/>
      <c r="X209" s="318"/>
      <c r="Y209" s="318"/>
      <c r="Z209" s="318"/>
      <c r="AA209" s="310">
        <v>0</v>
      </c>
      <c r="AB209" s="310">
        <v>0</v>
      </c>
      <c r="AC209" s="66"/>
      <c r="AD209" s="66"/>
      <c r="AE209" s="310">
        <v>0</v>
      </c>
      <c r="AF209" s="310" t="s">
        <v>332</v>
      </c>
      <c r="AG209" s="311" t="s">
        <v>332</v>
      </c>
      <c r="AH209" s="311"/>
      <c r="AI209" s="310"/>
      <c r="AJ209" s="310" t="s">
        <v>2462</v>
      </c>
      <c r="AK209" s="841">
        <v>0</v>
      </c>
      <c r="AL209" s="842" t="s">
        <v>284</v>
      </c>
      <c r="AM209" s="842">
        <v>0</v>
      </c>
      <c r="AN209" s="863">
        <v>0</v>
      </c>
      <c r="AO209" s="863">
        <v>7</v>
      </c>
      <c r="AP209" s="843"/>
      <c r="AQ209" s="843"/>
      <c r="AR209" s="843"/>
      <c r="AS209" s="843"/>
      <c r="AT209" s="843"/>
      <c r="AU209" s="843"/>
      <c r="AV209" s="844"/>
      <c r="AW209" s="208" t="str">
        <f>IFERROR(WWWW[[#This Row],['# of Water passed at source]]/WWWW[[#This Row],['# of Water tested at source]],"no test")</f>
        <v>no test</v>
      </c>
      <c r="AX209" s="211" t="str">
        <f>IFERROR(WWWW[[#This Row],['# of Water passed at HH]]/WWWW[[#This Row],['# of Water tested at HH]],"no test")</f>
        <v>no test</v>
      </c>
      <c r="AY209" s="210" t="str">
        <f>IF(AND(WWWW[[#This Row],[%of Water samples which passed at water source]]="no test",WWWW[[#This Row],[%Water samples which passed at HH]]="no test"),"No Test","Tested")</f>
        <v>No Test</v>
      </c>
      <c r="AZ20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0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0.48575129533678757</v>
      </c>
      <c r="BB209" s="211">
        <f>IF(WWWW[[#This Row],[Location Type 1]]="Village",WWWW[[#This Row],[Access to safe drinking water for Village]],WWWW[[#This Row],[Access to safe drinking water for Camp]])</f>
        <v>0.48575129533678757</v>
      </c>
      <c r="BC209" s="209">
        <f>WWWW[[#This Row],[%Equitable and continuous access to sufficient quantity of safe drinking water]]*WWWW[[#This Row],[Total PoP ]]</f>
        <v>750</v>
      </c>
      <c r="BD209" s="211">
        <f>IF((WWWW[[#This Row],['# Existing protected/fenced ponds ]]*250)/WWWW[[#This Row],[Total PoP ]]&gt;1,1,WWWW[[#This Row],['# Existing protected/fenced ponds ]]*250/WWWW[[#This Row],[Total PoP ]])</f>
        <v>0.32383419689119169</v>
      </c>
      <c r="BE209" s="209">
        <f>WWWW[[#This Row],[Access to unimproved water points]]*WWWW[[#This Row],[Total PoP ]]</f>
        <v>500</v>
      </c>
      <c r="BF20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0.80958549222797926</v>
      </c>
      <c r="BG20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1250</v>
      </c>
      <c r="BH209" s="209">
        <f>ROUND(WWWW[[#This Row],['#people Equitable and continuous access to sufficient quantity of domestic water borehole n ponds_2]]/500,0)</f>
        <v>3</v>
      </c>
      <c r="BI209" s="208">
        <f>1-WWWW[[#This Row],[%Equitable and continuous access to sufficient quantity of domestic water borehole n ponds]]</f>
        <v>0.19041450777202074</v>
      </c>
      <c r="BJ209" s="209">
        <f>WWWW[[#This Row],[%equitable and continuous access to sufficient quantity of safe drinking and domestic water''s GAP]]*WWWW[[#This Row],[Total PoP ]]</f>
        <v>294</v>
      </c>
      <c r="BK209" s="210">
        <f>IF(WWWW[[#This Row],[Total required water points]]-WWWW[[#This Row],['#Water points coverage]]&lt;0,0,WWWW[[#This Row],[Total required water points]]-WWWW[[#This Row],['#Water points coverage]])</f>
        <v>0</v>
      </c>
      <c r="BL209" s="210">
        <f>ROUND(IF(WWWW[[#This Row],[Total PoP ]]&lt;500,1,WWWW[[#This Row],[Total PoP ]]/500),0)</f>
        <v>3</v>
      </c>
      <c r="BM209" s="210">
        <f>WWWW[[#This Row],['# Existing functional latrines]]+WWWW[[#This Row],['# Existing latrines dysfunctional]]</f>
        <v>0</v>
      </c>
      <c r="BN20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09" s="352">
        <f>WWWW[[#This Row],[% people access to functioning Latrine]]*WWWW[[#This Row],[Total PoP ]]</f>
        <v>0</v>
      </c>
      <c r="BP20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0.99870466321243534</v>
      </c>
      <c r="BQ209" s="209">
        <f>IF(WWWW[[#This Row],[Total required Latrines]]-WWWW[[#This Row],[Total '# of latrine]]&lt;0,0,WWWW[[#This Row],[Total required Latrines]]-WWWW[[#This Row],[Total '# of latrine]])</f>
        <v>257</v>
      </c>
      <c r="BR209" s="210">
        <f>ROUND(IF(WWWW[[#This Row],[Location Type 1]]="camp",WWWW[[#This Row],[Total PoP ]]/20,WWWW[[#This Row],[Total PoP ]]/6),0)</f>
        <v>257</v>
      </c>
      <c r="BS209" s="212">
        <f>IF(OR(WWWW[[#This Row],['# Existing latrines dysfunctional]]="",WWWW[[#This Row],['# Existing latrines dysfunctional]]=0),0,WWWW[[#This Row],['# Existing latrines dysfunctional]]/WWWW[[#This Row],[Total '# of latrine]])</f>
        <v>0</v>
      </c>
      <c r="BT20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09" s="209">
        <f>IF(500*WWWW[[#This Row],['# Hygiene Promoters ]]&gt;WWWW[[#This Row],[Total PoP ]],WWWW[[#This Row],[Total PoP ]],500*WWWW[[#This Row],['# Hygiene Promoters ]])</f>
        <v>1544</v>
      </c>
      <c r="BV209" s="209">
        <f>IF(WWWW[[#This Row],[% of HH with access to Sanitary Pad]]&gt;=100%,1,0)</f>
        <v>0</v>
      </c>
      <c r="BW209" s="209">
        <f>IF(WWWW[[#This Row],[Total PoP ]]=0,0,IF(WWWW[[#This Row],['# Hygiene Promoters ]]=0,0,IF(WWWW[[#This Row],[Location Type 1]]="Village",IF(WWWW[[#This Row],[Total PoP ]]/WWWW[[#This Row],['# Hygiene Promoters ]]&lt;1000,1,0),IF(WWWW[[#This Row],[Total PoP ]]/WWWW[[#This Row],['# Hygiene Promoters ]]&lt;600,1,0))))</f>
        <v>1</v>
      </c>
      <c r="BX209" s="209">
        <f>IF(WWWW[[#This Row],[%HH with access to soap]]&gt;=100%,1,0)</f>
        <v>0</v>
      </c>
      <c r="BY209" s="209">
        <f>IF(WWWW[[#This Row],[% of HHs with access to Sanitary pad more than '#%]]+WWWW[[#This Row],[Ratio of Hyiene promoters to people less than '#]]+WWWW[[#This Row],[% of HHs with access to soap more than '#%]]&gt;=2,WWWW[[#This Row],[Total PoP ]],0)</f>
        <v>0</v>
      </c>
      <c r="BZ209" s="208">
        <f>WWWW[[#This Row],[People adopt basic personal and community hygiene practices]]/WWWW[[#This Row],[Total PoP ]]</f>
        <v>0</v>
      </c>
      <c r="CA209" s="212">
        <f>1-WWWW[[#This Row],[Hygiene Coverage%]]</f>
        <v>1</v>
      </c>
      <c r="CB209" s="211">
        <f>WWWW[[#This Row],['# people reached by regular dedicated hygiene promotion_5]]/WWWW[[#This Row],[Total PoP ]]</f>
        <v>1</v>
      </c>
      <c r="CC209" s="211">
        <f>IF(WWWW[[#This Row],['# HH received soaps]]/WWWW[[#This Row],[Total HH]]&gt;1,1,WWWW[[#This Row],['# HH received soaps]]/WWWW[[#This Row],[Total HH]])</f>
        <v>0</v>
      </c>
      <c r="CD209" s="211">
        <f>IF(WWWW[[#This Row],['# HH received Sanitary Pads]]/WWWW[[#This Row],[Total HH]]&gt;1,1,WWWW[[#This Row],['# HH received Sanitary Pads]]/WWWW[[#This Row],[Total HH]])</f>
        <v>0</v>
      </c>
      <c r="CE209" s="210">
        <f>WWWW[[#This Row],['# HH received soaps]]*5</f>
        <v>0</v>
      </c>
      <c r="CF209" s="210">
        <f>WWWW[[#This Row],['# HH received Sanitary Pads]]*5</f>
        <v>0</v>
      </c>
      <c r="CG209" s="210">
        <f>IF(WWWW[[#This Row],['# People with access to soap]]&gt;WWWW[[#This Row],['# People with access to Sanity Pads]],WWWW[[#This Row],['# People with access to soap]],WWWW[[#This Row],['# People with access to Sanity Pads]])</f>
        <v>0</v>
      </c>
      <c r="CH209" s="209">
        <f>WWWW[[#This Row],[Total HH]]*WWWW[[#This Row],[%HHs with access to functional hand washing stations]]</f>
        <v>0</v>
      </c>
      <c r="CI209" s="699">
        <f>VLOOKUP(WWWW[[#This Row],[Site Name]],SiteDB6[[Site Name]:[CCCM Management]],6,FALSE)</f>
        <v>0</v>
      </c>
      <c r="CJ209" s="699">
        <f>VLOOKUP(WWWW[[#This Row],[Site Name]],SiteDB6[[Site Name]:[CCCM Focal Agency]],7,FALSE)</f>
        <v>0</v>
      </c>
      <c r="CK209" s="699" t="str">
        <f>VLOOKUP(WWWW[[#This Row],[Site Name]],SiteDB6[[Site Name]:[Location Type]],8,FALSE)</f>
        <v>Village</v>
      </c>
      <c r="CL209" s="699" t="str">
        <f>VLOOKUP(WWWW[[#This Row],[Site Name]],SiteDB6[[Site Name]:[Location Type 1]],9,FALSE)</f>
        <v>Village</v>
      </c>
      <c r="CM209" s="699" t="str">
        <f>VLOOKUP(WWWW[[#This Row],[Site Name]],SiteDB6[[Site Name]:[Type of Accommodation]],10,FALSE)</f>
        <v>Village</v>
      </c>
      <c r="CN209" s="699" t="str">
        <f>VLOOKUP(WWWW[[#This Row],[Site Name]],SiteDB6[[Site Name]:[Ethnic or GCA/NGCA]],11,FALSE)</f>
        <v>Rakhine</v>
      </c>
      <c r="CO209" s="699">
        <f>VLOOKUP(WWWW[[#This Row],[Site Name]],SiteDB6[[Site Name]:[Lat]],12,FALSE)</f>
        <v>20.926780700683601</v>
      </c>
      <c r="CP209" s="699">
        <f>VLOOKUP(WWWW[[#This Row],[Site Name]],SiteDB6[[Site Name]:[Long]],13,FALSE)</f>
        <v>92.5399169921875</v>
      </c>
      <c r="CQ209" s="699">
        <f>VLOOKUP(WWWW[[#This Row],[Site Name]],SiteDB6[[Site Name]:[Pcode]],3,FALSE)</f>
        <v>198234</v>
      </c>
      <c r="CR209" s="660" t="str">
        <f t="shared" si="3"/>
        <v>Notcovered</v>
      </c>
      <c r="CS209" s="660" t="s">
        <v>2797</v>
      </c>
      <c r="CT209" s="24"/>
      <c r="CU209" s="24"/>
      <c r="CV209" s="24"/>
    </row>
    <row r="210" spans="1:100" ht="16.5" customHeight="1" thickBot="1" x14ac:dyDescent="0.3">
      <c r="A210" s="833" t="s">
        <v>3206</v>
      </c>
      <c r="B210" s="206" t="s">
        <v>530</v>
      </c>
      <c r="C210" s="206" t="s">
        <v>454</v>
      </c>
      <c r="D210" s="206" t="s">
        <v>480</v>
      </c>
      <c r="E210" s="206" t="s">
        <v>757</v>
      </c>
      <c r="F210" s="206">
        <v>217</v>
      </c>
      <c r="G210" s="398">
        <v>1556</v>
      </c>
      <c r="H210" s="206"/>
      <c r="I210" s="206" t="s">
        <v>388</v>
      </c>
      <c r="J210" s="207">
        <v>43145</v>
      </c>
      <c r="K210" s="206">
        <v>0</v>
      </c>
      <c r="L210" s="206"/>
      <c r="M210" s="208"/>
      <c r="N210" s="208"/>
      <c r="O210" s="316">
        <v>0</v>
      </c>
      <c r="P210" s="317">
        <v>0</v>
      </c>
      <c r="Q210" s="317">
        <v>0</v>
      </c>
      <c r="R210" s="318">
        <v>3</v>
      </c>
      <c r="S210" s="318">
        <v>1</v>
      </c>
      <c r="T210" s="318"/>
      <c r="U210" s="318"/>
      <c r="V210" s="318"/>
      <c r="W210" s="318"/>
      <c r="X210" s="318"/>
      <c r="Y210" s="318"/>
      <c r="Z210" s="318"/>
      <c r="AA210" s="310">
        <v>15</v>
      </c>
      <c r="AB210" s="310">
        <v>0</v>
      </c>
      <c r="AC210" s="66"/>
      <c r="AD210" s="66"/>
      <c r="AE210" s="310">
        <v>15</v>
      </c>
      <c r="AF210" s="310" t="s">
        <v>332</v>
      </c>
      <c r="AG210" s="311" t="s">
        <v>332</v>
      </c>
      <c r="AH210" s="311"/>
      <c r="AI210" s="310"/>
      <c r="AJ210" s="310" t="s">
        <v>2462</v>
      </c>
      <c r="AK210" s="841">
        <v>0</v>
      </c>
      <c r="AL210" s="842" t="s">
        <v>284</v>
      </c>
      <c r="AM210" s="842">
        <v>0</v>
      </c>
      <c r="AN210" s="863">
        <v>0</v>
      </c>
      <c r="AO210" s="863">
        <v>7</v>
      </c>
      <c r="AP210" s="843">
        <v>217</v>
      </c>
      <c r="AQ210" s="843">
        <v>217</v>
      </c>
      <c r="AR210" s="843"/>
      <c r="AS210" s="843"/>
      <c r="AT210" s="843"/>
      <c r="AU210" s="843"/>
      <c r="AV210" s="844"/>
      <c r="AW210" s="208" t="str">
        <f>IFERROR(WWWW[[#This Row],['# of Water passed at source]]/WWWW[[#This Row],['# of Water tested at source]],"no test")</f>
        <v>no test</v>
      </c>
      <c r="AX210" s="211" t="str">
        <f>IFERROR(WWWW[[#This Row],['# of Water passed at HH]]/WWWW[[#This Row],['# of Water tested at HH]],"no test")</f>
        <v>no test</v>
      </c>
      <c r="AY210" s="210" t="str">
        <f>IF(AND(WWWW[[#This Row],[%of Water samples which passed at water source]]="no test",WWWW[[#This Row],[%Water samples which passed at HH]]="no test"),"No Test","Tested")</f>
        <v>No Test</v>
      </c>
      <c r="AZ21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1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10" s="211">
        <f>IF(WWWW[[#This Row],[Location Type 1]]="Village",WWWW[[#This Row],[Access to safe drinking water for Village]],WWWW[[#This Row],[Access to safe drinking water for Camp]])</f>
        <v>0</v>
      </c>
      <c r="BC210" s="209">
        <f>WWWW[[#This Row],[%Equitable and continuous access to sufficient quantity of safe drinking water]]*WWWW[[#This Row],[Total PoP ]]</f>
        <v>0</v>
      </c>
      <c r="BD210" s="211">
        <f>IF((WWWW[[#This Row],['# Existing protected/fenced ponds ]]*250)/WWWW[[#This Row],[Total PoP ]]&gt;1,1,WWWW[[#This Row],['# Existing protected/fenced ponds ]]*250/WWWW[[#This Row],[Total PoP ]])</f>
        <v>0.4820051413881748</v>
      </c>
      <c r="BE210" s="209">
        <f>WWWW[[#This Row],[Access to unimproved water points]]*WWWW[[#This Row],[Total PoP ]]</f>
        <v>750</v>
      </c>
      <c r="BF21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0.4820051413881748</v>
      </c>
      <c r="BG21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H210" s="209">
        <f>ROUND(WWWW[[#This Row],['#people Equitable and continuous access to sufficient quantity of domestic water borehole n ponds_2]]/500,0)</f>
        <v>2</v>
      </c>
      <c r="BI210" s="208">
        <f>1-WWWW[[#This Row],[%Equitable and continuous access to sufficient quantity of domestic water borehole n ponds]]</f>
        <v>0.51799485861182526</v>
      </c>
      <c r="BJ210" s="209">
        <f>WWWW[[#This Row],[%equitable and continuous access to sufficient quantity of safe drinking and domestic water''s GAP]]*WWWW[[#This Row],[Total PoP ]]</f>
        <v>806.00000000000011</v>
      </c>
      <c r="BK210" s="210">
        <f>IF(WWWW[[#This Row],[Total required water points]]-WWWW[[#This Row],['#Water points coverage]]&lt;0,0,WWWW[[#This Row],[Total required water points]]-WWWW[[#This Row],['#Water points coverage]])</f>
        <v>1</v>
      </c>
      <c r="BL210" s="210">
        <f>ROUND(IF(WWWW[[#This Row],[Total PoP ]]&lt;500,1,WWWW[[#This Row],[Total PoP ]]/500),0)</f>
        <v>3</v>
      </c>
      <c r="BM210" s="210">
        <f>WWWW[[#This Row],['# Existing functional latrines]]+WWWW[[#This Row],['# Existing latrines dysfunctional]]</f>
        <v>15</v>
      </c>
      <c r="BN21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5.7840616966580979E-2</v>
      </c>
      <c r="BO210" s="352">
        <f>WWWW[[#This Row],[% people access to functioning Latrine]]*WWWW[[#This Row],[Total PoP ]]</f>
        <v>90</v>
      </c>
      <c r="BP21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0.94087403598971731</v>
      </c>
      <c r="BQ210" s="209">
        <f>IF(WWWW[[#This Row],[Total required Latrines]]-WWWW[[#This Row],[Total '# of latrine]]&lt;0,0,WWWW[[#This Row],[Total required Latrines]]-WWWW[[#This Row],[Total '# of latrine]])</f>
        <v>244</v>
      </c>
      <c r="BR210" s="210">
        <f>ROUND(IF(WWWW[[#This Row],[Location Type 1]]="camp",WWWW[[#This Row],[Total PoP ]]/20,WWWW[[#This Row],[Total PoP ]]/6),0)</f>
        <v>259</v>
      </c>
      <c r="BS210" s="212">
        <f>IF(OR(WWWW[[#This Row],['# Existing latrines dysfunctional]]="",WWWW[[#This Row],['# Existing latrines dysfunctional]]=0),0,WWWW[[#This Row],['# Existing latrines dysfunctional]]/WWWW[[#This Row],[Total '# of latrine]])</f>
        <v>0</v>
      </c>
      <c r="BT21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10" s="209">
        <f>IF(500*WWWW[[#This Row],['# Hygiene Promoters ]]&gt;WWWW[[#This Row],[Total PoP ]],WWWW[[#This Row],[Total PoP ]],500*WWWW[[#This Row],['# Hygiene Promoters ]])</f>
        <v>1556</v>
      </c>
      <c r="BV210" s="209">
        <f>IF(WWWW[[#This Row],[% of HH with access to Sanitary Pad]]&gt;=100%,1,0)</f>
        <v>1</v>
      </c>
      <c r="BW210" s="209">
        <f>IF(WWWW[[#This Row],[Total PoP ]]=0,0,IF(WWWW[[#This Row],['# Hygiene Promoters ]]=0,0,IF(WWWW[[#This Row],[Location Type 1]]="Village",IF(WWWW[[#This Row],[Total PoP ]]/WWWW[[#This Row],['# Hygiene Promoters ]]&lt;1000,1,0),IF(WWWW[[#This Row],[Total PoP ]]/WWWW[[#This Row],['# Hygiene Promoters ]]&lt;600,1,0))))</f>
        <v>1</v>
      </c>
      <c r="BX210" s="209">
        <f>IF(WWWW[[#This Row],[%HH with access to soap]]&gt;=100%,1,0)</f>
        <v>1</v>
      </c>
      <c r="BY210" s="209">
        <f>IF(WWWW[[#This Row],[% of HHs with access to Sanitary pad more than '#%]]+WWWW[[#This Row],[Ratio of Hyiene promoters to people less than '#]]+WWWW[[#This Row],[% of HHs with access to soap more than '#%]]&gt;=2,WWWW[[#This Row],[Total PoP ]],0)</f>
        <v>1556</v>
      </c>
      <c r="BZ210" s="208">
        <f>WWWW[[#This Row],[People adopt basic personal and community hygiene practices]]/WWWW[[#This Row],[Total PoP ]]</f>
        <v>1</v>
      </c>
      <c r="CA210" s="212">
        <f>1-WWWW[[#This Row],[Hygiene Coverage%]]</f>
        <v>0</v>
      </c>
      <c r="CB210" s="211">
        <f>WWWW[[#This Row],['# people reached by regular dedicated hygiene promotion_5]]/WWWW[[#This Row],[Total PoP ]]</f>
        <v>1</v>
      </c>
      <c r="CC210" s="211">
        <f>IF(WWWW[[#This Row],['# HH received soaps]]/WWWW[[#This Row],[Total HH]]&gt;1,1,WWWW[[#This Row],['# HH received soaps]]/WWWW[[#This Row],[Total HH]])</f>
        <v>1</v>
      </c>
      <c r="CD210" s="211">
        <f>IF(WWWW[[#This Row],['# HH received Sanitary Pads]]/WWWW[[#This Row],[Total HH]]&gt;1,1,WWWW[[#This Row],['# HH received Sanitary Pads]]/WWWW[[#This Row],[Total HH]])</f>
        <v>1</v>
      </c>
      <c r="CE210" s="210">
        <f>WWWW[[#This Row],['# HH received soaps]]*5</f>
        <v>1085</v>
      </c>
      <c r="CF210" s="210">
        <f>WWWW[[#This Row],['# HH received Sanitary Pads]]*5</f>
        <v>1085</v>
      </c>
      <c r="CG210" s="210">
        <f>IF(WWWW[[#This Row],['# People with access to soap]]&gt;WWWW[[#This Row],['# People with access to Sanity Pads]],WWWW[[#This Row],['# People with access to soap]],WWWW[[#This Row],['# People with access to Sanity Pads]])</f>
        <v>1085</v>
      </c>
      <c r="CH210" s="209">
        <f>WWWW[[#This Row],[Total HH]]*WWWW[[#This Row],[%HHs with access to functional hand washing stations]]</f>
        <v>0</v>
      </c>
      <c r="CI210" s="699">
        <f>VLOOKUP(WWWW[[#This Row],[Site Name]],SiteDB6[[Site Name]:[CCCM Management]],6,FALSE)</f>
        <v>0</v>
      </c>
      <c r="CJ210" s="699">
        <f>VLOOKUP(WWWW[[#This Row],[Site Name]],SiteDB6[[Site Name]:[CCCM Focal Agency]],7,FALSE)</f>
        <v>0</v>
      </c>
      <c r="CK210" s="699" t="str">
        <f>VLOOKUP(WWWW[[#This Row],[Site Name]],SiteDB6[[Site Name]:[Location Type]],8,FALSE)</f>
        <v>Village</v>
      </c>
      <c r="CL210" s="699" t="str">
        <f>VLOOKUP(WWWW[[#This Row],[Site Name]],SiteDB6[[Site Name]:[Location Type 1]],9,FALSE)</f>
        <v>Village</v>
      </c>
      <c r="CM210" s="699" t="str">
        <f>VLOOKUP(WWWW[[#This Row],[Site Name]],SiteDB6[[Site Name]:[Type of Accommodation]],10,FALSE)</f>
        <v>Village</v>
      </c>
      <c r="CN210" s="699" t="str">
        <f>VLOOKUP(WWWW[[#This Row],[Site Name]],SiteDB6[[Site Name]:[Ethnic or GCA/NGCA]],11,FALSE)</f>
        <v>Rakhine</v>
      </c>
      <c r="CO210" s="699">
        <f>VLOOKUP(WWWW[[#This Row],[Site Name]],SiteDB6[[Site Name]:[Lat]],12,FALSE)</f>
        <v>20.782770156860401</v>
      </c>
      <c r="CP210" s="699">
        <f>VLOOKUP(WWWW[[#This Row],[Site Name]],SiteDB6[[Site Name]:[Long]],13,FALSE)</f>
        <v>92.551826477050795</v>
      </c>
      <c r="CQ210" s="699">
        <f>VLOOKUP(WWWW[[#This Row],[Site Name]],SiteDB6[[Site Name]:[Pcode]],3,FALSE)</f>
        <v>198388</v>
      </c>
      <c r="CR210" s="660" t="str">
        <f t="shared" si="3"/>
        <v>Covered</v>
      </c>
      <c r="CS210" s="660"/>
      <c r="CT210" s="24"/>
      <c r="CU210" s="24"/>
      <c r="CV210" s="24"/>
    </row>
    <row r="211" spans="1:100" ht="16.5" customHeight="1" thickBot="1" x14ac:dyDescent="0.3">
      <c r="A211" s="833" t="s">
        <v>3206</v>
      </c>
      <c r="B211" s="206" t="s">
        <v>460</v>
      </c>
      <c r="C211" s="206" t="s">
        <v>454</v>
      </c>
      <c r="D211" s="206" t="s">
        <v>518</v>
      </c>
      <c r="E211" s="206" t="s">
        <v>528</v>
      </c>
      <c r="F211" s="206">
        <v>65</v>
      </c>
      <c r="G211" s="398">
        <v>211</v>
      </c>
      <c r="H211" s="206"/>
      <c r="I211" s="206"/>
      <c r="J211" s="207"/>
      <c r="K211" s="206">
        <v>31</v>
      </c>
      <c r="L211" s="206" t="s">
        <v>48</v>
      </c>
      <c r="M211" s="208">
        <v>0.6</v>
      </c>
      <c r="N211" s="208">
        <v>0</v>
      </c>
      <c r="O211" s="323">
        <v>0</v>
      </c>
      <c r="P211" s="317">
        <v>0</v>
      </c>
      <c r="Q211" s="317">
        <v>15066</v>
      </c>
      <c r="R211" s="318">
        <v>0</v>
      </c>
      <c r="S211" s="318">
        <v>0</v>
      </c>
      <c r="T211" s="318"/>
      <c r="U211" s="318"/>
      <c r="V211" s="318"/>
      <c r="W211" s="318"/>
      <c r="X211" s="318"/>
      <c r="Y211" s="318"/>
      <c r="Z211" s="318"/>
      <c r="AA211" s="310">
        <v>65</v>
      </c>
      <c r="AB211" s="310">
        <v>65</v>
      </c>
      <c r="AC211" s="66"/>
      <c r="AD211" s="66"/>
      <c r="AE211" s="310">
        <v>65</v>
      </c>
      <c r="AF211" s="310" t="s">
        <v>1358</v>
      </c>
      <c r="AG211" s="311" t="s">
        <v>283</v>
      </c>
      <c r="AH211" s="311"/>
      <c r="AI211" s="310"/>
      <c r="AJ211" s="310" t="s">
        <v>2463</v>
      </c>
      <c r="AK211" s="841">
        <v>1</v>
      </c>
      <c r="AL211" s="842" t="s">
        <v>284</v>
      </c>
      <c r="AM211" s="842">
        <v>0</v>
      </c>
      <c r="AN211" s="863">
        <v>0</v>
      </c>
      <c r="AO211" s="863">
        <v>1</v>
      </c>
      <c r="AP211" s="843"/>
      <c r="AQ211" s="843"/>
      <c r="AR211" s="843"/>
      <c r="AS211" s="843"/>
      <c r="AT211" s="843"/>
      <c r="AU211" s="843"/>
      <c r="AV211" s="844" t="s">
        <v>2467</v>
      </c>
      <c r="AW211" s="208" t="str">
        <f>IFERROR(WWWW[[#This Row],['# of Water passed at source]]/WWWW[[#This Row],['# of Water tested at source]],"no test")</f>
        <v>no test</v>
      </c>
      <c r="AX211" s="211" t="str">
        <f>IFERROR(WWWW[[#This Row],['# of Water passed at HH]]/WWWW[[#This Row],['# of Water tested at HH]],"no test")</f>
        <v>no test</v>
      </c>
      <c r="AY211" s="210" t="str">
        <f>IF(AND(WWWW[[#This Row],[%of Water samples which passed at water source]]="no test",WWWW[[#This Row],[%Water samples which passed at HH]]="no test"),"No Test","Tested")</f>
        <v>No Test</v>
      </c>
      <c r="AZ21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1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11" s="211">
        <f>IF(WWWW[[#This Row],[Location Type 1]]="Village",WWWW[[#This Row],[Access to safe drinking water for Village]],WWWW[[#This Row],[Access to safe drinking water for Camp]])</f>
        <v>1</v>
      </c>
      <c r="BC211" s="209">
        <f>WWWW[[#This Row],[%Equitable and continuous access to sufficient quantity of safe drinking water]]*WWWW[[#This Row],[Total PoP ]]</f>
        <v>211</v>
      </c>
      <c r="BD211" s="211">
        <f>IF((WWWW[[#This Row],['# Existing protected/fenced ponds ]]*250)/WWWW[[#This Row],[Total PoP ]]&gt;1,1,WWWW[[#This Row],['# Existing protected/fenced ponds ]]*250/WWWW[[#This Row],[Total PoP ]])</f>
        <v>0</v>
      </c>
      <c r="BE211" s="209">
        <f>WWWW[[#This Row],[Access to unimproved water points]]*WWWW[[#This Row],[Total PoP ]]</f>
        <v>0</v>
      </c>
      <c r="BF21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1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211</v>
      </c>
      <c r="BH211" s="209">
        <f>ROUND(WWWW[[#This Row],['#people Equitable and continuous access to sufficient quantity of domestic water borehole n ponds_2]]/500,0)</f>
        <v>0</v>
      </c>
      <c r="BI211" s="208">
        <f>1-WWWW[[#This Row],[%Equitable and continuous access to sufficient quantity of domestic water borehole n ponds]]</f>
        <v>0</v>
      </c>
      <c r="BJ211" s="209">
        <f>WWWW[[#This Row],[%equitable and continuous access to sufficient quantity of safe drinking and domestic water''s GAP]]*WWWW[[#This Row],[Total PoP ]]</f>
        <v>0</v>
      </c>
      <c r="BK211" s="210">
        <f>IF(WWWW[[#This Row],[Total required water points]]-WWWW[[#This Row],['#Water points coverage]]&lt;0,0,WWWW[[#This Row],[Total required water points]]-WWWW[[#This Row],['#Water points coverage]])</f>
        <v>1</v>
      </c>
      <c r="BL211" s="210">
        <f>ROUND(IF(WWWW[[#This Row],[Total PoP ]]&lt;500,1,WWWW[[#This Row],[Total PoP ]]/500),0)</f>
        <v>1</v>
      </c>
      <c r="BM211" s="210">
        <f>WWWW[[#This Row],['# Existing functional latrines]]+WWWW[[#This Row],['# Existing latrines dysfunctional]]</f>
        <v>130</v>
      </c>
      <c r="BN21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11" s="352">
        <f>WWWW[[#This Row],[% people access to functioning Latrine]]*WWWW[[#This Row],[Total PoP ]]</f>
        <v>211</v>
      </c>
      <c r="BP21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11" s="209">
        <f>IF(WWWW[[#This Row],[Total required Latrines]]-WWWW[[#This Row],[Total '# of latrine]]&lt;0,0,WWWW[[#This Row],[Total required Latrines]]-WWWW[[#This Row],[Total '# of latrine]])</f>
        <v>0</v>
      </c>
      <c r="BR211" s="210">
        <f>ROUND(IF(WWWW[[#This Row],[Location Type 1]]="camp",WWWW[[#This Row],[Total PoP ]]/20,WWWW[[#This Row],[Total PoP ]]/6),0)</f>
        <v>35</v>
      </c>
      <c r="BS211" s="212">
        <f>IF(OR(WWWW[[#This Row],['# Existing latrines dysfunctional]]="",WWWW[[#This Row],['# Existing latrines dysfunctional]]=0),0,WWWW[[#This Row],['# Existing latrines dysfunctional]]/WWWW[[#This Row],[Total '# of latrine]])</f>
        <v>0.5</v>
      </c>
      <c r="BT21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11" s="209">
        <f>IF(500*WWWW[[#This Row],['# Hygiene Promoters ]]&gt;WWWW[[#This Row],[Total PoP ]],WWWW[[#This Row],[Total PoP ]],500*WWWW[[#This Row],['# Hygiene Promoters ]])</f>
        <v>211</v>
      </c>
      <c r="BV211" s="209">
        <f>IF(WWWW[[#This Row],[% of HH with access to Sanitary Pad]]&gt;=100%,1,0)</f>
        <v>0</v>
      </c>
      <c r="BW211" s="209">
        <f>IF(WWWW[[#This Row],[Total PoP ]]=0,0,IF(WWWW[[#This Row],['# Hygiene Promoters ]]=0,0,IF(WWWW[[#This Row],[Location Type 1]]="Village",IF(WWWW[[#This Row],[Total PoP ]]/WWWW[[#This Row],['# Hygiene Promoters ]]&lt;1000,1,0),IF(WWWW[[#This Row],[Total PoP ]]/WWWW[[#This Row],['# Hygiene Promoters ]]&lt;600,1,0))))</f>
        <v>1</v>
      </c>
      <c r="BX211" s="209">
        <f>IF(WWWW[[#This Row],[%HH with access to soap]]&gt;=100%,1,0)</f>
        <v>0</v>
      </c>
      <c r="BY211" s="209">
        <f>IF(WWWW[[#This Row],[% of HHs with access to Sanitary pad more than '#%]]+WWWW[[#This Row],[Ratio of Hyiene promoters to people less than '#]]+WWWW[[#This Row],[% of HHs with access to soap more than '#%]]&gt;=2,WWWW[[#This Row],[Total PoP ]],0)</f>
        <v>0</v>
      </c>
      <c r="BZ211" s="208">
        <f>WWWW[[#This Row],[People adopt basic personal and community hygiene practices]]/WWWW[[#This Row],[Total PoP ]]</f>
        <v>0</v>
      </c>
      <c r="CA211" s="212">
        <f>1-WWWW[[#This Row],[Hygiene Coverage%]]</f>
        <v>1</v>
      </c>
      <c r="CB211" s="211">
        <f>WWWW[[#This Row],['# people reached by regular dedicated hygiene promotion_5]]/WWWW[[#This Row],[Total PoP ]]</f>
        <v>1</v>
      </c>
      <c r="CC211" s="211">
        <f>IF(WWWW[[#This Row],['# HH received soaps]]/WWWW[[#This Row],[Total HH]]&gt;1,1,WWWW[[#This Row],['# HH received soaps]]/WWWW[[#This Row],[Total HH]])</f>
        <v>0</v>
      </c>
      <c r="CD211" s="211">
        <f>IF(WWWW[[#This Row],['# HH received Sanitary Pads]]/WWWW[[#This Row],[Total HH]]&gt;1,1,WWWW[[#This Row],['# HH received Sanitary Pads]]/WWWW[[#This Row],[Total HH]])</f>
        <v>0</v>
      </c>
      <c r="CE211" s="210">
        <f>WWWW[[#This Row],['# HH received soaps]]*5</f>
        <v>0</v>
      </c>
      <c r="CF211" s="210">
        <f>WWWW[[#This Row],['# HH received Sanitary Pads]]*5</f>
        <v>0</v>
      </c>
      <c r="CG211" s="210">
        <f>IF(WWWW[[#This Row],['# People with access to soap]]&gt;WWWW[[#This Row],['# People with access to Sanity Pads]],WWWW[[#This Row],['# People with access to soap]],WWWW[[#This Row],['# People with access to Sanity Pads]])</f>
        <v>0</v>
      </c>
      <c r="CH211" s="209">
        <f>WWWW[[#This Row],[Total HH]]*WWWW[[#This Row],[%HHs with access to functional hand washing stations]]</f>
        <v>65</v>
      </c>
      <c r="CI211" s="699" t="str">
        <f>VLOOKUP(WWWW[[#This Row],[Site Name]],SiteDB6[[Site Name]:[CCCM Management]],6,FALSE)</f>
        <v>Yes</v>
      </c>
      <c r="CJ211" s="699">
        <f>VLOOKUP(WWWW[[#This Row],[Site Name]],SiteDB6[[Site Name]:[CCCM Focal Agency]],7,FALSE)</f>
        <v>0</v>
      </c>
      <c r="CK211" s="699" t="str">
        <f>VLOOKUP(WWWW[[#This Row],[Site Name]],SiteDB6[[Site Name]:[Location Type]],8,FALSE)</f>
        <v>Village</v>
      </c>
      <c r="CL211" s="699" t="str">
        <f>VLOOKUP(WWWW[[#This Row],[Site Name]],SiteDB6[[Site Name]:[Location Type 1]],9,FALSE)</f>
        <v>Village</v>
      </c>
      <c r="CM211" s="699" t="str">
        <f>VLOOKUP(WWWW[[#This Row],[Site Name]],SiteDB6[[Site Name]:[Type of Accommodation]],10,FALSE)</f>
        <v>Relocated</v>
      </c>
      <c r="CN211" s="699" t="str">
        <f>VLOOKUP(WWWW[[#This Row],[Site Name]],SiteDB6[[Site Name]:[Ethnic or GCA/NGCA]],11,FALSE)</f>
        <v>Rakhine</v>
      </c>
      <c r="CO211" s="699">
        <f>VLOOKUP(WWWW[[#This Row],[Site Name]],SiteDB6[[Site Name]:[Lat]],12,FALSE)</f>
        <v>19.421102000000001</v>
      </c>
      <c r="CP211" s="699">
        <f>VLOOKUP(WWWW[[#This Row],[Site Name]],SiteDB6[[Site Name]:[Long]],13,FALSE)</f>
        <v>93.552452000000002</v>
      </c>
      <c r="CQ211" s="699" t="str">
        <f>VLOOKUP(WWWW[[#This Row],[Site Name]],SiteDB6[[Site Name]:[Pcode]],3,FALSE)</f>
        <v>MMR012CMP036</v>
      </c>
      <c r="CR211" s="660" t="str">
        <f t="shared" si="3"/>
        <v>Notcovered</v>
      </c>
      <c r="CS211" s="660"/>
      <c r="CT211" s="24"/>
      <c r="CU211" s="24"/>
      <c r="CV211" s="24"/>
    </row>
    <row r="212" spans="1:100" ht="16.5" customHeight="1" thickBot="1" x14ac:dyDescent="0.3">
      <c r="A212" s="833" t="s">
        <v>3206</v>
      </c>
      <c r="B212" s="206" t="s">
        <v>426</v>
      </c>
      <c r="C212" s="206" t="s">
        <v>454</v>
      </c>
      <c r="D212" s="206" t="s">
        <v>563</v>
      </c>
      <c r="E212" s="206" t="s">
        <v>574</v>
      </c>
      <c r="F212" s="206">
        <v>1249</v>
      </c>
      <c r="G212" s="398">
        <v>4666</v>
      </c>
      <c r="H212" s="206"/>
      <c r="I212" s="206" t="s">
        <v>2910</v>
      </c>
      <c r="J212" s="207" t="s">
        <v>2911</v>
      </c>
      <c r="K212" s="206">
        <v>7</v>
      </c>
      <c r="L212" s="206" t="s">
        <v>282</v>
      </c>
      <c r="M212" s="208">
        <v>0</v>
      </c>
      <c r="N212" s="208">
        <v>0</v>
      </c>
      <c r="O212" s="316">
        <v>0</v>
      </c>
      <c r="P212" s="317">
        <v>0</v>
      </c>
      <c r="Q212" s="317">
        <v>27983.516483516483</v>
      </c>
      <c r="R212" s="318">
        <v>5</v>
      </c>
      <c r="S212" s="318">
        <v>0</v>
      </c>
      <c r="T212" s="318">
        <v>0</v>
      </c>
      <c r="U212" s="318">
        <v>159</v>
      </c>
      <c r="V212" s="318">
        <v>159</v>
      </c>
      <c r="W212" s="318">
        <v>39</v>
      </c>
      <c r="X212" s="318">
        <v>26</v>
      </c>
      <c r="Y212" s="318">
        <v>0</v>
      </c>
      <c r="Z212" s="318"/>
      <c r="AA212" s="310">
        <v>135</v>
      </c>
      <c r="AB212" s="310">
        <v>19</v>
      </c>
      <c r="AC212" s="66">
        <v>154</v>
      </c>
      <c r="AD212" s="66" t="s">
        <v>2785</v>
      </c>
      <c r="AE212" s="310">
        <v>0</v>
      </c>
      <c r="AF212" s="310" t="s">
        <v>1358</v>
      </c>
      <c r="AG212" s="311" t="s">
        <v>283</v>
      </c>
      <c r="AH212" s="311">
        <v>12.985185185185186</v>
      </c>
      <c r="AI212" s="310">
        <v>0</v>
      </c>
      <c r="AJ212" s="310" t="s">
        <v>2464</v>
      </c>
      <c r="AK212" s="841">
        <v>0</v>
      </c>
      <c r="AL212" s="842" t="s">
        <v>284</v>
      </c>
      <c r="AM212" s="842">
        <v>0</v>
      </c>
      <c r="AN212" s="863">
        <v>0</v>
      </c>
      <c r="AO212" s="863">
        <v>10</v>
      </c>
      <c r="AP212" s="843">
        <v>1249</v>
      </c>
      <c r="AQ212" s="843">
        <v>1249</v>
      </c>
      <c r="AR212" s="843"/>
      <c r="AS212" s="843"/>
      <c r="AT212" s="843"/>
      <c r="AU212" s="843"/>
      <c r="AV212" s="876" t="s">
        <v>3213</v>
      </c>
      <c r="AW212" s="208">
        <f>IFERROR(WWWW[[#This Row],['# of Water passed at source]]/WWWW[[#This Row],['# of Water tested at source]],"no test")</f>
        <v>1</v>
      </c>
      <c r="AX212" s="211">
        <f>IFERROR(WWWW[[#This Row],['# of Water passed at HH]]/WWWW[[#This Row],['# of Water tested at HH]],"no test")</f>
        <v>0.66666666666666663</v>
      </c>
      <c r="AY212" s="210" t="str">
        <f>IF(AND(WWWW[[#This Row],[%of Water samples which passed at water source]]="no test",WWWW[[#This Row],[%Water samples which passed at HH]]="no test"),"No Test","Tested")</f>
        <v>Tested</v>
      </c>
      <c r="AZ21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0.39982163857003117</v>
      </c>
      <c r="BA21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0.39982163857003117</v>
      </c>
      <c r="BB212" s="211">
        <f>IF(WWWW[[#This Row],[Location Type 1]]="Village",WWWW[[#This Row],[Access to safe drinking water for Village]],WWWW[[#This Row],[Access to safe drinking water for Camp]])</f>
        <v>0.39982163857003117</v>
      </c>
      <c r="BC212" s="209">
        <f>WWWW[[#This Row],[%Equitable and continuous access to sufficient quantity of safe drinking water]]*WWWW[[#This Row],[Total PoP ]]</f>
        <v>1865.5677655677655</v>
      </c>
      <c r="BD212" s="211">
        <f>IF((WWWW[[#This Row],['# Existing protected/fenced ponds ]]*250)/WWWW[[#This Row],[Total PoP ]]&gt;1,1,WWWW[[#This Row],['# Existing protected/fenced ponds ]]*250/WWWW[[#This Row],[Total PoP ]])</f>
        <v>0.26789541363051866</v>
      </c>
      <c r="BE212" s="209">
        <f>WWWW[[#This Row],[Access to unimproved water points]]*WWWW[[#This Row],[Total PoP ]]</f>
        <v>1250</v>
      </c>
      <c r="BF21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0.66771705220054978</v>
      </c>
      <c r="BG21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3115.5677655677655</v>
      </c>
      <c r="BH212" s="209">
        <f>ROUND(WWWW[[#This Row],['#people Equitable and continuous access to sufficient quantity of domestic water borehole n ponds_2]]/500,0)</f>
        <v>6</v>
      </c>
      <c r="BI212" s="208">
        <f>1-WWWW[[#This Row],[%Equitable and continuous access to sufficient quantity of domestic water borehole n ponds]]</f>
        <v>0.33228294779945022</v>
      </c>
      <c r="BJ212" s="209">
        <f>WWWW[[#This Row],[%equitable and continuous access to sufficient quantity of safe drinking and domestic water''s GAP]]*WWWW[[#This Row],[Total PoP ]]</f>
        <v>1550.4322344322347</v>
      </c>
      <c r="BK212" s="210">
        <f>IF(WWWW[[#This Row],[Total required water points]]-WWWW[[#This Row],['#Water points coverage]]&lt;0,0,WWWW[[#This Row],[Total required water points]]-WWWW[[#This Row],['#Water points coverage]])</f>
        <v>3</v>
      </c>
      <c r="BL212" s="210">
        <f>ROUND(IF(WWWW[[#This Row],[Total PoP ]]&lt;500,1,WWWW[[#This Row],[Total PoP ]]/500),0)</f>
        <v>9</v>
      </c>
      <c r="BM212" s="210">
        <f>WWWW[[#This Row],['# Existing functional latrines]]+WWWW[[#This Row],['# Existing latrines dysfunctional]]</f>
        <v>154</v>
      </c>
      <c r="BN21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0.57865409344192031</v>
      </c>
      <c r="BO212" s="352">
        <f>WWWW[[#This Row],[% people access to functioning Latrine]]*WWWW[[#This Row],[Total PoP ]]</f>
        <v>2700</v>
      </c>
      <c r="BP21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0.33861980282897552</v>
      </c>
      <c r="BQ212" s="209">
        <f>IF(WWWW[[#This Row],[Total required Latrines]]-WWWW[[#This Row],[Total '# of latrine]]&lt;0,0,WWWW[[#This Row],[Total required Latrines]]-WWWW[[#This Row],[Total '# of latrine]])</f>
        <v>79</v>
      </c>
      <c r="BR212" s="210">
        <f>ROUND(IF(WWWW[[#This Row],[Location Type 1]]="camp",WWWW[[#This Row],[Total PoP ]]/20,WWWW[[#This Row],[Total PoP ]]/6),0)</f>
        <v>233</v>
      </c>
      <c r="BS212" s="212">
        <f>IF(OR(WWWW[[#This Row],['# Existing latrines dysfunctional]]="",WWWW[[#This Row],['# Existing latrines dysfunctional]]=0),0,WWWW[[#This Row],['# Existing latrines dysfunctional]]/WWWW[[#This Row],[Total '# of latrine]])</f>
        <v>0.12337662337662338</v>
      </c>
      <c r="BT21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3080</v>
      </c>
      <c r="BU212" s="209">
        <f>IF(500*WWWW[[#This Row],['# Hygiene Promoters ]]&gt;WWWW[[#This Row],[Total PoP ]],WWWW[[#This Row],[Total PoP ]],500*WWWW[[#This Row],['# Hygiene Promoters ]])</f>
        <v>4666</v>
      </c>
      <c r="BV212" s="209">
        <f>IF(WWWW[[#This Row],[% of HH with access to Sanitary Pad]]&gt;=100%,1,0)</f>
        <v>1</v>
      </c>
      <c r="BW212" s="209">
        <f>IF(WWWW[[#This Row],[Total PoP ]]=0,0,IF(WWWW[[#This Row],['# Hygiene Promoters ]]=0,0,IF(WWWW[[#This Row],[Location Type 1]]="Village",IF(WWWW[[#This Row],[Total PoP ]]/WWWW[[#This Row],['# Hygiene Promoters ]]&lt;1000,1,0),IF(WWWW[[#This Row],[Total PoP ]]/WWWW[[#This Row],['# Hygiene Promoters ]]&lt;600,1,0))))</f>
        <v>1</v>
      </c>
      <c r="BX212" s="209">
        <f>IF(WWWW[[#This Row],[%HH with access to soap]]&gt;=100%,1,0)</f>
        <v>1</v>
      </c>
      <c r="BY212" s="209">
        <f>IF(WWWW[[#This Row],[% of HHs with access to Sanitary pad more than '#%]]+WWWW[[#This Row],[Ratio of Hyiene promoters to people less than '#]]+WWWW[[#This Row],[% of HHs with access to soap more than '#%]]&gt;=2,WWWW[[#This Row],[Total PoP ]],0)</f>
        <v>4666</v>
      </c>
      <c r="BZ212" s="208">
        <f>WWWW[[#This Row],[People adopt basic personal and community hygiene practices]]/WWWW[[#This Row],[Total PoP ]]</f>
        <v>1</v>
      </c>
      <c r="CA212" s="212">
        <f>1-WWWW[[#This Row],[Hygiene Coverage%]]</f>
        <v>0</v>
      </c>
      <c r="CB212" s="211">
        <f>WWWW[[#This Row],['# people reached by regular dedicated hygiene promotion_5]]/WWWW[[#This Row],[Total PoP ]]</f>
        <v>1</v>
      </c>
      <c r="CC212" s="211">
        <f>IF(WWWW[[#This Row],['# HH received soaps]]/WWWW[[#This Row],[Total HH]]&gt;1,1,WWWW[[#This Row],['# HH received soaps]]/WWWW[[#This Row],[Total HH]])</f>
        <v>1</v>
      </c>
      <c r="CD212" s="211">
        <f>IF(WWWW[[#This Row],['# HH received Sanitary Pads]]/WWWW[[#This Row],[Total HH]]&gt;1,1,WWWW[[#This Row],['# HH received Sanitary Pads]]/WWWW[[#This Row],[Total HH]])</f>
        <v>1</v>
      </c>
      <c r="CE212" s="210">
        <f>WWWW[[#This Row],['# HH received soaps]]*5</f>
        <v>6245</v>
      </c>
      <c r="CF212" s="210">
        <f>WWWW[[#This Row],['# HH received Sanitary Pads]]*5</f>
        <v>6245</v>
      </c>
      <c r="CG212" s="210">
        <f>IF(WWWW[[#This Row],['# People with access to soap]]&gt;WWWW[[#This Row],['# People with access to Sanity Pads]],WWWW[[#This Row],['# People with access to soap]],WWWW[[#This Row],['# People with access to Sanity Pads]])</f>
        <v>6245</v>
      </c>
      <c r="CH212" s="209">
        <f>WWWW[[#This Row],[Total HH]]*WWWW[[#This Row],[%HHs with access to functional hand washing stations]]</f>
        <v>0</v>
      </c>
      <c r="CI212" s="699" t="str">
        <f>VLOOKUP(WWWW[[#This Row],[Site Name]],SiteDB6[[Site Name]:[CCCM Management]],6,FALSE)</f>
        <v>Yes</v>
      </c>
      <c r="CJ212" s="699">
        <f>VLOOKUP(WWWW[[#This Row],[Site Name]],SiteDB6[[Site Name]:[CCCM Focal Agency]],7,FALSE)</f>
        <v>0</v>
      </c>
      <c r="CK212" s="699" t="str">
        <f>VLOOKUP(WWWW[[#This Row],[Site Name]],SiteDB6[[Site Name]:[Location Type]],8,FALSE)</f>
        <v>Camp</v>
      </c>
      <c r="CL212" s="699" t="str">
        <f>VLOOKUP(WWWW[[#This Row],[Site Name]],SiteDB6[[Site Name]:[Location Type 1]],9,FALSE)</f>
        <v>Camp</v>
      </c>
      <c r="CM212" s="699" t="str">
        <f>VLOOKUP(WWWW[[#This Row],[Site Name]],SiteDB6[[Site Name]:[Type of Accommodation]],10,FALSE)</f>
        <v>Planned Camp</v>
      </c>
      <c r="CN212" s="699" t="str">
        <f>VLOOKUP(WWWW[[#This Row],[Site Name]],SiteDB6[[Site Name]:[Ethnic or GCA/NGCA]],11,FALSE)</f>
        <v>Muslim</v>
      </c>
      <c r="CO212" s="699">
        <f>VLOOKUP(WWWW[[#This Row],[Site Name]],SiteDB6[[Site Name]:[Lat]],12,FALSE)</f>
        <v>20.108101999999999</v>
      </c>
      <c r="CP212" s="699">
        <f>VLOOKUP(WWWW[[#This Row],[Site Name]],SiteDB6[[Site Name]:[Long]],13,FALSE)</f>
        <v>92.985095000000001</v>
      </c>
      <c r="CQ212" s="699" t="str">
        <f>VLOOKUP(WWWW[[#This Row],[Site Name]],SiteDB6[[Site Name]:[Pcode]],3,FALSE)</f>
        <v>MMR012CMP016</v>
      </c>
      <c r="CR212" s="660" t="str">
        <f t="shared" ref="CR212:CR243" si="4">IF(B212="none","Notcovered","Covered")</f>
        <v>Covered</v>
      </c>
      <c r="CS212" s="660"/>
      <c r="CT212" s="24"/>
      <c r="CU212" s="24"/>
      <c r="CV212" s="24"/>
    </row>
    <row r="213" spans="1:100" ht="16.5" customHeight="1" thickBot="1" x14ac:dyDescent="0.3">
      <c r="A213" s="833" t="s">
        <v>3206</v>
      </c>
      <c r="B213" s="206" t="s">
        <v>479</v>
      </c>
      <c r="C213" s="206" t="s">
        <v>454</v>
      </c>
      <c r="D213" s="206" t="s">
        <v>463</v>
      </c>
      <c r="E213" s="206" t="s">
        <v>802</v>
      </c>
      <c r="F213" s="206">
        <v>93</v>
      </c>
      <c r="G213" s="398">
        <v>415</v>
      </c>
      <c r="H213" s="206"/>
      <c r="I213" s="206" t="s">
        <v>495</v>
      </c>
      <c r="J213" s="207">
        <v>43616</v>
      </c>
      <c r="K213" s="206">
        <v>0</v>
      </c>
      <c r="L213" s="206" t="s">
        <v>2454</v>
      </c>
      <c r="M213" s="208">
        <v>0</v>
      </c>
      <c r="N213" s="208">
        <v>0</v>
      </c>
      <c r="O213" s="323">
        <v>0</v>
      </c>
      <c r="P213" s="317">
        <v>0</v>
      </c>
      <c r="Q213" s="317">
        <v>0</v>
      </c>
      <c r="R213" s="318">
        <v>0</v>
      </c>
      <c r="S213" s="318">
        <v>0</v>
      </c>
      <c r="T213" s="318"/>
      <c r="U213" s="318"/>
      <c r="V213" s="318"/>
      <c r="W213" s="318"/>
      <c r="X213" s="318"/>
      <c r="Y213" s="318"/>
      <c r="Z213" s="318"/>
      <c r="AA213" s="310">
        <v>4</v>
      </c>
      <c r="AB213" s="310">
        <v>0</v>
      </c>
      <c r="AC213" s="310"/>
      <c r="AD213" s="66"/>
      <c r="AE213" s="310">
        <v>0</v>
      </c>
      <c r="AF213" s="310" t="s">
        <v>1358</v>
      </c>
      <c r="AG213" s="311" t="s">
        <v>1358</v>
      </c>
      <c r="AH213" s="66"/>
      <c r="AI213" s="66"/>
      <c r="AJ213" s="310"/>
      <c r="AK213" s="841">
        <v>0</v>
      </c>
      <c r="AL213" s="842"/>
      <c r="AM213" s="842">
        <v>0</v>
      </c>
      <c r="AN213" s="863">
        <v>0</v>
      </c>
      <c r="AO213" s="863">
        <v>0</v>
      </c>
      <c r="AP213" s="843"/>
      <c r="AQ213" s="843"/>
      <c r="AR213" s="843"/>
      <c r="AS213" s="843"/>
      <c r="AT213" s="843"/>
      <c r="AU213" s="843"/>
      <c r="AV213" s="844"/>
      <c r="AW213" s="208" t="str">
        <f>IFERROR(WWWW[[#This Row],['# of Water passed at source]]/WWWW[[#This Row],['# of Water tested at source]],"no test")</f>
        <v>no test</v>
      </c>
      <c r="AX213" s="211" t="str">
        <f>IFERROR(WWWW[[#This Row],['# of Water passed at HH]]/WWWW[[#This Row],['# of Water tested at HH]],"no test")</f>
        <v>no test</v>
      </c>
      <c r="AY213" s="210" t="str">
        <f>IF(AND(WWWW[[#This Row],[%of Water samples which passed at water source]]="no test",WWWW[[#This Row],[%Water samples which passed at HH]]="no test"),"No Test","Tested")</f>
        <v>No Test</v>
      </c>
      <c r="AZ21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1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13" s="211">
        <f>IF(WWWW[[#This Row],[Location Type 1]]="Village",WWWW[[#This Row],[Access to safe drinking water for Village]],WWWW[[#This Row],[Access to safe drinking water for Camp]])</f>
        <v>0</v>
      </c>
      <c r="BC213" s="209">
        <f>WWWW[[#This Row],[%Equitable and continuous access to sufficient quantity of safe drinking water]]*WWWW[[#This Row],[Total PoP ]]</f>
        <v>0</v>
      </c>
      <c r="BD213" s="211">
        <f>IF((WWWW[[#This Row],['# Existing protected/fenced ponds ]]*250)/WWWW[[#This Row],[Total PoP ]]&gt;1,1,WWWW[[#This Row],['# Existing protected/fenced ponds ]]*250/WWWW[[#This Row],[Total PoP ]])</f>
        <v>0</v>
      </c>
      <c r="BE213" s="209">
        <f>WWWW[[#This Row],[Access to unimproved water points]]*WWWW[[#This Row],[Total PoP ]]</f>
        <v>0</v>
      </c>
      <c r="BF21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1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13" s="209">
        <f>ROUND(WWWW[[#This Row],['#people Equitable and continuous access to sufficient quantity of domestic water borehole n ponds_2]]/500,0)</f>
        <v>0</v>
      </c>
      <c r="BI213" s="208">
        <f>1-WWWW[[#This Row],[%Equitable and continuous access to sufficient quantity of domestic water borehole n ponds]]</f>
        <v>1</v>
      </c>
      <c r="BJ213" s="209">
        <f>WWWW[[#This Row],[%equitable and continuous access to sufficient quantity of safe drinking and domestic water''s GAP]]*WWWW[[#This Row],[Total PoP ]]</f>
        <v>415</v>
      </c>
      <c r="BK213" s="210">
        <f>IF(WWWW[[#This Row],[Total required water points]]-WWWW[[#This Row],['#Water points coverage]]&lt;0,0,WWWW[[#This Row],[Total required water points]]-WWWW[[#This Row],['#Water points coverage]])</f>
        <v>1</v>
      </c>
      <c r="BL213" s="210">
        <f>ROUND(IF(WWWW[[#This Row],[Total PoP ]]&lt;500,1,WWWW[[#This Row],[Total PoP ]]/500),0)</f>
        <v>1</v>
      </c>
      <c r="BM213" s="210">
        <f>WWWW[[#This Row],['# Existing functional latrines]]+WWWW[[#This Row],['# Existing latrines dysfunctional]]</f>
        <v>4</v>
      </c>
      <c r="BN21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5.7831325301204821E-2</v>
      </c>
      <c r="BO213" s="352">
        <f>WWWW[[#This Row],[% people access to functioning Latrine]]*WWWW[[#This Row],[Total PoP ]]</f>
        <v>24</v>
      </c>
      <c r="BP21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0.93975903614457823</v>
      </c>
      <c r="BQ213" s="209">
        <f>IF(WWWW[[#This Row],[Total required Latrines]]-WWWW[[#This Row],[Total '# of latrine]]&lt;0,0,WWWW[[#This Row],[Total required Latrines]]-WWWW[[#This Row],[Total '# of latrine]])</f>
        <v>65</v>
      </c>
      <c r="BR213" s="210">
        <f>ROUND(IF(WWWW[[#This Row],[Location Type 1]]="camp",WWWW[[#This Row],[Total PoP ]]/20,WWWW[[#This Row],[Total PoP ]]/6),0)</f>
        <v>69</v>
      </c>
      <c r="BS213" s="212">
        <f>IF(OR(WWWW[[#This Row],['# Existing latrines dysfunctional]]="",WWWW[[#This Row],['# Existing latrines dysfunctional]]=0),0,WWWW[[#This Row],['# Existing latrines dysfunctional]]/WWWW[[#This Row],[Total '# of latrine]])</f>
        <v>0</v>
      </c>
      <c r="BT21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13" s="209">
        <f>IF(500*WWWW[[#This Row],['# Hygiene Promoters ]]&gt;WWWW[[#This Row],[Total PoP ]],WWWW[[#This Row],[Total PoP ]],500*WWWW[[#This Row],['# Hygiene Promoters ]])</f>
        <v>0</v>
      </c>
      <c r="BV213" s="209">
        <f>IF(WWWW[[#This Row],[% of HH with access to Sanitary Pad]]&gt;=100%,1,0)</f>
        <v>0</v>
      </c>
      <c r="BW213" s="209">
        <f>IF(WWWW[[#This Row],[Total PoP ]]=0,0,IF(WWWW[[#This Row],['# Hygiene Promoters ]]=0,0,IF(WWWW[[#This Row],[Location Type 1]]="Village",IF(WWWW[[#This Row],[Total PoP ]]/WWWW[[#This Row],['# Hygiene Promoters ]]&lt;1000,1,0),IF(WWWW[[#This Row],[Total PoP ]]/WWWW[[#This Row],['# Hygiene Promoters ]]&lt;600,1,0))))</f>
        <v>0</v>
      </c>
      <c r="BX213" s="209">
        <f>IF(WWWW[[#This Row],[%HH with access to soap]]&gt;=100%,1,0)</f>
        <v>0</v>
      </c>
      <c r="BY213" s="209">
        <f>IF(WWWW[[#This Row],[% of HHs with access to Sanitary pad more than '#%]]+WWWW[[#This Row],[Ratio of Hyiene promoters to people less than '#]]+WWWW[[#This Row],[% of HHs with access to soap more than '#%]]&gt;=2,WWWW[[#This Row],[Total PoP ]],0)</f>
        <v>0</v>
      </c>
      <c r="BZ213" s="208">
        <f>WWWW[[#This Row],[People adopt basic personal and community hygiene practices]]/WWWW[[#This Row],[Total PoP ]]</f>
        <v>0</v>
      </c>
      <c r="CA213" s="212">
        <f>1-WWWW[[#This Row],[Hygiene Coverage%]]</f>
        <v>1</v>
      </c>
      <c r="CB213" s="211">
        <f>WWWW[[#This Row],['# people reached by regular dedicated hygiene promotion_5]]/WWWW[[#This Row],[Total PoP ]]</f>
        <v>0</v>
      </c>
      <c r="CC213" s="211">
        <f>IF(WWWW[[#This Row],['# HH received soaps]]/WWWW[[#This Row],[Total HH]]&gt;1,1,WWWW[[#This Row],['# HH received soaps]]/WWWW[[#This Row],[Total HH]])</f>
        <v>0</v>
      </c>
      <c r="CD213" s="211">
        <f>IF(WWWW[[#This Row],['# HH received Sanitary Pads]]/WWWW[[#This Row],[Total HH]]&gt;1,1,WWWW[[#This Row],['# HH received Sanitary Pads]]/WWWW[[#This Row],[Total HH]])</f>
        <v>0</v>
      </c>
      <c r="CE213" s="210">
        <f>WWWW[[#This Row],['# HH received soaps]]*5</f>
        <v>0</v>
      </c>
      <c r="CF213" s="210">
        <f>WWWW[[#This Row],['# HH received Sanitary Pads]]*5</f>
        <v>0</v>
      </c>
      <c r="CG213" s="210">
        <f>IF(WWWW[[#This Row],['# People with access to soap]]&gt;WWWW[[#This Row],['# People with access to Sanity Pads]],WWWW[[#This Row],['# People with access to soap]],WWWW[[#This Row],['# People with access to Sanity Pads]])</f>
        <v>0</v>
      </c>
      <c r="CH213" s="209">
        <f>WWWW[[#This Row],[Total HH]]*WWWW[[#This Row],[%HHs with access to functional hand washing stations]]</f>
        <v>0</v>
      </c>
      <c r="CI213" s="699">
        <f>VLOOKUP(WWWW[[#This Row],[Site Name]],SiteDB6[[Site Name]:[CCCM Management]],6,FALSE)</f>
        <v>0</v>
      </c>
      <c r="CJ213" s="699">
        <f>VLOOKUP(WWWW[[#This Row],[Site Name]],SiteDB6[[Site Name]:[CCCM Focal Agency]],7,FALSE)</f>
        <v>0</v>
      </c>
      <c r="CK213" s="699" t="str">
        <f>VLOOKUP(WWWW[[#This Row],[Site Name]],SiteDB6[[Site Name]:[Location Type]],8,FALSE)</f>
        <v>Village_Not HRP</v>
      </c>
      <c r="CL213" s="699" t="str">
        <f>VLOOKUP(WWWW[[#This Row],[Site Name]],SiteDB6[[Site Name]:[Location Type 1]],9,FALSE)</f>
        <v>Village</v>
      </c>
      <c r="CM213" s="699" t="str">
        <f>VLOOKUP(WWWW[[#This Row],[Site Name]],SiteDB6[[Site Name]:[Type of Accommodation]],10,FALSE)</f>
        <v>Village_Not HRP</v>
      </c>
      <c r="CN213" s="699" t="str">
        <f>VLOOKUP(WWWW[[#This Row],[Site Name]],SiteDB6[[Site Name]:[Ethnic or GCA/NGCA]],11,FALSE)</f>
        <v>Mro</v>
      </c>
      <c r="CO213" s="699">
        <f>VLOOKUP(WWWW[[#This Row],[Site Name]],SiteDB6[[Site Name]:[Lat]],12,FALSE)</f>
        <v>20.8550128936768</v>
      </c>
      <c r="CP213" s="699">
        <f>VLOOKUP(WWWW[[#This Row],[Site Name]],SiteDB6[[Site Name]:[Long]],13,FALSE)</f>
        <v>92.91</v>
      </c>
      <c r="CQ213" s="699">
        <f>VLOOKUP(WWWW[[#This Row],[Site Name]],SiteDB6[[Site Name]:[Pcode]],3,FALSE)</f>
        <v>196824</v>
      </c>
      <c r="CR213" s="660" t="str">
        <f t="shared" si="4"/>
        <v>Covered</v>
      </c>
      <c r="CS213" s="699" t="s">
        <v>2738</v>
      </c>
      <c r="CT213" s="24"/>
      <c r="CU213" s="24"/>
      <c r="CV213" s="24"/>
    </row>
    <row r="214" spans="1:100" ht="16.5" customHeight="1" thickBot="1" x14ac:dyDescent="0.3">
      <c r="A214" s="833" t="s">
        <v>3206</v>
      </c>
      <c r="B214" s="206" t="s">
        <v>460</v>
      </c>
      <c r="C214" s="206" t="s">
        <v>454</v>
      </c>
      <c r="D214" s="206" t="s">
        <v>463</v>
      </c>
      <c r="E214" s="206" t="s">
        <v>464</v>
      </c>
      <c r="F214" s="206">
        <f>ROUND(WWWW[[#This Row],[Total PoP ]]/5,0)</f>
        <v>167</v>
      </c>
      <c r="G214" s="398">
        <v>836</v>
      </c>
      <c r="H214" s="206"/>
      <c r="I214" s="206"/>
      <c r="J214" s="207"/>
      <c r="K214" s="206"/>
      <c r="L214" s="206" t="s">
        <v>282</v>
      </c>
      <c r="M214" s="208">
        <v>0</v>
      </c>
      <c r="N214" s="208">
        <v>0</v>
      </c>
      <c r="O214" s="323">
        <v>0</v>
      </c>
      <c r="P214" s="317">
        <v>0</v>
      </c>
      <c r="Q214" s="317"/>
      <c r="R214" s="318"/>
      <c r="S214" s="318">
        <v>0</v>
      </c>
      <c r="T214" s="318"/>
      <c r="U214" s="318"/>
      <c r="V214" s="318"/>
      <c r="W214" s="318"/>
      <c r="X214" s="318"/>
      <c r="Y214" s="318"/>
      <c r="Z214" s="318"/>
      <c r="AA214" s="310">
        <v>53</v>
      </c>
      <c r="AB214" s="310"/>
      <c r="AC214" s="310"/>
      <c r="AD214" s="66"/>
      <c r="AE214" s="310">
        <v>0</v>
      </c>
      <c r="AF214" s="310" t="s">
        <v>286</v>
      </c>
      <c r="AG214" s="311" t="s">
        <v>286</v>
      </c>
      <c r="AH214" s="66"/>
      <c r="AI214" s="66"/>
      <c r="AJ214" s="310"/>
      <c r="AK214" s="841">
        <v>0</v>
      </c>
      <c r="AL214" s="842"/>
      <c r="AM214" s="842">
        <v>0</v>
      </c>
      <c r="AN214" s="863"/>
      <c r="AO214" s="863">
        <v>0</v>
      </c>
      <c r="AP214" s="843"/>
      <c r="AQ214" s="843"/>
      <c r="AR214" s="843"/>
      <c r="AS214" s="843"/>
      <c r="AT214" s="843"/>
      <c r="AU214" s="843"/>
      <c r="AV214" s="844"/>
      <c r="AW214" s="208" t="str">
        <f>IFERROR(WWWW[[#This Row],['# of Water passed at source]]/WWWW[[#This Row],['# of Water tested at source]],"no test")</f>
        <v>no test</v>
      </c>
      <c r="AX214" s="211" t="str">
        <f>IFERROR(WWWW[[#This Row],['# of Water passed at HH]]/WWWW[[#This Row],['# of Water tested at HH]],"no test")</f>
        <v>no test</v>
      </c>
      <c r="AY214" s="210" t="str">
        <f>IF(AND(WWWW[[#This Row],[%of Water samples which passed at water source]]="no test",WWWW[[#This Row],[%Water samples which passed at HH]]="no test"),"No Test","Tested")</f>
        <v>No Test</v>
      </c>
      <c r="AZ21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1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14" s="211">
        <f>IF(WWWW[[#This Row],[Location Type 1]]="Village",WWWW[[#This Row],[Access to safe drinking water for Village]],WWWW[[#This Row],[Access to safe drinking water for Camp]])</f>
        <v>0</v>
      </c>
      <c r="BC214" s="209">
        <f>WWWW[[#This Row],[%Equitable and continuous access to sufficient quantity of safe drinking water]]*WWWW[[#This Row],[Total PoP ]]</f>
        <v>0</v>
      </c>
      <c r="BD214" s="211">
        <f>IF((WWWW[[#This Row],['# Existing protected/fenced ponds ]]*250)/WWWW[[#This Row],[Total PoP ]]&gt;1,1,WWWW[[#This Row],['# Existing protected/fenced ponds ]]*250/WWWW[[#This Row],[Total PoP ]])</f>
        <v>0</v>
      </c>
      <c r="BE214" s="209">
        <f>WWWW[[#This Row],[Access to unimproved water points]]*WWWW[[#This Row],[Total PoP ]]</f>
        <v>0</v>
      </c>
      <c r="BF21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1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14" s="209">
        <f>ROUND(WWWW[[#This Row],['#people Equitable and continuous access to sufficient quantity of domestic water borehole n ponds_2]]/500,0)</f>
        <v>0</v>
      </c>
      <c r="BI214" s="208">
        <f>1-WWWW[[#This Row],[%Equitable and continuous access to sufficient quantity of domestic water borehole n ponds]]</f>
        <v>1</v>
      </c>
      <c r="BJ214" s="209">
        <f>WWWW[[#This Row],[%equitable and continuous access to sufficient quantity of safe drinking and domestic water''s GAP]]*WWWW[[#This Row],[Total PoP ]]</f>
        <v>836</v>
      </c>
      <c r="BK214" s="210">
        <f>IF(WWWW[[#This Row],[Total required water points]]-WWWW[[#This Row],['#Water points coverage]]&lt;0,0,WWWW[[#This Row],[Total required water points]]-WWWW[[#This Row],['#Water points coverage]])</f>
        <v>2</v>
      </c>
      <c r="BL214" s="210">
        <f>ROUND(IF(WWWW[[#This Row],[Total PoP ]]&lt;500,1,WWWW[[#This Row],[Total PoP ]]/500),0)</f>
        <v>2</v>
      </c>
      <c r="BM214" s="210">
        <f>WWWW[[#This Row],['# Existing functional latrines]]+WWWW[[#This Row],['# Existing latrines dysfunctional]]</f>
        <v>53</v>
      </c>
      <c r="BN21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0.38038277511961721</v>
      </c>
      <c r="BO214" s="352">
        <f>WWWW[[#This Row],[% people access to functioning Latrine]]*WWWW[[#This Row],[Total PoP ]]</f>
        <v>318</v>
      </c>
      <c r="BP21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0.61722488038277512</v>
      </c>
      <c r="BQ214" s="209">
        <f>IF(WWWW[[#This Row],[Total required Latrines]]-WWWW[[#This Row],[Total '# of latrine]]&lt;0,0,WWWW[[#This Row],[Total required Latrines]]-WWWW[[#This Row],[Total '# of latrine]])</f>
        <v>86</v>
      </c>
      <c r="BR214" s="210">
        <f>ROUND(IF(WWWW[[#This Row],[Location Type 1]]="camp",WWWW[[#This Row],[Total PoP ]]/20,WWWW[[#This Row],[Total PoP ]]/6),0)</f>
        <v>139</v>
      </c>
      <c r="BS214" s="212">
        <f>IF(OR(WWWW[[#This Row],['# Existing latrines dysfunctional]]="",WWWW[[#This Row],['# Existing latrines dysfunctional]]=0),0,WWWW[[#This Row],['# Existing latrines dysfunctional]]/WWWW[[#This Row],[Total '# of latrine]])</f>
        <v>0</v>
      </c>
      <c r="BT21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14" s="209">
        <f>IF(500*WWWW[[#This Row],['# Hygiene Promoters ]]&gt;WWWW[[#This Row],[Total PoP ]],WWWW[[#This Row],[Total PoP ]],500*WWWW[[#This Row],['# Hygiene Promoters ]])</f>
        <v>0</v>
      </c>
      <c r="BV214" s="209">
        <f>IF(WWWW[[#This Row],[% of HH with access to Sanitary Pad]]&gt;=100%,1,0)</f>
        <v>0</v>
      </c>
      <c r="BW214" s="209">
        <f>IF(WWWW[[#This Row],[Total PoP ]]=0,0,IF(WWWW[[#This Row],['# Hygiene Promoters ]]=0,0,IF(WWWW[[#This Row],[Location Type 1]]="Village",IF(WWWW[[#This Row],[Total PoP ]]/WWWW[[#This Row],['# Hygiene Promoters ]]&lt;1000,1,0),IF(WWWW[[#This Row],[Total PoP ]]/WWWW[[#This Row],['# Hygiene Promoters ]]&lt;600,1,0))))</f>
        <v>0</v>
      </c>
      <c r="BX214" s="209">
        <f>IF(WWWW[[#This Row],[%HH with access to soap]]&gt;=100%,1,0)</f>
        <v>0</v>
      </c>
      <c r="BY214" s="209">
        <f>IF(WWWW[[#This Row],[% of HHs with access to Sanitary pad more than '#%]]+WWWW[[#This Row],[Ratio of Hyiene promoters to people less than '#]]+WWWW[[#This Row],[% of HHs with access to soap more than '#%]]&gt;=2,WWWW[[#This Row],[Total PoP ]],0)</f>
        <v>0</v>
      </c>
      <c r="BZ214" s="208">
        <f>WWWW[[#This Row],[People adopt basic personal and community hygiene practices]]/WWWW[[#This Row],[Total PoP ]]</f>
        <v>0</v>
      </c>
      <c r="CA214" s="212">
        <f>1-WWWW[[#This Row],[Hygiene Coverage%]]</f>
        <v>1</v>
      </c>
      <c r="CB214" s="211">
        <f>WWWW[[#This Row],['# people reached by regular dedicated hygiene promotion_5]]/WWWW[[#This Row],[Total PoP ]]</f>
        <v>0</v>
      </c>
      <c r="CC214" s="211">
        <f>IF(WWWW[[#This Row],['# HH received soaps]]/WWWW[[#This Row],[Total HH]]&gt;1,1,WWWW[[#This Row],['# HH received soaps]]/WWWW[[#This Row],[Total HH]])</f>
        <v>0</v>
      </c>
      <c r="CD214" s="211">
        <f>IF(WWWW[[#This Row],['# HH received Sanitary Pads]]/WWWW[[#This Row],[Total HH]]&gt;1,1,WWWW[[#This Row],['# HH received Sanitary Pads]]/WWWW[[#This Row],[Total HH]])</f>
        <v>0</v>
      </c>
      <c r="CE214" s="210">
        <f>WWWW[[#This Row],['# HH received soaps]]*5</f>
        <v>0</v>
      </c>
      <c r="CF214" s="210">
        <f>WWWW[[#This Row],['# HH received Sanitary Pads]]*5</f>
        <v>0</v>
      </c>
      <c r="CG214" s="210">
        <f>IF(WWWW[[#This Row],['# People with access to soap]]&gt;WWWW[[#This Row],['# People with access to Sanity Pads]],WWWW[[#This Row],['# People with access to soap]],WWWW[[#This Row],['# People with access to Sanity Pads]])</f>
        <v>0</v>
      </c>
      <c r="CH214" s="209">
        <f>WWWW[[#This Row],[Total HH]]*WWWW[[#This Row],[%HHs with access to functional hand washing stations]]</f>
        <v>0</v>
      </c>
      <c r="CI214" s="699">
        <f>VLOOKUP(WWWW[[#This Row],[Site Name]],SiteDB6[[Site Name]:[CCCM Management]],6,FALSE)</f>
        <v>0</v>
      </c>
      <c r="CJ214" s="699">
        <f>VLOOKUP(WWWW[[#This Row],[Site Name]],SiteDB6[[Site Name]:[CCCM Focal Agency]],7,FALSE)</f>
        <v>0</v>
      </c>
      <c r="CK214" s="699" t="str">
        <f>VLOOKUP(WWWW[[#This Row],[Site Name]],SiteDB6[[Site Name]:[Location Type]],8,FALSE)</f>
        <v>Village</v>
      </c>
      <c r="CL214" s="699" t="str">
        <f>VLOOKUP(WWWW[[#This Row],[Site Name]],SiteDB6[[Site Name]:[Location Type 1]],9,FALSE)</f>
        <v>Village</v>
      </c>
      <c r="CM214" s="699" t="str">
        <f>VLOOKUP(WWWW[[#This Row],[Site Name]],SiteDB6[[Site Name]:[Type of Accommodation]],10,FALSE)</f>
        <v>Village</v>
      </c>
      <c r="CN214" s="699" t="str">
        <f>VLOOKUP(WWWW[[#This Row],[Site Name]],SiteDB6[[Site Name]:[Ethnic or GCA/NGCA]],11,FALSE)</f>
        <v>Rakhine</v>
      </c>
      <c r="CO214" s="699">
        <f>VLOOKUP(WWWW[[#This Row],[Site Name]],SiteDB6[[Site Name]:[Lat]],12,FALSE)</f>
        <v>0</v>
      </c>
      <c r="CP214" s="699">
        <f>VLOOKUP(WWWW[[#This Row],[Site Name]],SiteDB6[[Site Name]:[Long]],13,FALSE)</f>
        <v>0</v>
      </c>
      <c r="CQ214" s="699">
        <f>VLOOKUP(WWWW[[#This Row],[Site Name]],SiteDB6[[Site Name]:[Pcode]],3,FALSE)</f>
        <v>0</v>
      </c>
      <c r="CR214" s="660" t="str">
        <f t="shared" si="4"/>
        <v>Notcovered</v>
      </c>
      <c r="CS214" s="699"/>
      <c r="CT214" s="24"/>
      <c r="CU214" s="24"/>
      <c r="CV214" s="24"/>
    </row>
    <row r="215" spans="1:100" ht="16.5" customHeight="1" thickBot="1" x14ac:dyDescent="0.3">
      <c r="A215" s="833" t="s">
        <v>3206</v>
      </c>
      <c r="B215" s="206" t="s">
        <v>460</v>
      </c>
      <c r="C215" s="206" t="s">
        <v>454</v>
      </c>
      <c r="D215" s="206" t="s">
        <v>463</v>
      </c>
      <c r="E215" s="206" t="s">
        <v>732</v>
      </c>
      <c r="F215" s="206">
        <v>92</v>
      </c>
      <c r="G215" s="398">
        <v>559</v>
      </c>
      <c r="H215" s="206"/>
      <c r="I215" s="206"/>
      <c r="J215" s="207"/>
      <c r="K215" s="206"/>
      <c r="L215" s="206" t="s">
        <v>282</v>
      </c>
      <c r="M215" s="208">
        <v>0</v>
      </c>
      <c r="N215" s="208">
        <v>0</v>
      </c>
      <c r="O215" s="323">
        <v>0</v>
      </c>
      <c r="P215" s="317">
        <v>0</v>
      </c>
      <c r="Q215" s="317"/>
      <c r="R215" s="318"/>
      <c r="S215" s="318">
        <v>0</v>
      </c>
      <c r="T215" s="318"/>
      <c r="U215" s="318"/>
      <c r="V215" s="318"/>
      <c r="W215" s="318"/>
      <c r="X215" s="318"/>
      <c r="Y215" s="318"/>
      <c r="Z215" s="318"/>
      <c r="AA215" s="310">
        <v>194</v>
      </c>
      <c r="AB215" s="311"/>
      <c r="AC215" s="66"/>
      <c r="AD215" s="66"/>
      <c r="AE215" s="310">
        <v>0</v>
      </c>
      <c r="AF215" s="310" t="s">
        <v>286</v>
      </c>
      <c r="AG215" s="311" t="s">
        <v>286</v>
      </c>
      <c r="AH215" s="66"/>
      <c r="AI215" s="66"/>
      <c r="AJ215" s="311"/>
      <c r="AK215" s="841">
        <v>0</v>
      </c>
      <c r="AL215" s="846"/>
      <c r="AM215" s="844">
        <v>0</v>
      </c>
      <c r="AN215" s="863"/>
      <c r="AO215" s="863">
        <v>0</v>
      </c>
      <c r="AP215" s="843"/>
      <c r="AQ215" s="843"/>
      <c r="AR215" s="843"/>
      <c r="AS215" s="843"/>
      <c r="AT215" s="843"/>
      <c r="AU215" s="843"/>
      <c r="AV215" s="844"/>
      <c r="AW215" s="208" t="str">
        <f>IFERROR(WWWW[[#This Row],['# of Water passed at source]]/WWWW[[#This Row],['# of Water tested at source]],"no test")</f>
        <v>no test</v>
      </c>
      <c r="AX215" s="211" t="str">
        <f>IFERROR(WWWW[[#This Row],['# of Water passed at HH]]/WWWW[[#This Row],['# of Water tested at HH]],"no test")</f>
        <v>no test</v>
      </c>
      <c r="AY215" s="210" t="str">
        <f>IF(AND(WWWW[[#This Row],[%of Water samples which passed at water source]]="no test",WWWW[[#This Row],[%Water samples which passed at HH]]="no test"),"No Test","Tested")</f>
        <v>No Test</v>
      </c>
      <c r="AZ21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1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15" s="211">
        <f>IF(WWWW[[#This Row],[Location Type 1]]="Village",WWWW[[#This Row],[Access to safe drinking water for Village]],WWWW[[#This Row],[Access to safe drinking water for Camp]])</f>
        <v>0</v>
      </c>
      <c r="BC215" s="209">
        <f>WWWW[[#This Row],[%Equitable and continuous access to sufficient quantity of safe drinking water]]*WWWW[[#This Row],[Total PoP ]]</f>
        <v>0</v>
      </c>
      <c r="BD215" s="211">
        <f>IF((WWWW[[#This Row],['# Existing protected/fenced ponds ]]*250)/WWWW[[#This Row],[Total PoP ]]&gt;1,1,WWWW[[#This Row],['# Existing protected/fenced ponds ]]*250/WWWW[[#This Row],[Total PoP ]])</f>
        <v>0</v>
      </c>
      <c r="BE215" s="209">
        <f>WWWW[[#This Row],[Access to unimproved water points]]*WWWW[[#This Row],[Total PoP ]]</f>
        <v>0</v>
      </c>
      <c r="BF21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1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15" s="209">
        <f>ROUND(WWWW[[#This Row],['#people Equitable and continuous access to sufficient quantity of domestic water borehole n ponds_2]]/500,0)</f>
        <v>0</v>
      </c>
      <c r="BI215" s="208">
        <f>1-WWWW[[#This Row],[%Equitable and continuous access to sufficient quantity of domestic water borehole n ponds]]</f>
        <v>1</v>
      </c>
      <c r="BJ215" s="209">
        <f>WWWW[[#This Row],[%equitable and continuous access to sufficient quantity of safe drinking and domestic water''s GAP]]*WWWW[[#This Row],[Total PoP ]]</f>
        <v>559</v>
      </c>
      <c r="BK215" s="210">
        <f>IF(WWWW[[#This Row],[Total required water points]]-WWWW[[#This Row],['#Water points coverage]]&lt;0,0,WWWW[[#This Row],[Total required water points]]-WWWW[[#This Row],['#Water points coverage]])</f>
        <v>1</v>
      </c>
      <c r="BL215" s="210">
        <f>ROUND(IF(WWWW[[#This Row],[Total PoP ]]&lt;500,1,WWWW[[#This Row],[Total PoP ]]/500),0)</f>
        <v>1</v>
      </c>
      <c r="BM215" s="210">
        <f>WWWW[[#This Row],['# Existing functional latrines]]+WWWW[[#This Row],['# Existing latrines dysfunctional]]</f>
        <v>194</v>
      </c>
      <c r="BN21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15" s="352">
        <f>WWWW[[#This Row],[% people access to functioning Latrine]]*WWWW[[#This Row],[Total PoP ]]</f>
        <v>559</v>
      </c>
      <c r="BP21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15" s="209">
        <f>IF(WWWW[[#This Row],[Total required Latrines]]-WWWW[[#This Row],[Total '# of latrine]]&lt;0,0,WWWW[[#This Row],[Total required Latrines]]-WWWW[[#This Row],[Total '# of latrine]])</f>
        <v>0</v>
      </c>
      <c r="BR215" s="210">
        <f>ROUND(IF(WWWW[[#This Row],[Location Type 1]]="camp",WWWW[[#This Row],[Total PoP ]]/20,WWWW[[#This Row],[Total PoP ]]/6),0)</f>
        <v>93</v>
      </c>
      <c r="BS215" s="212">
        <f>IF(OR(WWWW[[#This Row],['# Existing latrines dysfunctional]]="",WWWW[[#This Row],['# Existing latrines dysfunctional]]=0),0,WWWW[[#This Row],['# Existing latrines dysfunctional]]/WWWW[[#This Row],[Total '# of latrine]])</f>
        <v>0</v>
      </c>
      <c r="BT21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15" s="209">
        <f>IF(500*WWWW[[#This Row],['# Hygiene Promoters ]]&gt;WWWW[[#This Row],[Total PoP ]],WWWW[[#This Row],[Total PoP ]],500*WWWW[[#This Row],['# Hygiene Promoters ]])</f>
        <v>0</v>
      </c>
      <c r="BV215" s="209">
        <f>IF(WWWW[[#This Row],[% of HH with access to Sanitary Pad]]&gt;=100%,1,0)</f>
        <v>0</v>
      </c>
      <c r="BW215" s="209">
        <f>IF(WWWW[[#This Row],[Total PoP ]]=0,0,IF(WWWW[[#This Row],['# Hygiene Promoters ]]=0,0,IF(WWWW[[#This Row],[Location Type 1]]="Village",IF(WWWW[[#This Row],[Total PoP ]]/WWWW[[#This Row],['# Hygiene Promoters ]]&lt;1000,1,0),IF(WWWW[[#This Row],[Total PoP ]]/WWWW[[#This Row],['# Hygiene Promoters ]]&lt;600,1,0))))</f>
        <v>0</v>
      </c>
      <c r="BX215" s="209">
        <f>IF(WWWW[[#This Row],[%HH with access to soap]]&gt;=100%,1,0)</f>
        <v>0</v>
      </c>
      <c r="BY215" s="209">
        <f>IF(WWWW[[#This Row],[% of HHs with access to Sanitary pad more than '#%]]+WWWW[[#This Row],[Ratio of Hyiene promoters to people less than '#]]+WWWW[[#This Row],[% of HHs with access to soap more than '#%]]&gt;=2,WWWW[[#This Row],[Total PoP ]],0)</f>
        <v>0</v>
      </c>
      <c r="BZ215" s="208">
        <f>WWWW[[#This Row],[People adopt basic personal and community hygiene practices]]/WWWW[[#This Row],[Total PoP ]]</f>
        <v>0</v>
      </c>
      <c r="CA215" s="212">
        <f>1-WWWW[[#This Row],[Hygiene Coverage%]]</f>
        <v>1</v>
      </c>
      <c r="CB215" s="211">
        <f>WWWW[[#This Row],['# people reached by regular dedicated hygiene promotion_5]]/WWWW[[#This Row],[Total PoP ]]</f>
        <v>0</v>
      </c>
      <c r="CC215" s="211">
        <f>IF(WWWW[[#This Row],['# HH received soaps]]/WWWW[[#This Row],[Total HH]]&gt;1,1,WWWW[[#This Row],['# HH received soaps]]/WWWW[[#This Row],[Total HH]])</f>
        <v>0</v>
      </c>
      <c r="CD215" s="211">
        <f>IF(WWWW[[#This Row],['# HH received Sanitary Pads]]/WWWW[[#This Row],[Total HH]]&gt;1,1,WWWW[[#This Row],['# HH received Sanitary Pads]]/WWWW[[#This Row],[Total HH]])</f>
        <v>0</v>
      </c>
      <c r="CE215" s="210">
        <f>WWWW[[#This Row],['# HH received soaps]]*5</f>
        <v>0</v>
      </c>
      <c r="CF215" s="210">
        <f>WWWW[[#This Row],['# HH received Sanitary Pads]]*5</f>
        <v>0</v>
      </c>
      <c r="CG215" s="210">
        <f>IF(WWWW[[#This Row],['# People with access to soap]]&gt;WWWW[[#This Row],['# People with access to Sanity Pads]],WWWW[[#This Row],['# People with access to soap]],WWWW[[#This Row],['# People with access to Sanity Pads]])</f>
        <v>0</v>
      </c>
      <c r="CH215" s="209">
        <f>WWWW[[#This Row],[Total HH]]*WWWW[[#This Row],[%HHs with access to functional hand washing stations]]</f>
        <v>0</v>
      </c>
      <c r="CI215" s="699">
        <f>VLOOKUP(WWWW[[#This Row],[Site Name]],SiteDB6[[Site Name]:[CCCM Management]],6,FALSE)</f>
        <v>0</v>
      </c>
      <c r="CJ215" s="699">
        <f>VLOOKUP(WWWW[[#This Row],[Site Name]],SiteDB6[[Site Name]:[CCCM Focal Agency]],7,FALSE)</f>
        <v>0</v>
      </c>
      <c r="CK215" s="699" t="str">
        <f>VLOOKUP(WWWW[[#This Row],[Site Name]],SiteDB6[[Site Name]:[Location Type]],8,FALSE)</f>
        <v>Village</v>
      </c>
      <c r="CL215" s="699" t="str">
        <f>VLOOKUP(WWWW[[#This Row],[Site Name]],SiteDB6[[Site Name]:[Location Type 1]],9,FALSE)</f>
        <v>Village</v>
      </c>
      <c r="CM215" s="699" t="str">
        <f>VLOOKUP(WWWW[[#This Row],[Site Name]],SiteDB6[[Site Name]:[Type of Accommodation]],10,FALSE)</f>
        <v>Returned</v>
      </c>
      <c r="CN215" s="699" t="str">
        <f>VLOOKUP(WWWW[[#This Row],[Site Name]],SiteDB6[[Site Name]:[Ethnic or GCA/NGCA]],11,FALSE)</f>
        <v>Rakhine</v>
      </c>
      <c r="CO215" s="699">
        <f>VLOOKUP(WWWW[[#This Row],[Site Name]],SiteDB6[[Site Name]:[Lat]],12,FALSE)</f>
        <v>20.720213000000001</v>
      </c>
      <c r="CP215" s="699">
        <f>VLOOKUP(WWWW[[#This Row],[Site Name]],SiteDB6[[Site Name]:[Long]],13,FALSE)</f>
        <v>92.961841000000007</v>
      </c>
      <c r="CQ215" s="699" t="str">
        <f>VLOOKUP(WWWW[[#This Row],[Site Name]],SiteDB6[[Site Name]:[Pcode]],3,FALSE)</f>
        <v>MMR012CMP024</v>
      </c>
      <c r="CR215" s="660" t="str">
        <f t="shared" si="4"/>
        <v>Notcovered</v>
      </c>
      <c r="CS215" s="699"/>
      <c r="CT215" s="24"/>
      <c r="CU215" s="24"/>
      <c r="CV215" s="24"/>
    </row>
    <row r="216" spans="1:100" ht="16.5" customHeight="1" thickBot="1" x14ac:dyDescent="0.3">
      <c r="A216" s="833" t="s">
        <v>3206</v>
      </c>
      <c r="B216" s="206" t="s">
        <v>460</v>
      </c>
      <c r="C216" s="206" t="s">
        <v>454</v>
      </c>
      <c r="D216" s="206" t="s">
        <v>463</v>
      </c>
      <c r="E216" s="206" t="s">
        <v>864</v>
      </c>
      <c r="F216" s="206">
        <v>175</v>
      </c>
      <c r="G216" s="398">
        <v>855</v>
      </c>
      <c r="H216" s="206"/>
      <c r="I216" s="206"/>
      <c r="J216" s="207"/>
      <c r="K216" s="206"/>
      <c r="L216" s="206" t="s">
        <v>282</v>
      </c>
      <c r="M216" s="208">
        <v>0</v>
      </c>
      <c r="N216" s="208">
        <v>0</v>
      </c>
      <c r="O216" s="323">
        <v>0</v>
      </c>
      <c r="P216" s="317">
        <v>0</v>
      </c>
      <c r="Q216" s="317"/>
      <c r="R216" s="318"/>
      <c r="S216" s="318">
        <v>1</v>
      </c>
      <c r="T216" s="318"/>
      <c r="U216" s="318"/>
      <c r="V216" s="318"/>
      <c r="W216" s="318"/>
      <c r="X216" s="318"/>
      <c r="Y216" s="318"/>
      <c r="Z216" s="318"/>
      <c r="AA216" s="310">
        <v>0</v>
      </c>
      <c r="AB216" s="311"/>
      <c r="AC216" s="66"/>
      <c r="AD216" s="66"/>
      <c r="AE216" s="310">
        <v>0</v>
      </c>
      <c r="AF216" s="310" t="s">
        <v>286</v>
      </c>
      <c r="AG216" s="311" t="s">
        <v>286</v>
      </c>
      <c r="AH216" s="66"/>
      <c r="AI216" s="66"/>
      <c r="AJ216" s="311"/>
      <c r="AK216" s="841">
        <v>0</v>
      </c>
      <c r="AL216" s="846"/>
      <c r="AM216" s="844">
        <v>0</v>
      </c>
      <c r="AN216" s="863"/>
      <c r="AO216" s="863"/>
      <c r="AP216" s="843"/>
      <c r="AQ216" s="843"/>
      <c r="AR216" s="843"/>
      <c r="AS216" s="843"/>
      <c r="AT216" s="843"/>
      <c r="AU216" s="843"/>
      <c r="AV216" s="844"/>
      <c r="AW216" s="208" t="str">
        <f>IFERROR(WWWW[[#This Row],['# of Water passed at source]]/WWWW[[#This Row],['# of Water tested at source]],"no test")</f>
        <v>no test</v>
      </c>
      <c r="AX216" s="211" t="str">
        <f>IFERROR(WWWW[[#This Row],['# of Water passed at HH]]/WWWW[[#This Row],['# of Water tested at HH]],"no test")</f>
        <v>no test</v>
      </c>
      <c r="AY216" s="210" t="str">
        <f>IF(AND(WWWW[[#This Row],[%of Water samples which passed at water source]]="no test",WWWW[[#This Row],[%Water samples which passed at HH]]="no test"),"No Test","Tested")</f>
        <v>No Test</v>
      </c>
      <c r="AZ21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1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16" s="211">
        <f>IF(WWWW[[#This Row],[Location Type 1]]="Village",WWWW[[#This Row],[Access to safe drinking water for Village]],WWWW[[#This Row],[Access to safe drinking water for Camp]])</f>
        <v>0</v>
      </c>
      <c r="BC216" s="209">
        <f>WWWW[[#This Row],[%Equitable and continuous access to sufficient quantity of safe drinking water]]*WWWW[[#This Row],[Total PoP ]]</f>
        <v>0</v>
      </c>
      <c r="BD216" s="211">
        <f>IF((WWWW[[#This Row],['# Existing protected/fenced ponds ]]*250)/WWWW[[#This Row],[Total PoP ]]&gt;1,1,WWWW[[#This Row],['# Existing protected/fenced ponds ]]*250/WWWW[[#This Row],[Total PoP ]])</f>
        <v>0</v>
      </c>
      <c r="BE216" s="209">
        <f>WWWW[[#This Row],[Access to unimproved water points]]*WWWW[[#This Row],[Total PoP ]]</f>
        <v>0</v>
      </c>
      <c r="BF21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1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16" s="209">
        <f>ROUND(WWWW[[#This Row],['#people Equitable and continuous access to sufficient quantity of domestic water borehole n ponds_2]]/500,0)</f>
        <v>0</v>
      </c>
      <c r="BI216" s="208">
        <f>1-WWWW[[#This Row],[%Equitable and continuous access to sufficient quantity of domestic water borehole n ponds]]</f>
        <v>1</v>
      </c>
      <c r="BJ216" s="209">
        <f>WWWW[[#This Row],[%equitable and continuous access to sufficient quantity of safe drinking and domestic water''s GAP]]*WWWW[[#This Row],[Total PoP ]]</f>
        <v>855</v>
      </c>
      <c r="BK216" s="210">
        <f>IF(WWWW[[#This Row],[Total required water points]]-WWWW[[#This Row],['#Water points coverage]]&lt;0,0,WWWW[[#This Row],[Total required water points]]-WWWW[[#This Row],['#Water points coverage]])</f>
        <v>2</v>
      </c>
      <c r="BL216" s="210">
        <f>ROUND(IF(WWWW[[#This Row],[Total PoP ]]&lt;500,1,WWWW[[#This Row],[Total PoP ]]/500),0)</f>
        <v>2</v>
      </c>
      <c r="BM216" s="210">
        <f>WWWW[[#This Row],['# Existing functional latrines]]+WWWW[[#This Row],['# Existing latrines dysfunctional]]</f>
        <v>0</v>
      </c>
      <c r="BN21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16" s="352">
        <f>WWWW[[#This Row],[% people access to functioning Latrine]]*WWWW[[#This Row],[Total PoP ]]</f>
        <v>0</v>
      </c>
      <c r="BP21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16" s="209">
        <f>IF(WWWW[[#This Row],[Total required Latrines]]-WWWW[[#This Row],[Total '# of latrine]]&lt;0,0,WWWW[[#This Row],[Total required Latrines]]-WWWW[[#This Row],[Total '# of latrine]])</f>
        <v>143</v>
      </c>
      <c r="BR216" s="210">
        <f>ROUND(IF(WWWW[[#This Row],[Location Type 1]]="camp",WWWW[[#This Row],[Total PoP ]]/20,WWWW[[#This Row],[Total PoP ]]/6),0)</f>
        <v>143</v>
      </c>
      <c r="BS216" s="212">
        <f>IF(OR(WWWW[[#This Row],['# Existing latrines dysfunctional]]="",WWWW[[#This Row],['# Existing latrines dysfunctional]]=0),0,WWWW[[#This Row],['# Existing latrines dysfunctional]]/WWWW[[#This Row],[Total '# of latrine]])</f>
        <v>0</v>
      </c>
      <c r="BT21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16" s="209">
        <f>IF(500*WWWW[[#This Row],['# Hygiene Promoters ]]&gt;WWWW[[#This Row],[Total PoP ]],WWWW[[#This Row],[Total PoP ]],500*WWWW[[#This Row],['# Hygiene Promoters ]])</f>
        <v>0</v>
      </c>
      <c r="BV216" s="209">
        <f>IF(WWWW[[#This Row],[% of HH with access to Sanitary Pad]]&gt;=100%,1,0)</f>
        <v>0</v>
      </c>
      <c r="BW216" s="209">
        <f>IF(WWWW[[#This Row],[Total PoP ]]=0,0,IF(WWWW[[#This Row],['# Hygiene Promoters ]]=0,0,IF(WWWW[[#This Row],[Location Type 1]]="Village",IF(WWWW[[#This Row],[Total PoP ]]/WWWW[[#This Row],['# Hygiene Promoters ]]&lt;1000,1,0),IF(WWWW[[#This Row],[Total PoP ]]/WWWW[[#This Row],['# Hygiene Promoters ]]&lt;600,1,0))))</f>
        <v>0</v>
      </c>
      <c r="BX216" s="209">
        <f>IF(WWWW[[#This Row],[%HH with access to soap]]&gt;=100%,1,0)</f>
        <v>0</v>
      </c>
      <c r="BY216" s="209">
        <f>IF(WWWW[[#This Row],[% of HHs with access to Sanitary pad more than '#%]]+WWWW[[#This Row],[Ratio of Hyiene promoters to people less than '#]]+WWWW[[#This Row],[% of HHs with access to soap more than '#%]]&gt;=2,WWWW[[#This Row],[Total PoP ]],0)</f>
        <v>0</v>
      </c>
      <c r="BZ216" s="208">
        <f>WWWW[[#This Row],[People adopt basic personal and community hygiene practices]]/WWWW[[#This Row],[Total PoP ]]</f>
        <v>0</v>
      </c>
      <c r="CA216" s="212">
        <f>1-WWWW[[#This Row],[Hygiene Coverage%]]</f>
        <v>1</v>
      </c>
      <c r="CB216" s="211">
        <f>WWWW[[#This Row],['# people reached by regular dedicated hygiene promotion_5]]/WWWW[[#This Row],[Total PoP ]]</f>
        <v>0</v>
      </c>
      <c r="CC216" s="211">
        <f>IF(WWWW[[#This Row],['# HH received soaps]]/WWWW[[#This Row],[Total HH]]&gt;1,1,WWWW[[#This Row],['# HH received soaps]]/WWWW[[#This Row],[Total HH]])</f>
        <v>0</v>
      </c>
      <c r="CD216" s="211">
        <f>IF(WWWW[[#This Row],['# HH received Sanitary Pads]]/WWWW[[#This Row],[Total HH]]&gt;1,1,WWWW[[#This Row],['# HH received Sanitary Pads]]/WWWW[[#This Row],[Total HH]])</f>
        <v>0</v>
      </c>
      <c r="CE216" s="210">
        <f>WWWW[[#This Row],['# HH received soaps]]*5</f>
        <v>0</v>
      </c>
      <c r="CF216" s="210">
        <f>WWWW[[#This Row],['# HH received Sanitary Pads]]*5</f>
        <v>0</v>
      </c>
      <c r="CG216" s="210">
        <f>IF(WWWW[[#This Row],['# People with access to soap]]&gt;WWWW[[#This Row],['# People with access to Sanity Pads]],WWWW[[#This Row],['# People with access to soap]],WWWW[[#This Row],['# People with access to Sanity Pads]])</f>
        <v>0</v>
      </c>
      <c r="CH216" s="209">
        <f>WWWW[[#This Row],[Total HH]]*WWWW[[#This Row],[%HHs with access to functional hand washing stations]]</f>
        <v>0</v>
      </c>
      <c r="CI216" s="699">
        <f>VLOOKUP(WWWW[[#This Row],[Site Name]],SiteDB6[[Site Name]:[CCCM Management]],6,FALSE)</f>
        <v>0</v>
      </c>
      <c r="CJ216" s="699">
        <f>VLOOKUP(WWWW[[#This Row],[Site Name]],SiteDB6[[Site Name]:[CCCM Focal Agency]],7,FALSE)</f>
        <v>0</v>
      </c>
      <c r="CK216" s="699" t="str">
        <f>VLOOKUP(WWWW[[#This Row],[Site Name]],SiteDB6[[Site Name]:[Location Type]],8,FALSE)</f>
        <v>Village</v>
      </c>
      <c r="CL216" s="699" t="str">
        <f>VLOOKUP(WWWW[[#This Row],[Site Name]],SiteDB6[[Site Name]:[Location Type 1]],9,FALSE)</f>
        <v>Village</v>
      </c>
      <c r="CM216" s="699" t="str">
        <f>VLOOKUP(WWWW[[#This Row],[Site Name]],SiteDB6[[Site Name]:[Type of Accommodation]],10,FALSE)</f>
        <v>Village</v>
      </c>
      <c r="CN216" s="699" t="str">
        <f>VLOOKUP(WWWW[[#This Row],[Site Name]],SiteDB6[[Site Name]:[Ethnic or GCA/NGCA]],11,FALSE)</f>
        <v>Rakhine</v>
      </c>
      <c r="CO216" s="699">
        <f>VLOOKUP(WWWW[[#This Row],[Site Name]],SiteDB6[[Site Name]:[Lat]],12,FALSE)</f>
        <v>20.627639770507798</v>
      </c>
      <c r="CP216" s="699">
        <f>VLOOKUP(WWWW[[#This Row],[Site Name]],SiteDB6[[Site Name]:[Long]],13,FALSE)</f>
        <v>93.022773742675795</v>
      </c>
      <c r="CQ216" s="699" t="str">
        <f>VLOOKUP(WWWW[[#This Row],[Site Name]],SiteDB6[[Site Name]:[Pcode]],3,FALSE)</f>
        <v>196878</v>
      </c>
      <c r="CR216" s="660" t="str">
        <f t="shared" si="4"/>
        <v>Notcovered</v>
      </c>
      <c r="CS216" s="699"/>
      <c r="CT216" s="24"/>
      <c r="CU216" s="24"/>
      <c r="CV216" s="24"/>
    </row>
    <row r="217" spans="1:100" ht="16.5" customHeight="1" thickBot="1" x14ac:dyDescent="0.3">
      <c r="A217" s="833" t="s">
        <v>3206</v>
      </c>
      <c r="B217" s="206" t="s">
        <v>479</v>
      </c>
      <c r="C217" s="206" t="s">
        <v>454</v>
      </c>
      <c r="D217" s="206" t="s">
        <v>463</v>
      </c>
      <c r="E217" s="206" t="s">
        <v>718</v>
      </c>
      <c r="F217" s="206">
        <v>361</v>
      </c>
      <c r="G217" s="398">
        <v>1669</v>
      </c>
      <c r="H217" s="206"/>
      <c r="I217" s="206" t="s">
        <v>495</v>
      </c>
      <c r="J217" s="207">
        <v>43616</v>
      </c>
      <c r="K217" s="206">
        <v>0</v>
      </c>
      <c r="L217" s="206" t="s">
        <v>2454</v>
      </c>
      <c r="M217" s="208">
        <v>0</v>
      </c>
      <c r="N217" s="208">
        <v>0</v>
      </c>
      <c r="O217" s="316">
        <v>0</v>
      </c>
      <c r="P217" s="317">
        <v>0</v>
      </c>
      <c r="Q217" s="317">
        <v>0</v>
      </c>
      <c r="R217" s="318">
        <v>0</v>
      </c>
      <c r="S217" s="318">
        <v>0</v>
      </c>
      <c r="T217" s="318"/>
      <c r="U217" s="318"/>
      <c r="V217" s="318"/>
      <c r="W217" s="318"/>
      <c r="X217" s="318"/>
      <c r="Y217" s="318"/>
      <c r="Z217" s="318"/>
      <c r="AA217" s="310">
        <v>0</v>
      </c>
      <c r="AB217" s="310">
        <v>0</v>
      </c>
      <c r="AC217" s="66"/>
      <c r="AD217" s="66"/>
      <c r="AE217" s="310">
        <v>0</v>
      </c>
      <c r="AF217" s="310" t="s">
        <v>1358</v>
      </c>
      <c r="AG217" s="311" t="s">
        <v>1358</v>
      </c>
      <c r="AH217" s="311"/>
      <c r="AI217" s="310"/>
      <c r="AJ217" s="310"/>
      <c r="AK217" s="841">
        <v>0</v>
      </c>
      <c r="AL217" s="842"/>
      <c r="AM217" s="842">
        <v>0</v>
      </c>
      <c r="AN217" s="863">
        <v>0</v>
      </c>
      <c r="AO217" s="863">
        <v>0</v>
      </c>
      <c r="AP217" s="843"/>
      <c r="AQ217" s="843"/>
      <c r="AR217" s="843"/>
      <c r="AS217" s="843"/>
      <c r="AT217" s="843"/>
      <c r="AU217" s="843"/>
      <c r="AV217" s="844"/>
      <c r="AW217" s="208" t="str">
        <f>IFERROR(WWWW[[#This Row],['# of Water passed at source]]/WWWW[[#This Row],['# of Water tested at source]],"no test")</f>
        <v>no test</v>
      </c>
      <c r="AX217" s="211" t="str">
        <f>IFERROR(WWWW[[#This Row],['# of Water passed at HH]]/WWWW[[#This Row],['# of Water tested at HH]],"no test")</f>
        <v>no test</v>
      </c>
      <c r="AY217" s="210" t="str">
        <f>IF(AND(WWWW[[#This Row],[%of Water samples which passed at water source]]="no test",WWWW[[#This Row],[%Water samples which passed at HH]]="no test"),"No Test","Tested")</f>
        <v>No Test</v>
      </c>
      <c r="AZ21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1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17" s="211">
        <f>IF(WWWW[[#This Row],[Location Type 1]]="Village",WWWW[[#This Row],[Access to safe drinking water for Village]],WWWW[[#This Row],[Access to safe drinking water for Camp]])</f>
        <v>0</v>
      </c>
      <c r="BC217" s="209">
        <f>WWWW[[#This Row],[%Equitable and continuous access to sufficient quantity of safe drinking water]]*WWWW[[#This Row],[Total PoP ]]</f>
        <v>0</v>
      </c>
      <c r="BD217" s="211">
        <f>IF((WWWW[[#This Row],['# Existing protected/fenced ponds ]]*250)/WWWW[[#This Row],[Total PoP ]]&gt;1,1,WWWW[[#This Row],['# Existing protected/fenced ponds ]]*250/WWWW[[#This Row],[Total PoP ]])</f>
        <v>0</v>
      </c>
      <c r="BE217" s="209">
        <f>WWWW[[#This Row],[Access to unimproved water points]]*WWWW[[#This Row],[Total PoP ]]</f>
        <v>0</v>
      </c>
      <c r="BF21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1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17" s="209">
        <f>ROUND(WWWW[[#This Row],['#people Equitable and continuous access to sufficient quantity of domestic water borehole n ponds_2]]/500,0)</f>
        <v>0</v>
      </c>
      <c r="BI217" s="208">
        <f>1-WWWW[[#This Row],[%Equitable and continuous access to sufficient quantity of domestic water borehole n ponds]]</f>
        <v>1</v>
      </c>
      <c r="BJ217" s="209">
        <f>WWWW[[#This Row],[%equitable and continuous access to sufficient quantity of safe drinking and domestic water''s GAP]]*WWWW[[#This Row],[Total PoP ]]</f>
        <v>1669</v>
      </c>
      <c r="BK217" s="210">
        <f>IF(WWWW[[#This Row],[Total required water points]]-WWWW[[#This Row],['#Water points coverage]]&lt;0,0,WWWW[[#This Row],[Total required water points]]-WWWW[[#This Row],['#Water points coverage]])</f>
        <v>3</v>
      </c>
      <c r="BL217" s="210">
        <f>ROUND(IF(WWWW[[#This Row],[Total PoP ]]&lt;500,1,WWWW[[#This Row],[Total PoP ]]/500),0)</f>
        <v>3</v>
      </c>
      <c r="BM217" s="210">
        <f>WWWW[[#This Row],['# Existing functional latrines]]+WWWW[[#This Row],['# Existing latrines dysfunctional]]</f>
        <v>0</v>
      </c>
      <c r="BN21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17" s="352">
        <f>WWWW[[#This Row],[% people access to functioning Latrine]]*WWWW[[#This Row],[Total PoP ]]</f>
        <v>0</v>
      </c>
      <c r="BP21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0.99940083882564401</v>
      </c>
      <c r="BQ217" s="209">
        <f>IF(WWWW[[#This Row],[Total required Latrines]]-WWWW[[#This Row],[Total '# of latrine]]&lt;0,0,WWWW[[#This Row],[Total required Latrines]]-WWWW[[#This Row],[Total '# of latrine]])</f>
        <v>278</v>
      </c>
      <c r="BR217" s="210">
        <f>ROUND(IF(WWWW[[#This Row],[Location Type 1]]="camp",WWWW[[#This Row],[Total PoP ]]/20,WWWW[[#This Row],[Total PoP ]]/6),0)</f>
        <v>278</v>
      </c>
      <c r="BS217" s="212">
        <f>IF(OR(WWWW[[#This Row],['# Existing latrines dysfunctional]]="",WWWW[[#This Row],['# Existing latrines dysfunctional]]=0),0,WWWW[[#This Row],['# Existing latrines dysfunctional]]/WWWW[[#This Row],[Total '# of latrine]])</f>
        <v>0</v>
      </c>
      <c r="BT21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17" s="209">
        <f>IF(500*WWWW[[#This Row],['# Hygiene Promoters ]]&gt;WWWW[[#This Row],[Total PoP ]],WWWW[[#This Row],[Total PoP ]],500*WWWW[[#This Row],['# Hygiene Promoters ]])</f>
        <v>0</v>
      </c>
      <c r="BV217" s="209">
        <f>IF(WWWW[[#This Row],[% of HH with access to Sanitary Pad]]&gt;=100%,1,0)</f>
        <v>0</v>
      </c>
      <c r="BW217" s="209">
        <f>IF(WWWW[[#This Row],[Total PoP ]]=0,0,IF(WWWW[[#This Row],['# Hygiene Promoters ]]=0,0,IF(WWWW[[#This Row],[Location Type 1]]="Village",IF(WWWW[[#This Row],[Total PoP ]]/WWWW[[#This Row],['# Hygiene Promoters ]]&lt;1000,1,0),IF(WWWW[[#This Row],[Total PoP ]]/WWWW[[#This Row],['# Hygiene Promoters ]]&lt;600,1,0))))</f>
        <v>0</v>
      </c>
      <c r="BX217" s="209">
        <f>IF(WWWW[[#This Row],[%HH with access to soap]]&gt;=100%,1,0)</f>
        <v>0</v>
      </c>
      <c r="BY217" s="209">
        <f>IF(WWWW[[#This Row],[% of HHs with access to Sanitary pad more than '#%]]+WWWW[[#This Row],[Ratio of Hyiene promoters to people less than '#]]+WWWW[[#This Row],[% of HHs with access to soap more than '#%]]&gt;=2,WWWW[[#This Row],[Total PoP ]],0)</f>
        <v>0</v>
      </c>
      <c r="BZ217" s="208">
        <f>WWWW[[#This Row],[People adopt basic personal and community hygiene practices]]/WWWW[[#This Row],[Total PoP ]]</f>
        <v>0</v>
      </c>
      <c r="CA217" s="212">
        <f>1-WWWW[[#This Row],[Hygiene Coverage%]]</f>
        <v>1</v>
      </c>
      <c r="CB217" s="211">
        <f>WWWW[[#This Row],['# people reached by regular dedicated hygiene promotion_5]]/WWWW[[#This Row],[Total PoP ]]</f>
        <v>0</v>
      </c>
      <c r="CC217" s="211">
        <f>IF(WWWW[[#This Row],['# HH received soaps]]/WWWW[[#This Row],[Total HH]]&gt;1,1,WWWW[[#This Row],['# HH received soaps]]/WWWW[[#This Row],[Total HH]])</f>
        <v>0</v>
      </c>
      <c r="CD217" s="211">
        <f>IF(WWWW[[#This Row],['# HH received Sanitary Pads]]/WWWW[[#This Row],[Total HH]]&gt;1,1,WWWW[[#This Row],['# HH received Sanitary Pads]]/WWWW[[#This Row],[Total HH]])</f>
        <v>0</v>
      </c>
      <c r="CE217" s="210">
        <f>WWWW[[#This Row],['# HH received soaps]]*5</f>
        <v>0</v>
      </c>
      <c r="CF217" s="210">
        <f>WWWW[[#This Row],['# HH received Sanitary Pads]]*5</f>
        <v>0</v>
      </c>
      <c r="CG217" s="210">
        <f>IF(WWWW[[#This Row],['# People with access to soap]]&gt;WWWW[[#This Row],['# People with access to Sanity Pads]],WWWW[[#This Row],['# People with access to soap]],WWWW[[#This Row],['# People with access to Sanity Pads]])</f>
        <v>0</v>
      </c>
      <c r="CH217" s="209">
        <f>WWWW[[#This Row],[Total HH]]*WWWW[[#This Row],[%HHs with access to functional hand washing stations]]</f>
        <v>0</v>
      </c>
      <c r="CI217" s="699">
        <f>VLOOKUP(WWWW[[#This Row],[Site Name]],SiteDB6[[Site Name]:[CCCM Management]],6,FALSE)</f>
        <v>0</v>
      </c>
      <c r="CJ217" s="699">
        <f>VLOOKUP(WWWW[[#This Row],[Site Name]],SiteDB6[[Site Name]:[CCCM Focal Agency]],7,FALSE)</f>
        <v>0</v>
      </c>
      <c r="CK217" s="699" t="str">
        <f>VLOOKUP(WWWW[[#This Row],[Site Name]],SiteDB6[[Site Name]:[Location Type]],8,FALSE)</f>
        <v>Village_Not HRP</v>
      </c>
      <c r="CL217" s="699" t="str">
        <f>VLOOKUP(WWWW[[#This Row],[Site Name]],SiteDB6[[Site Name]:[Location Type 1]],9,FALSE)</f>
        <v>Village</v>
      </c>
      <c r="CM217" s="699" t="str">
        <f>VLOOKUP(WWWW[[#This Row],[Site Name]],SiteDB6[[Site Name]:[Type of Accommodation]],10,FALSE)</f>
        <v>Village_Not HRP</v>
      </c>
      <c r="CN217" s="699" t="str">
        <f>VLOOKUP(WWWW[[#This Row],[Site Name]],SiteDB6[[Site Name]:[Ethnic or GCA/NGCA]],11,FALSE)</f>
        <v>Rakhine</v>
      </c>
      <c r="CO217" s="699">
        <f>VLOOKUP(WWWW[[#This Row],[Site Name]],SiteDB6[[Site Name]:[Lat]],12,FALSE)</f>
        <v>20.705930709838899</v>
      </c>
      <c r="CP217" s="699">
        <f>VLOOKUP(WWWW[[#This Row],[Site Name]],SiteDB6[[Site Name]:[Long]],13,FALSE)</f>
        <v>93.001953125</v>
      </c>
      <c r="CQ217" s="699" t="str">
        <f>VLOOKUP(WWWW[[#This Row],[Site Name]],SiteDB6[[Site Name]:[Pcode]],3,FALSE)</f>
        <v>196943</v>
      </c>
      <c r="CR217" s="660" t="str">
        <f t="shared" si="4"/>
        <v>Covered</v>
      </c>
      <c r="CS217" s="699" t="s">
        <v>2738</v>
      </c>
      <c r="CT217" s="24"/>
      <c r="CU217" s="24"/>
      <c r="CV217" s="24"/>
    </row>
    <row r="218" spans="1:100" ht="16.5" customHeight="1" thickBot="1" x14ac:dyDescent="0.3">
      <c r="A218" s="833" t="s">
        <v>3206</v>
      </c>
      <c r="B218" s="206" t="s">
        <v>479</v>
      </c>
      <c r="C218" s="206" t="s">
        <v>454</v>
      </c>
      <c r="D218" s="206" t="s">
        <v>463</v>
      </c>
      <c r="E218" s="206" t="s">
        <v>801</v>
      </c>
      <c r="F218" s="206">
        <v>73</v>
      </c>
      <c r="G218" s="398">
        <v>397</v>
      </c>
      <c r="H218" s="206"/>
      <c r="I218" s="206" t="s">
        <v>495</v>
      </c>
      <c r="J218" s="207">
        <v>43616</v>
      </c>
      <c r="K218" s="206">
        <v>0</v>
      </c>
      <c r="L218" s="206" t="s">
        <v>2454</v>
      </c>
      <c r="M218" s="208">
        <v>0</v>
      </c>
      <c r="N218" s="208">
        <v>0</v>
      </c>
      <c r="O218" s="323">
        <v>0</v>
      </c>
      <c r="P218" s="317">
        <v>0</v>
      </c>
      <c r="Q218" s="317">
        <v>0</v>
      </c>
      <c r="R218" s="318">
        <v>0</v>
      </c>
      <c r="S218" s="318">
        <v>0</v>
      </c>
      <c r="T218" s="318"/>
      <c r="U218" s="318"/>
      <c r="V218" s="318"/>
      <c r="W218" s="318"/>
      <c r="X218" s="318"/>
      <c r="Y218" s="318"/>
      <c r="Z218" s="318"/>
      <c r="AA218" s="310">
        <v>17</v>
      </c>
      <c r="AB218" s="310">
        <v>0</v>
      </c>
      <c r="AC218" s="66"/>
      <c r="AD218" s="66"/>
      <c r="AE218" s="310">
        <v>0</v>
      </c>
      <c r="AF218" s="310" t="s">
        <v>1358</v>
      </c>
      <c r="AG218" s="311" t="s">
        <v>1358</v>
      </c>
      <c r="AH218" s="311"/>
      <c r="AI218" s="310"/>
      <c r="AJ218" s="310"/>
      <c r="AK218" s="841">
        <v>0</v>
      </c>
      <c r="AL218" s="846"/>
      <c r="AM218" s="842">
        <v>0</v>
      </c>
      <c r="AN218" s="863">
        <v>0</v>
      </c>
      <c r="AO218" s="863">
        <v>0</v>
      </c>
      <c r="AP218" s="843"/>
      <c r="AQ218" s="843"/>
      <c r="AR218" s="843"/>
      <c r="AS218" s="843"/>
      <c r="AT218" s="843"/>
      <c r="AU218" s="843"/>
      <c r="AV218" s="844"/>
      <c r="AW218" s="208" t="str">
        <f>IFERROR(WWWW[[#This Row],['# of Water passed at source]]/WWWW[[#This Row],['# of Water tested at source]],"no test")</f>
        <v>no test</v>
      </c>
      <c r="AX218" s="211" t="str">
        <f>IFERROR(WWWW[[#This Row],['# of Water passed at HH]]/WWWW[[#This Row],['# of Water tested at HH]],"no test")</f>
        <v>no test</v>
      </c>
      <c r="AY218" s="210" t="str">
        <f>IF(AND(WWWW[[#This Row],[%of Water samples which passed at water source]]="no test",WWWW[[#This Row],[%Water samples which passed at HH]]="no test"),"No Test","Tested")</f>
        <v>No Test</v>
      </c>
      <c r="AZ21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1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18" s="211">
        <f>IF(WWWW[[#This Row],[Location Type 1]]="Village",WWWW[[#This Row],[Access to safe drinking water for Village]],WWWW[[#This Row],[Access to safe drinking water for Camp]])</f>
        <v>0</v>
      </c>
      <c r="BC218" s="209">
        <f>WWWW[[#This Row],[%Equitable and continuous access to sufficient quantity of safe drinking water]]*WWWW[[#This Row],[Total PoP ]]</f>
        <v>0</v>
      </c>
      <c r="BD218" s="211">
        <f>IF((WWWW[[#This Row],['# Existing protected/fenced ponds ]]*250)/WWWW[[#This Row],[Total PoP ]]&gt;1,1,WWWW[[#This Row],['# Existing protected/fenced ponds ]]*250/WWWW[[#This Row],[Total PoP ]])</f>
        <v>0</v>
      </c>
      <c r="BE218" s="209">
        <f>WWWW[[#This Row],[Access to unimproved water points]]*WWWW[[#This Row],[Total PoP ]]</f>
        <v>0</v>
      </c>
      <c r="BF21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1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18" s="209">
        <f>ROUND(WWWW[[#This Row],['#people Equitable and continuous access to sufficient quantity of domestic water borehole n ponds_2]]/500,0)</f>
        <v>0</v>
      </c>
      <c r="BI218" s="208">
        <f>1-WWWW[[#This Row],[%Equitable and continuous access to sufficient quantity of domestic water borehole n ponds]]</f>
        <v>1</v>
      </c>
      <c r="BJ218" s="209">
        <f>WWWW[[#This Row],[%equitable and continuous access to sufficient quantity of safe drinking and domestic water''s GAP]]*WWWW[[#This Row],[Total PoP ]]</f>
        <v>397</v>
      </c>
      <c r="BK218" s="210">
        <f>IF(WWWW[[#This Row],[Total required water points]]-WWWW[[#This Row],['#Water points coverage]]&lt;0,0,WWWW[[#This Row],[Total required water points]]-WWWW[[#This Row],['#Water points coverage]])</f>
        <v>1</v>
      </c>
      <c r="BL218" s="210">
        <f>ROUND(IF(WWWW[[#This Row],[Total PoP ]]&lt;500,1,WWWW[[#This Row],[Total PoP ]]/500),0)</f>
        <v>1</v>
      </c>
      <c r="BM218" s="210">
        <f>WWWW[[#This Row],['# Existing functional latrines]]+WWWW[[#This Row],['# Existing latrines dysfunctional]]</f>
        <v>17</v>
      </c>
      <c r="BN21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0.25692695214105793</v>
      </c>
      <c r="BO218" s="352">
        <f>WWWW[[#This Row],[% people access to functioning Latrine]]*WWWW[[#This Row],[Total PoP ]]</f>
        <v>102</v>
      </c>
      <c r="BP21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0.74055415617128462</v>
      </c>
      <c r="BQ218" s="209">
        <f>IF(WWWW[[#This Row],[Total required Latrines]]-WWWW[[#This Row],[Total '# of latrine]]&lt;0,0,WWWW[[#This Row],[Total required Latrines]]-WWWW[[#This Row],[Total '# of latrine]])</f>
        <v>49</v>
      </c>
      <c r="BR218" s="210">
        <f>ROUND(IF(WWWW[[#This Row],[Location Type 1]]="camp",WWWW[[#This Row],[Total PoP ]]/20,WWWW[[#This Row],[Total PoP ]]/6),0)</f>
        <v>66</v>
      </c>
      <c r="BS218" s="212">
        <f>IF(OR(WWWW[[#This Row],['# Existing latrines dysfunctional]]="",WWWW[[#This Row],['# Existing latrines dysfunctional]]=0),0,WWWW[[#This Row],['# Existing latrines dysfunctional]]/WWWW[[#This Row],[Total '# of latrine]])</f>
        <v>0</v>
      </c>
      <c r="BT21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18" s="209">
        <f>IF(500*WWWW[[#This Row],['# Hygiene Promoters ]]&gt;WWWW[[#This Row],[Total PoP ]],WWWW[[#This Row],[Total PoP ]],500*WWWW[[#This Row],['# Hygiene Promoters ]])</f>
        <v>0</v>
      </c>
      <c r="BV218" s="209">
        <f>IF(WWWW[[#This Row],[% of HH with access to Sanitary Pad]]&gt;=100%,1,0)</f>
        <v>0</v>
      </c>
      <c r="BW218" s="209">
        <f>IF(WWWW[[#This Row],[Total PoP ]]=0,0,IF(WWWW[[#This Row],['# Hygiene Promoters ]]=0,0,IF(WWWW[[#This Row],[Location Type 1]]="Village",IF(WWWW[[#This Row],[Total PoP ]]/WWWW[[#This Row],['# Hygiene Promoters ]]&lt;1000,1,0),IF(WWWW[[#This Row],[Total PoP ]]/WWWW[[#This Row],['# Hygiene Promoters ]]&lt;600,1,0))))</f>
        <v>0</v>
      </c>
      <c r="BX218" s="209">
        <f>IF(WWWW[[#This Row],[%HH with access to soap]]&gt;=100%,1,0)</f>
        <v>0</v>
      </c>
      <c r="BY218" s="209">
        <f>IF(WWWW[[#This Row],[% of HHs with access to Sanitary pad more than '#%]]+WWWW[[#This Row],[Ratio of Hyiene promoters to people less than '#]]+WWWW[[#This Row],[% of HHs with access to soap more than '#%]]&gt;=2,WWWW[[#This Row],[Total PoP ]],0)</f>
        <v>0</v>
      </c>
      <c r="BZ218" s="208">
        <f>WWWW[[#This Row],[People adopt basic personal and community hygiene practices]]/WWWW[[#This Row],[Total PoP ]]</f>
        <v>0</v>
      </c>
      <c r="CA218" s="212">
        <f>1-WWWW[[#This Row],[Hygiene Coverage%]]</f>
        <v>1</v>
      </c>
      <c r="CB218" s="211">
        <f>WWWW[[#This Row],['# people reached by regular dedicated hygiene promotion_5]]/WWWW[[#This Row],[Total PoP ]]</f>
        <v>0</v>
      </c>
      <c r="CC218" s="211">
        <f>IF(WWWW[[#This Row],['# HH received soaps]]/WWWW[[#This Row],[Total HH]]&gt;1,1,WWWW[[#This Row],['# HH received soaps]]/WWWW[[#This Row],[Total HH]])</f>
        <v>0</v>
      </c>
      <c r="CD218" s="211">
        <f>IF(WWWW[[#This Row],['# HH received Sanitary Pads]]/WWWW[[#This Row],[Total HH]]&gt;1,1,WWWW[[#This Row],['# HH received Sanitary Pads]]/WWWW[[#This Row],[Total HH]])</f>
        <v>0</v>
      </c>
      <c r="CE218" s="210">
        <f>WWWW[[#This Row],['# HH received soaps]]*5</f>
        <v>0</v>
      </c>
      <c r="CF218" s="210">
        <f>WWWW[[#This Row],['# HH received Sanitary Pads]]*5</f>
        <v>0</v>
      </c>
      <c r="CG218" s="210">
        <f>IF(WWWW[[#This Row],['# People with access to soap]]&gt;WWWW[[#This Row],['# People with access to Sanity Pads]],WWWW[[#This Row],['# People with access to soap]],WWWW[[#This Row],['# People with access to Sanity Pads]])</f>
        <v>0</v>
      </c>
      <c r="CH218" s="209">
        <f>WWWW[[#This Row],[Total HH]]*WWWW[[#This Row],[%HHs with access to functional hand washing stations]]</f>
        <v>0</v>
      </c>
      <c r="CI218" s="699">
        <f>VLOOKUP(WWWW[[#This Row],[Site Name]],SiteDB6[[Site Name]:[CCCM Management]],6,FALSE)</f>
        <v>0</v>
      </c>
      <c r="CJ218" s="699">
        <f>VLOOKUP(WWWW[[#This Row],[Site Name]],SiteDB6[[Site Name]:[CCCM Focal Agency]],7,FALSE)</f>
        <v>0</v>
      </c>
      <c r="CK218" s="699" t="str">
        <f>VLOOKUP(WWWW[[#This Row],[Site Name]],SiteDB6[[Site Name]:[Location Type]],8,FALSE)</f>
        <v>Village_Not HRP</v>
      </c>
      <c r="CL218" s="699" t="str">
        <f>VLOOKUP(WWWW[[#This Row],[Site Name]],SiteDB6[[Site Name]:[Location Type 1]],9,FALSE)</f>
        <v>Village</v>
      </c>
      <c r="CM218" s="699" t="str">
        <f>VLOOKUP(WWWW[[#This Row],[Site Name]],SiteDB6[[Site Name]:[Type of Accommodation]],10,FALSE)</f>
        <v>Village_Not HRP</v>
      </c>
      <c r="CN218" s="699" t="str">
        <f>VLOOKUP(WWWW[[#This Row],[Site Name]],SiteDB6[[Site Name]:[Ethnic or GCA/NGCA]],11,FALSE)</f>
        <v>Mro</v>
      </c>
      <c r="CO218" s="699">
        <f>VLOOKUP(WWWW[[#This Row],[Site Name]],SiteDB6[[Site Name]:[Lat]],12,FALSE)</f>
        <v>20.851089477539102</v>
      </c>
      <c r="CP218" s="699">
        <f>VLOOKUP(WWWW[[#This Row],[Site Name]],SiteDB6[[Site Name]:[Long]],13,FALSE)</f>
        <v>92.916893005371094</v>
      </c>
      <c r="CQ218" s="699">
        <f>VLOOKUP(WWWW[[#This Row],[Site Name]],SiteDB6[[Site Name]:[Pcode]],3,FALSE)</f>
        <v>196825</v>
      </c>
      <c r="CR218" s="660" t="str">
        <f t="shared" si="4"/>
        <v>Covered</v>
      </c>
      <c r="CS218" s="699" t="s">
        <v>2738</v>
      </c>
      <c r="CT218" s="24"/>
      <c r="CU218" s="24"/>
      <c r="CV218" s="24"/>
    </row>
    <row r="219" spans="1:100" ht="16.5" customHeight="1" thickBot="1" x14ac:dyDescent="0.3">
      <c r="A219" s="833" t="s">
        <v>3206</v>
      </c>
      <c r="B219" s="206" t="s">
        <v>460</v>
      </c>
      <c r="C219" s="206" t="s">
        <v>454</v>
      </c>
      <c r="D219" s="206" t="s">
        <v>463</v>
      </c>
      <c r="E219" s="206" t="s">
        <v>680</v>
      </c>
      <c r="F219" s="206">
        <v>165</v>
      </c>
      <c r="G219" s="398">
        <v>786</v>
      </c>
      <c r="H219" s="206"/>
      <c r="I219" s="206"/>
      <c r="J219" s="207"/>
      <c r="K219" s="206"/>
      <c r="L219" s="206" t="s">
        <v>282</v>
      </c>
      <c r="M219" s="208">
        <v>0</v>
      </c>
      <c r="N219" s="208">
        <v>0</v>
      </c>
      <c r="O219" s="316">
        <v>0</v>
      </c>
      <c r="P219" s="317">
        <v>0</v>
      </c>
      <c r="Q219" s="317"/>
      <c r="R219" s="318"/>
      <c r="S219" s="318">
        <v>1</v>
      </c>
      <c r="T219" s="318"/>
      <c r="U219" s="318"/>
      <c r="V219" s="318"/>
      <c r="W219" s="318"/>
      <c r="X219" s="318"/>
      <c r="Y219" s="318"/>
      <c r="Z219" s="318"/>
      <c r="AA219" s="310">
        <v>0</v>
      </c>
      <c r="AB219" s="311"/>
      <c r="AC219" s="66"/>
      <c r="AD219" s="66"/>
      <c r="AE219" s="310">
        <v>0</v>
      </c>
      <c r="AF219" s="310" t="s">
        <v>286</v>
      </c>
      <c r="AG219" s="311" t="s">
        <v>286</v>
      </c>
      <c r="AH219" s="66"/>
      <c r="AI219" s="66"/>
      <c r="AJ219" s="311"/>
      <c r="AK219" s="841">
        <v>0</v>
      </c>
      <c r="AL219" s="846"/>
      <c r="AM219" s="844">
        <v>0</v>
      </c>
      <c r="AN219" s="863"/>
      <c r="AO219" s="863"/>
      <c r="AP219" s="843"/>
      <c r="AQ219" s="843"/>
      <c r="AR219" s="843"/>
      <c r="AS219" s="843"/>
      <c r="AT219" s="843"/>
      <c r="AU219" s="843"/>
      <c r="AV219" s="844"/>
      <c r="AW219" s="208" t="str">
        <f>IFERROR(WWWW[[#This Row],['# of Water passed at source]]/WWWW[[#This Row],['# of Water tested at source]],"no test")</f>
        <v>no test</v>
      </c>
      <c r="AX219" s="211" t="str">
        <f>IFERROR(WWWW[[#This Row],['# of Water passed at HH]]/WWWW[[#This Row],['# of Water tested at HH]],"no test")</f>
        <v>no test</v>
      </c>
      <c r="AY219" s="210" t="str">
        <f>IF(AND(WWWW[[#This Row],[%of Water samples which passed at water source]]="no test",WWWW[[#This Row],[%Water samples which passed at HH]]="no test"),"No Test","Tested")</f>
        <v>No Test</v>
      </c>
      <c r="AZ21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1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19" s="211">
        <f>IF(WWWW[[#This Row],[Location Type 1]]="Village",WWWW[[#This Row],[Access to safe drinking water for Village]],WWWW[[#This Row],[Access to safe drinking water for Camp]])</f>
        <v>0</v>
      </c>
      <c r="BC219" s="209">
        <f>WWWW[[#This Row],[%Equitable and continuous access to sufficient quantity of safe drinking water]]*WWWW[[#This Row],[Total PoP ]]</f>
        <v>0</v>
      </c>
      <c r="BD219" s="211">
        <f>IF((WWWW[[#This Row],['# Existing protected/fenced ponds ]]*250)/WWWW[[#This Row],[Total PoP ]]&gt;1,1,WWWW[[#This Row],['# Existing protected/fenced ponds ]]*250/WWWW[[#This Row],[Total PoP ]])</f>
        <v>0</v>
      </c>
      <c r="BE219" s="209">
        <f>WWWW[[#This Row],[Access to unimproved water points]]*WWWW[[#This Row],[Total PoP ]]</f>
        <v>0</v>
      </c>
      <c r="BF21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1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19" s="209">
        <f>ROUND(WWWW[[#This Row],['#people Equitable and continuous access to sufficient quantity of domestic water borehole n ponds_2]]/500,0)</f>
        <v>0</v>
      </c>
      <c r="BI219" s="208">
        <f>1-WWWW[[#This Row],[%Equitable and continuous access to sufficient quantity of domestic water borehole n ponds]]</f>
        <v>1</v>
      </c>
      <c r="BJ219" s="209">
        <f>WWWW[[#This Row],[%equitable and continuous access to sufficient quantity of safe drinking and domestic water''s GAP]]*WWWW[[#This Row],[Total PoP ]]</f>
        <v>786</v>
      </c>
      <c r="BK219" s="210">
        <f>IF(WWWW[[#This Row],[Total required water points]]-WWWW[[#This Row],['#Water points coverage]]&lt;0,0,WWWW[[#This Row],[Total required water points]]-WWWW[[#This Row],['#Water points coverage]])</f>
        <v>2</v>
      </c>
      <c r="BL219" s="210">
        <f>ROUND(IF(WWWW[[#This Row],[Total PoP ]]&lt;500,1,WWWW[[#This Row],[Total PoP ]]/500),0)</f>
        <v>2</v>
      </c>
      <c r="BM219" s="210">
        <f>WWWW[[#This Row],['# Existing functional latrines]]+WWWW[[#This Row],['# Existing latrines dysfunctional]]</f>
        <v>0</v>
      </c>
      <c r="BN21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19" s="352">
        <f>WWWW[[#This Row],[% people access to functioning Latrine]]*WWWW[[#This Row],[Total PoP ]]</f>
        <v>0</v>
      </c>
      <c r="BP21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19" s="209">
        <f>IF(WWWW[[#This Row],[Total required Latrines]]-WWWW[[#This Row],[Total '# of latrine]]&lt;0,0,WWWW[[#This Row],[Total required Latrines]]-WWWW[[#This Row],[Total '# of latrine]])</f>
        <v>131</v>
      </c>
      <c r="BR219" s="210">
        <f>ROUND(IF(WWWW[[#This Row],[Location Type 1]]="camp",WWWW[[#This Row],[Total PoP ]]/20,WWWW[[#This Row],[Total PoP ]]/6),0)</f>
        <v>131</v>
      </c>
      <c r="BS219" s="212">
        <f>IF(OR(WWWW[[#This Row],['# Existing latrines dysfunctional]]="",WWWW[[#This Row],['# Existing latrines dysfunctional]]=0),0,WWWW[[#This Row],['# Existing latrines dysfunctional]]/WWWW[[#This Row],[Total '# of latrine]])</f>
        <v>0</v>
      </c>
      <c r="BT21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19" s="209">
        <f>IF(500*WWWW[[#This Row],['# Hygiene Promoters ]]&gt;WWWW[[#This Row],[Total PoP ]],WWWW[[#This Row],[Total PoP ]],500*WWWW[[#This Row],['# Hygiene Promoters ]])</f>
        <v>0</v>
      </c>
      <c r="BV219" s="209">
        <f>IF(WWWW[[#This Row],[% of HH with access to Sanitary Pad]]&gt;=100%,1,0)</f>
        <v>0</v>
      </c>
      <c r="BW219" s="209">
        <f>IF(WWWW[[#This Row],[Total PoP ]]=0,0,IF(WWWW[[#This Row],['# Hygiene Promoters ]]=0,0,IF(WWWW[[#This Row],[Location Type 1]]="Village",IF(WWWW[[#This Row],[Total PoP ]]/WWWW[[#This Row],['# Hygiene Promoters ]]&lt;1000,1,0),IF(WWWW[[#This Row],[Total PoP ]]/WWWW[[#This Row],['# Hygiene Promoters ]]&lt;600,1,0))))</f>
        <v>0</v>
      </c>
      <c r="BX219" s="209">
        <f>IF(WWWW[[#This Row],[%HH with access to soap]]&gt;=100%,1,0)</f>
        <v>0</v>
      </c>
      <c r="BY219" s="209">
        <f>IF(WWWW[[#This Row],[% of HHs with access to Sanitary pad more than '#%]]+WWWW[[#This Row],[Ratio of Hyiene promoters to people less than '#]]+WWWW[[#This Row],[% of HHs with access to soap more than '#%]]&gt;=2,WWWW[[#This Row],[Total PoP ]],0)</f>
        <v>0</v>
      </c>
      <c r="BZ219" s="208">
        <f>WWWW[[#This Row],[People adopt basic personal and community hygiene practices]]/WWWW[[#This Row],[Total PoP ]]</f>
        <v>0</v>
      </c>
      <c r="CA219" s="212">
        <f>1-WWWW[[#This Row],[Hygiene Coverage%]]</f>
        <v>1</v>
      </c>
      <c r="CB219" s="211">
        <f>WWWW[[#This Row],['# people reached by regular dedicated hygiene promotion_5]]/WWWW[[#This Row],[Total PoP ]]</f>
        <v>0</v>
      </c>
      <c r="CC219" s="211">
        <f>IF(WWWW[[#This Row],['# HH received soaps]]/WWWW[[#This Row],[Total HH]]&gt;1,1,WWWW[[#This Row],['# HH received soaps]]/WWWW[[#This Row],[Total HH]])</f>
        <v>0</v>
      </c>
      <c r="CD219" s="211">
        <f>IF(WWWW[[#This Row],['# HH received Sanitary Pads]]/WWWW[[#This Row],[Total HH]]&gt;1,1,WWWW[[#This Row],['# HH received Sanitary Pads]]/WWWW[[#This Row],[Total HH]])</f>
        <v>0</v>
      </c>
      <c r="CE219" s="210">
        <f>WWWW[[#This Row],['# HH received soaps]]*5</f>
        <v>0</v>
      </c>
      <c r="CF219" s="210">
        <f>WWWW[[#This Row],['# HH received Sanitary Pads]]*5</f>
        <v>0</v>
      </c>
      <c r="CG219" s="210">
        <f>IF(WWWW[[#This Row],['# People with access to soap]]&gt;WWWW[[#This Row],['# People with access to Sanity Pads]],WWWW[[#This Row],['# People with access to soap]],WWWW[[#This Row],['# People with access to Sanity Pads]])</f>
        <v>0</v>
      </c>
      <c r="CH219" s="209">
        <f>WWWW[[#This Row],[Total HH]]*WWWW[[#This Row],[%HHs with access to functional hand washing stations]]</f>
        <v>0</v>
      </c>
      <c r="CI219" s="699">
        <f>VLOOKUP(WWWW[[#This Row],[Site Name]],SiteDB6[[Site Name]:[CCCM Management]],6,FALSE)</f>
        <v>0</v>
      </c>
      <c r="CJ219" s="699">
        <f>VLOOKUP(WWWW[[#This Row],[Site Name]],SiteDB6[[Site Name]:[CCCM Focal Agency]],7,FALSE)</f>
        <v>0</v>
      </c>
      <c r="CK219" s="699" t="str">
        <f>VLOOKUP(WWWW[[#This Row],[Site Name]],SiteDB6[[Site Name]:[Location Type]],8,FALSE)</f>
        <v>Village</v>
      </c>
      <c r="CL219" s="699" t="str">
        <f>VLOOKUP(WWWW[[#This Row],[Site Name]],SiteDB6[[Site Name]:[Location Type 1]],9,FALSE)</f>
        <v>Village</v>
      </c>
      <c r="CM219" s="699" t="str">
        <f>VLOOKUP(WWWW[[#This Row],[Site Name]],SiteDB6[[Site Name]:[Type of Accommodation]],10,FALSE)</f>
        <v>Village</v>
      </c>
      <c r="CN219" s="699" t="str">
        <f>VLOOKUP(WWWW[[#This Row],[Site Name]],SiteDB6[[Site Name]:[Ethnic or GCA/NGCA]],11,FALSE)</f>
        <v>Rakhine</v>
      </c>
      <c r="CO219" s="699">
        <f>VLOOKUP(WWWW[[#This Row],[Site Name]],SiteDB6[[Site Name]:[Lat]],12,FALSE)</f>
        <v>20.644098281860401</v>
      </c>
      <c r="CP219" s="699">
        <f>VLOOKUP(WWWW[[#This Row],[Site Name]],SiteDB6[[Site Name]:[Long]],13,FALSE)</f>
        <v>93.036460876464801</v>
      </c>
      <c r="CQ219" s="699" t="str">
        <f>VLOOKUP(WWWW[[#This Row],[Site Name]],SiteDB6[[Site Name]:[Pcode]],3,FALSE)</f>
        <v>196983</v>
      </c>
      <c r="CR219" s="660" t="str">
        <f t="shared" si="4"/>
        <v>Notcovered</v>
      </c>
      <c r="CS219" s="699"/>
      <c r="CT219" s="24"/>
      <c r="CU219" s="24"/>
      <c r="CV219" s="24"/>
    </row>
    <row r="220" spans="1:100" ht="16.5" customHeight="1" thickBot="1" x14ac:dyDescent="0.3">
      <c r="A220" s="833" t="s">
        <v>3206</v>
      </c>
      <c r="B220" s="206" t="s">
        <v>460</v>
      </c>
      <c r="C220" s="206" t="s">
        <v>454</v>
      </c>
      <c r="D220" s="206" t="s">
        <v>463</v>
      </c>
      <c r="E220" s="206" t="s">
        <v>722</v>
      </c>
      <c r="F220" s="206">
        <v>116</v>
      </c>
      <c r="G220" s="398">
        <v>802</v>
      </c>
      <c r="H220" s="206"/>
      <c r="I220" s="206"/>
      <c r="J220" s="207"/>
      <c r="K220" s="206"/>
      <c r="L220" s="206" t="s">
        <v>282</v>
      </c>
      <c r="M220" s="208">
        <v>0</v>
      </c>
      <c r="N220" s="208">
        <v>0</v>
      </c>
      <c r="O220" s="323">
        <v>0</v>
      </c>
      <c r="P220" s="317">
        <v>0</v>
      </c>
      <c r="Q220" s="317"/>
      <c r="R220" s="318"/>
      <c r="S220" s="318">
        <v>0</v>
      </c>
      <c r="T220" s="318"/>
      <c r="U220" s="318"/>
      <c r="V220" s="318"/>
      <c r="W220" s="318"/>
      <c r="X220" s="318"/>
      <c r="Y220" s="318"/>
      <c r="Z220" s="318"/>
      <c r="AA220" s="310">
        <v>40</v>
      </c>
      <c r="AB220" s="311"/>
      <c r="AC220" s="66"/>
      <c r="AD220" s="66"/>
      <c r="AE220" s="310">
        <v>0</v>
      </c>
      <c r="AF220" s="310" t="s">
        <v>286</v>
      </c>
      <c r="AG220" s="311" t="s">
        <v>286</v>
      </c>
      <c r="AH220" s="66"/>
      <c r="AI220" s="66"/>
      <c r="AJ220" s="311"/>
      <c r="AK220" s="841">
        <v>0</v>
      </c>
      <c r="AL220" s="846"/>
      <c r="AM220" s="844">
        <v>0</v>
      </c>
      <c r="AN220" s="863"/>
      <c r="AO220" s="863">
        <v>0</v>
      </c>
      <c r="AP220" s="843"/>
      <c r="AQ220" s="843"/>
      <c r="AR220" s="843"/>
      <c r="AS220" s="843"/>
      <c r="AT220" s="843"/>
      <c r="AU220" s="843"/>
      <c r="AV220" s="844"/>
      <c r="AW220" s="208" t="str">
        <f>IFERROR(WWWW[[#This Row],['# of Water passed at source]]/WWWW[[#This Row],['# of Water tested at source]],"no test")</f>
        <v>no test</v>
      </c>
      <c r="AX220" s="211" t="str">
        <f>IFERROR(WWWW[[#This Row],['# of Water passed at HH]]/WWWW[[#This Row],['# of Water tested at HH]],"no test")</f>
        <v>no test</v>
      </c>
      <c r="AY220" s="210" t="str">
        <f>IF(AND(WWWW[[#This Row],[%of Water samples which passed at water source]]="no test",WWWW[[#This Row],[%Water samples which passed at HH]]="no test"),"No Test","Tested")</f>
        <v>No Test</v>
      </c>
      <c r="AZ22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0" s="211">
        <f>IF(WWWW[[#This Row],[Location Type 1]]="Village",WWWW[[#This Row],[Access to safe drinking water for Village]],WWWW[[#This Row],[Access to safe drinking water for Camp]])</f>
        <v>0</v>
      </c>
      <c r="BC220" s="209">
        <f>WWWW[[#This Row],[%Equitable and continuous access to sufficient quantity of safe drinking water]]*WWWW[[#This Row],[Total PoP ]]</f>
        <v>0</v>
      </c>
      <c r="BD220" s="211">
        <f>IF((WWWW[[#This Row],['# Existing protected/fenced ponds ]]*250)/WWWW[[#This Row],[Total PoP ]]&gt;1,1,WWWW[[#This Row],['# Existing protected/fenced ponds ]]*250/WWWW[[#This Row],[Total PoP ]])</f>
        <v>0</v>
      </c>
      <c r="BE220" s="209">
        <f>WWWW[[#This Row],[Access to unimproved water points]]*WWWW[[#This Row],[Total PoP ]]</f>
        <v>0</v>
      </c>
      <c r="BF22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0" s="209">
        <f>ROUND(WWWW[[#This Row],['#people Equitable and continuous access to sufficient quantity of domestic water borehole n ponds_2]]/500,0)</f>
        <v>0</v>
      </c>
      <c r="BI220" s="208">
        <f>1-WWWW[[#This Row],[%Equitable and continuous access to sufficient quantity of domestic water borehole n ponds]]</f>
        <v>1</v>
      </c>
      <c r="BJ220" s="209">
        <f>WWWW[[#This Row],[%equitable and continuous access to sufficient quantity of safe drinking and domestic water''s GAP]]*WWWW[[#This Row],[Total PoP ]]</f>
        <v>802</v>
      </c>
      <c r="BK220" s="210">
        <f>IF(WWWW[[#This Row],[Total required water points]]-WWWW[[#This Row],['#Water points coverage]]&lt;0,0,WWWW[[#This Row],[Total required water points]]-WWWW[[#This Row],['#Water points coverage]])</f>
        <v>2</v>
      </c>
      <c r="BL220" s="210">
        <f>ROUND(IF(WWWW[[#This Row],[Total PoP ]]&lt;500,1,WWWW[[#This Row],[Total PoP ]]/500),0)</f>
        <v>2</v>
      </c>
      <c r="BM220" s="210">
        <f>WWWW[[#This Row],['# Existing functional latrines]]+WWWW[[#This Row],['# Existing latrines dysfunctional]]</f>
        <v>40</v>
      </c>
      <c r="BN22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0.29925187032418954</v>
      </c>
      <c r="BO220" s="352">
        <f>WWWW[[#This Row],[% people access to functioning Latrine]]*WWWW[[#This Row],[Total PoP ]]</f>
        <v>240</v>
      </c>
      <c r="BP22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0.70324189526184544</v>
      </c>
      <c r="BQ220" s="209">
        <f>IF(WWWW[[#This Row],[Total required Latrines]]-WWWW[[#This Row],[Total '# of latrine]]&lt;0,0,WWWW[[#This Row],[Total required Latrines]]-WWWW[[#This Row],[Total '# of latrine]])</f>
        <v>94</v>
      </c>
      <c r="BR220" s="210">
        <f>ROUND(IF(WWWW[[#This Row],[Location Type 1]]="camp",WWWW[[#This Row],[Total PoP ]]/20,WWWW[[#This Row],[Total PoP ]]/6),0)</f>
        <v>134</v>
      </c>
      <c r="BS220" s="212">
        <f>IF(OR(WWWW[[#This Row],['# Existing latrines dysfunctional]]="",WWWW[[#This Row],['# Existing latrines dysfunctional]]=0),0,WWWW[[#This Row],['# Existing latrines dysfunctional]]/WWWW[[#This Row],[Total '# of latrine]])</f>
        <v>0</v>
      </c>
      <c r="BT22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0" s="209">
        <f>IF(500*WWWW[[#This Row],['# Hygiene Promoters ]]&gt;WWWW[[#This Row],[Total PoP ]],WWWW[[#This Row],[Total PoP ]],500*WWWW[[#This Row],['# Hygiene Promoters ]])</f>
        <v>0</v>
      </c>
      <c r="BV220" s="209">
        <f>IF(WWWW[[#This Row],[% of HH with access to Sanitary Pad]]&gt;=100%,1,0)</f>
        <v>0</v>
      </c>
      <c r="BW220" s="209">
        <f>IF(WWWW[[#This Row],[Total PoP ]]=0,0,IF(WWWW[[#This Row],['# Hygiene Promoters ]]=0,0,IF(WWWW[[#This Row],[Location Type 1]]="Village",IF(WWWW[[#This Row],[Total PoP ]]/WWWW[[#This Row],['# Hygiene Promoters ]]&lt;1000,1,0),IF(WWWW[[#This Row],[Total PoP ]]/WWWW[[#This Row],['# Hygiene Promoters ]]&lt;600,1,0))))</f>
        <v>0</v>
      </c>
      <c r="BX220" s="209">
        <f>IF(WWWW[[#This Row],[%HH with access to soap]]&gt;=100%,1,0)</f>
        <v>0</v>
      </c>
      <c r="BY220" s="209">
        <f>IF(WWWW[[#This Row],[% of HHs with access to Sanitary pad more than '#%]]+WWWW[[#This Row],[Ratio of Hyiene promoters to people less than '#]]+WWWW[[#This Row],[% of HHs with access to soap more than '#%]]&gt;=2,WWWW[[#This Row],[Total PoP ]],0)</f>
        <v>0</v>
      </c>
      <c r="BZ220" s="208">
        <f>WWWW[[#This Row],[People adopt basic personal and community hygiene practices]]/WWWW[[#This Row],[Total PoP ]]</f>
        <v>0</v>
      </c>
      <c r="CA220" s="212">
        <f>1-WWWW[[#This Row],[Hygiene Coverage%]]</f>
        <v>1</v>
      </c>
      <c r="CB220" s="211">
        <f>WWWW[[#This Row],['# people reached by regular dedicated hygiene promotion_5]]/WWWW[[#This Row],[Total PoP ]]</f>
        <v>0</v>
      </c>
      <c r="CC220" s="211">
        <f>IF(WWWW[[#This Row],['# HH received soaps]]/WWWW[[#This Row],[Total HH]]&gt;1,1,WWWW[[#This Row],['# HH received soaps]]/WWWW[[#This Row],[Total HH]])</f>
        <v>0</v>
      </c>
      <c r="CD220" s="211">
        <f>IF(WWWW[[#This Row],['# HH received Sanitary Pads]]/WWWW[[#This Row],[Total HH]]&gt;1,1,WWWW[[#This Row],['# HH received Sanitary Pads]]/WWWW[[#This Row],[Total HH]])</f>
        <v>0</v>
      </c>
      <c r="CE220" s="210">
        <f>WWWW[[#This Row],['# HH received soaps]]*5</f>
        <v>0</v>
      </c>
      <c r="CF220" s="210">
        <f>WWWW[[#This Row],['# HH received Sanitary Pads]]*5</f>
        <v>0</v>
      </c>
      <c r="CG220" s="210">
        <f>IF(WWWW[[#This Row],['# People with access to soap]]&gt;WWWW[[#This Row],['# People with access to Sanity Pads]],WWWW[[#This Row],['# People with access to soap]],WWWW[[#This Row],['# People with access to Sanity Pads]])</f>
        <v>0</v>
      </c>
      <c r="CH220" s="209">
        <f>WWWW[[#This Row],[Total HH]]*WWWW[[#This Row],[%HHs with access to functional hand washing stations]]</f>
        <v>0</v>
      </c>
      <c r="CI220" s="699">
        <f>VLOOKUP(WWWW[[#This Row],[Site Name]],SiteDB6[[Site Name]:[CCCM Management]],6,FALSE)</f>
        <v>0</v>
      </c>
      <c r="CJ220" s="699">
        <f>VLOOKUP(WWWW[[#This Row],[Site Name]],SiteDB6[[Site Name]:[CCCM Focal Agency]],7,FALSE)</f>
        <v>0</v>
      </c>
      <c r="CK220" s="699" t="str">
        <f>VLOOKUP(WWWW[[#This Row],[Site Name]],SiteDB6[[Site Name]:[Location Type]],8,FALSE)</f>
        <v>Village</v>
      </c>
      <c r="CL220" s="699" t="str">
        <f>VLOOKUP(WWWW[[#This Row],[Site Name]],SiteDB6[[Site Name]:[Location Type 1]],9,FALSE)</f>
        <v>Village</v>
      </c>
      <c r="CM220" s="699" t="str">
        <f>VLOOKUP(WWWW[[#This Row],[Site Name]],SiteDB6[[Site Name]:[Type of Accommodation]],10,FALSE)</f>
        <v>Returned</v>
      </c>
      <c r="CN220" s="699" t="str">
        <f>VLOOKUP(WWWW[[#This Row],[Site Name]],SiteDB6[[Site Name]:[Ethnic or GCA/NGCA]],11,FALSE)</f>
        <v>Muslim</v>
      </c>
      <c r="CO220" s="699">
        <f>VLOOKUP(WWWW[[#This Row],[Site Name]],SiteDB6[[Site Name]:[Lat]],12,FALSE)</f>
        <v>20.713259999999998</v>
      </c>
      <c r="CP220" s="699">
        <f>VLOOKUP(WWWW[[#This Row],[Site Name]],SiteDB6[[Site Name]:[Long]],13,FALSE)</f>
        <v>93.014089999999996</v>
      </c>
      <c r="CQ220" s="699" t="str">
        <f>VLOOKUP(WWWW[[#This Row],[Site Name]],SiteDB6[[Site Name]:[Pcode]],3,FALSE)</f>
        <v>MMR012CMP027</v>
      </c>
      <c r="CR220" s="660" t="str">
        <f t="shared" si="4"/>
        <v>Notcovered</v>
      </c>
      <c r="CS220" s="699"/>
      <c r="CT220" s="24"/>
      <c r="CU220" s="24"/>
      <c r="CV220" s="24"/>
    </row>
    <row r="221" spans="1:100" ht="16.5" customHeight="1" thickBot="1" x14ac:dyDescent="0.3">
      <c r="A221" s="833" t="s">
        <v>3206</v>
      </c>
      <c r="B221" s="206" t="s">
        <v>460</v>
      </c>
      <c r="C221" s="206" t="s">
        <v>454</v>
      </c>
      <c r="D221" s="206" t="s">
        <v>463</v>
      </c>
      <c r="E221" s="206" t="s">
        <v>720</v>
      </c>
      <c r="F221" s="206">
        <f>ROUND(WWWW[[#This Row],[Total PoP ]]/5,0)</f>
        <v>314</v>
      </c>
      <c r="G221" s="398">
        <v>1569</v>
      </c>
      <c r="H221" s="206"/>
      <c r="I221" s="206"/>
      <c r="J221" s="207"/>
      <c r="K221" s="206"/>
      <c r="L221" s="206" t="s">
        <v>282</v>
      </c>
      <c r="M221" s="208">
        <v>0</v>
      </c>
      <c r="N221" s="208">
        <v>0</v>
      </c>
      <c r="O221" s="316">
        <v>0</v>
      </c>
      <c r="P221" s="317">
        <v>0</v>
      </c>
      <c r="Q221" s="317"/>
      <c r="R221" s="318"/>
      <c r="S221" s="318">
        <v>0</v>
      </c>
      <c r="T221" s="318"/>
      <c r="U221" s="318"/>
      <c r="V221" s="318"/>
      <c r="W221" s="318"/>
      <c r="X221" s="318"/>
      <c r="Y221" s="318"/>
      <c r="Z221" s="318"/>
      <c r="AA221" s="310">
        <v>160</v>
      </c>
      <c r="AB221" s="310"/>
      <c r="AC221" s="66"/>
      <c r="AD221" s="66"/>
      <c r="AE221" s="310">
        <v>0</v>
      </c>
      <c r="AF221" s="310" t="s">
        <v>286</v>
      </c>
      <c r="AG221" s="311" t="s">
        <v>286</v>
      </c>
      <c r="AH221" s="311"/>
      <c r="AI221" s="310"/>
      <c r="AJ221" s="310"/>
      <c r="AK221" s="841">
        <v>0</v>
      </c>
      <c r="AL221" s="842"/>
      <c r="AM221" s="842">
        <v>0</v>
      </c>
      <c r="AN221" s="863"/>
      <c r="AO221" s="863">
        <v>0</v>
      </c>
      <c r="AP221" s="843"/>
      <c r="AQ221" s="843"/>
      <c r="AR221" s="843"/>
      <c r="AS221" s="843"/>
      <c r="AT221" s="843"/>
      <c r="AU221" s="843"/>
      <c r="AV221" s="844"/>
      <c r="AW221" s="208" t="str">
        <f>IFERROR(WWWW[[#This Row],['# of Water passed at source]]/WWWW[[#This Row],['# of Water tested at source]],"no test")</f>
        <v>no test</v>
      </c>
      <c r="AX221" s="211" t="str">
        <f>IFERROR(WWWW[[#This Row],['# of Water passed at HH]]/WWWW[[#This Row],['# of Water tested at HH]],"no test")</f>
        <v>no test</v>
      </c>
      <c r="AY221" s="210" t="str">
        <f>IF(AND(WWWW[[#This Row],[%of Water samples which passed at water source]]="no test",WWWW[[#This Row],[%Water samples which passed at HH]]="no test"),"No Test","Tested")</f>
        <v>No Test</v>
      </c>
      <c r="AZ22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1" s="211">
        <f>IF(WWWW[[#This Row],[Location Type 1]]="Village",WWWW[[#This Row],[Access to safe drinking water for Village]],WWWW[[#This Row],[Access to safe drinking water for Camp]])</f>
        <v>0</v>
      </c>
      <c r="BC221" s="209">
        <f>WWWW[[#This Row],[%Equitable and continuous access to sufficient quantity of safe drinking water]]*WWWW[[#This Row],[Total PoP ]]</f>
        <v>0</v>
      </c>
      <c r="BD221" s="211">
        <f>IF((WWWW[[#This Row],['# Existing protected/fenced ponds ]]*250)/WWWW[[#This Row],[Total PoP ]]&gt;1,1,WWWW[[#This Row],['# Existing protected/fenced ponds ]]*250/WWWW[[#This Row],[Total PoP ]])</f>
        <v>0</v>
      </c>
      <c r="BE221" s="209">
        <f>WWWW[[#This Row],[Access to unimproved water points]]*WWWW[[#This Row],[Total PoP ]]</f>
        <v>0</v>
      </c>
      <c r="BF22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1" s="209">
        <f>ROUND(WWWW[[#This Row],['#people Equitable and continuous access to sufficient quantity of domestic water borehole n ponds_2]]/500,0)</f>
        <v>0</v>
      </c>
      <c r="BI221" s="208">
        <f>1-WWWW[[#This Row],[%Equitable and continuous access to sufficient quantity of domestic water borehole n ponds]]</f>
        <v>1</v>
      </c>
      <c r="BJ221" s="209">
        <f>WWWW[[#This Row],[%equitable and continuous access to sufficient quantity of safe drinking and domestic water''s GAP]]*WWWW[[#This Row],[Total PoP ]]</f>
        <v>1569</v>
      </c>
      <c r="BK221" s="210">
        <f>IF(WWWW[[#This Row],[Total required water points]]-WWWW[[#This Row],['#Water points coverage]]&lt;0,0,WWWW[[#This Row],[Total required water points]]-WWWW[[#This Row],['#Water points coverage]])</f>
        <v>3</v>
      </c>
      <c r="BL221" s="210">
        <f>ROUND(IF(WWWW[[#This Row],[Total PoP ]]&lt;500,1,WWWW[[#This Row],[Total PoP ]]/500),0)</f>
        <v>3</v>
      </c>
      <c r="BM221" s="210">
        <f>WWWW[[#This Row],['# Existing functional latrines]]+WWWW[[#This Row],['# Existing latrines dysfunctional]]</f>
        <v>160</v>
      </c>
      <c r="BN22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0.6118546845124283</v>
      </c>
      <c r="BO221" s="352">
        <f>WWWW[[#This Row],[% people access to functioning Latrine]]*WWWW[[#This Row],[Total PoP ]]</f>
        <v>960</v>
      </c>
      <c r="BP22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0.39005736137667302</v>
      </c>
      <c r="BQ221" s="209">
        <f>IF(WWWW[[#This Row],[Total required Latrines]]-WWWW[[#This Row],[Total '# of latrine]]&lt;0,0,WWWW[[#This Row],[Total required Latrines]]-WWWW[[#This Row],[Total '# of latrine]])</f>
        <v>102</v>
      </c>
      <c r="BR221" s="210">
        <f>ROUND(IF(WWWW[[#This Row],[Location Type 1]]="camp",WWWW[[#This Row],[Total PoP ]]/20,WWWW[[#This Row],[Total PoP ]]/6),0)</f>
        <v>262</v>
      </c>
      <c r="BS221" s="212">
        <f>IF(OR(WWWW[[#This Row],['# Existing latrines dysfunctional]]="",WWWW[[#This Row],['# Existing latrines dysfunctional]]=0),0,WWWW[[#This Row],['# Existing latrines dysfunctional]]/WWWW[[#This Row],[Total '# of latrine]])</f>
        <v>0</v>
      </c>
      <c r="BT22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1" s="209">
        <f>IF(500*WWWW[[#This Row],['# Hygiene Promoters ]]&gt;WWWW[[#This Row],[Total PoP ]],WWWW[[#This Row],[Total PoP ]],500*WWWW[[#This Row],['# Hygiene Promoters ]])</f>
        <v>0</v>
      </c>
      <c r="BV221" s="209">
        <f>IF(WWWW[[#This Row],[% of HH with access to Sanitary Pad]]&gt;=100%,1,0)</f>
        <v>0</v>
      </c>
      <c r="BW221" s="209">
        <f>IF(WWWW[[#This Row],[Total PoP ]]=0,0,IF(WWWW[[#This Row],['# Hygiene Promoters ]]=0,0,IF(WWWW[[#This Row],[Location Type 1]]="Village",IF(WWWW[[#This Row],[Total PoP ]]/WWWW[[#This Row],['# Hygiene Promoters ]]&lt;1000,1,0),IF(WWWW[[#This Row],[Total PoP ]]/WWWW[[#This Row],['# Hygiene Promoters ]]&lt;600,1,0))))</f>
        <v>0</v>
      </c>
      <c r="BX221" s="209">
        <f>IF(WWWW[[#This Row],[%HH with access to soap]]&gt;=100%,1,0)</f>
        <v>0</v>
      </c>
      <c r="BY221" s="209">
        <f>IF(WWWW[[#This Row],[% of HHs with access to Sanitary pad more than '#%]]+WWWW[[#This Row],[Ratio of Hyiene promoters to people less than '#]]+WWWW[[#This Row],[% of HHs with access to soap more than '#%]]&gt;=2,WWWW[[#This Row],[Total PoP ]],0)</f>
        <v>0</v>
      </c>
      <c r="BZ221" s="208">
        <f>WWWW[[#This Row],[People adopt basic personal and community hygiene practices]]/WWWW[[#This Row],[Total PoP ]]</f>
        <v>0</v>
      </c>
      <c r="CA221" s="212">
        <f>1-WWWW[[#This Row],[Hygiene Coverage%]]</f>
        <v>1</v>
      </c>
      <c r="CB221" s="211">
        <f>WWWW[[#This Row],['# people reached by regular dedicated hygiene promotion_5]]/WWWW[[#This Row],[Total PoP ]]</f>
        <v>0</v>
      </c>
      <c r="CC221" s="211">
        <f>IF(WWWW[[#This Row],['# HH received soaps]]/WWWW[[#This Row],[Total HH]]&gt;1,1,WWWW[[#This Row],['# HH received soaps]]/WWWW[[#This Row],[Total HH]])</f>
        <v>0</v>
      </c>
      <c r="CD221" s="211">
        <f>IF(WWWW[[#This Row],['# HH received Sanitary Pads]]/WWWW[[#This Row],[Total HH]]&gt;1,1,WWWW[[#This Row],['# HH received Sanitary Pads]]/WWWW[[#This Row],[Total HH]])</f>
        <v>0</v>
      </c>
      <c r="CE221" s="210">
        <f>WWWW[[#This Row],['# HH received soaps]]*5</f>
        <v>0</v>
      </c>
      <c r="CF221" s="210">
        <f>WWWW[[#This Row],['# HH received Sanitary Pads]]*5</f>
        <v>0</v>
      </c>
      <c r="CG221" s="210">
        <f>IF(WWWW[[#This Row],['# People with access to soap]]&gt;WWWW[[#This Row],['# People with access to Sanity Pads]],WWWW[[#This Row],['# People with access to soap]],WWWW[[#This Row],['# People with access to Sanity Pads]])</f>
        <v>0</v>
      </c>
      <c r="CH221" s="209">
        <f>WWWW[[#This Row],[Total HH]]*WWWW[[#This Row],[%HHs with access to functional hand washing stations]]</f>
        <v>0</v>
      </c>
      <c r="CI221" s="699">
        <f>VLOOKUP(WWWW[[#This Row],[Site Name]],SiteDB6[[Site Name]:[CCCM Management]],6,FALSE)</f>
        <v>0</v>
      </c>
      <c r="CJ221" s="699">
        <f>VLOOKUP(WWWW[[#This Row],[Site Name]],SiteDB6[[Site Name]:[CCCM Focal Agency]],7,FALSE)</f>
        <v>0</v>
      </c>
      <c r="CK221" s="699" t="str">
        <f>VLOOKUP(WWWW[[#This Row],[Site Name]],SiteDB6[[Site Name]:[Location Type]],8,FALSE)</f>
        <v>Village</v>
      </c>
      <c r="CL221" s="699" t="str">
        <f>VLOOKUP(WWWW[[#This Row],[Site Name]],SiteDB6[[Site Name]:[Location Type 1]],9,FALSE)</f>
        <v>Village</v>
      </c>
      <c r="CM221" s="699" t="str">
        <f>VLOOKUP(WWWW[[#This Row],[Site Name]],SiteDB6[[Site Name]:[Type of Accommodation]],10,FALSE)</f>
        <v>Village</v>
      </c>
      <c r="CN221" s="699" t="str">
        <f>VLOOKUP(WWWW[[#This Row],[Site Name]],SiteDB6[[Site Name]:[Ethnic or GCA/NGCA]],11,FALSE)</f>
        <v>Rakhine</v>
      </c>
      <c r="CO221" s="699">
        <f>VLOOKUP(WWWW[[#This Row],[Site Name]],SiteDB6[[Site Name]:[Lat]],12,FALSE)</f>
        <v>20.709970473999999</v>
      </c>
      <c r="CP221" s="699">
        <f>VLOOKUP(WWWW[[#This Row],[Site Name]],SiteDB6[[Site Name]:[Long]],13,FALSE)</f>
        <v>93.015357971</v>
      </c>
      <c r="CQ221" s="699" t="str">
        <f>VLOOKUP(WWWW[[#This Row],[Site Name]],SiteDB6[[Site Name]:[Pcode]],3,FALSE)</f>
        <v>196973</v>
      </c>
      <c r="CR221" s="660" t="str">
        <f t="shared" si="4"/>
        <v>Notcovered</v>
      </c>
      <c r="CS221" s="660"/>
      <c r="CT221" s="24"/>
      <c r="CU221" s="24"/>
      <c r="CV221" s="24"/>
    </row>
    <row r="222" spans="1:100" ht="16.5" customHeight="1" thickBot="1" x14ac:dyDescent="0.3">
      <c r="A222" s="833" t="s">
        <v>3206</v>
      </c>
      <c r="B222" s="206" t="s">
        <v>479</v>
      </c>
      <c r="C222" s="206" t="s">
        <v>454</v>
      </c>
      <c r="D222" s="206" t="s">
        <v>463</v>
      </c>
      <c r="E222" s="206" t="s">
        <v>773</v>
      </c>
      <c r="F222" s="206">
        <v>74</v>
      </c>
      <c r="G222" s="398">
        <v>343</v>
      </c>
      <c r="H222" s="206"/>
      <c r="I222" s="206" t="s">
        <v>495</v>
      </c>
      <c r="J222" s="207">
        <v>43616</v>
      </c>
      <c r="K222" s="206">
        <v>0</v>
      </c>
      <c r="L222" s="206" t="s">
        <v>2454</v>
      </c>
      <c r="M222" s="208">
        <v>0</v>
      </c>
      <c r="N222" s="208">
        <v>0</v>
      </c>
      <c r="O222" s="323">
        <v>0</v>
      </c>
      <c r="P222" s="317">
        <v>0</v>
      </c>
      <c r="Q222" s="317">
        <v>0</v>
      </c>
      <c r="R222" s="318">
        <v>0</v>
      </c>
      <c r="S222" s="318">
        <v>0</v>
      </c>
      <c r="T222" s="318"/>
      <c r="U222" s="318"/>
      <c r="V222" s="318"/>
      <c r="W222" s="318"/>
      <c r="X222" s="318"/>
      <c r="Y222" s="318"/>
      <c r="Z222" s="318"/>
      <c r="AA222" s="310">
        <v>4</v>
      </c>
      <c r="AB222" s="310">
        <v>0</v>
      </c>
      <c r="AC222" s="310"/>
      <c r="AD222" s="66"/>
      <c r="AE222" s="310">
        <v>0</v>
      </c>
      <c r="AF222" s="310" t="s">
        <v>1358</v>
      </c>
      <c r="AG222" s="311" t="s">
        <v>1358</v>
      </c>
      <c r="AH222" s="66"/>
      <c r="AI222" s="66"/>
      <c r="AJ222" s="310"/>
      <c r="AK222" s="841">
        <v>0</v>
      </c>
      <c r="AL222" s="842"/>
      <c r="AM222" s="842">
        <v>0</v>
      </c>
      <c r="AN222" s="863">
        <v>0</v>
      </c>
      <c r="AO222" s="863">
        <v>0</v>
      </c>
      <c r="AP222" s="843"/>
      <c r="AQ222" s="843"/>
      <c r="AR222" s="843"/>
      <c r="AS222" s="843"/>
      <c r="AT222" s="843"/>
      <c r="AU222" s="843"/>
      <c r="AV222" s="844"/>
      <c r="AW222" s="208" t="str">
        <f>IFERROR(WWWW[[#This Row],['# of Water passed at source]]/WWWW[[#This Row],['# of Water tested at source]],"no test")</f>
        <v>no test</v>
      </c>
      <c r="AX222" s="211" t="str">
        <f>IFERROR(WWWW[[#This Row],['# of Water passed at HH]]/WWWW[[#This Row],['# of Water tested at HH]],"no test")</f>
        <v>no test</v>
      </c>
      <c r="AY222" s="210" t="str">
        <f>IF(AND(WWWW[[#This Row],[%of Water samples which passed at water source]]="no test",WWWW[[#This Row],[%Water samples which passed at HH]]="no test"),"No Test","Tested")</f>
        <v>No Test</v>
      </c>
      <c r="AZ22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2" s="211">
        <f>IF(WWWW[[#This Row],[Location Type 1]]="Village",WWWW[[#This Row],[Access to safe drinking water for Village]],WWWW[[#This Row],[Access to safe drinking water for Camp]])</f>
        <v>0</v>
      </c>
      <c r="BC222" s="209">
        <f>WWWW[[#This Row],[%Equitable and continuous access to sufficient quantity of safe drinking water]]*WWWW[[#This Row],[Total PoP ]]</f>
        <v>0</v>
      </c>
      <c r="BD222" s="211">
        <f>IF((WWWW[[#This Row],['# Existing protected/fenced ponds ]]*250)/WWWW[[#This Row],[Total PoP ]]&gt;1,1,WWWW[[#This Row],['# Existing protected/fenced ponds ]]*250/WWWW[[#This Row],[Total PoP ]])</f>
        <v>0</v>
      </c>
      <c r="BE222" s="209">
        <f>WWWW[[#This Row],[Access to unimproved water points]]*WWWW[[#This Row],[Total PoP ]]</f>
        <v>0</v>
      </c>
      <c r="BF22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2" s="209">
        <f>ROUND(WWWW[[#This Row],['#people Equitable and continuous access to sufficient quantity of domestic water borehole n ponds_2]]/500,0)</f>
        <v>0</v>
      </c>
      <c r="BI222" s="208">
        <f>1-WWWW[[#This Row],[%Equitable and continuous access to sufficient quantity of domestic water borehole n ponds]]</f>
        <v>1</v>
      </c>
      <c r="BJ222" s="209">
        <f>WWWW[[#This Row],[%equitable and continuous access to sufficient quantity of safe drinking and domestic water''s GAP]]*WWWW[[#This Row],[Total PoP ]]</f>
        <v>343</v>
      </c>
      <c r="BK222" s="210">
        <f>IF(WWWW[[#This Row],[Total required water points]]-WWWW[[#This Row],['#Water points coverage]]&lt;0,0,WWWW[[#This Row],[Total required water points]]-WWWW[[#This Row],['#Water points coverage]])</f>
        <v>1</v>
      </c>
      <c r="BL222" s="210">
        <f>ROUND(IF(WWWW[[#This Row],[Total PoP ]]&lt;500,1,WWWW[[#This Row],[Total PoP ]]/500),0)</f>
        <v>1</v>
      </c>
      <c r="BM222" s="210">
        <f>WWWW[[#This Row],['# Existing functional latrines]]+WWWW[[#This Row],['# Existing latrines dysfunctional]]</f>
        <v>4</v>
      </c>
      <c r="BN22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6.9970845481049565E-2</v>
      </c>
      <c r="BO222" s="352">
        <f>WWWW[[#This Row],[% people access to functioning Latrine]]*WWWW[[#This Row],[Total PoP ]]</f>
        <v>24</v>
      </c>
      <c r="BP22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0.9271137026239068</v>
      </c>
      <c r="BQ222" s="209">
        <f>IF(WWWW[[#This Row],[Total required Latrines]]-WWWW[[#This Row],[Total '# of latrine]]&lt;0,0,WWWW[[#This Row],[Total required Latrines]]-WWWW[[#This Row],[Total '# of latrine]])</f>
        <v>53</v>
      </c>
      <c r="BR222" s="210">
        <f>ROUND(IF(WWWW[[#This Row],[Location Type 1]]="camp",WWWW[[#This Row],[Total PoP ]]/20,WWWW[[#This Row],[Total PoP ]]/6),0)</f>
        <v>57</v>
      </c>
      <c r="BS222" s="212">
        <f>IF(OR(WWWW[[#This Row],['# Existing latrines dysfunctional]]="",WWWW[[#This Row],['# Existing latrines dysfunctional]]=0),0,WWWW[[#This Row],['# Existing latrines dysfunctional]]/WWWW[[#This Row],[Total '# of latrine]])</f>
        <v>0</v>
      </c>
      <c r="BT22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2" s="209">
        <f>IF(500*WWWW[[#This Row],['# Hygiene Promoters ]]&gt;WWWW[[#This Row],[Total PoP ]],WWWW[[#This Row],[Total PoP ]],500*WWWW[[#This Row],['# Hygiene Promoters ]])</f>
        <v>0</v>
      </c>
      <c r="BV222" s="209">
        <f>IF(WWWW[[#This Row],[% of HH with access to Sanitary Pad]]&gt;=100%,1,0)</f>
        <v>0</v>
      </c>
      <c r="BW222" s="209">
        <f>IF(WWWW[[#This Row],[Total PoP ]]=0,0,IF(WWWW[[#This Row],['# Hygiene Promoters ]]=0,0,IF(WWWW[[#This Row],[Location Type 1]]="Village",IF(WWWW[[#This Row],[Total PoP ]]/WWWW[[#This Row],['# Hygiene Promoters ]]&lt;1000,1,0),IF(WWWW[[#This Row],[Total PoP ]]/WWWW[[#This Row],['# Hygiene Promoters ]]&lt;600,1,0))))</f>
        <v>0</v>
      </c>
      <c r="BX222" s="209">
        <f>IF(WWWW[[#This Row],[%HH with access to soap]]&gt;=100%,1,0)</f>
        <v>0</v>
      </c>
      <c r="BY222" s="209">
        <f>IF(WWWW[[#This Row],[% of HHs with access to Sanitary pad more than '#%]]+WWWW[[#This Row],[Ratio of Hyiene promoters to people less than '#]]+WWWW[[#This Row],[% of HHs with access to soap more than '#%]]&gt;=2,WWWW[[#This Row],[Total PoP ]],0)</f>
        <v>0</v>
      </c>
      <c r="BZ222" s="208">
        <f>WWWW[[#This Row],[People adopt basic personal and community hygiene practices]]/WWWW[[#This Row],[Total PoP ]]</f>
        <v>0</v>
      </c>
      <c r="CA222" s="212">
        <f>1-WWWW[[#This Row],[Hygiene Coverage%]]</f>
        <v>1</v>
      </c>
      <c r="CB222" s="211">
        <f>WWWW[[#This Row],['# people reached by regular dedicated hygiene promotion_5]]/WWWW[[#This Row],[Total PoP ]]</f>
        <v>0</v>
      </c>
      <c r="CC222" s="211">
        <f>IF(WWWW[[#This Row],['# HH received soaps]]/WWWW[[#This Row],[Total HH]]&gt;1,1,WWWW[[#This Row],['# HH received soaps]]/WWWW[[#This Row],[Total HH]])</f>
        <v>0</v>
      </c>
      <c r="CD222" s="211">
        <f>IF(WWWW[[#This Row],['# HH received Sanitary Pads]]/WWWW[[#This Row],[Total HH]]&gt;1,1,WWWW[[#This Row],['# HH received Sanitary Pads]]/WWWW[[#This Row],[Total HH]])</f>
        <v>0</v>
      </c>
      <c r="CE222" s="210">
        <f>WWWW[[#This Row],['# HH received soaps]]*5</f>
        <v>0</v>
      </c>
      <c r="CF222" s="210">
        <f>WWWW[[#This Row],['# HH received Sanitary Pads]]*5</f>
        <v>0</v>
      </c>
      <c r="CG222" s="210">
        <f>IF(WWWW[[#This Row],['# People with access to soap]]&gt;WWWW[[#This Row],['# People with access to Sanity Pads]],WWWW[[#This Row],['# People with access to soap]],WWWW[[#This Row],['# People with access to Sanity Pads]])</f>
        <v>0</v>
      </c>
      <c r="CH222" s="209">
        <f>WWWW[[#This Row],[Total HH]]*WWWW[[#This Row],[%HHs with access to functional hand washing stations]]</f>
        <v>0</v>
      </c>
      <c r="CI222" s="699">
        <f>VLOOKUP(WWWW[[#This Row],[Site Name]],SiteDB6[[Site Name]:[CCCM Management]],6,FALSE)</f>
        <v>0</v>
      </c>
      <c r="CJ222" s="699">
        <f>VLOOKUP(WWWW[[#This Row],[Site Name]],SiteDB6[[Site Name]:[CCCM Focal Agency]],7,FALSE)</f>
        <v>0</v>
      </c>
      <c r="CK222" s="699" t="str">
        <f>VLOOKUP(WWWW[[#This Row],[Site Name]],SiteDB6[[Site Name]:[Location Type]],8,FALSE)</f>
        <v>Village_Not HRP</v>
      </c>
      <c r="CL222" s="699" t="str">
        <f>VLOOKUP(WWWW[[#This Row],[Site Name]],SiteDB6[[Site Name]:[Location Type 1]],9,FALSE)</f>
        <v>Village</v>
      </c>
      <c r="CM222" s="699" t="str">
        <f>VLOOKUP(WWWW[[#This Row],[Site Name]],SiteDB6[[Site Name]:[Type of Accommodation]],10,FALSE)</f>
        <v>Village_Not HRP</v>
      </c>
      <c r="CN222" s="699" t="str">
        <f>VLOOKUP(WWWW[[#This Row],[Site Name]],SiteDB6[[Site Name]:[Ethnic or GCA/NGCA]],11,FALSE)</f>
        <v>Mro</v>
      </c>
      <c r="CO222" s="699">
        <f>VLOOKUP(WWWW[[#This Row],[Site Name]],SiteDB6[[Site Name]:[Lat]],12,FALSE)</f>
        <v>20.803529739379901</v>
      </c>
      <c r="CP222" s="699">
        <f>VLOOKUP(WWWW[[#This Row],[Site Name]],SiteDB6[[Site Name]:[Long]],13,FALSE)</f>
        <v>92.929466247558594</v>
      </c>
      <c r="CQ222" s="699" t="str">
        <f>VLOOKUP(WWWW[[#This Row],[Site Name]],SiteDB6[[Site Name]:[Pcode]],3,FALSE)</f>
        <v>196883</v>
      </c>
      <c r="CR222" s="660" t="str">
        <f t="shared" si="4"/>
        <v>Covered</v>
      </c>
      <c r="CS222" s="699" t="s">
        <v>2738</v>
      </c>
      <c r="CT222" s="24"/>
      <c r="CU222" s="24"/>
      <c r="CV222" s="24"/>
    </row>
    <row r="223" spans="1:100" ht="16.5" customHeight="1" thickBot="1" x14ac:dyDescent="0.3">
      <c r="A223" s="833" t="s">
        <v>3206</v>
      </c>
      <c r="B223" s="206" t="s">
        <v>479</v>
      </c>
      <c r="C223" s="206" t="s">
        <v>454</v>
      </c>
      <c r="D223" s="206" t="s">
        <v>463</v>
      </c>
      <c r="E223" s="206" t="s">
        <v>713</v>
      </c>
      <c r="F223" s="206">
        <v>326</v>
      </c>
      <c r="G223" s="398">
        <v>1786</v>
      </c>
      <c r="H223" s="206"/>
      <c r="I223" s="206" t="s">
        <v>495</v>
      </c>
      <c r="J223" s="207">
        <v>43616</v>
      </c>
      <c r="K223" s="206">
        <v>0</v>
      </c>
      <c r="L223" s="206" t="s">
        <v>2454</v>
      </c>
      <c r="M223" s="208">
        <v>0</v>
      </c>
      <c r="N223" s="208">
        <v>0</v>
      </c>
      <c r="O223" s="323">
        <v>0</v>
      </c>
      <c r="P223" s="317">
        <v>0</v>
      </c>
      <c r="Q223" s="317">
        <v>0</v>
      </c>
      <c r="R223" s="318">
        <v>0</v>
      </c>
      <c r="S223" s="318">
        <v>0</v>
      </c>
      <c r="T223" s="318"/>
      <c r="U223" s="318"/>
      <c r="V223" s="318"/>
      <c r="W223" s="318"/>
      <c r="X223" s="318"/>
      <c r="Y223" s="318"/>
      <c r="Z223" s="318"/>
      <c r="AA223" s="310">
        <v>0</v>
      </c>
      <c r="AB223" s="310">
        <v>0</v>
      </c>
      <c r="AC223" s="66"/>
      <c r="AD223" s="66"/>
      <c r="AE223" s="310">
        <v>0</v>
      </c>
      <c r="AF223" s="310" t="s">
        <v>1358</v>
      </c>
      <c r="AG223" s="311" t="s">
        <v>1358</v>
      </c>
      <c r="AH223" s="66"/>
      <c r="AI223" s="66"/>
      <c r="AJ223" s="311"/>
      <c r="AK223" s="841">
        <v>0</v>
      </c>
      <c r="AL223" s="846"/>
      <c r="AM223" s="844">
        <v>0</v>
      </c>
      <c r="AN223" s="863">
        <v>0</v>
      </c>
      <c r="AO223" s="863">
        <v>0</v>
      </c>
      <c r="AP223" s="843"/>
      <c r="AQ223" s="843"/>
      <c r="AR223" s="843"/>
      <c r="AS223" s="843"/>
      <c r="AT223" s="843"/>
      <c r="AU223" s="843"/>
      <c r="AV223" s="844"/>
      <c r="AW223" s="208" t="str">
        <f>IFERROR(WWWW[[#This Row],['# of Water passed at source]]/WWWW[[#This Row],['# of Water tested at source]],"no test")</f>
        <v>no test</v>
      </c>
      <c r="AX223" s="211" t="str">
        <f>IFERROR(WWWW[[#This Row],['# of Water passed at HH]]/WWWW[[#This Row],['# of Water tested at HH]],"no test")</f>
        <v>no test</v>
      </c>
      <c r="AY223" s="210" t="str">
        <f>IF(AND(WWWW[[#This Row],[%of Water samples which passed at water source]]="no test",WWWW[[#This Row],[%Water samples which passed at HH]]="no test"),"No Test","Tested")</f>
        <v>No Test</v>
      </c>
      <c r="AZ22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3" s="211">
        <f>IF(WWWW[[#This Row],[Location Type 1]]="Village",WWWW[[#This Row],[Access to safe drinking water for Village]],WWWW[[#This Row],[Access to safe drinking water for Camp]])</f>
        <v>0</v>
      </c>
      <c r="BC223" s="209">
        <f>WWWW[[#This Row],[%Equitable and continuous access to sufficient quantity of safe drinking water]]*WWWW[[#This Row],[Total PoP ]]</f>
        <v>0</v>
      </c>
      <c r="BD223" s="211">
        <f>IF((WWWW[[#This Row],['# Existing protected/fenced ponds ]]*250)/WWWW[[#This Row],[Total PoP ]]&gt;1,1,WWWW[[#This Row],['# Existing protected/fenced ponds ]]*250/WWWW[[#This Row],[Total PoP ]])</f>
        <v>0</v>
      </c>
      <c r="BE223" s="209">
        <f>WWWW[[#This Row],[Access to unimproved water points]]*WWWW[[#This Row],[Total PoP ]]</f>
        <v>0</v>
      </c>
      <c r="BF22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3" s="209">
        <f>ROUND(WWWW[[#This Row],['#people Equitable and continuous access to sufficient quantity of domestic water borehole n ponds_2]]/500,0)</f>
        <v>0</v>
      </c>
      <c r="BI223" s="208">
        <f>1-WWWW[[#This Row],[%Equitable and continuous access to sufficient quantity of domestic water borehole n ponds]]</f>
        <v>1</v>
      </c>
      <c r="BJ223" s="209">
        <f>WWWW[[#This Row],[%equitable and continuous access to sufficient quantity of safe drinking and domestic water''s GAP]]*WWWW[[#This Row],[Total PoP ]]</f>
        <v>1786</v>
      </c>
      <c r="BK223" s="210">
        <f>IF(WWWW[[#This Row],[Total required water points]]-WWWW[[#This Row],['#Water points coverage]]&lt;0,0,WWWW[[#This Row],[Total required water points]]-WWWW[[#This Row],['#Water points coverage]])</f>
        <v>4</v>
      </c>
      <c r="BL223" s="210">
        <f>ROUND(IF(WWWW[[#This Row],[Total PoP ]]&lt;500,1,WWWW[[#This Row],[Total PoP ]]/500),0)</f>
        <v>4</v>
      </c>
      <c r="BM223" s="210">
        <f>WWWW[[#This Row],['# Existing functional latrines]]+WWWW[[#This Row],['# Existing latrines dysfunctional]]</f>
        <v>0</v>
      </c>
      <c r="BN22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23" s="352">
        <f>WWWW[[#This Row],[% people access to functioning Latrine]]*WWWW[[#This Row],[Total PoP ]]</f>
        <v>0</v>
      </c>
      <c r="BP22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23" s="209">
        <f>IF(WWWW[[#This Row],[Total required Latrines]]-WWWW[[#This Row],[Total '# of latrine]]&lt;0,0,WWWW[[#This Row],[Total required Latrines]]-WWWW[[#This Row],[Total '# of latrine]])</f>
        <v>298</v>
      </c>
      <c r="BR223" s="210">
        <f>ROUND(IF(WWWW[[#This Row],[Location Type 1]]="camp",WWWW[[#This Row],[Total PoP ]]/20,WWWW[[#This Row],[Total PoP ]]/6),0)</f>
        <v>298</v>
      </c>
      <c r="BS223" s="212">
        <f>IF(OR(WWWW[[#This Row],['# Existing latrines dysfunctional]]="",WWWW[[#This Row],['# Existing latrines dysfunctional]]=0),0,WWWW[[#This Row],['# Existing latrines dysfunctional]]/WWWW[[#This Row],[Total '# of latrine]])</f>
        <v>0</v>
      </c>
      <c r="BT22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3" s="209">
        <f>IF(500*WWWW[[#This Row],['# Hygiene Promoters ]]&gt;WWWW[[#This Row],[Total PoP ]],WWWW[[#This Row],[Total PoP ]],500*WWWW[[#This Row],['# Hygiene Promoters ]])</f>
        <v>0</v>
      </c>
      <c r="BV223" s="209">
        <f>IF(WWWW[[#This Row],[% of HH with access to Sanitary Pad]]&gt;=100%,1,0)</f>
        <v>0</v>
      </c>
      <c r="BW223" s="209">
        <f>IF(WWWW[[#This Row],[Total PoP ]]=0,0,IF(WWWW[[#This Row],['# Hygiene Promoters ]]=0,0,IF(WWWW[[#This Row],[Location Type 1]]="Village",IF(WWWW[[#This Row],[Total PoP ]]/WWWW[[#This Row],['# Hygiene Promoters ]]&lt;1000,1,0),IF(WWWW[[#This Row],[Total PoP ]]/WWWW[[#This Row],['# Hygiene Promoters ]]&lt;600,1,0))))</f>
        <v>0</v>
      </c>
      <c r="BX223" s="209">
        <f>IF(WWWW[[#This Row],[%HH with access to soap]]&gt;=100%,1,0)</f>
        <v>0</v>
      </c>
      <c r="BY223" s="209">
        <f>IF(WWWW[[#This Row],[% of HHs with access to Sanitary pad more than '#%]]+WWWW[[#This Row],[Ratio of Hyiene promoters to people less than '#]]+WWWW[[#This Row],[% of HHs with access to soap more than '#%]]&gt;=2,WWWW[[#This Row],[Total PoP ]],0)</f>
        <v>0</v>
      </c>
      <c r="BZ223" s="208">
        <f>WWWW[[#This Row],[People adopt basic personal and community hygiene practices]]/WWWW[[#This Row],[Total PoP ]]</f>
        <v>0</v>
      </c>
      <c r="CA223" s="212">
        <f>1-WWWW[[#This Row],[Hygiene Coverage%]]</f>
        <v>1</v>
      </c>
      <c r="CB223" s="211">
        <f>WWWW[[#This Row],['# people reached by regular dedicated hygiene promotion_5]]/WWWW[[#This Row],[Total PoP ]]</f>
        <v>0</v>
      </c>
      <c r="CC223" s="211">
        <f>IF(WWWW[[#This Row],['# HH received soaps]]/WWWW[[#This Row],[Total HH]]&gt;1,1,WWWW[[#This Row],['# HH received soaps]]/WWWW[[#This Row],[Total HH]])</f>
        <v>0</v>
      </c>
      <c r="CD223" s="211">
        <f>IF(WWWW[[#This Row],['# HH received Sanitary Pads]]/WWWW[[#This Row],[Total HH]]&gt;1,1,WWWW[[#This Row],['# HH received Sanitary Pads]]/WWWW[[#This Row],[Total HH]])</f>
        <v>0</v>
      </c>
      <c r="CE223" s="210">
        <f>WWWW[[#This Row],['# HH received soaps]]*5</f>
        <v>0</v>
      </c>
      <c r="CF223" s="210">
        <f>WWWW[[#This Row],['# HH received Sanitary Pads]]*5</f>
        <v>0</v>
      </c>
      <c r="CG223" s="210">
        <f>IF(WWWW[[#This Row],['# People with access to soap]]&gt;WWWW[[#This Row],['# People with access to Sanity Pads]],WWWW[[#This Row],['# People with access to soap]],WWWW[[#This Row],['# People with access to Sanity Pads]])</f>
        <v>0</v>
      </c>
      <c r="CH223" s="209">
        <f>WWWW[[#This Row],[Total HH]]*WWWW[[#This Row],[%HHs with access to functional hand washing stations]]</f>
        <v>0</v>
      </c>
      <c r="CI223" s="699">
        <f>VLOOKUP(WWWW[[#This Row],[Site Name]],SiteDB6[[Site Name]:[CCCM Management]],6,FALSE)</f>
        <v>0</v>
      </c>
      <c r="CJ223" s="699">
        <f>VLOOKUP(WWWW[[#This Row],[Site Name]],SiteDB6[[Site Name]:[CCCM Focal Agency]],7,FALSE)</f>
        <v>0</v>
      </c>
      <c r="CK223" s="699" t="str">
        <f>VLOOKUP(WWWW[[#This Row],[Site Name]],SiteDB6[[Site Name]:[Location Type]],8,FALSE)</f>
        <v>Village</v>
      </c>
      <c r="CL223" s="699" t="str">
        <f>VLOOKUP(WWWW[[#This Row],[Site Name]],SiteDB6[[Site Name]:[Location Type 1]],9,FALSE)</f>
        <v>Village</v>
      </c>
      <c r="CM223" s="699" t="str">
        <f>VLOOKUP(WWWW[[#This Row],[Site Name]],SiteDB6[[Site Name]:[Type of Accommodation]],10,FALSE)</f>
        <v>Returned</v>
      </c>
      <c r="CN223" s="699" t="str">
        <f>VLOOKUP(WWWW[[#This Row],[Site Name]],SiteDB6[[Site Name]:[Ethnic or GCA/NGCA]],11,FALSE)</f>
        <v>Muslim</v>
      </c>
      <c r="CO223" s="699">
        <f>VLOOKUP(WWWW[[#This Row],[Site Name]],SiteDB6[[Site Name]:[Lat]],12,FALSE)</f>
        <v>20.696819999999999</v>
      </c>
      <c r="CP223" s="699">
        <f>VLOOKUP(WWWW[[#This Row],[Site Name]],SiteDB6[[Site Name]:[Long]],13,FALSE)</f>
        <v>93.009900000000002</v>
      </c>
      <c r="CQ223" s="699" t="str">
        <f>VLOOKUP(WWWW[[#This Row],[Site Name]],SiteDB6[[Site Name]:[Pcode]],3,FALSE)</f>
        <v>MMR012CMP026</v>
      </c>
      <c r="CR223" s="660" t="str">
        <f t="shared" si="4"/>
        <v>Covered</v>
      </c>
      <c r="CS223" s="699" t="s">
        <v>2738</v>
      </c>
      <c r="CT223" s="24"/>
      <c r="CU223" s="24"/>
      <c r="CV223" s="24"/>
    </row>
    <row r="224" spans="1:100" ht="16.5" customHeight="1" thickBot="1" x14ac:dyDescent="0.3">
      <c r="A224" s="833" t="s">
        <v>3206</v>
      </c>
      <c r="B224" s="206" t="s">
        <v>479</v>
      </c>
      <c r="C224" s="206" t="s">
        <v>454</v>
      </c>
      <c r="D224" s="206" t="s">
        <v>463</v>
      </c>
      <c r="E224" s="206" t="s">
        <v>3230</v>
      </c>
      <c r="F224" s="206">
        <v>113</v>
      </c>
      <c r="G224" s="398">
        <v>531</v>
      </c>
      <c r="H224" s="206"/>
      <c r="I224" s="206" t="s">
        <v>449</v>
      </c>
      <c r="J224" s="207">
        <v>43738</v>
      </c>
      <c r="K224" s="206">
        <v>30</v>
      </c>
      <c r="L224" s="206" t="s">
        <v>2454</v>
      </c>
      <c r="M224" s="208">
        <v>0</v>
      </c>
      <c r="N224" s="208">
        <v>0</v>
      </c>
      <c r="O224" s="323">
        <v>0</v>
      </c>
      <c r="P224" s="317">
        <v>0</v>
      </c>
      <c r="Q224" s="317">
        <v>0</v>
      </c>
      <c r="R224" s="318">
        <v>0</v>
      </c>
      <c r="S224" s="318"/>
      <c r="T224" s="318"/>
      <c r="U224" s="318"/>
      <c r="V224" s="318"/>
      <c r="W224" s="318"/>
      <c r="X224" s="318"/>
      <c r="Y224" s="318"/>
      <c r="Z224" s="318"/>
      <c r="AA224" s="310"/>
      <c r="AB224" s="311"/>
      <c r="AC224" s="66"/>
      <c r="AD224" s="66"/>
      <c r="AE224" s="310"/>
      <c r="AF224" s="310" t="s">
        <v>286</v>
      </c>
      <c r="AG224" s="311"/>
      <c r="AH224" s="66"/>
      <c r="AI224" s="66"/>
      <c r="AJ224" s="311"/>
      <c r="AK224" s="841">
        <v>0</v>
      </c>
      <c r="AL224" s="846"/>
      <c r="AM224" s="844">
        <v>0</v>
      </c>
      <c r="AN224" s="863">
        <v>0</v>
      </c>
      <c r="AO224" s="863"/>
      <c r="AP224" s="843"/>
      <c r="AQ224" s="843"/>
      <c r="AR224" s="843"/>
      <c r="AS224" s="843"/>
      <c r="AT224" s="843"/>
      <c r="AU224" s="843"/>
      <c r="AV224" s="844"/>
      <c r="AW224" s="208" t="str">
        <f>IFERROR(WWWW[[#This Row],['# of Water passed at source]]/WWWW[[#This Row],['# of Water tested at source]],"no test")</f>
        <v>no test</v>
      </c>
      <c r="AX224" s="211" t="str">
        <f>IFERROR(WWWW[[#This Row],['# of Water passed at HH]]/WWWW[[#This Row],['# of Water tested at HH]],"no test")</f>
        <v>no test</v>
      </c>
      <c r="AY224" s="210" t="str">
        <f>IF(AND(WWWW[[#This Row],[%of Water samples which passed at water source]]="no test",WWWW[[#This Row],[%Water samples which passed at HH]]="no test"),"No Test","Tested")</f>
        <v>No Test</v>
      </c>
      <c r="AZ22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4" s="211">
        <f>IF(WWWW[[#This Row],[Location Type 1]]="Village",WWWW[[#This Row],[Access to safe drinking water for Village]],WWWW[[#This Row],[Access to safe drinking water for Camp]])</f>
        <v>0</v>
      </c>
      <c r="BC224" s="209">
        <f>WWWW[[#This Row],[%Equitable and continuous access to sufficient quantity of safe drinking water]]*WWWW[[#This Row],[Total PoP ]]</f>
        <v>0</v>
      </c>
      <c r="BD224" s="211">
        <f>IF((WWWW[[#This Row],['# Existing protected/fenced ponds ]]*250)/WWWW[[#This Row],[Total PoP ]]&gt;1,1,WWWW[[#This Row],['# Existing protected/fenced ponds ]]*250/WWWW[[#This Row],[Total PoP ]])</f>
        <v>0</v>
      </c>
      <c r="BE224" s="209">
        <f>WWWW[[#This Row],[Access to unimproved water points]]*WWWW[[#This Row],[Total PoP ]]</f>
        <v>0</v>
      </c>
      <c r="BF22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4" s="209">
        <f>WWWW[[#This Row],['#people Equitable and continuous access to sufficient quantity of domestic water borehole n ponds_2]]/500</f>
        <v>0</v>
      </c>
      <c r="BI224" s="208">
        <f>1-WWWW[[#This Row],[%Equitable and continuous access to sufficient quantity of domestic water borehole n ponds]]</f>
        <v>1</v>
      </c>
      <c r="BJ224" s="209">
        <f>WWWW[[#This Row],[%equitable and continuous access to sufficient quantity of safe drinking and domestic water''s GAP]]*WWWW[[#This Row],[Total PoP ]]</f>
        <v>531</v>
      </c>
      <c r="BK224" s="210">
        <f>IF(WWWW[[#This Row],[Total required water points]]-WWWW[[#This Row],['#Water points coverage]]&lt;0,0,WWWW[[#This Row],[Total required water points]]-WWWW[[#This Row],['#Water points coverage]])</f>
        <v>1</v>
      </c>
      <c r="BL224" s="210">
        <f>ROUND(IF(WWWW[[#This Row],[Total PoP ]]&lt;500,1,WWWW[[#This Row],[Total PoP ]]/500),0)</f>
        <v>1</v>
      </c>
      <c r="BM224" s="210">
        <f>WWWW[[#This Row],['# Existing functional latrines]]+WWWW[[#This Row],['# Existing latrines dysfunctional]]</f>
        <v>0</v>
      </c>
      <c r="BN22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24" s="352">
        <f>WWWW[[#This Row],[% people access to functioning Latrine]]*WWWW[[#This Row],[Total PoP ]]</f>
        <v>0</v>
      </c>
      <c r="BP22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24" s="209">
        <f>IF(WWWW[[#This Row],[Total required Latrines]]-WWWW[[#This Row],[Total '# of latrine]]&lt;0,0,WWWW[[#This Row],[Total required Latrines]]-WWWW[[#This Row],[Total '# of latrine]])</f>
        <v>89</v>
      </c>
      <c r="BR224" s="210">
        <f>ROUND(IF(WWWW[[#This Row],[Location Type 1]]="camp",WWWW[[#This Row],[Total PoP ]]/20,WWWW[[#This Row],[Total PoP ]]/6),0)</f>
        <v>89</v>
      </c>
      <c r="BS224" s="212">
        <f>IF(OR(WWWW[[#This Row],['# Existing latrines dysfunctional]]="",WWWW[[#This Row],['# Existing latrines dysfunctional]]=0),0,WWWW[[#This Row],['# Existing latrines dysfunctional]]/WWWW[[#This Row],[Total '# of latrine]])</f>
        <v>0</v>
      </c>
      <c r="BT22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4" s="209">
        <f>IF(500*WWWW[[#This Row],['# Hygiene Promoters ]]&gt;WWWW[[#This Row],[Total PoP ]],WWWW[[#This Row],[Total PoP ]],500*WWWW[[#This Row],['# Hygiene Promoters ]])</f>
        <v>0</v>
      </c>
      <c r="BV224" s="209">
        <f>IF(WWWW[[#This Row],[% of HH with access to Sanitary Pad]]&gt;=100%,1,0)</f>
        <v>0</v>
      </c>
      <c r="BW224" s="209">
        <f>IF(WWWW[[#This Row],[Total PoP ]]=0,0,IF(WWWW[[#This Row],['# Hygiene Promoters ]]=0,0,IF(WWWW[[#This Row],[Location Type 1]]="Village",IF(WWWW[[#This Row],[Total PoP ]]/WWWW[[#This Row],['# Hygiene Promoters ]]&lt;1000,1,0),IF(WWWW[[#This Row],[Total PoP ]]/WWWW[[#This Row],['# Hygiene Promoters ]]&lt;600,1,0))))</f>
        <v>0</v>
      </c>
      <c r="BX224" s="209">
        <f>IF(WWWW[[#This Row],[%HH with access to soap]]&gt;=100%,1,0)</f>
        <v>0</v>
      </c>
      <c r="BY224" s="209">
        <f>IF(WWWW[[#This Row],[% of HHs with access to Sanitary pad more than '#%]]+WWWW[[#This Row],[Ratio of Hyiene promoters to people less than '#]]+WWWW[[#This Row],[% of HHs with access to soap more than '#%]]&gt;=2,WWWW[[#This Row],[Total PoP ]],0)</f>
        <v>0</v>
      </c>
      <c r="BZ224" s="208">
        <f>WWWW[[#This Row],[People adopt basic personal and community hygiene practices]]/WWWW[[#This Row],[Total PoP ]]</f>
        <v>0</v>
      </c>
      <c r="CA224" s="212">
        <f>1-WWWW[[#This Row],[Hygiene Coverage%]]</f>
        <v>1</v>
      </c>
      <c r="CB224" s="211">
        <f>WWWW[[#This Row],['# people reached by regular dedicated hygiene promotion_5]]/WWWW[[#This Row],[Total PoP ]]</f>
        <v>0</v>
      </c>
      <c r="CC224" s="211">
        <f>IF(WWWW[[#This Row],['# HH received soaps]]/WWWW[[#This Row],[Total HH]]&gt;1,1,WWWW[[#This Row],['# HH received soaps]]/WWWW[[#This Row],[Total HH]])</f>
        <v>0</v>
      </c>
      <c r="CD224" s="211">
        <f>IF(WWWW[[#This Row],['# HH received Sanitary Pads]]/WWWW[[#This Row],[Total HH]]&gt;1,1,WWWW[[#This Row],['# HH received Sanitary Pads]]/WWWW[[#This Row],[Total HH]])</f>
        <v>0</v>
      </c>
      <c r="CE224" s="210">
        <f>WWWW[[#This Row],['# HH received soaps]]*5</f>
        <v>0</v>
      </c>
      <c r="CF224" s="210">
        <f>WWWW[[#This Row],['# HH received Sanitary Pads]]*5</f>
        <v>0</v>
      </c>
      <c r="CG224" s="210">
        <f>IF(WWWW[[#This Row],['# People with access to soap]]&gt;WWWW[[#This Row],['# People with access to Sanity Pads]],WWWW[[#This Row],['# People with access to soap]],WWWW[[#This Row],['# People with access to Sanity Pads]])</f>
        <v>0</v>
      </c>
      <c r="CH224" s="209">
        <f>WWWW[[#This Row],[Total HH]]*WWWW[[#This Row],[%HHs with access to functional hand washing stations]]</f>
        <v>0</v>
      </c>
      <c r="CI224" s="699">
        <f>VLOOKUP(WWWW[[#This Row],[Site Name]],SiteDB6[[Site Name]:[CCCM Management]],6,FALSE)</f>
        <v>0</v>
      </c>
      <c r="CJ224" s="699">
        <f>VLOOKUP(WWWW[[#This Row],[Site Name]],SiteDB6[[Site Name]:[CCCM Focal Agency]],7,FALSE)</f>
        <v>0</v>
      </c>
      <c r="CK224" s="699" t="str">
        <f>VLOOKUP(WWWW[[#This Row],[Site Name]],SiteDB6[[Site Name]:[Location Type]],8,FALSE)</f>
        <v>Village</v>
      </c>
      <c r="CL224" s="699" t="str">
        <f>VLOOKUP(WWWW[[#This Row],[Site Name]],SiteDB6[[Site Name]:[Location Type 1]],9,FALSE)</f>
        <v>Village</v>
      </c>
      <c r="CM224" s="699" t="str">
        <f>VLOOKUP(WWWW[[#This Row],[Site Name]],SiteDB6[[Site Name]:[Type of Accommodation]],10,FALSE)</f>
        <v>Village</v>
      </c>
      <c r="CN224" s="699">
        <f>VLOOKUP(WWWW[[#This Row],[Site Name]],SiteDB6[[Site Name]:[Ethnic or GCA/NGCA]],11,FALSE)</f>
        <v>0</v>
      </c>
      <c r="CO224" s="699">
        <f>VLOOKUP(WWWW[[#This Row],[Site Name]],SiteDB6[[Site Name]:[Lat]],12,FALSE)</f>
        <v>20.896429061889599</v>
      </c>
      <c r="CP224" s="699">
        <f>VLOOKUP(WWWW[[#This Row],[Site Name]],SiteDB6[[Site Name]:[Long]],13,FALSE)</f>
        <v>92.940193176269503</v>
      </c>
      <c r="CQ224" s="699">
        <f>VLOOKUP(WWWW[[#This Row],[Site Name]],SiteDB6[[Site Name]:[Pcode]],3,FALSE)</f>
        <v>196804</v>
      </c>
      <c r="CR224" s="660" t="str">
        <f t="shared" si="4"/>
        <v>Covered</v>
      </c>
      <c r="CS224" s="699"/>
      <c r="CT224" s="24"/>
      <c r="CU224" s="24"/>
      <c r="CV224" s="24"/>
    </row>
    <row r="225" spans="1:100" ht="15.75" customHeight="1" x14ac:dyDescent="0.25">
      <c r="A225" s="833" t="s">
        <v>3206</v>
      </c>
      <c r="B225" s="206" t="s">
        <v>479</v>
      </c>
      <c r="C225" s="206" t="s">
        <v>454</v>
      </c>
      <c r="D225" s="206" t="s">
        <v>463</v>
      </c>
      <c r="E225" s="206" t="s">
        <v>3231</v>
      </c>
      <c r="F225" s="206">
        <v>120</v>
      </c>
      <c r="G225" s="832">
        <v>770</v>
      </c>
      <c r="H225" s="206"/>
      <c r="I225" s="206" t="s">
        <v>449</v>
      </c>
      <c r="J225" s="207">
        <v>43738</v>
      </c>
      <c r="K225" s="206">
        <v>30</v>
      </c>
      <c r="L225" s="206" t="s">
        <v>2454</v>
      </c>
      <c r="M225" s="208">
        <v>0</v>
      </c>
      <c r="N225" s="208">
        <v>0</v>
      </c>
      <c r="O225" s="323">
        <v>0</v>
      </c>
      <c r="P225" s="317">
        <v>0</v>
      </c>
      <c r="Q225" s="317">
        <v>0</v>
      </c>
      <c r="R225" s="318">
        <v>0</v>
      </c>
      <c r="S225" s="318"/>
      <c r="T225" s="318"/>
      <c r="U225" s="318"/>
      <c r="V225" s="318"/>
      <c r="W225" s="318"/>
      <c r="X225" s="318"/>
      <c r="Y225" s="318"/>
      <c r="Z225" s="318"/>
      <c r="AA225" s="310"/>
      <c r="AB225" s="311"/>
      <c r="AC225" s="66"/>
      <c r="AD225" s="66"/>
      <c r="AE225" s="310"/>
      <c r="AF225" s="310" t="s">
        <v>286</v>
      </c>
      <c r="AG225" s="311" t="s">
        <v>286</v>
      </c>
      <c r="AH225" s="66"/>
      <c r="AI225" s="66"/>
      <c r="AJ225" s="311"/>
      <c r="AK225" s="841">
        <v>0</v>
      </c>
      <c r="AL225" s="846"/>
      <c r="AM225" s="844">
        <v>0</v>
      </c>
      <c r="AN225" s="863">
        <v>0</v>
      </c>
      <c r="AO225" s="863"/>
      <c r="AP225" s="843"/>
      <c r="AQ225" s="843"/>
      <c r="AR225" s="843"/>
      <c r="AS225" s="843"/>
      <c r="AT225" s="843"/>
      <c r="AU225" s="843"/>
      <c r="AV225" s="844"/>
      <c r="AW225" s="208" t="str">
        <f>IFERROR(WWWW[[#This Row],['# of Water passed at source]]/WWWW[[#This Row],['# of Water tested at source]],"no test")</f>
        <v>no test</v>
      </c>
      <c r="AX225" s="211" t="str">
        <f>IFERROR(WWWW[[#This Row],['# of Water passed at HH]]/WWWW[[#This Row],['# of Water tested at HH]],"no test")</f>
        <v>no test</v>
      </c>
      <c r="AY225" s="210" t="str">
        <f>IF(AND(WWWW[[#This Row],[%of Water samples which passed at water source]]="no test",WWWW[[#This Row],[%Water samples which passed at HH]]="no test"),"No Test","Tested")</f>
        <v>No Test</v>
      </c>
      <c r="AZ22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5" s="211">
        <f>IF(WWWW[[#This Row],[Location Type 1]]="Village",WWWW[[#This Row],[Access to safe drinking water for Village]],WWWW[[#This Row],[Access to safe drinking water for Camp]])</f>
        <v>0</v>
      </c>
      <c r="BC225" s="209">
        <f>WWWW[[#This Row],[%Equitable and continuous access to sufficient quantity of safe drinking water]]*WWWW[[#This Row],[Total PoP ]]</f>
        <v>0</v>
      </c>
      <c r="BD225" s="211">
        <f>IF((WWWW[[#This Row],['# Existing protected/fenced ponds ]]*250)/WWWW[[#This Row],[Total PoP ]]&gt;1,1,WWWW[[#This Row],['# Existing protected/fenced ponds ]]*250/WWWW[[#This Row],[Total PoP ]])</f>
        <v>0</v>
      </c>
      <c r="BE225" s="209">
        <f>WWWW[[#This Row],[Access to unimproved water points]]*WWWW[[#This Row],[Total PoP ]]</f>
        <v>0</v>
      </c>
      <c r="BF22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5" s="209">
        <f>WWWW[[#This Row],['#people Equitable and continuous access to sufficient quantity of domestic water borehole n ponds_2]]/500</f>
        <v>0</v>
      </c>
      <c r="BI225" s="208">
        <f>1-WWWW[[#This Row],[%Equitable and continuous access to sufficient quantity of domestic water borehole n ponds]]</f>
        <v>1</v>
      </c>
      <c r="BJ225" s="209">
        <f>WWWW[[#This Row],[%equitable and continuous access to sufficient quantity of safe drinking and domestic water''s GAP]]*WWWW[[#This Row],[Total PoP ]]</f>
        <v>770</v>
      </c>
      <c r="BK225" s="210">
        <f>IF(WWWW[[#This Row],[Total required water points]]-WWWW[[#This Row],['#Water points coverage]]&lt;0,0,WWWW[[#This Row],[Total required water points]]-WWWW[[#This Row],['#Water points coverage]])</f>
        <v>2</v>
      </c>
      <c r="BL225" s="210">
        <f>ROUND(IF(WWWW[[#This Row],[Total PoP ]]&lt;500,1,WWWW[[#This Row],[Total PoP ]]/500),0)</f>
        <v>2</v>
      </c>
      <c r="BM225" s="210">
        <f>WWWW[[#This Row],['# Existing functional latrines]]+WWWW[[#This Row],['# Existing latrines dysfunctional]]</f>
        <v>0</v>
      </c>
      <c r="BN22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25" s="352">
        <f>WWWW[[#This Row],[% people access to functioning Latrine]]*WWWW[[#This Row],[Total PoP ]]</f>
        <v>0</v>
      </c>
      <c r="BP22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0.99740259740259729</v>
      </c>
      <c r="BQ225" s="209">
        <f>IF(WWWW[[#This Row],[Total required Latrines]]-WWWW[[#This Row],[Total '# of latrine]]&lt;0,0,WWWW[[#This Row],[Total required Latrines]]-WWWW[[#This Row],[Total '# of latrine]])</f>
        <v>128</v>
      </c>
      <c r="BR225" s="210">
        <f>ROUND(IF(WWWW[[#This Row],[Location Type 1]]="camp",WWWW[[#This Row],[Total PoP ]]/20,WWWW[[#This Row],[Total PoP ]]/6),0)</f>
        <v>128</v>
      </c>
      <c r="BS225" s="212">
        <f>IF(OR(WWWW[[#This Row],['# Existing latrines dysfunctional]]="",WWWW[[#This Row],['# Existing latrines dysfunctional]]=0),0,WWWW[[#This Row],['# Existing latrines dysfunctional]]/WWWW[[#This Row],[Total '# of latrine]])</f>
        <v>0</v>
      </c>
      <c r="BT22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5" s="209">
        <f>IF(500*WWWW[[#This Row],['# Hygiene Promoters ]]&gt;WWWW[[#This Row],[Total PoP ]],WWWW[[#This Row],[Total PoP ]],500*WWWW[[#This Row],['# Hygiene Promoters ]])</f>
        <v>0</v>
      </c>
      <c r="BV225" s="209">
        <f>IF(WWWW[[#This Row],[% of HH with access to Sanitary Pad]]&gt;=100%,1,0)</f>
        <v>0</v>
      </c>
      <c r="BW225" s="209">
        <f>IF(WWWW[[#This Row],[Total PoP ]]=0,0,IF(WWWW[[#This Row],['# Hygiene Promoters ]]=0,0,IF(WWWW[[#This Row],[Location Type 1]]="Village",IF(WWWW[[#This Row],[Total PoP ]]/WWWW[[#This Row],['# Hygiene Promoters ]]&lt;1000,1,0),IF(WWWW[[#This Row],[Total PoP ]]/WWWW[[#This Row],['# Hygiene Promoters ]]&lt;600,1,0))))</f>
        <v>0</v>
      </c>
      <c r="BX225" s="209">
        <f>IF(WWWW[[#This Row],[%HH with access to soap]]&gt;=100%,1,0)</f>
        <v>0</v>
      </c>
      <c r="BY225" s="209">
        <f>IF(WWWW[[#This Row],[% of HHs with access to Sanitary pad more than '#%]]+WWWW[[#This Row],[Ratio of Hyiene promoters to people less than '#]]+WWWW[[#This Row],[% of HHs with access to soap more than '#%]]&gt;=2,WWWW[[#This Row],[Total PoP ]],0)</f>
        <v>0</v>
      </c>
      <c r="BZ225" s="208">
        <f>WWWW[[#This Row],[People adopt basic personal and community hygiene practices]]/WWWW[[#This Row],[Total PoP ]]</f>
        <v>0</v>
      </c>
      <c r="CA225" s="212">
        <f>1-WWWW[[#This Row],[Hygiene Coverage%]]</f>
        <v>1</v>
      </c>
      <c r="CB225" s="211">
        <f>WWWW[[#This Row],['# people reached by regular dedicated hygiene promotion_5]]/WWWW[[#This Row],[Total PoP ]]</f>
        <v>0</v>
      </c>
      <c r="CC225" s="211">
        <f>IF(WWWW[[#This Row],['# HH received soaps]]/WWWW[[#This Row],[Total HH]]&gt;1,1,WWWW[[#This Row],['# HH received soaps]]/WWWW[[#This Row],[Total HH]])</f>
        <v>0</v>
      </c>
      <c r="CD225" s="211">
        <f>IF(WWWW[[#This Row],['# HH received Sanitary Pads]]/WWWW[[#This Row],[Total HH]]&gt;1,1,WWWW[[#This Row],['# HH received Sanitary Pads]]/WWWW[[#This Row],[Total HH]])</f>
        <v>0</v>
      </c>
      <c r="CE225" s="210">
        <f>WWWW[[#This Row],['# HH received soaps]]*5</f>
        <v>0</v>
      </c>
      <c r="CF225" s="210">
        <f>WWWW[[#This Row],['# HH received Sanitary Pads]]*5</f>
        <v>0</v>
      </c>
      <c r="CG225" s="210">
        <f>IF(WWWW[[#This Row],['# People with access to soap]]&gt;WWWW[[#This Row],['# People with access to Sanity Pads]],WWWW[[#This Row],['# People with access to soap]],WWWW[[#This Row],['# People with access to Sanity Pads]])</f>
        <v>0</v>
      </c>
      <c r="CH225" s="209">
        <f>WWWW[[#This Row],[Total HH]]*WWWW[[#This Row],[%HHs with access to functional hand washing stations]]</f>
        <v>0</v>
      </c>
      <c r="CI225" s="699">
        <f>VLOOKUP(WWWW[[#This Row],[Site Name]],SiteDB6[[Site Name]:[CCCM Management]],6,FALSE)</f>
        <v>0</v>
      </c>
      <c r="CJ225" s="699">
        <f>VLOOKUP(WWWW[[#This Row],[Site Name]],SiteDB6[[Site Name]:[CCCM Focal Agency]],7,FALSE)</f>
        <v>0</v>
      </c>
      <c r="CK225" s="699" t="str">
        <f>VLOOKUP(WWWW[[#This Row],[Site Name]],SiteDB6[[Site Name]:[Location Type]],8,FALSE)</f>
        <v>Village</v>
      </c>
      <c r="CL225" s="699" t="str">
        <f>VLOOKUP(WWWW[[#This Row],[Site Name]],SiteDB6[[Site Name]:[Location Type 1]],9,FALSE)</f>
        <v>Village</v>
      </c>
      <c r="CM225" s="699" t="str">
        <f>VLOOKUP(WWWW[[#This Row],[Site Name]],SiteDB6[[Site Name]:[Type of Accommodation]],10,FALSE)</f>
        <v>Village</v>
      </c>
      <c r="CN225" s="699">
        <f>VLOOKUP(WWWW[[#This Row],[Site Name]],SiteDB6[[Site Name]:[Ethnic or GCA/NGCA]],11,FALSE)</f>
        <v>0</v>
      </c>
      <c r="CO225" s="699">
        <f>VLOOKUP(WWWW[[#This Row],[Site Name]],SiteDB6[[Site Name]:[Lat]],12,FALSE)</f>
        <v>20.7275905609131</v>
      </c>
      <c r="CP225" s="699">
        <f>VLOOKUP(WWWW[[#This Row],[Site Name]],SiteDB6[[Site Name]:[Long]],13,FALSE)</f>
        <v>92.969352722167997</v>
      </c>
      <c r="CQ225" s="699">
        <f>VLOOKUP(WWWW[[#This Row],[Site Name]],SiteDB6[[Site Name]:[Pcode]],3,FALSE)</f>
        <v>196816</v>
      </c>
      <c r="CR225" s="660" t="str">
        <f t="shared" si="4"/>
        <v>Covered</v>
      </c>
      <c r="CS225" s="699"/>
      <c r="CT225" s="24"/>
      <c r="CU225" s="24"/>
      <c r="CV225" s="24"/>
    </row>
    <row r="226" spans="1:100" x14ac:dyDescent="0.25">
      <c r="A226" s="833" t="s">
        <v>3206</v>
      </c>
      <c r="B226" s="206" t="s">
        <v>460</v>
      </c>
      <c r="C226" s="206" t="s">
        <v>454</v>
      </c>
      <c r="D226" s="206" t="s">
        <v>463</v>
      </c>
      <c r="E226" s="206" t="s">
        <v>811</v>
      </c>
      <c r="F226" s="206">
        <v>97</v>
      </c>
      <c r="G226" s="209">
        <v>557</v>
      </c>
      <c r="H226" s="206"/>
      <c r="I226" s="206"/>
      <c r="J226" s="207"/>
      <c r="K226" s="206"/>
      <c r="L226" s="206" t="s">
        <v>282</v>
      </c>
      <c r="M226" s="208">
        <v>0</v>
      </c>
      <c r="N226" s="208">
        <v>0</v>
      </c>
      <c r="O226" s="323">
        <v>0</v>
      </c>
      <c r="P226" s="317">
        <v>0</v>
      </c>
      <c r="Q226" s="317"/>
      <c r="R226" s="318"/>
      <c r="S226" s="318">
        <v>0</v>
      </c>
      <c r="T226" s="318"/>
      <c r="U226" s="318"/>
      <c r="V226" s="318"/>
      <c r="W226" s="318"/>
      <c r="X226" s="318"/>
      <c r="Y226" s="318"/>
      <c r="Z226" s="318"/>
      <c r="AA226" s="310">
        <v>235</v>
      </c>
      <c r="AB226" s="310"/>
      <c r="AC226" s="310"/>
      <c r="AD226" s="66"/>
      <c r="AE226" s="310">
        <v>0</v>
      </c>
      <c r="AF226" s="310" t="s">
        <v>286</v>
      </c>
      <c r="AG226" s="311" t="s">
        <v>286</v>
      </c>
      <c r="AH226" s="66"/>
      <c r="AI226" s="66"/>
      <c r="AJ226" s="310"/>
      <c r="AK226" s="841">
        <v>0</v>
      </c>
      <c r="AL226" s="842"/>
      <c r="AM226" s="842">
        <v>0</v>
      </c>
      <c r="AN226" s="863"/>
      <c r="AO226" s="863">
        <v>0</v>
      </c>
      <c r="AP226" s="843"/>
      <c r="AQ226" s="843"/>
      <c r="AR226" s="843"/>
      <c r="AS226" s="843"/>
      <c r="AT226" s="843"/>
      <c r="AU226" s="843"/>
      <c r="AV226" s="844"/>
      <c r="AW226" s="208" t="str">
        <f>IFERROR(WWWW[[#This Row],['# of Water passed at source]]/WWWW[[#This Row],['# of Water tested at source]],"no test")</f>
        <v>no test</v>
      </c>
      <c r="AX226" s="211" t="str">
        <f>IFERROR(WWWW[[#This Row],['# of Water passed at HH]]/WWWW[[#This Row],['# of Water tested at HH]],"no test")</f>
        <v>no test</v>
      </c>
      <c r="AY226" s="210" t="str">
        <f>IF(AND(WWWW[[#This Row],[%of Water samples which passed at water source]]="no test",WWWW[[#This Row],[%Water samples which passed at HH]]="no test"),"No Test","Tested")</f>
        <v>No Test</v>
      </c>
      <c r="AZ22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6" s="211">
        <f>IF(WWWW[[#This Row],[Location Type 1]]="Village",WWWW[[#This Row],[Access to safe drinking water for Village]],WWWW[[#This Row],[Access to safe drinking water for Camp]])</f>
        <v>0</v>
      </c>
      <c r="BC226" s="209">
        <f>WWWW[[#This Row],[%Equitable and continuous access to sufficient quantity of safe drinking water]]*WWWW[[#This Row],[Total PoP ]]</f>
        <v>0</v>
      </c>
      <c r="BD226" s="211">
        <f>IF((WWWW[[#This Row],['# Existing protected/fenced ponds ]]*250)/WWWW[[#This Row],[Total PoP ]]&gt;1,1,WWWW[[#This Row],['# Existing protected/fenced ponds ]]*250/WWWW[[#This Row],[Total PoP ]])</f>
        <v>0</v>
      </c>
      <c r="BE226" s="209">
        <f>WWWW[[#This Row],[Access to unimproved water points]]*WWWW[[#This Row],[Total PoP ]]</f>
        <v>0</v>
      </c>
      <c r="BF22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6" s="209">
        <f>ROUND(WWWW[[#This Row],['#people Equitable and continuous access to sufficient quantity of domestic water borehole n ponds_2]]/500,0)</f>
        <v>0</v>
      </c>
      <c r="BI226" s="208">
        <f>1-WWWW[[#This Row],[%Equitable and continuous access to sufficient quantity of domestic water borehole n ponds]]</f>
        <v>1</v>
      </c>
      <c r="BJ226" s="209">
        <f>WWWW[[#This Row],[%equitable and continuous access to sufficient quantity of safe drinking and domestic water''s GAP]]*WWWW[[#This Row],[Total PoP ]]</f>
        <v>557</v>
      </c>
      <c r="BK226" s="210">
        <f>IF(WWWW[[#This Row],[Total required water points]]-WWWW[[#This Row],['#Water points coverage]]&lt;0,0,WWWW[[#This Row],[Total required water points]]-WWWW[[#This Row],['#Water points coverage]])</f>
        <v>1</v>
      </c>
      <c r="BL226" s="210">
        <f>ROUND(IF(WWWW[[#This Row],[Total PoP ]]&lt;500,1,WWWW[[#This Row],[Total PoP ]]/500),0)</f>
        <v>1</v>
      </c>
      <c r="BM226" s="210">
        <f>WWWW[[#This Row],['# Existing functional latrines]]+WWWW[[#This Row],['# Existing latrines dysfunctional]]</f>
        <v>235</v>
      </c>
      <c r="BN22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26" s="352">
        <f>WWWW[[#This Row],[% people access to functioning Latrine]]*WWWW[[#This Row],[Total PoP ]]</f>
        <v>557</v>
      </c>
      <c r="BP22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26" s="209">
        <f>IF(WWWW[[#This Row],[Total required Latrines]]-WWWW[[#This Row],[Total '# of latrine]]&lt;0,0,WWWW[[#This Row],[Total required Latrines]]-WWWW[[#This Row],[Total '# of latrine]])</f>
        <v>0</v>
      </c>
      <c r="BR226" s="210">
        <f>ROUND(IF(WWWW[[#This Row],[Location Type 1]]="camp",WWWW[[#This Row],[Total PoP ]]/20,WWWW[[#This Row],[Total PoP ]]/6),0)</f>
        <v>93</v>
      </c>
      <c r="BS226" s="212">
        <f>IF(OR(WWWW[[#This Row],['# Existing latrines dysfunctional]]="",WWWW[[#This Row],['# Existing latrines dysfunctional]]=0),0,WWWW[[#This Row],['# Existing latrines dysfunctional]]/WWWW[[#This Row],[Total '# of latrine]])</f>
        <v>0</v>
      </c>
      <c r="BT22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6" s="209">
        <f>IF(500*WWWW[[#This Row],['# Hygiene Promoters ]]&gt;WWWW[[#This Row],[Total PoP ]],WWWW[[#This Row],[Total PoP ]],500*WWWW[[#This Row],['# Hygiene Promoters ]])</f>
        <v>0</v>
      </c>
      <c r="BV226" s="209">
        <f>IF(WWWW[[#This Row],[% of HH with access to Sanitary Pad]]&gt;=100%,1,0)</f>
        <v>0</v>
      </c>
      <c r="BW226" s="209">
        <f>IF(WWWW[[#This Row],[Total PoP ]]=0,0,IF(WWWW[[#This Row],['# Hygiene Promoters ]]=0,0,IF(WWWW[[#This Row],[Location Type 1]]="Village",IF(WWWW[[#This Row],[Total PoP ]]/WWWW[[#This Row],['# Hygiene Promoters ]]&lt;1000,1,0),IF(WWWW[[#This Row],[Total PoP ]]/WWWW[[#This Row],['# Hygiene Promoters ]]&lt;600,1,0))))</f>
        <v>0</v>
      </c>
      <c r="BX226" s="209">
        <f>IF(WWWW[[#This Row],[%HH with access to soap]]&gt;=100%,1,0)</f>
        <v>0</v>
      </c>
      <c r="BY226" s="209">
        <f>IF(WWWW[[#This Row],[% of HHs with access to Sanitary pad more than '#%]]+WWWW[[#This Row],[Ratio of Hyiene promoters to people less than '#]]+WWWW[[#This Row],[% of HHs with access to soap more than '#%]]&gt;=2,WWWW[[#This Row],[Total PoP ]],0)</f>
        <v>0</v>
      </c>
      <c r="BZ226" s="208">
        <f>WWWW[[#This Row],[People adopt basic personal and community hygiene practices]]/WWWW[[#This Row],[Total PoP ]]</f>
        <v>0</v>
      </c>
      <c r="CA226" s="212">
        <f>1-WWWW[[#This Row],[Hygiene Coverage%]]</f>
        <v>1</v>
      </c>
      <c r="CB226" s="211">
        <f>WWWW[[#This Row],['# people reached by regular dedicated hygiene promotion_5]]/WWWW[[#This Row],[Total PoP ]]</f>
        <v>0</v>
      </c>
      <c r="CC226" s="211">
        <f>IF(WWWW[[#This Row],['# HH received soaps]]/WWWW[[#This Row],[Total HH]]&gt;1,1,WWWW[[#This Row],['# HH received soaps]]/WWWW[[#This Row],[Total HH]])</f>
        <v>0</v>
      </c>
      <c r="CD226" s="211">
        <f>IF(WWWW[[#This Row],['# HH received Sanitary Pads]]/WWWW[[#This Row],[Total HH]]&gt;1,1,WWWW[[#This Row],['# HH received Sanitary Pads]]/WWWW[[#This Row],[Total HH]])</f>
        <v>0</v>
      </c>
      <c r="CE226" s="210">
        <f>WWWW[[#This Row],['# HH received soaps]]*5</f>
        <v>0</v>
      </c>
      <c r="CF226" s="210">
        <f>WWWW[[#This Row],['# HH received Sanitary Pads]]*5</f>
        <v>0</v>
      </c>
      <c r="CG226" s="210">
        <f>IF(WWWW[[#This Row],['# People with access to soap]]&gt;WWWW[[#This Row],['# People with access to Sanity Pads]],WWWW[[#This Row],['# People with access to soap]],WWWW[[#This Row],['# People with access to Sanity Pads]])</f>
        <v>0</v>
      </c>
      <c r="CH226" s="209">
        <f>WWWW[[#This Row],[Total HH]]*WWWW[[#This Row],[%HHs with access to functional hand washing stations]]</f>
        <v>0</v>
      </c>
      <c r="CI226" s="699">
        <f>VLOOKUP(WWWW[[#This Row],[Site Name]],SiteDB6[[Site Name]:[CCCM Management]],6,FALSE)</f>
        <v>0</v>
      </c>
      <c r="CJ226" s="699">
        <f>VLOOKUP(WWWW[[#This Row],[Site Name]],SiteDB6[[Site Name]:[CCCM Focal Agency]],7,FALSE)</f>
        <v>0</v>
      </c>
      <c r="CK226" s="699" t="str">
        <f>VLOOKUP(WWWW[[#This Row],[Site Name]],SiteDB6[[Site Name]:[Location Type]],8,FALSE)</f>
        <v>Village</v>
      </c>
      <c r="CL226" s="699" t="str">
        <f>VLOOKUP(WWWW[[#This Row],[Site Name]],SiteDB6[[Site Name]:[Location Type 1]],9,FALSE)</f>
        <v>Village</v>
      </c>
      <c r="CM226" s="699" t="str">
        <f>VLOOKUP(WWWW[[#This Row],[Site Name]],SiteDB6[[Site Name]:[Type of Accommodation]],10,FALSE)</f>
        <v>Relocated</v>
      </c>
      <c r="CN226" s="699" t="str">
        <f>VLOOKUP(WWWW[[#This Row],[Site Name]],SiteDB6[[Site Name]:[Ethnic or GCA/NGCA]],11,FALSE)</f>
        <v>Muslim</v>
      </c>
      <c r="CO226" s="699">
        <f>VLOOKUP(WWWW[[#This Row],[Site Name]],SiteDB6[[Site Name]:[Lat]],12,FALSE)</f>
        <v>20.886997999999998</v>
      </c>
      <c r="CP226" s="699">
        <f>VLOOKUP(WWWW[[#This Row],[Site Name]],SiteDB6[[Site Name]:[Long]],13,FALSE)</f>
        <v>93.006497999999993</v>
      </c>
      <c r="CQ226" s="699" t="str">
        <f>VLOOKUP(WWWW[[#This Row],[Site Name]],SiteDB6[[Site Name]:[Pcode]],3,FALSE)</f>
        <v>MMR012CMP030</v>
      </c>
      <c r="CR226" s="660" t="str">
        <f t="shared" si="4"/>
        <v>Notcovered</v>
      </c>
      <c r="CS226" s="699"/>
      <c r="CT226" s="24"/>
      <c r="CU226" s="24"/>
      <c r="CV226" s="24"/>
    </row>
    <row r="227" spans="1:100" ht="15.75" customHeight="1" x14ac:dyDescent="0.25">
      <c r="A227" s="833" t="s">
        <v>3206</v>
      </c>
      <c r="B227" s="206" t="s">
        <v>479</v>
      </c>
      <c r="C227" s="206" t="s">
        <v>454</v>
      </c>
      <c r="D227" s="206" t="s">
        <v>463</v>
      </c>
      <c r="E227" s="206" t="s">
        <v>821</v>
      </c>
      <c r="F227" s="206">
        <v>50</v>
      </c>
      <c r="G227" s="209">
        <v>207</v>
      </c>
      <c r="H227" s="206"/>
      <c r="I227" s="206" t="s">
        <v>495</v>
      </c>
      <c r="J227" s="207">
        <v>43616</v>
      </c>
      <c r="K227" s="206">
        <v>0</v>
      </c>
      <c r="L227" s="206" t="s">
        <v>2454</v>
      </c>
      <c r="M227" s="208">
        <v>0</v>
      </c>
      <c r="N227" s="208">
        <v>0</v>
      </c>
      <c r="O227" s="323">
        <v>0</v>
      </c>
      <c r="P227" s="317">
        <v>0</v>
      </c>
      <c r="Q227" s="317">
        <v>0</v>
      </c>
      <c r="R227" s="318">
        <v>0</v>
      </c>
      <c r="S227" s="318">
        <v>0</v>
      </c>
      <c r="T227" s="318"/>
      <c r="U227" s="318"/>
      <c r="V227" s="318"/>
      <c r="W227" s="318"/>
      <c r="X227" s="318"/>
      <c r="Y227" s="318"/>
      <c r="Z227" s="318"/>
      <c r="AA227" s="310">
        <v>0</v>
      </c>
      <c r="AB227" s="310">
        <v>0</v>
      </c>
      <c r="AC227" s="66"/>
      <c r="AD227" s="66"/>
      <c r="AE227" s="310">
        <v>0</v>
      </c>
      <c r="AF227" s="310" t="s">
        <v>332</v>
      </c>
      <c r="AG227" s="311" t="s">
        <v>332</v>
      </c>
      <c r="AH227" s="311"/>
      <c r="AI227" s="310"/>
      <c r="AJ227" s="310"/>
      <c r="AK227" s="841">
        <v>0</v>
      </c>
      <c r="AL227" s="842"/>
      <c r="AM227" s="842">
        <v>0</v>
      </c>
      <c r="AN227" s="863">
        <v>0</v>
      </c>
      <c r="AO227" s="863">
        <v>0</v>
      </c>
      <c r="AP227" s="843"/>
      <c r="AQ227" s="843"/>
      <c r="AR227" s="843"/>
      <c r="AS227" s="843"/>
      <c r="AT227" s="843"/>
      <c r="AU227" s="843"/>
      <c r="AV227" s="844"/>
      <c r="AW227" s="208" t="str">
        <f>IFERROR(WWWW[[#This Row],['# of Water passed at source]]/WWWW[[#This Row],['# of Water tested at source]],"no test")</f>
        <v>no test</v>
      </c>
      <c r="AX227" s="211" t="str">
        <f>IFERROR(WWWW[[#This Row],['# of Water passed at HH]]/WWWW[[#This Row],['# of Water tested at HH]],"no test")</f>
        <v>no test</v>
      </c>
      <c r="AY227" s="210" t="str">
        <f>IF(AND(WWWW[[#This Row],[%of Water samples which passed at water source]]="no test",WWWW[[#This Row],[%Water samples which passed at HH]]="no test"),"No Test","Tested")</f>
        <v>No Test</v>
      </c>
      <c r="AZ22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7" s="211">
        <f>IF(WWWW[[#This Row],[Location Type 1]]="Village",WWWW[[#This Row],[Access to safe drinking water for Village]],WWWW[[#This Row],[Access to safe drinking water for Camp]])</f>
        <v>0</v>
      </c>
      <c r="BC227" s="209">
        <f>WWWW[[#This Row],[%Equitable and continuous access to sufficient quantity of safe drinking water]]*WWWW[[#This Row],[Total PoP ]]</f>
        <v>0</v>
      </c>
      <c r="BD227" s="211">
        <f>IF((WWWW[[#This Row],['# Existing protected/fenced ponds ]]*250)/WWWW[[#This Row],[Total PoP ]]&gt;1,1,WWWW[[#This Row],['# Existing protected/fenced ponds ]]*250/WWWW[[#This Row],[Total PoP ]])</f>
        <v>0</v>
      </c>
      <c r="BE227" s="209">
        <f>WWWW[[#This Row],[Access to unimproved water points]]*WWWW[[#This Row],[Total PoP ]]</f>
        <v>0</v>
      </c>
      <c r="BF22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7" s="209">
        <f>ROUND(WWWW[[#This Row],['#people Equitable and continuous access to sufficient quantity of domestic water borehole n ponds_2]]/500,0)</f>
        <v>0</v>
      </c>
      <c r="BI227" s="208">
        <f>1-WWWW[[#This Row],[%Equitable and continuous access to sufficient quantity of domestic water borehole n ponds]]</f>
        <v>1</v>
      </c>
      <c r="BJ227" s="209">
        <f>WWWW[[#This Row],[%equitable and continuous access to sufficient quantity of safe drinking and domestic water''s GAP]]*WWWW[[#This Row],[Total PoP ]]</f>
        <v>207</v>
      </c>
      <c r="BK227" s="210">
        <f>IF(WWWW[[#This Row],[Total required water points]]-WWWW[[#This Row],['#Water points coverage]]&lt;0,0,WWWW[[#This Row],[Total required water points]]-WWWW[[#This Row],['#Water points coverage]])</f>
        <v>1</v>
      </c>
      <c r="BL227" s="210">
        <f>ROUND(IF(WWWW[[#This Row],[Total PoP ]]&lt;500,1,WWWW[[#This Row],[Total PoP ]]/500),0)</f>
        <v>1</v>
      </c>
      <c r="BM227" s="210">
        <f>WWWW[[#This Row],['# Existing functional latrines]]+WWWW[[#This Row],['# Existing latrines dysfunctional]]</f>
        <v>0</v>
      </c>
      <c r="BN22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27" s="352">
        <f>WWWW[[#This Row],[% people access to functioning Latrine]]*WWWW[[#This Row],[Total PoP ]]</f>
        <v>0</v>
      </c>
      <c r="BP22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27" s="209">
        <f>IF(WWWW[[#This Row],[Total required Latrines]]-WWWW[[#This Row],[Total '# of latrine]]&lt;0,0,WWWW[[#This Row],[Total required Latrines]]-WWWW[[#This Row],[Total '# of latrine]])</f>
        <v>35</v>
      </c>
      <c r="BR227" s="210">
        <f>ROUND(IF(WWWW[[#This Row],[Location Type 1]]="camp",WWWW[[#This Row],[Total PoP ]]/20,WWWW[[#This Row],[Total PoP ]]/6),0)</f>
        <v>35</v>
      </c>
      <c r="BS227" s="212">
        <f>IF(OR(WWWW[[#This Row],['# Existing latrines dysfunctional]]="",WWWW[[#This Row],['# Existing latrines dysfunctional]]=0),0,WWWW[[#This Row],['# Existing latrines dysfunctional]]/WWWW[[#This Row],[Total '# of latrine]])</f>
        <v>0</v>
      </c>
      <c r="BT22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7" s="209">
        <f>IF(500*WWWW[[#This Row],['# Hygiene Promoters ]]&gt;WWWW[[#This Row],[Total PoP ]],WWWW[[#This Row],[Total PoP ]],500*WWWW[[#This Row],['# Hygiene Promoters ]])</f>
        <v>0</v>
      </c>
      <c r="BV227" s="209">
        <f>IF(WWWW[[#This Row],[% of HH with access to Sanitary Pad]]&gt;=100%,1,0)</f>
        <v>0</v>
      </c>
      <c r="BW227" s="209">
        <f>IF(WWWW[[#This Row],[Total PoP ]]=0,0,IF(WWWW[[#This Row],['# Hygiene Promoters ]]=0,0,IF(WWWW[[#This Row],[Location Type 1]]="Village",IF(WWWW[[#This Row],[Total PoP ]]/WWWW[[#This Row],['# Hygiene Promoters ]]&lt;1000,1,0),IF(WWWW[[#This Row],[Total PoP ]]/WWWW[[#This Row],['# Hygiene Promoters ]]&lt;600,1,0))))</f>
        <v>0</v>
      </c>
      <c r="BX227" s="209">
        <f>IF(WWWW[[#This Row],[%HH with access to soap]]&gt;=100%,1,0)</f>
        <v>0</v>
      </c>
      <c r="BY227" s="209">
        <f>IF(WWWW[[#This Row],[% of HHs with access to Sanitary pad more than '#%]]+WWWW[[#This Row],[Ratio of Hyiene promoters to people less than '#]]+WWWW[[#This Row],[% of HHs with access to soap more than '#%]]&gt;=2,WWWW[[#This Row],[Total PoP ]],0)</f>
        <v>0</v>
      </c>
      <c r="BZ227" s="208">
        <f>WWWW[[#This Row],[People adopt basic personal and community hygiene practices]]/WWWW[[#This Row],[Total PoP ]]</f>
        <v>0</v>
      </c>
      <c r="CA227" s="212">
        <f>1-WWWW[[#This Row],[Hygiene Coverage%]]</f>
        <v>1</v>
      </c>
      <c r="CB227" s="211">
        <f>WWWW[[#This Row],['# people reached by regular dedicated hygiene promotion_5]]/WWWW[[#This Row],[Total PoP ]]</f>
        <v>0</v>
      </c>
      <c r="CC227" s="211">
        <f>IF(WWWW[[#This Row],['# HH received soaps]]/WWWW[[#This Row],[Total HH]]&gt;1,1,WWWW[[#This Row],['# HH received soaps]]/WWWW[[#This Row],[Total HH]])</f>
        <v>0</v>
      </c>
      <c r="CD227" s="211">
        <f>IF(WWWW[[#This Row],['# HH received Sanitary Pads]]/WWWW[[#This Row],[Total HH]]&gt;1,1,WWWW[[#This Row],['# HH received Sanitary Pads]]/WWWW[[#This Row],[Total HH]])</f>
        <v>0</v>
      </c>
      <c r="CE227" s="210">
        <f>WWWW[[#This Row],['# HH received soaps]]*5</f>
        <v>0</v>
      </c>
      <c r="CF227" s="210">
        <f>WWWW[[#This Row],['# HH received Sanitary Pads]]*5</f>
        <v>0</v>
      </c>
      <c r="CG227" s="210">
        <f>IF(WWWW[[#This Row],['# People with access to soap]]&gt;WWWW[[#This Row],['# People with access to Sanity Pads]],WWWW[[#This Row],['# People with access to soap]],WWWW[[#This Row],['# People with access to Sanity Pads]])</f>
        <v>0</v>
      </c>
      <c r="CH227" s="209">
        <f>WWWW[[#This Row],[Total HH]]*WWWW[[#This Row],[%HHs with access to functional hand washing stations]]</f>
        <v>0</v>
      </c>
      <c r="CI227" s="699">
        <f>VLOOKUP(WWWW[[#This Row],[Site Name]],SiteDB6[[Site Name]:[CCCM Management]],6,FALSE)</f>
        <v>0</v>
      </c>
      <c r="CJ227" s="699">
        <f>VLOOKUP(WWWW[[#This Row],[Site Name]],SiteDB6[[Site Name]:[CCCM Focal Agency]],7,FALSE)</f>
        <v>0</v>
      </c>
      <c r="CK227" s="699" t="str">
        <f>VLOOKUP(WWWW[[#This Row],[Site Name]],SiteDB6[[Site Name]:[Location Type]],8,FALSE)</f>
        <v>Village_Not HRP</v>
      </c>
      <c r="CL227" s="699" t="str">
        <f>VLOOKUP(WWWW[[#This Row],[Site Name]],SiteDB6[[Site Name]:[Location Type 1]],9,FALSE)</f>
        <v>Village</v>
      </c>
      <c r="CM227" s="699" t="str">
        <f>VLOOKUP(WWWW[[#This Row],[Site Name]],SiteDB6[[Site Name]:[Type of Accommodation]],10,FALSE)</f>
        <v>Village_Not HRP</v>
      </c>
      <c r="CN227" s="699" t="str">
        <f>VLOOKUP(WWWW[[#This Row],[Site Name]],SiteDB6[[Site Name]:[Ethnic or GCA/NGCA]],11,FALSE)</f>
        <v>Mro</v>
      </c>
      <c r="CO227" s="699">
        <f>VLOOKUP(WWWW[[#This Row],[Site Name]],SiteDB6[[Site Name]:[Lat]],12,FALSE)</f>
        <v>20.8950595855713</v>
      </c>
      <c r="CP227" s="699">
        <f>VLOOKUP(WWWW[[#This Row],[Site Name]],SiteDB6[[Site Name]:[Long]],13,FALSE)</f>
        <v>92.907356262207003</v>
      </c>
      <c r="CQ227" s="699">
        <f>VLOOKUP(WWWW[[#This Row],[Site Name]],SiteDB6[[Site Name]:[Pcode]],3,FALSE)</f>
        <v>196807</v>
      </c>
      <c r="CR227" s="660" t="str">
        <f t="shared" si="4"/>
        <v>Covered</v>
      </c>
      <c r="CS227" s="699" t="s">
        <v>2738</v>
      </c>
      <c r="CT227" s="24"/>
      <c r="CU227" s="24"/>
      <c r="CV227" s="24"/>
    </row>
    <row r="228" spans="1:100" ht="15.75" customHeight="1" x14ac:dyDescent="0.25">
      <c r="A228" s="833" t="s">
        <v>3206</v>
      </c>
      <c r="B228" s="206" t="s">
        <v>479</v>
      </c>
      <c r="C228" s="206" t="s">
        <v>454</v>
      </c>
      <c r="D228" s="206" t="s">
        <v>463</v>
      </c>
      <c r="E228" s="206" t="s">
        <v>781</v>
      </c>
      <c r="F228" s="206">
        <v>42</v>
      </c>
      <c r="G228" s="209">
        <v>184</v>
      </c>
      <c r="H228" s="206"/>
      <c r="I228" s="206" t="s">
        <v>495</v>
      </c>
      <c r="J228" s="207">
        <v>43616</v>
      </c>
      <c r="K228" s="206">
        <v>0</v>
      </c>
      <c r="L228" s="206" t="s">
        <v>2454</v>
      </c>
      <c r="M228" s="208">
        <v>0</v>
      </c>
      <c r="N228" s="208">
        <v>0</v>
      </c>
      <c r="O228" s="323">
        <v>0</v>
      </c>
      <c r="P228" s="317">
        <v>0</v>
      </c>
      <c r="Q228" s="317">
        <v>0</v>
      </c>
      <c r="R228" s="318">
        <v>0</v>
      </c>
      <c r="S228" s="318">
        <v>0</v>
      </c>
      <c r="T228" s="318"/>
      <c r="U228" s="318"/>
      <c r="V228" s="318"/>
      <c r="W228" s="318"/>
      <c r="X228" s="318"/>
      <c r="Y228" s="318"/>
      <c r="Z228" s="318"/>
      <c r="AA228" s="310">
        <v>3</v>
      </c>
      <c r="AB228" s="310">
        <v>0</v>
      </c>
      <c r="AC228" s="310"/>
      <c r="AD228" s="66"/>
      <c r="AE228" s="310">
        <v>0</v>
      </c>
      <c r="AF228" s="310" t="s">
        <v>1358</v>
      </c>
      <c r="AG228" s="311" t="s">
        <v>1358</v>
      </c>
      <c r="AH228" s="66"/>
      <c r="AI228" s="66"/>
      <c r="AJ228" s="310"/>
      <c r="AK228" s="841">
        <v>0</v>
      </c>
      <c r="AL228" s="842"/>
      <c r="AM228" s="842">
        <v>0</v>
      </c>
      <c r="AN228" s="863">
        <v>0</v>
      </c>
      <c r="AO228" s="863">
        <v>0</v>
      </c>
      <c r="AP228" s="843"/>
      <c r="AQ228" s="843"/>
      <c r="AR228" s="843"/>
      <c r="AS228" s="843"/>
      <c r="AT228" s="843"/>
      <c r="AU228" s="843"/>
      <c r="AV228" s="844"/>
      <c r="AW228" s="208" t="str">
        <f>IFERROR(WWWW[[#This Row],['# of Water passed at source]]/WWWW[[#This Row],['# of Water tested at source]],"no test")</f>
        <v>no test</v>
      </c>
      <c r="AX228" s="211" t="str">
        <f>IFERROR(WWWW[[#This Row],['# of Water passed at HH]]/WWWW[[#This Row],['# of Water tested at HH]],"no test")</f>
        <v>no test</v>
      </c>
      <c r="AY228" s="210" t="str">
        <f>IF(AND(WWWW[[#This Row],[%of Water samples which passed at water source]]="no test",WWWW[[#This Row],[%Water samples which passed at HH]]="no test"),"No Test","Tested")</f>
        <v>No Test</v>
      </c>
      <c r="AZ22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8" s="211">
        <f>IF(WWWW[[#This Row],[Location Type 1]]="Village",WWWW[[#This Row],[Access to safe drinking water for Village]],WWWW[[#This Row],[Access to safe drinking water for Camp]])</f>
        <v>0</v>
      </c>
      <c r="BC228" s="209">
        <f>WWWW[[#This Row],[%Equitable and continuous access to sufficient quantity of safe drinking water]]*WWWW[[#This Row],[Total PoP ]]</f>
        <v>0</v>
      </c>
      <c r="BD228" s="211">
        <f>IF((WWWW[[#This Row],['# Existing protected/fenced ponds ]]*250)/WWWW[[#This Row],[Total PoP ]]&gt;1,1,WWWW[[#This Row],['# Existing protected/fenced ponds ]]*250/WWWW[[#This Row],[Total PoP ]])</f>
        <v>0</v>
      </c>
      <c r="BE228" s="209">
        <f>WWWW[[#This Row],[Access to unimproved water points]]*WWWW[[#This Row],[Total PoP ]]</f>
        <v>0</v>
      </c>
      <c r="BF22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8" s="209">
        <f>ROUND(WWWW[[#This Row],['#people Equitable and continuous access to sufficient quantity of domestic water borehole n ponds_2]]/500,0)</f>
        <v>0</v>
      </c>
      <c r="BI228" s="208">
        <f>1-WWWW[[#This Row],[%Equitable and continuous access to sufficient quantity of domestic water borehole n ponds]]</f>
        <v>1</v>
      </c>
      <c r="BJ228" s="209">
        <f>WWWW[[#This Row],[%equitable and continuous access to sufficient quantity of safe drinking and domestic water''s GAP]]*WWWW[[#This Row],[Total PoP ]]</f>
        <v>184</v>
      </c>
      <c r="BK228" s="210">
        <f>IF(WWWW[[#This Row],[Total required water points]]-WWWW[[#This Row],['#Water points coverage]]&lt;0,0,WWWW[[#This Row],[Total required water points]]-WWWW[[#This Row],['#Water points coverage]])</f>
        <v>1</v>
      </c>
      <c r="BL228" s="210">
        <f>ROUND(IF(WWWW[[#This Row],[Total PoP ]]&lt;500,1,WWWW[[#This Row],[Total PoP ]]/500),0)</f>
        <v>1</v>
      </c>
      <c r="BM228" s="210">
        <f>WWWW[[#This Row],['# Existing functional latrines]]+WWWW[[#This Row],['# Existing latrines dysfunctional]]</f>
        <v>3</v>
      </c>
      <c r="BN22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9.7826086956521743E-2</v>
      </c>
      <c r="BO228" s="352">
        <f>WWWW[[#This Row],[% people access to functioning Latrine]]*WWWW[[#This Row],[Total PoP ]]</f>
        <v>18</v>
      </c>
      <c r="BP22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0.91304347826086951</v>
      </c>
      <c r="BQ228" s="209">
        <f>IF(WWWW[[#This Row],[Total required Latrines]]-WWWW[[#This Row],[Total '# of latrine]]&lt;0,0,WWWW[[#This Row],[Total required Latrines]]-WWWW[[#This Row],[Total '# of latrine]])</f>
        <v>28</v>
      </c>
      <c r="BR228" s="210">
        <f>ROUND(IF(WWWW[[#This Row],[Location Type 1]]="camp",WWWW[[#This Row],[Total PoP ]]/20,WWWW[[#This Row],[Total PoP ]]/6),0)</f>
        <v>31</v>
      </c>
      <c r="BS228" s="212">
        <f>IF(OR(WWWW[[#This Row],['# Existing latrines dysfunctional]]="",WWWW[[#This Row],['# Existing latrines dysfunctional]]=0),0,WWWW[[#This Row],['# Existing latrines dysfunctional]]/WWWW[[#This Row],[Total '# of latrine]])</f>
        <v>0</v>
      </c>
      <c r="BT22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8" s="209">
        <f>IF(500*WWWW[[#This Row],['# Hygiene Promoters ]]&gt;WWWW[[#This Row],[Total PoP ]],WWWW[[#This Row],[Total PoP ]],500*WWWW[[#This Row],['# Hygiene Promoters ]])</f>
        <v>0</v>
      </c>
      <c r="BV228" s="209">
        <f>IF(WWWW[[#This Row],[% of HH with access to Sanitary Pad]]&gt;=100%,1,0)</f>
        <v>0</v>
      </c>
      <c r="BW228" s="209">
        <f>IF(WWWW[[#This Row],[Total PoP ]]=0,0,IF(WWWW[[#This Row],['# Hygiene Promoters ]]=0,0,IF(WWWW[[#This Row],[Location Type 1]]="Village",IF(WWWW[[#This Row],[Total PoP ]]/WWWW[[#This Row],['# Hygiene Promoters ]]&lt;1000,1,0),IF(WWWW[[#This Row],[Total PoP ]]/WWWW[[#This Row],['# Hygiene Promoters ]]&lt;600,1,0))))</f>
        <v>0</v>
      </c>
      <c r="BX228" s="209">
        <f>IF(WWWW[[#This Row],[%HH with access to soap]]&gt;=100%,1,0)</f>
        <v>0</v>
      </c>
      <c r="BY228" s="209">
        <f>IF(WWWW[[#This Row],[% of HHs with access to Sanitary pad more than '#%]]+WWWW[[#This Row],[Ratio of Hyiene promoters to people less than '#]]+WWWW[[#This Row],[% of HHs with access to soap more than '#%]]&gt;=2,WWWW[[#This Row],[Total PoP ]],0)</f>
        <v>0</v>
      </c>
      <c r="BZ228" s="208">
        <f>WWWW[[#This Row],[People adopt basic personal and community hygiene practices]]/WWWW[[#This Row],[Total PoP ]]</f>
        <v>0</v>
      </c>
      <c r="CA228" s="212">
        <f>1-WWWW[[#This Row],[Hygiene Coverage%]]</f>
        <v>1</v>
      </c>
      <c r="CB228" s="211">
        <f>WWWW[[#This Row],['# people reached by regular dedicated hygiene promotion_5]]/WWWW[[#This Row],[Total PoP ]]</f>
        <v>0</v>
      </c>
      <c r="CC228" s="211">
        <f>IF(WWWW[[#This Row],['# HH received soaps]]/WWWW[[#This Row],[Total HH]]&gt;1,1,WWWW[[#This Row],['# HH received soaps]]/WWWW[[#This Row],[Total HH]])</f>
        <v>0</v>
      </c>
      <c r="CD228" s="211">
        <f>IF(WWWW[[#This Row],['# HH received Sanitary Pads]]/WWWW[[#This Row],[Total HH]]&gt;1,1,WWWW[[#This Row],['# HH received Sanitary Pads]]/WWWW[[#This Row],[Total HH]])</f>
        <v>0</v>
      </c>
      <c r="CE228" s="210">
        <f>WWWW[[#This Row],['# HH received soaps]]*5</f>
        <v>0</v>
      </c>
      <c r="CF228" s="210">
        <f>WWWW[[#This Row],['# HH received Sanitary Pads]]*5</f>
        <v>0</v>
      </c>
      <c r="CG228" s="210">
        <f>IF(WWWW[[#This Row],['# People with access to soap]]&gt;WWWW[[#This Row],['# People with access to Sanity Pads]],WWWW[[#This Row],['# People with access to soap]],WWWW[[#This Row],['# People with access to Sanity Pads]])</f>
        <v>0</v>
      </c>
      <c r="CH228" s="209">
        <f>WWWW[[#This Row],[Total HH]]*WWWW[[#This Row],[%HHs with access to functional hand washing stations]]</f>
        <v>0</v>
      </c>
      <c r="CI228" s="699">
        <f>VLOOKUP(WWWW[[#This Row],[Site Name]],SiteDB6[[Site Name]:[CCCM Management]],6,FALSE)</f>
        <v>0</v>
      </c>
      <c r="CJ228" s="699">
        <f>VLOOKUP(WWWW[[#This Row],[Site Name]],SiteDB6[[Site Name]:[CCCM Focal Agency]],7,FALSE)</f>
        <v>0</v>
      </c>
      <c r="CK228" s="699" t="str">
        <f>VLOOKUP(WWWW[[#This Row],[Site Name]],SiteDB6[[Site Name]:[Location Type]],8,FALSE)</f>
        <v>Village_Not HRP</v>
      </c>
      <c r="CL228" s="699" t="str">
        <f>VLOOKUP(WWWW[[#This Row],[Site Name]],SiteDB6[[Site Name]:[Location Type 1]],9,FALSE)</f>
        <v>Village</v>
      </c>
      <c r="CM228" s="699" t="str">
        <f>VLOOKUP(WWWW[[#This Row],[Site Name]],SiteDB6[[Site Name]:[Type of Accommodation]],10,FALSE)</f>
        <v>Village_Not HRP</v>
      </c>
      <c r="CN228" s="699" t="str">
        <f>VLOOKUP(WWWW[[#This Row],[Site Name]],SiteDB6[[Site Name]:[Ethnic or GCA/NGCA]],11,FALSE)</f>
        <v>Mro</v>
      </c>
      <c r="CO228" s="699">
        <f>VLOOKUP(WWWW[[#This Row],[Site Name]],SiteDB6[[Site Name]:[Lat]],12,FALSE)</f>
        <v>20.807970046997099</v>
      </c>
      <c r="CP228" s="699">
        <f>VLOOKUP(WWWW[[#This Row],[Site Name]],SiteDB6[[Site Name]:[Long]],13,FALSE)</f>
        <v>92.929046630859403</v>
      </c>
      <c r="CQ228" s="699">
        <f>VLOOKUP(WWWW[[#This Row],[Site Name]],SiteDB6[[Site Name]:[Pcode]],3,FALSE)</f>
        <v>196882</v>
      </c>
      <c r="CR228" s="660" t="str">
        <f t="shared" si="4"/>
        <v>Covered</v>
      </c>
      <c r="CS228" s="699" t="s">
        <v>2738</v>
      </c>
      <c r="CT228" s="24"/>
      <c r="CU228" s="24"/>
      <c r="CV228" s="24"/>
    </row>
    <row r="229" spans="1:100" ht="15.75" customHeight="1" x14ac:dyDescent="0.25">
      <c r="A229" s="833" t="s">
        <v>3206</v>
      </c>
      <c r="B229" s="206" t="s">
        <v>460</v>
      </c>
      <c r="C229" s="206" t="s">
        <v>454</v>
      </c>
      <c r="D229" s="206" t="s">
        <v>463</v>
      </c>
      <c r="E229" s="206" t="s">
        <v>865</v>
      </c>
      <c r="F229" s="206">
        <v>130</v>
      </c>
      <c r="G229" s="209">
        <v>664</v>
      </c>
      <c r="H229" s="206"/>
      <c r="I229" s="206"/>
      <c r="J229" s="207"/>
      <c r="K229" s="206"/>
      <c r="L229" s="206" t="s">
        <v>282</v>
      </c>
      <c r="M229" s="208">
        <v>0</v>
      </c>
      <c r="N229" s="208">
        <v>0</v>
      </c>
      <c r="O229" s="323">
        <v>0</v>
      </c>
      <c r="P229" s="317">
        <v>0</v>
      </c>
      <c r="Q229" s="317"/>
      <c r="R229" s="318"/>
      <c r="S229" s="318">
        <v>1</v>
      </c>
      <c r="T229" s="318"/>
      <c r="U229" s="318"/>
      <c r="V229" s="318"/>
      <c r="W229" s="318"/>
      <c r="X229" s="318"/>
      <c r="Y229" s="318"/>
      <c r="Z229" s="318"/>
      <c r="AA229" s="310">
        <v>0</v>
      </c>
      <c r="AB229" s="311"/>
      <c r="AC229" s="66"/>
      <c r="AD229" s="66"/>
      <c r="AE229" s="310">
        <v>0</v>
      </c>
      <c r="AF229" s="310" t="s">
        <v>286</v>
      </c>
      <c r="AG229" s="311" t="s">
        <v>286</v>
      </c>
      <c r="AH229" s="66"/>
      <c r="AI229" s="66"/>
      <c r="AJ229" s="311"/>
      <c r="AK229" s="841">
        <v>0</v>
      </c>
      <c r="AL229" s="846"/>
      <c r="AM229" s="844">
        <v>0</v>
      </c>
      <c r="AN229" s="863"/>
      <c r="AO229" s="863"/>
      <c r="AP229" s="843"/>
      <c r="AQ229" s="843"/>
      <c r="AR229" s="843"/>
      <c r="AS229" s="843"/>
      <c r="AT229" s="843"/>
      <c r="AU229" s="843"/>
      <c r="AV229" s="844"/>
      <c r="AW229" s="208" t="str">
        <f>IFERROR(WWWW[[#This Row],['# of Water passed at source]]/WWWW[[#This Row],['# of Water tested at source]],"no test")</f>
        <v>no test</v>
      </c>
      <c r="AX229" s="211" t="str">
        <f>IFERROR(WWWW[[#This Row],['# of Water passed at HH]]/WWWW[[#This Row],['# of Water tested at HH]],"no test")</f>
        <v>no test</v>
      </c>
      <c r="AY229" s="210" t="str">
        <f>IF(AND(WWWW[[#This Row],[%of Water samples which passed at water source]]="no test",WWWW[[#This Row],[%Water samples which passed at HH]]="no test"),"No Test","Tested")</f>
        <v>No Test</v>
      </c>
      <c r="AZ22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2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29" s="211">
        <f>IF(WWWW[[#This Row],[Location Type 1]]="Village",WWWW[[#This Row],[Access to safe drinking water for Village]],WWWW[[#This Row],[Access to safe drinking water for Camp]])</f>
        <v>0</v>
      </c>
      <c r="BC229" s="209">
        <f>WWWW[[#This Row],[%Equitable and continuous access to sufficient quantity of safe drinking water]]*WWWW[[#This Row],[Total PoP ]]</f>
        <v>0</v>
      </c>
      <c r="BD229" s="211">
        <f>IF((WWWW[[#This Row],['# Existing protected/fenced ponds ]]*250)/WWWW[[#This Row],[Total PoP ]]&gt;1,1,WWWW[[#This Row],['# Existing protected/fenced ponds ]]*250/WWWW[[#This Row],[Total PoP ]])</f>
        <v>0</v>
      </c>
      <c r="BE229" s="209">
        <f>WWWW[[#This Row],[Access to unimproved water points]]*WWWW[[#This Row],[Total PoP ]]</f>
        <v>0</v>
      </c>
      <c r="BF22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2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29" s="209">
        <f>ROUND(WWWW[[#This Row],['#people Equitable and continuous access to sufficient quantity of domestic water borehole n ponds_2]]/500,0)</f>
        <v>0</v>
      </c>
      <c r="BI229" s="208">
        <f>1-WWWW[[#This Row],[%Equitable and continuous access to sufficient quantity of domestic water borehole n ponds]]</f>
        <v>1</v>
      </c>
      <c r="BJ229" s="209">
        <f>WWWW[[#This Row],[%equitable and continuous access to sufficient quantity of safe drinking and domestic water''s GAP]]*WWWW[[#This Row],[Total PoP ]]</f>
        <v>664</v>
      </c>
      <c r="BK229" s="210">
        <f>IF(WWWW[[#This Row],[Total required water points]]-WWWW[[#This Row],['#Water points coverage]]&lt;0,0,WWWW[[#This Row],[Total required water points]]-WWWW[[#This Row],['#Water points coverage]])</f>
        <v>1</v>
      </c>
      <c r="BL229" s="210">
        <f>ROUND(IF(WWWW[[#This Row],[Total PoP ]]&lt;500,1,WWWW[[#This Row],[Total PoP ]]/500),0)</f>
        <v>1</v>
      </c>
      <c r="BM229" s="210">
        <f>WWWW[[#This Row],['# Existing functional latrines]]+WWWW[[#This Row],['# Existing latrines dysfunctional]]</f>
        <v>0</v>
      </c>
      <c r="BN22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29" s="352">
        <f>WWWW[[#This Row],[% people access to functioning Latrine]]*WWWW[[#This Row],[Total PoP ]]</f>
        <v>0</v>
      </c>
      <c r="BP22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29" s="209">
        <f>IF(WWWW[[#This Row],[Total required Latrines]]-WWWW[[#This Row],[Total '# of latrine]]&lt;0,0,WWWW[[#This Row],[Total required Latrines]]-WWWW[[#This Row],[Total '# of latrine]])</f>
        <v>111</v>
      </c>
      <c r="BR229" s="210">
        <f>ROUND(IF(WWWW[[#This Row],[Location Type 1]]="camp",WWWW[[#This Row],[Total PoP ]]/20,WWWW[[#This Row],[Total PoP ]]/6),0)</f>
        <v>111</v>
      </c>
      <c r="BS229" s="212">
        <f>IF(OR(WWWW[[#This Row],['# Existing latrines dysfunctional]]="",WWWW[[#This Row],['# Existing latrines dysfunctional]]=0),0,WWWW[[#This Row],['# Existing latrines dysfunctional]]/WWWW[[#This Row],[Total '# of latrine]])</f>
        <v>0</v>
      </c>
      <c r="BT22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29" s="209">
        <f>IF(500*WWWW[[#This Row],['# Hygiene Promoters ]]&gt;WWWW[[#This Row],[Total PoP ]],WWWW[[#This Row],[Total PoP ]],500*WWWW[[#This Row],['# Hygiene Promoters ]])</f>
        <v>0</v>
      </c>
      <c r="BV229" s="209">
        <f>IF(WWWW[[#This Row],[% of HH with access to Sanitary Pad]]&gt;=100%,1,0)</f>
        <v>0</v>
      </c>
      <c r="BW229" s="209">
        <f>IF(WWWW[[#This Row],[Total PoP ]]=0,0,IF(WWWW[[#This Row],['# Hygiene Promoters ]]=0,0,IF(WWWW[[#This Row],[Location Type 1]]="Village",IF(WWWW[[#This Row],[Total PoP ]]/WWWW[[#This Row],['# Hygiene Promoters ]]&lt;1000,1,0),IF(WWWW[[#This Row],[Total PoP ]]/WWWW[[#This Row],['# Hygiene Promoters ]]&lt;600,1,0))))</f>
        <v>0</v>
      </c>
      <c r="BX229" s="209">
        <f>IF(WWWW[[#This Row],[%HH with access to soap]]&gt;=100%,1,0)</f>
        <v>0</v>
      </c>
      <c r="BY229" s="209">
        <f>IF(WWWW[[#This Row],[% of HHs with access to Sanitary pad more than '#%]]+WWWW[[#This Row],[Ratio of Hyiene promoters to people less than '#]]+WWWW[[#This Row],[% of HHs with access to soap more than '#%]]&gt;=2,WWWW[[#This Row],[Total PoP ]],0)</f>
        <v>0</v>
      </c>
      <c r="BZ229" s="208">
        <f>WWWW[[#This Row],[People adopt basic personal and community hygiene practices]]/WWWW[[#This Row],[Total PoP ]]</f>
        <v>0</v>
      </c>
      <c r="CA229" s="212">
        <f>1-WWWW[[#This Row],[Hygiene Coverage%]]</f>
        <v>1</v>
      </c>
      <c r="CB229" s="211">
        <f>WWWW[[#This Row],['# people reached by regular dedicated hygiene promotion_5]]/WWWW[[#This Row],[Total PoP ]]</f>
        <v>0</v>
      </c>
      <c r="CC229" s="211">
        <f>IF(WWWW[[#This Row],['# HH received soaps]]/WWWW[[#This Row],[Total HH]]&gt;1,1,WWWW[[#This Row],['# HH received soaps]]/WWWW[[#This Row],[Total HH]])</f>
        <v>0</v>
      </c>
      <c r="CD229" s="211">
        <f>IF(WWWW[[#This Row],['# HH received Sanitary Pads]]/WWWW[[#This Row],[Total HH]]&gt;1,1,WWWW[[#This Row],['# HH received Sanitary Pads]]/WWWW[[#This Row],[Total HH]])</f>
        <v>0</v>
      </c>
      <c r="CE229" s="210">
        <f>WWWW[[#This Row],['# HH received soaps]]*5</f>
        <v>0</v>
      </c>
      <c r="CF229" s="210">
        <f>WWWW[[#This Row],['# HH received Sanitary Pads]]*5</f>
        <v>0</v>
      </c>
      <c r="CG229" s="210">
        <f>IF(WWWW[[#This Row],['# People with access to soap]]&gt;WWWW[[#This Row],['# People with access to Sanity Pads]],WWWW[[#This Row],['# People with access to soap]],WWWW[[#This Row],['# People with access to Sanity Pads]])</f>
        <v>0</v>
      </c>
      <c r="CH229" s="209">
        <f>WWWW[[#This Row],[Total HH]]*WWWW[[#This Row],[%HHs with access to functional hand washing stations]]</f>
        <v>0</v>
      </c>
      <c r="CI229" s="699">
        <f>VLOOKUP(WWWW[[#This Row],[Site Name]],SiteDB6[[Site Name]:[CCCM Management]],6,FALSE)</f>
        <v>0</v>
      </c>
      <c r="CJ229" s="699">
        <f>VLOOKUP(WWWW[[#This Row],[Site Name]],SiteDB6[[Site Name]:[CCCM Focal Agency]],7,FALSE)</f>
        <v>0</v>
      </c>
      <c r="CK229" s="699" t="str">
        <f>VLOOKUP(WWWW[[#This Row],[Site Name]],SiteDB6[[Site Name]:[Location Type]],8,FALSE)</f>
        <v>Village</v>
      </c>
      <c r="CL229" s="699" t="str">
        <f>VLOOKUP(WWWW[[#This Row],[Site Name]],SiteDB6[[Site Name]:[Location Type 1]],9,FALSE)</f>
        <v>Village</v>
      </c>
      <c r="CM229" s="699" t="str">
        <f>VLOOKUP(WWWW[[#This Row],[Site Name]],SiteDB6[[Site Name]:[Type of Accommodation]],10,FALSE)</f>
        <v>Village</v>
      </c>
      <c r="CN229" s="699" t="str">
        <f>VLOOKUP(WWWW[[#This Row],[Site Name]],SiteDB6[[Site Name]:[Ethnic or GCA/NGCA]],11,FALSE)</f>
        <v>Rakhine</v>
      </c>
      <c r="CO229" s="699">
        <f>VLOOKUP(WWWW[[#This Row],[Site Name]],SiteDB6[[Site Name]:[Lat]],12,FALSE)</f>
        <v>20.6080207824707</v>
      </c>
      <c r="CP229" s="699">
        <f>VLOOKUP(WWWW[[#This Row],[Site Name]],SiteDB6[[Site Name]:[Long]],13,FALSE)</f>
        <v>93.035400390625</v>
      </c>
      <c r="CQ229" s="699" t="str">
        <f>VLOOKUP(WWWW[[#This Row],[Site Name]],SiteDB6[[Site Name]:[Pcode]],3,FALSE)</f>
        <v>196875</v>
      </c>
      <c r="CR229" s="660" t="str">
        <f t="shared" si="4"/>
        <v>Notcovered</v>
      </c>
      <c r="CS229" s="699"/>
      <c r="CT229" s="24"/>
      <c r="CU229" s="24"/>
      <c r="CV229" s="24"/>
    </row>
    <row r="230" spans="1:100" ht="15.75" customHeight="1" x14ac:dyDescent="0.25">
      <c r="A230" s="833" t="s">
        <v>3206</v>
      </c>
      <c r="B230" s="206" t="s">
        <v>460</v>
      </c>
      <c r="C230" s="206" t="s">
        <v>454</v>
      </c>
      <c r="D230" s="206" t="s">
        <v>463</v>
      </c>
      <c r="E230" s="206" t="s">
        <v>863</v>
      </c>
      <c r="F230" s="206">
        <v>289</v>
      </c>
      <c r="G230" s="209">
        <v>1419</v>
      </c>
      <c r="H230" s="206"/>
      <c r="I230" s="206"/>
      <c r="J230" s="207"/>
      <c r="K230" s="206"/>
      <c r="L230" s="206" t="s">
        <v>282</v>
      </c>
      <c r="M230" s="208">
        <v>0</v>
      </c>
      <c r="N230" s="208">
        <v>0</v>
      </c>
      <c r="O230" s="316">
        <v>0</v>
      </c>
      <c r="P230" s="317">
        <v>0</v>
      </c>
      <c r="Q230" s="317"/>
      <c r="R230" s="318"/>
      <c r="S230" s="318">
        <v>2</v>
      </c>
      <c r="T230" s="318"/>
      <c r="U230" s="318"/>
      <c r="V230" s="318"/>
      <c r="W230" s="318"/>
      <c r="X230" s="318"/>
      <c r="Y230" s="318"/>
      <c r="Z230" s="318"/>
      <c r="AA230" s="310">
        <v>0</v>
      </c>
      <c r="AB230" s="310"/>
      <c r="AC230" s="66"/>
      <c r="AD230" s="66"/>
      <c r="AE230" s="310">
        <v>0</v>
      </c>
      <c r="AF230" s="310" t="s">
        <v>286</v>
      </c>
      <c r="AG230" s="311" t="s">
        <v>286</v>
      </c>
      <c r="AH230" s="311"/>
      <c r="AI230" s="310"/>
      <c r="AJ230" s="310"/>
      <c r="AK230" s="841">
        <v>0</v>
      </c>
      <c r="AL230" s="842"/>
      <c r="AM230" s="842">
        <v>0</v>
      </c>
      <c r="AN230" s="863"/>
      <c r="AO230" s="863"/>
      <c r="AP230" s="843"/>
      <c r="AQ230" s="843"/>
      <c r="AR230" s="843"/>
      <c r="AS230" s="843"/>
      <c r="AT230" s="843"/>
      <c r="AU230" s="843"/>
      <c r="AV230" s="844"/>
      <c r="AW230" s="208" t="str">
        <f>IFERROR(WWWW[[#This Row],['# of Water passed at source]]/WWWW[[#This Row],['# of Water tested at source]],"no test")</f>
        <v>no test</v>
      </c>
      <c r="AX230" s="211" t="str">
        <f>IFERROR(WWWW[[#This Row],['# of Water passed at HH]]/WWWW[[#This Row],['# of Water tested at HH]],"no test")</f>
        <v>no test</v>
      </c>
      <c r="AY230" s="210" t="str">
        <f>IF(AND(WWWW[[#This Row],[%of Water samples which passed at water source]]="no test",WWWW[[#This Row],[%Water samples which passed at HH]]="no test"),"No Test","Tested")</f>
        <v>No Test</v>
      </c>
      <c r="AZ23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3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30" s="211">
        <f>IF(WWWW[[#This Row],[Location Type 1]]="Village",WWWW[[#This Row],[Access to safe drinking water for Village]],WWWW[[#This Row],[Access to safe drinking water for Camp]])</f>
        <v>0</v>
      </c>
      <c r="BC230" s="209">
        <f>WWWW[[#This Row],[%Equitable and continuous access to sufficient quantity of safe drinking water]]*WWWW[[#This Row],[Total PoP ]]</f>
        <v>0</v>
      </c>
      <c r="BD230" s="211">
        <f>IF((WWWW[[#This Row],['# Existing protected/fenced ponds ]]*250)/WWWW[[#This Row],[Total PoP ]]&gt;1,1,WWWW[[#This Row],['# Existing protected/fenced ponds ]]*250/WWWW[[#This Row],[Total PoP ]])</f>
        <v>0</v>
      </c>
      <c r="BE230" s="209">
        <f>WWWW[[#This Row],[Access to unimproved water points]]*WWWW[[#This Row],[Total PoP ]]</f>
        <v>0</v>
      </c>
      <c r="BF23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3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30" s="209">
        <f>ROUND(WWWW[[#This Row],['#people Equitable and continuous access to sufficient quantity of domestic water borehole n ponds_2]]/500,0)</f>
        <v>0</v>
      </c>
      <c r="BI230" s="208">
        <f>1-WWWW[[#This Row],[%Equitable and continuous access to sufficient quantity of domestic water borehole n ponds]]</f>
        <v>1</v>
      </c>
      <c r="BJ230" s="209">
        <f>WWWW[[#This Row],[%equitable and continuous access to sufficient quantity of safe drinking and domestic water''s GAP]]*WWWW[[#This Row],[Total PoP ]]</f>
        <v>1419</v>
      </c>
      <c r="BK230" s="210">
        <f>IF(WWWW[[#This Row],[Total required water points]]-WWWW[[#This Row],['#Water points coverage]]&lt;0,0,WWWW[[#This Row],[Total required water points]]-WWWW[[#This Row],['#Water points coverage]])</f>
        <v>3</v>
      </c>
      <c r="BL230" s="210">
        <f>ROUND(IF(WWWW[[#This Row],[Total PoP ]]&lt;500,1,WWWW[[#This Row],[Total PoP ]]/500),0)</f>
        <v>3</v>
      </c>
      <c r="BM230" s="210">
        <f>WWWW[[#This Row],['# Existing functional latrines]]+WWWW[[#This Row],['# Existing latrines dysfunctional]]</f>
        <v>0</v>
      </c>
      <c r="BN23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30" s="352">
        <f>WWWW[[#This Row],[% people access to functioning Latrine]]*WWWW[[#This Row],[Total PoP ]]</f>
        <v>0</v>
      </c>
      <c r="BP23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30" s="209">
        <f>IF(WWWW[[#This Row],[Total required Latrines]]-WWWW[[#This Row],[Total '# of latrine]]&lt;0,0,WWWW[[#This Row],[Total required Latrines]]-WWWW[[#This Row],[Total '# of latrine]])</f>
        <v>237</v>
      </c>
      <c r="BR230" s="210">
        <f>ROUND(IF(WWWW[[#This Row],[Location Type 1]]="camp",WWWW[[#This Row],[Total PoP ]]/20,WWWW[[#This Row],[Total PoP ]]/6),0)</f>
        <v>237</v>
      </c>
      <c r="BS230" s="212">
        <f>IF(OR(WWWW[[#This Row],['# Existing latrines dysfunctional]]="",WWWW[[#This Row],['# Existing latrines dysfunctional]]=0),0,WWWW[[#This Row],['# Existing latrines dysfunctional]]/WWWW[[#This Row],[Total '# of latrine]])</f>
        <v>0</v>
      </c>
      <c r="BT23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30" s="209">
        <f>IF(500*WWWW[[#This Row],['# Hygiene Promoters ]]&gt;WWWW[[#This Row],[Total PoP ]],WWWW[[#This Row],[Total PoP ]],500*WWWW[[#This Row],['# Hygiene Promoters ]])</f>
        <v>0</v>
      </c>
      <c r="BV230" s="209">
        <f>IF(WWWW[[#This Row],[% of HH with access to Sanitary Pad]]&gt;=100%,1,0)</f>
        <v>0</v>
      </c>
      <c r="BW230" s="209">
        <f>IF(WWWW[[#This Row],[Total PoP ]]=0,0,IF(WWWW[[#This Row],['# Hygiene Promoters ]]=0,0,IF(WWWW[[#This Row],[Location Type 1]]="Village",IF(WWWW[[#This Row],[Total PoP ]]/WWWW[[#This Row],['# Hygiene Promoters ]]&lt;1000,1,0),IF(WWWW[[#This Row],[Total PoP ]]/WWWW[[#This Row],['# Hygiene Promoters ]]&lt;600,1,0))))</f>
        <v>0</v>
      </c>
      <c r="BX230" s="209">
        <f>IF(WWWW[[#This Row],[%HH with access to soap]]&gt;=100%,1,0)</f>
        <v>0</v>
      </c>
      <c r="BY230" s="209">
        <f>IF(WWWW[[#This Row],[% of HHs with access to Sanitary pad more than '#%]]+WWWW[[#This Row],[Ratio of Hyiene promoters to people less than '#]]+WWWW[[#This Row],[% of HHs with access to soap more than '#%]]&gt;=2,WWWW[[#This Row],[Total PoP ]],0)</f>
        <v>0</v>
      </c>
      <c r="BZ230" s="208">
        <f>WWWW[[#This Row],[People adopt basic personal and community hygiene practices]]/WWWW[[#This Row],[Total PoP ]]</f>
        <v>0</v>
      </c>
      <c r="CA230" s="212">
        <f>1-WWWW[[#This Row],[Hygiene Coverage%]]</f>
        <v>1</v>
      </c>
      <c r="CB230" s="211">
        <f>WWWW[[#This Row],['# people reached by regular dedicated hygiene promotion_5]]/WWWW[[#This Row],[Total PoP ]]</f>
        <v>0</v>
      </c>
      <c r="CC230" s="211">
        <f>IF(WWWW[[#This Row],['# HH received soaps]]/WWWW[[#This Row],[Total HH]]&gt;1,1,WWWW[[#This Row],['# HH received soaps]]/WWWW[[#This Row],[Total HH]])</f>
        <v>0</v>
      </c>
      <c r="CD230" s="211">
        <f>IF(WWWW[[#This Row],['# HH received Sanitary Pads]]/WWWW[[#This Row],[Total HH]]&gt;1,1,WWWW[[#This Row],['# HH received Sanitary Pads]]/WWWW[[#This Row],[Total HH]])</f>
        <v>0</v>
      </c>
      <c r="CE230" s="210">
        <f>WWWW[[#This Row],['# HH received soaps]]*5</f>
        <v>0</v>
      </c>
      <c r="CF230" s="210">
        <f>WWWW[[#This Row],['# HH received Sanitary Pads]]*5</f>
        <v>0</v>
      </c>
      <c r="CG230" s="210">
        <f>IF(WWWW[[#This Row],['# People with access to soap]]&gt;WWWW[[#This Row],['# People with access to Sanity Pads]],WWWW[[#This Row],['# People with access to soap]],WWWW[[#This Row],['# People with access to Sanity Pads]])</f>
        <v>0</v>
      </c>
      <c r="CH230" s="209">
        <f>WWWW[[#This Row],[Total HH]]*WWWW[[#This Row],[%HHs with access to functional hand washing stations]]</f>
        <v>0</v>
      </c>
      <c r="CI230" s="699">
        <f>VLOOKUP(WWWW[[#This Row],[Site Name]],SiteDB6[[Site Name]:[CCCM Management]],6,FALSE)</f>
        <v>0</v>
      </c>
      <c r="CJ230" s="699">
        <f>VLOOKUP(WWWW[[#This Row],[Site Name]],SiteDB6[[Site Name]:[CCCM Focal Agency]],7,FALSE)</f>
        <v>0</v>
      </c>
      <c r="CK230" s="699" t="str">
        <f>VLOOKUP(WWWW[[#This Row],[Site Name]],SiteDB6[[Site Name]:[Location Type]],8,FALSE)</f>
        <v>Village</v>
      </c>
      <c r="CL230" s="699" t="str">
        <f>VLOOKUP(WWWW[[#This Row],[Site Name]],SiteDB6[[Site Name]:[Location Type 1]],9,FALSE)</f>
        <v>Village</v>
      </c>
      <c r="CM230" s="699" t="str">
        <f>VLOOKUP(WWWW[[#This Row],[Site Name]],SiteDB6[[Site Name]:[Type of Accommodation]],10,FALSE)</f>
        <v>Village</v>
      </c>
      <c r="CN230" s="699" t="str">
        <f>VLOOKUP(WWWW[[#This Row],[Site Name]],SiteDB6[[Site Name]:[Ethnic or GCA/NGCA]],11,FALSE)</f>
        <v>Rakhine</v>
      </c>
      <c r="CO230" s="699">
        <f>VLOOKUP(WWWW[[#This Row],[Site Name]],SiteDB6[[Site Name]:[Lat]],12,FALSE)</f>
        <v>20.716699600219702</v>
      </c>
      <c r="CP230" s="699">
        <f>VLOOKUP(WWWW[[#This Row],[Site Name]],SiteDB6[[Site Name]:[Long]],13,FALSE)</f>
        <v>92.997863769531307</v>
      </c>
      <c r="CQ230" s="699" t="str">
        <f>VLOOKUP(WWWW[[#This Row],[Site Name]],SiteDB6[[Site Name]:[Pcode]],3,FALSE)</f>
        <v>196971</v>
      </c>
      <c r="CR230" s="660" t="str">
        <f t="shared" si="4"/>
        <v>Notcovered</v>
      </c>
      <c r="CS230" s="660"/>
      <c r="CT230" s="24"/>
      <c r="CU230" s="24"/>
      <c r="CV230" s="24"/>
    </row>
    <row r="231" spans="1:100" ht="15.75" customHeight="1" x14ac:dyDescent="0.25">
      <c r="A231" s="833" t="s">
        <v>3206</v>
      </c>
      <c r="B231" s="206" t="s">
        <v>460</v>
      </c>
      <c r="C231" s="206" t="s">
        <v>454</v>
      </c>
      <c r="D231" s="206" t="s">
        <v>463</v>
      </c>
      <c r="E231" s="206" t="s">
        <v>776</v>
      </c>
      <c r="F231" s="206">
        <v>18</v>
      </c>
      <c r="G231" s="209">
        <v>157</v>
      </c>
      <c r="H231" s="206"/>
      <c r="I231" s="206"/>
      <c r="J231" s="207"/>
      <c r="K231" s="206"/>
      <c r="L231" s="206" t="s">
        <v>282</v>
      </c>
      <c r="M231" s="208">
        <v>0</v>
      </c>
      <c r="N231" s="208">
        <v>0</v>
      </c>
      <c r="O231" s="316">
        <v>0</v>
      </c>
      <c r="P231" s="317">
        <v>0</v>
      </c>
      <c r="Q231" s="317"/>
      <c r="R231" s="318"/>
      <c r="S231" s="318">
        <v>0</v>
      </c>
      <c r="T231" s="318"/>
      <c r="U231" s="318"/>
      <c r="V231" s="318"/>
      <c r="W231" s="318"/>
      <c r="X231" s="318"/>
      <c r="Y231" s="318"/>
      <c r="Z231" s="318"/>
      <c r="AA231" s="310">
        <v>96</v>
      </c>
      <c r="AB231" s="310"/>
      <c r="AC231" s="66"/>
      <c r="AD231" s="66"/>
      <c r="AE231" s="310">
        <v>0</v>
      </c>
      <c r="AF231" s="310" t="s">
        <v>286</v>
      </c>
      <c r="AG231" s="311" t="s">
        <v>286</v>
      </c>
      <c r="AH231" s="66"/>
      <c r="AI231" s="66"/>
      <c r="AJ231" s="310"/>
      <c r="AK231" s="841">
        <v>0</v>
      </c>
      <c r="AL231" s="842"/>
      <c r="AM231" s="842">
        <v>0</v>
      </c>
      <c r="AN231" s="863"/>
      <c r="AO231" s="863">
        <v>0</v>
      </c>
      <c r="AP231" s="843"/>
      <c r="AQ231" s="843"/>
      <c r="AR231" s="843"/>
      <c r="AS231" s="843"/>
      <c r="AT231" s="843"/>
      <c r="AU231" s="843"/>
      <c r="AV231" s="844"/>
      <c r="AW231" s="208" t="str">
        <f>IFERROR(WWWW[[#This Row],['# of Water passed at source]]/WWWW[[#This Row],['# of Water tested at source]],"no test")</f>
        <v>no test</v>
      </c>
      <c r="AX231" s="211" t="str">
        <f>IFERROR(WWWW[[#This Row],['# of Water passed at HH]]/WWWW[[#This Row],['# of Water tested at HH]],"no test")</f>
        <v>no test</v>
      </c>
      <c r="AY231" s="210" t="str">
        <f>IF(AND(WWWW[[#This Row],[%of Water samples which passed at water source]]="no test",WWWW[[#This Row],[%Water samples which passed at HH]]="no test"),"No Test","Tested")</f>
        <v>No Test</v>
      </c>
      <c r="AZ23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3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31" s="211">
        <f>IF(WWWW[[#This Row],[Location Type 1]]="Village",WWWW[[#This Row],[Access to safe drinking water for Village]],WWWW[[#This Row],[Access to safe drinking water for Camp]])</f>
        <v>0</v>
      </c>
      <c r="BC231" s="209">
        <f>WWWW[[#This Row],[%Equitable and continuous access to sufficient quantity of safe drinking water]]*WWWW[[#This Row],[Total PoP ]]</f>
        <v>0</v>
      </c>
      <c r="BD231" s="211">
        <f>IF((WWWW[[#This Row],['# Existing protected/fenced ponds ]]*250)/WWWW[[#This Row],[Total PoP ]]&gt;1,1,WWWW[[#This Row],['# Existing protected/fenced ponds ]]*250/WWWW[[#This Row],[Total PoP ]])</f>
        <v>0</v>
      </c>
      <c r="BE231" s="209">
        <f>WWWW[[#This Row],[Access to unimproved water points]]*WWWW[[#This Row],[Total PoP ]]</f>
        <v>0</v>
      </c>
      <c r="BF23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3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31" s="209">
        <f>ROUND(WWWW[[#This Row],['#people Equitable and continuous access to sufficient quantity of domestic water borehole n ponds_2]]/500,0)</f>
        <v>0</v>
      </c>
      <c r="BI231" s="208">
        <f>1-WWWW[[#This Row],[%Equitable and continuous access to sufficient quantity of domestic water borehole n ponds]]</f>
        <v>1</v>
      </c>
      <c r="BJ231" s="209">
        <f>WWWW[[#This Row],[%equitable and continuous access to sufficient quantity of safe drinking and domestic water''s GAP]]*WWWW[[#This Row],[Total PoP ]]</f>
        <v>157</v>
      </c>
      <c r="BK231" s="210">
        <f>IF(WWWW[[#This Row],[Total required water points]]-WWWW[[#This Row],['#Water points coverage]]&lt;0,0,WWWW[[#This Row],[Total required water points]]-WWWW[[#This Row],['#Water points coverage]])</f>
        <v>1</v>
      </c>
      <c r="BL231" s="210">
        <f>ROUND(IF(WWWW[[#This Row],[Total PoP ]]&lt;500,1,WWWW[[#This Row],[Total PoP ]]/500),0)</f>
        <v>1</v>
      </c>
      <c r="BM231" s="210">
        <f>WWWW[[#This Row],['# Existing functional latrines]]+WWWW[[#This Row],['# Existing latrines dysfunctional]]</f>
        <v>96</v>
      </c>
      <c r="BN23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31" s="352">
        <f>WWWW[[#This Row],[% people access to functioning Latrine]]*WWWW[[#This Row],[Total PoP ]]</f>
        <v>157</v>
      </c>
      <c r="BP23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31" s="209">
        <f>IF(WWWW[[#This Row],[Total required Latrines]]-WWWW[[#This Row],[Total '# of latrine]]&lt;0,0,WWWW[[#This Row],[Total required Latrines]]-WWWW[[#This Row],[Total '# of latrine]])</f>
        <v>0</v>
      </c>
      <c r="BR231" s="210">
        <f>ROUND(IF(WWWW[[#This Row],[Location Type 1]]="camp",WWWW[[#This Row],[Total PoP ]]/20,WWWW[[#This Row],[Total PoP ]]/6),0)</f>
        <v>26</v>
      </c>
      <c r="BS231" s="212">
        <f>IF(OR(WWWW[[#This Row],['# Existing latrines dysfunctional]]="",WWWW[[#This Row],['# Existing latrines dysfunctional]]=0),0,WWWW[[#This Row],['# Existing latrines dysfunctional]]/WWWW[[#This Row],[Total '# of latrine]])</f>
        <v>0</v>
      </c>
      <c r="BT23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31" s="209">
        <f>IF(500*WWWW[[#This Row],['# Hygiene Promoters ]]&gt;WWWW[[#This Row],[Total PoP ]],WWWW[[#This Row],[Total PoP ]],500*WWWW[[#This Row],['# Hygiene Promoters ]])</f>
        <v>0</v>
      </c>
      <c r="BV231" s="209">
        <f>IF(WWWW[[#This Row],[% of HH with access to Sanitary Pad]]&gt;=100%,1,0)</f>
        <v>0</v>
      </c>
      <c r="BW231" s="209">
        <f>IF(WWWW[[#This Row],[Total PoP ]]=0,0,IF(WWWW[[#This Row],['# Hygiene Promoters ]]=0,0,IF(WWWW[[#This Row],[Location Type 1]]="Village",IF(WWWW[[#This Row],[Total PoP ]]/WWWW[[#This Row],['# Hygiene Promoters ]]&lt;1000,1,0),IF(WWWW[[#This Row],[Total PoP ]]/WWWW[[#This Row],['# Hygiene Promoters ]]&lt;600,1,0))))</f>
        <v>0</v>
      </c>
      <c r="BX231" s="209">
        <f>IF(WWWW[[#This Row],[%HH with access to soap]]&gt;=100%,1,0)</f>
        <v>0</v>
      </c>
      <c r="BY231" s="209">
        <f>IF(WWWW[[#This Row],[% of HHs with access to Sanitary pad more than '#%]]+WWWW[[#This Row],[Ratio of Hyiene promoters to people less than '#]]+WWWW[[#This Row],[% of HHs with access to soap more than '#%]]&gt;=2,WWWW[[#This Row],[Total PoP ]],0)</f>
        <v>0</v>
      </c>
      <c r="BZ231" s="208">
        <f>WWWW[[#This Row],[People adopt basic personal and community hygiene practices]]/WWWW[[#This Row],[Total PoP ]]</f>
        <v>0</v>
      </c>
      <c r="CA231" s="212">
        <f>1-WWWW[[#This Row],[Hygiene Coverage%]]</f>
        <v>1</v>
      </c>
      <c r="CB231" s="211">
        <f>WWWW[[#This Row],['# people reached by regular dedicated hygiene promotion_5]]/WWWW[[#This Row],[Total PoP ]]</f>
        <v>0</v>
      </c>
      <c r="CC231" s="211">
        <f>IF(WWWW[[#This Row],['# HH received soaps]]/WWWW[[#This Row],[Total HH]]&gt;1,1,WWWW[[#This Row],['# HH received soaps]]/WWWW[[#This Row],[Total HH]])</f>
        <v>0</v>
      </c>
      <c r="CD231" s="211">
        <f>IF(WWWW[[#This Row],['# HH received Sanitary Pads]]/WWWW[[#This Row],[Total HH]]&gt;1,1,WWWW[[#This Row],['# HH received Sanitary Pads]]/WWWW[[#This Row],[Total HH]])</f>
        <v>0</v>
      </c>
      <c r="CE231" s="210">
        <f>WWWW[[#This Row],['# HH received soaps]]*5</f>
        <v>0</v>
      </c>
      <c r="CF231" s="210">
        <f>WWWW[[#This Row],['# HH received Sanitary Pads]]*5</f>
        <v>0</v>
      </c>
      <c r="CG231" s="210">
        <f>IF(WWWW[[#This Row],['# People with access to soap]]&gt;WWWW[[#This Row],['# People with access to Sanity Pads]],WWWW[[#This Row],['# People with access to soap]],WWWW[[#This Row],['# People with access to Sanity Pads]])</f>
        <v>0</v>
      </c>
      <c r="CH231" s="209">
        <f>WWWW[[#This Row],[Total HH]]*WWWW[[#This Row],[%HHs with access to functional hand washing stations]]</f>
        <v>0</v>
      </c>
      <c r="CI231" s="699">
        <f>VLOOKUP(WWWW[[#This Row],[Site Name]],SiteDB6[[Site Name]:[CCCM Management]],6,FALSE)</f>
        <v>0</v>
      </c>
      <c r="CJ231" s="699">
        <f>VLOOKUP(WWWW[[#This Row],[Site Name]],SiteDB6[[Site Name]:[CCCM Focal Agency]],7,FALSE)</f>
        <v>0</v>
      </c>
      <c r="CK231" s="699" t="str">
        <f>VLOOKUP(WWWW[[#This Row],[Site Name]],SiteDB6[[Site Name]:[Location Type]],8,FALSE)</f>
        <v>Village</v>
      </c>
      <c r="CL231" s="699" t="str">
        <f>VLOOKUP(WWWW[[#This Row],[Site Name]],SiteDB6[[Site Name]:[Location Type 1]],9,FALSE)</f>
        <v>Village</v>
      </c>
      <c r="CM231" s="699" t="str">
        <f>VLOOKUP(WWWW[[#This Row],[Site Name]],SiteDB6[[Site Name]:[Type of Accommodation]],10,FALSE)</f>
        <v>Returned</v>
      </c>
      <c r="CN231" s="699" t="str">
        <f>VLOOKUP(WWWW[[#This Row],[Site Name]],SiteDB6[[Site Name]:[Ethnic or GCA/NGCA]],11,FALSE)</f>
        <v>Muslim</v>
      </c>
      <c r="CO231" s="699">
        <f>VLOOKUP(WWWW[[#This Row],[Site Name]],SiteDB6[[Site Name]:[Lat]],12,FALSE)</f>
        <v>20.805734000000001</v>
      </c>
      <c r="CP231" s="699">
        <f>VLOOKUP(WWWW[[#This Row],[Site Name]],SiteDB6[[Site Name]:[Long]],13,FALSE)</f>
        <v>92.982675999999998</v>
      </c>
      <c r="CQ231" s="699" t="str">
        <f>VLOOKUP(WWWW[[#This Row],[Site Name]],SiteDB6[[Site Name]:[Pcode]],3,FALSE)</f>
        <v>MMR012CMP020</v>
      </c>
      <c r="CR231" s="660" t="str">
        <f t="shared" si="4"/>
        <v>Notcovered</v>
      </c>
      <c r="CS231" s="699"/>
      <c r="CT231" s="24"/>
      <c r="CU231" s="24"/>
      <c r="CV231" s="24"/>
    </row>
    <row r="232" spans="1:100" ht="15.75" customHeight="1" x14ac:dyDescent="0.25">
      <c r="A232" s="833" t="s">
        <v>3206</v>
      </c>
      <c r="B232" s="206" t="s">
        <v>479</v>
      </c>
      <c r="C232" s="206" t="s">
        <v>454</v>
      </c>
      <c r="D232" s="206" t="s">
        <v>463</v>
      </c>
      <c r="E232" s="206" t="s">
        <v>762</v>
      </c>
      <c r="F232" s="206">
        <v>122</v>
      </c>
      <c r="G232" s="209">
        <v>486</v>
      </c>
      <c r="H232" s="206"/>
      <c r="I232" s="206" t="s">
        <v>495</v>
      </c>
      <c r="J232" s="207">
        <v>43616</v>
      </c>
      <c r="K232" s="206">
        <v>0</v>
      </c>
      <c r="L232" s="206" t="s">
        <v>2454</v>
      </c>
      <c r="M232" s="208">
        <v>0</v>
      </c>
      <c r="N232" s="208">
        <v>0</v>
      </c>
      <c r="O232" s="323">
        <v>0</v>
      </c>
      <c r="P232" s="317">
        <v>0</v>
      </c>
      <c r="Q232" s="317">
        <v>0</v>
      </c>
      <c r="R232" s="318">
        <v>0</v>
      </c>
      <c r="S232" s="318">
        <v>0</v>
      </c>
      <c r="T232" s="318"/>
      <c r="U232" s="318"/>
      <c r="V232" s="318"/>
      <c r="W232" s="318"/>
      <c r="X232" s="318"/>
      <c r="Y232" s="318"/>
      <c r="Z232" s="318"/>
      <c r="AA232" s="310">
        <v>0</v>
      </c>
      <c r="AB232" s="310">
        <v>0</v>
      </c>
      <c r="AC232" s="66"/>
      <c r="AD232" s="66"/>
      <c r="AE232" s="310">
        <v>0</v>
      </c>
      <c r="AF232" s="310" t="s">
        <v>1358</v>
      </c>
      <c r="AG232" s="311" t="s">
        <v>1358</v>
      </c>
      <c r="AH232" s="311"/>
      <c r="AI232" s="310"/>
      <c r="AJ232" s="310"/>
      <c r="AK232" s="841">
        <v>0</v>
      </c>
      <c r="AL232" s="842"/>
      <c r="AM232" s="842">
        <v>0</v>
      </c>
      <c r="AN232" s="863">
        <v>0</v>
      </c>
      <c r="AO232" s="863">
        <v>0</v>
      </c>
      <c r="AP232" s="843"/>
      <c r="AQ232" s="843"/>
      <c r="AR232" s="843"/>
      <c r="AS232" s="843"/>
      <c r="AT232" s="843"/>
      <c r="AU232" s="843"/>
      <c r="AV232" s="844"/>
      <c r="AW232" s="208" t="str">
        <f>IFERROR(WWWW[[#This Row],['# of Water passed at source]]/WWWW[[#This Row],['# of Water tested at source]],"no test")</f>
        <v>no test</v>
      </c>
      <c r="AX232" s="211" t="str">
        <f>IFERROR(WWWW[[#This Row],['# of Water passed at HH]]/WWWW[[#This Row],['# of Water tested at HH]],"no test")</f>
        <v>no test</v>
      </c>
      <c r="AY232" s="210" t="str">
        <f>IF(AND(WWWW[[#This Row],[%of Water samples which passed at water source]]="no test",WWWW[[#This Row],[%Water samples which passed at HH]]="no test"),"No Test","Tested")</f>
        <v>No Test</v>
      </c>
      <c r="AZ23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3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32" s="211">
        <f>IF(WWWW[[#This Row],[Location Type 1]]="Village",WWWW[[#This Row],[Access to safe drinking water for Village]],WWWW[[#This Row],[Access to safe drinking water for Camp]])</f>
        <v>0</v>
      </c>
      <c r="BC232" s="209">
        <f>WWWW[[#This Row],[%Equitable and continuous access to sufficient quantity of safe drinking water]]*WWWW[[#This Row],[Total PoP ]]</f>
        <v>0</v>
      </c>
      <c r="BD232" s="211">
        <f>IF((WWWW[[#This Row],['# Existing protected/fenced ponds ]]*250)/WWWW[[#This Row],[Total PoP ]]&gt;1,1,WWWW[[#This Row],['# Existing protected/fenced ponds ]]*250/WWWW[[#This Row],[Total PoP ]])</f>
        <v>0</v>
      </c>
      <c r="BE232" s="209">
        <f>WWWW[[#This Row],[Access to unimproved water points]]*WWWW[[#This Row],[Total PoP ]]</f>
        <v>0</v>
      </c>
      <c r="BF23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3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32" s="209">
        <f>ROUND(WWWW[[#This Row],['#people Equitable and continuous access to sufficient quantity of domestic water borehole n ponds_2]]/500,0)</f>
        <v>0</v>
      </c>
      <c r="BI232" s="208">
        <f>1-WWWW[[#This Row],[%Equitable and continuous access to sufficient quantity of domestic water borehole n ponds]]</f>
        <v>1</v>
      </c>
      <c r="BJ232" s="209">
        <f>WWWW[[#This Row],[%equitable and continuous access to sufficient quantity of safe drinking and domestic water''s GAP]]*WWWW[[#This Row],[Total PoP ]]</f>
        <v>486</v>
      </c>
      <c r="BK232" s="210">
        <f>IF(WWWW[[#This Row],[Total required water points]]-WWWW[[#This Row],['#Water points coverage]]&lt;0,0,WWWW[[#This Row],[Total required water points]]-WWWW[[#This Row],['#Water points coverage]])</f>
        <v>1</v>
      </c>
      <c r="BL232" s="210">
        <f>ROUND(IF(WWWW[[#This Row],[Total PoP ]]&lt;500,1,WWWW[[#This Row],[Total PoP ]]/500),0)</f>
        <v>1</v>
      </c>
      <c r="BM232" s="210">
        <f>WWWW[[#This Row],['# Existing functional latrines]]+WWWW[[#This Row],['# Existing latrines dysfunctional]]</f>
        <v>0</v>
      </c>
      <c r="BN23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32" s="352">
        <f>WWWW[[#This Row],[% people access to functioning Latrine]]*WWWW[[#This Row],[Total PoP ]]</f>
        <v>0</v>
      </c>
      <c r="BP23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32" s="209">
        <f>IF(WWWW[[#This Row],[Total required Latrines]]-WWWW[[#This Row],[Total '# of latrine]]&lt;0,0,WWWW[[#This Row],[Total required Latrines]]-WWWW[[#This Row],[Total '# of latrine]])</f>
        <v>81</v>
      </c>
      <c r="BR232" s="210">
        <f>ROUND(IF(WWWW[[#This Row],[Location Type 1]]="camp",WWWW[[#This Row],[Total PoP ]]/20,WWWW[[#This Row],[Total PoP ]]/6),0)</f>
        <v>81</v>
      </c>
      <c r="BS232" s="212">
        <f>IF(OR(WWWW[[#This Row],['# Existing latrines dysfunctional]]="",WWWW[[#This Row],['# Existing latrines dysfunctional]]=0),0,WWWW[[#This Row],['# Existing latrines dysfunctional]]/WWWW[[#This Row],[Total '# of latrine]])</f>
        <v>0</v>
      </c>
      <c r="BT23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32" s="209">
        <f>IF(500*WWWW[[#This Row],['# Hygiene Promoters ]]&gt;WWWW[[#This Row],[Total PoP ]],WWWW[[#This Row],[Total PoP ]],500*WWWW[[#This Row],['# Hygiene Promoters ]])</f>
        <v>0</v>
      </c>
      <c r="BV232" s="209">
        <f>IF(WWWW[[#This Row],[% of HH with access to Sanitary Pad]]&gt;=100%,1,0)</f>
        <v>0</v>
      </c>
      <c r="BW232" s="209">
        <f>IF(WWWW[[#This Row],[Total PoP ]]=0,0,IF(WWWW[[#This Row],['# Hygiene Promoters ]]=0,0,IF(WWWW[[#This Row],[Location Type 1]]="Village",IF(WWWW[[#This Row],[Total PoP ]]/WWWW[[#This Row],['# Hygiene Promoters ]]&lt;1000,1,0),IF(WWWW[[#This Row],[Total PoP ]]/WWWW[[#This Row],['# Hygiene Promoters ]]&lt;600,1,0))))</f>
        <v>0</v>
      </c>
      <c r="BX232" s="209">
        <f>IF(WWWW[[#This Row],[%HH with access to soap]]&gt;=100%,1,0)</f>
        <v>0</v>
      </c>
      <c r="BY232" s="209">
        <f>IF(WWWW[[#This Row],[% of HHs with access to Sanitary pad more than '#%]]+WWWW[[#This Row],[Ratio of Hyiene promoters to people less than '#]]+WWWW[[#This Row],[% of HHs with access to soap more than '#%]]&gt;=2,WWWW[[#This Row],[Total PoP ]],0)</f>
        <v>0</v>
      </c>
      <c r="BZ232" s="208">
        <f>WWWW[[#This Row],[People adopt basic personal and community hygiene practices]]/WWWW[[#This Row],[Total PoP ]]</f>
        <v>0</v>
      </c>
      <c r="CA232" s="212">
        <f>1-WWWW[[#This Row],[Hygiene Coverage%]]</f>
        <v>1</v>
      </c>
      <c r="CB232" s="211">
        <f>WWWW[[#This Row],['# people reached by regular dedicated hygiene promotion_5]]/WWWW[[#This Row],[Total PoP ]]</f>
        <v>0</v>
      </c>
      <c r="CC232" s="211">
        <f>IF(WWWW[[#This Row],['# HH received soaps]]/WWWW[[#This Row],[Total HH]]&gt;1,1,WWWW[[#This Row],['# HH received soaps]]/WWWW[[#This Row],[Total HH]])</f>
        <v>0</v>
      </c>
      <c r="CD232" s="211">
        <f>IF(WWWW[[#This Row],['# HH received Sanitary Pads]]/WWWW[[#This Row],[Total HH]]&gt;1,1,WWWW[[#This Row],['# HH received Sanitary Pads]]/WWWW[[#This Row],[Total HH]])</f>
        <v>0</v>
      </c>
      <c r="CE232" s="210">
        <f>WWWW[[#This Row],['# HH received soaps]]*5</f>
        <v>0</v>
      </c>
      <c r="CF232" s="210">
        <f>WWWW[[#This Row],['# HH received Sanitary Pads]]*5</f>
        <v>0</v>
      </c>
      <c r="CG232" s="210">
        <f>IF(WWWW[[#This Row],['# People with access to soap]]&gt;WWWW[[#This Row],['# People with access to Sanity Pads]],WWWW[[#This Row],['# People with access to soap]],WWWW[[#This Row],['# People with access to Sanity Pads]])</f>
        <v>0</v>
      </c>
      <c r="CH232" s="209">
        <f>WWWW[[#This Row],[Total HH]]*WWWW[[#This Row],[%HHs with access to functional hand washing stations]]</f>
        <v>0</v>
      </c>
      <c r="CI232" s="699">
        <f>VLOOKUP(WWWW[[#This Row],[Site Name]],SiteDB6[[Site Name]:[CCCM Management]],6,FALSE)</f>
        <v>0</v>
      </c>
      <c r="CJ232" s="699">
        <f>VLOOKUP(WWWW[[#This Row],[Site Name]],SiteDB6[[Site Name]:[CCCM Focal Agency]],7,FALSE)</f>
        <v>0</v>
      </c>
      <c r="CK232" s="699" t="str">
        <f>VLOOKUP(WWWW[[#This Row],[Site Name]],SiteDB6[[Site Name]:[Location Type]],8,FALSE)</f>
        <v>Village_Not HRP</v>
      </c>
      <c r="CL232" s="699" t="str">
        <f>VLOOKUP(WWWW[[#This Row],[Site Name]],SiteDB6[[Site Name]:[Location Type 1]],9,FALSE)</f>
        <v>Village</v>
      </c>
      <c r="CM232" s="699" t="str">
        <f>VLOOKUP(WWWW[[#This Row],[Site Name]],SiteDB6[[Site Name]:[Type of Accommodation]],10,FALSE)</f>
        <v>Village_Not HRP</v>
      </c>
      <c r="CN232" s="699" t="str">
        <f>VLOOKUP(WWWW[[#This Row],[Site Name]],SiteDB6[[Site Name]:[Ethnic or GCA/NGCA]],11,FALSE)</f>
        <v>Mro</v>
      </c>
      <c r="CO232" s="699">
        <f>VLOOKUP(WWWW[[#This Row],[Site Name]],SiteDB6[[Site Name]:[Lat]],12,FALSE)</f>
        <v>20.785770416259801</v>
      </c>
      <c r="CP232" s="699">
        <f>VLOOKUP(WWWW[[#This Row],[Site Name]],SiteDB6[[Site Name]:[Long]],13,FALSE)</f>
        <v>92.931427001953097</v>
      </c>
      <c r="CQ232" s="699">
        <f>VLOOKUP(WWWW[[#This Row],[Site Name]],SiteDB6[[Site Name]:[Pcode]],3,FALSE)</f>
        <v>196887</v>
      </c>
      <c r="CR232" s="660" t="str">
        <f t="shared" si="4"/>
        <v>Covered</v>
      </c>
      <c r="CS232" s="699" t="s">
        <v>2738</v>
      </c>
      <c r="CT232" s="24"/>
      <c r="CU232" s="24"/>
      <c r="CV232" s="24"/>
    </row>
    <row r="233" spans="1:100" ht="15.75" customHeight="1" x14ac:dyDescent="0.25">
      <c r="A233" s="833" t="s">
        <v>3206</v>
      </c>
      <c r="B233" s="206" t="s">
        <v>479</v>
      </c>
      <c r="C233" s="206" t="s">
        <v>454</v>
      </c>
      <c r="D233" s="206" t="s">
        <v>463</v>
      </c>
      <c r="E233" s="206" t="s">
        <v>721</v>
      </c>
      <c r="F233" s="206">
        <v>293</v>
      </c>
      <c r="G233" s="209">
        <v>1503</v>
      </c>
      <c r="H233" s="206"/>
      <c r="I233" s="206" t="s">
        <v>495</v>
      </c>
      <c r="J233" s="207">
        <v>43616</v>
      </c>
      <c r="K233" s="206">
        <v>0</v>
      </c>
      <c r="L233" s="206" t="s">
        <v>2454</v>
      </c>
      <c r="M233" s="208">
        <v>0</v>
      </c>
      <c r="N233" s="208">
        <v>0</v>
      </c>
      <c r="O233" s="323">
        <v>0</v>
      </c>
      <c r="P233" s="317">
        <v>0</v>
      </c>
      <c r="Q233" s="317">
        <v>0</v>
      </c>
      <c r="R233" s="318">
        <v>0</v>
      </c>
      <c r="S233" s="318">
        <v>0</v>
      </c>
      <c r="T233" s="318"/>
      <c r="U233" s="318"/>
      <c r="V233" s="318"/>
      <c r="W233" s="318"/>
      <c r="X233" s="318"/>
      <c r="Y233" s="318"/>
      <c r="Z233" s="318"/>
      <c r="AA233" s="310">
        <v>9</v>
      </c>
      <c r="AB233" s="310">
        <v>0</v>
      </c>
      <c r="AC233" s="66"/>
      <c r="AD233" s="66"/>
      <c r="AE233" s="310">
        <v>0</v>
      </c>
      <c r="AF233" s="310" t="s">
        <v>1358</v>
      </c>
      <c r="AG233" s="311" t="s">
        <v>1358</v>
      </c>
      <c r="AH233" s="311"/>
      <c r="AI233" s="310"/>
      <c r="AJ233" s="310"/>
      <c r="AK233" s="841">
        <v>0</v>
      </c>
      <c r="AL233" s="842"/>
      <c r="AM233" s="842">
        <v>0</v>
      </c>
      <c r="AN233" s="863">
        <v>0</v>
      </c>
      <c r="AO233" s="863">
        <v>0</v>
      </c>
      <c r="AP233" s="843"/>
      <c r="AQ233" s="843"/>
      <c r="AR233" s="843"/>
      <c r="AS233" s="843"/>
      <c r="AT233" s="843"/>
      <c r="AU233" s="843"/>
      <c r="AV233" s="844"/>
      <c r="AW233" s="208" t="str">
        <f>IFERROR(WWWW[[#This Row],['# of Water passed at source]]/WWWW[[#This Row],['# of Water tested at source]],"no test")</f>
        <v>no test</v>
      </c>
      <c r="AX233" s="211" t="str">
        <f>IFERROR(WWWW[[#This Row],['# of Water passed at HH]]/WWWW[[#This Row],['# of Water tested at HH]],"no test")</f>
        <v>no test</v>
      </c>
      <c r="AY233" s="210" t="str">
        <f>IF(AND(WWWW[[#This Row],[%of Water samples which passed at water source]]="no test",WWWW[[#This Row],[%Water samples which passed at HH]]="no test"),"No Test","Tested")</f>
        <v>No Test</v>
      </c>
      <c r="AZ23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3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33" s="211">
        <f>IF(WWWW[[#This Row],[Location Type 1]]="Village",WWWW[[#This Row],[Access to safe drinking water for Village]],WWWW[[#This Row],[Access to safe drinking water for Camp]])</f>
        <v>0</v>
      </c>
      <c r="BC233" s="209">
        <f>WWWW[[#This Row],[%Equitable and continuous access to sufficient quantity of safe drinking water]]*WWWW[[#This Row],[Total PoP ]]</f>
        <v>0</v>
      </c>
      <c r="BD233" s="211">
        <f>IF((WWWW[[#This Row],['# Existing protected/fenced ponds ]]*250)/WWWW[[#This Row],[Total PoP ]]&gt;1,1,WWWW[[#This Row],['# Existing protected/fenced ponds ]]*250/WWWW[[#This Row],[Total PoP ]])</f>
        <v>0</v>
      </c>
      <c r="BE233" s="209">
        <f>WWWW[[#This Row],[Access to unimproved water points]]*WWWW[[#This Row],[Total PoP ]]</f>
        <v>0</v>
      </c>
      <c r="BF23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3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33" s="209">
        <f>ROUND(WWWW[[#This Row],['#people Equitable and continuous access to sufficient quantity of domestic water borehole n ponds_2]]/500,0)</f>
        <v>0</v>
      </c>
      <c r="BI233" s="208">
        <f>1-WWWW[[#This Row],[%Equitable and continuous access to sufficient quantity of domestic water borehole n ponds]]</f>
        <v>1</v>
      </c>
      <c r="BJ233" s="209">
        <f>WWWW[[#This Row],[%equitable and continuous access to sufficient quantity of safe drinking and domestic water''s GAP]]*WWWW[[#This Row],[Total PoP ]]</f>
        <v>1503</v>
      </c>
      <c r="BK233" s="210">
        <f>IF(WWWW[[#This Row],[Total required water points]]-WWWW[[#This Row],['#Water points coverage]]&lt;0,0,WWWW[[#This Row],[Total required water points]]-WWWW[[#This Row],['#Water points coverage]])</f>
        <v>3</v>
      </c>
      <c r="BL233" s="210">
        <f>ROUND(IF(WWWW[[#This Row],[Total PoP ]]&lt;500,1,WWWW[[#This Row],[Total PoP ]]/500),0)</f>
        <v>3</v>
      </c>
      <c r="BM233" s="210">
        <f>WWWW[[#This Row],['# Existing functional latrines]]+WWWW[[#This Row],['# Existing latrines dysfunctional]]</f>
        <v>9</v>
      </c>
      <c r="BN23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3.5928143712574849E-2</v>
      </c>
      <c r="BO233" s="352">
        <f>WWWW[[#This Row],[% people access to functioning Latrine]]*WWWW[[#This Row],[Total PoP ]]</f>
        <v>54</v>
      </c>
      <c r="BP23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0.96606786427145708</v>
      </c>
      <c r="BQ233" s="209">
        <f>IF(WWWW[[#This Row],[Total required Latrines]]-WWWW[[#This Row],[Total '# of latrine]]&lt;0,0,WWWW[[#This Row],[Total required Latrines]]-WWWW[[#This Row],[Total '# of latrine]])</f>
        <v>242</v>
      </c>
      <c r="BR233" s="210">
        <f>ROUND(IF(WWWW[[#This Row],[Location Type 1]]="camp",WWWW[[#This Row],[Total PoP ]]/20,WWWW[[#This Row],[Total PoP ]]/6),0)</f>
        <v>251</v>
      </c>
      <c r="BS233" s="212">
        <f>IF(OR(WWWW[[#This Row],['# Existing latrines dysfunctional]]="",WWWW[[#This Row],['# Existing latrines dysfunctional]]=0),0,WWWW[[#This Row],['# Existing latrines dysfunctional]]/WWWW[[#This Row],[Total '# of latrine]])</f>
        <v>0</v>
      </c>
      <c r="BT23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33" s="209">
        <f>IF(500*WWWW[[#This Row],['# Hygiene Promoters ]]&gt;WWWW[[#This Row],[Total PoP ]],WWWW[[#This Row],[Total PoP ]],500*WWWW[[#This Row],['# Hygiene Promoters ]])</f>
        <v>0</v>
      </c>
      <c r="BV233" s="209">
        <f>IF(WWWW[[#This Row],[% of HH with access to Sanitary Pad]]&gt;=100%,1,0)</f>
        <v>0</v>
      </c>
      <c r="BW233" s="209">
        <f>IF(WWWW[[#This Row],[Total PoP ]]=0,0,IF(WWWW[[#This Row],['# Hygiene Promoters ]]=0,0,IF(WWWW[[#This Row],[Location Type 1]]="Village",IF(WWWW[[#This Row],[Total PoP ]]/WWWW[[#This Row],['# Hygiene Promoters ]]&lt;1000,1,0),IF(WWWW[[#This Row],[Total PoP ]]/WWWW[[#This Row],['# Hygiene Promoters ]]&lt;600,1,0))))</f>
        <v>0</v>
      </c>
      <c r="BX233" s="209">
        <f>IF(WWWW[[#This Row],[%HH with access to soap]]&gt;=100%,1,0)</f>
        <v>0</v>
      </c>
      <c r="BY233" s="209">
        <f>IF(WWWW[[#This Row],[% of HHs with access to Sanitary pad more than '#%]]+WWWW[[#This Row],[Ratio of Hyiene promoters to people less than '#]]+WWWW[[#This Row],[% of HHs with access to soap more than '#%]]&gt;=2,WWWW[[#This Row],[Total PoP ]],0)</f>
        <v>0</v>
      </c>
      <c r="BZ233" s="208">
        <f>WWWW[[#This Row],[People adopt basic personal and community hygiene practices]]/WWWW[[#This Row],[Total PoP ]]</f>
        <v>0</v>
      </c>
      <c r="CA233" s="212">
        <f>1-WWWW[[#This Row],[Hygiene Coverage%]]</f>
        <v>1</v>
      </c>
      <c r="CB233" s="211">
        <f>WWWW[[#This Row],['# people reached by regular dedicated hygiene promotion_5]]/WWWW[[#This Row],[Total PoP ]]</f>
        <v>0</v>
      </c>
      <c r="CC233" s="211">
        <f>IF(WWWW[[#This Row],['# HH received soaps]]/WWWW[[#This Row],[Total HH]]&gt;1,1,WWWW[[#This Row],['# HH received soaps]]/WWWW[[#This Row],[Total HH]])</f>
        <v>0</v>
      </c>
      <c r="CD233" s="211">
        <f>IF(WWWW[[#This Row],['# HH received Sanitary Pads]]/WWWW[[#This Row],[Total HH]]&gt;1,1,WWWW[[#This Row],['# HH received Sanitary Pads]]/WWWW[[#This Row],[Total HH]])</f>
        <v>0</v>
      </c>
      <c r="CE233" s="210">
        <f>WWWW[[#This Row],['# HH received soaps]]*5</f>
        <v>0</v>
      </c>
      <c r="CF233" s="210">
        <f>WWWW[[#This Row],['# HH received Sanitary Pads]]*5</f>
        <v>0</v>
      </c>
      <c r="CG233" s="210">
        <f>IF(WWWW[[#This Row],['# People with access to soap]]&gt;WWWW[[#This Row],['# People with access to Sanity Pads]],WWWW[[#This Row],['# People with access to soap]],WWWW[[#This Row],['# People with access to Sanity Pads]])</f>
        <v>0</v>
      </c>
      <c r="CH233" s="209">
        <f>WWWW[[#This Row],[Total HH]]*WWWW[[#This Row],[%HHs with access to functional hand washing stations]]</f>
        <v>0</v>
      </c>
      <c r="CI233" s="699">
        <f>VLOOKUP(WWWW[[#This Row],[Site Name]],SiteDB6[[Site Name]:[CCCM Management]],6,FALSE)</f>
        <v>0</v>
      </c>
      <c r="CJ233" s="699">
        <f>VLOOKUP(WWWW[[#This Row],[Site Name]],SiteDB6[[Site Name]:[CCCM Focal Agency]],7,FALSE)</f>
        <v>0</v>
      </c>
      <c r="CK233" s="699" t="str">
        <f>VLOOKUP(WWWW[[#This Row],[Site Name]],SiteDB6[[Site Name]:[Location Type]],8,FALSE)</f>
        <v>Village_Not HRP</v>
      </c>
      <c r="CL233" s="699" t="str">
        <f>VLOOKUP(WWWW[[#This Row],[Site Name]],SiteDB6[[Site Name]:[Location Type 1]],9,FALSE)</f>
        <v>Village</v>
      </c>
      <c r="CM233" s="699" t="str">
        <f>VLOOKUP(WWWW[[#This Row],[Site Name]],SiteDB6[[Site Name]:[Type of Accommodation]],10,FALSE)</f>
        <v>Village_Not HRP</v>
      </c>
      <c r="CN233" s="699" t="str">
        <f>VLOOKUP(WWWW[[#This Row],[Site Name]],SiteDB6[[Site Name]:[Ethnic or GCA/NGCA]],11,FALSE)</f>
        <v>Rakhine</v>
      </c>
      <c r="CO233" s="699">
        <f>VLOOKUP(WWWW[[#This Row],[Site Name]],SiteDB6[[Site Name]:[Lat]],12,FALSE)</f>
        <v>20.711349487304702</v>
      </c>
      <c r="CP233" s="699">
        <f>VLOOKUP(WWWW[[#This Row],[Site Name]],SiteDB6[[Site Name]:[Long]],13,FALSE)</f>
        <v>92.980506896972699</v>
      </c>
      <c r="CQ233" s="699">
        <f>VLOOKUP(WWWW[[#This Row],[Site Name]],SiteDB6[[Site Name]:[Pcode]],3,FALSE)</f>
        <v>196944</v>
      </c>
      <c r="CR233" s="660" t="str">
        <f t="shared" si="4"/>
        <v>Covered</v>
      </c>
      <c r="CS233" s="699" t="s">
        <v>2738</v>
      </c>
      <c r="CT233" s="24"/>
      <c r="CU233" s="24"/>
      <c r="CV233" s="24"/>
    </row>
    <row r="234" spans="1:100" ht="15.75" customHeight="1" x14ac:dyDescent="0.25">
      <c r="A234" s="833" t="s">
        <v>3206</v>
      </c>
      <c r="B234" s="206" t="s">
        <v>479</v>
      </c>
      <c r="C234" s="206" t="s">
        <v>454</v>
      </c>
      <c r="D234" s="206" t="s">
        <v>463</v>
      </c>
      <c r="E234" s="206" t="s">
        <v>859</v>
      </c>
      <c r="F234" s="206">
        <v>185</v>
      </c>
      <c r="G234" s="209">
        <v>915</v>
      </c>
      <c r="H234" s="206"/>
      <c r="I234" s="206" t="s">
        <v>495</v>
      </c>
      <c r="J234" s="207">
        <v>43616</v>
      </c>
      <c r="K234" s="206">
        <v>0</v>
      </c>
      <c r="L234" s="206" t="s">
        <v>2454</v>
      </c>
      <c r="M234" s="208">
        <v>0</v>
      </c>
      <c r="N234" s="208">
        <v>0</v>
      </c>
      <c r="O234" s="323">
        <v>0</v>
      </c>
      <c r="P234" s="317">
        <v>0</v>
      </c>
      <c r="Q234" s="317">
        <v>0</v>
      </c>
      <c r="R234" s="318">
        <v>0</v>
      </c>
      <c r="S234" s="318">
        <v>0</v>
      </c>
      <c r="T234" s="318"/>
      <c r="U234" s="318"/>
      <c r="V234" s="318"/>
      <c r="W234" s="318"/>
      <c r="X234" s="318"/>
      <c r="Y234" s="318"/>
      <c r="Z234" s="318"/>
      <c r="AA234" s="310">
        <v>32</v>
      </c>
      <c r="AB234" s="310">
        <v>0</v>
      </c>
      <c r="AC234" s="310"/>
      <c r="AD234" s="66"/>
      <c r="AE234" s="310">
        <v>0</v>
      </c>
      <c r="AF234" s="310" t="s">
        <v>332</v>
      </c>
      <c r="AG234" s="311" t="s">
        <v>332</v>
      </c>
      <c r="AH234" s="66"/>
      <c r="AI234" s="66"/>
      <c r="AJ234" s="310"/>
      <c r="AK234" s="841">
        <v>0</v>
      </c>
      <c r="AL234" s="842"/>
      <c r="AM234" s="842">
        <v>0</v>
      </c>
      <c r="AN234" s="863">
        <v>0</v>
      </c>
      <c r="AO234" s="863">
        <v>0</v>
      </c>
      <c r="AP234" s="843"/>
      <c r="AQ234" s="843"/>
      <c r="AR234" s="843"/>
      <c r="AS234" s="843"/>
      <c r="AT234" s="843"/>
      <c r="AU234" s="843"/>
      <c r="AV234" s="844"/>
      <c r="AW234" s="208" t="str">
        <f>IFERROR(WWWW[[#This Row],['# of Water passed at source]]/WWWW[[#This Row],['# of Water tested at source]],"no test")</f>
        <v>no test</v>
      </c>
      <c r="AX234" s="211" t="str">
        <f>IFERROR(WWWW[[#This Row],['# of Water passed at HH]]/WWWW[[#This Row],['# of Water tested at HH]],"no test")</f>
        <v>no test</v>
      </c>
      <c r="AY234" s="210" t="str">
        <f>IF(AND(WWWW[[#This Row],[%of Water samples which passed at water source]]="no test",WWWW[[#This Row],[%Water samples which passed at HH]]="no test"),"No Test","Tested")</f>
        <v>No Test</v>
      </c>
      <c r="AZ23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3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34" s="211">
        <f>IF(WWWW[[#This Row],[Location Type 1]]="Village",WWWW[[#This Row],[Access to safe drinking water for Village]],WWWW[[#This Row],[Access to safe drinking water for Camp]])</f>
        <v>0</v>
      </c>
      <c r="BC234" s="209">
        <f>WWWW[[#This Row],[%Equitable and continuous access to sufficient quantity of safe drinking water]]*WWWW[[#This Row],[Total PoP ]]</f>
        <v>0</v>
      </c>
      <c r="BD234" s="211">
        <f>IF((WWWW[[#This Row],['# Existing protected/fenced ponds ]]*250)/WWWW[[#This Row],[Total PoP ]]&gt;1,1,WWWW[[#This Row],['# Existing protected/fenced ponds ]]*250/WWWW[[#This Row],[Total PoP ]])</f>
        <v>0</v>
      </c>
      <c r="BE234" s="209">
        <f>WWWW[[#This Row],[Access to unimproved water points]]*WWWW[[#This Row],[Total PoP ]]</f>
        <v>0</v>
      </c>
      <c r="BF23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3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34" s="209">
        <f>ROUND(WWWW[[#This Row],['#people Equitable and continuous access to sufficient quantity of domestic water borehole n ponds_2]]/500,0)</f>
        <v>0</v>
      </c>
      <c r="BI234" s="208">
        <f>1-WWWW[[#This Row],[%Equitable and continuous access to sufficient quantity of domestic water borehole n ponds]]</f>
        <v>1</v>
      </c>
      <c r="BJ234" s="209">
        <f>WWWW[[#This Row],[%equitable and continuous access to sufficient quantity of safe drinking and domestic water''s GAP]]*WWWW[[#This Row],[Total PoP ]]</f>
        <v>915</v>
      </c>
      <c r="BK234" s="210">
        <f>IF(WWWW[[#This Row],[Total required water points]]-WWWW[[#This Row],['#Water points coverage]]&lt;0,0,WWWW[[#This Row],[Total required water points]]-WWWW[[#This Row],['#Water points coverage]])</f>
        <v>2</v>
      </c>
      <c r="BL234" s="210">
        <f>ROUND(IF(WWWW[[#This Row],[Total PoP ]]&lt;500,1,WWWW[[#This Row],[Total PoP ]]/500),0)</f>
        <v>2</v>
      </c>
      <c r="BM234" s="210">
        <f>WWWW[[#This Row],['# Existing functional latrines]]+WWWW[[#This Row],['# Existing latrines dysfunctional]]</f>
        <v>32</v>
      </c>
      <c r="BN23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0.20983606557377049</v>
      </c>
      <c r="BO234" s="352">
        <f>WWWW[[#This Row],[% people access to functioning Latrine]]*WWWW[[#This Row],[Total PoP ]]</f>
        <v>192</v>
      </c>
      <c r="BP23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0.79344262295081969</v>
      </c>
      <c r="BQ234" s="209">
        <f>IF(WWWW[[#This Row],[Total required Latrines]]-WWWW[[#This Row],[Total '# of latrine]]&lt;0,0,WWWW[[#This Row],[Total required Latrines]]-WWWW[[#This Row],[Total '# of latrine]])</f>
        <v>121</v>
      </c>
      <c r="BR234" s="210">
        <f>ROUND(IF(WWWW[[#This Row],[Location Type 1]]="camp",WWWW[[#This Row],[Total PoP ]]/20,WWWW[[#This Row],[Total PoP ]]/6),0)</f>
        <v>153</v>
      </c>
      <c r="BS234" s="212">
        <f>IF(OR(WWWW[[#This Row],['# Existing latrines dysfunctional]]="",WWWW[[#This Row],['# Existing latrines dysfunctional]]=0),0,WWWW[[#This Row],['# Existing latrines dysfunctional]]/WWWW[[#This Row],[Total '# of latrine]])</f>
        <v>0</v>
      </c>
      <c r="BT23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34" s="209">
        <f>IF(500*WWWW[[#This Row],['# Hygiene Promoters ]]&gt;WWWW[[#This Row],[Total PoP ]],WWWW[[#This Row],[Total PoP ]],500*WWWW[[#This Row],['# Hygiene Promoters ]])</f>
        <v>0</v>
      </c>
      <c r="BV234" s="209">
        <f>IF(WWWW[[#This Row],[% of HH with access to Sanitary Pad]]&gt;=100%,1,0)</f>
        <v>0</v>
      </c>
      <c r="BW234" s="209">
        <f>IF(WWWW[[#This Row],[Total PoP ]]=0,0,IF(WWWW[[#This Row],['# Hygiene Promoters ]]=0,0,IF(WWWW[[#This Row],[Location Type 1]]="Village",IF(WWWW[[#This Row],[Total PoP ]]/WWWW[[#This Row],['# Hygiene Promoters ]]&lt;1000,1,0),IF(WWWW[[#This Row],[Total PoP ]]/WWWW[[#This Row],['# Hygiene Promoters ]]&lt;600,1,0))))</f>
        <v>0</v>
      </c>
      <c r="BX234" s="209">
        <f>IF(WWWW[[#This Row],[%HH with access to soap]]&gt;=100%,1,0)</f>
        <v>0</v>
      </c>
      <c r="BY234" s="209">
        <f>IF(WWWW[[#This Row],[% of HHs with access to Sanitary pad more than '#%]]+WWWW[[#This Row],[Ratio of Hyiene promoters to people less than '#]]+WWWW[[#This Row],[% of HHs with access to soap more than '#%]]&gt;=2,WWWW[[#This Row],[Total PoP ]],0)</f>
        <v>0</v>
      </c>
      <c r="BZ234" s="208">
        <f>WWWW[[#This Row],[People adopt basic personal and community hygiene practices]]/WWWW[[#This Row],[Total PoP ]]</f>
        <v>0</v>
      </c>
      <c r="CA234" s="212">
        <f>1-WWWW[[#This Row],[Hygiene Coverage%]]</f>
        <v>1</v>
      </c>
      <c r="CB234" s="211">
        <f>WWWW[[#This Row],['# people reached by regular dedicated hygiene promotion_5]]/WWWW[[#This Row],[Total PoP ]]</f>
        <v>0</v>
      </c>
      <c r="CC234" s="211">
        <f>IF(WWWW[[#This Row],['# HH received soaps]]/WWWW[[#This Row],[Total HH]]&gt;1,1,WWWW[[#This Row],['# HH received soaps]]/WWWW[[#This Row],[Total HH]])</f>
        <v>0</v>
      </c>
      <c r="CD234" s="211">
        <f>IF(WWWW[[#This Row],['# HH received Sanitary Pads]]/WWWW[[#This Row],[Total HH]]&gt;1,1,WWWW[[#This Row],['# HH received Sanitary Pads]]/WWWW[[#This Row],[Total HH]])</f>
        <v>0</v>
      </c>
      <c r="CE234" s="210">
        <f>WWWW[[#This Row],['# HH received soaps]]*5</f>
        <v>0</v>
      </c>
      <c r="CF234" s="210">
        <f>WWWW[[#This Row],['# HH received Sanitary Pads]]*5</f>
        <v>0</v>
      </c>
      <c r="CG234" s="210">
        <f>IF(WWWW[[#This Row],['# People with access to soap]]&gt;WWWW[[#This Row],['# People with access to Sanity Pads]],WWWW[[#This Row],['# People with access to soap]],WWWW[[#This Row],['# People with access to Sanity Pads]])</f>
        <v>0</v>
      </c>
      <c r="CH234" s="209">
        <f>WWWW[[#This Row],[Total HH]]*WWWW[[#This Row],[%HHs with access to functional hand washing stations]]</f>
        <v>0</v>
      </c>
      <c r="CI234" s="699">
        <f>VLOOKUP(WWWW[[#This Row],[Site Name]],SiteDB6[[Site Name]:[CCCM Management]],6,FALSE)</f>
        <v>0</v>
      </c>
      <c r="CJ234" s="699">
        <f>VLOOKUP(WWWW[[#This Row],[Site Name]],SiteDB6[[Site Name]:[CCCM Focal Agency]],7,FALSE)</f>
        <v>0</v>
      </c>
      <c r="CK234" s="699" t="str">
        <f>VLOOKUP(WWWW[[#This Row],[Site Name]],SiteDB6[[Site Name]:[Location Type]],8,FALSE)</f>
        <v>Village_Not HRP</v>
      </c>
      <c r="CL234" s="699" t="str">
        <f>VLOOKUP(WWWW[[#This Row],[Site Name]],SiteDB6[[Site Name]:[Location Type 1]],9,FALSE)</f>
        <v>village</v>
      </c>
      <c r="CM234" s="699" t="str">
        <f>VLOOKUP(WWWW[[#This Row],[Site Name]],SiteDB6[[Site Name]:[Type of Accommodation]],10,FALSE)</f>
        <v>Village_Not HRP</v>
      </c>
      <c r="CN234" s="699" t="str">
        <f>VLOOKUP(WWWW[[#This Row],[Site Name]],SiteDB6[[Site Name]:[Ethnic or GCA/NGCA]],11,FALSE)</f>
        <v>Rakhine</v>
      </c>
      <c r="CO234" s="699">
        <f>VLOOKUP(WWWW[[#This Row],[Site Name]],SiteDB6[[Site Name]:[Lat]],12,FALSE)</f>
        <v>20.786739349365199</v>
      </c>
      <c r="CP234" s="699">
        <f>VLOOKUP(WWWW[[#This Row],[Site Name]],SiteDB6[[Site Name]:[Long]],13,FALSE)</f>
        <v>92.944313049316406</v>
      </c>
      <c r="CQ234" s="699" t="str">
        <f>VLOOKUP(WWWW[[#This Row],[Site Name]],SiteDB6[[Site Name]:[Pcode]],3,FALSE)</f>
        <v>196884</v>
      </c>
      <c r="CR234" s="660" t="str">
        <f t="shared" si="4"/>
        <v>Covered</v>
      </c>
      <c r="CS234" s="699" t="s">
        <v>2738</v>
      </c>
      <c r="CT234" s="24"/>
      <c r="CU234" s="24"/>
      <c r="CV234" s="24"/>
    </row>
    <row r="235" spans="1:100" ht="15.75" customHeight="1" x14ac:dyDescent="0.25">
      <c r="A235" s="833" t="s">
        <v>3206</v>
      </c>
      <c r="B235" s="206" t="s">
        <v>479</v>
      </c>
      <c r="C235" s="206" t="s">
        <v>454</v>
      </c>
      <c r="D235" s="206" t="s">
        <v>463</v>
      </c>
      <c r="E235" s="206" t="s">
        <v>3232</v>
      </c>
      <c r="F235" s="206">
        <v>156</v>
      </c>
      <c r="G235" s="209">
        <v>665</v>
      </c>
      <c r="H235" s="206"/>
      <c r="I235" s="206" t="s">
        <v>449</v>
      </c>
      <c r="J235" s="207">
        <v>43738</v>
      </c>
      <c r="K235" s="206">
        <v>30</v>
      </c>
      <c r="L235" s="206" t="s">
        <v>2454</v>
      </c>
      <c r="M235" s="208">
        <v>0</v>
      </c>
      <c r="N235" s="208">
        <v>0</v>
      </c>
      <c r="O235" s="323">
        <v>0</v>
      </c>
      <c r="P235" s="317">
        <v>0</v>
      </c>
      <c r="Q235" s="317">
        <v>0</v>
      </c>
      <c r="R235" s="318">
        <v>0</v>
      </c>
      <c r="S235" s="318"/>
      <c r="T235" s="318"/>
      <c r="U235" s="318"/>
      <c r="V235" s="318"/>
      <c r="W235" s="318"/>
      <c r="X235" s="318"/>
      <c r="Y235" s="318"/>
      <c r="Z235" s="318"/>
      <c r="AA235" s="310"/>
      <c r="AB235" s="311"/>
      <c r="AC235" s="66"/>
      <c r="AD235" s="66"/>
      <c r="AE235" s="310"/>
      <c r="AF235" s="310" t="s">
        <v>286</v>
      </c>
      <c r="AG235" s="311" t="s">
        <v>286</v>
      </c>
      <c r="AH235" s="66"/>
      <c r="AI235" s="66"/>
      <c r="AJ235" s="311"/>
      <c r="AK235" s="841">
        <v>0</v>
      </c>
      <c r="AL235" s="846"/>
      <c r="AM235" s="844">
        <v>0</v>
      </c>
      <c r="AN235" s="863">
        <v>0</v>
      </c>
      <c r="AO235" s="863"/>
      <c r="AP235" s="843"/>
      <c r="AQ235" s="843"/>
      <c r="AR235" s="843"/>
      <c r="AS235" s="843"/>
      <c r="AT235" s="843"/>
      <c r="AU235" s="843"/>
      <c r="AV235" s="844"/>
      <c r="AW235" s="208" t="str">
        <f>IFERROR(WWWW[[#This Row],['# of Water passed at source]]/WWWW[[#This Row],['# of Water tested at source]],"no test")</f>
        <v>no test</v>
      </c>
      <c r="AX235" s="211" t="str">
        <f>IFERROR(WWWW[[#This Row],['# of Water passed at HH]]/WWWW[[#This Row],['# of Water tested at HH]],"no test")</f>
        <v>no test</v>
      </c>
      <c r="AY235" s="210" t="str">
        <f>IF(AND(WWWW[[#This Row],[%of Water samples which passed at water source]]="no test",WWWW[[#This Row],[%Water samples which passed at HH]]="no test"),"No Test","Tested")</f>
        <v>No Test</v>
      </c>
      <c r="AZ23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3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35" s="211">
        <f>IF(WWWW[[#This Row],[Location Type 1]]="Village",WWWW[[#This Row],[Access to safe drinking water for Village]],WWWW[[#This Row],[Access to safe drinking water for Camp]])</f>
        <v>0</v>
      </c>
      <c r="BC235" s="209">
        <f>WWWW[[#This Row],[%Equitable and continuous access to sufficient quantity of safe drinking water]]*WWWW[[#This Row],[Total PoP ]]</f>
        <v>0</v>
      </c>
      <c r="BD235" s="211">
        <f>IF((WWWW[[#This Row],['# Existing protected/fenced ponds ]]*250)/WWWW[[#This Row],[Total PoP ]]&gt;1,1,WWWW[[#This Row],['# Existing protected/fenced ponds ]]*250/WWWW[[#This Row],[Total PoP ]])</f>
        <v>0</v>
      </c>
      <c r="BE235" s="209">
        <f>WWWW[[#This Row],[Access to unimproved water points]]*WWWW[[#This Row],[Total PoP ]]</f>
        <v>0</v>
      </c>
      <c r="BF23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3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35" s="209">
        <f>WWWW[[#This Row],['#people Equitable and continuous access to sufficient quantity of domestic water borehole n ponds_2]]/500</f>
        <v>0</v>
      </c>
      <c r="BI235" s="208">
        <f>1-WWWW[[#This Row],[%Equitable and continuous access to sufficient quantity of domestic water borehole n ponds]]</f>
        <v>1</v>
      </c>
      <c r="BJ235" s="209">
        <f>WWWW[[#This Row],[%equitable and continuous access to sufficient quantity of safe drinking and domestic water''s GAP]]*WWWW[[#This Row],[Total PoP ]]</f>
        <v>665</v>
      </c>
      <c r="BK235" s="210">
        <f>IF(WWWW[[#This Row],[Total required water points]]-WWWW[[#This Row],['#Water points coverage]]&lt;0,0,WWWW[[#This Row],[Total required water points]]-WWWW[[#This Row],['#Water points coverage]])</f>
        <v>1</v>
      </c>
      <c r="BL235" s="210">
        <f>ROUND(IF(WWWW[[#This Row],[Total PoP ]]&lt;500,1,WWWW[[#This Row],[Total PoP ]]/500),0)</f>
        <v>1</v>
      </c>
      <c r="BM235" s="210">
        <f>WWWW[[#This Row],['# Existing functional latrines]]+WWWW[[#This Row],['# Existing latrines dysfunctional]]</f>
        <v>0</v>
      </c>
      <c r="BN23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35" s="352">
        <f>WWWW[[#This Row],[% people access to functioning Latrine]]*WWWW[[#This Row],[Total PoP ]]</f>
        <v>0</v>
      </c>
      <c r="BP23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35" s="209">
        <f>IF(WWWW[[#This Row],[Total required Latrines]]-WWWW[[#This Row],[Total '# of latrine]]&lt;0,0,WWWW[[#This Row],[Total required Latrines]]-WWWW[[#This Row],[Total '# of latrine]])</f>
        <v>111</v>
      </c>
      <c r="BR235" s="210">
        <f>ROUND(IF(WWWW[[#This Row],[Location Type 1]]="camp",WWWW[[#This Row],[Total PoP ]]/20,WWWW[[#This Row],[Total PoP ]]/6),0)</f>
        <v>111</v>
      </c>
      <c r="BS235" s="212">
        <f>IF(OR(WWWW[[#This Row],['# Existing latrines dysfunctional]]="",WWWW[[#This Row],['# Existing latrines dysfunctional]]=0),0,WWWW[[#This Row],['# Existing latrines dysfunctional]]/WWWW[[#This Row],[Total '# of latrine]])</f>
        <v>0</v>
      </c>
      <c r="BT23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35" s="209">
        <f>IF(500*WWWW[[#This Row],['# Hygiene Promoters ]]&gt;WWWW[[#This Row],[Total PoP ]],WWWW[[#This Row],[Total PoP ]],500*WWWW[[#This Row],['# Hygiene Promoters ]])</f>
        <v>0</v>
      </c>
      <c r="BV235" s="209">
        <f>IF(WWWW[[#This Row],[% of HH with access to Sanitary Pad]]&gt;=100%,1,0)</f>
        <v>0</v>
      </c>
      <c r="BW235" s="209">
        <f>IF(WWWW[[#This Row],[Total PoP ]]=0,0,IF(WWWW[[#This Row],['# Hygiene Promoters ]]=0,0,IF(WWWW[[#This Row],[Location Type 1]]="Village",IF(WWWW[[#This Row],[Total PoP ]]/WWWW[[#This Row],['# Hygiene Promoters ]]&lt;1000,1,0),IF(WWWW[[#This Row],[Total PoP ]]/WWWW[[#This Row],['# Hygiene Promoters ]]&lt;600,1,0))))</f>
        <v>0</v>
      </c>
      <c r="BX235" s="209">
        <f>IF(WWWW[[#This Row],[%HH with access to soap]]&gt;=100%,1,0)</f>
        <v>0</v>
      </c>
      <c r="BY235" s="209">
        <f>IF(WWWW[[#This Row],[% of HHs with access to Sanitary pad more than '#%]]+WWWW[[#This Row],[Ratio of Hyiene promoters to people less than '#]]+WWWW[[#This Row],[% of HHs with access to soap more than '#%]]&gt;=2,WWWW[[#This Row],[Total PoP ]],0)</f>
        <v>0</v>
      </c>
      <c r="BZ235" s="208">
        <f>WWWW[[#This Row],[People adopt basic personal and community hygiene practices]]/WWWW[[#This Row],[Total PoP ]]</f>
        <v>0</v>
      </c>
      <c r="CA235" s="212">
        <f>1-WWWW[[#This Row],[Hygiene Coverage%]]</f>
        <v>1</v>
      </c>
      <c r="CB235" s="211">
        <f>WWWW[[#This Row],['# people reached by regular dedicated hygiene promotion_5]]/WWWW[[#This Row],[Total PoP ]]</f>
        <v>0</v>
      </c>
      <c r="CC235" s="211">
        <f>IF(WWWW[[#This Row],['# HH received soaps]]/WWWW[[#This Row],[Total HH]]&gt;1,1,WWWW[[#This Row],['# HH received soaps]]/WWWW[[#This Row],[Total HH]])</f>
        <v>0</v>
      </c>
      <c r="CD235" s="211">
        <f>IF(WWWW[[#This Row],['# HH received Sanitary Pads]]/WWWW[[#This Row],[Total HH]]&gt;1,1,WWWW[[#This Row],['# HH received Sanitary Pads]]/WWWW[[#This Row],[Total HH]])</f>
        <v>0</v>
      </c>
      <c r="CE235" s="210">
        <f>WWWW[[#This Row],['# HH received soaps]]*5</f>
        <v>0</v>
      </c>
      <c r="CF235" s="210">
        <f>WWWW[[#This Row],['# HH received Sanitary Pads]]*5</f>
        <v>0</v>
      </c>
      <c r="CG235" s="210">
        <f>IF(WWWW[[#This Row],['# People with access to soap]]&gt;WWWW[[#This Row],['# People with access to Sanity Pads]],WWWW[[#This Row],['# People with access to soap]],WWWW[[#This Row],['# People with access to Sanity Pads]])</f>
        <v>0</v>
      </c>
      <c r="CH235" s="209">
        <f>WWWW[[#This Row],[Total HH]]*WWWW[[#This Row],[%HHs with access to functional hand washing stations]]</f>
        <v>0</v>
      </c>
      <c r="CI235" s="699">
        <f>VLOOKUP(WWWW[[#This Row],[Site Name]],SiteDB6[[Site Name]:[CCCM Management]],6,FALSE)</f>
        <v>0</v>
      </c>
      <c r="CJ235" s="699">
        <f>VLOOKUP(WWWW[[#This Row],[Site Name]],SiteDB6[[Site Name]:[CCCM Focal Agency]],7,FALSE)</f>
        <v>0</v>
      </c>
      <c r="CK235" s="699" t="str">
        <f>VLOOKUP(WWWW[[#This Row],[Site Name]],SiteDB6[[Site Name]:[Location Type]],8,FALSE)</f>
        <v>Village</v>
      </c>
      <c r="CL235" s="699" t="str">
        <f>VLOOKUP(WWWW[[#This Row],[Site Name]],SiteDB6[[Site Name]:[Location Type 1]],9,FALSE)</f>
        <v>Village</v>
      </c>
      <c r="CM235" s="699" t="str">
        <f>VLOOKUP(WWWW[[#This Row],[Site Name]],SiteDB6[[Site Name]:[Type of Accommodation]],10,FALSE)</f>
        <v>Village</v>
      </c>
      <c r="CN235" s="699">
        <f>VLOOKUP(WWWW[[#This Row],[Site Name]],SiteDB6[[Site Name]:[Ethnic or GCA/NGCA]],11,FALSE)</f>
        <v>0</v>
      </c>
      <c r="CO235" s="699">
        <f>VLOOKUP(WWWW[[#This Row],[Site Name]],SiteDB6[[Site Name]:[Lat]],12,FALSE)</f>
        <v>20.8832397460938</v>
      </c>
      <c r="CP235" s="699">
        <f>VLOOKUP(WWWW[[#This Row],[Site Name]],SiteDB6[[Site Name]:[Long]],13,FALSE)</f>
        <v>92.936859130859403</v>
      </c>
      <c r="CQ235" s="699">
        <f>VLOOKUP(WWWW[[#This Row],[Site Name]],SiteDB6[[Site Name]:[Pcode]],3,FALSE)</f>
        <v>196813</v>
      </c>
      <c r="CR235" s="660" t="str">
        <f t="shared" si="4"/>
        <v>Covered</v>
      </c>
      <c r="CS235" s="699"/>
      <c r="CT235" s="24"/>
      <c r="CU235" s="24"/>
      <c r="CV235" s="24"/>
    </row>
    <row r="236" spans="1:100" ht="15.75" customHeight="1" x14ac:dyDescent="0.25">
      <c r="A236" s="833" t="s">
        <v>3206</v>
      </c>
      <c r="B236" s="206" t="s">
        <v>479</v>
      </c>
      <c r="C236" s="206" t="s">
        <v>454</v>
      </c>
      <c r="D236" s="206" t="s">
        <v>463</v>
      </c>
      <c r="E236" s="206" t="s">
        <v>782</v>
      </c>
      <c r="F236" s="206">
        <v>131</v>
      </c>
      <c r="G236" s="209">
        <v>631</v>
      </c>
      <c r="H236" s="206"/>
      <c r="I236" s="206" t="s">
        <v>495</v>
      </c>
      <c r="J236" s="207">
        <v>43616</v>
      </c>
      <c r="K236" s="206">
        <v>0</v>
      </c>
      <c r="L236" s="206" t="s">
        <v>2454</v>
      </c>
      <c r="M236" s="208">
        <v>0</v>
      </c>
      <c r="N236" s="208">
        <v>0</v>
      </c>
      <c r="O236" s="316">
        <v>0</v>
      </c>
      <c r="P236" s="317">
        <v>0</v>
      </c>
      <c r="Q236" s="317">
        <v>0</v>
      </c>
      <c r="R236" s="318">
        <v>0</v>
      </c>
      <c r="S236" s="318">
        <v>0</v>
      </c>
      <c r="T236" s="318"/>
      <c r="U236" s="318"/>
      <c r="V236" s="318"/>
      <c r="W236" s="318"/>
      <c r="X236" s="318"/>
      <c r="Y236" s="318"/>
      <c r="Z236" s="318"/>
      <c r="AA236" s="310">
        <v>13</v>
      </c>
      <c r="AB236" s="310">
        <v>0</v>
      </c>
      <c r="AC236" s="310"/>
      <c r="AD236" s="66"/>
      <c r="AE236" s="310">
        <v>0</v>
      </c>
      <c r="AF236" s="310" t="s">
        <v>1358</v>
      </c>
      <c r="AG236" s="311" t="s">
        <v>1358</v>
      </c>
      <c r="AH236" s="66"/>
      <c r="AI236" s="66"/>
      <c r="AJ236" s="310"/>
      <c r="AK236" s="841">
        <v>0</v>
      </c>
      <c r="AL236" s="842"/>
      <c r="AM236" s="842">
        <v>0</v>
      </c>
      <c r="AN236" s="863">
        <v>0</v>
      </c>
      <c r="AO236" s="863">
        <v>0</v>
      </c>
      <c r="AP236" s="843"/>
      <c r="AQ236" s="843"/>
      <c r="AR236" s="843"/>
      <c r="AS236" s="843"/>
      <c r="AT236" s="843"/>
      <c r="AU236" s="843"/>
      <c r="AV236" s="844"/>
      <c r="AW236" s="208" t="str">
        <f>IFERROR(WWWW[[#This Row],['# of Water passed at source]]/WWWW[[#This Row],['# of Water tested at source]],"no test")</f>
        <v>no test</v>
      </c>
      <c r="AX236" s="211" t="str">
        <f>IFERROR(WWWW[[#This Row],['# of Water passed at HH]]/WWWW[[#This Row],['# of Water tested at HH]],"no test")</f>
        <v>no test</v>
      </c>
      <c r="AY236" s="210" t="str">
        <f>IF(AND(WWWW[[#This Row],[%of Water samples which passed at water source]]="no test",WWWW[[#This Row],[%Water samples which passed at HH]]="no test"),"No Test","Tested")</f>
        <v>No Test</v>
      </c>
      <c r="AZ23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3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36" s="211">
        <f>IF(WWWW[[#This Row],[Location Type 1]]="Village",WWWW[[#This Row],[Access to safe drinking water for Village]],WWWW[[#This Row],[Access to safe drinking water for Camp]])</f>
        <v>0</v>
      </c>
      <c r="BC236" s="209">
        <f>WWWW[[#This Row],[%Equitable and continuous access to sufficient quantity of safe drinking water]]*WWWW[[#This Row],[Total PoP ]]</f>
        <v>0</v>
      </c>
      <c r="BD236" s="211">
        <f>IF((WWWW[[#This Row],['# Existing protected/fenced ponds ]]*250)/WWWW[[#This Row],[Total PoP ]]&gt;1,1,WWWW[[#This Row],['# Existing protected/fenced ponds ]]*250/WWWW[[#This Row],[Total PoP ]])</f>
        <v>0</v>
      </c>
      <c r="BE236" s="209">
        <f>WWWW[[#This Row],[Access to unimproved water points]]*WWWW[[#This Row],[Total PoP ]]</f>
        <v>0</v>
      </c>
      <c r="BF23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3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36" s="209">
        <f>ROUND(WWWW[[#This Row],['#people Equitable and continuous access to sufficient quantity of domestic water borehole n ponds_2]]/500,0)</f>
        <v>0</v>
      </c>
      <c r="BI236" s="208">
        <f>1-WWWW[[#This Row],[%Equitable and continuous access to sufficient quantity of domestic water borehole n ponds]]</f>
        <v>1</v>
      </c>
      <c r="BJ236" s="209">
        <f>WWWW[[#This Row],[%equitable and continuous access to sufficient quantity of safe drinking and domestic water''s GAP]]*WWWW[[#This Row],[Total PoP ]]</f>
        <v>631</v>
      </c>
      <c r="BK236" s="210">
        <f>IF(WWWW[[#This Row],[Total required water points]]-WWWW[[#This Row],['#Water points coverage]]&lt;0,0,WWWW[[#This Row],[Total required water points]]-WWWW[[#This Row],['#Water points coverage]])</f>
        <v>1</v>
      </c>
      <c r="BL236" s="210">
        <f>ROUND(IF(WWWW[[#This Row],[Total PoP ]]&lt;500,1,WWWW[[#This Row],[Total PoP ]]/500),0)</f>
        <v>1</v>
      </c>
      <c r="BM236" s="210">
        <f>WWWW[[#This Row],['# Existing functional latrines]]+WWWW[[#This Row],['# Existing latrines dysfunctional]]</f>
        <v>13</v>
      </c>
      <c r="BN23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0.12361331220285261</v>
      </c>
      <c r="BO236" s="352">
        <f>WWWW[[#This Row],[% people access to functioning Latrine]]*WWWW[[#This Row],[Total PoP ]]</f>
        <v>78</v>
      </c>
      <c r="BP23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0.87480190174326466</v>
      </c>
      <c r="BQ236" s="209">
        <f>IF(WWWW[[#This Row],[Total required Latrines]]-WWWW[[#This Row],[Total '# of latrine]]&lt;0,0,WWWW[[#This Row],[Total required Latrines]]-WWWW[[#This Row],[Total '# of latrine]])</f>
        <v>92</v>
      </c>
      <c r="BR236" s="210">
        <f>ROUND(IF(WWWW[[#This Row],[Location Type 1]]="camp",WWWW[[#This Row],[Total PoP ]]/20,WWWW[[#This Row],[Total PoP ]]/6),0)</f>
        <v>105</v>
      </c>
      <c r="BS236" s="212">
        <f>IF(OR(WWWW[[#This Row],['# Existing latrines dysfunctional]]="",WWWW[[#This Row],['# Existing latrines dysfunctional]]=0),0,WWWW[[#This Row],['# Existing latrines dysfunctional]]/WWWW[[#This Row],[Total '# of latrine]])</f>
        <v>0</v>
      </c>
      <c r="BT23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36" s="209">
        <f>IF(500*WWWW[[#This Row],['# Hygiene Promoters ]]&gt;WWWW[[#This Row],[Total PoP ]],WWWW[[#This Row],[Total PoP ]],500*WWWW[[#This Row],['# Hygiene Promoters ]])</f>
        <v>0</v>
      </c>
      <c r="BV236" s="209">
        <f>IF(WWWW[[#This Row],[% of HH with access to Sanitary Pad]]&gt;=100%,1,0)</f>
        <v>0</v>
      </c>
      <c r="BW236" s="209">
        <f>IF(WWWW[[#This Row],[Total PoP ]]=0,0,IF(WWWW[[#This Row],['# Hygiene Promoters ]]=0,0,IF(WWWW[[#This Row],[Location Type 1]]="Village",IF(WWWW[[#This Row],[Total PoP ]]/WWWW[[#This Row],['# Hygiene Promoters ]]&lt;1000,1,0),IF(WWWW[[#This Row],[Total PoP ]]/WWWW[[#This Row],['# Hygiene Promoters ]]&lt;600,1,0))))</f>
        <v>0</v>
      </c>
      <c r="BX236" s="209">
        <f>IF(WWWW[[#This Row],[%HH with access to soap]]&gt;=100%,1,0)</f>
        <v>0</v>
      </c>
      <c r="BY236" s="209">
        <f>IF(WWWW[[#This Row],[% of HHs with access to Sanitary pad more than '#%]]+WWWW[[#This Row],[Ratio of Hyiene promoters to people less than '#]]+WWWW[[#This Row],[% of HHs with access to soap more than '#%]]&gt;=2,WWWW[[#This Row],[Total PoP ]],0)</f>
        <v>0</v>
      </c>
      <c r="BZ236" s="208">
        <f>WWWW[[#This Row],[People adopt basic personal and community hygiene practices]]/WWWW[[#This Row],[Total PoP ]]</f>
        <v>0</v>
      </c>
      <c r="CA236" s="212">
        <f>1-WWWW[[#This Row],[Hygiene Coverage%]]</f>
        <v>1</v>
      </c>
      <c r="CB236" s="211">
        <f>WWWW[[#This Row],['# people reached by regular dedicated hygiene promotion_5]]/WWWW[[#This Row],[Total PoP ]]</f>
        <v>0</v>
      </c>
      <c r="CC236" s="211">
        <f>IF(WWWW[[#This Row],['# HH received soaps]]/WWWW[[#This Row],[Total HH]]&gt;1,1,WWWW[[#This Row],['# HH received soaps]]/WWWW[[#This Row],[Total HH]])</f>
        <v>0</v>
      </c>
      <c r="CD236" s="211">
        <f>IF(WWWW[[#This Row],['# HH received Sanitary Pads]]/WWWW[[#This Row],[Total HH]]&gt;1,1,WWWW[[#This Row],['# HH received Sanitary Pads]]/WWWW[[#This Row],[Total HH]])</f>
        <v>0</v>
      </c>
      <c r="CE236" s="210">
        <f>WWWW[[#This Row],['# HH received soaps]]*5</f>
        <v>0</v>
      </c>
      <c r="CF236" s="210">
        <f>WWWW[[#This Row],['# HH received Sanitary Pads]]*5</f>
        <v>0</v>
      </c>
      <c r="CG236" s="210">
        <f>IF(WWWW[[#This Row],['# People with access to soap]]&gt;WWWW[[#This Row],['# People with access to Sanity Pads]],WWWW[[#This Row],['# People with access to soap]],WWWW[[#This Row],['# People with access to Sanity Pads]])</f>
        <v>0</v>
      </c>
      <c r="CH236" s="209">
        <f>WWWW[[#This Row],[Total HH]]*WWWW[[#This Row],[%HHs with access to functional hand washing stations]]</f>
        <v>0</v>
      </c>
      <c r="CI236" s="699">
        <f>VLOOKUP(WWWW[[#This Row],[Site Name]],SiteDB6[[Site Name]:[CCCM Management]],6,FALSE)</f>
        <v>0</v>
      </c>
      <c r="CJ236" s="699">
        <f>VLOOKUP(WWWW[[#This Row],[Site Name]],SiteDB6[[Site Name]:[CCCM Focal Agency]],7,FALSE)</f>
        <v>0</v>
      </c>
      <c r="CK236" s="699" t="str">
        <f>VLOOKUP(WWWW[[#This Row],[Site Name]],SiteDB6[[Site Name]:[Location Type]],8,FALSE)</f>
        <v>Village_Not HRP</v>
      </c>
      <c r="CL236" s="699" t="str">
        <f>VLOOKUP(WWWW[[#This Row],[Site Name]],SiteDB6[[Site Name]:[Location Type 1]],9,FALSE)</f>
        <v>Village</v>
      </c>
      <c r="CM236" s="699" t="str">
        <f>VLOOKUP(WWWW[[#This Row],[Site Name]],SiteDB6[[Site Name]:[Type of Accommodation]],10,FALSE)</f>
        <v>Village_Not HRP</v>
      </c>
      <c r="CN236" s="699" t="str">
        <f>VLOOKUP(WWWW[[#This Row],[Site Name]],SiteDB6[[Site Name]:[Ethnic or GCA/NGCA]],11,FALSE)</f>
        <v>Mro</v>
      </c>
      <c r="CO236" s="699">
        <f>VLOOKUP(WWWW[[#This Row],[Site Name]],SiteDB6[[Site Name]:[Lat]],12,FALSE)</f>
        <v>20.809240341186499</v>
      </c>
      <c r="CP236" s="699">
        <f>VLOOKUP(WWWW[[#This Row],[Site Name]],SiteDB6[[Site Name]:[Long]],13,FALSE)</f>
        <v>92.923919677734403</v>
      </c>
      <c r="CQ236" s="699">
        <f>VLOOKUP(WWWW[[#This Row],[Site Name]],SiteDB6[[Site Name]:[Pcode]],3,FALSE)</f>
        <v>196881</v>
      </c>
      <c r="CR236" s="660" t="str">
        <f t="shared" si="4"/>
        <v>Covered</v>
      </c>
      <c r="CS236" s="699" t="s">
        <v>2738</v>
      </c>
      <c r="CT236" s="24"/>
      <c r="CU236" s="24"/>
      <c r="CV236" s="24"/>
    </row>
    <row r="237" spans="1:100" ht="15.75" customHeight="1" x14ac:dyDescent="0.25">
      <c r="A237" s="833" t="s">
        <v>3206</v>
      </c>
      <c r="B237" s="206" t="s">
        <v>426</v>
      </c>
      <c r="C237" s="206" t="s">
        <v>454</v>
      </c>
      <c r="D237" s="206" t="s">
        <v>455</v>
      </c>
      <c r="E237" s="206" t="s">
        <v>576</v>
      </c>
      <c r="F237" s="206">
        <v>397</v>
      </c>
      <c r="G237" s="209">
        <v>2111</v>
      </c>
      <c r="H237" s="206"/>
      <c r="I237" s="206" t="s">
        <v>47</v>
      </c>
      <c r="J237" s="207">
        <v>44104</v>
      </c>
      <c r="K237" s="206">
        <v>0</v>
      </c>
      <c r="L237" s="206" t="s">
        <v>282</v>
      </c>
      <c r="M237" s="208">
        <v>0</v>
      </c>
      <c r="N237" s="208">
        <v>0</v>
      </c>
      <c r="O237" s="316">
        <v>0</v>
      </c>
      <c r="P237" s="317">
        <v>23</v>
      </c>
      <c r="Q237" s="317">
        <v>0</v>
      </c>
      <c r="R237" s="318">
        <v>0</v>
      </c>
      <c r="S237" s="318">
        <v>29</v>
      </c>
      <c r="T237" s="318"/>
      <c r="U237" s="318">
        <v>46</v>
      </c>
      <c r="V237" s="318">
        <v>28</v>
      </c>
      <c r="W237" s="318">
        <v>67</v>
      </c>
      <c r="X237" s="318">
        <v>17</v>
      </c>
      <c r="Y237" s="318">
        <v>0</v>
      </c>
      <c r="Z237" s="318" t="s">
        <v>2783</v>
      </c>
      <c r="AA237" s="336">
        <v>102</v>
      </c>
      <c r="AB237" s="311">
        <v>16</v>
      </c>
      <c r="AC237" s="66">
        <v>81</v>
      </c>
      <c r="AD237" s="66"/>
      <c r="AE237" s="310">
        <v>112</v>
      </c>
      <c r="AF237" s="310" t="s">
        <v>283</v>
      </c>
      <c r="AG237" s="311" t="s">
        <v>283</v>
      </c>
      <c r="AH237" s="311">
        <v>0</v>
      </c>
      <c r="AI237" s="310">
        <v>0</v>
      </c>
      <c r="AJ237" s="310"/>
      <c r="AK237" s="841">
        <v>1</v>
      </c>
      <c r="AL237" s="842" t="s">
        <v>284</v>
      </c>
      <c r="AM237" s="842">
        <v>0</v>
      </c>
      <c r="AN237" s="863">
        <v>0</v>
      </c>
      <c r="AO237" s="863">
        <v>2</v>
      </c>
      <c r="AP237" s="843">
        <v>397</v>
      </c>
      <c r="AQ237" s="843">
        <v>397</v>
      </c>
      <c r="AR237" s="843" t="s">
        <v>282</v>
      </c>
      <c r="AS237" s="843"/>
      <c r="AT237" s="843"/>
      <c r="AU237" s="843"/>
      <c r="AV237" s="844"/>
      <c r="AW237" s="208">
        <f>IFERROR(WWWW[[#This Row],['# of Water passed at source]]/WWWW[[#This Row],['# of Water tested at source]],"no test")</f>
        <v>0.60869565217391308</v>
      </c>
      <c r="AX237" s="211">
        <f>IFERROR(WWWW[[#This Row],['# of Water passed at HH]]/WWWW[[#This Row],['# of Water tested at HH]],"no test")</f>
        <v>0.2537313432835821</v>
      </c>
      <c r="AY237" s="210" t="str">
        <f>IF(AND(WWWW[[#This Row],[%of Water samples which passed at water source]]="no test",WWWW[[#This Row],[%Water samples which passed at HH]]="no test"),"No Test","Tested")</f>
        <v>Tested</v>
      </c>
      <c r="AZ23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3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37" s="211">
        <f>IF(WWWW[[#This Row],[Location Type 1]]="Village",WWWW[[#This Row],[Access to safe drinking water for Village]],WWWW[[#This Row],[Access to safe drinking water for Camp]])</f>
        <v>1</v>
      </c>
      <c r="BC237" s="209">
        <f>WWWW[[#This Row],[%Equitable and continuous access to sufficient quantity of safe drinking water]]*WWWW[[#This Row],[Total PoP ]]</f>
        <v>2111</v>
      </c>
      <c r="BD237" s="211">
        <f>IF((WWWW[[#This Row],['# Existing protected/fenced ponds ]]*250)/WWWW[[#This Row],[Total PoP ]]&gt;1,1,WWWW[[#This Row],['# Existing protected/fenced ponds ]]*250/WWWW[[#This Row],[Total PoP ]])</f>
        <v>0</v>
      </c>
      <c r="BE237" s="209">
        <f>WWWW[[#This Row],[Access to unimproved water points]]*WWWW[[#This Row],[Total PoP ]]</f>
        <v>0</v>
      </c>
      <c r="BF23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3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2111</v>
      </c>
      <c r="BH237" s="209">
        <f>WWWW[[#This Row],['#people Equitable and continuous access to sufficient quantity of domestic water borehole n ponds_2]]/500</f>
        <v>4.2220000000000004</v>
      </c>
      <c r="BI237" s="208">
        <f>1-WWWW[[#This Row],[%Equitable and continuous access to sufficient quantity of domestic water borehole n ponds]]</f>
        <v>0</v>
      </c>
      <c r="BJ237" s="209">
        <f>WWWW[[#This Row],[%equitable and continuous access to sufficient quantity of safe drinking and domestic water''s GAP]]*WWWW[[#This Row],[Total PoP ]]</f>
        <v>0</v>
      </c>
      <c r="BK237" s="210">
        <f>IF(WWWW[[#This Row],[Total required water points]]-WWWW[[#This Row],['#Water points coverage]]&lt;0,0,WWWW[[#This Row],[Total required water points]]-WWWW[[#This Row],['#Water points coverage]])</f>
        <v>0</v>
      </c>
      <c r="BL237" s="210">
        <f>ROUND(IF(WWWW[[#This Row],[Total PoP ]]&lt;500,1,WWWW[[#This Row],[Total PoP ]]/500),0)</f>
        <v>4</v>
      </c>
      <c r="BM237" s="210">
        <f>WWWW[[#This Row],['# Existing functional latrines]]+WWWW[[#This Row],['# Existing latrines dysfunctional]]</f>
        <v>118</v>
      </c>
      <c r="BN23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0.96636665087636187</v>
      </c>
      <c r="BO237" s="352">
        <f>WWWW[[#This Row],[% people access to functioning Latrine]]*WWWW[[#This Row],[Total PoP ]]</f>
        <v>2040</v>
      </c>
      <c r="BP23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37" s="209">
        <f>IF(WWWW[[#This Row],[Total required Latrines]]-WWWW[[#This Row],[Total '# of latrine]]&lt;0,0,WWWW[[#This Row],[Total required Latrines]]-WWWW[[#This Row],[Total '# of latrine]])</f>
        <v>0</v>
      </c>
      <c r="BR237" s="210">
        <f>ROUND(IF(WWWW[[#This Row],[Location Type 1]]="camp",WWWW[[#This Row],[Total PoP ]]/20,WWWW[[#This Row],[Total PoP ]]/6),0)</f>
        <v>106</v>
      </c>
      <c r="BS237" s="212">
        <f>IF(OR(WWWW[[#This Row],['# Existing latrines dysfunctional]]="",WWWW[[#This Row],['# Existing latrines dysfunctional]]=0),0,WWWW[[#This Row],['# Existing latrines dysfunctional]]/WWWW[[#This Row],[Total '# of latrine]])</f>
        <v>0.13559322033898305</v>
      </c>
      <c r="BT23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1620</v>
      </c>
      <c r="BU237" s="209">
        <f>IF(500*WWWW[[#This Row],['# Hygiene Promoters ]]&gt;WWWW[[#This Row],[Total PoP ]],WWWW[[#This Row],[Total PoP ]],500*WWWW[[#This Row],['# Hygiene Promoters ]])</f>
        <v>1000</v>
      </c>
      <c r="BV237" s="209">
        <f>IF(WWWW[[#This Row],[% of HH with access to Sanitary Pad]]&gt;=100%,1,0)</f>
        <v>1</v>
      </c>
      <c r="BW237" s="209">
        <f>IF(WWWW[[#This Row],[Total PoP ]]=0,0,IF(WWWW[[#This Row],['# Hygiene Promoters ]]=0,0,IF(WWWW[[#This Row],[Location Type 1]]="Village",IF(WWWW[[#This Row],[Total PoP ]]/WWWW[[#This Row],['# Hygiene Promoters ]]&lt;1000,1,0),IF(WWWW[[#This Row],[Total PoP ]]/WWWW[[#This Row],['# Hygiene Promoters ]]&lt;600,1,0))))</f>
        <v>0</v>
      </c>
      <c r="BX237" s="209">
        <f>IF(WWWW[[#This Row],[%HH with access to soap]]&gt;=100%,1,0)</f>
        <v>1</v>
      </c>
      <c r="BY237" s="209">
        <f>IF(WWWW[[#This Row],[% of HHs with access to Sanitary pad more than '#%]]+WWWW[[#This Row],[Ratio of Hyiene promoters to people less than '#]]+WWWW[[#This Row],[% of HHs with access to soap more than '#%]]&gt;=2,WWWW[[#This Row],[Total PoP ]],0)</f>
        <v>2111</v>
      </c>
      <c r="BZ237" s="208">
        <f>WWWW[[#This Row],[People adopt basic personal and community hygiene practices]]/WWWW[[#This Row],[Total PoP ]]</f>
        <v>1</v>
      </c>
      <c r="CA237" s="212">
        <f>1-WWWW[[#This Row],[Hygiene Coverage%]]</f>
        <v>0</v>
      </c>
      <c r="CB237" s="211">
        <f>WWWW[[#This Row],['# people reached by regular dedicated hygiene promotion_5]]/WWWW[[#This Row],[Total PoP ]]</f>
        <v>0.47370914258645191</v>
      </c>
      <c r="CC237" s="211">
        <f>IF(WWWW[[#This Row],['# HH received soaps]]/WWWW[[#This Row],[Total HH]]&gt;1,1,WWWW[[#This Row],['# HH received soaps]]/WWWW[[#This Row],[Total HH]])</f>
        <v>1</v>
      </c>
      <c r="CD237" s="211">
        <f>IF(WWWW[[#This Row],['# HH received Sanitary Pads]]/WWWW[[#This Row],[Total HH]]&gt;1,1,WWWW[[#This Row],['# HH received Sanitary Pads]]/WWWW[[#This Row],[Total HH]])</f>
        <v>1</v>
      </c>
      <c r="CE237" s="210">
        <f>WWWW[[#This Row],['# HH received soaps]]*5</f>
        <v>1985</v>
      </c>
      <c r="CF237" s="210">
        <f>WWWW[[#This Row],['# HH received Sanitary Pads]]*5</f>
        <v>1985</v>
      </c>
      <c r="CG237" s="210">
        <f>IF(WWWW[[#This Row],['# People with access to soap]]&gt;WWWW[[#This Row],['# People with access to Sanity Pads]],WWWW[[#This Row],['# People with access to soap]],WWWW[[#This Row],['# People with access to Sanity Pads]])</f>
        <v>1985</v>
      </c>
      <c r="CH237" s="209">
        <f>WWWW[[#This Row],[Total HH]]*WWWW[[#This Row],[%HHs with access to functional hand washing stations]]</f>
        <v>397</v>
      </c>
      <c r="CI237" s="699" t="str">
        <f>VLOOKUP(WWWW[[#This Row],[Site Name]],SiteDB6[[Site Name]:[CCCM Management]],6,FALSE)</f>
        <v>Yes</v>
      </c>
      <c r="CJ237" s="699">
        <f>VLOOKUP(WWWW[[#This Row],[Site Name]],SiteDB6[[Site Name]:[CCCM Focal Agency]],7,FALSE)</f>
        <v>0</v>
      </c>
      <c r="CK237" s="699" t="str">
        <f>VLOOKUP(WWWW[[#This Row],[Site Name]],SiteDB6[[Site Name]:[Location Type]],8,FALSE)</f>
        <v>Camp</v>
      </c>
      <c r="CL237" s="699" t="str">
        <f>VLOOKUP(WWWW[[#This Row],[Site Name]],SiteDB6[[Site Name]:[Location Type 1]],9,FALSE)</f>
        <v>Camp</v>
      </c>
      <c r="CM237" s="699" t="str">
        <f>VLOOKUP(WWWW[[#This Row],[Site Name]],SiteDB6[[Site Name]:[Type of Accommodation]],10,FALSE)</f>
        <v>Planned Camp</v>
      </c>
      <c r="CN237" s="699" t="str">
        <f>VLOOKUP(WWWW[[#This Row],[Site Name]],SiteDB6[[Site Name]:[Ethnic or GCA/NGCA]],11,FALSE)</f>
        <v>Muslim</v>
      </c>
      <c r="CO237" s="699">
        <f>VLOOKUP(WWWW[[#This Row],[Site Name]],SiteDB6[[Site Name]:[Lat]],12,FALSE)</f>
        <v>20.128488999999998</v>
      </c>
      <c r="CP237" s="699">
        <f>VLOOKUP(WWWW[[#This Row],[Site Name]],SiteDB6[[Site Name]:[Long]],13,FALSE)</f>
        <v>92.875814000000005</v>
      </c>
      <c r="CQ237" s="699" t="str">
        <f>VLOOKUP(WWWW[[#This Row],[Site Name]],SiteDB6[[Site Name]:[Pcode]],3,FALSE)</f>
        <v>MMR012CMP039</v>
      </c>
      <c r="CR237" s="660" t="str">
        <f t="shared" si="4"/>
        <v>Covered</v>
      </c>
      <c r="CS237" s="660"/>
      <c r="CT237" s="24"/>
      <c r="CU237" s="24"/>
      <c r="CV237" s="24"/>
    </row>
    <row r="238" spans="1:100" ht="15.75" customHeight="1" x14ac:dyDescent="0.25">
      <c r="A238" s="833" t="s">
        <v>3206</v>
      </c>
      <c r="B238" s="206" t="s">
        <v>479</v>
      </c>
      <c r="C238" s="206" t="s">
        <v>454</v>
      </c>
      <c r="D238" s="206" t="s">
        <v>463</v>
      </c>
      <c r="E238" s="206" t="s">
        <v>702</v>
      </c>
      <c r="F238" s="206">
        <v>76</v>
      </c>
      <c r="G238" s="209">
        <v>394</v>
      </c>
      <c r="H238" s="206"/>
      <c r="I238" s="206" t="s">
        <v>495</v>
      </c>
      <c r="J238" s="207">
        <v>43616</v>
      </c>
      <c r="K238" s="206">
        <v>0</v>
      </c>
      <c r="L238" s="206" t="s">
        <v>2454</v>
      </c>
      <c r="M238" s="208">
        <v>0</v>
      </c>
      <c r="N238" s="208">
        <v>0</v>
      </c>
      <c r="O238" s="323">
        <v>0</v>
      </c>
      <c r="P238" s="317">
        <v>0</v>
      </c>
      <c r="Q238" s="317">
        <v>0</v>
      </c>
      <c r="R238" s="318">
        <v>0</v>
      </c>
      <c r="S238" s="318">
        <v>0</v>
      </c>
      <c r="T238" s="318"/>
      <c r="U238" s="318"/>
      <c r="V238" s="318"/>
      <c r="W238" s="318"/>
      <c r="X238" s="318"/>
      <c r="Y238" s="318"/>
      <c r="Z238" s="318"/>
      <c r="AA238" s="310">
        <v>14</v>
      </c>
      <c r="AB238" s="310">
        <v>0</v>
      </c>
      <c r="AC238" s="310"/>
      <c r="AD238" s="66"/>
      <c r="AE238" s="310">
        <v>0</v>
      </c>
      <c r="AF238" s="310" t="s">
        <v>1358</v>
      </c>
      <c r="AG238" s="311" t="s">
        <v>1358</v>
      </c>
      <c r="AH238" s="66"/>
      <c r="AI238" s="66"/>
      <c r="AJ238" s="310"/>
      <c r="AK238" s="841">
        <v>0</v>
      </c>
      <c r="AL238" s="842"/>
      <c r="AM238" s="842">
        <v>0</v>
      </c>
      <c r="AN238" s="863">
        <v>0</v>
      </c>
      <c r="AO238" s="863">
        <v>0</v>
      </c>
      <c r="AP238" s="843"/>
      <c r="AQ238" s="843"/>
      <c r="AR238" s="843"/>
      <c r="AS238" s="843"/>
      <c r="AT238" s="843"/>
      <c r="AU238" s="843"/>
      <c r="AV238" s="844"/>
      <c r="AW238" s="208" t="str">
        <f>IFERROR(WWWW[[#This Row],['# of Water passed at source]]/WWWW[[#This Row],['# of Water tested at source]],"no test")</f>
        <v>no test</v>
      </c>
      <c r="AX238" s="211" t="str">
        <f>IFERROR(WWWW[[#This Row],['# of Water passed at HH]]/WWWW[[#This Row],['# of Water tested at HH]],"no test")</f>
        <v>no test</v>
      </c>
      <c r="AY238" s="210" t="str">
        <f>IF(AND(WWWW[[#This Row],[%of Water samples which passed at water source]]="no test",WWWW[[#This Row],[%Water samples which passed at HH]]="no test"),"No Test","Tested")</f>
        <v>No Test</v>
      </c>
      <c r="AZ23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3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38" s="211">
        <f>IF(WWWW[[#This Row],[Location Type 1]]="Village",WWWW[[#This Row],[Access to safe drinking water for Village]],WWWW[[#This Row],[Access to safe drinking water for Camp]])</f>
        <v>0</v>
      </c>
      <c r="BC238" s="209">
        <f>WWWW[[#This Row],[%Equitable and continuous access to sufficient quantity of safe drinking water]]*WWWW[[#This Row],[Total PoP ]]</f>
        <v>0</v>
      </c>
      <c r="BD238" s="211">
        <f>IF((WWWW[[#This Row],['# Existing protected/fenced ponds ]]*250)/WWWW[[#This Row],[Total PoP ]]&gt;1,1,WWWW[[#This Row],['# Existing protected/fenced ponds ]]*250/WWWW[[#This Row],[Total PoP ]])</f>
        <v>0</v>
      </c>
      <c r="BE238" s="209">
        <f>WWWW[[#This Row],[Access to unimproved water points]]*WWWW[[#This Row],[Total PoP ]]</f>
        <v>0</v>
      </c>
      <c r="BF23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3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38" s="209">
        <f>ROUND(WWWW[[#This Row],['#people Equitable and continuous access to sufficient quantity of domestic water borehole n ponds_2]]/500,0)</f>
        <v>0</v>
      </c>
      <c r="BI238" s="208">
        <f>1-WWWW[[#This Row],[%Equitable and continuous access to sufficient quantity of domestic water borehole n ponds]]</f>
        <v>1</v>
      </c>
      <c r="BJ238" s="209">
        <f>WWWW[[#This Row],[%equitable and continuous access to sufficient quantity of safe drinking and domestic water''s GAP]]*WWWW[[#This Row],[Total PoP ]]</f>
        <v>394</v>
      </c>
      <c r="BK238" s="210">
        <f>IF(WWWW[[#This Row],[Total required water points]]-WWWW[[#This Row],['#Water points coverage]]&lt;0,0,WWWW[[#This Row],[Total required water points]]-WWWW[[#This Row],['#Water points coverage]])</f>
        <v>1</v>
      </c>
      <c r="BL238" s="210">
        <f>ROUND(IF(WWWW[[#This Row],[Total PoP ]]&lt;500,1,WWWW[[#This Row],[Total PoP ]]/500),0)</f>
        <v>1</v>
      </c>
      <c r="BM238" s="210">
        <f>WWWW[[#This Row],['# Existing functional latrines]]+WWWW[[#This Row],['# Existing latrines dysfunctional]]</f>
        <v>14</v>
      </c>
      <c r="BN23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0.21319796954314721</v>
      </c>
      <c r="BO238" s="352">
        <f>WWWW[[#This Row],[% people access to functioning Latrine]]*WWWW[[#This Row],[Total PoP ]]</f>
        <v>84</v>
      </c>
      <c r="BP23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0.79187817258883242</v>
      </c>
      <c r="BQ238" s="209">
        <f>IF(WWWW[[#This Row],[Total required Latrines]]-WWWW[[#This Row],[Total '# of latrine]]&lt;0,0,WWWW[[#This Row],[Total required Latrines]]-WWWW[[#This Row],[Total '# of latrine]])</f>
        <v>52</v>
      </c>
      <c r="BR238" s="210">
        <f>ROUND(IF(WWWW[[#This Row],[Location Type 1]]="camp",WWWW[[#This Row],[Total PoP ]]/20,WWWW[[#This Row],[Total PoP ]]/6),0)</f>
        <v>66</v>
      </c>
      <c r="BS238" s="212">
        <f>IF(OR(WWWW[[#This Row],['# Existing latrines dysfunctional]]="",WWWW[[#This Row],['# Existing latrines dysfunctional]]=0),0,WWWW[[#This Row],['# Existing latrines dysfunctional]]/WWWW[[#This Row],[Total '# of latrine]])</f>
        <v>0</v>
      </c>
      <c r="BT23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38" s="209">
        <f>IF(500*WWWW[[#This Row],['# Hygiene Promoters ]]&gt;WWWW[[#This Row],[Total PoP ]],WWWW[[#This Row],[Total PoP ]],500*WWWW[[#This Row],['# Hygiene Promoters ]])</f>
        <v>0</v>
      </c>
      <c r="BV238" s="209">
        <f>IF(WWWW[[#This Row],[% of HH with access to Sanitary Pad]]&gt;=100%,1,0)</f>
        <v>0</v>
      </c>
      <c r="BW238" s="209">
        <f>IF(WWWW[[#This Row],[Total PoP ]]=0,0,IF(WWWW[[#This Row],['# Hygiene Promoters ]]=0,0,IF(WWWW[[#This Row],[Location Type 1]]="Village",IF(WWWW[[#This Row],[Total PoP ]]/WWWW[[#This Row],['# Hygiene Promoters ]]&lt;1000,1,0),IF(WWWW[[#This Row],[Total PoP ]]/WWWW[[#This Row],['# Hygiene Promoters ]]&lt;600,1,0))))</f>
        <v>0</v>
      </c>
      <c r="BX238" s="209">
        <f>IF(WWWW[[#This Row],[%HH with access to soap]]&gt;=100%,1,0)</f>
        <v>0</v>
      </c>
      <c r="BY238" s="209">
        <f>IF(WWWW[[#This Row],[% of HHs with access to Sanitary pad more than '#%]]+WWWW[[#This Row],[Ratio of Hyiene promoters to people less than '#]]+WWWW[[#This Row],[% of HHs with access to soap more than '#%]]&gt;=2,WWWW[[#This Row],[Total PoP ]],0)</f>
        <v>0</v>
      </c>
      <c r="BZ238" s="208">
        <f>WWWW[[#This Row],[People adopt basic personal and community hygiene practices]]/WWWW[[#This Row],[Total PoP ]]</f>
        <v>0</v>
      </c>
      <c r="CA238" s="212">
        <f>1-WWWW[[#This Row],[Hygiene Coverage%]]</f>
        <v>1</v>
      </c>
      <c r="CB238" s="211">
        <f>WWWW[[#This Row],['# people reached by regular dedicated hygiene promotion_5]]/WWWW[[#This Row],[Total PoP ]]</f>
        <v>0</v>
      </c>
      <c r="CC238" s="211">
        <f>IF(WWWW[[#This Row],['# HH received soaps]]/WWWW[[#This Row],[Total HH]]&gt;1,1,WWWW[[#This Row],['# HH received soaps]]/WWWW[[#This Row],[Total HH]])</f>
        <v>0</v>
      </c>
      <c r="CD238" s="211">
        <f>IF(WWWW[[#This Row],['# HH received Sanitary Pads]]/WWWW[[#This Row],[Total HH]]&gt;1,1,WWWW[[#This Row],['# HH received Sanitary Pads]]/WWWW[[#This Row],[Total HH]])</f>
        <v>0</v>
      </c>
      <c r="CE238" s="210">
        <f>WWWW[[#This Row],['# HH received soaps]]*5</f>
        <v>0</v>
      </c>
      <c r="CF238" s="210">
        <f>WWWW[[#This Row],['# HH received Sanitary Pads]]*5</f>
        <v>0</v>
      </c>
      <c r="CG238" s="210">
        <f>IF(WWWW[[#This Row],['# People with access to soap]]&gt;WWWW[[#This Row],['# People with access to Sanity Pads]],WWWW[[#This Row],['# People with access to soap]],WWWW[[#This Row],['# People with access to Sanity Pads]])</f>
        <v>0</v>
      </c>
      <c r="CH238" s="209">
        <f>WWWW[[#This Row],[Total HH]]*WWWW[[#This Row],[%HHs with access to functional hand washing stations]]</f>
        <v>0</v>
      </c>
      <c r="CI238" s="699">
        <f>VLOOKUP(WWWW[[#This Row],[Site Name]],SiteDB6[[Site Name]:[CCCM Management]],6,FALSE)</f>
        <v>0</v>
      </c>
      <c r="CJ238" s="699">
        <f>VLOOKUP(WWWW[[#This Row],[Site Name]],SiteDB6[[Site Name]:[CCCM Focal Agency]],7,FALSE)</f>
        <v>0</v>
      </c>
      <c r="CK238" s="699" t="str">
        <f>VLOOKUP(WWWW[[#This Row],[Site Name]],SiteDB6[[Site Name]:[Location Type]],8,FALSE)</f>
        <v>Village_Not HRP</v>
      </c>
      <c r="CL238" s="699" t="str">
        <f>VLOOKUP(WWWW[[#This Row],[Site Name]],SiteDB6[[Site Name]:[Location Type 1]],9,FALSE)</f>
        <v>Village</v>
      </c>
      <c r="CM238" s="699" t="str">
        <f>VLOOKUP(WWWW[[#This Row],[Site Name]],SiteDB6[[Site Name]:[Type of Accommodation]],10,FALSE)</f>
        <v>Village_Not HRP</v>
      </c>
      <c r="CN238" s="699" t="str">
        <f>VLOOKUP(WWWW[[#This Row],[Site Name]],SiteDB6[[Site Name]:[Ethnic or GCA/NGCA]],11,FALSE)</f>
        <v>Rakhine, Mro, Khami</v>
      </c>
      <c r="CO238" s="699">
        <f>VLOOKUP(WWWW[[#This Row],[Site Name]],SiteDB6[[Site Name]:[Lat]],12,FALSE)</f>
        <v>20.681715011596701</v>
      </c>
      <c r="CP238" s="699">
        <f>VLOOKUP(WWWW[[#This Row],[Site Name]],SiteDB6[[Site Name]:[Long]],13,FALSE)</f>
        <v>92.94140625</v>
      </c>
      <c r="CQ238" s="699">
        <f>VLOOKUP(WWWW[[#This Row],[Site Name]],SiteDB6[[Site Name]:[Pcode]],3,FALSE)</f>
        <v>196930</v>
      </c>
      <c r="CR238" s="660" t="str">
        <f t="shared" si="4"/>
        <v>Covered</v>
      </c>
      <c r="CS238" s="699" t="s">
        <v>2738</v>
      </c>
      <c r="CT238" s="24"/>
      <c r="CU238" s="24"/>
      <c r="CV238" s="24"/>
    </row>
    <row r="239" spans="1:100" ht="15.75" customHeight="1" x14ac:dyDescent="0.25">
      <c r="A239" s="833" t="s">
        <v>3206</v>
      </c>
      <c r="B239" s="206" t="s">
        <v>460</v>
      </c>
      <c r="C239" s="206" t="s">
        <v>454</v>
      </c>
      <c r="D239" s="206" t="s">
        <v>463</v>
      </c>
      <c r="E239" s="206" t="s">
        <v>823</v>
      </c>
      <c r="F239" s="206">
        <f>ROUND(WWWW[[#This Row],[Total PoP ]]/5,0)</f>
        <v>167</v>
      </c>
      <c r="G239" s="209">
        <v>833</v>
      </c>
      <c r="H239" s="206"/>
      <c r="I239" s="206"/>
      <c r="J239" s="207"/>
      <c r="K239" s="206"/>
      <c r="L239" s="206" t="s">
        <v>282</v>
      </c>
      <c r="M239" s="208">
        <v>0</v>
      </c>
      <c r="N239" s="208">
        <v>0</v>
      </c>
      <c r="O239" s="323">
        <v>1</v>
      </c>
      <c r="P239" s="317"/>
      <c r="Q239" s="317"/>
      <c r="R239" s="318"/>
      <c r="S239" s="318">
        <v>0</v>
      </c>
      <c r="T239" s="318"/>
      <c r="U239" s="318"/>
      <c r="V239" s="318"/>
      <c r="W239" s="318"/>
      <c r="X239" s="318"/>
      <c r="Y239" s="318"/>
      <c r="Z239" s="318"/>
      <c r="AA239" s="310">
        <v>0</v>
      </c>
      <c r="AB239" s="310"/>
      <c r="AC239" s="66"/>
      <c r="AD239" s="66"/>
      <c r="AE239" s="310">
        <v>0</v>
      </c>
      <c r="AF239" s="310" t="s">
        <v>286</v>
      </c>
      <c r="AG239" s="311" t="s">
        <v>286</v>
      </c>
      <c r="AH239" s="311"/>
      <c r="AI239" s="310"/>
      <c r="AJ239" s="310"/>
      <c r="AK239" s="841">
        <v>0</v>
      </c>
      <c r="AL239" s="842"/>
      <c r="AM239" s="842">
        <v>0</v>
      </c>
      <c r="AN239" s="863"/>
      <c r="AO239" s="863">
        <v>0</v>
      </c>
      <c r="AP239" s="843"/>
      <c r="AQ239" s="843"/>
      <c r="AR239" s="843"/>
      <c r="AS239" s="843"/>
      <c r="AT239" s="843"/>
      <c r="AU239" s="843"/>
      <c r="AV239" s="844"/>
      <c r="AW239" s="208" t="str">
        <f>IFERROR(WWWW[[#This Row],['# of Water passed at source]]/WWWW[[#This Row],['# of Water tested at source]],"no test")</f>
        <v>no test</v>
      </c>
      <c r="AX239" s="211" t="str">
        <f>IFERROR(WWWW[[#This Row],['# of Water passed at HH]]/WWWW[[#This Row],['# of Water tested at HH]],"no test")</f>
        <v>no test</v>
      </c>
      <c r="AY239" s="210" t="str">
        <f>IF(AND(WWWW[[#This Row],[%of Water samples which passed at water source]]="no test",WWWW[[#This Row],[%Water samples which passed at HH]]="no test"),"No Test","Tested")</f>
        <v>No Test</v>
      </c>
      <c r="AZ23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3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0.30012004801920766</v>
      </c>
      <c r="BB239" s="211">
        <f>IF(WWWW[[#This Row],[Location Type 1]]="Village",WWWW[[#This Row],[Access to safe drinking water for Village]],WWWW[[#This Row],[Access to safe drinking water for Camp]])</f>
        <v>0.30012004801920766</v>
      </c>
      <c r="BC239" s="209">
        <f>WWWW[[#This Row],[%Equitable and continuous access to sufficient quantity of safe drinking water]]*WWWW[[#This Row],[Total PoP ]]</f>
        <v>249.99999999999997</v>
      </c>
      <c r="BD239" s="211">
        <f>IF((WWWW[[#This Row],['# Existing protected/fenced ponds ]]*250)/WWWW[[#This Row],[Total PoP ]]&gt;1,1,WWWW[[#This Row],['# Existing protected/fenced ponds ]]*250/WWWW[[#This Row],[Total PoP ]])</f>
        <v>0</v>
      </c>
      <c r="BE239" s="209">
        <f>WWWW[[#This Row],[Access to unimproved water points]]*WWWW[[#This Row],[Total PoP ]]</f>
        <v>0</v>
      </c>
      <c r="BF23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0.30012004801920766</v>
      </c>
      <c r="BG23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249.99999999999997</v>
      </c>
      <c r="BH239" s="209">
        <f>ROUND(WWWW[[#This Row],['#people Equitable and continuous access to sufficient quantity of domestic water borehole n ponds_2]]/500,0)</f>
        <v>1</v>
      </c>
      <c r="BI239" s="208">
        <f>1-WWWW[[#This Row],[%Equitable and continuous access to sufficient quantity of domestic water borehole n ponds]]</f>
        <v>0.69987995198079234</v>
      </c>
      <c r="BJ239" s="209">
        <f>WWWW[[#This Row],[%equitable and continuous access to sufficient quantity of safe drinking and domestic water''s GAP]]*WWWW[[#This Row],[Total PoP ]]</f>
        <v>583</v>
      </c>
      <c r="BK239" s="210">
        <f>IF(WWWW[[#This Row],[Total required water points]]-WWWW[[#This Row],['#Water points coverage]]&lt;0,0,WWWW[[#This Row],[Total required water points]]-WWWW[[#This Row],['#Water points coverage]])</f>
        <v>1</v>
      </c>
      <c r="BL239" s="210">
        <f>ROUND(IF(WWWW[[#This Row],[Total PoP ]]&lt;500,1,WWWW[[#This Row],[Total PoP ]]/500),0)</f>
        <v>2</v>
      </c>
      <c r="BM239" s="210">
        <f>WWWW[[#This Row],['# Existing functional latrines]]+WWWW[[#This Row],['# Existing latrines dysfunctional]]</f>
        <v>0</v>
      </c>
      <c r="BN23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39" s="352">
        <f>WWWW[[#This Row],[% people access to functioning Latrine]]*WWWW[[#This Row],[Total PoP ]]</f>
        <v>0</v>
      </c>
      <c r="BP23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39" s="209">
        <f>IF(WWWW[[#This Row],[Total required Latrines]]-WWWW[[#This Row],[Total '# of latrine]]&lt;0,0,WWWW[[#This Row],[Total required Latrines]]-WWWW[[#This Row],[Total '# of latrine]])</f>
        <v>139</v>
      </c>
      <c r="BR239" s="210">
        <f>ROUND(IF(WWWW[[#This Row],[Location Type 1]]="camp",WWWW[[#This Row],[Total PoP ]]/20,WWWW[[#This Row],[Total PoP ]]/6),0)</f>
        <v>139</v>
      </c>
      <c r="BS239" s="212">
        <f>IF(OR(WWWW[[#This Row],['# Existing latrines dysfunctional]]="",WWWW[[#This Row],['# Existing latrines dysfunctional]]=0),0,WWWW[[#This Row],['# Existing latrines dysfunctional]]/WWWW[[#This Row],[Total '# of latrine]])</f>
        <v>0</v>
      </c>
      <c r="BT23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39" s="209">
        <f>IF(500*WWWW[[#This Row],['# Hygiene Promoters ]]&gt;WWWW[[#This Row],[Total PoP ]],WWWW[[#This Row],[Total PoP ]],500*WWWW[[#This Row],['# Hygiene Promoters ]])</f>
        <v>0</v>
      </c>
      <c r="BV239" s="209">
        <f>IF(WWWW[[#This Row],[% of HH with access to Sanitary Pad]]&gt;=100%,1,0)</f>
        <v>0</v>
      </c>
      <c r="BW239" s="209">
        <f>IF(WWWW[[#This Row],[Total PoP ]]=0,0,IF(WWWW[[#This Row],['# Hygiene Promoters ]]=0,0,IF(WWWW[[#This Row],[Location Type 1]]="Village",IF(WWWW[[#This Row],[Total PoP ]]/WWWW[[#This Row],['# Hygiene Promoters ]]&lt;1000,1,0),IF(WWWW[[#This Row],[Total PoP ]]/WWWW[[#This Row],['# Hygiene Promoters ]]&lt;600,1,0))))</f>
        <v>0</v>
      </c>
      <c r="BX239" s="209">
        <f>IF(WWWW[[#This Row],[%HH with access to soap]]&gt;=100%,1,0)</f>
        <v>0</v>
      </c>
      <c r="BY239" s="209">
        <f>IF(WWWW[[#This Row],[% of HHs with access to Sanitary pad more than '#%]]+WWWW[[#This Row],[Ratio of Hyiene promoters to people less than '#]]+WWWW[[#This Row],[% of HHs with access to soap more than '#%]]&gt;=2,WWWW[[#This Row],[Total PoP ]],0)</f>
        <v>0</v>
      </c>
      <c r="BZ239" s="208">
        <f>WWWW[[#This Row],[People adopt basic personal and community hygiene practices]]/WWWW[[#This Row],[Total PoP ]]</f>
        <v>0</v>
      </c>
      <c r="CA239" s="212">
        <f>1-WWWW[[#This Row],[Hygiene Coverage%]]</f>
        <v>1</v>
      </c>
      <c r="CB239" s="211">
        <f>WWWW[[#This Row],['# people reached by regular dedicated hygiene promotion_5]]/WWWW[[#This Row],[Total PoP ]]</f>
        <v>0</v>
      </c>
      <c r="CC239" s="211">
        <f>IF(WWWW[[#This Row],['# HH received soaps]]/WWWW[[#This Row],[Total HH]]&gt;1,1,WWWW[[#This Row],['# HH received soaps]]/WWWW[[#This Row],[Total HH]])</f>
        <v>0</v>
      </c>
      <c r="CD239" s="211">
        <f>IF(WWWW[[#This Row],['# HH received Sanitary Pads]]/WWWW[[#This Row],[Total HH]]&gt;1,1,WWWW[[#This Row],['# HH received Sanitary Pads]]/WWWW[[#This Row],[Total HH]])</f>
        <v>0</v>
      </c>
      <c r="CE239" s="210">
        <f>WWWW[[#This Row],['# HH received soaps]]*5</f>
        <v>0</v>
      </c>
      <c r="CF239" s="210">
        <f>WWWW[[#This Row],['# HH received Sanitary Pads]]*5</f>
        <v>0</v>
      </c>
      <c r="CG239" s="210">
        <f>IF(WWWW[[#This Row],['# People with access to soap]]&gt;WWWW[[#This Row],['# People with access to Sanity Pads]],WWWW[[#This Row],['# People with access to soap]],WWWW[[#This Row],['# People with access to Sanity Pads]])</f>
        <v>0</v>
      </c>
      <c r="CH239" s="209">
        <f>WWWW[[#This Row],[Total HH]]*WWWW[[#This Row],[%HHs with access to functional hand washing stations]]</f>
        <v>0</v>
      </c>
      <c r="CI239" s="699">
        <f>VLOOKUP(WWWW[[#This Row],[Site Name]],SiteDB6[[Site Name]:[CCCM Management]],6,FALSE)</f>
        <v>0</v>
      </c>
      <c r="CJ239" s="699">
        <f>VLOOKUP(WWWW[[#This Row],[Site Name]],SiteDB6[[Site Name]:[CCCM Focal Agency]],7,FALSE)</f>
        <v>0</v>
      </c>
      <c r="CK239" s="699" t="str">
        <f>VLOOKUP(WWWW[[#This Row],[Site Name]],SiteDB6[[Site Name]:[Location Type]],8,FALSE)</f>
        <v>Village</v>
      </c>
      <c r="CL239" s="699" t="str">
        <f>VLOOKUP(WWWW[[#This Row],[Site Name]],SiteDB6[[Site Name]:[Location Type 1]],9,FALSE)</f>
        <v>Village</v>
      </c>
      <c r="CM239" s="699" t="str">
        <f>VLOOKUP(WWWW[[#This Row],[Site Name]],SiteDB6[[Site Name]:[Type of Accommodation]],10,FALSE)</f>
        <v>Village</v>
      </c>
      <c r="CN239" s="699" t="str">
        <f>VLOOKUP(WWWW[[#This Row],[Site Name]],SiteDB6[[Site Name]:[Ethnic or GCA/NGCA]],11,FALSE)</f>
        <v>Muslim</v>
      </c>
      <c r="CO239" s="699">
        <f>VLOOKUP(WWWW[[#This Row],[Site Name]],SiteDB6[[Site Name]:[Lat]],12,FALSE)</f>
        <v>20.903770446777301</v>
      </c>
      <c r="CP239" s="699">
        <f>VLOOKUP(WWWW[[#This Row],[Site Name]],SiteDB6[[Site Name]:[Long]],13,FALSE)</f>
        <v>93.004432678222699</v>
      </c>
      <c r="CQ239" s="699" t="str">
        <f>VLOOKUP(WWWW[[#This Row],[Site Name]],SiteDB6[[Site Name]:[Pcode]],3,FALSE)</f>
        <v>196787</v>
      </c>
      <c r="CR239" s="660" t="str">
        <f t="shared" si="4"/>
        <v>Notcovered</v>
      </c>
      <c r="CS239" s="660"/>
      <c r="CT239" s="24"/>
      <c r="CU239" s="24"/>
      <c r="CV239" s="24"/>
    </row>
    <row r="240" spans="1:100" ht="15.75" customHeight="1" x14ac:dyDescent="0.25">
      <c r="A240" s="833" t="s">
        <v>3206</v>
      </c>
      <c r="B240" s="206" t="s">
        <v>479</v>
      </c>
      <c r="C240" s="206" t="s">
        <v>454</v>
      </c>
      <c r="D240" s="206" t="s">
        <v>463</v>
      </c>
      <c r="E240" s="206" t="s">
        <v>494</v>
      </c>
      <c r="F240" s="206">
        <v>47</v>
      </c>
      <c r="G240" s="209">
        <v>203</v>
      </c>
      <c r="H240" s="206"/>
      <c r="I240" s="206" t="s">
        <v>495</v>
      </c>
      <c r="J240" s="207">
        <v>43616</v>
      </c>
      <c r="K240" s="206">
        <v>0</v>
      </c>
      <c r="L240" s="206" t="s">
        <v>2454</v>
      </c>
      <c r="M240" s="208">
        <v>0</v>
      </c>
      <c r="N240" s="208">
        <v>0</v>
      </c>
      <c r="O240" s="323">
        <v>0</v>
      </c>
      <c r="P240" s="317">
        <v>0</v>
      </c>
      <c r="Q240" s="317">
        <v>0</v>
      </c>
      <c r="R240" s="318">
        <v>0</v>
      </c>
      <c r="S240" s="318">
        <v>0</v>
      </c>
      <c r="T240" s="318"/>
      <c r="U240" s="318"/>
      <c r="V240" s="318"/>
      <c r="W240" s="318"/>
      <c r="X240" s="318"/>
      <c r="Y240" s="318"/>
      <c r="Z240" s="318"/>
      <c r="AA240" s="310">
        <v>0</v>
      </c>
      <c r="AB240" s="311">
        <v>0</v>
      </c>
      <c r="AC240" s="66"/>
      <c r="AD240" s="66"/>
      <c r="AE240" s="310">
        <v>0</v>
      </c>
      <c r="AF240" s="310" t="s">
        <v>1358</v>
      </c>
      <c r="AG240" s="311" t="s">
        <v>1358</v>
      </c>
      <c r="AH240" s="66"/>
      <c r="AI240" s="66"/>
      <c r="AJ240" s="311"/>
      <c r="AK240" s="841">
        <v>0</v>
      </c>
      <c r="AL240" s="846"/>
      <c r="AM240" s="844">
        <v>0</v>
      </c>
      <c r="AN240" s="863">
        <v>0</v>
      </c>
      <c r="AO240" s="863">
        <v>0</v>
      </c>
      <c r="AP240" s="843"/>
      <c r="AQ240" s="843"/>
      <c r="AR240" s="843"/>
      <c r="AS240" s="843"/>
      <c r="AT240" s="843"/>
      <c r="AU240" s="843"/>
      <c r="AV240" s="844"/>
      <c r="AW240" s="208" t="str">
        <f>IFERROR(WWWW[[#This Row],['# of Water passed at source]]/WWWW[[#This Row],['# of Water tested at source]],"no test")</f>
        <v>no test</v>
      </c>
      <c r="AX240" s="211" t="str">
        <f>IFERROR(WWWW[[#This Row],['# of Water passed at HH]]/WWWW[[#This Row],['# of Water tested at HH]],"no test")</f>
        <v>no test</v>
      </c>
      <c r="AY240" s="210" t="str">
        <f>IF(AND(WWWW[[#This Row],[%of Water samples which passed at water source]]="no test",WWWW[[#This Row],[%Water samples which passed at HH]]="no test"),"No Test","Tested")</f>
        <v>No Test</v>
      </c>
      <c r="AZ24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0" s="211">
        <f>IF(WWWW[[#This Row],[Location Type 1]]="Village",WWWW[[#This Row],[Access to safe drinking water for Village]],WWWW[[#This Row],[Access to safe drinking water for Camp]])</f>
        <v>0</v>
      </c>
      <c r="BC240" s="209">
        <f>WWWW[[#This Row],[%Equitable and continuous access to sufficient quantity of safe drinking water]]*WWWW[[#This Row],[Total PoP ]]</f>
        <v>0</v>
      </c>
      <c r="BD240" s="211">
        <f>IF((WWWW[[#This Row],['# Existing protected/fenced ponds ]]*250)/WWWW[[#This Row],[Total PoP ]]&gt;1,1,WWWW[[#This Row],['# Existing protected/fenced ponds ]]*250/WWWW[[#This Row],[Total PoP ]])</f>
        <v>0</v>
      </c>
      <c r="BE240" s="209">
        <f>WWWW[[#This Row],[Access to unimproved water points]]*WWWW[[#This Row],[Total PoP ]]</f>
        <v>0</v>
      </c>
      <c r="BF24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0" s="209">
        <f>ROUND(WWWW[[#This Row],['#people Equitable and continuous access to sufficient quantity of domestic water borehole n ponds_2]]/500,0)</f>
        <v>0</v>
      </c>
      <c r="BI240" s="208">
        <f>1-WWWW[[#This Row],[%Equitable and continuous access to sufficient quantity of domestic water borehole n ponds]]</f>
        <v>1</v>
      </c>
      <c r="BJ240" s="209">
        <f>WWWW[[#This Row],[%equitable and continuous access to sufficient quantity of safe drinking and domestic water''s GAP]]*WWWW[[#This Row],[Total PoP ]]</f>
        <v>203</v>
      </c>
      <c r="BK240" s="210">
        <f>IF(WWWW[[#This Row],[Total required water points]]-WWWW[[#This Row],['#Water points coverage]]&lt;0,0,WWWW[[#This Row],[Total required water points]]-WWWW[[#This Row],['#Water points coverage]])</f>
        <v>1</v>
      </c>
      <c r="BL240" s="210">
        <f>ROUND(IF(WWWW[[#This Row],[Total PoP ]]&lt;500,1,WWWW[[#This Row],[Total PoP ]]/500),0)</f>
        <v>1</v>
      </c>
      <c r="BM240" s="210">
        <f>WWWW[[#This Row],['# Existing functional latrines]]+WWWW[[#This Row],['# Existing latrines dysfunctional]]</f>
        <v>0</v>
      </c>
      <c r="BN24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40" s="352">
        <f>WWWW[[#This Row],[% people access to functioning Latrine]]*WWWW[[#This Row],[Total PoP ]]</f>
        <v>0</v>
      </c>
      <c r="BP24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40" s="209">
        <f>IF(WWWW[[#This Row],[Total required Latrines]]-WWWW[[#This Row],[Total '# of latrine]]&lt;0,0,WWWW[[#This Row],[Total required Latrines]]-WWWW[[#This Row],[Total '# of latrine]])</f>
        <v>34</v>
      </c>
      <c r="BR240" s="210">
        <f>ROUND(IF(WWWW[[#This Row],[Location Type 1]]="camp",WWWW[[#This Row],[Total PoP ]]/20,WWWW[[#This Row],[Total PoP ]]/6),0)</f>
        <v>34</v>
      </c>
      <c r="BS240" s="212">
        <f>IF(OR(WWWW[[#This Row],['# Existing latrines dysfunctional]]="",WWWW[[#This Row],['# Existing latrines dysfunctional]]=0),0,WWWW[[#This Row],['# Existing latrines dysfunctional]]/WWWW[[#This Row],[Total '# of latrine]])</f>
        <v>0</v>
      </c>
      <c r="BT24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0" s="209">
        <f>IF(500*WWWW[[#This Row],['# Hygiene Promoters ]]&gt;WWWW[[#This Row],[Total PoP ]],WWWW[[#This Row],[Total PoP ]],500*WWWW[[#This Row],['# Hygiene Promoters ]])</f>
        <v>0</v>
      </c>
      <c r="BV240" s="209">
        <f>IF(WWWW[[#This Row],[% of HH with access to Sanitary Pad]]&gt;=100%,1,0)</f>
        <v>0</v>
      </c>
      <c r="BW240" s="209">
        <f>IF(WWWW[[#This Row],[Total PoP ]]=0,0,IF(WWWW[[#This Row],['# Hygiene Promoters ]]=0,0,IF(WWWW[[#This Row],[Location Type 1]]="Village",IF(WWWW[[#This Row],[Total PoP ]]/WWWW[[#This Row],['# Hygiene Promoters ]]&lt;1000,1,0),IF(WWWW[[#This Row],[Total PoP ]]/WWWW[[#This Row],['# Hygiene Promoters ]]&lt;600,1,0))))</f>
        <v>0</v>
      </c>
      <c r="BX240" s="209">
        <f>IF(WWWW[[#This Row],[%HH with access to soap]]&gt;=100%,1,0)</f>
        <v>0</v>
      </c>
      <c r="BY240" s="209">
        <f>IF(WWWW[[#This Row],[% of HHs with access to Sanitary pad more than '#%]]+WWWW[[#This Row],[Ratio of Hyiene promoters to people less than '#]]+WWWW[[#This Row],[% of HHs with access to soap more than '#%]]&gt;=2,WWWW[[#This Row],[Total PoP ]],0)</f>
        <v>0</v>
      </c>
      <c r="BZ240" s="208">
        <f>WWWW[[#This Row],[People adopt basic personal and community hygiene practices]]/WWWW[[#This Row],[Total PoP ]]</f>
        <v>0</v>
      </c>
      <c r="CA240" s="212">
        <f>1-WWWW[[#This Row],[Hygiene Coverage%]]</f>
        <v>1</v>
      </c>
      <c r="CB240" s="211">
        <f>WWWW[[#This Row],['# people reached by regular dedicated hygiene promotion_5]]/WWWW[[#This Row],[Total PoP ]]</f>
        <v>0</v>
      </c>
      <c r="CC240" s="211">
        <f>IF(WWWW[[#This Row],['# HH received soaps]]/WWWW[[#This Row],[Total HH]]&gt;1,1,WWWW[[#This Row],['# HH received soaps]]/WWWW[[#This Row],[Total HH]])</f>
        <v>0</v>
      </c>
      <c r="CD240" s="211">
        <f>IF(WWWW[[#This Row],['# HH received Sanitary Pads]]/WWWW[[#This Row],[Total HH]]&gt;1,1,WWWW[[#This Row],['# HH received Sanitary Pads]]/WWWW[[#This Row],[Total HH]])</f>
        <v>0</v>
      </c>
      <c r="CE240" s="210">
        <f>WWWW[[#This Row],['# HH received soaps]]*5</f>
        <v>0</v>
      </c>
      <c r="CF240" s="210">
        <f>WWWW[[#This Row],['# HH received Sanitary Pads]]*5</f>
        <v>0</v>
      </c>
      <c r="CG240" s="210">
        <f>IF(WWWW[[#This Row],['# People with access to soap]]&gt;WWWW[[#This Row],['# People with access to Sanity Pads]],WWWW[[#This Row],['# People with access to soap]],WWWW[[#This Row],['# People with access to Sanity Pads]])</f>
        <v>0</v>
      </c>
      <c r="CH240" s="209">
        <f>WWWW[[#This Row],[Total HH]]*WWWW[[#This Row],[%HHs with access to functional hand washing stations]]</f>
        <v>0</v>
      </c>
      <c r="CI240" s="699">
        <f>VLOOKUP(WWWW[[#This Row],[Site Name]],SiteDB6[[Site Name]:[CCCM Management]],6,FALSE)</f>
        <v>0</v>
      </c>
      <c r="CJ240" s="699">
        <f>VLOOKUP(WWWW[[#This Row],[Site Name]],SiteDB6[[Site Name]:[CCCM Focal Agency]],7,FALSE)</f>
        <v>0</v>
      </c>
      <c r="CK240" s="699" t="str">
        <f>VLOOKUP(WWWW[[#This Row],[Site Name]],SiteDB6[[Site Name]:[Location Type]],8,FALSE)</f>
        <v>Village_Not HRP</v>
      </c>
      <c r="CL240" s="699" t="str">
        <f>VLOOKUP(WWWW[[#This Row],[Site Name]],SiteDB6[[Site Name]:[Location Type 1]],9,FALSE)</f>
        <v>Village</v>
      </c>
      <c r="CM240" s="699" t="str">
        <f>VLOOKUP(WWWW[[#This Row],[Site Name]],SiteDB6[[Site Name]:[Type of Accommodation]],10,FALSE)</f>
        <v>Village_Not HRP</v>
      </c>
      <c r="CN240" s="699" t="str">
        <f>VLOOKUP(WWWW[[#This Row],[Site Name]],SiteDB6[[Site Name]:[Ethnic or GCA/NGCA]],11,FALSE)</f>
        <v>Mro</v>
      </c>
      <c r="CO240" s="699">
        <f>VLOOKUP(WWWW[[#This Row],[Site Name]],SiteDB6[[Site Name]:[Lat]],12,FALSE)</f>
        <v>0</v>
      </c>
      <c r="CP240" s="699">
        <f>VLOOKUP(WWWW[[#This Row],[Site Name]],SiteDB6[[Site Name]:[Long]],13,FALSE)</f>
        <v>0</v>
      </c>
      <c r="CQ240" s="699">
        <f>VLOOKUP(WWWW[[#This Row],[Site Name]],SiteDB6[[Site Name]:[Pcode]],3,FALSE)</f>
        <v>0</v>
      </c>
      <c r="CR240" s="660" t="str">
        <f t="shared" si="4"/>
        <v>Covered</v>
      </c>
      <c r="CS240" s="699" t="s">
        <v>2738</v>
      </c>
      <c r="CT240" s="24"/>
      <c r="CU240" s="24"/>
      <c r="CV240" s="24"/>
    </row>
    <row r="241" spans="1:100" ht="15.75" customHeight="1" x14ac:dyDescent="0.25">
      <c r="A241" s="833" t="s">
        <v>3206</v>
      </c>
      <c r="B241" s="206" t="s">
        <v>479</v>
      </c>
      <c r="C241" s="206" t="s">
        <v>454</v>
      </c>
      <c r="D241" s="206" t="s">
        <v>463</v>
      </c>
      <c r="E241" s="206" t="s">
        <v>2735</v>
      </c>
      <c r="F241" s="206">
        <v>45</v>
      </c>
      <c r="G241" s="209">
        <v>206</v>
      </c>
      <c r="H241" s="206"/>
      <c r="I241" s="206" t="s">
        <v>495</v>
      </c>
      <c r="J241" s="207">
        <v>43616</v>
      </c>
      <c r="K241" s="206">
        <v>0</v>
      </c>
      <c r="L241" s="206" t="s">
        <v>2454</v>
      </c>
      <c r="M241" s="208">
        <v>0</v>
      </c>
      <c r="N241" s="208">
        <v>0</v>
      </c>
      <c r="O241" s="323">
        <v>0</v>
      </c>
      <c r="P241" s="317">
        <v>0</v>
      </c>
      <c r="Q241" s="317">
        <v>0</v>
      </c>
      <c r="R241" s="318">
        <v>0</v>
      </c>
      <c r="S241" s="318">
        <v>0</v>
      </c>
      <c r="T241" s="318"/>
      <c r="U241" s="318"/>
      <c r="V241" s="318"/>
      <c r="W241" s="318"/>
      <c r="X241" s="318"/>
      <c r="Y241" s="318"/>
      <c r="Z241" s="318"/>
      <c r="AA241" s="310">
        <v>2</v>
      </c>
      <c r="AB241" s="311">
        <v>0</v>
      </c>
      <c r="AC241" s="66"/>
      <c r="AD241" s="66"/>
      <c r="AE241" s="310">
        <v>0</v>
      </c>
      <c r="AF241" s="310" t="s">
        <v>1358</v>
      </c>
      <c r="AG241" s="311" t="s">
        <v>1358</v>
      </c>
      <c r="AH241" s="66"/>
      <c r="AI241" s="66"/>
      <c r="AJ241" s="311"/>
      <c r="AK241" s="841">
        <v>0</v>
      </c>
      <c r="AL241" s="846"/>
      <c r="AM241" s="844">
        <v>0</v>
      </c>
      <c r="AN241" s="863">
        <v>0</v>
      </c>
      <c r="AO241" s="863">
        <v>0</v>
      </c>
      <c r="AP241" s="843"/>
      <c r="AQ241" s="843"/>
      <c r="AR241" s="843"/>
      <c r="AS241" s="843"/>
      <c r="AT241" s="843"/>
      <c r="AU241" s="843"/>
      <c r="AV241" s="844"/>
      <c r="AW241" s="208" t="str">
        <f>IFERROR(WWWW[[#This Row],['# of Water passed at source]]/WWWW[[#This Row],['# of Water tested at source]],"no test")</f>
        <v>no test</v>
      </c>
      <c r="AX241" s="211" t="str">
        <f>IFERROR(WWWW[[#This Row],['# of Water passed at HH]]/WWWW[[#This Row],['# of Water tested at HH]],"no test")</f>
        <v>no test</v>
      </c>
      <c r="AY241" s="210" t="str">
        <f>IF(AND(WWWW[[#This Row],[%of Water samples which passed at water source]]="no test",WWWW[[#This Row],[%Water samples which passed at HH]]="no test"),"No Test","Tested")</f>
        <v>No Test</v>
      </c>
      <c r="AZ24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1" s="211">
        <f>IF(WWWW[[#This Row],[Location Type 1]]="Village",WWWW[[#This Row],[Access to safe drinking water for Village]],WWWW[[#This Row],[Access to safe drinking water for Camp]])</f>
        <v>0</v>
      </c>
      <c r="BC241" s="209">
        <f>WWWW[[#This Row],[%Equitable and continuous access to sufficient quantity of safe drinking water]]*WWWW[[#This Row],[Total PoP ]]</f>
        <v>0</v>
      </c>
      <c r="BD241" s="211">
        <f>IF((WWWW[[#This Row],['# Existing protected/fenced ponds ]]*250)/WWWW[[#This Row],[Total PoP ]]&gt;1,1,WWWW[[#This Row],['# Existing protected/fenced ponds ]]*250/WWWW[[#This Row],[Total PoP ]])</f>
        <v>0</v>
      </c>
      <c r="BE241" s="209">
        <f>WWWW[[#This Row],[Access to unimproved water points]]*WWWW[[#This Row],[Total PoP ]]</f>
        <v>0</v>
      </c>
      <c r="BF24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1" s="209">
        <f>ROUND(WWWW[[#This Row],['#people Equitable and continuous access to sufficient quantity of domestic water borehole n ponds_2]]/500,0)</f>
        <v>0</v>
      </c>
      <c r="BI241" s="208">
        <f>1-WWWW[[#This Row],[%Equitable and continuous access to sufficient quantity of domestic water borehole n ponds]]</f>
        <v>1</v>
      </c>
      <c r="BJ241" s="209">
        <f>WWWW[[#This Row],[%equitable and continuous access to sufficient quantity of safe drinking and domestic water''s GAP]]*WWWW[[#This Row],[Total PoP ]]</f>
        <v>206</v>
      </c>
      <c r="BK241" s="210">
        <f>IF(WWWW[[#This Row],[Total required water points]]-WWWW[[#This Row],['#Water points coverage]]&lt;0,0,WWWW[[#This Row],[Total required water points]]-WWWW[[#This Row],['#Water points coverage]])</f>
        <v>1</v>
      </c>
      <c r="BL241" s="210">
        <f>ROUND(IF(WWWW[[#This Row],[Total PoP ]]&lt;500,1,WWWW[[#This Row],[Total PoP ]]/500),0)</f>
        <v>1</v>
      </c>
      <c r="BM241" s="210">
        <f>WWWW[[#This Row],['# Existing functional latrines]]+WWWW[[#This Row],['# Existing latrines dysfunctional]]</f>
        <v>2</v>
      </c>
      <c r="BN24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5.8252427184466021E-2</v>
      </c>
      <c r="BO241" s="352">
        <f>WWWW[[#This Row],[% people access to functioning Latrine]]*WWWW[[#This Row],[Total PoP ]]</f>
        <v>12</v>
      </c>
      <c r="BP24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0.93203883495145623</v>
      </c>
      <c r="BQ241" s="209">
        <f>IF(WWWW[[#This Row],[Total required Latrines]]-WWWW[[#This Row],[Total '# of latrine]]&lt;0,0,WWWW[[#This Row],[Total required Latrines]]-WWWW[[#This Row],[Total '# of latrine]])</f>
        <v>32</v>
      </c>
      <c r="BR241" s="210">
        <f>ROUND(IF(WWWW[[#This Row],[Location Type 1]]="camp",WWWW[[#This Row],[Total PoP ]]/20,WWWW[[#This Row],[Total PoP ]]/6),0)</f>
        <v>34</v>
      </c>
      <c r="BS241" s="212">
        <f>IF(OR(WWWW[[#This Row],['# Existing latrines dysfunctional]]="",WWWW[[#This Row],['# Existing latrines dysfunctional]]=0),0,WWWW[[#This Row],['# Existing latrines dysfunctional]]/WWWW[[#This Row],[Total '# of latrine]])</f>
        <v>0</v>
      </c>
      <c r="BT24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1" s="209">
        <f>IF(500*WWWW[[#This Row],['# Hygiene Promoters ]]&gt;WWWW[[#This Row],[Total PoP ]],WWWW[[#This Row],[Total PoP ]],500*WWWW[[#This Row],['# Hygiene Promoters ]])</f>
        <v>0</v>
      </c>
      <c r="BV241" s="209">
        <f>IF(WWWW[[#This Row],[% of HH with access to Sanitary Pad]]&gt;=100%,1,0)</f>
        <v>0</v>
      </c>
      <c r="BW241" s="209">
        <f>IF(WWWW[[#This Row],[Total PoP ]]=0,0,IF(WWWW[[#This Row],['# Hygiene Promoters ]]=0,0,IF(WWWW[[#This Row],[Location Type 1]]="Village",IF(WWWW[[#This Row],[Total PoP ]]/WWWW[[#This Row],['# Hygiene Promoters ]]&lt;1000,1,0),IF(WWWW[[#This Row],[Total PoP ]]/WWWW[[#This Row],['# Hygiene Promoters ]]&lt;600,1,0))))</f>
        <v>0</v>
      </c>
      <c r="BX241" s="209">
        <f>IF(WWWW[[#This Row],[%HH with access to soap]]&gt;=100%,1,0)</f>
        <v>0</v>
      </c>
      <c r="BY241" s="209">
        <f>IF(WWWW[[#This Row],[% of HHs with access to Sanitary pad more than '#%]]+WWWW[[#This Row],[Ratio of Hyiene promoters to people less than '#]]+WWWW[[#This Row],[% of HHs with access to soap more than '#%]]&gt;=2,WWWW[[#This Row],[Total PoP ]],0)</f>
        <v>0</v>
      </c>
      <c r="BZ241" s="208">
        <f>WWWW[[#This Row],[People adopt basic personal and community hygiene practices]]/WWWW[[#This Row],[Total PoP ]]</f>
        <v>0</v>
      </c>
      <c r="CA241" s="212">
        <f>1-WWWW[[#This Row],[Hygiene Coverage%]]</f>
        <v>1</v>
      </c>
      <c r="CB241" s="211">
        <f>WWWW[[#This Row],['# people reached by regular dedicated hygiene promotion_5]]/WWWW[[#This Row],[Total PoP ]]</f>
        <v>0</v>
      </c>
      <c r="CC241" s="211">
        <f>IF(WWWW[[#This Row],['# HH received soaps]]/WWWW[[#This Row],[Total HH]]&gt;1,1,WWWW[[#This Row],['# HH received soaps]]/WWWW[[#This Row],[Total HH]])</f>
        <v>0</v>
      </c>
      <c r="CD241" s="211">
        <f>IF(WWWW[[#This Row],['# HH received Sanitary Pads]]/WWWW[[#This Row],[Total HH]]&gt;1,1,WWWW[[#This Row],['# HH received Sanitary Pads]]/WWWW[[#This Row],[Total HH]])</f>
        <v>0</v>
      </c>
      <c r="CE241" s="210">
        <f>WWWW[[#This Row],['# HH received soaps]]*5</f>
        <v>0</v>
      </c>
      <c r="CF241" s="210">
        <f>WWWW[[#This Row],['# HH received Sanitary Pads]]*5</f>
        <v>0</v>
      </c>
      <c r="CG241" s="210">
        <f>IF(WWWW[[#This Row],['# People with access to soap]]&gt;WWWW[[#This Row],['# People with access to Sanity Pads]],WWWW[[#This Row],['# People with access to soap]],WWWW[[#This Row],['# People with access to Sanity Pads]])</f>
        <v>0</v>
      </c>
      <c r="CH241" s="209">
        <f>WWWW[[#This Row],[Total HH]]*WWWW[[#This Row],[%HHs with access to functional hand washing stations]]</f>
        <v>0</v>
      </c>
      <c r="CI241" s="699">
        <f>VLOOKUP(WWWW[[#This Row],[Site Name]],SiteDB6[[Site Name]:[CCCM Management]],6,FALSE)</f>
        <v>0</v>
      </c>
      <c r="CJ241" s="699">
        <f>VLOOKUP(WWWW[[#This Row],[Site Name]],SiteDB6[[Site Name]:[CCCM Focal Agency]],7,FALSE)</f>
        <v>0</v>
      </c>
      <c r="CK241" s="699" t="str">
        <f>VLOOKUP(WWWW[[#This Row],[Site Name]],SiteDB6[[Site Name]:[Location Type]],8,FALSE)</f>
        <v>Village_Not HRP</v>
      </c>
      <c r="CL241" s="699" t="str">
        <f>VLOOKUP(WWWW[[#This Row],[Site Name]],SiteDB6[[Site Name]:[Location Type 1]],9,FALSE)</f>
        <v>Village</v>
      </c>
      <c r="CM241" s="699" t="str">
        <f>VLOOKUP(WWWW[[#This Row],[Site Name]],SiteDB6[[Site Name]:[Type of Accommodation]],10,FALSE)</f>
        <v>Village_Not HRP</v>
      </c>
      <c r="CN241" s="699" t="str">
        <f>VLOOKUP(WWWW[[#This Row],[Site Name]],SiteDB6[[Site Name]:[Ethnic or GCA/NGCA]],11,FALSE)</f>
        <v>Rakhine</v>
      </c>
      <c r="CO241" s="699">
        <f>VLOOKUP(WWWW[[#This Row],[Site Name]],SiteDB6[[Site Name]:[Lat]],12,FALSE)</f>
        <v>0</v>
      </c>
      <c r="CP241" s="699">
        <f>VLOOKUP(WWWW[[#This Row],[Site Name]],SiteDB6[[Site Name]:[Long]],13,FALSE)</f>
        <v>0</v>
      </c>
      <c r="CQ241" s="699">
        <f>VLOOKUP(WWWW[[#This Row],[Site Name]],SiteDB6[[Site Name]:[Pcode]],3,FALSE)</f>
        <v>0</v>
      </c>
      <c r="CR241" s="660" t="str">
        <f t="shared" si="4"/>
        <v>Covered</v>
      </c>
      <c r="CS241" s="699" t="s">
        <v>2738</v>
      </c>
      <c r="CT241" s="24"/>
      <c r="CU241" s="24"/>
      <c r="CV241" s="24"/>
    </row>
    <row r="242" spans="1:100" ht="16.5" customHeight="1" x14ac:dyDescent="0.25">
      <c r="A242" s="833" t="s">
        <v>3206</v>
      </c>
      <c r="B242" s="206" t="s">
        <v>479</v>
      </c>
      <c r="C242" s="206" t="s">
        <v>454</v>
      </c>
      <c r="D242" s="206" t="s">
        <v>463</v>
      </c>
      <c r="E242" s="206" t="s">
        <v>497</v>
      </c>
      <c r="F242" s="206">
        <v>144</v>
      </c>
      <c r="G242" s="209">
        <v>792</v>
      </c>
      <c r="H242" s="206"/>
      <c r="I242" s="206" t="s">
        <v>495</v>
      </c>
      <c r="J242" s="207">
        <v>43616</v>
      </c>
      <c r="K242" s="206">
        <v>0</v>
      </c>
      <c r="L242" s="206" t="s">
        <v>2454</v>
      </c>
      <c r="M242" s="208">
        <v>0</v>
      </c>
      <c r="N242" s="208">
        <v>0</v>
      </c>
      <c r="O242" s="323">
        <v>0</v>
      </c>
      <c r="P242" s="317">
        <v>0</v>
      </c>
      <c r="Q242" s="317">
        <v>0</v>
      </c>
      <c r="R242" s="318">
        <v>0</v>
      </c>
      <c r="S242" s="318">
        <v>0</v>
      </c>
      <c r="T242" s="318"/>
      <c r="U242" s="318"/>
      <c r="V242" s="318"/>
      <c r="W242" s="318"/>
      <c r="X242" s="318"/>
      <c r="Y242" s="318"/>
      <c r="Z242" s="318"/>
      <c r="AA242" s="310">
        <v>2</v>
      </c>
      <c r="AB242" s="311">
        <v>0</v>
      </c>
      <c r="AC242" s="66"/>
      <c r="AD242" s="66"/>
      <c r="AE242" s="310">
        <v>0</v>
      </c>
      <c r="AF242" s="310" t="s">
        <v>1358</v>
      </c>
      <c r="AG242" s="311" t="s">
        <v>1358</v>
      </c>
      <c r="AH242" s="66"/>
      <c r="AI242" s="66"/>
      <c r="AJ242" s="311"/>
      <c r="AK242" s="841">
        <v>0</v>
      </c>
      <c r="AL242" s="846"/>
      <c r="AM242" s="844">
        <v>0</v>
      </c>
      <c r="AN242" s="863">
        <v>0</v>
      </c>
      <c r="AO242" s="863">
        <v>0</v>
      </c>
      <c r="AP242" s="843"/>
      <c r="AQ242" s="843"/>
      <c r="AR242" s="843"/>
      <c r="AS242" s="843"/>
      <c r="AT242" s="843"/>
      <c r="AU242" s="843"/>
      <c r="AV242" s="844"/>
      <c r="AW242" s="208" t="str">
        <f>IFERROR(WWWW[[#This Row],['# of Water passed at source]]/WWWW[[#This Row],['# of Water tested at source]],"no test")</f>
        <v>no test</v>
      </c>
      <c r="AX242" s="211" t="str">
        <f>IFERROR(WWWW[[#This Row],['# of Water passed at HH]]/WWWW[[#This Row],['# of Water tested at HH]],"no test")</f>
        <v>no test</v>
      </c>
      <c r="AY242" s="210" t="str">
        <f>IF(AND(WWWW[[#This Row],[%of Water samples which passed at water source]]="no test",WWWW[[#This Row],[%Water samples which passed at HH]]="no test"),"No Test","Tested")</f>
        <v>No Test</v>
      </c>
      <c r="AZ24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2" s="211">
        <f>IF(WWWW[[#This Row],[Location Type 1]]="Village",WWWW[[#This Row],[Access to safe drinking water for Village]],WWWW[[#This Row],[Access to safe drinking water for Camp]])</f>
        <v>0</v>
      </c>
      <c r="BC242" s="209">
        <f>WWWW[[#This Row],[%Equitable and continuous access to sufficient quantity of safe drinking water]]*WWWW[[#This Row],[Total PoP ]]</f>
        <v>0</v>
      </c>
      <c r="BD242" s="211">
        <f>IF((WWWW[[#This Row],['# Existing protected/fenced ponds ]]*250)/WWWW[[#This Row],[Total PoP ]]&gt;1,1,WWWW[[#This Row],['# Existing protected/fenced ponds ]]*250/WWWW[[#This Row],[Total PoP ]])</f>
        <v>0</v>
      </c>
      <c r="BE242" s="209">
        <f>WWWW[[#This Row],[Access to unimproved water points]]*WWWW[[#This Row],[Total PoP ]]</f>
        <v>0</v>
      </c>
      <c r="BF24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2" s="209">
        <f>ROUND(WWWW[[#This Row],['#people Equitable and continuous access to sufficient quantity of domestic water borehole n ponds_2]]/500,0)</f>
        <v>0</v>
      </c>
      <c r="BI242" s="208">
        <f>1-WWWW[[#This Row],[%Equitable and continuous access to sufficient quantity of domestic water borehole n ponds]]</f>
        <v>1</v>
      </c>
      <c r="BJ242" s="209">
        <f>WWWW[[#This Row],[%equitable and continuous access to sufficient quantity of safe drinking and domestic water''s GAP]]*WWWW[[#This Row],[Total PoP ]]</f>
        <v>792</v>
      </c>
      <c r="BK242" s="210">
        <f>IF(WWWW[[#This Row],[Total required water points]]-WWWW[[#This Row],['#Water points coverage]]&lt;0,0,WWWW[[#This Row],[Total required water points]]-WWWW[[#This Row],['#Water points coverage]])</f>
        <v>2</v>
      </c>
      <c r="BL242" s="210">
        <f>ROUND(IF(WWWW[[#This Row],[Total PoP ]]&lt;500,1,WWWW[[#This Row],[Total PoP ]]/500),0)</f>
        <v>2</v>
      </c>
      <c r="BM242" s="210">
        <f>WWWW[[#This Row],['# Existing functional latrines]]+WWWW[[#This Row],['# Existing latrines dysfunctional]]</f>
        <v>2</v>
      </c>
      <c r="BN24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1.5151515151515152E-2</v>
      </c>
      <c r="BO242" s="352">
        <f>WWWW[[#This Row],[% people access to functioning Latrine]]*WWWW[[#This Row],[Total PoP ]]</f>
        <v>12</v>
      </c>
      <c r="BP24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0.98484848484848486</v>
      </c>
      <c r="BQ242" s="209">
        <f>IF(WWWW[[#This Row],[Total required Latrines]]-WWWW[[#This Row],[Total '# of latrine]]&lt;0,0,WWWW[[#This Row],[Total required Latrines]]-WWWW[[#This Row],[Total '# of latrine]])</f>
        <v>130</v>
      </c>
      <c r="BR242" s="210">
        <f>ROUND(IF(WWWW[[#This Row],[Location Type 1]]="camp",WWWW[[#This Row],[Total PoP ]]/20,WWWW[[#This Row],[Total PoP ]]/6),0)</f>
        <v>132</v>
      </c>
      <c r="BS242" s="212">
        <f>IF(OR(WWWW[[#This Row],['# Existing latrines dysfunctional]]="",WWWW[[#This Row],['# Existing latrines dysfunctional]]=0),0,WWWW[[#This Row],['# Existing latrines dysfunctional]]/WWWW[[#This Row],[Total '# of latrine]])</f>
        <v>0</v>
      </c>
      <c r="BT24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2" s="209">
        <f>IF(500*WWWW[[#This Row],['# Hygiene Promoters ]]&gt;WWWW[[#This Row],[Total PoP ]],WWWW[[#This Row],[Total PoP ]],500*WWWW[[#This Row],['# Hygiene Promoters ]])</f>
        <v>0</v>
      </c>
      <c r="BV242" s="209">
        <f>IF(WWWW[[#This Row],[% of HH with access to Sanitary Pad]]&gt;=100%,1,0)</f>
        <v>0</v>
      </c>
      <c r="BW242" s="209">
        <f>IF(WWWW[[#This Row],[Total PoP ]]=0,0,IF(WWWW[[#This Row],['# Hygiene Promoters ]]=0,0,IF(WWWW[[#This Row],[Location Type 1]]="Village",IF(WWWW[[#This Row],[Total PoP ]]/WWWW[[#This Row],['# Hygiene Promoters ]]&lt;1000,1,0),IF(WWWW[[#This Row],[Total PoP ]]/WWWW[[#This Row],['# Hygiene Promoters ]]&lt;600,1,0))))</f>
        <v>0</v>
      </c>
      <c r="BX242" s="209">
        <f>IF(WWWW[[#This Row],[%HH with access to soap]]&gt;=100%,1,0)</f>
        <v>0</v>
      </c>
      <c r="BY242" s="209">
        <f>IF(WWWW[[#This Row],[% of HHs with access to Sanitary pad more than '#%]]+WWWW[[#This Row],[Ratio of Hyiene promoters to people less than '#]]+WWWW[[#This Row],[% of HHs with access to soap more than '#%]]&gt;=2,WWWW[[#This Row],[Total PoP ]],0)</f>
        <v>0</v>
      </c>
      <c r="BZ242" s="208">
        <f>WWWW[[#This Row],[People adopt basic personal and community hygiene practices]]/WWWW[[#This Row],[Total PoP ]]</f>
        <v>0</v>
      </c>
      <c r="CA242" s="212">
        <f>1-WWWW[[#This Row],[Hygiene Coverage%]]</f>
        <v>1</v>
      </c>
      <c r="CB242" s="211">
        <f>WWWW[[#This Row],['# people reached by regular dedicated hygiene promotion_5]]/WWWW[[#This Row],[Total PoP ]]</f>
        <v>0</v>
      </c>
      <c r="CC242" s="211">
        <f>IF(WWWW[[#This Row],['# HH received soaps]]/WWWW[[#This Row],[Total HH]]&gt;1,1,WWWW[[#This Row],['# HH received soaps]]/WWWW[[#This Row],[Total HH]])</f>
        <v>0</v>
      </c>
      <c r="CD242" s="211">
        <f>IF(WWWW[[#This Row],['# HH received Sanitary Pads]]/WWWW[[#This Row],[Total HH]]&gt;1,1,WWWW[[#This Row],['# HH received Sanitary Pads]]/WWWW[[#This Row],[Total HH]])</f>
        <v>0</v>
      </c>
      <c r="CE242" s="210">
        <f>WWWW[[#This Row],['# HH received soaps]]*5</f>
        <v>0</v>
      </c>
      <c r="CF242" s="210">
        <f>WWWW[[#This Row],['# HH received Sanitary Pads]]*5</f>
        <v>0</v>
      </c>
      <c r="CG242" s="210">
        <f>IF(WWWW[[#This Row],['# People with access to soap]]&gt;WWWW[[#This Row],['# People with access to Sanity Pads]],WWWW[[#This Row],['# People with access to soap]],WWWW[[#This Row],['# People with access to Sanity Pads]])</f>
        <v>0</v>
      </c>
      <c r="CH242" s="209">
        <f>WWWW[[#This Row],[Total HH]]*WWWW[[#This Row],[%HHs with access to functional hand washing stations]]</f>
        <v>0</v>
      </c>
      <c r="CI242" s="699">
        <f>VLOOKUP(WWWW[[#This Row],[Site Name]],SiteDB6[[Site Name]:[CCCM Management]],6,FALSE)</f>
        <v>0</v>
      </c>
      <c r="CJ242" s="699">
        <f>VLOOKUP(WWWW[[#This Row],[Site Name]],SiteDB6[[Site Name]:[CCCM Focal Agency]],7,FALSE)</f>
        <v>0</v>
      </c>
      <c r="CK242" s="699" t="str">
        <f>VLOOKUP(WWWW[[#This Row],[Site Name]],SiteDB6[[Site Name]:[Location Type]],8,FALSE)</f>
        <v>Village_Not HRP</v>
      </c>
      <c r="CL242" s="699" t="str">
        <f>VLOOKUP(WWWW[[#This Row],[Site Name]],SiteDB6[[Site Name]:[Location Type 1]],9,FALSE)</f>
        <v>Village</v>
      </c>
      <c r="CM242" s="699" t="str">
        <f>VLOOKUP(WWWW[[#This Row],[Site Name]],SiteDB6[[Site Name]:[Type of Accommodation]],10,FALSE)</f>
        <v>Village_Not HRP</v>
      </c>
      <c r="CN242" s="699" t="str">
        <f>VLOOKUP(WWWW[[#This Row],[Site Name]],SiteDB6[[Site Name]:[Ethnic or GCA/NGCA]],11,FALSE)</f>
        <v>Dinet</v>
      </c>
      <c r="CO242" s="699">
        <f>VLOOKUP(WWWW[[#This Row],[Site Name]],SiteDB6[[Site Name]:[Lat]],12,FALSE)</f>
        <v>0</v>
      </c>
      <c r="CP242" s="699">
        <f>VLOOKUP(WWWW[[#This Row],[Site Name]],SiteDB6[[Site Name]:[Long]],13,FALSE)</f>
        <v>0</v>
      </c>
      <c r="CQ242" s="699">
        <f>VLOOKUP(WWWW[[#This Row],[Site Name]],SiteDB6[[Site Name]:[Pcode]],3,FALSE)</f>
        <v>196815</v>
      </c>
      <c r="CR242" s="660" t="str">
        <f t="shared" si="4"/>
        <v>Covered</v>
      </c>
      <c r="CS242" s="699" t="s">
        <v>2738</v>
      </c>
      <c r="CT242" s="24"/>
      <c r="CU242" s="24"/>
      <c r="CV242" s="24"/>
    </row>
    <row r="243" spans="1:100" ht="15.75" customHeight="1" x14ac:dyDescent="0.25">
      <c r="A243" s="833" t="s">
        <v>3206</v>
      </c>
      <c r="B243" s="206" t="s">
        <v>479</v>
      </c>
      <c r="C243" s="206" t="s">
        <v>454</v>
      </c>
      <c r="D243" s="206" t="s">
        <v>463</v>
      </c>
      <c r="E243" s="206" t="s">
        <v>3236</v>
      </c>
      <c r="F243" s="206">
        <v>286</v>
      </c>
      <c r="G243" s="209">
        <v>1372</v>
      </c>
      <c r="H243" s="206"/>
      <c r="I243" s="206" t="s">
        <v>449</v>
      </c>
      <c r="J243" s="207">
        <v>43738</v>
      </c>
      <c r="K243" s="206">
        <v>30</v>
      </c>
      <c r="L243" s="206" t="s">
        <v>2454</v>
      </c>
      <c r="M243" s="208">
        <v>0</v>
      </c>
      <c r="N243" s="208">
        <v>0</v>
      </c>
      <c r="O243" s="323">
        <v>0</v>
      </c>
      <c r="P243" s="317">
        <v>0</v>
      </c>
      <c r="Q243" s="317">
        <v>0</v>
      </c>
      <c r="R243" s="318">
        <v>0</v>
      </c>
      <c r="S243" s="318"/>
      <c r="T243" s="318"/>
      <c r="U243" s="318"/>
      <c r="V243" s="318"/>
      <c r="W243" s="318"/>
      <c r="X243" s="318"/>
      <c r="Y243" s="318"/>
      <c r="Z243" s="318"/>
      <c r="AA243" s="310"/>
      <c r="AB243" s="311"/>
      <c r="AC243" s="66"/>
      <c r="AD243" s="66"/>
      <c r="AE243" s="310"/>
      <c r="AF243" s="310" t="s">
        <v>286</v>
      </c>
      <c r="AG243" s="311" t="s">
        <v>286</v>
      </c>
      <c r="AH243" s="66"/>
      <c r="AI243" s="66"/>
      <c r="AJ243" s="311"/>
      <c r="AK243" s="841">
        <v>0</v>
      </c>
      <c r="AL243" s="846"/>
      <c r="AM243" s="844">
        <v>0</v>
      </c>
      <c r="AN243" s="863">
        <v>0</v>
      </c>
      <c r="AO243" s="863"/>
      <c r="AP243" s="843"/>
      <c r="AQ243" s="843"/>
      <c r="AR243" s="843"/>
      <c r="AS243" s="843"/>
      <c r="AT243" s="843"/>
      <c r="AU243" s="843"/>
      <c r="AV243" s="844"/>
      <c r="AW243" s="208" t="str">
        <f>IFERROR(WWWW[[#This Row],['# of Water passed at source]]/WWWW[[#This Row],['# of Water tested at source]],"no test")</f>
        <v>no test</v>
      </c>
      <c r="AX243" s="211" t="str">
        <f>IFERROR(WWWW[[#This Row],['# of Water passed at HH]]/WWWW[[#This Row],['# of Water tested at HH]],"no test")</f>
        <v>no test</v>
      </c>
      <c r="AY243" s="210" t="str">
        <f>IF(AND(WWWW[[#This Row],[%of Water samples which passed at water source]]="no test",WWWW[[#This Row],[%Water samples which passed at HH]]="no test"),"No Test","Tested")</f>
        <v>No Test</v>
      </c>
      <c r="AZ24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3" s="211">
        <f>IF(WWWW[[#This Row],[Location Type 1]]="Village",WWWW[[#This Row],[Access to safe drinking water for Village]],WWWW[[#This Row],[Access to safe drinking water for Camp]])</f>
        <v>0</v>
      </c>
      <c r="BC243" s="209">
        <f>WWWW[[#This Row],[%Equitable and continuous access to sufficient quantity of safe drinking water]]*WWWW[[#This Row],[Total PoP ]]</f>
        <v>0</v>
      </c>
      <c r="BD243" s="211">
        <f>IF((WWWW[[#This Row],['# Existing protected/fenced ponds ]]*250)/WWWW[[#This Row],[Total PoP ]]&gt;1,1,WWWW[[#This Row],['# Existing protected/fenced ponds ]]*250/WWWW[[#This Row],[Total PoP ]])</f>
        <v>0</v>
      </c>
      <c r="BE243" s="209">
        <f>WWWW[[#This Row],[Access to unimproved water points]]*WWWW[[#This Row],[Total PoP ]]</f>
        <v>0</v>
      </c>
      <c r="BF24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3" s="209">
        <f>WWWW[[#This Row],['#people Equitable and continuous access to sufficient quantity of domestic water borehole n ponds_2]]/500</f>
        <v>0</v>
      </c>
      <c r="BI243" s="208">
        <f>1-WWWW[[#This Row],[%Equitable and continuous access to sufficient quantity of domestic water borehole n ponds]]</f>
        <v>1</v>
      </c>
      <c r="BJ243" s="209">
        <f>WWWW[[#This Row],[%equitable and continuous access to sufficient quantity of safe drinking and domestic water''s GAP]]*WWWW[[#This Row],[Total PoP ]]</f>
        <v>1372</v>
      </c>
      <c r="BK243" s="210">
        <f>IF(WWWW[[#This Row],[Total required water points]]-WWWW[[#This Row],['#Water points coverage]]&lt;0,0,WWWW[[#This Row],[Total required water points]]-WWWW[[#This Row],['#Water points coverage]])</f>
        <v>3</v>
      </c>
      <c r="BL243" s="210">
        <f>ROUND(IF(WWWW[[#This Row],[Total PoP ]]&lt;500,1,WWWW[[#This Row],[Total PoP ]]/500),0)</f>
        <v>3</v>
      </c>
      <c r="BM243" s="210">
        <f>WWWW[[#This Row],['# Existing functional latrines]]+WWWW[[#This Row],['# Existing latrines dysfunctional]]</f>
        <v>0</v>
      </c>
      <c r="BN24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43" s="352">
        <f>WWWW[[#This Row],[% people access to functioning Latrine]]*WWWW[[#This Row],[Total PoP ]]</f>
        <v>0</v>
      </c>
      <c r="BP24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43" s="209">
        <f>IF(WWWW[[#This Row],[Total required Latrines]]-WWWW[[#This Row],[Total '# of latrine]]&lt;0,0,WWWW[[#This Row],[Total required Latrines]]-WWWW[[#This Row],[Total '# of latrine]])</f>
        <v>229</v>
      </c>
      <c r="BR243" s="210">
        <f>ROUND(IF(WWWW[[#This Row],[Location Type 1]]="camp",WWWW[[#This Row],[Total PoP ]]/20,WWWW[[#This Row],[Total PoP ]]/6),0)</f>
        <v>229</v>
      </c>
      <c r="BS243" s="212">
        <f>IF(OR(WWWW[[#This Row],['# Existing latrines dysfunctional]]="",WWWW[[#This Row],['# Existing latrines dysfunctional]]=0),0,WWWW[[#This Row],['# Existing latrines dysfunctional]]/WWWW[[#This Row],[Total '# of latrine]])</f>
        <v>0</v>
      </c>
      <c r="BT24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3" s="209">
        <f>IF(500*WWWW[[#This Row],['# Hygiene Promoters ]]&gt;WWWW[[#This Row],[Total PoP ]],WWWW[[#This Row],[Total PoP ]],500*WWWW[[#This Row],['# Hygiene Promoters ]])</f>
        <v>0</v>
      </c>
      <c r="BV243" s="209">
        <f>IF(WWWW[[#This Row],[% of HH with access to Sanitary Pad]]&gt;=100%,1,0)</f>
        <v>0</v>
      </c>
      <c r="BW243" s="209">
        <f>IF(WWWW[[#This Row],[Total PoP ]]=0,0,IF(WWWW[[#This Row],['# Hygiene Promoters ]]=0,0,IF(WWWW[[#This Row],[Location Type 1]]="Village",IF(WWWW[[#This Row],[Total PoP ]]/WWWW[[#This Row],['# Hygiene Promoters ]]&lt;1000,1,0),IF(WWWW[[#This Row],[Total PoP ]]/WWWW[[#This Row],['# Hygiene Promoters ]]&lt;600,1,0))))</f>
        <v>0</v>
      </c>
      <c r="BX243" s="209">
        <f>IF(WWWW[[#This Row],[%HH with access to soap]]&gt;=100%,1,0)</f>
        <v>0</v>
      </c>
      <c r="BY243" s="209">
        <f>IF(WWWW[[#This Row],[% of HHs with access to Sanitary pad more than '#%]]+WWWW[[#This Row],[Ratio of Hyiene promoters to people less than '#]]+WWWW[[#This Row],[% of HHs with access to soap more than '#%]]&gt;=2,WWWW[[#This Row],[Total PoP ]],0)</f>
        <v>0</v>
      </c>
      <c r="BZ243" s="208">
        <f>WWWW[[#This Row],[People adopt basic personal and community hygiene practices]]/WWWW[[#This Row],[Total PoP ]]</f>
        <v>0</v>
      </c>
      <c r="CA243" s="212">
        <f>1-WWWW[[#This Row],[Hygiene Coverage%]]</f>
        <v>1</v>
      </c>
      <c r="CB243" s="211">
        <f>WWWW[[#This Row],['# people reached by regular dedicated hygiene promotion_5]]/WWWW[[#This Row],[Total PoP ]]</f>
        <v>0</v>
      </c>
      <c r="CC243" s="211">
        <f>IF(WWWW[[#This Row],['# HH received soaps]]/WWWW[[#This Row],[Total HH]]&gt;1,1,WWWW[[#This Row],['# HH received soaps]]/WWWW[[#This Row],[Total HH]])</f>
        <v>0</v>
      </c>
      <c r="CD243" s="211">
        <f>IF(WWWW[[#This Row],['# HH received Sanitary Pads]]/WWWW[[#This Row],[Total HH]]&gt;1,1,WWWW[[#This Row],['# HH received Sanitary Pads]]/WWWW[[#This Row],[Total HH]])</f>
        <v>0</v>
      </c>
      <c r="CE243" s="210">
        <f>WWWW[[#This Row],['# HH received soaps]]*5</f>
        <v>0</v>
      </c>
      <c r="CF243" s="210">
        <f>WWWW[[#This Row],['# HH received Sanitary Pads]]*5</f>
        <v>0</v>
      </c>
      <c r="CG243" s="210">
        <f>IF(WWWW[[#This Row],['# People with access to soap]]&gt;WWWW[[#This Row],['# People with access to Sanity Pads]],WWWW[[#This Row],['# People with access to soap]],WWWW[[#This Row],['# People with access to Sanity Pads]])</f>
        <v>0</v>
      </c>
      <c r="CH243" s="209">
        <f>WWWW[[#This Row],[Total HH]]*WWWW[[#This Row],[%HHs with access to functional hand washing stations]]</f>
        <v>0</v>
      </c>
      <c r="CI243" s="699">
        <f>VLOOKUP(WWWW[[#This Row],[Site Name]],SiteDB6[[Site Name]:[CCCM Management]],6,FALSE)</f>
        <v>0</v>
      </c>
      <c r="CJ243" s="699">
        <f>VLOOKUP(WWWW[[#This Row],[Site Name]],SiteDB6[[Site Name]:[CCCM Focal Agency]],7,FALSE)</f>
        <v>0</v>
      </c>
      <c r="CK243" s="699" t="str">
        <f>VLOOKUP(WWWW[[#This Row],[Site Name]],SiteDB6[[Site Name]:[Location Type]],8,FALSE)</f>
        <v>Village</v>
      </c>
      <c r="CL243" s="699" t="str">
        <f>VLOOKUP(WWWW[[#This Row],[Site Name]],SiteDB6[[Site Name]:[Location Type 1]],9,FALSE)</f>
        <v>Village</v>
      </c>
      <c r="CM243" s="699" t="str">
        <f>VLOOKUP(WWWW[[#This Row],[Site Name]],SiteDB6[[Site Name]:[Type of Accommodation]],10,FALSE)</f>
        <v>Village</v>
      </c>
      <c r="CN243" s="699">
        <f>VLOOKUP(WWWW[[#This Row],[Site Name]],SiteDB6[[Site Name]:[Ethnic or GCA/NGCA]],11,FALSE)</f>
        <v>0</v>
      </c>
      <c r="CO243" s="699">
        <f>VLOOKUP(WWWW[[#This Row],[Site Name]],SiteDB6[[Site Name]:[Lat]],12,FALSE)</f>
        <v>20.785549163818398</v>
      </c>
      <c r="CP243" s="699">
        <f>VLOOKUP(WWWW[[#This Row],[Site Name]],SiteDB6[[Site Name]:[Long]],13,FALSE)</f>
        <v>92.971076965332003</v>
      </c>
      <c r="CQ243" s="699">
        <f>VLOOKUP(WWWW[[#This Row],[Site Name]],SiteDB6[[Site Name]:[Pcode]],3,FALSE)</f>
        <v>196889</v>
      </c>
      <c r="CR243" s="660" t="str">
        <f t="shared" si="4"/>
        <v>Covered</v>
      </c>
      <c r="CS243" s="699"/>
      <c r="CT243" s="24"/>
      <c r="CU243" s="24"/>
      <c r="CV243" s="24"/>
    </row>
    <row r="244" spans="1:100" ht="15.75" customHeight="1" x14ac:dyDescent="0.25">
      <c r="A244" s="833" t="s">
        <v>3206</v>
      </c>
      <c r="B244" s="206" t="s">
        <v>479</v>
      </c>
      <c r="C244" s="206" t="s">
        <v>454</v>
      </c>
      <c r="D244" s="206" t="s">
        <v>463</v>
      </c>
      <c r="E244" s="206" t="s">
        <v>820</v>
      </c>
      <c r="F244" s="206">
        <v>170</v>
      </c>
      <c r="G244" s="209">
        <v>825</v>
      </c>
      <c r="H244" s="206"/>
      <c r="I244" s="206" t="s">
        <v>495</v>
      </c>
      <c r="J244" s="207">
        <v>43616</v>
      </c>
      <c r="K244" s="206">
        <v>0</v>
      </c>
      <c r="L244" s="206" t="s">
        <v>2454</v>
      </c>
      <c r="M244" s="208">
        <v>0</v>
      </c>
      <c r="N244" s="208">
        <v>0</v>
      </c>
      <c r="O244" s="323">
        <v>0</v>
      </c>
      <c r="P244" s="317">
        <v>0</v>
      </c>
      <c r="Q244" s="317">
        <v>0</v>
      </c>
      <c r="R244" s="318">
        <v>0</v>
      </c>
      <c r="S244" s="318">
        <v>0</v>
      </c>
      <c r="T244" s="318"/>
      <c r="U244" s="318"/>
      <c r="V244" s="318"/>
      <c r="W244" s="318"/>
      <c r="X244" s="318"/>
      <c r="Y244" s="318"/>
      <c r="Z244" s="318"/>
      <c r="AA244" s="310">
        <v>4</v>
      </c>
      <c r="AB244" s="310">
        <v>0</v>
      </c>
      <c r="AC244" s="310"/>
      <c r="AD244" s="66"/>
      <c r="AE244" s="310">
        <v>0</v>
      </c>
      <c r="AF244" s="310" t="s">
        <v>1358</v>
      </c>
      <c r="AG244" s="311" t="s">
        <v>1358</v>
      </c>
      <c r="AH244" s="66"/>
      <c r="AI244" s="66"/>
      <c r="AJ244" s="310"/>
      <c r="AK244" s="841">
        <v>0</v>
      </c>
      <c r="AL244" s="842"/>
      <c r="AM244" s="842">
        <v>0</v>
      </c>
      <c r="AN244" s="863">
        <v>0</v>
      </c>
      <c r="AO244" s="863">
        <v>0</v>
      </c>
      <c r="AP244" s="843"/>
      <c r="AQ244" s="843"/>
      <c r="AR244" s="843"/>
      <c r="AS244" s="843"/>
      <c r="AT244" s="843"/>
      <c r="AU244" s="843"/>
      <c r="AV244" s="844"/>
      <c r="AW244" s="208" t="str">
        <f>IFERROR(WWWW[[#This Row],['# of Water passed at source]]/WWWW[[#This Row],['# of Water tested at source]],"no test")</f>
        <v>no test</v>
      </c>
      <c r="AX244" s="211" t="str">
        <f>IFERROR(WWWW[[#This Row],['# of Water passed at HH]]/WWWW[[#This Row],['# of Water tested at HH]],"no test")</f>
        <v>no test</v>
      </c>
      <c r="AY244" s="210" t="str">
        <f>IF(AND(WWWW[[#This Row],[%of Water samples which passed at water source]]="no test",WWWW[[#This Row],[%Water samples which passed at HH]]="no test"),"No Test","Tested")</f>
        <v>No Test</v>
      </c>
      <c r="AZ24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4" s="211">
        <f>IF(WWWW[[#This Row],[Location Type 1]]="Village",WWWW[[#This Row],[Access to safe drinking water for Village]],WWWW[[#This Row],[Access to safe drinking water for Camp]])</f>
        <v>0</v>
      </c>
      <c r="BC244" s="209">
        <f>WWWW[[#This Row],[%Equitable and continuous access to sufficient quantity of safe drinking water]]*WWWW[[#This Row],[Total PoP ]]</f>
        <v>0</v>
      </c>
      <c r="BD244" s="211">
        <f>IF((WWWW[[#This Row],['# Existing protected/fenced ponds ]]*250)/WWWW[[#This Row],[Total PoP ]]&gt;1,1,WWWW[[#This Row],['# Existing protected/fenced ponds ]]*250/WWWW[[#This Row],[Total PoP ]])</f>
        <v>0</v>
      </c>
      <c r="BE244" s="209">
        <f>WWWW[[#This Row],[Access to unimproved water points]]*WWWW[[#This Row],[Total PoP ]]</f>
        <v>0</v>
      </c>
      <c r="BF24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4" s="209">
        <f>ROUND(WWWW[[#This Row],['#people Equitable and continuous access to sufficient quantity of domestic water borehole n ponds_2]]/500,0)</f>
        <v>0</v>
      </c>
      <c r="BI244" s="208">
        <f>1-WWWW[[#This Row],[%Equitable and continuous access to sufficient quantity of domestic water borehole n ponds]]</f>
        <v>1</v>
      </c>
      <c r="BJ244" s="209">
        <f>WWWW[[#This Row],[%equitable and continuous access to sufficient quantity of safe drinking and domestic water''s GAP]]*WWWW[[#This Row],[Total PoP ]]</f>
        <v>825</v>
      </c>
      <c r="BK244" s="210">
        <f>IF(WWWW[[#This Row],[Total required water points]]-WWWW[[#This Row],['#Water points coverage]]&lt;0,0,WWWW[[#This Row],[Total required water points]]-WWWW[[#This Row],['#Water points coverage]])</f>
        <v>2</v>
      </c>
      <c r="BL244" s="210">
        <f>ROUND(IF(WWWW[[#This Row],[Total PoP ]]&lt;500,1,WWWW[[#This Row],[Total PoP ]]/500),0)</f>
        <v>2</v>
      </c>
      <c r="BM244" s="210">
        <f>WWWW[[#This Row],['# Existing functional latrines]]+WWWW[[#This Row],['# Existing latrines dysfunctional]]</f>
        <v>4</v>
      </c>
      <c r="BN24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2.9090909090909091E-2</v>
      </c>
      <c r="BO244" s="352">
        <f>WWWW[[#This Row],[% people access to functioning Latrine]]*WWWW[[#This Row],[Total PoP ]]</f>
        <v>24</v>
      </c>
      <c r="BP24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0.97454545454545449</v>
      </c>
      <c r="BQ244" s="209">
        <f>IF(WWWW[[#This Row],[Total required Latrines]]-WWWW[[#This Row],[Total '# of latrine]]&lt;0,0,WWWW[[#This Row],[Total required Latrines]]-WWWW[[#This Row],[Total '# of latrine]])</f>
        <v>134</v>
      </c>
      <c r="BR244" s="210">
        <f>ROUND(IF(WWWW[[#This Row],[Location Type 1]]="camp",WWWW[[#This Row],[Total PoP ]]/20,WWWW[[#This Row],[Total PoP ]]/6),0)</f>
        <v>138</v>
      </c>
      <c r="BS244" s="212">
        <f>IF(OR(WWWW[[#This Row],['# Existing latrines dysfunctional]]="",WWWW[[#This Row],['# Existing latrines dysfunctional]]=0),0,WWWW[[#This Row],['# Existing latrines dysfunctional]]/WWWW[[#This Row],[Total '# of latrine]])</f>
        <v>0</v>
      </c>
      <c r="BT24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4" s="209">
        <f>IF(500*WWWW[[#This Row],['# Hygiene Promoters ]]&gt;WWWW[[#This Row],[Total PoP ]],WWWW[[#This Row],[Total PoP ]],500*WWWW[[#This Row],['# Hygiene Promoters ]])</f>
        <v>0</v>
      </c>
      <c r="BV244" s="209">
        <f>IF(WWWW[[#This Row],[% of HH with access to Sanitary Pad]]&gt;=100%,1,0)</f>
        <v>0</v>
      </c>
      <c r="BW244" s="209">
        <f>IF(WWWW[[#This Row],[Total PoP ]]=0,0,IF(WWWW[[#This Row],['# Hygiene Promoters ]]=0,0,IF(WWWW[[#This Row],[Location Type 1]]="Village",IF(WWWW[[#This Row],[Total PoP ]]/WWWW[[#This Row],['# Hygiene Promoters ]]&lt;1000,1,0),IF(WWWW[[#This Row],[Total PoP ]]/WWWW[[#This Row],['# Hygiene Promoters ]]&lt;600,1,0))))</f>
        <v>0</v>
      </c>
      <c r="BX244" s="209">
        <f>IF(WWWW[[#This Row],[%HH with access to soap]]&gt;=100%,1,0)</f>
        <v>0</v>
      </c>
      <c r="BY244" s="209">
        <f>IF(WWWW[[#This Row],[% of HHs with access to Sanitary pad more than '#%]]+WWWW[[#This Row],[Ratio of Hyiene promoters to people less than '#]]+WWWW[[#This Row],[% of HHs with access to soap more than '#%]]&gt;=2,WWWW[[#This Row],[Total PoP ]],0)</f>
        <v>0</v>
      </c>
      <c r="BZ244" s="208">
        <f>WWWW[[#This Row],[People adopt basic personal and community hygiene practices]]/WWWW[[#This Row],[Total PoP ]]</f>
        <v>0</v>
      </c>
      <c r="CA244" s="212">
        <f>1-WWWW[[#This Row],[Hygiene Coverage%]]</f>
        <v>1</v>
      </c>
      <c r="CB244" s="211">
        <f>WWWW[[#This Row],['# people reached by regular dedicated hygiene promotion_5]]/WWWW[[#This Row],[Total PoP ]]</f>
        <v>0</v>
      </c>
      <c r="CC244" s="211">
        <f>IF(WWWW[[#This Row],['# HH received soaps]]/WWWW[[#This Row],[Total HH]]&gt;1,1,WWWW[[#This Row],['# HH received soaps]]/WWWW[[#This Row],[Total HH]])</f>
        <v>0</v>
      </c>
      <c r="CD244" s="211">
        <f>IF(WWWW[[#This Row],['# HH received Sanitary Pads]]/WWWW[[#This Row],[Total HH]]&gt;1,1,WWWW[[#This Row],['# HH received Sanitary Pads]]/WWWW[[#This Row],[Total HH]])</f>
        <v>0</v>
      </c>
      <c r="CE244" s="210">
        <f>WWWW[[#This Row],['# HH received soaps]]*5</f>
        <v>0</v>
      </c>
      <c r="CF244" s="210">
        <f>WWWW[[#This Row],['# HH received Sanitary Pads]]*5</f>
        <v>0</v>
      </c>
      <c r="CG244" s="210">
        <f>IF(WWWW[[#This Row],['# People with access to soap]]&gt;WWWW[[#This Row],['# People with access to Sanity Pads]],WWWW[[#This Row],['# People with access to soap]],WWWW[[#This Row],['# People with access to Sanity Pads]])</f>
        <v>0</v>
      </c>
      <c r="CH244" s="209">
        <f>WWWW[[#This Row],[Total HH]]*WWWW[[#This Row],[%HHs with access to functional hand washing stations]]</f>
        <v>0</v>
      </c>
      <c r="CI244" s="699">
        <f>VLOOKUP(WWWW[[#This Row],[Site Name]],SiteDB6[[Site Name]:[CCCM Management]],6,FALSE)</f>
        <v>0</v>
      </c>
      <c r="CJ244" s="699">
        <f>VLOOKUP(WWWW[[#This Row],[Site Name]],SiteDB6[[Site Name]:[CCCM Focal Agency]],7,FALSE)</f>
        <v>0</v>
      </c>
      <c r="CK244" s="699" t="str">
        <f>VLOOKUP(WWWW[[#This Row],[Site Name]],SiteDB6[[Site Name]:[Location Type]],8,FALSE)</f>
        <v>Village_Not HRP</v>
      </c>
      <c r="CL244" s="699" t="str">
        <f>VLOOKUP(WWWW[[#This Row],[Site Name]],SiteDB6[[Site Name]:[Location Type 1]],9,FALSE)</f>
        <v>Village</v>
      </c>
      <c r="CM244" s="699" t="str">
        <f>VLOOKUP(WWWW[[#This Row],[Site Name]],SiteDB6[[Site Name]:[Type of Accommodation]],10,FALSE)</f>
        <v>Village_Not HRP</v>
      </c>
      <c r="CN244" s="699" t="str">
        <f>VLOOKUP(WWWW[[#This Row],[Site Name]],SiteDB6[[Site Name]:[Ethnic or GCA/NGCA]],11,FALSE)</f>
        <v>Rakhine</v>
      </c>
      <c r="CO244" s="699">
        <f>VLOOKUP(WWWW[[#This Row],[Site Name]],SiteDB6[[Site Name]:[Lat]],12,FALSE)</f>
        <v>20.894269943237301</v>
      </c>
      <c r="CP244" s="699">
        <f>VLOOKUP(WWWW[[#This Row],[Site Name]],SiteDB6[[Site Name]:[Long]],13,FALSE)</f>
        <v>92.920730590820298</v>
      </c>
      <c r="CQ244" s="699">
        <f>VLOOKUP(WWWW[[#This Row],[Site Name]],SiteDB6[[Site Name]:[Pcode]],3,FALSE)</f>
        <v>196814</v>
      </c>
      <c r="CR244" s="660" t="str">
        <f t="shared" ref="CR244:CR275" si="5">IF(B244="none","Notcovered","Covered")</f>
        <v>Covered</v>
      </c>
      <c r="CS244" s="699" t="s">
        <v>2738</v>
      </c>
      <c r="CT244" s="24"/>
      <c r="CU244" s="24"/>
      <c r="CV244" s="24"/>
    </row>
    <row r="245" spans="1:100" ht="15.75" customHeight="1" x14ac:dyDescent="0.25">
      <c r="A245" s="833" t="s">
        <v>3206</v>
      </c>
      <c r="B245" s="206" t="s">
        <v>479</v>
      </c>
      <c r="C245" s="206" t="s">
        <v>454</v>
      </c>
      <c r="D245" s="206" t="s">
        <v>463</v>
      </c>
      <c r="E245" s="206" t="s">
        <v>3222</v>
      </c>
      <c r="F245" s="206">
        <v>131</v>
      </c>
      <c r="G245" s="209">
        <v>667</v>
      </c>
      <c r="H245" s="206"/>
      <c r="I245" s="206" t="s">
        <v>449</v>
      </c>
      <c r="J245" s="207">
        <v>43738</v>
      </c>
      <c r="K245" s="206">
        <v>30</v>
      </c>
      <c r="L245" s="206" t="s">
        <v>2454</v>
      </c>
      <c r="M245" s="208">
        <v>0</v>
      </c>
      <c r="N245" s="208">
        <v>0</v>
      </c>
      <c r="O245" s="323">
        <v>0</v>
      </c>
      <c r="P245" s="317">
        <v>0</v>
      </c>
      <c r="Q245" s="317">
        <v>0</v>
      </c>
      <c r="R245" s="318">
        <v>0</v>
      </c>
      <c r="S245" s="318"/>
      <c r="T245" s="318"/>
      <c r="U245" s="318"/>
      <c r="V245" s="318"/>
      <c r="W245" s="318"/>
      <c r="X245" s="318"/>
      <c r="Y245" s="318"/>
      <c r="Z245" s="318"/>
      <c r="AA245" s="310"/>
      <c r="AB245" s="311"/>
      <c r="AC245" s="66"/>
      <c r="AD245" s="66"/>
      <c r="AE245" s="310"/>
      <c r="AF245" s="310" t="s">
        <v>286</v>
      </c>
      <c r="AG245" s="311" t="s">
        <v>286</v>
      </c>
      <c r="AH245" s="66"/>
      <c r="AI245" s="66"/>
      <c r="AJ245" s="311"/>
      <c r="AK245" s="841">
        <v>0</v>
      </c>
      <c r="AL245" s="846"/>
      <c r="AM245" s="844">
        <v>0</v>
      </c>
      <c r="AN245" s="863">
        <v>0</v>
      </c>
      <c r="AO245" s="863"/>
      <c r="AP245" s="843"/>
      <c r="AQ245" s="843"/>
      <c r="AR245" s="843"/>
      <c r="AS245" s="843"/>
      <c r="AT245" s="843"/>
      <c r="AU245" s="843"/>
      <c r="AV245" s="844"/>
      <c r="AW245" s="208" t="str">
        <f>IFERROR(WWWW[[#This Row],['# of Water passed at source]]/WWWW[[#This Row],['# of Water tested at source]],"no test")</f>
        <v>no test</v>
      </c>
      <c r="AX245" s="211" t="str">
        <f>IFERROR(WWWW[[#This Row],['# of Water passed at HH]]/WWWW[[#This Row],['# of Water tested at HH]],"no test")</f>
        <v>no test</v>
      </c>
      <c r="AY245" s="210" t="str">
        <f>IF(AND(WWWW[[#This Row],[%of Water samples which passed at water source]]="no test",WWWW[[#This Row],[%Water samples which passed at HH]]="no test"),"No Test","Tested")</f>
        <v>No Test</v>
      </c>
      <c r="AZ24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5" s="211">
        <f>IF(WWWW[[#This Row],[Location Type 1]]="Village",WWWW[[#This Row],[Access to safe drinking water for Village]],WWWW[[#This Row],[Access to safe drinking water for Camp]])</f>
        <v>0</v>
      </c>
      <c r="BC245" s="209">
        <f>WWWW[[#This Row],[%Equitable and continuous access to sufficient quantity of safe drinking water]]*WWWW[[#This Row],[Total PoP ]]</f>
        <v>0</v>
      </c>
      <c r="BD245" s="211">
        <f>IF((WWWW[[#This Row],['# Existing protected/fenced ponds ]]*250)/WWWW[[#This Row],[Total PoP ]]&gt;1,1,WWWW[[#This Row],['# Existing protected/fenced ponds ]]*250/WWWW[[#This Row],[Total PoP ]])</f>
        <v>0</v>
      </c>
      <c r="BE245" s="209">
        <f>WWWW[[#This Row],[Access to unimproved water points]]*WWWW[[#This Row],[Total PoP ]]</f>
        <v>0</v>
      </c>
      <c r="BF24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5" s="209">
        <f>WWWW[[#This Row],['#people Equitable and continuous access to sufficient quantity of domestic water borehole n ponds_2]]/500</f>
        <v>0</v>
      </c>
      <c r="BI245" s="208">
        <f>1-WWWW[[#This Row],[%Equitable and continuous access to sufficient quantity of domestic water borehole n ponds]]</f>
        <v>1</v>
      </c>
      <c r="BJ245" s="209">
        <f>WWWW[[#This Row],[%equitable and continuous access to sufficient quantity of safe drinking and domestic water''s GAP]]*WWWW[[#This Row],[Total PoP ]]</f>
        <v>667</v>
      </c>
      <c r="BK245" s="210">
        <f>IF(WWWW[[#This Row],[Total required water points]]-WWWW[[#This Row],['#Water points coverage]]&lt;0,0,WWWW[[#This Row],[Total required water points]]-WWWW[[#This Row],['#Water points coverage]])</f>
        <v>1</v>
      </c>
      <c r="BL245" s="210">
        <f>ROUND(IF(WWWW[[#This Row],[Total PoP ]]&lt;500,1,WWWW[[#This Row],[Total PoP ]]/500),0)</f>
        <v>1</v>
      </c>
      <c r="BM245" s="210">
        <f>WWWW[[#This Row],['# Existing functional latrines]]+WWWW[[#This Row],['# Existing latrines dysfunctional]]</f>
        <v>0</v>
      </c>
      <c r="BN24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45" s="352">
        <f>WWWW[[#This Row],[% people access to functioning Latrine]]*WWWW[[#This Row],[Total PoP ]]</f>
        <v>0</v>
      </c>
      <c r="BP24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0.99850074962518731</v>
      </c>
      <c r="BQ245" s="209">
        <f>IF(WWWW[[#This Row],[Total required Latrines]]-WWWW[[#This Row],[Total '# of latrine]]&lt;0,0,WWWW[[#This Row],[Total required Latrines]]-WWWW[[#This Row],[Total '# of latrine]])</f>
        <v>111</v>
      </c>
      <c r="BR245" s="210">
        <f>ROUND(IF(WWWW[[#This Row],[Location Type 1]]="camp",WWWW[[#This Row],[Total PoP ]]/20,WWWW[[#This Row],[Total PoP ]]/6),0)</f>
        <v>111</v>
      </c>
      <c r="BS245" s="212">
        <f>IF(OR(WWWW[[#This Row],['# Existing latrines dysfunctional]]="",WWWW[[#This Row],['# Existing latrines dysfunctional]]=0),0,WWWW[[#This Row],['# Existing latrines dysfunctional]]/WWWW[[#This Row],[Total '# of latrine]])</f>
        <v>0</v>
      </c>
      <c r="BT24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5" s="209">
        <f>IF(500*WWWW[[#This Row],['# Hygiene Promoters ]]&gt;WWWW[[#This Row],[Total PoP ]],WWWW[[#This Row],[Total PoP ]],500*WWWW[[#This Row],['# Hygiene Promoters ]])</f>
        <v>0</v>
      </c>
      <c r="BV245" s="209">
        <f>IF(WWWW[[#This Row],[% of HH with access to Sanitary Pad]]&gt;=100%,1,0)</f>
        <v>0</v>
      </c>
      <c r="BW245" s="209">
        <f>IF(WWWW[[#This Row],[Total PoP ]]=0,0,IF(WWWW[[#This Row],['# Hygiene Promoters ]]=0,0,IF(WWWW[[#This Row],[Location Type 1]]="Village",IF(WWWW[[#This Row],[Total PoP ]]/WWWW[[#This Row],['# Hygiene Promoters ]]&lt;1000,1,0),IF(WWWW[[#This Row],[Total PoP ]]/WWWW[[#This Row],['# Hygiene Promoters ]]&lt;600,1,0))))</f>
        <v>0</v>
      </c>
      <c r="BX245" s="209">
        <f>IF(WWWW[[#This Row],[%HH with access to soap]]&gt;=100%,1,0)</f>
        <v>0</v>
      </c>
      <c r="BY245" s="209">
        <f>IF(WWWW[[#This Row],[% of HHs with access to Sanitary pad more than '#%]]+WWWW[[#This Row],[Ratio of Hyiene promoters to people less than '#]]+WWWW[[#This Row],[% of HHs with access to soap more than '#%]]&gt;=2,WWWW[[#This Row],[Total PoP ]],0)</f>
        <v>0</v>
      </c>
      <c r="BZ245" s="208">
        <f>WWWW[[#This Row],[People adopt basic personal and community hygiene practices]]/WWWW[[#This Row],[Total PoP ]]</f>
        <v>0</v>
      </c>
      <c r="CA245" s="212">
        <f>1-WWWW[[#This Row],[Hygiene Coverage%]]</f>
        <v>1</v>
      </c>
      <c r="CB245" s="211">
        <f>WWWW[[#This Row],['# people reached by regular dedicated hygiene promotion_5]]/WWWW[[#This Row],[Total PoP ]]</f>
        <v>0</v>
      </c>
      <c r="CC245" s="211">
        <f>IF(WWWW[[#This Row],['# HH received soaps]]/WWWW[[#This Row],[Total HH]]&gt;1,1,WWWW[[#This Row],['# HH received soaps]]/WWWW[[#This Row],[Total HH]])</f>
        <v>0</v>
      </c>
      <c r="CD245" s="211">
        <f>IF(WWWW[[#This Row],['# HH received Sanitary Pads]]/WWWW[[#This Row],[Total HH]]&gt;1,1,WWWW[[#This Row],['# HH received Sanitary Pads]]/WWWW[[#This Row],[Total HH]])</f>
        <v>0</v>
      </c>
      <c r="CE245" s="210">
        <f>WWWW[[#This Row],['# HH received soaps]]*5</f>
        <v>0</v>
      </c>
      <c r="CF245" s="210">
        <f>WWWW[[#This Row],['# HH received Sanitary Pads]]*5</f>
        <v>0</v>
      </c>
      <c r="CG245" s="210">
        <f>IF(WWWW[[#This Row],['# People with access to soap]]&gt;WWWW[[#This Row],['# People with access to Sanity Pads]],WWWW[[#This Row],['# People with access to soap]],WWWW[[#This Row],['# People with access to Sanity Pads]])</f>
        <v>0</v>
      </c>
      <c r="CH245" s="209">
        <f>WWWW[[#This Row],[Total HH]]*WWWW[[#This Row],[%HHs with access to functional hand washing stations]]</f>
        <v>0</v>
      </c>
      <c r="CI245" s="699">
        <f>VLOOKUP(WWWW[[#This Row],[Site Name]],SiteDB6[[Site Name]:[CCCM Management]],6,FALSE)</f>
        <v>0</v>
      </c>
      <c r="CJ245" s="699">
        <f>VLOOKUP(WWWW[[#This Row],[Site Name]],SiteDB6[[Site Name]:[CCCM Focal Agency]],7,FALSE)</f>
        <v>0</v>
      </c>
      <c r="CK245" s="699" t="str">
        <f>VLOOKUP(WWWW[[#This Row],[Site Name]],SiteDB6[[Site Name]:[Location Type]],8,FALSE)</f>
        <v>Village</v>
      </c>
      <c r="CL245" s="699" t="str">
        <f>VLOOKUP(WWWW[[#This Row],[Site Name]],SiteDB6[[Site Name]:[Location Type 1]],9,FALSE)</f>
        <v>Village</v>
      </c>
      <c r="CM245" s="699" t="str">
        <f>VLOOKUP(WWWW[[#This Row],[Site Name]],SiteDB6[[Site Name]:[Type of Accommodation]],10,FALSE)</f>
        <v>Village</v>
      </c>
      <c r="CN245" s="699">
        <f>VLOOKUP(WWWW[[#This Row],[Site Name]],SiteDB6[[Site Name]:[Ethnic or GCA/NGCA]],11,FALSE)</f>
        <v>0</v>
      </c>
      <c r="CO245" s="699">
        <f>VLOOKUP(WWWW[[#This Row],[Site Name]],SiteDB6[[Site Name]:[Lat]],12,FALSE)</f>
        <v>20.8892498016357</v>
      </c>
      <c r="CP245" s="699">
        <f>VLOOKUP(WWWW[[#This Row],[Site Name]],SiteDB6[[Site Name]:[Long]],13,FALSE)</f>
        <v>92.939201354980497</v>
      </c>
      <c r="CQ245" s="699">
        <f>VLOOKUP(WWWW[[#This Row],[Site Name]],SiteDB6[[Site Name]:[Pcode]],3,FALSE)</f>
        <v>0</v>
      </c>
      <c r="CR245" s="660" t="str">
        <f t="shared" si="5"/>
        <v>Covered</v>
      </c>
      <c r="CS245" s="699"/>
      <c r="CT245" s="24"/>
      <c r="CU245" s="24"/>
      <c r="CV245" s="24"/>
    </row>
    <row r="246" spans="1:100" ht="15.75" customHeight="1" x14ac:dyDescent="0.25">
      <c r="A246" s="833" t="s">
        <v>3206</v>
      </c>
      <c r="B246" s="206" t="s">
        <v>479</v>
      </c>
      <c r="C246" s="206" t="s">
        <v>454</v>
      </c>
      <c r="D246" s="206" t="s">
        <v>463</v>
      </c>
      <c r="E246" s="206" t="s">
        <v>862</v>
      </c>
      <c r="F246" s="206">
        <v>138</v>
      </c>
      <c r="G246" s="209">
        <v>609</v>
      </c>
      <c r="H246" s="206"/>
      <c r="I246" s="206" t="s">
        <v>495</v>
      </c>
      <c r="J246" s="207">
        <v>43616</v>
      </c>
      <c r="K246" s="206">
        <v>0</v>
      </c>
      <c r="L246" s="206" t="s">
        <v>2454</v>
      </c>
      <c r="M246" s="208">
        <v>0</v>
      </c>
      <c r="N246" s="208">
        <v>0</v>
      </c>
      <c r="O246" s="323">
        <v>0</v>
      </c>
      <c r="P246" s="317">
        <v>0</v>
      </c>
      <c r="Q246" s="317">
        <v>0</v>
      </c>
      <c r="R246" s="318">
        <v>0</v>
      </c>
      <c r="S246" s="318">
        <v>0</v>
      </c>
      <c r="T246" s="318"/>
      <c r="U246" s="318"/>
      <c r="V246" s="318"/>
      <c r="W246" s="318"/>
      <c r="X246" s="318"/>
      <c r="Y246" s="318"/>
      <c r="Z246" s="318"/>
      <c r="AA246" s="310">
        <v>18</v>
      </c>
      <c r="AB246" s="310">
        <v>0</v>
      </c>
      <c r="AC246" s="66"/>
      <c r="AD246" s="66"/>
      <c r="AE246" s="310">
        <v>0</v>
      </c>
      <c r="AF246" s="310" t="s">
        <v>332</v>
      </c>
      <c r="AG246" s="311" t="s">
        <v>332</v>
      </c>
      <c r="AH246" s="311"/>
      <c r="AI246" s="310"/>
      <c r="AJ246" s="310"/>
      <c r="AK246" s="841">
        <v>0</v>
      </c>
      <c r="AL246" s="842"/>
      <c r="AM246" s="842">
        <v>0</v>
      </c>
      <c r="AN246" s="863">
        <v>0</v>
      </c>
      <c r="AO246" s="863">
        <v>0</v>
      </c>
      <c r="AP246" s="843"/>
      <c r="AQ246" s="843"/>
      <c r="AR246" s="843"/>
      <c r="AS246" s="843"/>
      <c r="AT246" s="843"/>
      <c r="AU246" s="843"/>
      <c r="AV246" s="844"/>
      <c r="AW246" s="208" t="str">
        <f>IFERROR(WWWW[[#This Row],['# of Water passed at source]]/WWWW[[#This Row],['# of Water tested at source]],"no test")</f>
        <v>no test</v>
      </c>
      <c r="AX246" s="211" t="str">
        <f>IFERROR(WWWW[[#This Row],['# of Water passed at HH]]/WWWW[[#This Row],['# of Water tested at HH]],"no test")</f>
        <v>no test</v>
      </c>
      <c r="AY246" s="210" t="str">
        <f>IF(AND(WWWW[[#This Row],[%of Water samples which passed at water source]]="no test",WWWW[[#This Row],[%Water samples which passed at HH]]="no test"),"No Test","Tested")</f>
        <v>No Test</v>
      </c>
      <c r="AZ24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6" s="211">
        <f>IF(WWWW[[#This Row],[Location Type 1]]="Village",WWWW[[#This Row],[Access to safe drinking water for Village]],WWWW[[#This Row],[Access to safe drinking water for Camp]])</f>
        <v>0</v>
      </c>
      <c r="BC246" s="209">
        <f>WWWW[[#This Row],[%Equitable and continuous access to sufficient quantity of safe drinking water]]*WWWW[[#This Row],[Total PoP ]]</f>
        <v>0</v>
      </c>
      <c r="BD246" s="211">
        <f>IF((WWWW[[#This Row],['# Existing protected/fenced ponds ]]*250)/WWWW[[#This Row],[Total PoP ]]&gt;1,1,WWWW[[#This Row],['# Existing protected/fenced ponds ]]*250/WWWW[[#This Row],[Total PoP ]])</f>
        <v>0</v>
      </c>
      <c r="BE246" s="209">
        <f>WWWW[[#This Row],[Access to unimproved water points]]*WWWW[[#This Row],[Total PoP ]]</f>
        <v>0</v>
      </c>
      <c r="BF24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6" s="209">
        <f>ROUND(WWWW[[#This Row],['#people Equitable and continuous access to sufficient quantity of domestic water borehole n ponds_2]]/500,0)</f>
        <v>0</v>
      </c>
      <c r="BI246" s="208">
        <f>1-WWWW[[#This Row],[%Equitable and continuous access to sufficient quantity of domestic water borehole n ponds]]</f>
        <v>1</v>
      </c>
      <c r="BJ246" s="209">
        <f>WWWW[[#This Row],[%equitable and continuous access to sufficient quantity of safe drinking and domestic water''s GAP]]*WWWW[[#This Row],[Total PoP ]]</f>
        <v>609</v>
      </c>
      <c r="BK246" s="210">
        <f>IF(WWWW[[#This Row],[Total required water points]]-WWWW[[#This Row],['#Water points coverage]]&lt;0,0,WWWW[[#This Row],[Total required water points]]-WWWW[[#This Row],['#Water points coverage]])</f>
        <v>1</v>
      </c>
      <c r="BL246" s="210">
        <f>ROUND(IF(WWWW[[#This Row],[Total PoP ]]&lt;500,1,WWWW[[#This Row],[Total PoP ]]/500),0)</f>
        <v>1</v>
      </c>
      <c r="BM246" s="210">
        <f>WWWW[[#This Row],['# Existing functional latrines]]+WWWW[[#This Row],['# Existing latrines dysfunctional]]</f>
        <v>18</v>
      </c>
      <c r="BN24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0.17733990147783252</v>
      </c>
      <c r="BO246" s="352">
        <f>WWWW[[#This Row],[% people access to functioning Latrine]]*WWWW[[#This Row],[Total PoP ]]</f>
        <v>108</v>
      </c>
      <c r="BP24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0.82758620689655171</v>
      </c>
      <c r="BQ246" s="209">
        <f>IF(WWWW[[#This Row],[Total required Latrines]]-WWWW[[#This Row],[Total '# of latrine]]&lt;0,0,WWWW[[#This Row],[Total required Latrines]]-WWWW[[#This Row],[Total '# of latrine]])</f>
        <v>84</v>
      </c>
      <c r="BR246" s="210">
        <f>ROUND(IF(WWWW[[#This Row],[Location Type 1]]="camp",WWWW[[#This Row],[Total PoP ]]/20,WWWW[[#This Row],[Total PoP ]]/6),0)</f>
        <v>102</v>
      </c>
      <c r="BS246" s="212">
        <f>IF(OR(WWWW[[#This Row],['# Existing latrines dysfunctional]]="",WWWW[[#This Row],['# Existing latrines dysfunctional]]=0),0,WWWW[[#This Row],['# Existing latrines dysfunctional]]/WWWW[[#This Row],[Total '# of latrine]])</f>
        <v>0</v>
      </c>
      <c r="BT24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6" s="209">
        <f>IF(500*WWWW[[#This Row],['# Hygiene Promoters ]]&gt;WWWW[[#This Row],[Total PoP ]],WWWW[[#This Row],[Total PoP ]],500*WWWW[[#This Row],['# Hygiene Promoters ]])</f>
        <v>0</v>
      </c>
      <c r="BV246" s="209">
        <f>IF(WWWW[[#This Row],[% of HH with access to Sanitary Pad]]&gt;=100%,1,0)</f>
        <v>0</v>
      </c>
      <c r="BW246" s="209">
        <f>IF(WWWW[[#This Row],[Total PoP ]]=0,0,IF(WWWW[[#This Row],['# Hygiene Promoters ]]=0,0,IF(WWWW[[#This Row],[Location Type 1]]="Village",IF(WWWW[[#This Row],[Total PoP ]]/WWWW[[#This Row],['# Hygiene Promoters ]]&lt;1000,1,0),IF(WWWW[[#This Row],[Total PoP ]]/WWWW[[#This Row],['# Hygiene Promoters ]]&lt;600,1,0))))</f>
        <v>0</v>
      </c>
      <c r="BX246" s="209">
        <f>IF(WWWW[[#This Row],[%HH with access to soap]]&gt;=100%,1,0)</f>
        <v>0</v>
      </c>
      <c r="BY246" s="209">
        <f>IF(WWWW[[#This Row],[% of HHs with access to Sanitary pad more than '#%]]+WWWW[[#This Row],[Ratio of Hyiene promoters to people less than '#]]+WWWW[[#This Row],[% of HHs with access to soap more than '#%]]&gt;=2,WWWW[[#This Row],[Total PoP ]],0)</f>
        <v>0</v>
      </c>
      <c r="BZ246" s="208">
        <f>WWWW[[#This Row],[People adopt basic personal and community hygiene practices]]/WWWW[[#This Row],[Total PoP ]]</f>
        <v>0</v>
      </c>
      <c r="CA246" s="212">
        <f>1-WWWW[[#This Row],[Hygiene Coverage%]]</f>
        <v>1</v>
      </c>
      <c r="CB246" s="211">
        <f>WWWW[[#This Row],['# people reached by regular dedicated hygiene promotion_5]]/WWWW[[#This Row],[Total PoP ]]</f>
        <v>0</v>
      </c>
      <c r="CC246" s="211">
        <f>IF(WWWW[[#This Row],['# HH received soaps]]/WWWW[[#This Row],[Total HH]]&gt;1,1,WWWW[[#This Row],['# HH received soaps]]/WWWW[[#This Row],[Total HH]])</f>
        <v>0</v>
      </c>
      <c r="CD246" s="211">
        <f>IF(WWWW[[#This Row],['# HH received Sanitary Pads]]/WWWW[[#This Row],[Total HH]]&gt;1,1,WWWW[[#This Row],['# HH received Sanitary Pads]]/WWWW[[#This Row],[Total HH]])</f>
        <v>0</v>
      </c>
      <c r="CE246" s="210">
        <f>WWWW[[#This Row],['# HH received soaps]]*5</f>
        <v>0</v>
      </c>
      <c r="CF246" s="210">
        <f>WWWW[[#This Row],['# HH received Sanitary Pads]]*5</f>
        <v>0</v>
      </c>
      <c r="CG246" s="210">
        <f>IF(WWWW[[#This Row],['# People with access to soap]]&gt;WWWW[[#This Row],['# People with access to Sanity Pads]],WWWW[[#This Row],['# People with access to soap]],WWWW[[#This Row],['# People with access to Sanity Pads]])</f>
        <v>0</v>
      </c>
      <c r="CH246" s="209">
        <f>WWWW[[#This Row],[Total HH]]*WWWW[[#This Row],[%HHs with access to functional hand washing stations]]</f>
        <v>0</v>
      </c>
      <c r="CI246" s="699">
        <f>VLOOKUP(WWWW[[#This Row],[Site Name]],SiteDB6[[Site Name]:[CCCM Management]],6,FALSE)</f>
        <v>0</v>
      </c>
      <c r="CJ246" s="699">
        <f>VLOOKUP(WWWW[[#This Row],[Site Name]],SiteDB6[[Site Name]:[CCCM Focal Agency]],7,FALSE)</f>
        <v>0</v>
      </c>
      <c r="CK246" s="699" t="str">
        <f>VLOOKUP(WWWW[[#This Row],[Site Name]],SiteDB6[[Site Name]:[Location Type]],8,FALSE)</f>
        <v>Village_Not HRP</v>
      </c>
      <c r="CL246" s="699" t="str">
        <f>VLOOKUP(WWWW[[#This Row],[Site Name]],SiteDB6[[Site Name]:[Location Type 1]],9,FALSE)</f>
        <v>Village</v>
      </c>
      <c r="CM246" s="699" t="str">
        <f>VLOOKUP(WWWW[[#This Row],[Site Name]],SiteDB6[[Site Name]:[Type of Accommodation]],10,FALSE)</f>
        <v>Village_Not HRP</v>
      </c>
      <c r="CN246" s="699" t="str">
        <f>VLOOKUP(WWWW[[#This Row],[Site Name]],SiteDB6[[Site Name]:[Ethnic or GCA/NGCA]],11,FALSE)</f>
        <v>Rakhine</v>
      </c>
      <c r="CO246" s="699">
        <f>VLOOKUP(WWWW[[#This Row],[Site Name]],SiteDB6[[Site Name]:[Lat]],12,FALSE)</f>
        <v>20.677059173583999</v>
      </c>
      <c r="CP246" s="699">
        <f>VLOOKUP(WWWW[[#This Row],[Site Name]],SiteDB6[[Site Name]:[Long]],13,FALSE)</f>
        <v>92.9532470703125</v>
      </c>
      <c r="CQ246" s="699" t="str">
        <f>VLOOKUP(WWWW[[#This Row],[Site Name]],SiteDB6[[Site Name]:[Pcode]],3,FALSE)</f>
        <v>196929</v>
      </c>
      <c r="CR246" s="660" t="str">
        <f t="shared" si="5"/>
        <v>Covered</v>
      </c>
      <c r="CS246" s="699" t="s">
        <v>2738</v>
      </c>
      <c r="CT246" s="24"/>
      <c r="CU246" s="24"/>
      <c r="CV246" s="24"/>
    </row>
    <row r="247" spans="1:100" ht="15.75" customHeight="1" x14ac:dyDescent="0.25">
      <c r="A247" s="833" t="s">
        <v>3206</v>
      </c>
      <c r="B247" s="206" t="s">
        <v>460</v>
      </c>
      <c r="C247" s="206" t="s">
        <v>454</v>
      </c>
      <c r="D247" s="206" t="s">
        <v>463</v>
      </c>
      <c r="E247" s="206" t="s">
        <v>861</v>
      </c>
      <c r="F247" s="206">
        <v>118</v>
      </c>
      <c r="G247" s="209">
        <v>665</v>
      </c>
      <c r="H247" s="206"/>
      <c r="I247" s="206"/>
      <c r="J247" s="207"/>
      <c r="K247" s="206"/>
      <c r="L247" s="206" t="s">
        <v>282</v>
      </c>
      <c r="M247" s="208">
        <v>0</v>
      </c>
      <c r="N247" s="208">
        <v>0</v>
      </c>
      <c r="O247" s="316">
        <v>0</v>
      </c>
      <c r="P247" s="317">
        <v>0</v>
      </c>
      <c r="Q247" s="317"/>
      <c r="R247" s="318"/>
      <c r="S247" s="318">
        <v>1</v>
      </c>
      <c r="T247" s="318"/>
      <c r="U247" s="318"/>
      <c r="V247" s="318"/>
      <c r="W247" s="318"/>
      <c r="X247" s="318"/>
      <c r="Y247" s="318"/>
      <c r="Z247" s="318"/>
      <c r="AA247" s="310">
        <v>0</v>
      </c>
      <c r="AB247" s="310"/>
      <c r="AC247" s="66"/>
      <c r="AD247" s="66"/>
      <c r="AE247" s="310">
        <v>0</v>
      </c>
      <c r="AF247" s="310" t="s">
        <v>286</v>
      </c>
      <c r="AG247" s="311" t="s">
        <v>286</v>
      </c>
      <c r="AH247" s="311"/>
      <c r="AI247" s="310"/>
      <c r="AJ247" s="310"/>
      <c r="AK247" s="841">
        <v>0</v>
      </c>
      <c r="AL247" s="842"/>
      <c r="AM247" s="842">
        <v>0</v>
      </c>
      <c r="AN247" s="863"/>
      <c r="AO247" s="863"/>
      <c r="AP247" s="843"/>
      <c r="AQ247" s="843"/>
      <c r="AR247" s="843"/>
      <c r="AS247" s="843"/>
      <c r="AT247" s="843"/>
      <c r="AU247" s="843"/>
      <c r="AV247" s="844"/>
      <c r="AW247" s="208" t="str">
        <f>IFERROR(WWWW[[#This Row],['# of Water passed at source]]/WWWW[[#This Row],['# of Water tested at source]],"no test")</f>
        <v>no test</v>
      </c>
      <c r="AX247" s="211" t="str">
        <f>IFERROR(WWWW[[#This Row],['# of Water passed at HH]]/WWWW[[#This Row],['# of Water tested at HH]],"no test")</f>
        <v>no test</v>
      </c>
      <c r="AY247" s="210" t="str">
        <f>IF(AND(WWWW[[#This Row],[%of Water samples which passed at water source]]="no test",WWWW[[#This Row],[%Water samples which passed at HH]]="no test"),"No Test","Tested")</f>
        <v>No Test</v>
      </c>
      <c r="AZ24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7" s="211">
        <f>IF(WWWW[[#This Row],[Location Type 1]]="Village",WWWW[[#This Row],[Access to safe drinking water for Village]],WWWW[[#This Row],[Access to safe drinking water for Camp]])</f>
        <v>0</v>
      </c>
      <c r="BC247" s="209">
        <f>WWWW[[#This Row],[%Equitable and continuous access to sufficient quantity of safe drinking water]]*WWWW[[#This Row],[Total PoP ]]</f>
        <v>0</v>
      </c>
      <c r="BD247" s="211">
        <f>IF((WWWW[[#This Row],['# Existing protected/fenced ponds ]]*250)/WWWW[[#This Row],[Total PoP ]]&gt;1,1,WWWW[[#This Row],['# Existing protected/fenced ponds ]]*250/WWWW[[#This Row],[Total PoP ]])</f>
        <v>0</v>
      </c>
      <c r="BE247" s="209">
        <f>WWWW[[#This Row],[Access to unimproved water points]]*WWWW[[#This Row],[Total PoP ]]</f>
        <v>0</v>
      </c>
      <c r="BF24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7" s="209">
        <f>ROUND(WWWW[[#This Row],['#people Equitable and continuous access to sufficient quantity of domestic water borehole n ponds_2]]/500,0)</f>
        <v>0</v>
      </c>
      <c r="BI247" s="208">
        <f>1-WWWW[[#This Row],[%Equitable and continuous access to sufficient quantity of domestic water borehole n ponds]]</f>
        <v>1</v>
      </c>
      <c r="BJ247" s="209">
        <f>WWWW[[#This Row],[%equitable and continuous access to sufficient quantity of safe drinking and domestic water''s GAP]]*WWWW[[#This Row],[Total PoP ]]</f>
        <v>665</v>
      </c>
      <c r="BK247" s="210">
        <f>IF(WWWW[[#This Row],[Total required water points]]-WWWW[[#This Row],['#Water points coverage]]&lt;0,0,WWWW[[#This Row],[Total required water points]]-WWWW[[#This Row],['#Water points coverage]])</f>
        <v>1</v>
      </c>
      <c r="BL247" s="210">
        <f>ROUND(IF(WWWW[[#This Row],[Total PoP ]]&lt;500,1,WWWW[[#This Row],[Total PoP ]]/500),0)</f>
        <v>1</v>
      </c>
      <c r="BM247" s="210">
        <f>WWWW[[#This Row],['# Existing functional latrines]]+WWWW[[#This Row],['# Existing latrines dysfunctional]]</f>
        <v>0</v>
      </c>
      <c r="BN24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47" s="352">
        <f>WWWW[[#This Row],[% people access to functioning Latrine]]*WWWW[[#This Row],[Total PoP ]]</f>
        <v>0</v>
      </c>
      <c r="BP24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47" s="209">
        <f>IF(WWWW[[#This Row],[Total required Latrines]]-WWWW[[#This Row],[Total '# of latrine]]&lt;0,0,WWWW[[#This Row],[Total required Latrines]]-WWWW[[#This Row],[Total '# of latrine]])</f>
        <v>111</v>
      </c>
      <c r="BR247" s="210">
        <f>ROUND(IF(WWWW[[#This Row],[Location Type 1]]="camp",WWWW[[#This Row],[Total PoP ]]/20,WWWW[[#This Row],[Total PoP ]]/6),0)</f>
        <v>111</v>
      </c>
      <c r="BS247" s="212">
        <f>IF(OR(WWWW[[#This Row],['# Existing latrines dysfunctional]]="",WWWW[[#This Row],['# Existing latrines dysfunctional]]=0),0,WWWW[[#This Row],['# Existing latrines dysfunctional]]/WWWW[[#This Row],[Total '# of latrine]])</f>
        <v>0</v>
      </c>
      <c r="BT24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7" s="209">
        <f>IF(500*WWWW[[#This Row],['# Hygiene Promoters ]]&gt;WWWW[[#This Row],[Total PoP ]],WWWW[[#This Row],[Total PoP ]],500*WWWW[[#This Row],['# Hygiene Promoters ]])</f>
        <v>0</v>
      </c>
      <c r="BV247" s="209">
        <f>IF(WWWW[[#This Row],[% of HH with access to Sanitary Pad]]&gt;=100%,1,0)</f>
        <v>0</v>
      </c>
      <c r="BW247" s="209">
        <f>IF(WWWW[[#This Row],[Total PoP ]]=0,0,IF(WWWW[[#This Row],['# Hygiene Promoters ]]=0,0,IF(WWWW[[#This Row],[Location Type 1]]="Village",IF(WWWW[[#This Row],[Total PoP ]]/WWWW[[#This Row],['# Hygiene Promoters ]]&lt;1000,1,0),IF(WWWW[[#This Row],[Total PoP ]]/WWWW[[#This Row],['# Hygiene Promoters ]]&lt;600,1,0))))</f>
        <v>0</v>
      </c>
      <c r="BX247" s="209">
        <f>IF(WWWW[[#This Row],[%HH with access to soap]]&gt;=100%,1,0)</f>
        <v>0</v>
      </c>
      <c r="BY247" s="209">
        <f>IF(WWWW[[#This Row],[% of HHs with access to Sanitary pad more than '#%]]+WWWW[[#This Row],[Ratio of Hyiene promoters to people less than '#]]+WWWW[[#This Row],[% of HHs with access to soap more than '#%]]&gt;=2,WWWW[[#This Row],[Total PoP ]],0)</f>
        <v>0</v>
      </c>
      <c r="BZ247" s="208">
        <f>WWWW[[#This Row],[People adopt basic personal and community hygiene practices]]/WWWW[[#This Row],[Total PoP ]]</f>
        <v>0</v>
      </c>
      <c r="CA247" s="212">
        <f>1-WWWW[[#This Row],[Hygiene Coverage%]]</f>
        <v>1</v>
      </c>
      <c r="CB247" s="211">
        <f>WWWW[[#This Row],['# people reached by regular dedicated hygiene promotion_5]]/WWWW[[#This Row],[Total PoP ]]</f>
        <v>0</v>
      </c>
      <c r="CC247" s="211">
        <f>IF(WWWW[[#This Row],['# HH received soaps]]/WWWW[[#This Row],[Total HH]]&gt;1,1,WWWW[[#This Row],['# HH received soaps]]/WWWW[[#This Row],[Total HH]])</f>
        <v>0</v>
      </c>
      <c r="CD247" s="211">
        <f>IF(WWWW[[#This Row],['# HH received Sanitary Pads]]/WWWW[[#This Row],[Total HH]]&gt;1,1,WWWW[[#This Row],['# HH received Sanitary Pads]]/WWWW[[#This Row],[Total HH]])</f>
        <v>0</v>
      </c>
      <c r="CE247" s="210">
        <f>WWWW[[#This Row],['# HH received soaps]]*5</f>
        <v>0</v>
      </c>
      <c r="CF247" s="210">
        <f>WWWW[[#This Row],['# HH received Sanitary Pads]]*5</f>
        <v>0</v>
      </c>
      <c r="CG247" s="210">
        <f>IF(WWWW[[#This Row],['# People with access to soap]]&gt;WWWW[[#This Row],['# People with access to Sanity Pads]],WWWW[[#This Row],['# People with access to soap]],WWWW[[#This Row],['# People with access to Sanity Pads]])</f>
        <v>0</v>
      </c>
      <c r="CH247" s="209">
        <f>WWWW[[#This Row],[Total HH]]*WWWW[[#This Row],[%HHs with access to functional hand washing stations]]</f>
        <v>0</v>
      </c>
      <c r="CI247" s="699">
        <f>VLOOKUP(WWWW[[#This Row],[Site Name]],SiteDB6[[Site Name]:[CCCM Management]],6,FALSE)</f>
        <v>0</v>
      </c>
      <c r="CJ247" s="699">
        <f>VLOOKUP(WWWW[[#This Row],[Site Name]],SiteDB6[[Site Name]:[CCCM Focal Agency]],7,FALSE)</f>
        <v>0</v>
      </c>
      <c r="CK247" s="699" t="str">
        <f>VLOOKUP(WWWW[[#This Row],[Site Name]],SiteDB6[[Site Name]:[Location Type]],8,FALSE)</f>
        <v>Village</v>
      </c>
      <c r="CL247" s="699" t="str">
        <f>VLOOKUP(WWWW[[#This Row],[Site Name]],SiteDB6[[Site Name]:[Location Type 1]],9,FALSE)</f>
        <v>Village</v>
      </c>
      <c r="CM247" s="699" t="str">
        <f>VLOOKUP(WWWW[[#This Row],[Site Name]],SiteDB6[[Site Name]:[Type of Accommodation]],10,FALSE)</f>
        <v>Village</v>
      </c>
      <c r="CN247" s="699" t="str">
        <f>VLOOKUP(WWWW[[#This Row],[Site Name]],SiteDB6[[Site Name]:[Ethnic or GCA/NGCA]],11,FALSE)</f>
        <v>Rakhine</v>
      </c>
      <c r="CO247" s="699">
        <f>VLOOKUP(WWWW[[#This Row],[Site Name]],SiteDB6[[Site Name]:[Lat]],12,FALSE)</f>
        <v>20.697889328002901</v>
      </c>
      <c r="CP247" s="699">
        <f>VLOOKUP(WWWW[[#This Row],[Site Name]],SiteDB6[[Site Name]:[Long]],13,FALSE)</f>
        <v>92.951232910156307</v>
      </c>
      <c r="CQ247" s="699" t="str">
        <f>VLOOKUP(WWWW[[#This Row],[Site Name]],SiteDB6[[Site Name]:[Pcode]],3,FALSE)</f>
        <v>196927</v>
      </c>
      <c r="CR247" s="660" t="str">
        <f t="shared" si="5"/>
        <v>Notcovered</v>
      </c>
      <c r="CS247" s="660"/>
      <c r="CT247" s="24"/>
      <c r="CU247" s="24"/>
      <c r="CV247" s="24"/>
    </row>
    <row r="248" spans="1:100" ht="15.75" customHeight="1" x14ac:dyDescent="0.25">
      <c r="A248" s="833" t="s">
        <v>3206</v>
      </c>
      <c r="B248" s="206" t="s">
        <v>479</v>
      </c>
      <c r="C248" s="206" t="s">
        <v>454</v>
      </c>
      <c r="D248" s="206" t="s">
        <v>463</v>
      </c>
      <c r="E248" s="206" t="s">
        <v>3233</v>
      </c>
      <c r="F248" s="206">
        <v>78</v>
      </c>
      <c r="G248" s="209">
        <v>292</v>
      </c>
      <c r="H248" s="206"/>
      <c r="I248" s="206" t="s">
        <v>449</v>
      </c>
      <c r="J248" s="207">
        <v>43738</v>
      </c>
      <c r="K248" s="206">
        <v>30</v>
      </c>
      <c r="L248" s="206" t="s">
        <v>2454</v>
      </c>
      <c r="M248" s="208">
        <v>0</v>
      </c>
      <c r="N248" s="208">
        <v>0</v>
      </c>
      <c r="O248" s="323">
        <v>0</v>
      </c>
      <c r="P248" s="317">
        <v>0</v>
      </c>
      <c r="Q248" s="317">
        <v>0</v>
      </c>
      <c r="R248" s="318">
        <v>0</v>
      </c>
      <c r="S248" s="318"/>
      <c r="T248" s="318"/>
      <c r="U248" s="318"/>
      <c r="V248" s="318"/>
      <c r="W248" s="318"/>
      <c r="X248" s="318"/>
      <c r="Y248" s="318"/>
      <c r="Z248" s="318"/>
      <c r="AA248" s="310"/>
      <c r="AB248" s="311"/>
      <c r="AC248" s="66"/>
      <c r="AD248" s="66"/>
      <c r="AE248" s="310"/>
      <c r="AF248" s="310" t="s">
        <v>286</v>
      </c>
      <c r="AG248" s="311" t="s">
        <v>286</v>
      </c>
      <c r="AH248" s="66"/>
      <c r="AI248" s="66"/>
      <c r="AJ248" s="311"/>
      <c r="AK248" s="841">
        <v>0</v>
      </c>
      <c r="AL248" s="846"/>
      <c r="AM248" s="844">
        <v>0</v>
      </c>
      <c r="AN248" s="863">
        <v>0</v>
      </c>
      <c r="AO248" s="863"/>
      <c r="AP248" s="843"/>
      <c r="AQ248" s="843"/>
      <c r="AR248" s="843"/>
      <c r="AS248" s="843"/>
      <c r="AT248" s="843"/>
      <c r="AU248" s="843"/>
      <c r="AV248" s="844"/>
      <c r="AW248" s="208" t="str">
        <f>IFERROR(WWWW[[#This Row],['# of Water passed at source]]/WWWW[[#This Row],['# of Water tested at source]],"no test")</f>
        <v>no test</v>
      </c>
      <c r="AX248" s="211" t="str">
        <f>IFERROR(WWWW[[#This Row],['# of Water passed at HH]]/WWWW[[#This Row],['# of Water tested at HH]],"no test")</f>
        <v>no test</v>
      </c>
      <c r="AY248" s="210" t="str">
        <f>IF(AND(WWWW[[#This Row],[%of Water samples which passed at water source]]="no test",WWWW[[#This Row],[%Water samples which passed at HH]]="no test"),"No Test","Tested")</f>
        <v>No Test</v>
      </c>
      <c r="AZ24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8" s="211">
        <f>IF(WWWW[[#This Row],[Location Type 1]]="Village",WWWW[[#This Row],[Access to safe drinking water for Village]],WWWW[[#This Row],[Access to safe drinking water for Camp]])</f>
        <v>0</v>
      </c>
      <c r="BC248" s="209">
        <f>WWWW[[#This Row],[%Equitable and continuous access to sufficient quantity of safe drinking water]]*WWWW[[#This Row],[Total PoP ]]</f>
        <v>0</v>
      </c>
      <c r="BD248" s="211">
        <f>IF((WWWW[[#This Row],['# Existing protected/fenced ponds ]]*250)/WWWW[[#This Row],[Total PoP ]]&gt;1,1,WWWW[[#This Row],['# Existing protected/fenced ponds ]]*250/WWWW[[#This Row],[Total PoP ]])</f>
        <v>0</v>
      </c>
      <c r="BE248" s="209">
        <f>WWWW[[#This Row],[Access to unimproved water points]]*WWWW[[#This Row],[Total PoP ]]</f>
        <v>0</v>
      </c>
      <c r="BF24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8" s="209">
        <f>WWWW[[#This Row],['#people Equitable and continuous access to sufficient quantity of domestic water borehole n ponds_2]]/500</f>
        <v>0</v>
      </c>
      <c r="BI248" s="208">
        <f>1-WWWW[[#This Row],[%Equitable and continuous access to sufficient quantity of domestic water borehole n ponds]]</f>
        <v>1</v>
      </c>
      <c r="BJ248" s="209">
        <f>WWWW[[#This Row],[%equitable and continuous access to sufficient quantity of safe drinking and domestic water''s GAP]]*WWWW[[#This Row],[Total PoP ]]</f>
        <v>292</v>
      </c>
      <c r="BK248" s="210">
        <f>IF(WWWW[[#This Row],[Total required water points]]-WWWW[[#This Row],['#Water points coverage]]&lt;0,0,WWWW[[#This Row],[Total required water points]]-WWWW[[#This Row],['#Water points coverage]])</f>
        <v>1</v>
      </c>
      <c r="BL248" s="210">
        <f>ROUND(IF(WWWW[[#This Row],[Total PoP ]]&lt;500,1,WWWW[[#This Row],[Total PoP ]]/500),0)</f>
        <v>1</v>
      </c>
      <c r="BM248" s="210">
        <f>WWWW[[#This Row],['# Existing functional latrines]]+WWWW[[#This Row],['# Existing latrines dysfunctional]]</f>
        <v>0</v>
      </c>
      <c r="BN24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48" s="352">
        <f>WWWW[[#This Row],[% people access to functioning Latrine]]*WWWW[[#This Row],[Total PoP ]]</f>
        <v>0</v>
      </c>
      <c r="BP24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48" s="209">
        <f>IF(WWWW[[#This Row],[Total required Latrines]]-WWWW[[#This Row],[Total '# of latrine]]&lt;0,0,WWWW[[#This Row],[Total required Latrines]]-WWWW[[#This Row],[Total '# of latrine]])</f>
        <v>49</v>
      </c>
      <c r="BR248" s="210">
        <f>ROUND(IF(WWWW[[#This Row],[Location Type 1]]="camp",WWWW[[#This Row],[Total PoP ]]/20,WWWW[[#This Row],[Total PoP ]]/6),0)</f>
        <v>49</v>
      </c>
      <c r="BS248" s="212">
        <f>IF(OR(WWWW[[#This Row],['# Existing latrines dysfunctional]]="",WWWW[[#This Row],['# Existing latrines dysfunctional]]=0),0,WWWW[[#This Row],['# Existing latrines dysfunctional]]/WWWW[[#This Row],[Total '# of latrine]])</f>
        <v>0</v>
      </c>
      <c r="BT24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8" s="209">
        <f>IF(500*WWWW[[#This Row],['# Hygiene Promoters ]]&gt;WWWW[[#This Row],[Total PoP ]],WWWW[[#This Row],[Total PoP ]],500*WWWW[[#This Row],['# Hygiene Promoters ]])</f>
        <v>0</v>
      </c>
      <c r="BV248" s="209">
        <f>IF(WWWW[[#This Row],[% of HH with access to Sanitary Pad]]&gt;=100%,1,0)</f>
        <v>0</v>
      </c>
      <c r="BW248" s="209">
        <f>IF(WWWW[[#This Row],[Total PoP ]]=0,0,IF(WWWW[[#This Row],['# Hygiene Promoters ]]=0,0,IF(WWWW[[#This Row],[Location Type 1]]="Village",IF(WWWW[[#This Row],[Total PoP ]]/WWWW[[#This Row],['# Hygiene Promoters ]]&lt;1000,1,0),IF(WWWW[[#This Row],[Total PoP ]]/WWWW[[#This Row],['# Hygiene Promoters ]]&lt;600,1,0))))</f>
        <v>0</v>
      </c>
      <c r="BX248" s="209">
        <f>IF(WWWW[[#This Row],[%HH with access to soap]]&gt;=100%,1,0)</f>
        <v>0</v>
      </c>
      <c r="BY248" s="209">
        <f>IF(WWWW[[#This Row],[% of HHs with access to Sanitary pad more than '#%]]+WWWW[[#This Row],[Ratio of Hyiene promoters to people less than '#]]+WWWW[[#This Row],[% of HHs with access to soap more than '#%]]&gt;=2,WWWW[[#This Row],[Total PoP ]],0)</f>
        <v>0</v>
      </c>
      <c r="BZ248" s="208">
        <f>WWWW[[#This Row],[People adopt basic personal and community hygiene practices]]/WWWW[[#This Row],[Total PoP ]]</f>
        <v>0</v>
      </c>
      <c r="CA248" s="212">
        <f>1-WWWW[[#This Row],[Hygiene Coverage%]]</f>
        <v>1</v>
      </c>
      <c r="CB248" s="211">
        <f>WWWW[[#This Row],['# people reached by regular dedicated hygiene promotion_5]]/WWWW[[#This Row],[Total PoP ]]</f>
        <v>0</v>
      </c>
      <c r="CC248" s="211">
        <f>IF(WWWW[[#This Row],['# HH received soaps]]/WWWW[[#This Row],[Total HH]]&gt;1,1,WWWW[[#This Row],['# HH received soaps]]/WWWW[[#This Row],[Total HH]])</f>
        <v>0</v>
      </c>
      <c r="CD248" s="211">
        <f>IF(WWWW[[#This Row],['# HH received Sanitary Pads]]/WWWW[[#This Row],[Total HH]]&gt;1,1,WWWW[[#This Row],['# HH received Sanitary Pads]]/WWWW[[#This Row],[Total HH]])</f>
        <v>0</v>
      </c>
      <c r="CE248" s="210">
        <f>WWWW[[#This Row],['# HH received soaps]]*5</f>
        <v>0</v>
      </c>
      <c r="CF248" s="210">
        <f>WWWW[[#This Row],['# HH received Sanitary Pads]]*5</f>
        <v>0</v>
      </c>
      <c r="CG248" s="210">
        <f>IF(WWWW[[#This Row],['# People with access to soap]]&gt;WWWW[[#This Row],['# People with access to Sanity Pads]],WWWW[[#This Row],['# People with access to soap]],WWWW[[#This Row],['# People with access to Sanity Pads]])</f>
        <v>0</v>
      </c>
      <c r="CH248" s="209">
        <f>WWWW[[#This Row],[Total HH]]*WWWW[[#This Row],[%HHs with access to functional hand washing stations]]</f>
        <v>0</v>
      </c>
      <c r="CI248" s="699">
        <f>VLOOKUP(WWWW[[#This Row],[Site Name]],SiteDB6[[Site Name]:[CCCM Management]],6,FALSE)</f>
        <v>0</v>
      </c>
      <c r="CJ248" s="699">
        <f>VLOOKUP(WWWW[[#This Row],[Site Name]],SiteDB6[[Site Name]:[CCCM Focal Agency]],7,FALSE)</f>
        <v>0</v>
      </c>
      <c r="CK248" s="699" t="str">
        <f>VLOOKUP(WWWW[[#This Row],[Site Name]],SiteDB6[[Site Name]:[Location Type]],8,FALSE)</f>
        <v>Village</v>
      </c>
      <c r="CL248" s="699" t="str">
        <f>VLOOKUP(WWWW[[#This Row],[Site Name]],SiteDB6[[Site Name]:[Location Type 1]],9,FALSE)</f>
        <v>Village</v>
      </c>
      <c r="CM248" s="699" t="str">
        <f>VLOOKUP(WWWW[[#This Row],[Site Name]],SiteDB6[[Site Name]:[Type of Accommodation]],10,FALSE)</f>
        <v>Village</v>
      </c>
      <c r="CN248" s="699">
        <f>VLOOKUP(WWWW[[#This Row],[Site Name]],SiteDB6[[Site Name]:[Ethnic or GCA/NGCA]],11,FALSE)</f>
        <v>0</v>
      </c>
      <c r="CO248" s="699">
        <f>VLOOKUP(WWWW[[#This Row],[Site Name]],SiteDB6[[Site Name]:[Lat]],12,FALSE)</f>
        <v>0</v>
      </c>
      <c r="CP248" s="699">
        <f>VLOOKUP(WWWW[[#This Row],[Site Name]],SiteDB6[[Site Name]:[Long]],13,FALSE)</f>
        <v>0</v>
      </c>
      <c r="CQ248" s="699">
        <f>VLOOKUP(WWWW[[#This Row],[Site Name]],SiteDB6[[Site Name]:[Pcode]],3,FALSE)</f>
        <v>220647</v>
      </c>
      <c r="CR248" s="660" t="str">
        <f t="shared" si="5"/>
        <v>Covered</v>
      </c>
      <c r="CS248" s="699"/>
      <c r="CT248" s="24"/>
      <c r="CU248" s="24"/>
      <c r="CV248" s="24"/>
    </row>
    <row r="249" spans="1:100" ht="15.75" customHeight="1" x14ac:dyDescent="0.25">
      <c r="A249" s="833" t="s">
        <v>3206</v>
      </c>
      <c r="B249" s="206" t="s">
        <v>479</v>
      </c>
      <c r="C249" s="206" t="s">
        <v>454</v>
      </c>
      <c r="D249" s="206" t="s">
        <v>463</v>
      </c>
      <c r="E249" s="206" t="s">
        <v>3234</v>
      </c>
      <c r="F249" s="206">
        <v>86</v>
      </c>
      <c r="G249" s="209">
        <v>304</v>
      </c>
      <c r="H249" s="206"/>
      <c r="I249" s="206" t="s">
        <v>449</v>
      </c>
      <c r="J249" s="207">
        <v>43738</v>
      </c>
      <c r="K249" s="206">
        <v>30</v>
      </c>
      <c r="L249" s="206" t="s">
        <v>2454</v>
      </c>
      <c r="M249" s="208">
        <v>0</v>
      </c>
      <c r="N249" s="208">
        <v>0</v>
      </c>
      <c r="O249" s="323">
        <v>0</v>
      </c>
      <c r="P249" s="317">
        <v>0</v>
      </c>
      <c r="Q249" s="317">
        <v>0</v>
      </c>
      <c r="R249" s="318">
        <v>0</v>
      </c>
      <c r="S249" s="318"/>
      <c r="T249" s="318"/>
      <c r="U249" s="318"/>
      <c r="V249" s="318"/>
      <c r="W249" s="318"/>
      <c r="X249" s="318"/>
      <c r="Y249" s="318"/>
      <c r="Z249" s="318"/>
      <c r="AA249" s="310"/>
      <c r="AB249" s="311"/>
      <c r="AC249" s="66"/>
      <c r="AD249" s="66"/>
      <c r="AE249" s="310"/>
      <c r="AF249" s="310" t="s">
        <v>286</v>
      </c>
      <c r="AG249" s="311" t="s">
        <v>286</v>
      </c>
      <c r="AH249" s="66"/>
      <c r="AI249" s="66"/>
      <c r="AJ249" s="311"/>
      <c r="AK249" s="841">
        <v>0</v>
      </c>
      <c r="AL249" s="846"/>
      <c r="AM249" s="844">
        <v>0</v>
      </c>
      <c r="AN249" s="863">
        <v>0</v>
      </c>
      <c r="AO249" s="863"/>
      <c r="AP249" s="843"/>
      <c r="AQ249" s="843"/>
      <c r="AR249" s="843"/>
      <c r="AS249" s="843"/>
      <c r="AT249" s="843"/>
      <c r="AU249" s="843"/>
      <c r="AV249" s="844"/>
      <c r="AW249" s="208" t="str">
        <f>IFERROR(WWWW[[#This Row],['# of Water passed at source]]/WWWW[[#This Row],['# of Water tested at source]],"no test")</f>
        <v>no test</v>
      </c>
      <c r="AX249" s="211" t="str">
        <f>IFERROR(WWWW[[#This Row],['# of Water passed at HH]]/WWWW[[#This Row],['# of Water tested at HH]],"no test")</f>
        <v>no test</v>
      </c>
      <c r="AY249" s="210" t="str">
        <f>IF(AND(WWWW[[#This Row],[%of Water samples which passed at water source]]="no test",WWWW[[#This Row],[%Water samples which passed at HH]]="no test"),"No Test","Tested")</f>
        <v>No Test</v>
      </c>
      <c r="AZ24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4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49" s="211">
        <f>IF(WWWW[[#This Row],[Location Type 1]]="Village",WWWW[[#This Row],[Access to safe drinking water for Village]],WWWW[[#This Row],[Access to safe drinking water for Camp]])</f>
        <v>0</v>
      </c>
      <c r="BC249" s="209">
        <f>WWWW[[#This Row],[%Equitable and continuous access to sufficient quantity of safe drinking water]]*WWWW[[#This Row],[Total PoP ]]</f>
        <v>0</v>
      </c>
      <c r="BD249" s="211">
        <f>IF((WWWW[[#This Row],['# Existing protected/fenced ponds ]]*250)/WWWW[[#This Row],[Total PoP ]]&gt;1,1,WWWW[[#This Row],['# Existing protected/fenced ponds ]]*250/WWWW[[#This Row],[Total PoP ]])</f>
        <v>0</v>
      </c>
      <c r="BE249" s="209">
        <f>WWWW[[#This Row],[Access to unimproved water points]]*WWWW[[#This Row],[Total PoP ]]</f>
        <v>0</v>
      </c>
      <c r="BF24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4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49" s="209">
        <f>WWWW[[#This Row],['#people Equitable and continuous access to sufficient quantity of domestic water borehole n ponds_2]]/500</f>
        <v>0</v>
      </c>
      <c r="BI249" s="208">
        <f>1-WWWW[[#This Row],[%Equitable and continuous access to sufficient quantity of domestic water borehole n ponds]]</f>
        <v>1</v>
      </c>
      <c r="BJ249" s="209">
        <f>WWWW[[#This Row],[%equitable and continuous access to sufficient quantity of safe drinking and domestic water''s GAP]]*WWWW[[#This Row],[Total PoP ]]</f>
        <v>304</v>
      </c>
      <c r="BK249" s="210">
        <f>IF(WWWW[[#This Row],[Total required water points]]-WWWW[[#This Row],['#Water points coverage]]&lt;0,0,WWWW[[#This Row],[Total required water points]]-WWWW[[#This Row],['#Water points coverage]])</f>
        <v>1</v>
      </c>
      <c r="BL249" s="210">
        <f>ROUND(IF(WWWW[[#This Row],[Total PoP ]]&lt;500,1,WWWW[[#This Row],[Total PoP ]]/500),0)</f>
        <v>1</v>
      </c>
      <c r="BM249" s="210">
        <f>WWWW[[#This Row],['# Existing functional latrines]]+WWWW[[#This Row],['# Existing latrines dysfunctional]]</f>
        <v>0</v>
      </c>
      <c r="BN24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49" s="352">
        <f>WWWW[[#This Row],[% people access to functioning Latrine]]*WWWW[[#This Row],[Total PoP ]]</f>
        <v>0</v>
      </c>
      <c r="BP24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49" s="209">
        <f>IF(WWWW[[#This Row],[Total required Latrines]]-WWWW[[#This Row],[Total '# of latrine]]&lt;0,0,WWWW[[#This Row],[Total required Latrines]]-WWWW[[#This Row],[Total '# of latrine]])</f>
        <v>51</v>
      </c>
      <c r="BR249" s="210">
        <f>ROUND(IF(WWWW[[#This Row],[Location Type 1]]="camp",WWWW[[#This Row],[Total PoP ]]/20,WWWW[[#This Row],[Total PoP ]]/6),0)</f>
        <v>51</v>
      </c>
      <c r="BS249" s="212">
        <f>IF(OR(WWWW[[#This Row],['# Existing latrines dysfunctional]]="",WWWW[[#This Row],['# Existing latrines dysfunctional]]=0),0,WWWW[[#This Row],['# Existing latrines dysfunctional]]/WWWW[[#This Row],[Total '# of latrine]])</f>
        <v>0</v>
      </c>
      <c r="BT24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49" s="209">
        <f>IF(500*WWWW[[#This Row],['# Hygiene Promoters ]]&gt;WWWW[[#This Row],[Total PoP ]],WWWW[[#This Row],[Total PoP ]],500*WWWW[[#This Row],['# Hygiene Promoters ]])</f>
        <v>0</v>
      </c>
      <c r="BV249" s="209">
        <f>IF(WWWW[[#This Row],[% of HH with access to Sanitary Pad]]&gt;=100%,1,0)</f>
        <v>0</v>
      </c>
      <c r="BW249" s="209">
        <f>IF(WWWW[[#This Row],[Total PoP ]]=0,0,IF(WWWW[[#This Row],['# Hygiene Promoters ]]=0,0,IF(WWWW[[#This Row],[Location Type 1]]="Village",IF(WWWW[[#This Row],[Total PoP ]]/WWWW[[#This Row],['# Hygiene Promoters ]]&lt;1000,1,0),IF(WWWW[[#This Row],[Total PoP ]]/WWWW[[#This Row],['# Hygiene Promoters ]]&lt;600,1,0))))</f>
        <v>0</v>
      </c>
      <c r="BX249" s="209">
        <f>IF(WWWW[[#This Row],[%HH with access to soap]]&gt;=100%,1,0)</f>
        <v>0</v>
      </c>
      <c r="BY249" s="209">
        <f>IF(WWWW[[#This Row],[% of HHs with access to Sanitary pad more than '#%]]+WWWW[[#This Row],[Ratio of Hyiene promoters to people less than '#]]+WWWW[[#This Row],[% of HHs with access to soap more than '#%]]&gt;=2,WWWW[[#This Row],[Total PoP ]],0)</f>
        <v>0</v>
      </c>
      <c r="BZ249" s="208">
        <f>WWWW[[#This Row],[People adopt basic personal and community hygiene practices]]/WWWW[[#This Row],[Total PoP ]]</f>
        <v>0</v>
      </c>
      <c r="CA249" s="212">
        <f>1-WWWW[[#This Row],[Hygiene Coverage%]]</f>
        <v>1</v>
      </c>
      <c r="CB249" s="211">
        <f>WWWW[[#This Row],['# people reached by regular dedicated hygiene promotion_5]]/WWWW[[#This Row],[Total PoP ]]</f>
        <v>0</v>
      </c>
      <c r="CC249" s="211">
        <f>IF(WWWW[[#This Row],['# HH received soaps]]/WWWW[[#This Row],[Total HH]]&gt;1,1,WWWW[[#This Row],['# HH received soaps]]/WWWW[[#This Row],[Total HH]])</f>
        <v>0</v>
      </c>
      <c r="CD249" s="211">
        <f>IF(WWWW[[#This Row],['# HH received Sanitary Pads]]/WWWW[[#This Row],[Total HH]]&gt;1,1,WWWW[[#This Row],['# HH received Sanitary Pads]]/WWWW[[#This Row],[Total HH]])</f>
        <v>0</v>
      </c>
      <c r="CE249" s="210">
        <f>WWWW[[#This Row],['# HH received soaps]]*5</f>
        <v>0</v>
      </c>
      <c r="CF249" s="210">
        <f>WWWW[[#This Row],['# HH received Sanitary Pads]]*5</f>
        <v>0</v>
      </c>
      <c r="CG249" s="210">
        <f>IF(WWWW[[#This Row],['# People with access to soap]]&gt;WWWW[[#This Row],['# People with access to Sanity Pads]],WWWW[[#This Row],['# People with access to soap]],WWWW[[#This Row],['# People with access to Sanity Pads]])</f>
        <v>0</v>
      </c>
      <c r="CH249" s="209">
        <f>WWWW[[#This Row],[Total HH]]*WWWW[[#This Row],[%HHs with access to functional hand washing stations]]</f>
        <v>0</v>
      </c>
      <c r="CI249" s="699">
        <f>VLOOKUP(WWWW[[#This Row],[Site Name]],SiteDB6[[Site Name]:[CCCM Management]],6,FALSE)</f>
        <v>0</v>
      </c>
      <c r="CJ249" s="699">
        <f>VLOOKUP(WWWW[[#This Row],[Site Name]],SiteDB6[[Site Name]:[CCCM Focal Agency]],7,FALSE)</f>
        <v>0</v>
      </c>
      <c r="CK249" s="699" t="str">
        <f>VLOOKUP(WWWW[[#This Row],[Site Name]],SiteDB6[[Site Name]:[Location Type]],8,FALSE)</f>
        <v>Village</v>
      </c>
      <c r="CL249" s="699" t="str">
        <f>VLOOKUP(WWWW[[#This Row],[Site Name]],SiteDB6[[Site Name]:[Location Type 1]],9,FALSE)</f>
        <v>Village</v>
      </c>
      <c r="CM249" s="699" t="str">
        <f>VLOOKUP(WWWW[[#This Row],[Site Name]],SiteDB6[[Site Name]:[Type of Accommodation]],10,FALSE)</f>
        <v>Village</v>
      </c>
      <c r="CN249" s="699">
        <f>VLOOKUP(WWWW[[#This Row],[Site Name]],SiteDB6[[Site Name]:[Ethnic or GCA/NGCA]],11,FALSE)</f>
        <v>0</v>
      </c>
      <c r="CO249" s="699">
        <f>VLOOKUP(WWWW[[#This Row],[Site Name]],SiteDB6[[Site Name]:[Lat]],12,FALSE)</f>
        <v>20.932960510253899</v>
      </c>
      <c r="CP249" s="699">
        <f>VLOOKUP(WWWW[[#This Row],[Site Name]],SiteDB6[[Site Name]:[Long]],13,FALSE)</f>
        <v>92.930267333984403</v>
      </c>
      <c r="CQ249" s="699">
        <f>VLOOKUP(WWWW[[#This Row],[Site Name]],SiteDB6[[Site Name]:[Pcode]],3,FALSE)</f>
        <v>196755</v>
      </c>
      <c r="CR249" s="660" t="str">
        <f t="shared" si="5"/>
        <v>Covered</v>
      </c>
      <c r="CS249" s="699"/>
      <c r="CT249" s="24"/>
      <c r="CU249" s="24"/>
      <c r="CV249" s="24"/>
    </row>
    <row r="250" spans="1:100" ht="15.75" customHeight="1" x14ac:dyDescent="0.25">
      <c r="A250" s="833" t="s">
        <v>3206</v>
      </c>
      <c r="B250" s="206" t="s">
        <v>460</v>
      </c>
      <c r="C250" s="206" t="s">
        <v>454</v>
      </c>
      <c r="D250" s="206" t="s">
        <v>463</v>
      </c>
      <c r="E250" s="206" t="s">
        <v>504</v>
      </c>
      <c r="F250" s="206">
        <v>395</v>
      </c>
      <c r="G250" s="209">
        <v>1687</v>
      </c>
      <c r="H250" s="206"/>
      <c r="I250" s="206"/>
      <c r="J250" s="207"/>
      <c r="K250" s="206"/>
      <c r="L250" s="206" t="s">
        <v>282</v>
      </c>
      <c r="M250" s="208">
        <v>0</v>
      </c>
      <c r="N250" s="208">
        <v>0</v>
      </c>
      <c r="O250" s="316">
        <v>0</v>
      </c>
      <c r="P250" s="317">
        <v>0</v>
      </c>
      <c r="Q250" s="317"/>
      <c r="R250" s="318"/>
      <c r="S250" s="318">
        <v>2</v>
      </c>
      <c r="T250" s="318"/>
      <c r="U250" s="318"/>
      <c r="V250" s="318"/>
      <c r="W250" s="318"/>
      <c r="X250" s="318"/>
      <c r="Y250" s="318"/>
      <c r="Z250" s="318"/>
      <c r="AA250" s="310">
        <v>0</v>
      </c>
      <c r="AB250" s="310"/>
      <c r="AC250" s="66"/>
      <c r="AD250" s="66"/>
      <c r="AE250" s="310">
        <v>0</v>
      </c>
      <c r="AF250" s="310" t="s">
        <v>286</v>
      </c>
      <c r="AG250" s="311" t="s">
        <v>286</v>
      </c>
      <c r="AH250" s="311"/>
      <c r="AI250" s="310"/>
      <c r="AJ250" s="310"/>
      <c r="AK250" s="841">
        <v>0</v>
      </c>
      <c r="AL250" s="842"/>
      <c r="AM250" s="842">
        <v>0</v>
      </c>
      <c r="AN250" s="863"/>
      <c r="AO250" s="863"/>
      <c r="AP250" s="843"/>
      <c r="AQ250" s="843"/>
      <c r="AR250" s="843"/>
      <c r="AS250" s="843"/>
      <c r="AT250" s="843"/>
      <c r="AU250" s="843"/>
      <c r="AV250" s="844"/>
      <c r="AW250" s="208" t="str">
        <f>IFERROR(WWWW[[#This Row],['# of Water passed at source]]/WWWW[[#This Row],['# of Water tested at source]],"no test")</f>
        <v>no test</v>
      </c>
      <c r="AX250" s="211" t="str">
        <f>IFERROR(WWWW[[#This Row],['# of Water passed at HH]]/WWWW[[#This Row],['# of Water tested at HH]],"no test")</f>
        <v>no test</v>
      </c>
      <c r="AY250" s="210" t="str">
        <f>IF(AND(WWWW[[#This Row],[%of Water samples which passed at water source]]="no test",WWWW[[#This Row],[%Water samples which passed at HH]]="no test"),"No Test","Tested")</f>
        <v>No Test</v>
      </c>
      <c r="AZ25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0" s="211">
        <f>IF(WWWW[[#This Row],[Location Type 1]]="Village",WWWW[[#This Row],[Access to safe drinking water for Village]],WWWW[[#This Row],[Access to safe drinking water for Camp]])</f>
        <v>0</v>
      </c>
      <c r="BC250" s="209">
        <f>WWWW[[#This Row],[%Equitable and continuous access to sufficient quantity of safe drinking water]]*WWWW[[#This Row],[Total PoP ]]</f>
        <v>0</v>
      </c>
      <c r="BD250" s="211">
        <f>IF((WWWW[[#This Row],['# Existing protected/fenced ponds ]]*250)/WWWW[[#This Row],[Total PoP ]]&gt;1,1,WWWW[[#This Row],['# Existing protected/fenced ponds ]]*250/WWWW[[#This Row],[Total PoP ]])</f>
        <v>0</v>
      </c>
      <c r="BE250" s="209">
        <f>WWWW[[#This Row],[Access to unimproved water points]]*WWWW[[#This Row],[Total PoP ]]</f>
        <v>0</v>
      </c>
      <c r="BF25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0" s="209">
        <f>ROUND(WWWW[[#This Row],['#people Equitable and continuous access to sufficient quantity of domestic water borehole n ponds_2]]/500,0)</f>
        <v>0</v>
      </c>
      <c r="BI250" s="208">
        <f>1-WWWW[[#This Row],[%Equitable and continuous access to sufficient quantity of domestic water borehole n ponds]]</f>
        <v>1</v>
      </c>
      <c r="BJ250" s="209">
        <f>WWWW[[#This Row],[%equitable and continuous access to sufficient quantity of safe drinking and domestic water''s GAP]]*WWWW[[#This Row],[Total PoP ]]</f>
        <v>1687</v>
      </c>
      <c r="BK250" s="210">
        <f>IF(WWWW[[#This Row],[Total required water points]]-WWWW[[#This Row],['#Water points coverage]]&lt;0,0,WWWW[[#This Row],[Total required water points]]-WWWW[[#This Row],['#Water points coverage]])</f>
        <v>3</v>
      </c>
      <c r="BL250" s="210">
        <f>ROUND(IF(WWWW[[#This Row],[Total PoP ]]&lt;500,1,WWWW[[#This Row],[Total PoP ]]/500),0)</f>
        <v>3</v>
      </c>
      <c r="BM250" s="210">
        <f>WWWW[[#This Row],['# Existing functional latrines]]+WWWW[[#This Row],['# Existing latrines dysfunctional]]</f>
        <v>0</v>
      </c>
      <c r="BN25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50" s="352">
        <f>WWWW[[#This Row],[% people access to functioning Latrine]]*WWWW[[#This Row],[Total PoP ]]</f>
        <v>0</v>
      </c>
      <c r="BP25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0.99940723177237689</v>
      </c>
      <c r="BQ250" s="209">
        <f>IF(WWWW[[#This Row],[Total required Latrines]]-WWWW[[#This Row],[Total '# of latrine]]&lt;0,0,WWWW[[#This Row],[Total required Latrines]]-WWWW[[#This Row],[Total '# of latrine]])</f>
        <v>281</v>
      </c>
      <c r="BR250" s="210">
        <f>ROUND(IF(WWWW[[#This Row],[Location Type 1]]="camp",WWWW[[#This Row],[Total PoP ]]/20,WWWW[[#This Row],[Total PoP ]]/6),0)</f>
        <v>281</v>
      </c>
      <c r="BS250" s="212">
        <f>IF(OR(WWWW[[#This Row],['# Existing latrines dysfunctional]]="",WWWW[[#This Row],['# Existing latrines dysfunctional]]=0),0,WWWW[[#This Row],['# Existing latrines dysfunctional]]/WWWW[[#This Row],[Total '# of latrine]])</f>
        <v>0</v>
      </c>
      <c r="BT25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0" s="209">
        <f>IF(500*WWWW[[#This Row],['# Hygiene Promoters ]]&gt;WWWW[[#This Row],[Total PoP ]],WWWW[[#This Row],[Total PoP ]],500*WWWW[[#This Row],['# Hygiene Promoters ]])</f>
        <v>0</v>
      </c>
      <c r="BV250" s="209">
        <f>IF(WWWW[[#This Row],[% of HH with access to Sanitary Pad]]&gt;=100%,1,0)</f>
        <v>0</v>
      </c>
      <c r="BW250" s="209">
        <f>IF(WWWW[[#This Row],[Total PoP ]]=0,0,IF(WWWW[[#This Row],['# Hygiene Promoters ]]=0,0,IF(WWWW[[#This Row],[Location Type 1]]="Village",IF(WWWW[[#This Row],[Total PoP ]]/WWWW[[#This Row],['# Hygiene Promoters ]]&lt;1000,1,0),IF(WWWW[[#This Row],[Total PoP ]]/WWWW[[#This Row],['# Hygiene Promoters ]]&lt;600,1,0))))</f>
        <v>0</v>
      </c>
      <c r="BX250" s="209">
        <f>IF(WWWW[[#This Row],[%HH with access to soap]]&gt;=100%,1,0)</f>
        <v>0</v>
      </c>
      <c r="BY250" s="209">
        <f>IF(WWWW[[#This Row],[% of HHs with access to Sanitary pad more than '#%]]+WWWW[[#This Row],[Ratio of Hyiene promoters to people less than '#]]+WWWW[[#This Row],[% of HHs with access to soap more than '#%]]&gt;=2,WWWW[[#This Row],[Total PoP ]],0)</f>
        <v>0</v>
      </c>
      <c r="BZ250" s="208">
        <f>WWWW[[#This Row],[People adopt basic personal and community hygiene practices]]/WWWW[[#This Row],[Total PoP ]]</f>
        <v>0</v>
      </c>
      <c r="CA250" s="212">
        <f>1-WWWW[[#This Row],[Hygiene Coverage%]]</f>
        <v>1</v>
      </c>
      <c r="CB250" s="211">
        <f>WWWW[[#This Row],['# people reached by regular dedicated hygiene promotion_5]]/WWWW[[#This Row],[Total PoP ]]</f>
        <v>0</v>
      </c>
      <c r="CC250" s="211">
        <f>IF(WWWW[[#This Row],['# HH received soaps]]/WWWW[[#This Row],[Total HH]]&gt;1,1,WWWW[[#This Row],['# HH received soaps]]/WWWW[[#This Row],[Total HH]])</f>
        <v>0</v>
      </c>
      <c r="CD250" s="211">
        <f>IF(WWWW[[#This Row],['# HH received Sanitary Pads]]/WWWW[[#This Row],[Total HH]]&gt;1,1,WWWW[[#This Row],['# HH received Sanitary Pads]]/WWWW[[#This Row],[Total HH]])</f>
        <v>0</v>
      </c>
      <c r="CE250" s="210">
        <f>WWWW[[#This Row],['# HH received soaps]]*5</f>
        <v>0</v>
      </c>
      <c r="CF250" s="210">
        <f>WWWW[[#This Row],['# HH received Sanitary Pads]]*5</f>
        <v>0</v>
      </c>
      <c r="CG250" s="210">
        <f>IF(WWWW[[#This Row],['# People with access to soap]]&gt;WWWW[[#This Row],['# People with access to Sanity Pads]],WWWW[[#This Row],['# People with access to soap]],WWWW[[#This Row],['# People with access to Sanity Pads]])</f>
        <v>0</v>
      </c>
      <c r="CH250" s="209">
        <f>WWWW[[#This Row],[Total HH]]*WWWW[[#This Row],[%HHs with access to functional hand washing stations]]</f>
        <v>0</v>
      </c>
      <c r="CI250" s="699">
        <f>VLOOKUP(WWWW[[#This Row],[Site Name]],SiteDB6[[Site Name]:[CCCM Management]],6,FALSE)</f>
        <v>0</v>
      </c>
      <c r="CJ250" s="699">
        <f>VLOOKUP(WWWW[[#This Row],[Site Name]],SiteDB6[[Site Name]:[CCCM Focal Agency]],7,FALSE)</f>
        <v>0</v>
      </c>
      <c r="CK250" s="699" t="str">
        <f>VLOOKUP(WWWW[[#This Row],[Site Name]],SiteDB6[[Site Name]:[Location Type]],8,FALSE)</f>
        <v>Village</v>
      </c>
      <c r="CL250" s="699" t="str">
        <f>VLOOKUP(WWWW[[#This Row],[Site Name]],SiteDB6[[Site Name]:[Location Type 1]],9,FALSE)</f>
        <v>Village</v>
      </c>
      <c r="CM250" s="699" t="str">
        <f>VLOOKUP(WWWW[[#This Row],[Site Name]],SiteDB6[[Site Name]:[Type of Accommodation]],10,FALSE)</f>
        <v>Village</v>
      </c>
      <c r="CN250" s="699" t="str">
        <f>VLOOKUP(WWWW[[#This Row],[Site Name]],SiteDB6[[Site Name]:[Ethnic or GCA/NGCA]],11,FALSE)</f>
        <v>Rakhine</v>
      </c>
      <c r="CO250" s="699">
        <f>VLOOKUP(WWWW[[#This Row],[Site Name]],SiteDB6[[Site Name]:[Lat]],12,FALSE)</f>
        <v>0</v>
      </c>
      <c r="CP250" s="699">
        <f>VLOOKUP(WWWW[[#This Row],[Site Name]],SiteDB6[[Site Name]:[Long]],13,FALSE)</f>
        <v>0</v>
      </c>
      <c r="CQ250" s="699">
        <f>VLOOKUP(WWWW[[#This Row],[Site Name]],SiteDB6[[Site Name]:[Pcode]],3,FALSE)</f>
        <v>0</v>
      </c>
      <c r="CR250" s="660" t="str">
        <f t="shared" si="5"/>
        <v>Notcovered</v>
      </c>
      <c r="CS250" s="660"/>
      <c r="CT250" s="24"/>
      <c r="CU250" s="24"/>
      <c r="CV250" s="24"/>
    </row>
    <row r="251" spans="1:100" ht="15.75" customHeight="1" x14ac:dyDescent="0.25">
      <c r="A251" s="833" t="s">
        <v>3206</v>
      </c>
      <c r="B251" s="206" t="s">
        <v>479</v>
      </c>
      <c r="C251" s="206" t="s">
        <v>454</v>
      </c>
      <c r="D251" s="206" t="s">
        <v>463</v>
      </c>
      <c r="E251" s="206" t="s">
        <v>796</v>
      </c>
      <c r="F251" s="206">
        <v>98</v>
      </c>
      <c r="G251" s="209">
        <v>418</v>
      </c>
      <c r="H251" s="206"/>
      <c r="I251" s="206" t="s">
        <v>495</v>
      </c>
      <c r="J251" s="207">
        <v>43616</v>
      </c>
      <c r="K251" s="206">
        <v>0</v>
      </c>
      <c r="L251" s="206" t="s">
        <v>2454</v>
      </c>
      <c r="M251" s="208">
        <v>0</v>
      </c>
      <c r="N251" s="208">
        <v>0</v>
      </c>
      <c r="O251" s="323">
        <v>0</v>
      </c>
      <c r="P251" s="317">
        <v>0</v>
      </c>
      <c r="Q251" s="317">
        <v>0</v>
      </c>
      <c r="R251" s="318">
        <v>0</v>
      </c>
      <c r="S251" s="318">
        <v>0</v>
      </c>
      <c r="T251" s="318"/>
      <c r="U251" s="318"/>
      <c r="V251" s="318"/>
      <c r="W251" s="318"/>
      <c r="X251" s="318"/>
      <c r="Y251" s="318"/>
      <c r="Z251" s="318"/>
      <c r="AA251" s="310">
        <v>36</v>
      </c>
      <c r="AB251" s="311">
        <v>0</v>
      </c>
      <c r="AC251" s="66"/>
      <c r="AD251" s="66"/>
      <c r="AE251" s="310">
        <v>0</v>
      </c>
      <c r="AF251" s="310" t="s">
        <v>1358</v>
      </c>
      <c r="AG251" s="311" t="s">
        <v>1358</v>
      </c>
      <c r="AH251" s="66"/>
      <c r="AI251" s="66"/>
      <c r="AJ251" s="311"/>
      <c r="AK251" s="841">
        <v>0</v>
      </c>
      <c r="AL251" s="846"/>
      <c r="AM251" s="844">
        <v>0</v>
      </c>
      <c r="AN251" s="863">
        <v>0</v>
      </c>
      <c r="AO251" s="863">
        <v>0</v>
      </c>
      <c r="AP251" s="843"/>
      <c r="AQ251" s="843"/>
      <c r="AR251" s="843"/>
      <c r="AS251" s="843"/>
      <c r="AT251" s="843"/>
      <c r="AU251" s="843"/>
      <c r="AV251" s="844"/>
      <c r="AW251" s="208" t="str">
        <f>IFERROR(WWWW[[#This Row],['# of Water passed at source]]/WWWW[[#This Row],['# of Water tested at source]],"no test")</f>
        <v>no test</v>
      </c>
      <c r="AX251" s="211" t="str">
        <f>IFERROR(WWWW[[#This Row],['# of Water passed at HH]]/WWWW[[#This Row],['# of Water tested at HH]],"no test")</f>
        <v>no test</v>
      </c>
      <c r="AY251" s="210" t="str">
        <f>IF(AND(WWWW[[#This Row],[%of Water samples which passed at water source]]="no test",WWWW[[#This Row],[%Water samples which passed at HH]]="no test"),"No Test","Tested")</f>
        <v>No Test</v>
      </c>
      <c r="AZ25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1" s="211">
        <f>IF(WWWW[[#This Row],[Location Type 1]]="Village",WWWW[[#This Row],[Access to safe drinking water for Village]],WWWW[[#This Row],[Access to safe drinking water for Camp]])</f>
        <v>0</v>
      </c>
      <c r="BC251" s="209">
        <f>WWWW[[#This Row],[%Equitable and continuous access to sufficient quantity of safe drinking water]]*WWWW[[#This Row],[Total PoP ]]</f>
        <v>0</v>
      </c>
      <c r="BD251" s="211">
        <f>IF((WWWW[[#This Row],['# Existing protected/fenced ponds ]]*250)/WWWW[[#This Row],[Total PoP ]]&gt;1,1,WWWW[[#This Row],['# Existing protected/fenced ponds ]]*250/WWWW[[#This Row],[Total PoP ]])</f>
        <v>0</v>
      </c>
      <c r="BE251" s="209">
        <f>WWWW[[#This Row],[Access to unimproved water points]]*WWWW[[#This Row],[Total PoP ]]</f>
        <v>0</v>
      </c>
      <c r="BF25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1" s="209">
        <f>ROUND(WWWW[[#This Row],['#people Equitable and continuous access to sufficient quantity of domestic water borehole n ponds_2]]/500,0)</f>
        <v>0</v>
      </c>
      <c r="BI251" s="208">
        <f>1-WWWW[[#This Row],[%Equitable and continuous access to sufficient quantity of domestic water borehole n ponds]]</f>
        <v>1</v>
      </c>
      <c r="BJ251" s="209">
        <f>WWWW[[#This Row],[%equitable and continuous access to sufficient quantity of safe drinking and domestic water''s GAP]]*WWWW[[#This Row],[Total PoP ]]</f>
        <v>418</v>
      </c>
      <c r="BK251" s="210">
        <f>IF(WWWW[[#This Row],[Total required water points]]-WWWW[[#This Row],['#Water points coverage]]&lt;0,0,WWWW[[#This Row],[Total required water points]]-WWWW[[#This Row],['#Water points coverage]])</f>
        <v>1</v>
      </c>
      <c r="BL251" s="210">
        <f>ROUND(IF(WWWW[[#This Row],[Total PoP ]]&lt;500,1,WWWW[[#This Row],[Total PoP ]]/500),0)</f>
        <v>1</v>
      </c>
      <c r="BM251" s="210">
        <f>WWWW[[#This Row],['# Existing functional latrines]]+WWWW[[#This Row],['# Existing latrines dysfunctional]]</f>
        <v>36</v>
      </c>
      <c r="BN25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0.51674641148325362</v>
      </c>
      <c r="BO251" s="352">
        <f>WWWW[[#This Row],[% people access to functioning Latrine]]*WWWW[[#This Row],[Total PoP ]]</f>
        <v>216</v>
      </c>
      <c r="BP25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0.48803827751196172</v>
      </c>
      <c r="BQ251" s="209">
        <f>IF(WWWW[[#This Row],[Total required Latrines]]-WWWW[[#This Row],[Total '# of latrine]]&lt;0,0,WWWW[[#This Row],[Total required Latrines]]-WWWW[[#This Row],[Total '# of latrine]])</f>
        <v>34</v>
      </c>
      <c r="BR251" s="210">
        <f>ROUND(IF(WWWW[[#This Row],[Location Type 1]]="camp",WWWW[[#This Row],[Total PoP ]]/20,WWWW[[#This Row],[Total PoP ]]/6),0)</f>
        <v>70</v>
      </c>
      <c r="BS251" s="212">
        <f>IF(OR(WWWW[[#This Row],['# Existing latrines dysfunctional]]="",WWWW[[#This Row],['# Existing latrines dysfunctional]]=0),0,WWWW[[#This Row],['# Existing latrines dysfunctional]]/WWWW[[#This Row],[Total '# of latrine]])</f>
        <v>0</v>
      </c>
      <c r="BT25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1" s="209">
        <f>IF(500*WWWW[[#This Row],['# Hygiene Promoters ]]&gt;WWWW[[#This Row],[Total PoP ]],WWWW[[#This Row],[Total PoP ]],500*WWWW[[#This Row],['# Hygiene Promoters ]])</f>
        <v>0</v>
      </c>
      <c r="BV251" s="209">
        <f>IF(WWWW[[#This Row],[% of HH with access to Sanitary Pad]]&gt;=100%,1,0)</f>
        <v>0</v>
      </c>
      <c r="BW251" s="209">
        <f>IF(WWWW[[#This Row],[Total PoP ]]=0,0,IF(WWWW[[#This Row],['# Hygiene Promoters ]]=0,0,IF(WWWW[[#This Row],[Location Type 1]]="Village",IF(WWWW[[#This Row],[Total PoP ]]/WWWW[[#This Row],['# Hygiene Promoters ]]&lt;1000,1,0),IF(WWWW[[#This Row],[Total PoP ]]/WWWW[[#This Row],['# Hygiene Promoters ]]&lt;600,1,0))))</f>
        <v>0</v>
      </c>
      <c r="BX251" s="209">
        <f>IF(WWWW[[#This Row],[%HH with access to soap]]&gt;=100%,1,0)</f>
        <v>0</v>
      </c>
      <c r="BY251" s="209">
        <f>IF(WWWW[[#This Row],[% of HHs with access to Sanitary pad more than '#%]]+WWWW[[#This Row],[Ratio of Hyiene promoters to people less than '#]]+WWWW[[#This Row],[% of HHs with access to soap more than '#%]]&gt;=2,WWWW[[#This Row],[Total PoP ]],0)</f>
        <v>0</v>
      </c>
      <c r="BZ251" s="208">
        <f>WWWW[[#This Row],[People adopt basic personal and community hygiene practices]]/WWWW[[#This Row],[Total PoP ]]</f>
        <v>0</v>
      </c>
      <c r="CA251" s="212">
        <f>1-WWWW[[#This Row],[Hygiene Coverage%]]</f>
        <v>1</v>
      </c>
      <c r="CB251" s="211">
        <f>WWWW[[#This Row],['# people reached by regular dedicated hygiene promotion_5]]/WWWW[[#This Row],[Total PoP ]]</f>
        <v>0</v>
      </c>
      <c r="CC251" s="211">
        <f>IF(WWWW[[#This Row],['# HH received soaps]]/WWWW[[#This Row],[Total HH]]&gt;1,1,WWWW[[#This Row],['# HH received soaps]]/WWWW[[#This Row],[Total HH]])</f>
        <v>0</v>
      </c>
      <c r="CD251" s="211">
        <f>IF(WWWW[[#This Row],['# HH received Sanitary Pads]]/WWWW[[#This Row],[Total HH]]&gt;1,1,WWWW[[#This Row],['# HH received Sanitary Pads]]/WWWW[[#This Row],[Total HH]])</f>
        <v>0</v>
      </c>
      <c r="CE251" s="210">
        <f>WWWW[[#This Row],['# HH received soaps]]*5</f>
        <v>0</v>
      </c>
      <c r="CF251" s="210">
        <f>WWWW[[#This Row],['# HH received Sanitary Pads]]*5</f>
        <v>0</v>
      </c>
      <c r="CG251" s="210">
        <f>IF(WWWW[[#This Row],['# People with access to soap]]&gt;WWWW[[#This Row],['# People with access to Sanity Pads]],WWWW[[#This Row],['# People with access to soap]],WWWW[[#This Row],['# People with access to Sanity Pads]])</f>
        <v>0</v>
      </c>
      <c r="CH251" s="209">
        <f>WWWW[[#This Row],[Total HH]]*WWWW[[#This Row],[%HHs with access to functional hand washing stations]]</f>
        <v>0</v>
      </c>
      <c r="CI251" s="699">
        <f>VLOOKUP(WWWW[[#This Row],[Site Name]],SiteDB6[[Site Name]:[CCCM Management]],6,FALSE)</f>
        <v>0</v>
      </c>
      <c r="CJ251" s="699">
        <f>VLOOKUP(WWWW[[#This Row],[Site Name]],SiteDB6[[Site Name]:[CCCM Focal Agency]],7,FALSE)</f>
        <v>0</v>
      </c>
      <c r="CK251" s="699" t="str">
        <f>VLOOKUP(WWWW[[#This Row],[Site Name]],SiteDB6[[Site Name]:[Location Type]],8,FALSE)</f>
        <v>Village_Not HRP</v>
      </c>
      <c r="CL251" s="699" t="str">
        <f>VLOOKUP(WWWW[[#This Row],[Site Name]],SiteDB6[[Site Name]:[Location Type 1]],9,FALSE)</f>
        <v>Village</v>
      </c>
      <c r="CM251" s="699" t="str">
        <f>VLOOKUP(WWWW[[#This Row],[Site Name]],SiteDB6[[Site Name]:[Type of Accommodation]],10,FALSE)</f>
        <v>Village_Not HRP</v>
      </c>
      <c r="CN251" s="699" t="str">
        <f>VLOOKUP(WWWW[[#This Row],[Site Name]],SiteDB6[[Site Name]:[Ethnic or GCA/NGCA]],11,FALSE)</f>
        <v>Mro</v>
      </c>
      <c r="CO251" s="699">
        <f>VLOOKUP(WWWW[[#This Row],[Site Name]],SiteDB6[[Site Name]:[Lat]],12,FALSE)</f>
        <v>20.831729888916001</v>
      </c>
      <c r="CP251" s="699">
        <f>VLOOKUP(WWWW[[#This Row],[Site Name]],SiteDB6[[Site Name]:[Long]],13,FALSE)</f>
        <v>92.919639587402301</v>
      </c>
      <c r="CQ251" s="699">
        <f>VLOOKUP(WWWW[[#This Row],[Site Name]],SiteDB6[[Site Name]:[Pcode]],3,FALSE)</f>
        <v>196880</v>
      </c>
      <c r="CR251" s="660" t="str">
        <f t="shared" si="5"/>
        <v>Covered</v>
      </c>
      <c r="CS251" s="699" t="s">
        <v>2738</v>
      </c>
      <c r="CT251" s="24"/>
      <c r="CU251" s="24"/>
      <c r="CV251" s="24"/>
    </row>
    <row r="252" spans="1:100" ht="15.75" customHeight="1" x14ac:dyDescent="0.25">
      <c r="A252" s="833" t="s">
        <v>3206</v>
      </c>
      <c r="B252" s="206" t="s">
        <v>460</v>
      </c>
      <c r="C252" s="206" t="s">
        <v>454</v>
      </c>
      <c r="D252" s="206" t="s">
        <v>463</v>
      </c>
      <c r="E252" s="206" t="s">
        <v>759</v>
      </c>
      <c r="F252" s="206">
        <v>144</v>
      </c>
      <c r="G252" s="209">
        <v>1006</v>
      </c>
      <c r="H252" s="206"/>
      <c r="I252" s="206"/>
      <c r="J252" s="207"/>
      <c r="K252" s="206"/>
      <c r="L252" s="206" t="s">
        <v>282</v>
      </c>
      <c r="M252" s="208">
        <v>0</v>
      </c>
      <c r="N252" s="208">
        <v>0</v>
      </c>
      <c r="O252" s="323">
        <v>0</v>
      </c>
      <c r="P252" s="317">
        <v>0</v>
      </c>
      <c r="Q252" s="317"/>
      <c r="R252" s="318"/>
      <c r="S252" s="318">
        <v>0</v>
      </c>
      <c r="T252" s="318"/>
      <c r="U252" s="318"/>
      <c r="V252" s="318"/>
      <c r="W252" s="318"/>
      <c r="X252" s="318"/>
      <c r="Y252" s="318"/>
      <c r="Z252" s="318"/>
      <c r="AA252" s="310">
        <v>33</v>
      </c>
      <c r="AB252" s="310"/>
      <c r="AC252" s="66"/>
      <c r="AD252" s="66"/>
      <c r="AE252" s="310">
        <v>0</v>
      </c>
      <c r="AF252" s="310" t="s">
        <v>286</v>
      </c>
      <c r="AG252" s="311" t="s">
        <v>286</v>
      </c>
      <c r="AH252" s="311"/>
      <c r="AI252" s="310"/>
      <c r="AJ252" s="310"/>
      <c r="AK252" s="841">
        <v>0</v>
      </c>
      <c r="AL252" s="842"/>
      <c r="AM252" s="842">
        <v>0</v>
      </c>
      <c r="AN252" s="863"/>
      <c r="AO252" s="863">
        <v>0</v>
      </c>
      <c r="AP252" s="843"/>
      <c r="AQ252" s="843"/>
      <c r="AR252" s="843"/>
      <c r="AS252" s="843"/>
      <c r="AT252" s="843"/>
      <c r="AU252" s="843"/>
      <c r="AV252" s="844"/>
      <c r="AW252" s="208" t="str">
        <f>IFERROR(WWWW[[#This Row],['# of Water passed at source]]/WWWW[[#This Row],['# of Water tested at source]],"no test")</f>
        <v>no test</v>
      </c>
      <c r="AX252" s="211" t="str">
        <f>IFERROR(WWWW[[#This Row],['# of Water passed at HH]]/WWWW[[#This Row],['# of Water tested at HH]],"no test")</f>
        <v>no test</v>
      </c>
      <c r="AY252" s="210" t="str">
        <f>IF(AND(WWWW[[#This Row],[%of Water samples which passed at water source]]="no test",WWWW[[#This Row],[%Water samples which passed at HH]]="no test"),"No Test","Tested")</f>
        <v>No Test</v>
      </c>
      <c r="AZ25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2" s="211">
        <f>IF(WWWW[[#This Row],[Location Type 1]]="Village",WWWW[[#This Row],[Access to safe drinking water for Village]],WWWW[[#This Row],[Access to safe drinking water for Camp]])</f>
        <v>0</v>
      </c>
      <c r="BC252" s="209">
        <f>WWWW[[#This Row],[%Equitable and continuous access to sufficient quantity of safe drinking water]]*WWWW[[#This Row],[Total PoP ]]</f>
        <v>0</v>
      </c>
      <c r="BD252" s="211">
        <f>IF((WWWW[[#This Row],['# Existing protected/fenced ponds ]]*250)/WWWW[[#This Row],[Total PoP ]]&gt;1,1,WWWW[[#This Row],['# Existing protected/fenced ponds ]]*250/WWWW[[#This Row],[Total PoP ]])</f>
        <v>0</v>
      </c>
      <c r="BE252" s="209">
        <f>WWWW[[#This Row],[Access to unimproved water points]]*WWWW[[#This Row],[Total PoP ]]</f>
        <v>0</v>
      </c>
      <c r="BF25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2" s="209">
        <f>ROUND(WWWW[[#This Row],['#people Equitable and continuous access to sufficient quantity of domestic water borehole n ponds_2]]/500,0)</f>
        <v>0</v>
      </c>
      <c r="BI252" s="208">
        <f>1-WWWW[[#This Row],[%Equitable and continuous access to sufficient quantity of domestic water borehole n ponds]]</f>
        <v>1</v>
      </c>
      <c r="BJ252" s="209">
        <f>WWWW[[#This Row],[%equitable and continuous access to sufficient quantity of safe drinking and domestic water''s GAP]]*WWWW[[#This Row],[Total PoP ]]</f>
        <v>1006</v>
      </c>
      <c r="BK252" s="210">
        <f>IF(WWWW[[#This Row],[Total required water points]]-WWWW[[#This Row],['#Water points coverage]]&lt;0,0,WWWW[[#This Row],[Total required water points]]-WWWW[[#This Row],['#Water points coverage]])</f>
        <v>2</v>
      </c>
      <c r="BL252" s="210">
        <f>ROUND(IF(WWWW[[#This Row],[Total PoP ]]&lt;500,1,WWWW[[#This Row],[Total PoP ]]/500),0)</f>
        <v>2</v>
      </c>
      <c r="BM252" s="210">
        <f>WWWW[[#This Row],['# Existing functional latrines]]+WWWW[[#This Row],['# Existing latrines dysfunctional]]</f>
        <v>33</v>
      </c>
      <c r="BN25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0.19681908548707752</v>
      </c>
      <c r="BO252" s="352">
        <f>WWWW[[#This Row],[% people access to functioning Latrine]]*WWWW[[#This Row],[Total PoP ]]</f>
        <v>198</v>
      </c>
      <c r="BP25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0.80516898608349907</v>
      </c>
      <c r="BQ252" s="209">
        <f>IF(WWWW[[#This Row],[Total required Latrines]]-WWWW[[#This Row],[Total '# of latrine]]&lt;0,0,WWWW[[#This Row],[Total required Latrines]]-WWWW[[#This Row],[Total '# of latrine]])</f>
        <v>135</v>
      </c>
      <c r="BR252" s="210">
        <f>ROUND(IF(WWWW[[#This Row],[Location Type 1]]="camp",WWWW[[#This Row],[Total PoP ]]/20,WWWW[[#This Row],[Total PoP ]]/6),0)</f>
        <v>168</v>
      </c>
      <c r="BS252" s="212">
        <f>IF(OR(WWWW[[#This Row],['# Existing latrines dysfunctional]]="",WWWW[[#This Row],['# Existing latrines dysfunctional]]=0),0,WWWW[[#This Row],['# Existing latrines dysfunctional]]/WWWW[[#This Row],[Total '# of latrine]])</f>
        <v>0</v>
      </c>
      <c r="BT25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2" s="209">
        <f>IF(500*WWWW[[#This Row],['# Hygiene Promoters ]]&gt;WWWW[[#This Row],[Total PoP ]],WWWW[[#This Row],[Total PoP ]],500*WWWW[[#This Row],['# Hygiene Promoters ]])</f>
        <v>0</v>
      </c>
      <c r="BV252" s="209">
        <f>IF(WWWW[[#This Row],[% of HH with access to Sanitary Pad]]&gt;=100%,1,0)</f>
        <v>0</v>
      </c>
      <c r="BW252" s="209">
        <f>IF(WWWW[[#This Row],[Total PoP ]]=0,0,IF(WWWW[[#This Row],['# Hygiene Promoters ]]=0,0,IF(WWWW[[#This Row],[Location Type 1]]="Village",IF(WWWW[[#This Row],[Total PoP ]]/WWWW[[#This Row],['# Hygiene Promoters ]]&lt;1000,1,0),IF(WWWW[[#This Row],[Total PoP ]]/WWWW[[#This Row],['# Hygiene Promoters ]]&lt;600,1,0))))</f>
        <v>0</v>
      </c>
      <c r="BX252" s="209">
        <f>IF(WWWW[[#This Row],[%HH with access to soap]]&gt;=100%,1,0)</f>
        <v>0</v>
      </c>
      <c r="BY252" s="209">
        <f>IF(WWWW[[#This Row],[% of HHs with access to Sanitary pad more than '#%]]+WWWW[[#This Row],[Ratio of Hyiene promoters to people less than '#]]+WWWW[[#This Row],[% of HHs with access to soap more than '#%]]&gt;=2,WWWW[[#This Row],[Total PoP ]],0)</f>
        <v>0</v>
      </c>
      <c r="BZ252" s="208">
        <f>WWWW[[#This Row],[People adopt basic personal and community hygiene practices]]/WWWW[[#This Row],[Total PoP ]]</f>
        <v>0</v>
      </c>
      <c r="CA252" s="212">
        <f>1-WWWW[[#This Row],[Hygiene Coverage%]]</f>
        <v>1</v>
      </c>
      <c r="CB252" s="211">
        <f>WWWW[[#This Row],['# people reached by regular dedicated hygiene promotion_5]]/WWWW[[#This Row],[Total PoP ]]</f>
        <v>0</v>
      </c>
      <c r="CC252" s="211">
        <f>IF(WWWW[[#This Row],['# HH received soaps]]/WWWW[[#This Row],[Total HH]]&gt;1,1,WWWW[[#This Row],['# HH received soaps]]/WWWW[[#This Row],[Total HH]])</f>
        <v>0</v>
      </c>
      <c r="CD252" s="211">
        <f>IF(WWWW[[#This Row],['# HH received Sanitary Pads]]/WWWW[[#This Row],[Total HH]]&gt;1,1,WWWW[[#This Row],['# HH received Sanitary Pads]]/WWWW[[#This Row],[Total HH]])</f>
        <v>0</v>
      </c>
      <c r="CE252" s="210">
        <f>WWWW[[#This Row],['# HH received soaps]]*5</f>
        <v>0</v>
      </c>
      <c r="CF252" s="210">
        <f>WWWW[[#This Row],['# HH received Sanitary Pads]]*5</f>
        <v>0</v>
      </c>
      <c r="CG252" s="210">
        <f>IF(WWWW[[#This Row],['# People with access to soap]]&gt;WWWW[[#This Row],['# People with access to Sanity Pads]],WWWW[[#This Row],['# People with access to soap]],WWWW[[#This Row],['# People with access to Sanity Pads]])</f>
        <v>0</v>
      </c>
      <c r="CH252" s="209">
        <f>WWWW[[#This Row],[Total HH]]*WWWW[[#This Row],[%HHs with access to functional hand washing stations]]</f>
        <v>0</v>
      </c>
      <c r="CI252" s="699">
        <f>VLOOKUP(WWWW[[#This Row],[Site Name]],SiteDB6[[Site Name]:[CCCM Management]],6,FALSE)</f>
        <v>0</v>
      </c>
      <c r="CJ252" s="699">
        <f>VLOOKUP(WWWW[[#This Row],[Site Name]],SiteDB6[[Site Name]:[CCCM Focal Agency]],7,FALSE)</f>
        <v>0</v>
      </c>
      <c r="CK252" s="699" t="str">
        <f>VLOOKUP(WWWW[[#This Row],[Site Name]],SiteDB6[[Site Name]:[Location Type]],8,FALSE)</f>
        <v>Village</v>
      </c>
      <c r="CL252" s="699" t="str">
        <f>VLOOKUP(WWWW[[#This Row],[Site Name]],SiteDB6[[Site Name]:[Location Type 1]],9,FALSE)</f>
        <v>Village</v>
      </c>
      <c r="CM252" s="699" t="str">
        <f>VLOOKUP(WWWW[[#This Row],[Site Name]],SiteDB6[[Site Name]:[Type of Accommodation]],10,FALSE)</f>
        <v>Returned</v>
      </c>
      <c r="CN252" s="699" t="str">
        <f>VLOOKUP(WWWW[[#This Row],[Site Name]],SiteDB6[[Site Name]:[Ethnic or GCA/NGCA]],11,FALSE)</f>
        <v>Muslim</v>
      </c>
      <c r="CO252" s="699">
        <f>VLOOKUP(WWWW[[#This Row],[Site Name]],SiteDB6[[Site Name]:[Lat]],12,FALSE)</f>
        <v>20.78332</v>
      </c>
      <c r="CP252" s="699">
        <f>VLOOKUP(WWWW[[#This Row],[Site Name]],SiteDB6[[Site Name]:[Long]],13,FALSE)</f>
        <v>92.987399999999994</v>
      </c>
      <c r="CQ252" s="699" t="str">
        <f>VLOOKUP(WWWW[[#This Row],[Site Name]],SiteDB6[[Site Name]:[Pcode]],3,FALSE)</f>
        <v>MMR012CMP029</v>
      </c>
      <c r="CR252" s="660" t="str">
        <f t="shared" si="5"/>
        <v>Notcovered</v>
      </c>
      <c r="CS252" s="660"/>
      <c r="CT252" s="24"/>
      <c r="CU252" s="24"/>
      <c r="CV252" s="24"/>
    </row>
    <row r="253" spans="1:100" ht="15.75" customHeight="1" x14ac:dyDescent="0.25">
      <c r="A253" s="833" t="s">
        <v>3206</v>
      </c>
      <c r="B253" s="206" t="s">
        <v>453</v>
      </c>
      <c r="C253" s="206" t="s">
        <v>454</v>
      </c>
      <c r="D253" s="206" t="s">
        <v>463</v>
      </c>
      <c r="E253" s="206" t="s">
        <v>761</v>
      </c>
      <c r="F253" s="206">
        <v>233</v>
      </c>
      <c r="G253" s="209">
        <v>1163</v>
      </c>
      <c r="H253" s="206"/>
      <c r="I253" s="206" t="s">
        <v>2771</v>
      </c>
      <c r="J253" s="207">
        <v>43373</v>
      </c>
      <c r="K253" s="206"/>
      <c r="L253" s="206" t="s">
        <v>282</v>
      </c>
      <c r="M253" s="208">
        <v>0</v>
      </c>
      <c r="N253" s="208">
        <v>0</v>
      </c>
      <c r="O253" s="323">
        <v>0</v>
      </c>
      <c r="P253" s="317">
        <v>0</v>
      </c>
      <c r="Q253" s="317"/>
      <c r="R253" s="318"/>
      <c r="S253" s="318">
        <v>0</v>
      </c>
      <c r="T253" s="318"/>
      <c r="U253" s="318"/>
      <c r="V253" s="318"/>
      <c r="W253" s="318"/>
      <c r="X253" s="318"/>
      <c r="Y253" s="318"/>
      <c r="Z253" s="318"/>
      <c r="AA253" s="310">
        <v>39</v>
      </c>
      <c r="AB253" s="310"/>
      <c r="AC253" s="310"/>
      <c r="AD253" s="66"/>
      <c r="AE253" s="310">
        <v>0</v>
      </c>
      <c r="AF253" s="310" t="s">
        <v>286</v>
      </c>
      <c r="AG253" s="311" t="s">
        <v>286</v>
      </c>
      <c r="AH253" s="66"/>
      <c r="AI253" s="66"/>
      <c r="AJ253" s="311"/>
      <c r="AK253" s="841">
        <v>0</v>
      </c>
      <c r="AL253" s="846"/>
      <c r="AM253" s="844">
        <v>0</v>
      </c>
      <c r="AN253" s="863"/>
      <c r="AO253" s="863">
        <v>0</v>
      </c>
      <c r="AP253" s="843"/>
      <c r="AQ253" s="843"/>
      <c r="AR253" s="843"/>
      <c r="AS253" s="843"/>
      <c r="AT253" s="843"/>
      <c r="AU253" s="843"/>
      <c r="AV253" s="844"/>
      <c r="AW253" s="208" t="str">
        <f>IFERROR(WWWW[[#This Row],['# of Water passed at source]]/WWWW[[#This Row],['# of Water tested at source]],"no test")</f>
        <v>no test</v>
      </c>
      <c r="AX253" s="211" t="str">
        <f>IFERROR(WWWW[[#This Row],['# of Water passed at HH]]/WWWW[[#This Row],['# of Water tested at HH]],"no test")</f>
        <v>no test</v>
      </c>
      <c r="AY253" s="210" t="str">
        <f>IF(AND(WWWW[[#This Row],[%of Water samples which passed at water source]]="no test",WWWW[[#This Row],[%Water samples which passed at HH]]="no test"),"No Test","Tested")</f>
        <v>No Test</v>
      </c>
      <c r="AZ25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3" s="211">
        <f>IF(WWWW[[#This Row],[Location Type 1]]="Village",WWWW[[#This Row],[Access to safe drinking water for Village]],WWWW[[#This Row],[Access to safe drinking water for Camp]])</f>
        <v>0</v>
      </c>
      <c r="BC253" s="209">
        <f>WWWW[[#This Row],[%Equitable and continuous access to sufficient quantity of safe drinking water]]*WWWW[[#This Row],[Total PoP ]]</f>
        <v>0</v>
      </c>
      <c r="BD253" s="211">
        <f>IF((WWWW[[#This Row],['# Existing protected/fenced ponds ]]*250)/WWWW[[#This Row],[Total PoP ]]&gt;1,1,WWWW[[#This Row],['# Existing protected/fenced ponds ]]*250/WWWW[[#This Row],[Total PoP ]])</f>
        <v>0</v>
      </c>
      <c r="BE253" s="209">
        <f>WWWW[[#This Row],[Access to unimproved water points]]*WWWW[[#This Row],[Total PoP ]]</f>
        <v>0</v>
      </c>
      <c r="BF25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3" s="209">
        <f>ROUND(WWWW[[#This Row],['#people Equitable and continuous access to sufficient quantity of domestic water borehole n ponds_2]]/500,0)</f>
        <v>0</v>
      </c>
      <c r="BI253" s="208">
        <f>1-WWWW[[#This Row],[%Equitable and continuous access to sufficient quantity of domestic water borehole n ponds]]</f>
        <v>1</v>
      </c>
      <c r="BJ253" s="209">
        <f>WWWW[[#This Row],[%equitable and continuous access to sufficient quantity of safe drinking and domestic water''s GAP]]*WWWW[[#This Row],[Total PoP ]]</f>
        <v>1163</v>
      </c>
      <c r="BK253" s="210">
        <f>IF(WWWW[[#This Row],[Total required water points]]-WWWW[[#This Row],['#Water points coverage]]&lt;0,0,WWWW[[#This Row],[Total required water points]]-WWWW[[#This Row],['#Water points coverage]])</f>
        <v>2</v>
      </c>
      <c r="BL253" s="210">
        <f>ROUND(IF(WWWW[[#This Row],[Total PoP ]]&lt;500,1,WWWW[[#This Row],[Total PoP ]]/500),0)</f>
        <v>2</v>
      </c>
      <c r="BM253" s="210">
        <f>WWWW[[#This Row],['# Existing functional latrines]]+WWWW[[#This Row],['# Existing latrines dysfunctional]]</f>
        <v>39</v>
      </c>
      <c r="BN25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0.20120378331900257</v>
      </c>
      <c r="BO253" s="352">
        <f>WWWW[[#This Row],[% people access to functioning Latrine]]*WWWW[[#This Row],[Total PoP ]]</f>
        <v>234</v>
      </c>
      <c r="BP25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0.79965606190885641</v>
      </c>
      <c r="BQ253" s="209">
        <f>IF(WWWW[[#This Row],[Total required Latrines]]-WWWW[[#This Row],[Total '# of latrine]]&lt;0,0,WWWW[[#This Row],[Total required Latrines]]-WWWW[[#This Row],[Total '# of latrine]])</f>
        <v>155</v>
      </c>
      <c r="BR253" s="210">
        <f>ROUND(IF(WWWW[[#This Row],[Location Type 1]]="camp",WWWW[[#This Row],[Total PoP ]]/20,WWWW[[#This Row],[Total PoP ]]/6),0)</f>
        <v>194</v>
      </c>
      <c r="BS253" s="212">
        <f>IF(OR(WWWW[[#This Row],['# Existing latrines dysfunctional]]="",WWWW[[#This Row],['# Existing latrines dysfunctional]]=0),0,WWWW[[#This Row],['# Existing latrines dysfunctional]]/WWWW[[#This Row],[Total '# of latrine]])</f>
        <v>0</v>
      </c>
      <c r="BT25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3" s="209">
        <f>IF(500*WWWW[[#This Row],['# Hygiene Promoters ]]&gt;WWWW[[#This Row],[Total PoP ]],WWWW[[#This Row],[Total PoP ]],500*WWWW[[#This Row],['# Hygiene Promoters ]])</f>
        <v>0</v>
      </c>
      <c r="BV253" s="209">
        <f>IF(WWWW[[#This Row],[% of HH with access to Sanitary Pad]]&gt;=100%,1,0)</f>
        <v>0</v>
      </c>
      <c r="BW253" s="209">
        <f>IF(WWWW[[#This Row],[Total PoP ]]=0,0,IF(WWWW[[#This Row],['# Hygiene Promoters ]]=0,0,IF(WWWW[[#This Row],[Location Type 1]]="Village",IF(WWWW[[#This Row],[Total PoP ]]/WWWW[[#This Row],['# Hygiene Promoters ]]&lt;1000,1,0),IF(WWWW[[#This Row],[Total PoP ]]/WWWW[[#This Row],['# Hygiene Promoters ]]&lt;600,1,0))))</f>
        <v>0</v>
      </c>
      <c r="BX253" s="209">
        <f>IF(WWWW[[#This Row],[%HH with access to soap]]&gt;=100%,1,0)</f>
        <v>0</v>
      </c>
      <c r="BY253" s="209">
        <f>IF(WWWW[[#This Row],[% of HHs with access to Sanitary pad more than '#%]]+WWWW[[#This Row],[Ratio of Hyiene promoters to people less than '#]]+WWWW[[#This Row],[% of HHs with access to soap more than '#%]]&gt;=2,WWWW[[#This Row],[Total PoP ]],0)</f>
        <v>0</v>
      </c>
      <c r="BZ253" s="208">
        <f>WWWW[[#This Row],[People adopt basic personal and community hygiene practices]]/WWWW[[#This Row],[Total PoP ]]</f>
        <v>0</v>
      </c>
      <c r="CA253" s="212">
        <f>1-WWWW[[#This Row],[Hygiene Coverage%]]</f>
        <v>1</v>
      </c>
      <c r="CB253" s="211">
        <f>WWWW[[#This Row],['# people reached by regular dedicated hygiene promotion_5]]/WWWW[[#This Row],[Total PoP ]]</f>
        <v>0</v>
      </c>
      <c r="CC253" s="211">
        <f>IF(WWWW[[#This Row],['# HH received soaps]]/WWWW[[#This Row],[Total HH]]&gt;1,1,WWWW[[#This Row],['# HH received soaps]]/WWWW[[#This Row],[Total HH]])</f>
        <v>0</v>
      </c>
      <c r="CD253" s="211">
        <f>IF(WWWW[[#This Row],['# HH received Sanitary Pads]]/WWWW[[#This Row],[Total HH]]&gt;1,1,WWWW[[#This Row],['# HH received Sanitary Pads]]/WWWW[[#This Row],[Total HH]])</f>
        <v>0</v>
      </c>
      <c r="CE253" s="210">
        <f>WWWW[[#This Row],['# HH received soaps]]*5</f>
        <v>0</v>
      </c>
      <c r="CF253" s="210">
        <f>WWWW[[#This Row],['# HH received Sanitary Pads]]*5</f>
        <v>0</v>
      </c>
      <c r="CG253" s="210">
        <f>IF(WWWW[[#This Row],['# People with access to soap]]&gt;WWWW[[#This Row],['# People with access to Sanity Pads]],WWWW[[#This Row],['# People with access to soap]],WWWW[[#This Row],['# People with access to Sanity Pads]])</f>
        <v>0</v>
      </c>
      <c r="CH253" s="209">
        <f>WWWW[[#This Row],[Total HH]]*WWWW[[#This Row],[%HHs with access to functional hand washing stations]]</f>
        <v>0</v>
      </c>
      <c r="CI253" s="699">
        <f>VLOOKUP(WWWW[[#This Row],[Site Name]],SiteDB6[[Site Name]:[CCCM Management]],6,FALSE)</f>
        <v>0</v>
      </c>
      <c r="CJ253" s="699">
        <f>VLOOKUP(WWWW[[#This Row],[Site Name]],SiteDB6[[Site Name]:[CCCM Focal Agency]],7,FALSE)</f>
        <v>0</v>
      </c>
      <c r="CK253" s="699" t="str">
        <f>VLOOKUP(WWWW[[#This Row],[Site Name]],SiteDB6[[Site Name]:[Location Type]],8,FALSE)</f>
        <v>Village</v>
      </c>
      <c r="CL253" s="699" t="str">
        <f>VLOOKUP(WWWW[[#This Row],[Site Name]],SiteDB6[[Site Name]:[Location Type 1]],9,FALSE)</f>
        <v>Village</v>
      </c>
      <c r="CM253" s="699" t="str">
        <f>VLOOKUP(WWWW[[#This Row],[Site Name]],SiteDB6[[Site Name]:[Type of Accommodation]],10,FALSE)</f>
        <v>Village</v>
      </c>
      <c r="CN253" s="699" t="str">
        <f>VLOOKUP(WWWW[[#This Row],[Site Name]],SiteDB6[[Site Name]:[Ethnic or GCA/NGCA]],11,FALSE)</f>
        <v>Rakhine</v>
      </c>
      <c r="CO253" s="699">
        <f>VLOOKUP(WWWW[[#This Row],[Site Name]],SiteDB6[[Site Name]:[Lat]],12,FALSE)</f>
        <v>20.785699844360401</v>
      </c>
      <c r="CP253" s="699">
        <f>VLOOKUP(WWWW[[#This Row],[Site Name]],SiteDB6[[Site Name]:[Long]],13,FALSE)</f>
        <v>92.986633300781307</v>
      </c>
      <c r="CQ253" s="699" t="str">
        <f>VLOOKUP(WWWW[[#This Row],[Site Name]],SiteDB6[[Site Name]:[Pcode]],3,FALSE)</f>
        <v>196869</v>
      </c>
      <c r="CR253" s="660" t="str">
        <f t="shared" si="5"/>
        <v>Covered</v>
      </c>
      <c r="CS253" s="660"/>
      <c r="CT253" s="24"/>
      <c r="CU253" s="24"/>
      <c r="CV253" s="24"/>
    </row>
    <row r="254" spans="1:100" ht="15.75" customHeight="1" x14ac:dyDescent="0.25">
      <c r="A254" s="833" t="s">
        <v>3206</v>
      </c>
      <c r="B254" s="206" t="s">
        <v>479</v>
      </c>
      <c r="C254" s="206" t="s">
        <v>454</v>
      </c>
      <c r="D254" s="206" t="s">
        <v>463</v>
      </c>
      <c r="E254" s="206" t="s">
        <v>858</v>
      </c>
      <c r="F254" s="206">
        <v>454</v>
      </c>
      <c r="G254" s="209">
        <v>3020</v>
      </c>
      <c r="H254" s="206"/>
      <c r="I254" s="206" t="s">
        <v>495</v>
      </c>
      <c r="J254" s="207">
        <v>43616</v>
      </c>
      <c r="K254" s="206">
        <v>0</v>
      </c>
      <c r="L254" s="206" t="s">
        <v>2454</v>
      </c>
      <c r="M254" s="208">
        <v>0</v>
      </c>
      <c r="N254" s="208">
        <v>0</v>
      </c>
      <c r="O254" s="316">
        <v>0</v>
      </c>
      <c r="P254" s="317">
        <v>0</v>
      </c>
      <c r="Q254" s="317">
        <v>0</v>
      </c>
      <c r="R254" s="318">
        <v>0</v>
      </c>
      <c r="S254" s="318">
        <v>2</v>
      </c>
      <c r="T254" s="318"/>
      <c r="U254" s="318"/>
      <c r="V254" s="318"/>
      <c r="W254" s="318"/>
      <c r="X254" s="318"/>
      <c r="Y254" s="318"/>
      <c r="Z254" s="318"/>
      <c r="AA254" s="310">
        <v>5</v>
      </c>
      <c r="AB254" s="310">
        <v>0</v>
      </c>
      <c r="AC254" s="66"/>
      <c r="AD254" s="66"/>
      <c r="AE254" s="310">
        <v>0</v>
      </c>
      <c r="AF254" s="310" t="s">
        <v>332</v>
      </c>
      <c r="AG254" s="311" t="s">
        <v>332</v>
      </c>
      <c r="AH254" s="311"/>
      <c r="AI254" s="310"/>
      <c r="AJ254" s="310"/>
      <c r="AK254" s="841">
        <v>0</v>
      </c>
      <c r="AL254" s="842"/>
      <c r="AM254" s="842">
        <v>0</v>
      </c>
      <c r="AN254" s="863">
        <v>0</v>
      </c>
      <c r="AO254" s="863">
        <v>0</v>
      </c>
      <c r="AP254" s="843"/>
      <c r="AQ254" s="843"/>
      <c r="AR254" s="843"/>
      <c r="AS254" s="843"/>
      <c r="AT254" s="843"/>
      <c r="AU254" s="843"/>
      <c r="AV254" s="844"/>
      <c r="AW254" s="208" t="str">
        <f>IFERROR(WWWW[[#This Row],['# of Water passed at source]]/WWWW[[#This Row],['# of Water tested at source]],"no test")</f>
        <v>no test</v>
      </c>
      <c r="AX254" s="211" t="str">
        <f>IFERROR(WWWW[[#This Row],['# of Water passed at HH]]/WWWW[[#This Row],['# of Water tested at HH]],"no test")</f>
        <v>no test</v>
      </c>
      <c r="AY254" s="210" t="str">
        <f>IF(AND(WWWW[[#This Row],[%of Water samples which passed at water source]]="no test",WWWW[[#This Row],[%Water samples which passed at HH]]="no test"),"No Test","Tested")</f>
        <v>No Test</v>
      </c>
      <c r="AZ25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4" s="211">
        <f>IF(WWWW[[#This Row],[Location Type 1]]="Village",WWWW[[#This Row],[Access to safe drinking water for Village]],WWWW[[#This Row],[Access to safe drinking water for Camp]])</f>
        <v>0</v>
      </c>
      <c r="BC254" s="209">
        <f>WWWW[[#This Row],[%Equitable and continuous access to sufficient quantity of safe drinking water]]*WWWW[[#This Row],[Total PoP ]]</f>
        <v>0</v>
      </c>
      <c r="BD254" s="211">
        <f>IF((WWWW[[#This Row],['# Existing protected/fenced ponds ]]*250)/WWWW[[#This Row],[Total PoP ]]&gt;1,1,WWWW[[#This Row],['# Existing protected/fenced ponds ]]*250/WWWW[[#This Row],[Total PoP ]])</f>
        <v>0</v>
      </c>
      <c r="BE254" s="209">
        <f>WWWW[[#This Row],[Access to unimproved water points]]*WWWW[[#This Row],[Total PoP ]]</f>
        <v>0</v>
      </c>
      <c r="BF25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4" s="209">
        <f>ROUND(WWWW[[#This Row],['#people Equitable and continuous access to sufficient quantity of domestic water borehole n ponds_2]]/500,0)</f>
        <v>0</v>
      </c>
      <c r="BI254" s="208">
        <f>1-WWWW[[#This Row],[%Equitable and continuous access to sufficient quantity of domestic water borehole n ponds]]</f>
        <v>1</v>
      </c>
      <c r="BJ254" s="209">
        <f>WWWW[[#This Row],[%equitable and continuous access to sufficient quantity of safe drinking and domestic water''s GAP]]*WWWW[[#This Row],[Total PoP ]]</f>
        <v>3020</v>
      </c>
      <c r="BK254" s="210">
        <f>IF(WWWW[[#This Row],[Total required water points]]-WWWW[[#This Row],['#Water points coverage]]&lt;0,0,WWWW[[#This Row],[Total required water points]]-WWWW[[#This Row],['#Water points coverage]])</f>
        <v>6</v>
      </c>
      <c r="BL254" s="210">
        <f>ROUND(IF(WWWW[[#This Row],[Total PoP ]]&lt;500,1,WWWW[[#This Row],[Total PoP ]]/500),0)</f>
        <v>6</v>
      </c>
      <c r="BM254" s="210">
        <f>WWWW[[#This Row],['# Existing functional latrines]]+WWWW[[#This Row],['# Existing latrines dysfunctional]]</f>
        <v>5</v>
      </c>
      <c r="BN25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9.9337748344370865E-3</v>
      </c>
      <c r="BO254" s="352">
        <f>WWWW[[#This Row],[% people access to functioning Latrine]]*WWWW[[#This Row],[Total PoP ]]</f>
        <v>30</v>
      </c>
      <c r="BP25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0.98940397350993381</v>
      </c>
      <c r="BQ254" s="209">
        <f>IF(WWWW[[#This Row],[Total required Latrines]]-WWWW[[#This Row],[Total '# of latrine]]&lt;0,0,WWWW[[#This Row],[Total required Latrines]]-WWWW[[#This Row],[Total '# of latrine]])</f>
        <v>498</v>
      </c>
      <c r="BR254" s="210">
        <f>ROUND(IF(WWWW[[#This Row],[Location Type 1]]="camp",WWWW[[#This Row],[Total PoP ]]/20,WWWW[[#This Row],[Total PoP ]]/6),0)</f>
        <v>503</v>
      </c>
      <c r="BS254" s="212">
        <f>IF(OR(WWWW[[#This Row],['# Existing latrines dysfunctional]]="",WWWW[[#This Row],['# Existing latrines dysfunctional]]=0),0,WWWW[[#This Row],['# Existing latrines dysfunctional]]/WWWW[[#This Row],[Total '# of latrine]])</f>
        <v>0</v>
      </c>
      <c r="BT25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4" s="209">
        <f>IF(500*WWWW[[#This Row],['# Hygiene Promoters ]]&gt;WWWW[[#This Row],[Total PoP ]],WWWW[[#This Row],[Total PoP ]],500*WWWW[[#This Row],['# Hygiene Promoters ]])</f>
        <v>0</v>
      </c>
      <c r="BV254" s="209">
        <f>IF(WWWW[[#This Row],[% of HH with access to Sanitary Pad]]&gt;=100%,1,0)</f>
        <v>0</v>
      </c>
      <c r="BW254" s="209">
        <f>IF(WWWW[[#This Row],[Total PoP ]]=0,0,IF(WWWW[[#This Row],['# Hygiene Promoters ]]=0,0,IF(WWWW[[#This Row],[Location Type 1]]="Village",IF(WWWW[[#This Row],[Total PoP ]]/WWWW[[#This Row],['# Hygiene Promoters ]]&lt;1000,1,0),IF(WWWW[[#This Row],[Total PoP ]]/WWWW[[#This Row],['# Hygiene Promoters ]]&lt;600,1,0))))</f>
        <v>0</v>
      </c>
      <c r="BX254" s="209">
        <f>IF(WWWW[[#This Row],[%HH with access to soap]]&gt;=100%,1,0)</f>
        <v>0</v>
      </c>
      <c r="BY254" s="209">
        <f>IF(WWWW[[#This Row],[% of HHs with access to Sanitary pad more than '#%]]+WWWW[[#This Row],[Ratio of Hyiene promoters to people less than '#]]+WWWW[[#This Row],[% of HHs with access to soap more than '#%]]&gt;=2,WWWW[[#This Row],[Total PoP ]],0)</f>
        <v>0</v>
      </c>
      <c r="BZ254" s="208">
        <f>WWWW[[#This Row],[People adopt basic personal and community hygiene practices]]/WWWW[[#This Row],[Total PoP ]]</f>
        <v>0</v>
      </c>
      <c r="CA254" s="212">
        <f>1-WWWW[[#This Row],[Hygiene Coverage%]]</f>
        <v>1</v>
      </c>
      <c r="CB254" s="211">
        <f>WWWW[[#This Row],['# people reached by regular dedicated hygiene promotion_5]]/WWWW[[#This Row],[Total PoP ]]</f>
        <v>0</v>
      </c>
      <c r="CC254" s="211">
        <f>IF(WWWW[[#This Row],['# HH received soaps]]/WWWW[[#This Row],[Total HH]]&gt;1,1,WWWW[[#This Row],['# HH received soaps]]/WWWW[[#This Row],[Total HH]])</f>
        <v>0</v>
      </c>
      <c r="CD254" s="211">
        <f>IF(WWWW[[#This Row],['# HH received Sanitary Pads]]/WWWW[[#This Row],[Total HH]]&gt;1,1,WWWW[[#This Row],['# HH received Sanitary Pads]]/WWWW[[#This Row],[Total HH]])</f>
        <v>0</v>
      </c>
      <c r="CE254" s="210">
        <f>WWWW[[#This Row],['# HH received soaps]]*5</f>
        <v>0</v>
      </c>
      <c r="CF254" s="210">
        <f>WWWW[[#This Row],['# HH received Sanitary Pads]]*5</f>
        <v>0</v>
      </c>
      <c r="CG254" s="210">
        <f>IF(WWWW[[#This Row],['# People with access to soap]]&gt;WWWW[[#This Row],['# People with access to Sanity Pads]],WWWW[[#This Row],['# People with access to soap]],WWWW[[#This Row],['# People with access to Sanity Pads]])</f>
        <v>0</v>
      </c>
      <c r="CH254" s="209">
        <f>WWWW[[#This Row],[Total HH]]*WWWW[[#This Row],[%HHs with access to functional hand washing stations]]</f>
        <v>0</v>
      </c>
      <c r="CI254" s="699">
        <f>VLOOKUP(WWWW[[#This Row],[Site Name]],SiteDB6[[Site Name]:[CCCM Management]],6,FALSE)</f>
        <v>0</v>
      </c>
      <c r="CJ254" s="699">
        <f>VLOOKUP(WWWW[[#This Row],[Site Name]],SiteDB6[[Site Name]:[CCCM Focal Agency]],7,FALSE)</f>
        <v>0</v>
      </c>
      <c r="CK254" s="699" t="str">
        <f>VLOOKUP(WWWW[[#This Row],[Site Name]],SiteDB6[[Site Name]:[Location Type]],8,FALSE)</f>
        <v>Village_Not HRP</v>
      </c>
      <c r="CL254" s="699" t="str">
        <f>VLOOKUP(WWWW[[#This Row],[Site Name]],SiteDB6[[Site Name]:[Location Type 1]],9,FALSE)</f>
        <v>Village</v>
      </c>
      <c r="CM254" s="699" t="str">
        <f>VLOOKUP(WWWW[[#This Row],[Site Name]],SiteDB6[[Site Name]:[Type of Accommodation]],10,FALSE)</f>
        <v>Village_Not HRP</v>
      </c>
      <c r="CN254" s="699" t="str">
        <f>VLOOKUP(WWWW[[#This Row],[Site Name]],SiteDB6[[Site Name]:[Ethnic or GCA/NGCA]],11,FALSE)</f>
        <v>Muslim</v>
      </c>
      <c r="CO254" s="699">
        <f>VLOOKUP(WWWW[[#This Row],[Site Name]],SiteDB6[[Site Name]:[Lat]],12,FALSE)</f>
        <v>20.859569549560501</v>
      </c>
      <c r="CP254" s="699">
        <f>VLOOKUP(WWWW[[#This Row],[Site Name]],SiteDB6[[Site Name]:[Long]],13,FALSE)</f>
        <v>92.941146850585895</v>
      </c>
      <c r="CQ254" s="699" t="str">
        <f>VLOOKUP(WWWW[[#This Row],[Site Name]],SiteDB6[[Site Name]:[Pcode]],3,FALSE)</f>
        <v>196823</v>
      </c>
      <c r="CR254" s="660" t="str">
        <f t="shared" si="5"/>
        <v>Covered</v>
      </c>
      <c r="CS254" s="699" t="s">
        <v>2738</v>
      </c>
      <c r="CT254" s="24"/>
      <c r="CU254" s="24"/>
      <c r="CV254" s="24"/>
    </row>
    <row r="255" spans="1:100" ht="15.75" customHeight="1" x14ac:dyDescent="0.25">
      <c r="A255" s="833" t="s">
        <v>3206</v>
      </c>
      <c r="B255" s="206" t="s">
        <v>479</v>
      </c>
      <c r="C255" s="206" t="s">
        <v>454</v>
      </c>
      <c r="D255" s="206" t="s">
        <v>463</v>
      </c>
      <c r="E255" s="206" t="s">
        <v>804</v>
      </c>
      <c r="F255" s="206">
        <v>513</v>
      </c>
      <c r="G255" s="209">
        <v>3224</v>
      </c>
      <c r="H255" s="206"/>
      <c r="I255" s="206" t="s">
        <v>495</v>
      </c>
      <c r="J255" s="207">
        <v>43616</v>
      </c>
      <c r="K255" s="206">
        <v>0</v>
      </c>
      <c r="L255" s="206" t="s">
        <v>2454</v>
      </c>
      <c r="M255" s="208">
        <v>0</v>
      </c>
      <c r="N255" s="208">
        <v>0</v>
      </c>
      <c r="O255" s="323">
        <v>0</v>
      </c>
      <c r="P255" s="317">
        <v>0</v>
      </c>
      <c r="Q255" s="317">
        <v>0</v>
      </c>
      <c r="R255" s="318">
        <v>0</v>
      </c>
      <c r="S255" s="318">
        <v>0</v>
      </c>
      <c r="T255" s="318"/>
      <c r="U255" s="318"/>
      <c r="V255" s="318"/>
      <c r="W255" s="318"/>
      <c r="X255" s="318"/>
      <c r="Y255" s="318"/>
      <c r="Z255" s="318"/>
      <c r="AA255" s="310">
        <v>0</v>
      </c>
      <c r="AB255" s="310">
        <v>0</v>
      </c>
      <c r="AC255" s="310"/>
      <c r="AD255" s="66"/>
      <c r="AE255" s="310">
        <v>0</v>
      </c>
      <c r="AF255" s="310" t="s">
        <v>1358</v>
      </c>
      <c r="AG255" s="311" t="s">
        <v>1358</v>
      </c>
      <c r="AH255" s="66"/>
      <c r="AI255" s="66"/>
      <c r="AJ255" s="310"/>
      <c r="AK255" s="841">
        <v>0</v>
      </c>
      <c r="AL255" s="842"/>
      <c r="AM255" s="842">
        <v>0</v>
      </c>
      <c r="AN255" s="863">
        <v>0</v>
      </c>
      <c r="AO255" s="863">
        <v>0</v>
      </c>
      <c r="AP255" s="843"/>
      <c r="AQ255" s="843"/>
      <c r="AR255" s="843"/>
      <c r="AS255" s="843"/>
      <c r="AT255" s="843"/>
      <c r="AU255" s="843"/>
      <c r="AV255" s="844"/>
      <c r="AW255" s="208" t="str">
        <f>IFERROR(WWWW[[#This Row],['# of Water passed at source]]/WWWW[[#This Row],['# of Water tested at source]],"no test")</f>
        <v>no test</v>
      </c>
      <c r="AX255" s="211" t="str">
        <f>IFERROR(WWWW[[#This Row],['# of Water passed at HH]]/WWWW[[#This Row],['# of Water tested at HH]],"no test")</f>
        <v>no test</v>
      </c>
      <c r="AY255" s="210" t="str">
        <f>IF(AND(WWWW[[#This Row],[%of Water samples which passed at water source]]="no test",WWWW[[#This Row],[%Water samples which passed at HH]]="no test"),"No Test","Tested")</f>
        <v>No Test</v>
      </c>
      <c r="AZ25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5" s="211">
        <f>IF(WWWW[[#This Row],[Location Type 1]]="Village",WWWW[[#This Row],[Access to safe drinking water for Village]],WWWW[[#This Row],[Access to safe drinking water for Camp]])</f>
        <v>0</v>
      </c>
      <c r="BC255" s="209">
        <f>WWWW[[#This Row],[%Equitable and continuous access to sufficient quantity of safe drinking water]]*WWWW[[#This Row],[Total PoP ]]</f>
        <v>0</v>
      </c>
      <c r="BD255" s="211">
        <f>IF((WWWW[[#This Row],['# Existing protected/fenced ponds ]]*250)/WWWW[[#This Row],[Total PoP ]]&gt;1,1,WWWW[[#This Row],['# Existing protected/fenced ponds ]]*250/WWWW[[#This Row],[Total PoP ]])</f>
        <v>0</v>
      </c>
      <c r="BE255" s="209">
        <f>WWWW[[#This Row],[Access to unimproved water points]]*WWWW[[#This Row],[Total PoP ]]</f>
        <v>0</v>
      </c>
      <c r="BF25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5" s="209">
        <f>ROUND(WWWW[[#This Row],['#people Equitable and continuous access to sufficient quantity of domestic water borehole n ponds_2]]/500,0)</f>
        <v>0</v>
      </c>
      <c r="BI255" s="208">
        <f>1-WWWW[[#This Row],[%Equitable and continuous access to sufficient quantity of domestic water borehole n ponds]]</f>
        <v>1</v>
      </c>
      <c r="BJ255" s="209">
        <f>WWWW[[#This Row],[%equitable and continuous access to sufficient quantity of safe drinking and domestic water''s GAP]]*WWWW[[#This Row],[Total PoP ]]</f>
        <v>3224</v>
      </c>
      <c r="BK255" s="210">
        <f>IF(WWWW[[#This Row],[Total required water points]]-WWWW[[#This Row],['#Water points coverage]]&lt;0,0,WWWW[[#This Row],[Total required water points]]-WWWW[[#This Row],['#Water points coverage]])</f>
        <v>6</v>
      </c>
      <c r="BL255" s="210">
        <f>ROUND(IF(WWWW[[#This Row],[Total PoP ]]&lt;500,1,WWWW[[#This Row],[Total PoP ]]/500),0)</f>
        <v>6</v>
      </c>
      <c r="BM255" s="210">
        <f>WWWW[[#This Row],['# Existing functional latrines]]+WWWW[[#This Row],['# Existing latrines dysfunctional]]</f>
        <v>0</v>
      </c>
      <c r="BN25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55" s="352">
        <f>WWWW[[#This Row],[% people access to functioning Latrine]]*WWWW[[#This Row],[Total PoP ]]</f>
        <v>0</v>
      </c>
      <c r="BP25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0.99937965260545902</v>
      </c>
      <c r="BQ255" s="209">
        <f>IF(WWWW[[#This Row],[Total required Latrines]]-WWWW[[#This Row],[Total '# of latrine]]&lt;0,0,WWWW[[#This Row],[Total required Latrines]]-WWWW[[#This Row],[Total '# of latrine]])</f>
        <v>537</v>
      </c>
      <c r="BR255" s="210">
        <f>ROUND(IF(WWWW[[#This Row],[Location Type 1]]="camp",WWWW[[#This Row],[Total PoP ]]/20,WWWW[[#This Row],[Total PoP ]]/6),0)</f>
        <v>537</v>
      </c>
      <c r="BS255" s="212">
        <f>IF(OR(WWWW[[#This Row],['# Existing latrines dysfunctional]]="",WWWW[[#This Row],['# Existing latrines dysfunctional]]=0),0,WWWW[[#This Row],['# Existing latrines dysfunctional]]/WWWW[[#This Row],[Total '# of latrine]])</f>
        <v>0</v>
      </c>
      <c r="BT25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5" s="209">
        <f>IF(500*WWWW[[#This Row],['# Hygiene Promoters ]]&gt;WWWW[[#This Row],[Total PoP ]],WWWW[[#This Row],[Total PoP ]],500*WWWW[[#This Row],['# Hygiene Promoters ]])</f>
        <v>0</v>
      </c>
      <c r="BV255" s="209">
        <f>IF(WWWW[[#This Row],[% of HH with access to Sanitary Pad]]&gt;=100%,1,0)</f>
        <v>0</v>
      </c>
      <c r="BW255" s="209">
        <f>IF(WWWW[[#This Row],[Total PoP ]]=0,0,IF(WWWW[[#This Row],['# Hygiene Promoters ]]=0,0,IF(WWWW[[#This Row],[Location Type 1]]="Village",IF(WWWW[[#This Row],[Total PoP ]]/WWWW[[#This Row],['# Hygiene Promoters ]]&lt;1000,1,0),IF(WWWW[[#This Row],[Total PoP ]]/WWWW[[#This Row],['# Hygiene Promoters ]]&lt;600,1,0))))</f>
        <v>0</v>
      </c>
      <c r="BX255" s="209">
        <f>IF(WWWW[[#This Row],[%HH with access to soap]]&gt;=100%,1,0)</f>
        <v>0</v>
      </c>
      <c r="BY255" s="209">
        <f>IF(WWWW[[#This Row],[% of HHs with access to Sanitary pad more than '#%]]+WWWW[[#This Row],[Ratio of Hyiene promoters to people less than '#]]+WWWW[[#This Row],[% of HHs with access to soap more than '#%]]&gt;=2,WWWW[[#This Row],[Total PoP ]],0)</f>
        <v>0</v>
      </c>
      <c r="BZ255" s="208">
        <f>WWWW[[#This Row],[People adopt basic personal and community hygiene practices]]/WWWW[[#This Row],[Total PoP ]]</f>
        <v>0</v>
      </c>
      <c r="CA255" s="212">
        <f>1-WWWW[[#This Row],[Hygiene Coverage%]]</f>
        <v>1</v>
      </c>
      <c r="CB255" s="211">
        <f>WWWW[[#This Row],['# people reached by regular dedicated hygiene promotion_5]]/WWWW[[#This Row],[Total PoP ]]</f>
        <v>0</v>
      </c>
      <c r="CC255" s="211">
        <f>IF(WWWW[[#This Row],['# HH received soaps]]/WWWW[[#This Row],[Total HH]]&gt;1,1,WWWW[[#This Row],['# HH received soaps]]/WWWW[[#This Row],[Total HH]])</f>
        <v>0</v>
      </c>
      <c r="CD255" s="211">
        <f>IF(WWWW[[#This Row],['# HH received Sanitary Pads]]/WWWW[[#This Row],[Total HH]]&gt;1,1,WWWW[[#This Row],['# HH received Sanitary Pads]]/WWWW[[#This Row],[Total HH]])</f>
        <v>0</v>
      </c>
      <c r="CE255" s="210">
        <f>WWWW[[#This Row],['# HH received soaps]]*5</f>
        <v>0</v>
      </c>
      <c r="CF255" s="210">
        <f>WWWW[[#This Row],['# HH received Sanitary Pads]]*5</f>
        <v>0</v>
      </c>
      <c r="CG255" s="210">
        <f>IF(WWWW[[#This Row],['# People with access to soap]]&gt;WWWW[[#This Row],['# People with access to Sanity Pads]],WWWW[[#This Row],['# People with access to soap]],WWWW[[#This Row],['# People with access to Sanity Pads]])</f>
        <v>0</v>
      </c>
      <c r="CH255" s="209">
        <f>WWWW[[#This Row],[Total HH]]*WWWW[[#This Row],[%HHs with access to functional hand washing stations]]</f>
        <v>0</v>
      </c>
      <c r="CI255" s="699">
        <f>VLOOKUP(WWWW[[#This Row],[Site Name]],SiteDB6[[Site Name]:[CCCM Management]],6,FALSE)</f>
        <v>0</v>
      </c>
      <c r="CJ255" s="699">
        <f>VLOOKUP(WWWW[[#This Row],[Site Name]],SiteDB6[[Site Name]:[CCCM Focal Agency]],7,FALSE)</f>
        <v>0</v>
      </c>
      <c r="CK255" s="699" t="str">
        <f>VLOOKUP(WWWW[[#This Row],[Site Name]],SiteDB6[[Site Name]:[Location Type]],8,FALSE)</f>
        <v>Village_Not HRP</v>
      </c>
      <c r="CL255" s="699" t="str">
        <f>VLOOKUP(WWWW[[#This Row],[Site Name]],SiteDB6[[Site Name]:[Location Type 1]],9,FALSE)</f>
        <v>Village</v>
      </c>
      <c r="CM255" s="699" t="str">
        <f>VLOOKUP(WWWW[[#This Row],[Site Name]],SiteDB6[[Site Name]:[Type of Accommodation]],10,FALSE)</f>
        <v>Village_Not HRP</v>
      </c>
      <c r="CN255" s="699" t="str">
        <f>VLOOKUP(WWWW[[#This Row],[Site Name]],SiteDB6[[Site Name]:[Ethnic or GCA/NGCA]],11,FALSE)</f>
        <v>Muslim</v>
      </c>
      <c r="CO255" s="699">
        <f>VLOOKUP(WWWW[[#This Row],[Site Name]],SiteDB6[[Site Name]:[Lat]],12,FALSE)</f>
        <v>20.864519119262699</v>
      </c>
      <c r="CP255" s="699">
        <f>VLOOKUP(WWWW[[#This Row],[Site Name]],SiteDB6[[Site Name]:[Long]],13,FALSE)</f>
        <v>92.940399169921903</v>
      </c>
      <c r="CQ255" s="699">
        <f>VLOOKUP(WWWW[[#This Row],[Site Name]],SiteDB6[[Site Name]:[Pcode]],3,FALSE)</f>
        <v>196817</v>
      </c>
      <c r="CR255" s="660" t="str">
        <f t="shared" si="5"/>
        <v>Covered</v>
      </c>
      <c r="CS255" s="699" t="s">
        <v>2738</v>
      </c>
      <c r="CT255" s="24"/>
      <c r="CU255" s="24"/>
      <c r="CV255" s="24"/>
    </row>
    <row r="256" spans="1:100" ht="15.75" customHeight="1" x14ac:dyDescent="0.25">
      <c r="A256" s="833" t="s">
        <v>3206</v>
      </c>
      <c r="B256" s="206" t="s">
        <v>479</v>
      </c>
      <c r="C256" s="206" t="s">
        <v>454</v>
      </c>
      <c r="D256" s="206" t="s">
        <v>463</v>
      </c>
      <c r="E256" s="206" t="s">
        <v>2739</v>
      </c>
      <c r="F256" s="206">
        <v>168</v>
      </c>
      <c r="G256" s="209">
        <v>1002</v>
      </c>
      <c r="H256" s="206"/>
      <c r="I256" s="206" t="s">
        <v>495</v>
      </c>
      <c r="J256" s="207">
        <v>43616</v>
      </c>
      <c r="K256" s="206">
        <v>0</v>
      </c>
      <c r="L256" s="206" t="s">
        <v>2454</v>
      </c>
      <c r="M256" s="208">
        <v>0</v>
      </c>
      <c r="N256" s="208">
        <v>0</v>
      </c>
      <c r="O256" s="316">
        <v>0</v>
      </c>
      <c r="P256" s="317">
        <v>0</v>
      </c>
      <c r="Q256" s="317">
        <v>0</v>
      </c>
      <c r="R256" s="318">
        <v>0</v>
      </c>
      <c r="S256" s="318">
        <v>0</v>
      </c>
      <c r="T256" s="318"/>
      <c r="U256" s="318"/>
      <c r="V256" s="318"/>
      <c r="W256" s="318"/>
      <c r="X256" s="318"/>
      <c r="Y256" s="318"/>
      <c r="Z256" s="318"/>
      <c r="AA256" s="310">
        <v>1</v>
      </c>
      <c r="AB256" s="310">
        <v>0</v>
      </c>
      <c r="AC256" s="66"/>
      <c r="AD256" s="66"/>
      <c r="AE256" s="310">
        <v>0</v>
      </c>
      <c r="AF256" s="310" t="s">
        <v>1358</v>
      </c>
      <c r="AG256" s="311" t="s">
        <v>1358</v>
      </c>
      <c r="AH256" s="311"/>
      <c r="AI256" s="310"/>
      <c r="AJ256" s="310"/>
      <c r="AK256" s="841">
        <v>0</v>
      </c>
      <c r="AL256" s="842"/>
      <c r="AM256" s="842">
        <v>0</v>
      </c>
      <c r="AN256" s="863">
        <v>0</v>
      </c>
      <c r="AO256" s="863">
        <v>0</v>
      </c>
      <c r="AP256" s="843"/>
      <c r="AQ256" s="843"/>
      <c r="AR256" s="843"/>
      <c r="AS256" s="843"/>
      <c r="AT256" s="843"/>
      <c r="AU256" s="843"/>
      <c r="AV256" s="844"/>
      <c r="AW256" s="208" t="str">
        <f>IFERROR(WWWW[[#This Row],['# of Water passed at source]]/WWWW[[#This Row],['# of Water tested at source]],"no test")</f>
        <v>no test</v>
      </c>
      <c r="AX256" s="211" t="str">
        <f>IFERROR(WWWW[[#This Row],['# of Water passed at HH]]/WWWW[[#This Row],['# of Water tested at HH]],"no test")</f>
        <v>no test</v>
      </c>
      <c r="AY256" s="210" t="str">
        <f>IF(AND(WWWW[[#This Row],[%of Water samples which passed at water source]]="no test",WWWW[[#This Row],[%Water samples which passed at HH]]="no test"),"No Test","Tested")</f>
        <v>No Test</v>
      </c>
      <c r="AZ25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6" s="211">
        <f>IF(WWWW[[#This Row],[Location Type 1]]="Village",WWWW[[#This Row],[Access to safe drinking water for Village]],WWWW[[#This Row],[Access to safe drinking water for Camp]])</f>
        <v>0</v>
      </c>
      <c r="BC256" s="209">
        <f>WWWW[[#This Row],[%Equitable and continuous access to sufficient quantity of safe drinking water]]*WWWW[[#This Row],[Total PoP ]]</f>
        <v>0</v>
      </c>
      <c r="BD256" s="211">
        <f>IF((WWWW[[#This Row],['# Existing protected/fenced ponds ]]*250)/WWWW[[#This Row],[Total PoP ]]&gt;1,1,WWWW[[#This Row],['# Existing protected/fenced ponds ]]*250/WWWW[[#This Row],[Total PoP ]])</f>
        <v>0</v>
      </c>
      <c r="BE256" s="209">
        <f>WWWW[[#This Row],[Access to unimproved water points]]*WWWW[[#This Row],[Total PoP ]]</f>
        <v>0</v>
      </c>
      <c r="BF25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6" s="209">
        <f>ROUND(WWWW[[#This Row],['#people Equitable and continuous access to sufficient quantity of domestic water borehole n ponds_2]]/500,0)</f>
        <v>0</v>
      </c>
      <c r="BI256" s="208">
        <f>1-WWWW[[#This Row],[%Equitable and continuous access to sufficient quantity of domestic water borehole n ponds]]</f>
        <v>1</v>
      </c>
      <c r="BJ256" s="209">
        <f>WWWW[[#This Row],[%equitable and continuous access to sufficient quantity of safe drinking and domestic water''s GAP]]*WWWW[[#This Row],[Total PoP ]]</f>
        <v>1002</v>
      </c>
      <c r="BK256" s="210">
        <f>IF(WWWW[[#This Row],[Total required water points]]-WWWW[[#This Row],['#Water points coverage]]&lt;0,0,WWWW[[#This Row],[Total required water points]]-WWWW[[#This Row],['#Water points coverage]])</f>
        <v>2</v>
      </c>
      <c r="BL256" s="210">
        <f>ROUND(IF(WWWW[[#This Row],[Total PoP ]]&lt;500,1,WWWW[[#This Row],[Total PoP ]]/500),0)</f>
        <v>2</v>
      </c>
      <c r="BM256" s="210">
        <f>WWWW[[#This Row],['# Existing functional latrines]]+WWWW[[#This Row],['# Existing latrines dysfunctional]]</f>
        <v>1</v>
      </c>
      <c r="BN25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5.9880239520958087E-3</v>
      </c>
      <c r="BO256" s="352">
        <f>WWWW[[#This Row],[% people access to functioning Latrine]]*WWWW[[#This Row],[Total PoP ]]</f>
        <v>6</v>
      </c>
      <c r="BP25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0.99401197604790414</v>
      </c>
      <c r="BQ256" s="209">
        <f>IF(WWWW[[#This Row],[Total required Latrines]]-WWWW[[#This Row],[Total '# of latrine]]&lt;0,0,WWWW[[#This Row],[Total required Latrines]]-WWWW[[#This Row],[Total '# of latrine]])</f>
        <v>166</v>
      </c>
      <c r="BR256" s="210">
        <f>ROUND(IF(WWWW[[#This Row],[Location Type 1]]="camp",WWWW[[#This Row],[Total PoP ]]/20,WWWW[[#This Row],[Total PoP ]]/6),0)</f>
        <v>167</v>
      </c>
      <c r="BS256" s="212">
        <f>IF(OR(WWWW[[#This Row],['# Existing latrines dysfunctional]]="",WWWW[[#This Row],['# Existing latrines dysfunctional]]=0),0,WWWW[[#This Row],['# Existing latrines dysfunctional]]/WWWW[[#This Row],[Total '# of latrine]])</f>
        <v>0</v>
      </c>
      <c r="BT25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6" s="209">
        <f>IF(500*WWWW[[#This Row],['# Hygiene Promoters ]]&gt;WWWW[[#This Row],[Total PoP ]],WWWW[[#This Row],[Total PoP ]],500*WWWW[[#This Row],['# Hygiene Promoters ]])</f>
        <v>0</v>
      </c>
      <c r="BV256" s="209">
        <f>IF(WWWW[[#This Row],[% of HH with access to Sanitary Pad]]&gt;=100%,1,0)</f>
        <v>0</v>
      </c>
      <c r="BW256" s="209">
        <f>IF(WWWW[[#This Row],[Total PoP ]]=0,0,IF(WWWW[[#This Row],['# Hygiene Promoters ]]=0,0,IF(WWWW[[#This Row],[Location Type 1]]="Village",IF(WWWW[[#This Row],[Total PoP ]]/WWWW[[#This Row],['# Hygiene Promoters ]]&lt;1000,1,0),IF(WWWW[[#This Row],[Total PoP ]]/WWWW[[#This Row],['# Hygiene Promoters ]]&lt;600,1,0))))</f>
        <v>0</v>
      </c>
      <c r="BX256" s="209">
        <f>IF(WWWW[[#This Row],[%HH with access to soap]]&gt;=100%,1,0)</f>
        <v>0</v>
      </c>
      <c r="BY256" s="209">
        <f>IF(WWWW[[#This Row],[% of HHs with access to Sanitary pad more than '#%]]+WWWW[[#This Row],[Ratio of Hyiene promoters to people less than '#]]+WWWW[[#This Row],[% of HHs with access to soap more than '#%]]&gt;=2,WWWW[[#This Row],[Total PoP ]],0)</f>
        <v>0</v>
      </c>
      <c r="BZ256" s="208">
        <f>WWWW[[#This Row],[People adopt basic personal and community hygiene practices]]/WWWW[[#This Row],[Total PoP ]]</f>
        <v>0</v>
      </c>
      <c r="CA256" s="212">
        <f>1-WWWW[[#This Row],[Hygiene Coverage%]]</f>
        <v>1</v>
      </c>
      <c r="CB256" s="211">
        <f>WWWW[[#This Row],['# people reached by regular dedicated hygiene promotion_5]]/WWWW[[#This Row],[Total PoP ]]</f>
        <v>0</v>
      </c>
      <c r="CC256" s="211">
        <f>IF(WWWW[[#This Row],['# HH received soaps]]/WWWW[[#This Row],[Total HH]]&gt;1,1,WWWW[[#This Row],['# HH received soaps]]/WWWW[[#This Row],[Total HH]])</f>
        <v>0</v>
      </c>
      <c r="CD256" s="211">
        <f>IF(WWWW[[#This Row],['# HH received Sanitary Pads]]/WWWW[[#This Row],[Total HH]]&gt;1,1,WWWW[[#This Row],['# HH received Sanitary Pads]]/WWWW[[#This Row],[Total HH]])</f>
        <v>0</v>
      </c>
      <c r="CE256" s="210">
        <f>WWWW[[#This Row],['# HH received soaps]]*5</f>
        <v>0</v>
      </c>
      <c r="CF256" s="210">
        <f>WWWW[[#This Row],['# HH received Sanitary Pads]]*5</f>
        <v>0</v>
      </c>
      <c r="CG256" s="210">
        <f>IF(WWWW[[#This Row],['# People with access to soap]]&gt;WWWW[[#This Row],['# People with access to Sanity Pads]],WWWW[[#This Row],['# People with access to soap]],WWWW[[#This Row],['# People with access to Sanity Pads]])</f>
        <v>0</v>
      </c>
      <c r="CH256" s="209">
        <f>WWWW[[#This Row],[Total HH]]*WWWW[[#This Row],[%HHs with access to functional hand washing stations]]</f>
        <v>0</v>
      </c>
      <c r="CI256" s="699">
        <f>VLOOKUP(WWWW[[#This Row],[Site Name]],SiteDB6[[Site Name]:[CCCM Management]],6,FALSE)</f>
        <v>0</v>
      </c>
      <c r="CJ256" s="699">
        <f>VLOOKUP(WWWW[[#This Row],[Site Name]],SiteDB6[[Site Name]:[CCCM Focal Agency]],7,FALSE)</f>
        <v>0</v>
      </c>
      <c r="CK256" s="699" t="str">
        <f>VLOOKUP(WWWW[[#This Row],[Site Name]],SiteDB6[[Site Name]:[Location Type]],8,FALSE)</f>
        <v>Village_Not HRP</v>
      </c>
      <c r="CL256" s="699" t="str">
        <f>VLOOKUP(WWWW[[#This Row],[Site Name]],SiteDB6[[Site Name]:[Location Type 1]],9,FALSE)</f>
        <v>Village</v>
      </c>
      <c r="CM256" s="699" t="str">
        <f>VLOOKUP(WWWW[[#This Row],[Site Name]],SiteDB6[[Site Name]:[Type of Accommodation]],10,FALSE)</f>
        <v>Village_Not HRP</v>
      </c>
      <c r="CN256" s="699" t="str">
        <f>VLOOKUP(WWWW[[#This Row],[Site Name]],SiteDB6[[Site Name]:[Ethnic or GCA/NGCA]],11,FALSE)</f>
        <v>Muslim</v>
      </c>
      <c r="CO256" s="699">
        <f>VLOOKUP(WWWW[[#This Row],[Site Name]],SiteDB6[[Site Name]:[Lat]],12,FALSE)</f>
        <v>0</v>
      </c>
      <c r="CP256" s="699">
        <f>VLOOKUP(WWWW[[#This Row],[Site Name]],SiteDB6[[Site Name]:[Long]],13,FALSE)</f>
        <v>0</v>
      </c>
      <c r="CQ256" s="699">
        <f>VLOOKUP(WWWW[[#This Row],[Site Name]],SiteDB6[[Site Name]:[Pcode]],3,FALSE)</f>
        <v>196818</v>
      </c>
      <c r="CR256" s="660" t="str">
        <f t="shared" si="5"/>
        <v>Covered</v>
      </c>
      <c r="CS256" s="699" t="s">
        <v>2738</v>
      </c>
      <c r="CT256" s="24"/>
      <c r="CU256" s="24"/>
      <c r="CV256" s="24"/>
    </row>
    <row r="257" spans="1:100" ht="15.75" customHeight="1" x14ac:dyDescent="0.25">
      <c r="A257" s="833" t="s">
        <v>3206</v>
      </c>
      <c r="B257" s="206" t="s">
        <v>460</v>
      </c>
      <c r="C257" s="206" t="s">
        <v>454</v>
      </c>
      <c r="D257" s="206" t="s">
        <v>463</v>
      </c>
      <c r="E257" s="206" t="s">
        <v>780</v>
      </c>
      <c r="F257" s="206">
        <f>ROUND(WWWW[[#This Row],[Total PoP ]]/5,0)</f>
        <v>181</v>
      </c>
      <c r="G257" s="209">
        <v>907</v>
      </c>
      <c r="H257" s="206"/>
      <c r="I257" s="206"/>
      <c r="J257" s="207"/>
      <c r="K257" s="206"/>
      <c r="L257" s="206" t="s">
        <v>282</v>
      </c>
      <c r="M257" s="208">
        <v>0</v>
      </c>
      <c r="N257" s="208">
        <v>0</v>
      </c>
      <c r="O257" s="316">
        <v>0</v>
      </c>
      <c r="P257" s="317">
        <v>0</v>
      </c>
      <c r="Q257" s="317"/>
      <c r="R257" s="318"/>
      <c r="S257" s="318">
        <v>0</v>
      </c>
      <c r="T257" s="318"/>
      <c r="U257" s="318"/>
      <c r="V257" s="318"/>
      <c r="W257" s="318"/>
      <c r="X257" s="318"/>
      <c r="Y257" s="318"/>
      <c r="Z257" s="318"/>
      <c r="AA257" s="310">
        <v>41</v>
      </c>
      <c r="AB257" s="310"/>
      <c r="AC257" s="66"/>
      <c r="AD257" s="66"/>
      <c r="AE257" s="310">
        <v>0</v>
      </c>
      <c r="AF257" s="310" t="s">
        <v>286</v>
      </c>
      <c r="AG257" s="311" t="s">
        <v>286</v>
      </c>
      <c r="AH257" s="66"/>
      <c r="AI257" s="66"/>
      <c r="AJ257" s="310"/>
      <c r="AK257" s="841">
        <v>0</v>
      </c>
      <c r="AL257" s="842"/>
      <c r="AM257" s="842">
        <v>0</v>
      </c>
      <c r="AN257" s="863"/>
      <c r="AO257" s="863">
        <v>0</v>
      </c>
      <c r="AP257" s="843"/>
      <c r="AQ257" s="843"/>
      <c r="AR257" s="843"/>
      <c r="AS257" s="843"/>
      <c r="AT257" s="843"/>
      <c r="AU257" s="843"/>
      <c r="AV257" s="844"/>
      <c r="AW257" s="208" t="str">
        <f>IFERROR(WWWW[[#This Row],['# of Water passed at source]]/WWWW[[#This Row],['# of Water tested at source]],"no test")</f>
        <v>no test</v>
      </c>
      <c r="AX257" s="211" t="str">
        <f>IFERROR(WWWW[[#This Row],['# of Water passed at HH]]/WWWW[[#This Row],['# of Water tested at HH]],"no test")</f>
        <v>no test</v>
      </c>
      <c r="AY257" s="210" t="str">
        <f>IF(AND(WWWW[[#This Row],[%of Water samples which passed at water source]]="no test",WWWW[[#This Row],[%Water samples which passed at HH]]="no test"),"No Test","Tested")</f>
        <v>No Test</v>
      </c>
      <c r="AZ25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7" s="211">
        <f>IF(WWWW[[#This Row],[Location Type 1]]="Village",WWWW[[#This Row],[Access to safe drinking water for Village]],WWWW[[#This Row],[Access to safe drinking water for Camp]])</f>
        <v>0</v>
      </c>
      <c r="BC257" s="209">
        <f>WWWW[[#This Row],[%Equitable and continuous access to sufficient quantity of safe drinking water]]*WWWW[[#This Row],[Total PoP ]]</f>
        <v>0</v>
      </c>
      <c r="BD257" s="211">
        <f>IF((WWWW[[#This Row],['# Existing protected/fenced ponds ]]*250)/WWWW[[#This Row],[Total PoP ]]&gt;1,1,WWWW[[#This Row],['# Existing protected/fenced ponds ]]*250/WWWW[[#This Row],[Total PoP ]])</f>
        <v>0</v>
      </c>
      <c r="BE257" s="209">
        <f>WWWW[[#This Row],[Access to unimproved water points]]*WWWW[[#This Row],[Total PoP ]]</f>
        <v>0</v>
      </c>
      <c r="BF25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7" s="209">
        <f>ROUND(WWWW[[#This Row],['#people Equitable and continuous access to sufficient quantity of domestic water borehole n ponds_2]]/500,0)</f>
        <v>0</v>
      </c>
      <c r="BI257" s="208">
        <f>1-WWWW[[#This Row],[%Equitable and continuous access to sufficient quantity of domestic water borehole n ponds]]</f>
        <v>1</v>
      </c>
      <c r="BJ257" s="209">
        <f>WWWW[[#This Row],[%equitable and continuous access to sufficient quantity of safe drinking and domestic water''s GAP]]*WWWW[[#This Row],[Total PoP ]]</f>
        <v>907</v>
      </c>
      <c r="BK257" s="210">
        <f>IF(WWWW[[#This Row],[Total required water points]]-WWWW[[#This Row],['#Water points coverage]]&lt;0,0,WWWW[[#This Row],[Total required water points]]-WWWW[[#This Row],['#Water points coverage]])</f>
        <v>2</v>
      </c>
      <c r="BL257" s="210">
        <f>ROUND(IF(WWWW[[#This Row],[Total PoP ]]&lt;500,1,WWWW[[#This Row],[Total PoP ]]/500),0)</f>
        <v>2</v>
      </c>
      <c r="BM257" s="210">
        <f>WWWW[[#This Row],['# Existing functional latrines]]+WWWW[[#This Row],['# Existing latrines dysfunctional]]</f>
        <v>41</v>
      </c>
      <c r="BN25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0.27122381477398017</v>
      </c>
      <c r="BO257" s="352">
        <f>WWWW[[#This Row],[% people access to functioning Latrine]]*WWWW[[#This Row],[Total PoP ]]</f>
        <v>246</v>
      </c>
      <c r="BP25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0.72767364939360535</v>
      </c>
      <c r="BQ257" s="209">
        <f>IF(WWWW[[#This Row],[Total required Latrines]]-WWWW[[#This Row],[Total '# of latrine]]&lt;0,0,WWWW[[#This Row],[Total required Latrines]]-WWWW[[#This Row],[Total '# of latrine]])</f>
        <v>110</v>
      </c>
      <c r="BR257" s="210">
        <f>ROUND(IF(WWWW[[#This Row],[Location Type 1]]="camp",WWWW[[#This Row],[Total PoP ]]/20,WWWW[[#This Row],[Total PoP ]]/6),0)</f>
        <v>151</v>
      </c>
      <c r="BS257" s="212">
        <f>IF(OR(WWWW[[#This Row],['# Existing latrines dysfunctional]]="",WWWW[[#This Row],['# Existing latrines dysfunctional]]=0),0,WWWW[[#This Row],['# Existing latrines dysfunctional]]/WWWW[[#This Row],[Total '# of latrine]])</f>
        <v>0</v>
      </c>
      <c r="BT25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7" s="209">
        <f>IF(500*WWWW[[#This Row],['# Hygiene Promoters ]]&gt;WWWW[[#This Row],[Total PoP ]],WWWW[[#This Row],[Total PoP ]],500*WWWW[[#This Row],['# Hygiene Promoters ]])</f>
        <v>0</v>
      </c>
      <c r="BV257" s="209">
        <f>IF(WWWW[[#This Row],[% of HH with access to Sanitary Pad]]&gt;=100%,1,0)</f>
        <v>0</v>
      </c>
      <c r="BW257" s="209">
        <f>IF(WWWW[[#This Row],[Total PoP ]]=0,0,IF(WWWW[[#This Row],['# Hygiene Promoters ]]=0,0,IF(WWWW[[#This Row],[Location Type 1]]="Village",IF(WWWW[[#This Row],[Total PoP ]]/WWWW[[#This Row],['# Hygiene Promoters ]]&lt;1000,1,0),IF(WWWW[[#This Row],[Total PoP ]]/WWWW[[#This Row],['# Hygiene Promoters ]]&lt;600,1,0))))</f>
        <v>0</v>
      </c>
      <c r="BX257" s="209">
        <f>IF(WWWW[[#This Row],[%HH with access to soap]]&gt;=100%,1,0)</f>
        <v>0</v>
      </c>
      <c r="BY257" s="209">
        <f>IF(WWWW[[#This Row],[% of HHs with access to Sanitary pad more than '#%]]+WWWW[[#This Row],[Ratio of Hyiene promoters to people less than '#]]+WWWW[[#This Row],[% of HHs with access to soap more than '#%]]&gt;=2,WWWW[[#This Row],[Total PoP ]],0)</f>
        <v>0</v>
      </c>
      <c r="BZ257" s="208">
        <f>WWWW[[#This Row],[People adopt basic personal and community hygiene practices]]/WWWW[[#This Row],[Total PoP ]]</f>
        <v>0</v>
      </c>
      <c r="CA257" s="212">
        <f>1-WWWW[[#This Row],[Hygiene Coverage%]]</f>
        <v>1</v>
      </c>
      <c r="CB257" s="211">
        <f>WWWW[[#This Row],['# people reached by regular dedicated hygiene promotion_5]]/WWWW[[#This Row],[Total PoP ]]</f>
        <v>0</v>
      </c>
      <c r="CC257" s="211">
        <f>IF(WWWW[[#This Row],['# HH received soaps]]/WWWW[[#This Row],[Total HH]]&gt;1,1,WWWW[[#This Row],['# HH received soaps]]/WWWW[[#This Row],[Total HH]])</f>
        <v>0</v>
      </c>
      <c r="CD257" s="211">
        <f>IF(WWWW[[#This Row],['# HH received Sanitary Pads]]/WWWW[[#This Row],[Total HH]]&gt;1,1,WWWW[[#This Row],['# HH received Sanitary Pads]]/WWWW[[#This Row],[Total HH]])</f>
        <v>0</v>
      </c>
      <c r="CE257" s="210">
        <f>WWWW[[#This Row],['# HH received soaps]]*5</f>
        <v>0</v>
      </c>
      <c r="CF257" s="210">
        <f>WWWW[[#This Row],['# HH received Sanitary Pads]]*5</f>
        <v>0</v>
      </c>
      <c r="CG257" s="210">
        <f>IF(WWWW[[#This Row],['# People with access to soap]]&gt;WWWW[[#This Row],['# People with access to Sanity Pads]],WWWW[[#This Row],['# People with access to soap]],WWWW[[#This Row],['# People with access to Sanity Pads]])</f>
        <v>0</v>
      </c>
      <c r="CH257" s="209">
        <f>WWWW[[#This Row],[Total HH]]*WWWW[[#This Row],[%HHs with access to functional hand washing stations]]</f>
        <v>0</v>
      </c>
      <c r="CI257" s="699">
        <f>VLOOKUP(WWWW[[#This Row],[Site Name]],SiteDB6[[Site Name]:[CCCM Management]],6,FALSE)</f>
        <v>0</v>
      </c>
      <c r="CJ257" s="699">
        <f>VLOOKUP(WWWW[[#This Row],[Site Name]],SiteDB6[[Site Name]:[CCCM Focal Agency]],7,FALSE)</f>
        <v>0</v>
      </c>
      <c r="CK257" s="699" t="str">
        <f>VLOOKUP(WWWW[[#This Row],[Site Name]],SiteDB6[[Site Name]:[Location Type]],8,FALSE)</f>
        <v>Village</v>
      </c>
      <c r="CL257" s="699" t="str">
        <f>VLOOKUP(WWWW[[#This Row],[Site Name]],SiteDB6[[Site Name]:[Location Type 1]],9,FALSE)</f>
        <v>Village</v>
      </c>
      <c r="CM257" s="699" t="str">
        <f>VLOOKUP(WWWW[[#This Row],[Site Name]],SiteDB6[[Site Name]:[Type of Accommodation]],10,FALSE)</f>
        <v>Village</v>
      </c>
      <c r="CN257" s="699" t="str">
        <f>VLOOKUP(WWWW[[#This Row],[Site Name]],SiteDB6[[Site Name]:[Ethnic or GCA/NGCA]],11,FALSE)</f>
        <v>Rakhine</v>
      </c>
      <c r="CO257" s="699">
        <f>VLOOKUP(WWWW[[#This Row],[Site Name]],SiteDB6[[Site Name]:[Lat]],12,FALSE)</f>
        <v>20.806400299072301</v>
      </c>
      <c r="CP257" s="699">
        <f>VLOOKUP(WWWW[[#This Row],[Site Name]],SiteDB6[[Site Name]:[Long]],13,FALSE)</f>
        <v>92.982147216796903</v>
      </c>
      <c r="CQ257" s="699" t="str">
        <f>VLOOKUP(WWWW[[#This Row],[Site Name]],SiteDB6[[Site Name]:[Pcode]],3,FALSE)</f>
        <v>196873</v>
      </c>
      <c r="CR257" s="660" t="str">
        <f t="shared" si="5"/>
        <v>Notcovered</v>
      </c>
      <c r="CS257" s="699"/>
      <c r="CT257" s="24"/>
      <c r="CU257" s="24"/>
      <c r="CV257" s="24"/>
    </row>
    <row r="258" spans="1:100" ht="15.75" customHeight="1" x14ac:dyDescent="0.25">
      <c r="A258" s="833" t="s">
        <v>3206</v>
      </c>
      <c r="B258" s="206" t="s">
        <v>479</v>
      </c>
      <c r="C258" s="206" t="s">
        <v>454</v>
      </c>
      <c r="D258" s="206" t="s">
        <v>463</v>
      </c>
      <c r="E258" s="206" t="s">
        <v>671</v>
      </c>
      <c r="F258" s="206">
        <v>173</v>
      </c>
      <c r="G258" s="209">
        <v>867</v>
      </c>
      <c r="H258" s="206"/>
      <c r="I258" s="206" t="s">
        <v>495</v>
      </c>
      <c r="J258" s="207">
        <v>43616</v>
      </c>
      <c r="K258" s="206">
        <v>20</v>
      </c>
      <c r="L258" s="206" t="s">
        <v>2454</v>
      </c>
      <c r="M258" s="208">
        <v>0</v>
      </c>
      <c r="N258" s="208">
        <v>0</v>
      </c>
      <c r="O258" s="316">
        <v>0</v>
      </c>
      <c r="P258" s="317">
        <v>0</v>
      </c>
      <c r="Q258" s="317">
        <v>0</v>
      </c>
      <c r="R258" s="318">
        <v>0</v>
      </c>
      <c r="S258" s="318">
        <v>0</v>
      </c>
      <c r="T258" s="318"/>
      <c r="U258" s="318"/>
      <c r="V258" s="318"/>
      <c r="W258" s="318"/>
      <c r="X258" s="318"/>
      <c r="Y258" s="318"/>
      <c r="Z258" s="318"/>
      <c r="AA258" s="310">
        <v>17</v>
      </c>
      <c r="AB258" s="310">
        <v>0</v>
      </c>
      <c r="AC258" s="66"/>
      <c r="AD258" s="66"/>
      <c r="AE258" s="310">
        <v>0</v>
      </c>
      <c r="AF258" s="310" t="s">
        <v>1358</v>
      </c>
      <c r="AG258" s="311" t="s">
        <v>1358</v>
      </c>
      <c r="AH258" s="311"/>
      <c r="AI258" s="310"/>
      <c r="AJ258" s="310"/>
      <c r="AK258" s="841">
        <v>0</v>
      </c>
      <c r="AL258" s="842"/>
      <c r="AM258" s="842">
        <v>0</v>
      </c>
      <c r="AN258" s="863">
        <v>0</v>
      </c>
      <c r="AO258" s="863">
        <v>0</v>
      </c>
      <c r="AP258" s="843"/>
      <c r="AQ258" s="843"/>
      <c r="AR258" s="843"/>
      <c r="AS258" s="843"/>
      <c r="AT258" s="843"/>
      <c r="AU258" s="843"/>
      <c r="AV258" s="844"/>
      <c r="AW258" s="208" t="str">
        <f>IFERROR(WWWW[[#This Row],['# of Water passed at source]]/WWWW[[#This Row],['# of Water tested at source]],"no test")</f>
        <v>no test</v>
      </c>
      <c r="AX258" s="211" t="str">
        <f>IFERROR(WWWW[[#This Row],['# of Water passed at HH]]/WWWW[[#This Row],['# of Water tested at HH]],"no test")</f>
        <v>no test</v>
      </c>
      <c r="AY258" s="210" t="str">
        <f>IF(AND(WWWW[[#This Row],[%of Water samples which passed at water source]]="no test",WWWW[[#This Row],[%Water samples which passed at HH]]="no test"),"No Test","Tested")</f>
        <v>No Test</v>
      </c>
      <c r="AZ25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8" s="211">
        <f>IF(WWWW[[#This Row],[Location Type 1]]="Village",WWWW[[#This Row],[Access to safe drinking water for Village]],WWWW[[#This Row],[Access to safe drinking water for Camp]])</f>
        <v>0</v>
      </c>
      <c r="BC258" s="209">
        <f>WWWW[[#This Row],[%Equitable and continuous access to sufficient quantity of safe drinking water]]*WWWW[[#This Row],[Total PoP ]]</f>
        <v>0</v>
      </c>
      <c r="BD258" s="211">
        <f>IF((WWWW[[#This Row],['# Existing protected/fenced ponds ]]*250)/WWWW[[#This Row],[Total PoP ]]&gt;1,1,WWWW[[#This Row],['# Existing protected/fenced ponds ]]*250/WWWW[[#This Row],[Total PoP ]])</f>
        <v>0</v>
      </c>
      <c r="BE258" s="209">
        <f>WWWW[[#This Row],[Access to unimproved water points]]*WWWW[[#This Row],[Total PoP ]]</f>
        <v>0</v>
      </c>
      <c r="BF25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8" s="209">
        <f>ROUND(WWWW[[#This Row],['#people Equitable and continuous access to sufficient quantity of domestic water borehole n ponds_2]]/500,0)</f>
        <v>0</v>
      </c>
      <c r="BI258" s="208">
        <f>1-WWWW[[#This Row],[%Equitable and continuous access to sufficient quantity of domestic water borehole n ponds]]</f>
        <v>1</v>
      </c>
      <c r="BJ258" s="209">
        <f>WWWW[[#This Row],[%equitable and continuous access to sufficient quantity of safe drinking and domestic water''s GAP]]*WWWW[[#This Row],[Total PoP ]]</f>
        <v>867</v>
      </c>
      <c r="BK258" s="210">
        <f>IF(WWWW[[#This Row],[Total required water points]]-WWWW[[#This Row],['#Water points coverage]]&lt;0,0,WWWW[[#This Row],[Total required water points]]-WWWW[[#This Row],['#Water points coverage]])</f>
        <v>2</v>
      </c>
      <c r="BL258" s="210">
        <f>ROUND(IF(WWWW[[#This Row],[Total PoP ]]&lt;500,1,WWWW[[#This Row],[Total PoP ]]/500),0)</f>
        <v>2</v>
      </c>
      <c r="BM258" s="210">
        <f>WWWW[[#This Row],['# Existing functional latrines]]+WWWW[[#This Row],['# Existing latrines dysfunctional]]</f>
        <v>17</v>
      </c>
      <c r="BN25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0.11764705882352941</v>
      </c>
      <c r="BO258" s="352">
        <f>WWWW[[#This Row],[% people access to functioning Latrine]]*WWWW[[#This Row],[Total PoP ]]</f>
        <v>102</v>
      </c>
      <c r="BP25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0.88581314878892736</v>
      </c>
      <c r="BQ258" s="209">
        <f>IF(WWWW[[#This Row],[Total required Latrines]]-WWWW[[#This Row],[Total '# of latrine]]&lt;0,0,WWWW[[#This Row],[Total required Latrines]]-WWWW[[#This Row],[Total '# of latrine]])</f>
        <v>128</v>
      </c>
      <c r="BR258" s="210">
        <f>ROUND(IF(WWWW[[#This Row],[Location Type 1]]="camp",WWWW[[#This Row],[Total PoP ]]/20,WWWW[[#This Row],[Total PoP ]]/6),0)</f>
        <v>145</v>
      </c>
      <c r="BS258" s="212">
        <f>IF(OR(WWWW[[#This Row],['# Existing latrines dysfunctional]]="",WWWW[[#This Row],['# Existing latrines dysfunctional]]=0),0,WWWW[[#This Row],['# Existing latrines dysfunctional]]/WWWW[[#This Row],[Total '# of latrine]])</f>
        <v>0</v>
      </c>
      <c r="BT25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8" s="209">
        <f>IF(500*WWWW[[#This Row],['# Hygiene Promoters ]]&gt;WWWW[[#This Row],[Total PoP ]],WWWW[[#This Row],[Total PoP ]],500*WWWW[[#This Row],['# Hygiene Promoters ]])</f>
        <v>0</v>
      </c>
      <c r="BV258" s="209">
        <f>IF(WWWW[[#This Row],[% of HH with access to Sanitary Pad]]&gt;=100%,1,0)</f>
        <v>0</v>
      </c>
      <c r="BW258" s="209">
        <f>IF(WWWW[[#This Row],[Total PoP ]]=0,0,IF(WWWW[[#This Row],['# Hygiene Promoters ]]=0,0,IF(WWWW[[#This Row],[Location Type 1]]="Village",IF(WWWW[[#This Row],[Total PoP ]]/WWWW[[#This Row],['# Hygiene Promoters ]]&lt;1000,1,0),IF(WWWW[[#This Row],[Total PoP ]]/WWWW[[#This Row],['# Hygiene Promoters ]]&lt;600,1,0))))</f>
        <v>0</v>
      </c>
      <c r="BX258" s="209">
        <f>IF(WWWW[[#This Row],[%HH with access to soap]]&gt;=100%,1,0)</f>
        <v>0</v>
      </c>
      <c r="BY258" s="209">
        <f>IF(WWWW[[#This Row],[% of HHs with access to Sanitary pad more than '#%]]+WWWW[[#This Row],[Ratio of Hyiene promoters to people less than '#]]+WWWW[[#This Row],[% of HHs with access to soap more than '#%]]&gt;=2,WWWW[[#This Row],[Total PoP ]],0)</f>
        <v>0</v>
      </c>
      <c r="BZ258" s="208">
        <f>WWWW[[#This Row],[People adopt basic personal and community hygiene practices]]/WWWW[[#This Row],[Total PoP ]]</f>
        <v>0</v>
      </c>
      <c r="CA258" s="212">
        <f>1-WWWW[[#This Row],[Hygiene Coverage%]]</f>
        <v>1</v>
      </c>
      <c r="CB258" s="211">
        <f>WWWW[[#This Row],['# people reached by regular dedicated hygiene promotion_5]]/WWWW[[#This Row],[Total PoP ]]</f>
        <v>0</v>
      </c>
      <c r="CC258" s="211">
        <f>IF(WWWW[[#This Row],['# HH received soaps]]/WWWW[[#This Row],[Total HH]]&gt;1,1,WWWW[[#This Row],['# HH received soaps]]/WWWW[[#This Row],[Total HH]])</f>
        <v>0</v>
      </c>
      <c r="CD258" s="211">
        <f>IF(WWWW[[#This Row],['# HH received Sanitary Pads]]/WWWW[[#This Row],[Total HH]]&gt;1,1,WWWW[[#This Row],['# HH received Sanitary Pads]]/WWWW[[#This Row],[Total HH]])</f>
        <v>0</v>
      </c>
      <c r="CE258" s="210">
        <f>WWWW[[#This Row],['# HH received soaps]]*5</f>
        <v>0</v>
      </c>
      <c r="CF258" s="210">
        <f>WWWW[[#This Row],['# HH received Sanitary Pads]]*5</f>
        <v>0</v>
      </c>
      <c r="CG258" s="210">
        <f>IF(WWWW[[#This Row],['# People with access to soap]]&gt;WWWW[[#This Row],['# People with access to Sanity Pads]],WWWW[[#This Row],['# People with access to soap]],WWWW[[#This Row],['# People with access to Sanity Pads]])</f>
        <v>0</v>
      </c>
      <c r="CH258" s="209">
        <f>WWWW[[#This Row],[Total HH]]*WWWW[[#This Row],[%HHs with access to functional hand washing stations]]</f>
        <v>0</v>
      </c>
      <c r="CI258" s="699">
        <f>VLOOKUP(WWWW[[#This Row],[Site Name]],SiteDB6[[Site Name]:[CCCM Management]],6,FALSE)</f>
        <v>0</v>
      </c>
      <c r="CJ258" s="699">
        <f>VLOOKUP(WWWW[[#This Row],[Site Name]],SiteDB6[[Site Name]:[CCCM Focal Agency]],7,FALSE)</f>
        <v>0</v>
      </c>
      <c r="CK258" s="699" t="str">
        <f>VLOOKUP(WWWW[[#This Row],[Site Name]],SiteDB6[[Site Name]:[Location Type]],8,FALSE)</f>
        <v>Village</v>
      </c>
      <c r="CL258" s="699" t="str">
        <f>VLOOKUP(WWWW[[#This Row],[Site Name]],SiteDB6[[Site Name]:[Location Type 1]],9,FALSE)</f>
        <v>Village</v>
      </c>
      <c r="CM258" s="699" t="str">
        <f>VLOOKUP(WWWW[[#This Row],[Site Name]],SiteDB6[[Site Name]:[Type of Accommodation]],10,FALSE)</f>
        <v>Returned</v>
      </c>
      <c r="CN258" s="699" t="str">
        <f>VLOOKUP(WWWW[[#This Row],[Site Name]],SiteDB6[[Site Name]:[Ethnic or GCA/NGCA]],11,FALSE)</f>
        <v>Muslim</v>
      </c>
      <c r="CO258" s="699">
        <f>VLOOKUP(WWWW[[#This Row],[Site Name]],SiteDB6[[Site Name]:[Lat]],12,FALSE)</f>
        <v>20.587142</v>
      </c>
      <c r="CP258" s="699">
        <f>VLOOKUP(WWWW[[#This Row],[Site Name]],SiteDB6[[Site Name]:[Long]],13,FALSE)</f>
        <v>93.258573999999996</v>
      </c>
      <c r="CQ258" s="699" t="str">
        <f>VLOOKUP(WWWW[[#This Row],[Site Name]],SiteDB6[[Site Name]:[Pcode]],3,FALSE)</f>
        <v>MMR012CMP005</v>
      </c>
      <c r="CR258" s="660" t="str">
        <f t="shared" si="5"/>
        <v>Covered</v>
      </c>
      <c r="CS258" s="699" t="s">
        <v>2738</v>
      </c>
      <c r="CT258" s="24"/>
      <c r="CU258" s="24"/>
      <c r="CV258" s="24"/>
    </row>
    <row r="259" spans="1:100" ht="15.75" customHeight="1" x14ac:dyDescent="0.25">
      <c r="A259" s="833" t="s">
        <v>3206</v>
      </c>
      <c r="B259" s="206" t="s">
        <v>479</v>
      </c>
      <c r="C259" s="206" t="s">
        <v>454</v>
      </c>
      <c r="D259" s="206" t="s">
        <v>463</v>
      </c>
      <c r="E259" s="206" t="s">
        <v>860</v>
      </c>
      <c r="F259" s="206">
        <v>90</v>
      </c>
      <c r="G259" s="209">
        <v>375</v>
      </c>
      <c r="H259" s="206"/>
      <c r="I259" s="206" t="s">
        <v>495</v>
      </c>
      <c r="J259" s="207">
        <v>43616</v>
      </c>
      <c r="K259" s="206">
        <v>0</v>
      </c>
      <c r="L259" s="206" t="s">
        <v>2454</v>
      </c>
      <c r="M259" s="208">
        <v>0</v>
      </c>
      <c r="N259" s="208">
        <v>0</v>
      </c>
      <c r="O259" s="323"/>
      <c r="P259" s="317"/>
      <c r="Q259" s="317"/>
      <c r="R259" s="318"/>
      <c r="S259" s="318"/>
      <c r="T259" s="318"/>
      <c r="U259" s="318"/>
      <c r="V259" s="318"/>
      <c r="W259" s="318"/>
      <c r="X259" s="318"/>
      <c r="Y259" s="318"/>
      <c r="Z259" s="318"/>
      <c r="AA259" s="310"/>
      <c r="AB259" s="310"/>
      <c r="AC259" s="310"/>
      <c r="AD259" s="66"/>
      <c r="AE259" s="310"/>
      <c r="AF259" s="310" t="s">
        <v>286</v>
      </c>
      <c r="AG259" s="311" t="s">
        <v>286</v>
      </c>
      <c r="AH259" s="66"/>
      <c r="AI259" s="66"/>
      <c r="AJ259" s="310"/>
      <c r="AK259" s="841"/>
      <c r="AL259" s="842"/>
      <c r="AM259" s="842"/>
      <c r="AN259" s="863"/>
      <c r="AO259" s="863"/>
      <c r="AP259" s="843"/>
      <c r="AQ259" s="843"/>
      <c r="AR259" s="843"/>
      <c r="AS259" s="843"/>
      <c r="AT259" s="843"/>
      <c r="AU259" s="843"/>
      <c r="AV259" s="844"/>
      <c r="AW259" s="208" t="str">
        <f>IFERROR(WWWW[[#This Row],['# of Water passed at source]]/WWWW[[#This Row],['# of Water tested at source]],"no test")</f>
        <v>no test</v>
      </c>
      <c r="AX259" s="211" t="str">
        <f>IFERROR(WWWW[[#This Row],['# of Water passed at HH]]/WWWW[[#This Row],['# of Water tested at HH]],"no test")</f>
        <v>no test</v>
      </c>
      <c r="AY259" s="210" t="str">
        <f>IF(AND(WWWW[[#This Row],[%of Water samples which passed at water source]]="no test",WWWW[[#This Row],[%Water samples which passed at HH]]="no test"),"No Test","Tested")</f>
        <v>No Test</v>
      </c>
      <c r="AZ25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5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59" s="211">
        <f>IF(WWWW[[#This Row],[Location Type 1]]="Village",WWWW[[#This Row],[Access to safe drinking water for Village]],WWWW[[#This Row],[Access to safe drinking water for Camp]])</f>
        <v>0</v>
      </c>
      <c r="BC259" s="209">
        <f>WWWW[[#This Row],[%Equitable and continuous access to sufficient quantity of safe drinking water]]*WWWW[[#This Row],[Total PoP ]]</f>
        <v>0</v>
      </c>
      <c r="BD259" s="211">
        <f>IF((WWWW[[#This Row],['# Existing protected/fenced ponds ]]*250)/WWWW[[#This Row],[Total PoP ]]&gt;1,1,WWWW[[#This Row],['# Existing protected/fenced ponds ]]*250/WWWW[[#This Row],[Total PoP ]])</f>
        <v>0</v>
      </c>
      <c r="BE259" s="209">
        <f>WWWW[[#This Row],[Access to unimproved water points]]*WWWW[[#This Row],[Total PoP ]]</f>
        <v>0</v>
      </c>
      <c r="BF25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5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59" s="209">
        <f>WWWW[[#This Row],['#people Equitable and continuous access to sufficient quantity of domestic water borehole n ponds_2]]/500</f>
        <v>0</v>
      </c>
      <c r="BI259" s="208">
        <f>1-WWWW[[#This Row],[%Equitable and continuous access to sufficient quantity of domestic water borehole n ponds]]</f>
        <v>1</v>
      </c>
      <c r="BJ259" s="209">
        <f>WWWW[[#This Row],[%equitable and continuous access to sufficient quantity of safe drinking and domestic water''s GAP]]*WWWW[[#This Row],[Total PoP ]]</f>
        <v>375</v>
      </c>
      <c r="BK259" s="210">
        <f>IF(WWWW[[#This Row],[Total required water points]]-WWWW[[#This Row],['#Water points coverage]]&lt;0,0,WWWW[[#This Row],[Total required water points]]-WWWW[[#This Row],['#Water points coverage]])</f>
        <v>1</v>
      </c>
      <c r="BL259" s="210">
        <f>ROUND(IF(WWWW[[#This Row],[Total PoP ]]&lt;500,1,WWWW[[#This Row],[Total PoP ]]/500),0)</f>
        <v>1</v>
      </c>
      <c r="BM259" s="210">
        <f>WWWW[[#This Row],['# Existing functional latrines]]+WWWW[[#This Row],['# Existing latrines dysfunctional]]</f>
        <v>0</v>
      </c>
      <c r="BN25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59" s="352">
        <f>WWWW[[#This Row],[% people access to functioning Latrine]]*WWWW[[#This Row],[Total PoP ]]</f>
        <v>0</v>
      </c>
      <c r="BP25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59" s="209">
        <f>IF(WWWW[[#This Row],[Total required Latrines]]-WWWW[[#This Row],[Total '# of latrine]]&lt;0,0,WWWW[[#This Row],[Total required Latrines]]-WWWW[[#This Row],[Total '# of latrine]])</f>
        <v>63</v>
      </c>
      <c r="BR259" s="210">
        <f>ROUND(IF(WWWW[[#This Row],[Location Type 1]]="camp",WWWW[[#This Row],[Total PoP ]]/20,WWWW[[#This Row],[Total PoP ]]/6),0)</f>
        <v>63</v>
      </c>
      <c r="BS259" s="212">
        <f>IF(OR(WWWW[[#This Row],['# Existing latrines dysfunctional]]="",WWWW[[#This Row],['# Existing latrines dysfunctional]]=0),0,WWWW[[#This Row],['# Existing latrines dysfunctional]]/WWWW[[#This Row],[Total '# of latrine]])</f>
        <v>0</v>
      </c>
      <c r="BT25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59" s="209">
        <f>IF(500*WWWW[[#This Row],['# Hygiene Promoters ]]&gt;WWWW[[#This Row],[Total PoP ]],WWWW[[#This Row],[Total PoP ]],500*WWWW[[#This Row],['# Hygiene Promoters ]])</f>
        <v>0</v>
      </c>
      <c r="BV259" s="209">
        <f>IF(WWWW[[#This Row],[% of HH with access to Sanitary Pad]]&gt;=100%,1,0)</f>
        <v>0</v>
      </c>
      <c r="BW259" s="209">
        <f>IF(WWWW[[#This Row],[Total PoP ]]=0,0,IF(WWWW[[#This Row],['# Hygiene Promoters ]]=0,0,IF(WWWW[[#This Row],[Location Type 1]]="Village",IF(WWWW[[#This Row],[Total PoP ]]/WWWW[[#This Row],['# Hygiene Promoters ]]&lt;1000,1,0),IF(WWWW[[#This Row],[Total PoP ]]/WWWW[[#This Row],['# Hygiene Promoters ]]&lt;600,1,0))))</f>
        <v>0</v>
      </c>
      <c r="BX259" s="209">
        <f>IF(WWWW[[#This Row],[%HH with access to soap]]&gt;=100%,1,0)</f>
        <v>0</v>
      </c>
      <c r="BY259" s="209">
        <f>IF(WWWW[[#This Row],[% of HHs with access to Sanitary pad more than '#%]]+WWWW[[#This Row],[Ratio of Hyiene promoters to people less than '#]]+WWWW[[#This Row],[% of HHs with access to soap more than '#%]]&gt;=2,WWWW[[#This Row],[Total PoP ]],0)</f>
        <v>0</v>
      </c>
      <c r="BZ259" s="208">
        <f>WWWW[[#This Row],[People adopt basic personal and community hygiene practices]]/WWWW[[#This Row],[Total PoP ]]</f>
        <v>0</v>
      </c>
      <c r="CA259" s="212">
        <f>1-WWWW[[#This Row],[Hygiene Coverage%]]</f>
        <v>1</v>
      </c>
      <c r="CB259" s="211">
        <f>WWWW[[#This Row],['# people reached by regular dedicated hygiene promotion_5]]/WWWW[[#This Row],[Total PoP ]]</f>
        <v>0</v>
      </c>
      <c r="CC259" s="211">
        <f>IF(WWWW[[#This Row],['# HH received soaps]]/WWWW[[#This Row],[Total HH]]&gt;1,1,WWWW[[#This Row],['# HH received soaps]]/WWWW[[#This Row],[Total HH]])</f>
        <v>0</v>
      </c>
      <c r="CD259" s="211">
        <f>IF(WWWW[[#This Row],['# HH received Sanitary Pads]]/WWWW[[#This Row],[Total HH]]&gt;1,1,WWWW[[#This Row],['# HH received Sanitary Pads]]/WWWW[[#This Row],[Total HH]])</f>
        <v>0</v>
      </c>
      <c r="CE259" s="210">
        <f>WWWW[[#This Row],['# HH received soaps]]*5</f>
        <v>0</v>
      </c>
      <c r="CF259" s="210">
        <f>WWWW[[#This Row],['# HH received Sanitary Pads]]*5</f>
        <v>0</v>
      </c>
      <c r="CG259" s="210">
        <f>IF(WWWW[[#This Row],['# People with access to soap]]&gt;WWWW[[#This Row],['# People with access to Sanity Pads]],WWWW[[#This Row],['# People with access to soap]],WWWW[[#This Row],['# People with access to Sanity Pads]])</f>
        <v>0</v>
      </c>
      <c r="CH259" s="209">
        <f>WWWW[[#This Row],[Total HH]]*WWWW[[#This Row],[%HHs with access to functional hand washing stations]]</f>
        <v>0</v>
      </c>
      <c r="CI259" s="699">
        <f>VLOOKUP(WWWW[[#This Row],[Site Name]],SiteDB6[[Site Name]:[CCCM Management]],6,FALSE)</f>
        <v>0</v>
      </c>
      <c r="CJ259" s="699">
        <f>VLOOKUP(WWWW[[#This Row],[Site Name]],SiteDB6[[Site Name]:[CCCM Focal Agency]],7,FALSE)</f>
        <v>0</v>
      </c>
      <c r="CK259" s="699" t="str">
        <f>VLOOKUP(WWWW[[#This Row],[Site Name]],SiteDB6[[Site Name]:[Location Type]],8,FALSE)</f>
        <v>Village_Not HRP</v>
      </c>
      <c r="CL259" s="699" t="str">
        <f>VLOOKUP(WWWW[[#This Row],[Site Name]],SiteDB6[[Site Name]:[Location Type 1]],9,FALSE)</f>
        <v>Village</v>
      </c>
      <c r="CM259" s="699" t="str">
        <f>VLOOKUP(WWWW[[#This Row],[Site Name]],SiteDB6[[Site Name]:[Type of Accommodation]],10,FALSE)</f>
        <v>Village_Not HRP</v>
      </c>
      <c r="CN259" s="699" t="str">
        <f>VLOOKUP(WWWW[[#This Row],[Site Name]],SiteDB6[[Site Name]:[Ethnic or GCA/NGCA]],11,FALSE)</f>
        <v>Rakhine</v>
      </c>
      <c r="CO259" s="699">
        <f>VLOOKUP(WWWW[[#This Row],[Site Name]],SiteDB6[[Site Name]:[Lat]],12,FALSE)</f>
        <v>20.8037109375</v>
      </c>
      <c r="CP259" s="699">
        <f>VLOOKUP(WWWW[[#This Row],[Site Name]],SiteDB6[[Site Name]:[Long]],13,FALSE)</f>
        <v>92.946136474609403</v>
      </c>
      <c r="CQ259" s="699" t="str">
        <f>VLOOKUP(WWWW[[#This Row],[Site Name]],SiteDB6[[Site Name]:[Pcode]],3,FALSE)</f>
        <v>196886</v>
      </c>
      <c r="CR259" s="660" t="str">
        <f t="shared" si="5"/>
        <v>Covered</v>
      </c>
      <c r="CS259" s="699" t="s">
        <v>2738</v>
      </c>
      <c r="CT259" s="24"/>
      <c r="CU259" s="24"/>
      <c r="CV259" s="24"/>
    </row>
    <row r="260" spans="1:100" ht="15.75" customHeight="1" x14ac:dyDescent="0.25">
      <c r="A260" s="833" t="s">
        <v>3206</v>
      </c>
      <c r="B260" s="206" t="s">
        <v>479</v>
      </c>
      <c r="C260" s="206" t="s">
        <v>454</v>
      </c>
      <c r="D260" s="206" t="s">
        <v>463</v>
      </c>
      <c r="E260" s="206" t="s">
        <v>3235</v>
      </c>
      <c r="F260" s="206">
        <v>132</v>
      </c>
      <c r="G260" s="209">
        <v>677</v>
      </c>
      <c r="H260" s="206"/>
      <c r="I260" s="206" t="s">
        <v>449</v>
      </c>
      <c r="J260" s="207">
        <v>43738</v>
      </c>
      <c r="K260" s="206">
        <v>30</v>
      </c>
      <c r="L260" s="206" t="s">
        <v>2454</v>
      </c>
      <c r="M260" s="208">
        <v>0</v>
      </c>
      <c r="N260" s="208">
        <v>0</v>
      </c>
      <c r="O260" s="323">
        <v>0</v>
      </c>
      <c r="P260" s="317">
        <v>0</v>
      </c>
      <c r="Q260" s="317">
        <v>0</v>
      </c>
      <c r="R260" s="318">
        <v>0</v>
      </c>
      <c r="S260" s="318"/>
      <c r="T260" s="318"/>
      <c r="U260" s="318"/>
      <c r="V260" s="318"/>
      <c r="W260" s="318"/>
      <c r="X260" s="318"/>
      <c r="Y260" s="318"/>
      <c r="Z260" s="318"/>
      <c r="AA260" s="310"/>
      <c r="AB260" s="311"/>
      <c r="AC260" s="66"/>
      <c r="AD260" s="66"/>
      <c r="AE260" s="310"/>
      <c r="AF260" s="310" t="s">
        <v>286</v>
      </c>
      <c r="AG260" s="311" t="s">
        <v>286</v>
      </c>
      <c r="AH260" s="66"/>
      <c r="AI260" s="66"/>
      <c r="AJ260" s="311"/>
      <c r="AK260" s="841">
        <v>0</v>
      </c>
      <c r="AL260" s="846"/>
      <c r="AM260" s="844">
        <v>0</v>
      </c>
      <c r="AN260" s="863">
        <v>0</v>
      </c>
      <c r="AO260" s="863"/>
      <c r="AP260" s="843"/>
      <c r="AQ260" s="843"/>
      <c r="AR260" s="843"/>
      <c r="AS260" s="843"/>
      <c r="AT260" s="843"/>
      <c r="AU260" s="843"/>
      <c r="AV260" s="844"/>
      <c r="AW260" s="208" t="str">
        <f>IFERROR(WWWW[[#This Row],['# of Water passed at source]]/WWWW[[#This Row],['# of Water tested at source]],"no test")</f>
        <v>no test</v>
      </c>
      <c r="AX260" s="211" t="str">
        <f>IFERROR(WWWW[[#This Row],['# of Water passed at HH]]/WWWW[[#This Row],['# of Water tested at HH]],"no test")</f>
        <v>no test</v>
      </c>
      <c r="AY260" s="210" t="str">
        <f>IF(AND(WWWW[[#This Row],[%of Water samples which passed at water source]]="no test",WWWW[[#This Row],[%Water samples which passed at HH]]="no test"),"No Test","Tested")</f>
        <v>No Test</v>
      </c>
      <c r="AZ26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6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60" s="211">
        <f>IF(WWWW[[#This Row],[Location Type 1]]="Village",WWWW[[#This Row],[Access to safe drinking water for Village]],WWWW[[#This Row],[Access to safe drinking water for Camp]])</f>
        <v>0</v>
      </c>
      <c r="BC260" s="209">
        <f>WWWW[[#This Row],[%Equitable and continuous access to sufficient quantity of safe drinking water]]*WWWW[[#This Row],[Total PoP ]]</f>
        <v>0</v>
      </c>
      <c r="BD260" s="211">
        <f>IF((WWWW[[#This Row],['# Existing protected/fenced ponds ]]*250)/WWWW[[#This Row],[Total PoP ]]&gt;1,1,WWWW[[#This Row],['# Existing protected/fenced ponds ]]*250/WWWW[[#This Row],[Total PoP ]])</f>
        <v>0</v>
      </c>
      <c r="BE260" s="209">
        <f>WWWW[[#This Row],[Access to unimproved water points]]*WWWW[[#This Row],[Total PoP ]]</f>
        <v>0</v>
      </c>
      <c r="BF26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6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60" s="209">
        <f>WWWW[[#This Row],['#people Equitable and continuous access to sufficient quantity of domestic water borehole n ponds_2]]/500</f>
        <v>0</v>
      </c>
      <c r="BI260" s="208">
        <f>1-WWWW[[#This Row],[%Equitable and continuous access to sufficient quantity of domestic water borehole n ponds]]</f>
        <v>1</v>
      </c>
      <c r="BJ260" s="209">
        <f>WWWW[[#This Row],[%equitable and continuous access to sufficient quantity of safe drinking and domestic water''s GAP]]*WWWW[[#This Row],[Total PoP ]]</f>
        <v>677</v>
      </c>
      <c r="BK260" s="210">
        <f>IF(WWWW[[#This Row],[Total required water points]]-WWWW[[#This Row],['#Water points coverage]]&lt;0,0,WWWW[[#This Row],[Total required water points]]-WWWW[[#This Row],['#Water points coverage]])</f>
        <v>1</v>
      </c>
      <c r="BL260" s="210">
        <f>ROUND(IF(WWWW[[#This Row],[Total PoP ]]&lt;500,1,WWWW[[#This Row],[Total PoP ]]/500),0)</f>
        <v>1</v>
      </c>
      <c r="BM260" s="210">
        <f>WWWW[[#This Row],['# Existing functional latrines]]+WWWW[[#This Row],['# Existing latrines dysfunctional]]</f>
        <v>0</v>
      </c>
      <c r="BN26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60" s="352">
        <f>WWWW[[#This Row],[% people access to functioning Latrine]]*WWWW[[#This Row],[Total PoP ]]</f>
        <v>0</v>
      </c>
      <c r="BP26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60" s="209">
        <f>IF(WWWW[[#This Row],[Total required Latrines]]-WWWW[[#This Row],[Total '# of latrine]]&lt;0,0,WWWW[[#This Row],[Total required Latrines]]-WWWW[[#This Row],[Total '# of latrine]])</f>
        <v>113</v>
      </c>
      <c r="BR260" s="210">
        <f>ROUND(IF(WWWW[[#This Row],[Location Type 1]]="camp",WWWW[[#This Row],[Total PoP ]]/20,WWWW[[#This Row],[Total PoP ]]/6),0)</f>
        <v>113</v>
      </c>
      <c r="BS260" s="212">
        <f>IF(OR(WWWW[[#This Row],['# Existing latrines dysfunctional]]="",WWWW[[#This Row],['# Existing latrines dysfunctional]]=0),0,WWWW[[#This Row],['# Existing latrines dysfunctional]]/WWWW[[#This Row],[Total '# of latrine]])</f>
        <v>0</v>
      </c>
      <c r="BT26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0" s="209">
        <f>IF(500*WWWW[[#This Row],['# Hygiene Promoters ]]&gt;WWWW[[#This Row],[Total PoP ]],WWWW[[#This Row],[Total PoP ]],500*WWWW[[#This Row],['# Hygiene Promoters ]])</f>
        <v>0</v>
      </c>
      <c r="BV260" s="209">
        <f>IF(WWWW[[#This Row],[% of HH with access to Sanitary Pad]]&gt;=100%,1,0)</f>
        <v>0</v>
      </c>
      <c r="BW260" s="209">
        <f>IF(WWWW[[#This Row],[Total PoP ]]=0,0,IF(WWWW[[#This Row],['# Hygiene Promoters ]]=0,0,IF(WWWW[[#This Row],[Location Type 1]]="Village",IF(WWWW[[#This Row],[Total PoP ]]/WWWW[[#This Row],['# Hygiene Promoters ]]&lt;1000,1,0),IF(WWWW[[#This Row],[Total PoP ]]/WWWW[[#This Row],['# Hygiene Promoters ]]&lt;600,1,0))))</f>
        <v>0</v>
      </c>
      <c r="BX260" s="209">
        <f>IF(WWWW[[#This Row],[%HH with access to soap]]&gt;=100%,1,0)</f>
        <v>0</v>
      </c>
      <c r="BY260" s="209">
        <f>IF(WWWW[[#This Row],[% of HHs with access to Sanitary pad more than '#%]]+WWWW[[#This Row],[Ratio of Hyiene promoters to people less than '#]]+WWWW[[#This Row],[% of HHs with access to soap more than '#%]]&gt;=2,WWWW[[#This Row],[Total PoP ]],0)</f>
        <v>0</v>
      </c>
      <c r="BZ260" s="208">
        <f>WWWW[[#This Row],[People adopt basic personal and community hygiene practices]]/WWWW[[#This Row],[Total PoP ]]</f>
        <v>0</v>
      </c>
      <c r="CA260" s="212">
        <f>1-WWWW[[#This Row],[Hygiene Coverage%]]</f>
        <v>1</v>
      </c>
      <c r="CB260" s="211">
        <f>WWWW[[#This Row],['# people reached by regular dedicated hygiene promotion_5]]/WWWW[[#This Row],[Total PoP ]]</f>
        <v>0</v>
      </c>
      <c r="CC260" s="211">
        <f>IF(WWWW[[#This Row],['# HH received soaps]]/WWWW[[#This Row],[Total HH]]&gt;1,1,WWWW[[#This Row],['# HH received soaps]]/WWWW[[#This Row],[Total HH]])</f>
        <v>0</v>
      </c>
      <c r="CD260" s="211">
        <f>IF(WWWW[[#This Row],['# HH received Sanitary Pads]]/WWWW[[#This Row],[Total HH]]&gt;1,1,WWWW[[#This Row],['# HH received Sanitary Pads]]/WWWW[[#This Row],[Total HH]])</f>
        <v>0</v>
      </c>
      <c r="CE260" s="210">
        <f>WWWW[[#This Row],['# HH received soaps]]*5</f>
        <v>0</v>
      </c>
      <c r="CF260" s="210">
        <f>WWWW[[#This Row],['# HH received Sanitary Pads]]*5</f>
        <v>0</v>
      </c>
      <c r="CG260" s="210">
        <f>IF(WWWW[[#This Row],['# People with access to soap]]&gt;WWWW[[#This Row],['# People with access to Sanity Pads]],WWWW[[#This Row],['# People with access to soap]],WWWW[[#This Row],['# People with access to Sanity Pads]])</f>
        <v>0</v>
      </c>
      <c r="CH260" s="209">
        <f>WWWW[[#This Row],[Total HH]]*WWWW[[#This Row],[%HHs with access to functional hand washing stations]]</f>
        <v>0</v>
      </c>
      <c r="CI260" s="699">
        <f>VLOOKUP(WWWW[[#This Row],[Site Name]],SiteDB6[[Site Name]:[CCCM Management]],6,FALSE)</f>
        <v>0</v>
      </c>
      <c r="CJ260" s="699">
        <f>VLOOKUP(WWWW[[#This Row],[Site Name]],SiteDB6[[Site Name]:[CCCM Focal Agency]],7,FALSE)</f>
        <v>0</v>
      </c>
      <c r="CK260" s="699" t="str">
        <f>VLOOKUP(WWWW[[#This Row],[Site Name]],SiteDB6[[Site Name]:[Location Type]],8,FALSE)</f>
        <v>Village</v>
      </c>
      <c r="CL260" s="699" t="str">
        <f>VLOOKUP(WWWW[[#This Row],[Site Name]],SiteDB6[[Site Name]:[Location Type 1]],9,FALSE)</f>
        <v>Village</v>
      </c>
      <c r="CM260" s="699" t="str">
        <f>VLOOKUP(WWWW[[#This Row],[Site Name]],SiteDB6[[Site Name]:[Type of Accommodation]],10,FALSE)</f>
        <v>Village</v>
      </c>
      <c r="CN260" s="699">
        <f>VLOOKUP(WWWW[[#This Row],[Site Name]],SiteDB6[[Site Name]:[Ethnic or GCA/NGCA]],11,FALSE)</f>
        <v>0</v>
      </c>
      <c r="CO260" s="699">
        <f>VLOOKUP(WWWW[[#This Row],[Site Name]],SiteDB6[[Site Name]:[Lat]],12,FALSE)</f>
        <v>20.760820388793899</v>
      </c>
      <c r="CP260" s="699">
        <f>VLOOKUP(WWWW[[#This Row],[Site Name]],SiteDB6[[Site Name]:[Long]],13,FALSE)</f>
        <v>92.9600830078125</v>
      </c>
      <c r="CQ260" s="699">
        <f>VLOOKUP(WWWW[[#This Row],[Site Name]],SiteDB6[[Site Name]:[Pcode]],3,FALSE)</f>
        <v>196893</v>
      </c>
      <c r="CR260" s="660" t="str">
        <f t="shared" si="5"/>
        <v>Covered</v>
      </c>
      <c r="CS260" s="699"/>
      <c r="CT260" s="24"/>
      <c r="CU260" s="24"/>
      <c r="CV260" s="24"/>
    </row>
    <row r="261" spans="1:100" ht="15.75" customHeight="1" x14ac:dyDescent="0.25">
      <c r="A261" s="833" t="s">
        <v>3206</v>
      </c>
      <c r="B261" s="206" t="s">
        <v>479</v>
      </c>
      <c r="C261" s="206" t="s">
        <v>454</v>
      </c>
      <c r="D261" s="206" t="s">
        <v>463</v>
      </c>
      <c r="E261" s="206" t="s">
        <v>510</v>
      </c>
      <c r="F261" s="206">
        <v>73</v>
      </c>
      <c r="G261" s="209">
        <v>306</v>
      </c>
      <c r="H261" s="206"/>
      <c r="I261" s="206" t="s">
        <v>495</v>
      </c>
      <c r="J261" s="207">
        <v>43616</v>
      </c>
      <c r="K261" s="206">
        <v>0</v>
      </c>
      <c r="L261" s="206" t="s">
        <v>2454</v>
      </c>
      <c r="M261" s="208">
        <v>0</v>
      </c>
      <c r="N261" s="208">
        <v>0</v>
      </c>
      <c r="O261" s="323">
        <v>0</v>
      </c>
      <c r="P261" s="317">
        <v>0</v>
      </c>
      <c r="Q261" s="317">
        <v>0</v>
      </c>
      <c r="R261" s="318">
        <v>0</v>
      </c>
      <c r="S261" s="318">
        <v>0</v>
      </c>
      <c r="T261" s="318"/>
      <c r="U261" s="318"/>
      <c r="V261" s="318"/>
      <c r="W261" s="318"/>
      <c r="X261" s="318"/>
      <c r="Y261" s="318"/>
      <c r="Z261" s="318"/>
      <c r="AA261" s="310">
        <v>0</v>
      </c>
      <c r="AB261" s="311">
        <v>0</v>
      </c>
      <c r="AC261" s="66"/>
      <c r="AD261" s="66"/>
      <c r="AE261" s="310">
        <v>0</v>
      </c>
      <c r="AF261" s="310" t="s">
        <v>1358</v>
      </c>
      <c r="AG261" s="311" t="s">
        <v>1358</v>
      </c>
      <c r="AH261" s="66"/>
      <c r="AI261" s="66"/>
      <c r="AJ261" s="311"/>
      <c r="AK261" s="841">
        <v>0</v>
      </c>
      <c r="AL261" s="846"/>
      <c r="AM261" s="844">
        <v>0</v>
      </c>
      <c r="AN261" s="863">
        <v>0</v>
      </c>
      <c r="AO261" s="863">
        <v>0</v>
      </c>
      <c r="AP261" s="843"/>
      <c r="AQ261" s="843"/>
      <c r="AR261" s="843"/>
      <c r="AS261" s="843"/>
      <c r="AT261" s="843"/>
      <c r="AU261" s="843"/>
      <c r="AV261" s="844"/>
      <c r="AW261" s="208" t="str">
        <f>IFERROR(WWWW[[#This Row],['# of Water passed at source]]/WWWW[[#This Row],['# of Water tested at source]],"no test")</f>
        <v>no test</v>
      </c>
      <c r="AX261" s="211" t="str">
        <f>IFERROR(WWWW[[#This Row],['# of Water passed at HH]]/WWWW[[#This Row],['# of Water tested at HH]],"no test")</f>
        <v>no test</v>
      </c>
      <c r="AY261" s="210" t="str">
        <f>IF(AND(WWWW[[#This Row],[%of Water samples which passed at water source]]="no test",WWWW[[#This Row],[%Water samples which passed at HH]]="no test"),"No Test","Tested")</f>
        <v>No Test</v>
      </c>
      <c r="AZ26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6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61" s="211">
        <f>IF(WWWW[[#This Row],[Location Type 1]]="Village",WWWW[[#This Row],[Access to safe drinking water for Village]],WWWW[[#This Row],[Access to safe drinking water for Camp]])</f>
        <v>0</v>
      </c>
      <c r="BC261" s="209">
        <f>WWWW[[#This Row],[%Equitable and continuous access to sufficient quantity of safe drinking water]]*WWWW[[#This Row],[Total PoP ]]</f>
        <v>0</v>
      </c>
      <c r="BD261" s="211">
        <f>IF((WWWW[[#This Row],['# Existing protected/fenced ponds ]]*250)/WWWW[[#This Row],[Total PoP ]]&gt;1,1,WWWW[[#This Row],['# Existing protected/fenced ponds ]]*250/WWWW[[#This Row],[Total PoP ]])</f>
        <v>0</v>
      </c>
      <c r="BE261" s="209">
        <f>WWWW[[#This Row],[Access to unimproved water points]]*WWWW[[#This Row],[Total PoP ]]</f>
        <v>0</v>
      </c>
      <c r="BF26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6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61" s="209">
        <f>ROUND(WWWW[[#This Row],['#people Equitable and continuous access to sufficient quantity of domestic water borehole n ponds_2]]/500,0)</f>
        <v>0</v>
      </c>
      <c r="BI261" s="208">
        <f>1-WWWW[[#This Row],[%Equitable and continuous access to sufficient quantity of domestic water borehole n ponds]]</f>
        <v>1</v>
      </c>
      <c r="BJ261" s="209">
        <f>WWWW[[#This Row],[%equitable and continuous access to sufficient quantity of safe drinking and domestic water''s GAP]]*WWWW[[#This Row],[Total PoP ]]</f>
        <v>306</v>
      </c>
      <c r="BK261" s="210">
        <f>IF(WWWW[[#This Row],[Total required water points]]-WWWW[[#This Row],['#Water points coverage]]&lt;0,0,WWWW[[#This Row],[Total required water points]]-WWWW[[#This Row],['#Water points coverage]])</f>
        <v>1</v>
      </c>
      <c r="BL261" s="210">
        <f>ROUND(IF(WWWW[[#This Row],[Total PoP ]]&lt;500,1,WWWW[[#This Row],[Total PoP ]]/500),0)</f>
        <v>1</v>
      </c>
      <c r="BM261" s="210">
        <f>WWWW[[#This Row],['# Existing functional latrines]]+WWWW[[#This Row],['# Existing latrines dysfunctional]]</f>
        <v>0</v>
      </c>
      <c r="BN26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61" s="352">
        <f>WWWW[[#This Row],[% people access to functioning Latrine]]*WWWW[[#This Row],[Total PoP ]]</f>
        <v>0</v>
      </c>
      <c r="BP26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61" s="209">
        <f>IF(WWWW[[#This Row],[Total required Latrines]]-WWWW[[#This Row],[Total '# of latrine]]&lt;0,0,WWWW[[#This Row],[Total required Latrines]]-WWWW[[#This Row],[Total '# of latrine]])</f>
        <v>51</v>
      </c>
      <c r="BR261" s="210">
        <f>ROUND(IF(WWWW[[#This Row],[Location Type 1]]="camp",WWWW[[#This Row],[Total PoP ]]/20,WWWW[[#This Row],[Total PoP ]]/6),0)</f>
        <v>51</v>
      </c>
      <c r="BS261" s="212">
        <f>IF(OR(WWWW[[#This Row],['# Existing latrines dysfunctional]]="",WWWW[[#This Row],['# Existing latrines dysfunctional]]=0),0,WWWW[[#This Row],['# Existing latrines dysfunctional]]/WWWW[[#This Row],[Total '# of latrine]])</f>
        <v>0</v>
      </c>
      <c r="BT26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1" s="209">
        <f>IF(500*WWWW[[#This Row],['# Hygiene Promoters ]]&gt;WWWW[[#This Row],[Total PoP ]],WWWW[[#This Row],[Total PoP ]],500*WWWW[[#This Row],['# Hygiene Promoters ]])</f>
        <v>0</v>
      </c>
      <c r="BV261" s="209">
        <f>IF(WWWW[[#This Row],[% of HH with access to Sanitary Pad]]&gt;=100%,1,0)</f>
        <v>0</v>
      </c>
      <c r="BW261" s="209">
        <f>IF(WWWW[[#This Row],[Total PoP ]]=0,0,IF(WWWW[[#This Row],['# Hygiene Promoters ]]=0,0,IF(WWWW[[#This Row],[Location Type 1]]="Village",IF(WWWW[[#This Row],[Total PoP ]]/WWWW[[#This Row],['# Hygiene Promoters ]]&lt;1000,1,0),IF(WWWW[[#This Row],[Total PoP ]]/WWWW[[#This Row],['# Hygiene Promoters ]]&lt;600,1,0))))</f>
        <v>0</v>
      </c>
      <c r="BX261" s="209">
        <f>IF(WWWW[[#This Row],[%HH with access to soap]]&gt;=100%,1,0)</f>
        <v>0</v>
      </c>
      <c r="BY261" s="209">
        <f>IF(WWWW[[#This Row],[% of HHs with access to Sanitary pad more than '#%]]+WWWW[[#This Row],[Ratio of Hyiene promoters to people less than '#]]+WWWW[[#This Row],[% of HHs with access to soap more than '#%]]&gt;=2,WWWW[[#This Row],[Total PoP ]],0)</f>
        <v>0</v>
      </c>
      <c r="BZ261" s="208">
        <f>WWWW[[#This Row],[People adopt basic personal and community hygiene practices]]/WWWW[[#This Row],[Total PoP ]]</f>
        <v>0</v>
      </c>
      <c r="CA261" s="212">
        <f>1-WWWW[[#This Row],[Hygiene Coverage%]]</f>
        <v>1</v>
      </c>
      <c r="CB261" s="211">
        <f>WWWW[[#This Row],['# people reached by regular dedicated hygiene promotion_5]]/WWWW[[#This Row],[Total PoP ]]</f>
        <v>0</v>
      </c>
      <c r="CC261" s="211">
        <f>IF(WWWW[[#This Row],['# HH received soaps]]/WWWW[[#This Row],[Total HH]]&gt;1,1,WWWW[[#This Row],['# HH received soaps]]/WWWW[[#This Row],[Total HH]])</f>
        <v>0</v>
      </c>
      <c r="CD261" s="211">
        <f>IF(WWWW[[#This Row],['# HH received Sanitary Pads]]/WWWW[[#This Row],[Total HH]]&gt;1,1,WWWW[[#This Row],['# HH received Sanitary Pads]]/WWWW[[#This Row],[Total HH]])</f>
        <v>0</v>
      </c>
      <c r="CE261" s="210">
        <f>WWWW[[#This Row],['# HH received soaps]]*5</f>
        <v>0</v>
      </c>
      <c r="CF261" s="210">
        <f>WWWW[[#This Row],['# HH received Sanitary Pads]]*5</f>
        <v>0</v>
      </c>
      <c r="CG261" s="210">
        <f>IF(WWWW[[#This Row],['# People with access to soap]]&gt;WWWW[[#This Row],['# People with access to Sanity Pads]],WWWW[[#This Row],['# People with access to soap]],WWWW[[#This Row],['# People with access to Sanity Pads]])</f>
        <v>0</v>
      </c>
      <c r="CH261" s="209">
        <f>WWWW[[#This Row],[Total HH]]*WWWW[[#This Row],[%HHs with access to functional hand washing stations]]</f>
        <v>0</v>
      </c>
      <c r="CI261" s="699">
        <f>VLOOKUP(WWWW[[#This Row],[Site Name]],SiteDB6[[Site Name]:[CCCM Management]],6,FALSE)</f>
        <v>0</v>
      </c>
      <c r="CJ261" s="699">
        <f>VLOOKUP(WWWW[[#This Row],[Site Name]],SiteDB6[[Site Name]:[CCCM Focal Agency]],7,FALSE)</f>
        <v>0</v>
      </c>
      <c r="CK261" s="699" t="str">
        <f>VLOOKUP(WWWW[[#This Row],[Site Name]],SiteDB6[[Site Name]:[Location Type]],8,FALSE)</f>
        <v>Village_Not HRP</v>
      </c>
      <c r="CL261" s="699" t="str">
        <f>VLOOKUP(WWWW[[#This Row],[Site Name]],SiteDB6[[Site Name]:[Location Type 1]],9,FALSE)</f>
        <v>Village</v>
      </c>
      <c r="CM261" s="699" t="str">
        <f>VLOOKUP(WWWW[[#This Row],[Site Name]],SiteDB6[[Site Name]:[Type of Accommodation]],10,FALSE)</f>
        <v>Village_Not HRP</v>
      </c>
      <c r="CN261" s="699" t="str">
        <f>VLOOKUP(WWWW[[#This Row],[Site Name]],SiteDB6[[Site Name]:[Ethnic or GCA/NGCA]],11,FALSE)</f>
        <v>Rakhine</v>
      </c>
      <c r="CO261" s="699">
        <f>VLOOKUP(WWWW[[#This Row],[Site Name]],SiteDB6[[Site Name]:[Lat]],12,FALSE)</f>
        <v>0</v>
      </c>
      <c r="CP261" s="699">
        <f>VLOOKUP(WWWW[[#This Row],[Site Name]],SiteDB6[[Site Name]:[Long]],13,FALSE)</f>
        <v>0</v>
      </c>
      <c r="CQ261" s="699">
        <f>VLOOKUP(WWWW[[#This Row],[Site Name]],SiteDB6[[Site Name]:[Pcode]],3,FALSE)</f>
        <v>0</v>
      </c>
      <c r="CR261" s="660" t="str">
        <f t="shared" si="5"/>
        <v>Covered</v>
      </c>
      <c r="CS261" s="699" t="s">
        <v>2738</v>
      </c>
      <c r="CT261" s="24"/>
      <c r="CU261" s="24"/>
      <c r="CV261" s="24"/>
    </row>
    <row r="262" spans="1:100" ht="15.75" customHeight="1" x14ac:dyDescent="0.25">
      <c r="A262" s="833" t="s">
        <v>3206</v>
      </c>
      <c r="B262" s="206" t="s">
        <v>453</v>
      </c>
      <c r="C262" s="206" t="s">
        <v>454</v>
      </c>
      <c r="D262" s="206" t="s">
        <v>463</v>
      </c>
      <c r="E262" s="206" t="s">
        <v>2767</v>
      </c>
      <c r="F262" s="206">
        <v>56</v>
      </c>
      <c r="G262" s="209">
        <v>237</v>
      </c>
      <c r="H262" s="206">
        <v>38</v>
      </c>
      <c r="I262" s="206" t="s">
        <v>2771</v>
      </c>
      <c r="J262" s="207">
        <v>43373</v>
      </c>
      <c r="K262" s="206"/>
      <c r="L262" s="206" t="s">
        <v>282</v>
      </c>
      <c r="M262" s="208">
        <v>0</v>
      </c>
      <c r="N262" s="208">
        <v>0</v>
      </c>
      <c r="O262" s="323">
        <v>0</v>
      </c>
      <c r="P262" s="317">
        <v>0</v>
      </c>
      <c r="Q262" s="317"/>
      <c r="R262" s="318"/>
      <c r="S262" s="318">
        <v>0</v>
      </c>
      <c r="T262" s="318"/>
      <c r="U262" s="318"/>
      <c r="V262" s="318"/>
      <c r="W262" s="318"/>
      <c r="X262" s="318"/>
      <c r="Y262" s="318"/>
      <c r="Z262" s="318"/>
      <c r="AA262" s="310">
        <v>73</v>
      </c>
      <c r="AB262" s="311"/>
      <c r="AC262" s="66"/>
      <c r="AD262" s="66"/>
      <c r="AE262" s="310">
        <v>0</v>
      </c>
      <c r="AF262" s="310" t="s">
        <v>286</v>
      </c>
      <c r="AG262" s="311" t="s">
        <v>286</v>
      </c>
      <c r="AH262" s="66"/>
      <c r="AI262" s="66"/>
      <c r="AJ262" s="311"/>
      <c r="AK262" s="841">
        <v>0</v>
      </c>
      <c r="AL262" s="846"/>
      <c r="AM262" s="844">
        <v>0</v>
      </c>
      <c r="AN262" s="863"/>
      <c r="AO262" s="863">
        <v>0</v>
      </c>
      <c r="AP262" s="843"/>
      <c r="AQ262" s="843"/>
      <c r="AR262" s="843"/>
      <c r="AS262" s="843"/>
      <c r="AT262" s="843"/>
      <c r="AU262" s="843"/>
      <c r="AV262" s="844"/>
      <c r="AW262" s="208" t="str">
        <f>IFERROR(WWWW[[#This Row],['# of Water passed at source]]/WWWW[[#This Row],['# of Water tested at source]],"no test")</f>
        <v>no test</v>
      </c>
      <c r="AX262" s="211" t="str">
        <f>IFERROR(WWWW[[#This Row],['# of Water passed at HH]]/WWWW[[#This Row],['# of Water tested at HH]],"no test")</f>
        <v>no test</v>
      </c>
      <c r="AY262" s="210" t="str">
        <f>IF(AND(WWWW[[#This Row],[%of Water samples which passed at water source]]="no test",WWWW[[#This Row],[%Water samples which passed at HH]]="no test"),"No Test","Tested")</f>
        <v>No Test</v>
      </c>
      <c r="AZ26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6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62" s="211">
        <f>IF(WWWW[[#This Row],[Location Type 1]]="Village",WWWW[[#This Row],[Access to safe drinking water for Village]],WWWW[[#This Row],[Access to safe drinking water for Camp]])</f>
        <v>0</v>
      </c>
      <c r="BC262" s="209">
        <f>WWWW[[#This Row],[%Equitable and continuous access to sufficient quantity of safe drinking water]]*WWWW[[#This Row],[Total PoP ]]</f>
        <v>0</v>
      </c>
      <c r="BD262" s="211">
        <f>IF((WWWW[[#This Row],['# Existing protected/fenced ponds ]]*250)/WWWW[[#This Row],[Total PoP ]]&gt;1,1,WWWW[[#This Row],['# Existing protected/fenced ponds ]]*250/WWWW[[#This Row],[Total PoP ]])</f>
        <v>0</v>
      </c>
      <c r="BE262" s="209">
        <f>WWWW[[#This Row],[Access to unimproved water points]]*WWWW[[#This Row],[Total PoP ]]</f>
        <v>0</v>
      </c>
      <c r="BF26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6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62" s="209">
        <f>ROUND(WWWW[[#This Row],['#people Equitable and continuous access to sufficient quantity of domestic water borehole n ponds_2]]/500,0)</f>
        <v>0</v>
      </c>
      <c r="BI262" s="208">
        <f>1-WWWW[[#This Row],[%Equitable and continuous access to sufficient quantity of domestic water borehole n ponds]]</f>
        <v>1</v>
      </c>
      <c r="BJ262" s="209">
        <f>WWWW[[#This Row],[%equitable and continuous access to sufficient quantity of safe drinking and domestic water''s GAP]]*WWWW[[#This Row],[Total PoP ]]</f>
        <v>237</v>
      </c>
      <c r="BK262" s="210">
        <f>IF(WWWW[[#This Row],[Total required water points]]-WWWW[[#This Row],['#Water points coverage]]&lt;0,0,WWWW[[#This Row],[Total required water points]]-WWWW[[#This Row],['#Water points coverage]])</f>
        <v>1</v>
      </c>
      <c r="BL262" s="210">
        <f>ROUND(IF(WWWW[[#This Row],[Total PoP ]]&lt;500,1,WWWW[[#This Row],[Total PoP ]]/500),0)</f>
        <v>1</v>
      </c>
      <c r="BM262" s="210">
        <f>WWWW[[#This Row],['# Existing functional latrines]]+WWWW[[#This Row],['# Existing latrines dysfunctional]]</f>
        <v>73</v>
      </c>
      <c r="BN26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62" s="352">
        <f>WWWW[[#This Row],[% people access to functioning Latrine]]*WWWW[[#This Row],[Total PoP ]]</f>
        <v>237</v>
      </c>
      <c r="BP26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62" s="209">
        <f>IF(WWWW[[#This Row],[Total required Latrines]]-WWWW[[#This Row],[Total '# of latrine]]&lt;0,0,WWWW[[#This Row],[Total required Latrines]]-WWWW[[#This Row],[Total '# of latrine]])</f>
        <v>0</v>
      </c>
      <c r="BR262" s="210">
        <f>ROUND(IF(WWWW[[#This Row],[Location Type 1]]="camp",WWWW[[#This Row],[Total PoP ]]/20,WWWW[[#This Row],[Total PoP ]]/6),0)</f>
        <v>40</v>
      </c>
      <c r="BS262" s="212">
        <f>IF(OR(WWWW[[#This Row],['# Existing latrines dysfunctional]]="",WWWW[[#This Row],['# Existing latrines dysfunctional]]=0),0,WWWW[[#This Row],['# Existing latrines dysfunctional]]/WWWW[[#This Row],[Total '# of latrine]])</f>
        <v>0</v>
      </c>
      <c r="BT26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2" s="209">
        <f>IF(500*WWWW[[#This Row],['# Hygiene Promoters ]]&gt;WWWW[[#This Row],[Total PoP ]],WWWW[[#This Row],[Total PoP ]],500*WWWW[[#This Row],['# Hygiene Promoters ]])</f>
        <v>0</v>
      </c>
      <c r="BV262" s="209">
        <f>IF(WWWW[[#This Row],[% of HH with access to Sanitary Pad]]&gt;=100%,1,0)</f>
        <v>0</v>
      </c>
      <c r="BW262" s="209">
        <f>IF(WWWW[[#This Row],[Total PoP ]]=0,0,IF(WWWW[[#This Row],['# Hygiene Promoters ]]=0,0,IF(WWWW[[#This Row],[Location Type 1]]="Village",IF(WWWW[[#This Row],[Total PoP ]]/WWWW[[#This Row],['# Hygiene Promoters ]]&lt;1000,1,0),IF(WWWW[[#This Row],[Total PoP ]]/WWWW[[#This Row],['# Hygiene Promoters ]]&lt;600,1,0))))</f>
        <v>0</v>
      </c>
      <c r="BX262" s="209">
        <f>IF(WWWW[[#This Row],[%HH with access to soap]]&gt;=100%,1,0)</f>
        <v>0</v>
      </c>
      <c r="BY262" s="209">
        <f>IF(WWWW[[#This Row],[% of HHs with access to Sanitary pad more than '#%]]+WWWW[[#This Row],[Ratio of Hyiene promoters to people less than '#]]+WWWW[[#This Row],[% of HHs with access to soap more than '#%]]&gt;=2,WWWW[[#This Row],[Total PoP ]],0)</f>
        <v>0</v>
      </c>
      <c r="BZ262" s="208">
        <f>WWWW[[#This Row],[People adopt basic personal and community hygiene practices]]/WWWW[[#This Row],[Total PoP ]]</f>
        <v>0</v>
      </c>
      <c r="CA262" s="212">
        <f>1-WWWW[[#This Row],[Hygiene Coverage%]]</f>
        <v>1</v>
      </c>
      <c r="CB262" s="211">
        <f>WWWW[[#This Row],['# people reached by regular dedicated hygiene promotion_5]]/WWWW[[#This Row],[Total PoP ]]</f>
        <v>0</v>
      </c>
      <c r="CC262" s="211">
        <f>IF(WWWW[[#This Row],['# HH received soaps]]/WWWW[[#This Row],[Total HH]]&gt;1,1,WWWW[[#This Row],['# HH received soaps]]/WWWW[[#This Row],[Total HH]])</f>
        <v>0</v>
      </c>
      <c r="CD262" s="211">
        <f>IF(WWWW[[#This Row],['# HH received Sanitary Pads]]/WWWW[[#This Row],[Total HH]]&gt;1,1,WWWW[[#This Row],['# HH received Sanitary Pads]]/WWWW[[#This Row],[Total HH]])</f>
        <v>0</v>
      </c>
      <c r="CE262" s="210">
        <f>WWWW[[#This Row],['# HH received soaps]]*5</f>
        <v>0</v>
      </c>
      <c r="CF262" s="210">
        <f>WWWW[[#This Row],['# HH received Sanitary Pads]]*5</f>
        <v>0</v>
      </c>
      <c r="CG262" s="210">
        <f>IF(WWWW[[#This Row],['# People with access to soap]]&gt;WWWW[[#This Row],['# People with access to Sanity Pads]],WWWW[[#This Row],['# People with access to soap]],WWWW[[#This Row],['# People with access to Sanity Pads]])</f>
        <v>0</v>
      </c>
      <c r="CH262" s="209">
        <f>WWWW[[#This Row],[Total HH]]*WWWW[[#This Row],[%HHs with access to functional hand washing stations]]</f>
        <v>0</v>
      </c>
      <c r="CI262" s="699">
        <f>VLOOKUP(WWWW[[#This Row],[Site Name]],SiteDB6[[Site Name]:[CCCM Management]],6,FALSE)</f>
        <v>0</v>
      </c>
      <c r="CJ262" s="699">
        <f>VLOOKUP(WWWW[[#This Row],[Site Name]],SiteDB6[[Site Name]:[CCCM Focal Agency]],7,FALSE)</f>
        <v>0</v>
      </c>
      <c r="CK262" s="699" t="str">
        <f>VLOOKUP(WWWW[[#This Row],[Site Name]],SiteDB6[[Site Name]:[Location Type]],8,FALSE)</f>
        <v>Village</v>
      </c>
      <c r="CL262" s="699" t="str">
        <f>VLOOKUP(WWWW[[#This Row],[Site Name]],SiteDB6[[Site Name]:[Location Type 1]],9,FALSE)</f>
        <v>Village</v>
      </c>
      <c r="CM262" s="699" t="str">
        <f>VLOOKUP(WWWW[[#This Row],[Site Name]],SiteDB6[[Site Name]:[Type of Accommodation]],10,FALSE)</f>
        <v>Village</v>
      </c>
      <c r="CN262" s="699">
        <f>VLOOKUP(WWWW[[#This Row],[Site Name]],SiteDB6[[Site Name]:[Ethnic or GCA/NGCA]],11,FALSE)</f>
        <v>0</v>
      </c>
      <c r="CO262" s="699">
        <f>VLOOKUP(WWWW[[#This Row],[Site Name]],SiteDB6[[Site Name]:[Lat]],12,FALSE)</f>
        <v>20.860509872436499</v>
      </c>
      <c r="CP262" s="699">
        <f>VLOOKUP(WWWW[[#This Row],[Site Name]],SiteDB6[[Site Name]:[Long]],13,FALSE)</f>
        <v>92.966751098632798</v>
      </c>
      <c r="CQ262" s="699">
        <f>VLOOKUP(WWWW[[#This Row],[Site Name]],SiteDB6[[Site Name]:[Pcode]],3,FALSE)</f>
        <v>196828</v>
      </c>
      <c r="CR262" s="660" t="str">
        <f t="shared" si="5"/>
        <v>Covered</v>
      </c>
      <c r="CS262" s="699"/>
      <c r="CT262" s="24"/>
      <c r="CU262" s="24"/>
      <c r="CV262" s="24"/>
    </row>
    <row r="263" spans="1:100" ht="15.75" customHeight="1" x14ac:dyDescent="0.25">
      <c r="A263" s="833" t="s">
        <v>3206</v>
      </c>
      <c r="B263" s="206" t="s">
        <v>1373</v>
      </c>
      <c r="C263" s="206" t="s">
        <v>454</v>
      </c>
      <c r="D263" s="206" t="s">
        <v>463</v>
      </c>
      <c r="E263" s="206" t="s">
        <v>739</v>
      </c>
      <c r="F263" s="206">
        <v>144</v>
      </c>
      <c r="G263" s="209">
        <v>919</v>
      </c>
      <c r="H263" s="206">
        <v>286</v>
      </c>
      <c r="I263" s="206" t="s">
        <v>2780</v>
      </c>
      <c r="J263" s="207" t="s">
        <v>3248</v>
      </c>
      <c r="K263" s="206">
        <v>30</v>
      </c>
      <c r="L263" s="206" t="s">
        <v>2454</v>
      </c>
      <c r="M263" s="208">
        <v>0</v>
      </c>
      <c r="N263" s="208">
        <v>0</v>
      </c>
      <c r="O263" s="323">
        <v>0</v>
      </c>
      <c r="P263" s="317">
        <v>0</v>
      </c>
      <c r="Q263" s="317">
        <v>0</v>
      </c>
      <c r="R263" s="318">
        <v>0</v>
      </c>
      <c r="S263" s="318"/>
      <c r="T263" s="318"/>
      <c r="U263" s="318"/>
      <c r="V263" s="318"/>
      <c r="W263" s="318"/>
      <c r="X263" s="318"/>
      <c r="Y263" s="318"/>
      <c r="Z263" s="318"/>
      <c r="AA263" s="310">
        <v>73</v>
      </c>
      <c r="AB263" s="311"/>
      <c r="AC263" s="66"/>
      <c r="AD263" s="66"/>
      <c r="AE263" s="310"/>
      <c r="AF263" s="310" t="s">
        <v>286</v>
      </c>
      <c r="AG263" s="311" t="s">
        <v>286</v>
      </c>
      <c r="AH263" s="66"/>
      <c r="AI263" s="66"/>
      <c r="AJ263" s="311"/>
      <c r="AK263" s="841">
        <v>0</v>
      </c>
      <c r="AL263" s="846"/>
      <c r="AM263" s="844">
        <v>0</v>
      </c>
      <c r="AN263" s="863">
        <v>0</v>
      </c>
      <c r="AO263" s="863"/>
      <c r="AP263" s="843"/>
      <c r="AQ263" s="843"/>
      <c r="AR263" s="843"/>
      <c r="AS263" s="843"/>
      <c r="AT263" s="843"/>
      <c r="AU263" s="843"/>
      <c r="AV263" s="844"/>
      <c r="AW263" s="208" t="str">
        <f>IFERROR(WWWW[[#This Row],['# of Water passed at source]]/WWWW[[#This Row],['# of Water tested at source]],"no test")</f>
        <v>no test</v>
      </c>
      <c r="AX263" s="211" t="str">
        <f>IFERROR(WWWW[[#This Row],['# of Water passed at HH]]/WWWW[[#This Row],['# of Water tested at HH]],"no test")</f>
        <v>no test</v>
      </c>
      <c r="AY263" s="210" t="str">
        <f>IF(AND(WWWW[[#This Row],[%of Water samples which passed at water source]]="no test",WWWW[[#This Row],[%Water samples which passed at HH]]="no test"),"No Test","Tested")</f>
        <v>No Test</v>
      </c>
      <c r="AZ26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6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63" s="211">
        <f>IF(WWWW[[#This Row],[Location Type 1]]="Village",WWWW[[#This Row],[Access to safe drinking water for Village]],WWWW[[#This Row],[Access to safe drinking water for Camp]])</f>
        <v>0</v>
      </c>
      <c r="BC263" s="209">
        <f>WWWW[[#This Row],[%Equitable and continuous access to sufficient quantity of safe drinking water]]*WWWW[[#This Row],[Total PoP ]]</f>
        <v>0</v>
      </c>
      <c r="BD263" s="211">
        <f>IF((WWWW[[#This Row],['# Existing protected/fenced ponds ]]*250)/WWWW[[#This Row],[Total PoP ]]&gt;1,1,WWWW[[#This Row],['# Existing protected/fenced ponds ]]*250/WWWW[[#This Row],[Total PoP ]])</f>
        <v>0</v>
      </c>
      <c r="BE263" s="209">
        <f>WWWW[[#This Row],[Access to unimproved water points]]*WWWW[[#This Row],[Total PoP ]]</f>
        <v>0</v>
      </c>
      <c r="BF26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6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63" s="209">
        <f>WWWW[[#This Row],['#people Equitable and continuous access to sufficient quantity of domestic water borehole n ponds_2]]/500</f>
        <v>0</v>
      </c>
      <c r="BI263" s="208">
        <f>1-WWWW[[#This Row],[%Equitable and continuous access to sufficient quantity of domestic water borehole n ponds]]</f>
        <v>1</v>
      </c>
      <c r="BJ263" s="209">
        <f>WWWW[[#This Row],[%equitable and continuous access to sufficient quantity of safe drinking and domestic water''s GAP]]*WWWW[[#This Row],[Total PoP ]]</f>
        <v>919</v>
      </c>
      <c r="BK263" s="210">
        <f>IF(WWWW[[#This Row],[Total required water points]]-WWWW[[#This Row],['#Water points coverage]]&lt;0,0,WWWW[[#This Row],[Total required water points]]-WWWW[[#This Row],['#Water points coverage]])</f>
        <v>2</v>
      </c>
      <c r="BL263" s="210">
        <f>ROUND(IF(WWWW[[#This Row],[Total PoP ]]&lt;500,1,WWWW[[#This Row],[Total PoP ]]/500),0)</f>
        <v>2</v>
      </c>
      <c r="BM263" s="210">
        <f>WWWW[[#This Row],['# Existing functional latrines]]+WWWW[[#This Row],['# Existing latrines dysfunctional]]</f>
        <v>73</v>
      </c>
      <c r="BN26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0.47660500544069639</v>
      </c>
      <c r="BO263" s="352">
        <f>WWWW[[#This Row],[% people access to functioning Latrine]]*WWWW[[#This Row],[Total PoP ]]</f>
        <v>438</v>
      </c>
      <c r="BP26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0.52230685527747556</v>
      </c>
      <c r="BQ263" s="209">
        <f>IF(WWWW[[#This Row],[Total required Latrines]]-WWWW[[#This Row],[Total '# of latrine]]&lt;0,0,WWWW[[#This Row],[Total required Latrines]]-WWWW[[#This Row],[Total '# of latrine]])</f>
        <v>80</v>
      </c>
      <c r="BR263" s="210">
        <f>ROUND(IF(WWWW[[#This Row],[Location Type 1]]="camp",WWWW[[#This Row],[Total PoP ]]/20,WWWW[[#This Row],[Total PoP ]]/6),0)</f>
        <v>153</v>
      </c>
      <c r="BS263" s="212">
        <f>IF(OR(WWWW[[#This Row],['# Existing latrines dysfunctional]]="",WWWW[[#This Row],['# Existing latrines dysfunctional]]=0),0,WWWW[[#This Row],['# Existing latrines dysfunctional]]/WWWW[[#This Row],[Total '# of latrine]])</f>
        <v>0</v>
      </c>
      <c r="BT26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3" s="209">
        <f>IF(500*WWWW[[#This Row],['# Hygiene Promoters ]]&gt;WWWW[[#This Row],[Total PoP ]],WWWW[[#This Row],[Total PoP ]],500*WWWW[[#This Row],['# Hygiene Promoters ]])</f>
        <v>0</v>
      </c>
      <c r="BV263" s="209">
        <f>IF(WWWW[[#This Row],[% of HH with access to Sanitary Pad]]&gt;=100%,1,0)</f>
        <v>0</v>
      </c>
      <c r="BW263" s="209">
        <f>IF(WWWW[[#This Row],[Total PoP ]]=0,0,IF(WWWW[[#This Row],['# Hygiene Promoters ]]=0,0,IF(WWWW[[#This Row],[Location Type 1]]="Village",IF(WWWW[[#This Row],[Total PoP ]]/WWWW[[#This Row],['# Hygiene Promoters ]]&lt;1000,1,0),IF(WWWW[[#This Row],[Total PoP ]]/WWWW[[#This Row],['# Hygiene Promoters ]]&lt;600,1,0))))</f>
        <v>0</v>
      </c>
      <c r="BX263" s="209">
        <f>IF(WWWW[[#This Row],[%HH with access to soap]]&gt;=100%,1,0)</f>
        <v>0</v>
      </c>
      <c r="BY263" s="209">
        <f>IF(WWWW[[#This Row],[% of HHs with access to Sanitary pad more than '#%]]+WWWW[[#This Row],[Ratio of Hyiene promoters to people less than '#]]+WWWW[[#This Row],[% of HHs with access to soap more than '#%]]&gt;=2,WWWW[[#This Row],[Total PoP ]],0)</f>
        <v>0</v>
      </c>
      <c r="BZ263" s="208">
        <f>WWWW[[#This Row],[People adopt basic personal and community hygiene practices]]/WWWW[[#This Row],[Total PoP ]]</f>
        <v>0</v>
      </c>
      <c r="CA263" s="212">
        <f>1-WWWW[[#This Row],[Hygiene Coverage%]]</f>
        <v>1</v>
      </c>
      <c r="CB263" s="211">
        <f>WWWW[[#This Row],['# people reached by regular dedicated hygiene promotion_5]]/WWWW[[#This Row],[Total PoP ]]</f>
        <v>0</v>
      </c>
      <c r="CC263" s="211">
        <f>IF(WWWW[[#This Row],['# HH received soaps]]/WWWW[[#This Row],[Total HH]]&gt;1,1,WWWW[[#This Row],['# HH received soaps]]/WWWW[[#This Row],[Total HH]])</f>
        <v>0</v>
      </c>
      <c r="CD263" s="211">
        <f>IF(WWWW[[#This Row],['# HH received Sanitary Pads]]/WWWW[[#This Row],[Total HH]]&gt;1,1,WWWW[[#This Row],['# HH received Sanitary Pads]]/WWWW[[#This Row],[Total HH]])</f>
        <v>0</v>
      </c>
      <c r="CE263" s="210">
        <f>WWWW[[#This Row],['# HH received soaps]]*5</f>
        <v>0</v>
      </c>
      <c r="CF263" s="210">
        <f>WWWW[[#This Row],['# HH received Sanitary Pads]]*5</f>
        <v>0</v>
      </c>
      <c r="CG263" s="210">
        <f>IF(WWWW[[#This Row],['# People with access to soap]]&gt;WWWW[[#This Row],['# People with access to Sanity Pads]],WWWW[[#This Row],['# People with access to soap]],WWWW[[#This Row],['# People with access to Sanity Pads]])</f>
        <v>0</v>
      </c>
      <c r="CH263" s="209">
        <f>WWWW[[#This Row],[Total HH]]*WWWW[[#This Row],[%HHs with access to functional hand washing stations]]</f>
        <v>0</v>
      </c>
      <c r="CI263" s="699">
        <f>VLOOKUP(WWWW[[#This Row],[Site Name]],SiteDB6[[Site Name]:[CCCM Management]],6,FALSE)</f>
        <v>0</v>
      </c>
      <c r="CJ263" s="699">
        <f>VLOOKUP(WWWW[[#This Row],[Site Name]],SiteDB6[[Site Name]:[CCCM Focal Agency]],7,FALSE)</f>
        <v>0</v>
      </c>
      <c r="CK263" s="699" t="str">
        <f>VLOOKUP(WWWW[[#This Row],[Site Name]],SiteDB6[[Site Name]:[Location Type]],8,FALSE)</f>
        <v>Village</v>
      </c>
      <c r="CL263" s="699" t="str">
        <f>VLOOKUP(WWWW[[#This Row],[Site Name]],SiteDB6[[Site Name]:[Location Type 1]],9,FALSE)</f>
        <v>Village</v>
      </c>
      <c r="CM263" s="699" t="str">
        <f>VLOOKUP(WWWW[[#This Row],[Site Name]],SiteDB6[[Site Name]:[Type of Accommodation]],10,FALSE)</f>
        <v>Returned</v>
      </c>
      <c r="CN263" s="699" t="str">
        <f>VLOOKUP(WWWW[[#This Row],[Site Name]],SiteDB6[[Site Name]:[Ethnic or GCA/NGCA]],11,FALSE)</f>
        <v>Muslim</v>
      </c>
      <c r="CO263" s="699">
        <f>VLOOKUP(WWWW[[#This Row],[Site Name]],SiteDB6[[Site Name]:[Lat]],12,FALSE)</f>
        <v>20.727589999999999</v>
      </c>
      <c r="CP263" s="699">
        <f>VLOOKUP(WWWW[[#This Row],[Site Name]],SiteDB6[[Site Name]:[Long]],13,FALSE)</f>
        <v>92.969350000000006</v>
      </c>
      <c r="CQ263" s="699" t="str">
        <f>VLOOKUP(WWWW[[#This Row],[Site Name]],SiteDB6[[Site Name]:[Pcode]],3,FALSE)</f>
        <v>MMR012CMP028</v>
      </c>
      <c r="CR263" s="660" t="str">
        <f t="shared" si="5"/>
        <v>Covered</v>
      </c>
      <c r="CS263" s="699"/>
      <c r="CT263" s="24"/>
      <c r="CU263" s="24"/>
      <c r="CV263" s="24"/>
    </row>
    <row r="264" spans="1:100" ht="15.75" customHeight="1" x14ac:dyDescent="0.25">
      <c r="A264" s="833" t="s">
        <v>3206</v>
      </c>
      <c r="B264" s="206" t="s">
        <v>460</v>
      </c>
      <c r="C264" s="206" t="s">
        <v>454</v>
      </c>
      <c r="D264" s="206" t="s">
        <v>463</v>
      </c>
      <c r="E264" s="206" t="s">
        <v>735</v>
      </c>
      <c r="F264" s="206">
        <f>ROUND(WWWW[[#This Row],[Total PoP ]]/5,0)</f>
        <v>139</v>
      </c>
      <c r="G264" s="209">
        <v>695</v>
      </c>
      <c r="H264" s="206"/>
      <c r="I264" s="206"/>
      <c r="J264" s="207"/>
      <c r="K264" s="206"/>
      <c r="L264" s="206" t="s">
        <v>282</v>
      </c>
      <c r="M264" s="208">
        <v>0</v>
      </c>
      <c r="N264" s="208">
        <v>0</v>
      </c>
      <c r="O264" s="323">
        <v>0</v>
      </c>
      <c r="P264" s="317">
        <v>0</v>
      </c>
      <c r="Q264" s="317"/>
      <c r="R264" s="318"/>
      <c r="S264" s="318">
        <v>0</v>
      </c>
      <c r="T264" s="318"/>
      <c r="U264" s="318"/>
      <c r="V264" s="318"/>
      <c r="W264" s="318"/>
      <c r="X264" s="318"/>
      <c r="Y264" s="318"/>
      <c r="Z264" s="318"/>
      <c r="AA264" s="310">
        <v>73</v>
      </c>
      <c r="AB264" s="311"/>
      <c r="AC264" s="66"/>
      <c r="AD264" s="66"/>
      <c r="AE264" s="310">
        <v>0</v>
      </c>
      <c r="AF264" s="310" t="s">
        <v>286</v>
      </c>
      <c r="AG264" s="311" t="s">
        <v>286</v>
      </c>
      <c r="AH264" s="66"/>
      <c r="AI264" s="66"/>
      <c r="AJ264" s="311"/>
      <c r="AK264" s="841">
        <v>0</v>
      </c>
      <c r="AL264" s="846"/>
      <c r="AM264" s="844">
        <v>0</v>
      </c>
      <c r="AN264" s="863"/>
      <c r="AO264" s="863">
        <v>0</v>
      </c>
      <c r="AP264" s="843"/>
      <c r="AQ264" s="843"/>
      <c r="AR264" s="843"/>
      <c r="AS264" s="843"/>
      <c r="AT264" s="843"/>
      <c r="AU264" s="843"/>
      <c r="AV264" s="844"/>
      <c r="AW264" s="208" t="str">
        <f>IFERROR(WWWW[[#This Row],['# of Water passed at source]]/WWWW[[#This Row],['# of Water tested at source]],"no test")</f>
        <v>no test</v>
      </c>
      <c r="AX264" s="211" t="str">
        <f>IFERROR(WWWW[[#This Row],['# of Water passed at HH]]/WWWW[[#This Row],['# of Water tested at HH]],"no test")</f>
        <v>no test</v>
      </c>
      <c r="AY264" s="210" t="str">
        <f>IF(AND(WWWW[[#This Row],[%of Water samples which passed at water source]]="no test",WWWW[[#This Row],[%Water samples which passed at HH]]="no test"),"No Test","Tested")</f>
        <v>No Test</v>
      </c>
      <c r="AZ26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6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64" s="211">
        <f>IF(WWWW[[#This Row],[Location Type 1]]="Village",WWWW[[#This Row],[Access to safe drinking water for Village]],WWWW[[#This Row],[Access to safe drinking water for Camp]])</f>
        <v>0</v>
      </c>
      <c r="BC264" s="209">
        <f>WWWW[[#This Row],[%Equitable and continuous access to sufficient quantity of safe drinking water]]*WWWW[[#This Row],[Total PoP ]]</f>
        <v>0</v>
      </c>
      <c r="BD264" s="211">
        <f>IF((WWWW[[#This Row],['# Existing protected/fenced ponds ]]*250)/WWWW[[#This Row],[Total PoP ]]&gt;1,1,WWWW[[#This Row],['# Existing protected/fenced ponds ]]*250/WWWW[[#This Row],[Total PoP ]])</f>
        <v>0</v>
      </c>
      <c r="BE264" s="209">
        <f>WWWW[[#This Row],[Access to unimproved water points]]*WWWW[[#This Row],[Total PoP ]]</f>
        <v>0</v>
      </c>
      <c r="BF26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6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64" s="209">
        <f>ROUND(WWWW[[#This Row],['#people Equitable and continuous access to sufficient quantity of domestic water borehole n ponds_2]]/500,0)</f>
        <v>0</v>
      </c>
      <c r="BI264" s="208">
        <f>1-WWWW[[#This Row],[%Equitable and continuous access to sufficient quantity of domestic water borehole n ponds]]</f>
        <v>1</v>
      </c>
      <c r="BJ264" s="209">
        <f>WWWW[[#This Row],[%equitable and continuous access to sufficient quantity of safe drinking and domestic water''s GAP]]*WWWW[[#This Row],[Total PoP ]]</f>
        <v>695</v>
      </c>
      <c r="BK264" s="210">
        <f>IF(WWWW[[#This Row],[Total required water points]]-WWWW[[#This Row],['#Water points coverage]]&lt;0,0,WWWW[[#This Row],[Total required water points]]-WWWW[[#This Row],['#Water points coverage]])</f>
        <v>1</v>
      </c>
      <c r="BL264" s="210">
        <f>ROUND(IF(WWWW[[#This Row],[Total PoP ]]&lt;500,1,WWWW[[#This Row],[Total PoP ]]/500),0)</f>
        <v>1</v>
      </c>
      <c r="BM264" s="210">
        <f>WWWW[[#This Row],['# Existing functional latrines]]+WWWW[[#This Row],['# Existing latrines dysfunctional]]</f>
        <v>73</v>
      </c>
      <c r="BN26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0.63021582733812953</v>
      </c>
      <c r="BO264" s="352">
        <f>WWWW[[#This Row],[% people access to functioning Latrine]]*WWWW[[#This Row],[Total PoP ]]</f>
        <v>438</v>
      </c>
      <c r="BP26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0.37122302158273385</v>
      </c>
      <c r="BQ264" s="209">
        <f>IF(WWWW[[#This Row],[Total required Latrines]]-WWWW[[#This Row],[Total '# of latrine]]&lt;0,0,WWWW[[#This Row],[Total required Latrines]]-WWWW[[#This Row],[Total '# of latrine]])</f>
        <v>43</v>
      </c>
      <c r="BR264" s="210">
        <f>ROUND(IF(WWWW[[#This Row],[Location Type 1]]="camp",WWWW[[#This Row],[Total PoP ]]/20,WWWW[[#This Row],[Total PoP ]]/6),0)</f>
        <v>116</v>
      </c>
      <c r="BS264" s="212">
        <f>IF(OR(WWWW[[#This Row],['# Existing latrines dysfunctional]]="",WWWW[[#This Row],['# Existing latrines dysfunctional]]=0),0,WWWW[[#This Row],['# Existing latrines dysfunctional]]/WWWW[[#This Row],[Total '# of latrine]])</f>
        <v>0</v>
      </c>
      <c r="BT26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4" s="209">
        <f>IF(500*WWWW[[#This Row],['# Hygiene Promoters ]]&gt;WWWW[[#This Row],[Total PoP ]],WWWW[[#This Row],[Total PoP ]],500*WWWW[[#This Row],['# Hygiene Promoters ]])</f>
        <v>0</v>
      </c>
      <c r="BV264" s="209">
        <f>IF(WWWW[[#This Row],[% of HH with access to Sanitary Pad]]&gt;=100%,1,0)</f>
        <v>0</v>
      </c>
      <c r="BW264" s="209">
        <f>IF(WWWW[[#This Row],[Total PoP ]]=0,0,IF(WWWW[[#This Row],['# Hygiene Promoters ]]=0,0,IF(WWWW[[#This Row],[Location Type 1]]="Village",IF(WWWW[[#This Row],[Total PoP ]]/WWWW[[#This Row],['# Hygiene Promoters ]]&lt;1000,1,0),IF(WWWW[[#This Row],[Total PoP ]]/WWWW[[#This Row],['# Hygiene Promoters ]]&lt;600,1,0))))</f>
        <v>0</v>
      </c>
      <c r="BX264" s="209">
        <f>IF(WWWW[[#This Row],[%HH with access to soap]]&gt;=100%,1,0)</f>
        <v>0</v>
      </c>
      <c r="BY264" s="209">
        <f>IF(WWWW[[#This Row],[% of HHs with access to Sanitary pad more than '#%]]+WWWW[[#This Row],[Ratio of Hyiene promoters to people less than '#]]+WWWW[[#This Row],[% of HHs with access to soap more than '#%]]&gt;=2,WWWW[[#This Row],[Total PoP ]],0)</f>
        <v>0</v>
      </c>
      <c r="BZ264" s="208">
        <f>WWWW[[#This Row],[People adopt basic personal and community hygiene practices]]/WWWW[[#This Row],[Total PoP ]]</f>
        <v>0</v>
      </c>
      <c r="CA264" s="212">
        <f>1-WWWW[[#This Row],[Hygiene Coverage%]]</f>
        <v>1</v>
      </c>
      <c r="CB264" s="211">
        <f>WWWW[[#This Row],['# people reached by regular dedicated hygiene promotion_5]]/WWWW[[#This Row],[Total PoP ]]</f>
        <v>0</v>
      </c>
      <c r="CC264" s="211">
        <f>IF(WWWW[[#This Row],['# HH received soaps]]/WWWW[[#This Row],[Total HH]]&gt;1,1,WWWW[[#This Row],['# HH received soaps]]/WWWW[[#This Row],[Total HH]])</f>
        <v>0</v>
      </c>
      <c r="CD264" s="211">
        <f>IF(WWWW[[#This Row],['# HH received Sanitary Pads]]/WWWW[[#This Row],[Total HH]]&gt;1,1,WWWW[[#This Row],['# HH received Sanitary Pads]]/WWWW[[#This Row],[Total HH]])</f>
        <v>0</v>
      </c>
      <c r="CE264" s="210">
        <f>WWWW[[#This Row],['# HH received soaps]]*5</f>
        <v>0</v>
      </c>
      <c r="CF264" s="210">
        <f>WWWW[[#This Row],['# HH received Sanitary Pads]]*5</f>
        <v>0</v>
      </c>
      <c r="CG264" s="210">
        <f>IF(WWWW[[#This Row],['# People with access to soap]]&gt;WWWW[[#This Row],['# People with access to Sanity Pads]],WWWW[[#This Row],['# People with access to soap]],WWWW[[#This Row],['# People with access to Sanity Pads]])</f>
        <v>0</v>
      </c>
      <c r="CH264" s="209">
        <f>WWWW[[#This Row],[Total HH]]*WWWW[[#This Row],[%HHs with access to functional hand washing stations]]</f>
        <v>0</v>
      </c>
      <c r="CI264" s="699">
        <f>VLOOKUP(WWWW[[#This Row],[Site Name]],SiteDB6[[Site Name]:[CCCM Management]],6,FALSE)</f>
        <v>0</v>
      </c>
      <c r="CJ264" s="699">
        <f>VLOOKUP(WWWW[[#This Row],[Site Name]],SiteDB6[[Site Name]:[CCCM Focal Agency]],7,FALSE)</f>
        <v>0</v>
      </c>
      <c r="CK264" s="699" t="str">
        <f>VLOOKUP(WWWW[[#This Row],[Site Name]],SiteDB6[[Site Name]:[Location Type]],8,FALSE)</f>
        <v>Village</v>
      </c>
      <c r="CL264" s="699" t="str">
        <f>VLOOKUP(WWWW[[#This Row],[Site Name]],SiteDB6[[Site Name]:[Location Type 1]],9,FALSE)</f>
        <v>Village</v>
      </c>
      <c r="CM264" s="699" t="str">
        <f>VLOOKUP(WWWW[[#This Row],[Site Name]],SiteDB6[[Site Name]:[Type of Accommodation]],10,FALSE)</f>
        <v>Village</v>
      </c>
      <c r="CN264" s="699" t="str">
        <f>VLOOKUP(WWWW[[#This Row],[Site Name]],SiteDB6[[Site Name]:[Ethnic or GCA/NGCA]],11,FALSE)</f>
        <v>Rakhine</v>
      </c>
      <c r="CO264" s="699">
        <f>VLOOKUP(WWWW[[#This Row],[Site Name]],SiteDB6[[Site Name]:[Lat]],12,FALSE)</f>
        <v>20.723630905151399</v>
      </c>
      <c r="CP264" s="699">
        <f>VLOOKUP(WWWW[[#This Row],[Site Name]],SiteDB6[[Site Name]:[Long]],13,FALSE)</f>
        <v>92.974327087402301</v>
      </c>
      <c r="CQ264" s="699" t="str">
        <f>VLOOKUP(WWWW[[#This Row],[Site Name]],SiteDB6[[Site Name]:[Pcode]],3,FALSE)</f>
        <v>196951</v>
      </c>
      <c r="CR264" s="660" t="str">
        <f t="shared" si="5"/>
        <v>Notcovered</v>
      </c>
      <c r="CS264" s="699"/>
      <c r="CT264" s="24"/>
      <c r="CU264" s="24"/>
      <c r="CV264" s="24"/>
    </row>
    <row r="265" spans="1:100" ht="15.75" customHeight="1" x14ac:dyDescent="0.25">
      <c r="A265" s="833" t="s">
        <v>3206</v>
      </c>
      <c r="B265" s="206" t="s">
        <v>530</v>
      </c>
      <c r="C265" s="206" t="s">
        <v>454</v>
      </c>
      <c r="D265" s="206" t="s">
        <v>466</v>
      </c>
      <c r="E265" s="206" t="s">
        <v>824</v>
      </c>
      <c r="F265" s="206">
        <v>113</v>
      </c>
      <c r="G265" s="209">
        <v>420</v>
      </c>
      <c r="H265" s="206"/>
      <c r="I265" s="206" t="s">
        <v>388</v>
      </c>
      <c r="J265" s="207">
        <v>43145</v>
      </c>
      <c r="K265" s="206">
        <v>0</v>
      </c>
      <c r="L265" s="206"/>
      <c r="M265" s="208"/>
      <c r="N265" s="208"/>
      <c r="O265" s="323">
        <v>3</v>
      </c>
      <c r="P265" s="317">
        <v>0</v>
      </c>
      <c r="Q265" s="317">
        <v>0</v>
      </c>
      <c r="R265" s="318">
        <v>2</v>
      </c>
      <c r="S265" s="318">
        <v>1</v>
      </c>
      <c r="T265" s="318"/>
      <c r="U265" s="318"/>
      <c r="V265" s="318"/>
      <c r="W265" s="318"/>
      <c r="X265" s="318"/>
      <c r="Y265" s="318"/>
      <c r="Z265" s="318"/>
      <c r="AA265" s="310">
        <v>0</v>
      </c>
      <c r="AB265" s="310">
        <v>0</v>
      </c>
      <c r="AC265" s="66"/>
      <c r="AD265" s="66"/>
      <c r="AE265" s="310">
        <v>0</v>
      </c>
      <c r="AF265" s="310" t="s">
        <v>332</v>
      </c>
      <c r="AG265" s="311" t="s">
        <v>332</v>
      </c>
      <c r="AH265" s="311"/>
      <c r="AI265" s="310"/>
      <c r="AJ265" s="310"/>
      <c r="AK265" s="841">
        <v>0</v>
      </c>
      <c r="AL265" s="842" t="s">
        <v>284</v>
      </c>
      <c r="AM265" s="842">
        <v>0</v>
      </c>
      <c r="AN265" s="863">
        <v>0</v>
      </c>
      <c r="AO265" s="863">
        <v>5</v>
      </c>
      <c r="AP265" s="843">
        <v>120</v>
      </c>
      <c r="AQ265" s="843">
        <v>120</v>
      </c>
      <c r="AR265" s="843"/>
      <c r="AS265" s="843"/>
      <c r="AT265" s="843"/>
      <c r="AU265" s="843"/>
      <c r="AV265" s="844"/>
      <c r="AW265" s="208" t="str">
        <f>IFERROR(WWWW[[#This Row],['# of Water passed at source]]/WWWW[[#This Row],['# of Water tested at source]],"no test")</f>
        <v>no test</v>
      </c>
      <c r="AX265" s="211" t="str">
        <f>IFERROR(WWWW[[#This Row],['# of Water passed at HH]]/WWWW[[#This Row],['# of Water tested at HH]],"no test")</f>
        <v>no test</v>
      </c>
      <c r="AY265" s="210" t="str">
        <f>IF(AND(WWWW[[#This Row],[%of Water samples which passed at water source]]="no test",WWWW[[#This Row],[%Water samples which passed at HH]]="no test"),"No Test","Tested")</f>
        <v>No Test</v>
      </c>
      <c r="AZ26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6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65" s="211">
        <f>IF(WWWW[[#This Row],[Location Type 1]]="Village",WWWW[[#This Row],[Access to safe drinking water for Village]],WWWW[[#This Row],[Access to safe drinking water for Camp]])</f>
        <v>1</v>
      </c>
      <c r="BC265" s="209">
        <f>WWWW[[#This Row],[%Equitable and continuous access to sufficient quantity of safe drinking water]]*WWWW[[#This Row],[Total PoP ]]</f>
        <v>420</v>
      </c>
      <c r="BD265" s="211">
        <f>IF((WWWW[[#This Row],['# Existing protected/fenced ponds ]]*250)/WWWW[[#This Row],[Total PoP ]]&gt;1,1,WWWW[[#This Row],['# Existing protected/fenced ponds ]]*250/WWWW[[#This Row],[Total PoP ]])</f>
        <v>1</v>
      </c>
      <c r="BE265" s="209">
        <f>WWWW[[#This Row],[Access to unimproved water points]]*WWWW[[#This Row],[Total PoP ]]</f>
        <v>420</v>
      </c>
      <c r="BF26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6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420</v>
      </c>
      <c r="BH265" s="209">
        <f>ROUND(WWWW[[#This Row],['#people Equitable and continuous access to sufficient quantity of domestic water borehole n ponds_2]]/500,0)</f>
        <v>1</v>
      </c>
      <c r="BI265" s="208">
        <f>1-WWWW[[#This Row],[%Equitable and continuous access to sufficient quantity of domestic water borehole n ponds]]</f>
        <v>0</v>
      </c>
      <c r="BJ265" s="209">
        <f>WWWW[[#This Row],[%equitable and continuous access to sufficient quantity of safe drinking and domestic water''s GAP]]*WWWW[[#This Row],[Total PoP ]]</f>
        <v>0</v>
      </c>
      <c r="BK265" s="210">
        <f>IF(WWWW[[#This Row],[Total required water points]]-WWWW[[#This Row],['#Water points coverage]]&lt;0,0,WWWW[[#This Row],[Total required water points]]-WWWW[[#This Row],['#Water points coverage]])</f>
        <v>0</v>
      </c>
      <c r="BL265" s="210">
        <f>ROUND(IF(WWWW[[#This Row],[Total PoP ]]&lt;500,1,WWWW[[#This Row],[Total PoP ]]/500),0)</f>
        <v>1</v>
      </c>
      <c r="BM265" s="210">
        <f>WWWW[[#This Row],['# Existing functional latrines]]+WWWW[[#This Row],['# Existing latrines dysfunctional]]</f>
        <v>0</v>
      </c>
      <c r="BN26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65" s="352">
        <f>WWWW[[#This Row],[% people access to functioning Latrine]]*WWWW[[#This Row],[Total PoP ]]</f>
        <v>0</v>
      </c>
      <c r="BP26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65" s="209">
        <f>IF(WWWW[[#This Row],[Total required Latrines]]-WWWW[[#This Row],[Total '# of latrine]]&lt;0,0,WWWW[[#This Row],[Total required Latrines]]-WWWW[[#This Row],[Total '# of latrine]])</f>
        <v>70</v>
      </c>
      <c r="BR265" s="210">
        <f>ROUND(IF(WWWW[[#This Row],[Location Type 1]]="camp",WWWW[[#This Row],[Total PoP ]]/20,WWWW[[#This Row],[Total PoP ]]/6),0)</f>
        <v>70</v>
      </c>
      <c r="BS265" s="212">
        <f>IF(OR(WWWW[[#This Row],['# Existing latrines dysfunctional]]="",WWWW[[#This Row],['# Existing latrines dysfunctional]]=0),0,WWWW[[#This Row],['# Existing latrines dysfunctional]]/WWWW[[#This Row],[Total '# of latrine]])</f>
        <v>0</v>
      </c>
      <c r="BT26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5" s="209">
        <f>IF(500*WWWW[[#This Row],['# Hygiene Promoters ]]&gt;WWWW[[#This Row],[Total PoP ]],WWWW[[#This Row],[Total PoP ]],500*WWWW[[#This Row],['# Hygiene Promoters ]])</f>
        <v>420</v>
      </c>
      <c r="BV265" s="209">
        <f>IF(WWWW[[#This Row],[% of HH with access to Sanitary Pad]]&gt;=100%,1,0)</f>
        <v>1</v>
      </c>
      <c r="BW265" s="209">
        <f>IF(WWWW[[#This Row],[Total PoP ]]=0,0,IF(WWWW[[#This Row],['# Hygiene Promoters ]]=0,0,IF(WWWW[[#This Row],[Location Type 1]]="Village",IF(WWWW[[#This Row],[Total PoP ]]/WWWW[[#This Row],['# Hygiene Promoters ]]&lt;1000,1,0),IF(WWWW[[#This Row],[Total PoP ]]/WWWW[[#This Row],['# Hygiene Promoters ]]&lt;600,1,0))))</f>
        <v>1</v>
      </c>
      <c r="BX265" s="209">
        <f>IF(WWWW[[#This Row],[%HH with access to soap]]&gt;=100%,1,0)</f>
        <v>1</v>
      </c>
      <c r="BY265" s="209">
        <f>IF(WWWW[[#This Row],[% of HHs with access to Sanitary pad more than '#%]]+WWWW[[#This Row],[Ratio of Hyiene promoters to people less than '#]]+WWWW[[#This Row],[% of HHs with access to soap more than '#%]]&gt;=2,WWWW[[#This Row],[Total PoP ]],0)</f>
        <v>420</v>
      </c>
      <c r="BZ265" s="208">
        <f>WWWW[[#This Row],[People adopt basic personal and community hygiene practices]]/WWWW[[#This Row],[Total PoP ]]</f>
        <v>1</v>
      </c>
      <c r="CA265" s="212">
        <f>1-WWWW[[#This Row],[Hygiene Coverage%]]</f>
        <v>0</v>
      </c>
      <c r="CB265" s="211">
        <f>WWWW[[#This Row],['# people reached by regular dedicated hygiene promotion_5]]/WWWW[[#This Row],[Total PoP ]]</f>
        <v>1</v>
      </c>
      <c r="CC265" s="211">
        <f>IF(WWWW[[#This Row],['# HH received soaps]]/WWWW[[#This Row],[Total HH]]&gt;1,1,WWWW[[#This Row],['# HH received soaps]]/WWWW[[#This Row],[Total HH]])</f>
        <v>1</v>
      </c>
      <c r="CD265" s="211">
        <f>IF(WWWW[[#This Row],['# HH received Sanitary Pads]]/WWWW[[#This Row],[Total HH]]&gt;1,1,WWWW[[#This Row],['# HH received Sanitary Pads]]/WWWW[[#This Row],[Total HH]])</f>
        <v>1</v>
      </c>
      <c r="CE265" s="210">
        <f>WWWW[[#This Row],['# HH received soaps]]*5</f>
        <v>600</v>
      </c>
      <c r="CF265" s="210">
        <f>WWWW[[#This Row],['# HH received Sanitary Pads]]*5</f>
        <v>600</v>
      </c>
      <c r="CG265" s="210">
        <f>IF(WWWW[[#This Row],['# People with access to soap]]&gt;WWWW[[#This Row],['# People with access to Sanity Pads]],WWWW[[#This Row],['# People with access to soap]],WWWW[[#This Row],['# People with access to Sanity Pads]])</f>
        <v>600</v>
      </c>
      <c r="CH265" s="209">
        <f>WWWW[[#This Row],[Total HH]]*WWWW[[#This Row],[%HHs with access to functional hand washing stations]]</f>
        <v>0</v>
      </c>
      <c r="CI265" s="699">
        <f>VLOOKUP(WWWW[[#This Row],[Site Name]],SiteDB6[[Site Name]:[CCCM Management]],6,FALSE)</f>
        <v>0</v>
      </c>
      <c r="CJ265" s="699">
        <f>VLOOKUP(WWWW[[#This Row],[Site Name]],SiteDB6[[Site Name]:[CCCM Focal Agency]],7,FALSE)</f>
        <v>0</v>
      </c>
      <c r="CK265" s="699" t="str">
        <f>VLOOKUP(WWWW[[#This Row],[Site Name]],SiteDB6[[Site Name]:[Location Type]],8,FALSE)</f>
        <v>Village</v>
      </c>
      <c r="CL265" s="699" t="str">
        <f>VLOOKUP(WWWW[[#This Row],[Site Name]],SiteDB6[[Site Name]:[Location Type 1]],9,FALSE)</f>
        <v>Village</v>
      </c>
      <c r="CM265" s="699" t="str">
        <f>VLOOKUP(WWWW[[#This Row],[Site Name]],SiteDB6[[Site Name]:[Type of Accommodation]],10,FALSE)</f>
        <v>Village</v>
      </c>
      <c r="CN265" s="699" t="str">
        <f>VLOOKUP(WWWW[[#This Row],[Site Name]],SiteDB6[[Site Name]:[Ethnic or GCA/NGCA]],11,FALSE)</f>
        <v>Rakhine</v>
      </c>
      <c r="CO265" s="699">
        <f>VLOOKUP(WWWW[[#This Row],[Site Name]],SiteDB6[[Site Name]:[Lat]],12,FALSE)</f>
        <v>20.910375595092798</v>
      </c>
      <c r="CP265" s="699">
        <f>VLOOKUP(WWWW[[#This Row],[Site Name]],SiteDB6[[Site Name]:[Long]],13,FALSE)</f>
        <v>92.400138854980497</v>
      </c>
      <c r="CQ265" s="699">
        <f>VLOOKUP(WWWW[[#This Row],[Site Name]],SiteDB6[[Site Name]:[Pcode]],3,FALSE)</f>
        <v>220734</v>
      </c>
      <c r="CR265" s="660" t="str">
        <f t="shared" si="5"/>
        <v>Covered</v>
      </c>
      <c r="CS265" s="660"/>
      <c r="CT265" s="24"/>
      <c r="CU265" s="24"/>
      <c r="CV265" s="24"/>
    </row>
    <row r="266" spans="1:100" ht="15.75" customHeight="1" x14ac:dyDescent="0.25">
      <c r="A266" s="833" t="s">
        <v>3206</v>
      </c>
      <c r="B266" s="206" t="s">
        <v>530</v>
      </c>
      <c r="C266" s="206" t="s">
        <v>454</v>
      </c>
      <c r="D266" s="206" t="s">
        <v>466</v>
      </c>
      <c r="E266" s="206" t="s">
        <v>644</v>
      </c>
      <c r="F266" s="206">
        <v>41</v>
      </c>
      <c r="G266" s="209">
        <v>200</v>
      </c>
      <c r="H266" s="206"/>
      <c r="I266" s="206" t="s">
        <v>388</v>
      </c>
      <c r="J266" s="207">
        <v>43343</v>
      </c>
      <c r="K266" s="206">
        <v>0</v>
      </c>
      <c r="L266" s="206"/>
      <c r="M266" s="208"/>
      <c r="N266" s="208"/>
      <c r="O266" s="323">
        <v>0</v>
      </c>
      <c r="P266" s="317">
        <v>0</v>
      </c>
      <c r="Q266" s="317">
        <v>0</v>
      </c>
      <c r="R266" s="318">
        <v>0</v>
      </c>
      <c r="S266" s="318">
        <v>1</v>
      </c>
      <c r="T266" s="318"/>
      <c r="U266" s="318"/>
      <c r="V266" s="318"/>
      <c r="W266" s="318"/>
      <c r="X266" s="318"/>
      <c r="Y266" s="318"/>
      <c r="Z266" s="318"/>
      <c r="AA266" s="310"/>
      <c r="AB266" s="310"/>
      <c r="AC266" s="66"/>
      <c r="AD266" s="66"/>
      <c r="AE266" s="310">
        <v>4</v>
      </c>
      <c r="AF266" s="310" t="s">
        <v>332</v>
      </c>
      <c r="AG266" s="311" t="s">
        <v>332</v>
      </c>
      <c r="AH266" s="311"/>
      <c r="AI266" s="310"/>
      <c r="AJ266" s="310"/>
      <c r="AK266" s="841">
        <v>0</v>
      </c>
      <c r="AL266" s="842" t="s">
        <v>284</v>
      </c>
      <c r="AM266" s="842">
        <v>0</v>
      </c>
      <c r="AN266" s="863">
        <v>0</v>
      </c>
      <c r="AO266" s="863">
        <v>5</v>
      </c>
      <c r="AP266" s="843">
        <v>41</v>
      </c>
      <c r="AQ266" s="843">
        <v>41</v>
      </c>
      <c r="AR266" s="843"/>
      <c r="AS266" s="843"/>
      <c r="AT266" s="843"/>
      <c r="AU266" s="843"/>
      <c r="AV266" s="844"/>
      <c r="AW266" s="208" t="str">
        <f>IFERROR(WWWW[[#This Row],['# of Water passed at source]]/WWWW[[#This Row],['# of Water tested at source]],"no test")</f>
        <v>no test</v>
      </c>
      <c r="AX266" s="211" t="str">
        <f>IFERROR(WWWW[[#This Row],['# of Water passed at HH]]/WWWW[[#This Row],['# of Water tested at HH]],"no test")</f>
        <v>no test</v>
      </c>
      <c r="AY266" s="210" t="str">
        <f>IF(AND(WWWW[[#This Row],[%of Water samples which passed at water source]]="no test",WWWW[[#This Row],[%Water samples which passed at HH]]="no test"),"No Test","Tested")</f>
        <v>No Test</v>
      </c>
      <c r="AZ26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6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66" s="211">
        <f>IF(WWWW[[#This Row],[Location Type 1]]="Village",WWWW[[#This Row],[Access to safe drinking water for Village]],WWWW[[#This Row],[Access to safe drinking water for Camp]])</f>
        <v>0</v>
      </c>
      <c r="BC266" s="209">
        <f>WWWW[[#This Row],[%Equitable and continuous access to sufficient quantity of safe drinking water]]*WWWW[[#This Row],[Total PoP ]]</f>
        <v>0</v>
      </c>
      <c r="BD266" s="211">
        <f>IF((WWWW[[#This Row],['# Existing protected/fenced ponds ]]*250)/WWWW[[#This Row],[Total PoP ]]&gt;1,1,WWWW[[#This Row],['# Existing protected/fenced ponds ]]*250/WWWW[[#This Row],[Total PoP ]])</f>
        <v>0</v>
      </c>
      <c r="BE266" s="209">
        <f>WWWW[[#This Row],[Access to unimproved water points]]*WWWW[[#This Row],[Total PoP ]]</f>
        <v>0</v>
      </c>
      <c r="BF26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6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66" s="209">
        <f>ROUND(WWWW[[#This Row],['#people Equitable and continuous access to sufficient quantity of domestic water borehole n ponds_2]]/500,0)</f>
        <v>0</v>
      </c>
      <c r="BI266" s="208">
        <f>1-WWWW[[#This Row],[%Equitable and continuous access to sufficient quantity of domestic water borehole n ponds]]</f>
        <v>1</v>
      </c>
      <c r="BJ266" s="209">
        <f>WWWW[[#This Row],[%equitable and continuous access to sufficient quantity of safe drinking and domestic water''s GAP]]*WWWW[[#This Row],[Total PoP ]]</f>
        <v>200</v>
      </c>
      <c r="BK266" s="210">
        <f>IF(WWWW[[#This Row],[Total required water points]]-WWWW[[#This Row],['#Water points coverage]]&lt;0,0,WWWW[[#This Row],[Total required water points]]-WWWW[[#This Row],['#Water points coverage]])</f>
        <v>1</v>
      </c>
      <c r="BL266" s="210">
        <f>ROUND(IF(WWWW[[#This Row],[Total PoP ]]&lt;500,1,WWWW[[#This Row],[Total PoP ]]/500),0)</f>
        <v>1</v>
      </c>
      <c r="BM266" s="210">
        <f>WWWW[[#This Row],['# Existing functional latrines]]+WWWW[[#This Row],['# Existing latrines dysfunctional]]</f>
        <v>0</v>
      </c>
      <c r="BN26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66" s="352">
        <f>WWWW[[#This Row],[% people access to functioning Latrine]]*WWWW[[#This Row],[Total PoP ]]</f>
        <v>0</v>
      </c>
      <c r="BP26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0.98999999999999988</v>
      </c>
      <c r="BQ266" s="209">
        <f>IF(WWWW[[#This Row],[Total required Latrines]]-WWWW[[#This Row],[Total '# of latrine]]&lt;0,0,WWWW[[#This Row],[Total required Latrines]]-WWWW[[#This Row],[Total '# of latrine]])</f>
        <v>33</v>
      </c>
      <c r="BR266" s="210">
        <f>ROUND(IF(WWWW[[#This Row],[Location Type 1]]="camp",WWWW[[#This Row],[Total PoP ]]/20,WWWW[[#This Row],[Total PoP ]]/6),0)</f>
        <v>33</v>
      </c>
      <c r="BS266" s="212">
        <f>IF(OR(WWWW[[#This Row],['# Existing latrines dysfunctional]]="",WWWW[[#This Row],['# Existing latrines dysfunctional]]=0),0,WWWW[[#This Row],['# Existing latrines dysfunctional]]/WWWW[[#This Row],[Total '# of latrine]])</f>
        <v>0</v>
      </c>
      <c r="BT26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6" s="209">
        <f>IF(500*WWWW[[#This Row],['# Hygiene Promoters ]]&gt;WWWW[[#This Row],[Total PoP ]],WWWW[[#This Row],[Total PoP ]],500*WWWW[[#This Row],['# Hygiene Promoters ]])</f>
        <v>200</v>
      </c>
      <c r="BV266" s="209">
        <f>IF(WWWW[[#This Row],[% of HH with access to Sanitary Pad]]&gt;=100%,1,0)</f>
        <v>1</v>
      </c>
      <c r="BW266" s="209">
        <f>IF(WWWW[[#This Row],[Total PoP ]]=0,0,IF(WWWW[[#This Row],['# Hygiene Promoters ]]=0,0,IF(WWWW[[#This Row],[Location Type 1]]="Village",IF(WWWW[[#This Row],[Total PoP ]]/WWWW[[#This Row],['# Hygiene Promoters ]]&lt;1000,1,0),IF(WWWW[[#This Row],[Total PoP ]]/WWWW[[#This Row],['# Hygiene Promoters ]]&lt;600,1,0))))</f>
        <v>1</v>
      </c>
      <c r="BX266" s="209">
        <f>IF(WWWW[[#This Row],[%HH with access to soap]]&gt;=100%,1,0)</f>
        <v>1</v>
      </c>
      <c r="BY266" s="209">
        <f>IF(WWWW[[#This Row],[% of HHs with access to Sanitary pad more than '#%]]+WWWW[[#This Row],[Ratio of Hyiene promoters to people less than '#]]+WWWW[[#This Row],[% of HHs with access to soap more than '#%]]&gt;=2,WWWW[[#This Row],[Total PoP ]],0)</f>
        <v>200</v>
      </c>
      <c r="BZ266" s="208">
        <f>WWWW[[#This Row],[People adopt basic personal and community hygiene practices]]/WWWW[[#This Row],[Total PoP ]]</f>
        <v>1</v>
      </c>
      <c r="CA266" s="212">
        <f>1-WWWW[[#This Row],[Hygiene Coverage%]]</f>
        <v>0</v>
      </c>
      <c r="CB266" s="211">
        <f>WWWW[[#This Row],['# people reached by regular dedicated hygiene promotion_5]]/WWWW[[#This Row],[Total PoP ]]</f>
        <v>1</v>
      </c>
      <c r="CC266" s="211">
        <f>IF(WWWW[[#This Row],['# HH received soaps]]/WWWW[[#This Row],[Total HH]]&gt;1,1,WWWW[[#This Row],['# HH received soaps]]/WWWW[[#This Row],[Total HH]])</f>
        <v>1</v>
      </c>
      <c r="CD266" s="211">
        <f>IF(WWWW[[#This Row],['# HH received Sanitary Pads]]/WWWW[[#This Row],[Total HH]]&gt;1,1,WWWW[[#This Row],['# HH received Sanitary Pads]]/WWWW[[#This Row],[Total HH]])</f>
        <v>1</v>
      </c>
      <c r="CE266" s="210">
        <f>WWWW[[#This Row],['# HH received soaps]]*5</f>
        <v>205</v>
      </c>
      <c r="CF266" s="210">
        <f>WWWW[[#This Row],['# HH received Sanitary Pads]]*5</f>
        <v>205</v>
      </c>
      <c r="CG266" s="210">
        <f>IF(WWWW[[#This Row],['# People with access to soap]]&gt;WWWW[[#This Row],['# People with access to Sanity Pads]],WWWW[[#This Row],['# People with access to soap]],WWWW[[#This Row],['# People with access to Sanity Pads]])</f>
        <v>205</v>
      </c>
      <c r="CH266" s="209">
        <f>WWWW[[#This Row],[Total HH]]*WWWW[[#This Row],[%HHs with access to functional hand washing stations]]</f>
        <v>0</v>
      </c>
      <c r="CI266" s="699">
        <f>VLOOKUP(WWWW[[#This Row],[Site Name]],SiteDB6[[Site Name]:[CCCM Management]],6,FALSE)</f>
        <v>0</v>
      </c>
      <c r="CJ266" s="699">
        <f>VLOOKUP(WWWW[[#This Row],[Site Name]],SiteDB6[[Site Name]:[CCCM Focal Agency]],7,FALSE)</f>
        <v>0</v>
      </c>
      <c r="CK266" s="699" t="str">
        <f>VLOOKUP(WWWW[[#This Row],[Site Name]],SiteDB6[[Site Name]:[Location Type]],8,FALSE)</f>
        <v>Village</v>
      </c>
      <c r="CL266" s="699" t="str">
        <f>VLOOKUP(WWWW[[#This Row],[Site Name]],SiteDB6[[Site Name]:[Location Type 1]],9,FALSE)</f>
        <v>Village</v>
      </c>
      <c r="CM266" s="699" t="str">
        <f>VLOOKUP(WWWW[[#This Row],[Site Name]],SiteDB6[[Site Name]:[Type of Accommodation]],10,FALSE)</f>
        <v>Village</v>
      </c>
      <c r="CN266" s="699" t="str">
        <f>VLOOKUP(WWWW[[#This Row],[Site Name]],SiteDB6[[Site Name]:[Ethnic or GCA/NGCA]],11,FALSE)</f>
        <v>Rakhine</v>
      </c>
      <c r="CO266" s="699">
        <f>VLOOKUP(WWWW[[#This Row],[Site Name]],SiteDB6[[Site Name]:[Lat]],12,FALSE)</f>
        <v>20.473930358886701</v>
      </c>
      <c r="CP266" s="699">
        <f>VLOOKUP(WWWW[[#This Row],[Site Name]],SiteDB6[[Site Name]:[Long]],13,FALSE)</f>
        <v>92.668853759765597</v>
      </c>
      <c r="CQ266" s="699">
        <f>VLOOKUP(WWWW[[#This Row],[Site Name]],SiteDB6[[Site Name]:[Pcode]],3,FALSE)</f>
        <v>197631</v>
      </c>
      <c r="CR266" s="660" t="str">
        <f t="shared" si="5"/>
        <v>Covered</v>
      </c>
      <c r="CS266" s="660"/>
      <c r="CT266" s="24"/>
      <c r="CU266" s="24"/>
      <c r="CV266" s="24"/>
    </row>
    <row r="267" spans="1:100" ht="15.75" customHeight="1" x14ac:dyDescent="0.25">
      <c r="A267" s="833" t="s">
        <v>3206</v>
      </c>
      <c r="B267" s="206" t="s">
        <v>530</v>
      </c>
      <c r="C267" s="206" t="s">
        <v>454</v>
      </c>
      <c r="D267" s="206" t="s">
        <v>466</v>
      </c>
      <c r="E267" s="206" t="s">
        <v>832</v>
      </c>
      <c r="F267" s="206">
        <v>104</v>
      </c>
      <c r="G267" s="209">
        <v>521</v>
      </c>
      <c r="H267" s="206"/>
      <c r="I267" s="206" t="s">
        <v>388</v>
      </c>
      <c r="J267" s="207">
        <v>43145</v>
      </c>
      <c r="K267" s="206">
        <v>0</v>
      </c>
      <c r="L267" s="206"/>
      <c r="M267" s="208"/>
      <c r="N267" s="208"/>
      <c r="O267" s="316">
        <v>0</v>
      </c>
      <c r="P267" s="317">
        <v>0</v>
      </c>
      <c r="Q267" s="317">
        <v>0</v>
      </c>
      <c r="R267" s="318">
        <v>1</v>
      </c>
      <c r="S267" s="318">
        <v>1</v>
      </c>
      <c r="T267" s="318"/>
      <c r="U267" s="318"/>
      <c r="V267" s="318"/>
      <c r="W267" s="318"/>
      <c r="X267" s="318"/>
      <c r="Y267" s="318"/>
      <c r="Z267" s="318"/>
      <c r="AA267" s="310">
        <v>3</v>
      </c>
      <c r="AB267" s="310">
        <v>0</v>
      </c>
      <c r="AC267" s="66"/>
      <c r="AD267" s="66"/>
      <c r="AE267" s="310">
        <v>3</v>
      </c>
      <c r="AF267" s="310" t="s">
        <v>332</v>
      </c>
      <c r="AG267" s="311" t="s">
        <v>332</v>
      </c>
      <c r="AH267" s="311"/>
      <c r="AI267" s="310"/>
      <c r="AJ267" s="310"/>
      <c r="AK267" s="841">
        <v>0</v>
      </c>
      <c r="AL267" s="842" t="s">
        <v>284</v>
      </c>
      <c r="AM267" s="842">
        <v>0</v>
      </c>
      <c r="AN267" s="863">
        <v>0</v>
      </c>
      <c r="AO267" s="863">
        <v>5</v>
      </c>
      <c r="AP267" s="843">
        <v>104</v>
      </c>
      <c r="AQ267" s="843">
        <v>104</v>
      </c>
      <c r="AR267" s="843"/>
      <c r="AS267" s="843"/>
      <c r="AT267" s="843"/>
      <c r="AU267" s="843"/>
      <c r="AV267" s="844"/>
      <c r="AW267" s="208" t="str">
        <f>IFERROR(WWWW[[#This Row],['# of Water passed at source]]/WWWW[[#This Row],['# of Water tested at source]],"no test")</f>
        <v>no test</v>
      </c>
      <c r="AX267" s="211" t="str">
        <f>IFERROR(WWWW[[#This Row],['# of Water passed at HH]]/WWWW[[#This Row],['# of Water tested at HH]],"no test")</f>
        <v>no test</v>
      </c>
      <c r="AY267" s="210" t="str">
        <f>IF(AND(WWWW[[#This Row],[%of Water samples which passed at water source]]="no test",WWWW[[#This Row],[%Water samples which passed at HH]]="no test"),"No Test","Tested")</f>
        <v>No Test</v>
      </c>
      <c r="AZ26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6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67" s="211">
        <f>IF(WWWW[[#This Row],[Location Type 1]]="Village",WWWW[[#This Row],[Access to safe drinking water for Village]],WWWW[[#This Row],[Access to safe drinking water for Camp]])</f>
        <v>0</v>
      </c>
      <c r="BC267" s="209">
        <f>WWWW[[#This Row],[%Equitable and continuous access to sufficient quantity of safe drinking water]]*WWWW[[#This Row],[Total PoP ]]</f>
        <v>0</v>
      </c>
      <c r="BD267" s="211">
        <f>IF((WWWW[[#This Row],['# Existing protected/fenced ponds ]]*250)/WWWW[[#This Row],[Total PoP ]]&gt;1,1,WWWW[[#This Row],['# Existing protected/fenced ponds ]]*250/WWWW[[#This Row],[Total PoP ]])</f>
        <v>0.47984644913627639</v>
      </c>
      <c r="BE267" s="209">
        <f>WWWW[[#This Row],[Access to unimproved water points]]*WWWW[[#This Row],[Total PoP ]]</f>
        <v>250</v>
      </c>
      <c r="BF26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0.47984644913627639</v>
      </c>
      <c r="BG26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H267" s="209">
        <f>ROUND(WWWW[[#This Row],['#people Equitable and continuous access to sufficient quantity of domestic water borehole n ponds_2]]/500,0)</f>
        <v>1</v>
      </c>
      <c r="BI267" s="208">
        <f>1-WWWW[[#This Row],[%Equitable and continuous access to sufficient quantity of domestic water borehole n ponds]]</f>
        <v>0.52015355086372361</v>
      </c>
      <c r="BJ267" s="209">
        <f>WWWW[[#This Row],[%equitable and continuous access to sufficient quantity of safe drinking and domestic water''s GAP]]*WWWW[[#This Row],[Total PoP ]]</f>
        <v>271</v>
      </c>
      <c r="BK267" s="210">
        <f>IF(WWWW[[#This Row],[Total required water points]]-WWWW[[#This Row],['#Water points coverage]]&lt;0,0,WWWW[[#This Row],[Total required water points]]-WWWW[[#This Row],['#Water points coverage]])</f>
        <v>0</v>
      </c>
      <c r="BL267" s="210">
        <f>ROUND(IF(WWWW[[#This Row],[Total PoP ]]&lt;500,1,WWWW[[#This Row],[Total PoP ]]/500),0)</f>
        <v>1</v>
      </c>
      <c r="BM267" s="210">
        <f>WWWW[[#This Row],['# Existing functional latrines]]+WWWW[[#This Row],['# Existing latrines dysfunctional]]</f>
        <v>3</v>
      </c>
      <c r="BN26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3.4548944337811902E-2</v>
      </c>
      <c r="BO267" s="352">
        <f>WWWW[[#This Row],[% people access to functioning Latrine]]*WWWW[[#This Row],[Total PoP ]]</f>
        <v>18</v>
      </c>
      <c r="BP26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0.9673704414587333</v>
      </c>
      <c r="BQ267" s="209">
        <f>IF(WWWW[[#This Row],[Total required Latrines]]-WWWW[[#This Row],[Total '# of latrine]]&lt;0,0,WWWW[[#This Row],[Total required Latrines]]-WWWW[[#This Row],[Total '# of latrine]])</f>
        <v>84</v>
      </c>
      <c r="BR267" s="210">
        <f>ROUND(IF(WWWW[[#This Row],[Location Type 1]]="camp",WWWW[[#This Row],[Total PoP ]]/20,WWWW[[#This Row],[Total PoP ]]/6),0)</f>
        <v>87</v>
      </c>
      <c r="BS267" s="212">
        <f>IF(OR(WWWW[[#This Row],['# Existing latrines dysfunctional]]="",WWWW[[#This Row],['# Existing latrines dysfunctional]]=0),0,WWWW[[#This Row],['# Existing latrines dysfunctional]]/WWWW[[#This Row],[Total '# of latrine]])</f>
        <v>0</v>
      </c>
      <c r="BT26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7" s="209">
        <f>IF(500*WWWW[[#This Row],['# Hygiene Promoters ]]&gt;WWWW[[#This Row],[Total PoP ]],WWWW[[#This Row],[Total PoP ]],500*WWWW[[#This Row],['# Hygiene Promoters ]])</f>
        <v>521</v>
      </c>
      <c r="BV267" s="209">
        <f>IF(WWWW[[#This Row],[% of HH with access to Sanitary Pad]]&gt;=100%,1,0)</f>
        <v>1</v>
      </c>
      <c r="BW267" s="209">
        <f>IF(WWWW[[#This Row],[Total PoP ]]=0,0,IF(WWWW[[#This Row],['# Hygiene Promoters ]]=0,0,IF(WWWW[[#This Row],[Location Type 1]]="Village",IF(WWWW[[#This Row],[Total PoP ]]/WWWW[[#This Row],['# Hygiene Promoters ]]&lt;1000,1,0),IF(WWWW[[#This Row],[Total PoP ]]/WWWW[[#This Row],['# Hygiene Promoters ]]&lt;600,1,0))))</f>
        <v>1</v>
      </c>
      <c r="BX267" s="209">
        <f>IF(WWWW[[#This Row],[%HH with access to soap]]&gt;=100%,1,0)</f>
        <v>1</v>
      </c>
      <c r="BY267" s="209">
        <f>IF(WWWW[[#This Row],[% of HHs with access to Sanitary pad more than '#%]]+WWWW[[#This Row],[Ratio of Hyiene promoters to people less than '#]]+WWWW[[#This Row],[% of HHs with access to soap more than '#%]]&gt;=2,WWWW[[#This Row],[Total PoP ]],0)</f>
        <v>521</v>
      </c>
      <c r="BZ267" s="208">
        <f>WWWW[[#This Row],[People adopt basic personal and community hygiene practices]]/WWWW[[#This Row],[Total PoP ]]</f>
        <v>1</v>
      </c>
      <c r="CA267" s="212">
        <f>1-WWWW[[#This Row],[Hygiene Coverage%]]</f>
        <v>0</v>
      </c>
      <c r="CB267" s="211">
        <f>WWWW[[#This Row],['# people reached by regular dedicated hygiene promotion_5]]/WWWW[[#This Row],[Total PoP ]]</f>
        <v>1</v>
      </c>
      <c r="CC267" s="211">
        <f>IF(WWWW[[#This Row],['# HH received soaps]]/WWWW[[#This Row],[Total HH]]&gt;1,1,WWWW[[#This Row],['# HH received soaps]]/WWWW[[#This Row],[Total HH]])</f>
        <v>1</v>
      </c>
      <c r="CD267" s="211">
        <f>IF(WWWW[[#This Row],['# HH received Sanitary Pads]]/WWWW[[#This Row],[Total HH]]&gt;1,1,WWWW[[#This Row],['# HH received Sanitary Pads]]/WWWW[[#This Row],[Total HH]])</f>
        <v>1</v>
      </c>
      <c r="CE267" s="210">
        <f>WWWW[[#This Row],['# HH received soaps]]*5</f>
        <v>520</v>
      </c>
      <c r="CF267" s="210">
        <f>WWWW[[#This Row],['# HH received Sanitary Pads]]*5</f>
        <v>520</v>
      </c>
      <c r="CG267" s="210">
        <f>IF(WWWW[[#This Row],['# People with access to soap]]&gt;WWWW[[#This Row],['# People with access to Sanity Pads]],WWWW[[#This Row],['# People with access to soap]],WWWW[[#This Row],['# People with access to Sanity Pads]])</f>
        <v>520</v>
      </c>
      <c r="CH267" s="209">
        <f>WWWW[[#This Row],[Total HH]]*WWWW[[#This Row],[%HHs with access to functional hand washing stations]]</f>
        <v>0</v>
      </c>
      <c r="CI267" s="699">
        <f>VLOOKUP(WWWW[[#This Row],[Site Name]],SiteDB6[[Site Name]:[CCCM Management]],6,FALSE)</f>
        <v>0</v>
      </c>
      <c r="CJ267" s="699">
        <f>VLOOKUP(WWWW[[#This Row],[Site Name]],SiteDB6[[Site Name]:[CCCM Focal Agency]],7,FALSE)</f>
        <v>0</v>
      </c>
      <c r="CK267" s="699" t="str">
        <f>VLOOKUP(WWWW[[#This Row],[Site Name]],SiteDB6[[Site Name]:[Location Type]],8,FALSE)</f>
        <v>Village</v>
      </c>
      <c r="CL267" s="699" t="str">
        <f>VLOOKUP(WWWW[[#This Row],[Site Name]],SiteDB6[[Site Name]:[Location Type 1]],9,FALSE)</f>
        <v>Village</v>
      </c>
      <c r="CM267" s="699" t="str">
        <f>VLOOKUP(WWWW[[#This Row],[Site Name]],SiteDB6[[Site Name]:[Type of Accommodation]],10,FALSE)</f>
        <v>Village</v>
      </c>
      <c r="CN267" s="699" t="str">
        <f>VLOOKUP(WWWW[[#This Row],[Site Name]],SiteDB6[[Site Name]:[Ethnic or GCA/NGCA]],11,FALSE)</f>
        <v>Rakhine</v>
      </c>
      <c r="CO267" s="699">
        <f>VLOOKUP(WWWW[[#This Row],[Site Name]],SiteDB6[[Site Name]:[Lat]],12,FALSE)</f>
        <v>20.987419128418001</v>
      </c>
      <c r="CP267" s="699">
        <f>VLOOKUP(WWWW[[#This Row],[Site Name]],SiteDB6[[Site Name]:[Long]],13,FALSE)</f>
        <v>92.362136840820298</v>
      </c>
      <c r="CQ267" s="699">
        <f>VLOOKUP(WWWW[[#This Row],[Site Name]],SiteDB6[[Site Name]:[Pcode]],3,FALSE)</f>
        <v>197913</v>
      </c>
      <c r="CR267" s="660" t="str">
        <f t="shared" si="5"/>
        <v>Covered</v>
      </c>
      <c r="CS267" s="660"/>
      <c r="CT267" s="24"/>
      <c r="CU267" s="24"/>
      <c r="CV267" s="24"/>
    </row>
    <row r="268" spans="1:100" ht="15.75" customHeight="1" x14ac:dyDescent="0.25">
      <c r="A268" s="833" t="s">
        <v>3206</v>
      </c>
      <c r="B268" s="206" t="s">
        <v>530</v>
      </c>
      <c r="C268" s="206" t="s">
        <v>454</v>
      </c>
      <c r="D268" s="206" t="s">
        <v>466</v>
      </c>
      <c r="E268" s="206" t="s">
        <v>2512</v>
      </c>
      <c r="F268" s="206">
        <v>153</v>
      </c>
      <c r="G268" s="209">
        <v>1290</v>
      </c>
      <c r="H268" s="206"/>
      <c r="I268" s="206" t="s">
        <v>388</v>
      </c>
      <c r="J268" s="207">
        <v>43343</v>
      </c>
      <c r="K268" s="206">
        <v>0</v>
      </c>
      <c r="L268" s="206"/>
      <c r="M268" s="208"/>
      <c r="N268" s="208"/>
      <c r="O268" s="323">
        <v>0</v>
      </c>
      <c r="P268" s="317">
        <v>0</v>
      </c>
      <c r="Q268" s="317">
        <v>0</v>
      </c>
      <c r="R268" s="318">
        <v>0</v>
      </c>
      <c r="S268" s="318">
        <v>1</v>
      </c>
      <c r="T268" s="318"/>
      <c r="U268" s="318"/>
      <c r="V268" s="318"/>
      <c r="W268" s="318"/>
      <c r="X268" s="318"/>
      <c r="Y268" s="318"/>
      <c r="Z268" s="318"/>
      <c r="AA268" s="310"/>
      <c r="AB268" s="310"/>
      <c r="AC268" s="66"/>
      <c r="AD268" s="66"/>
      <c r="AE268" s="310">
        <v>2</v>
      </c>
      <c r="AF268" s="310" t="s">
        <v>332</v>
      </c>
      <c r="AG268" s="311" t="s">
        <v>332</v>
      </c>
      <c r="AH268" s="311"/>
      <c r="AI268" s="310"/>
      <c r="AJ268" s="310"/>
      <c r="AK268" s="841">
        <v>0</v>
      </c>
      <c r="AL268" s="842" t="s">
        <v>284</v>
      </c>
      <c r="AM268" s="842">
        <v>0</v>
      </c>
      <c r="AN268" s="863">
        <v>0</v>
      </c>
      <c r="AO268" s="863">
        <v>5</v>
      </c>
      <c r="AP268" s="843">
        <v>153</v>
      </c>
      <c r="AQ268" s="843">
        <v>153</v>
      </c>
      <c r="AR268" s="843"/>
      <c r="AS268" s="843"/>
      <c r="AT268" s="843"/>
      <c r="AU268" s="843"/>
      <c r="AV268" s="844"/>
      <c r="AW268" s="208" t="str">
        <f>IFERROR(WWWW[[#This Row],['# of Water passed at source]]/WWWW[[#This Row],['# of Water tested at source]],"no test")</f>
        <v>no test</v>
      </c>
      <c r="AX268" s="211" t="str">
        <f>IFERROR(WWWW[[#This Row],['# of Water passed at HH]]/WWWW[[#This Row],['# of Water tested at HH]],"no test")</f>
        <v>no test</v>
      </c>
      <c r="AY268" s="210" t="str">
        <f>IF(AND(WWWW[[#This Row],[%of Water samples which passed at water source]]="no test",WWWW[[#This Row],[%Water samples which passed at HH]]="no test"),"No Test","Tested")</f>
        <v>No Test</v>
      </c>
      <c r="AZ26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6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68" s="211">
        <f>IF(WWWW[[#This Row],[Location Type 1]]="Village",WWWW[[#This Row],[Access to safe drinking water for Village]],WWWW[[#This Row],[Access to safe drinking water for Camp]])</f>
        <v>0</v>
      </c>
      <c r="BC268" s="209">
        <f>WWWW[[#This Row],[%Equitable and continuous access to sufficient quantity of safe drinking water]]*WWWW[[#This Row],[Total PoP ]]</f>
        <v>0</v>
      </c>
      <c r="BD268" s="211">
        <f>IF((WWWW[[#This Row],['# Existing protected/fenced ponds ]]*250)/WWWW[[#This Row],[Total PoP ]]&gt;1,1,WWWW[[#This Row],['# Existing protected/fenced ponds ]]*250/WWWW[[#This Row],[Total PoP ]])</f>
        <v>0</v>
      </c>
      <c r="BE268" s="209">
        <f>WWWW[[#This Row],[Access to unimproved water points]]*WWWW[[#This Row],[Total PoP ]]</f>
        <v>0</v>
      </c>
      <c r="BF26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6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68" s="209">
        <f>ROUND(WWWW[[#This Row],['#people Equitable and continuous access to sufficient quantity of domestic water borehole n ponds_2]]/500,0)</f>
        <v>0</v>
      </c>
      <c r="BI268" s="208">
        <f>1-WWWW[[#This Row],[%Equitable and continuous access to sufficient quantity of domestic water borehole n ponds]]</f>
        <v>1</v>
      </c>
      <c r="BJ268" s="209">
        <f>WWWW[[#This Row],[%equitable and continuous access to sufficient quantity of safe drinking and domestic water''s GAP]]*WWWW[[#This Row],[Total PoP ]]</f>
        <v>1290</v>
      </c>
      <c r="BK268" s="210">
        <f>IF(WWWW[[#This Row],[Total required water points]]-WWWW[[#This Row],['#Water points coverage]]&lt;0,0,WWWW[[#This Row],[Total required water points]]-WWWW[[#This Row],['#Water points coverage]])</f>
        <v>3</v>
      </c>
      <c r="BL268" s="210">
        <f>ROUND(IF(WWWW[[#This Row],[Total PoP ]]&lt;500,1,WWWW[[#This Row],[Total PoP ]]/500),0)</f>
        <v>3</v>
      </c>
      <c r="BM268" s="210">
        <f>WWWW[[#This Row],['# Existing functional latrines]]+WWWW[[#This Row],['# Existing latrines dysfunctional]]</f>
        <v>0</v>
      </c>
      <c r="BN26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68" s="352">
        <f>WWWW[[#This Row],[% people access to functioning Latrine]]*WWWW[[#This Row],[Total PoP ]]</f>
        <v>0</v>
      </c>
      <c r="BP26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68" s="209">
        <f>IF(WWWW[[#This Row],[Total required Latrines]]-WWWW[[#This Row],[Total '# of latrine]]&lt;0,0,WWWW[[#This Row],[Total required Latrines]]-WWWW[[#This Row],[Total '# of latrine]])</f>
        <v>215</v>
      </c>
      <c r="BR268" s="210">
        <f>ROUND(IF(WWWW[[#This Row],[Location Type 1]]="camp",WWWW[[#This Row],[Total PoP ]]/20,WWWW[[#This Row],[Total PoP ]]/6),0)</f>
        <v>215</v>
      </c>
      <c r="BS268" s="212">
        <f>IF(OR(WWWW[[#This Row],['# Existing latrines dysfunctional]]="",WWWW[[#This Row],['# Existing latrines dysfunctional]]=0),0,WWWW[[#This Row],['# Existing latrines dysfunctional]]/WWWW[[#This Row],[Total '# of latrine]])</f>
        <v>0</v>
      </c>
      <c r="BT26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8" s="209">
        <f>IF(500*WWWW[[#This Row],['# Hygiene Promoters ]]&gt;WWWW[[#This Row],[Total PoP ]],WWWW[[#This Row],[Total PoP ]],500*WWWW[[#This Row],['# Hygiene Promoters ]])</f>
        <v>1290</v>
      </c>
      <c r="BV268" s="209">
        <f>IF(WWWW[[#This Row],[% of HH with access to Sanitary Pad]]&gt;=100%,1,0)</f>
        <v>1</v>
      </c>
      <c r="BW268" s="209">
        <f>IF(WWWW[[#This Row],[Total PoP ]]=0,0,IF(WWWW[[#This Row],['# Hygiene Promoters ]]=0,0,IF(WWWW[[#This Row],[Location Type 1]]="Village",IF(WWWW[[#This Row],[Total PoP ]]/WWWW[[#This Row],['# Hygiene Promoters ]]&lt;1000,1,0),IF(WWWW[[#This Row],[Total PoP ]]/WWWW[[#This Row],['# Hygiene Promoters ]]&lt;600,1,0))))</f>
        <v>1</v>
      </c>
      <c r="BX268" s="209">
        <f>IF(WWWW[[#This Row],[%HH with access to soap]]&gt;=100%,1,0)</f>
        <v>1</v>
      </c>
      <c r="BY268" s="209">
        <f>IF(WWWW[[#This Row],[% of HHs with access to Sanitary pad more than '#%]]+WWWW[[#This Row],[Ratio of Hyiene promoters to people less than '#]]+WWWW[[#This Row],[% of HHs with access to soap more than '#%]]&gt;=2,WWWW[[#This Row],[Total PoP ]],0)</f>
        <v>1290</v>
      </c>
      <c r="BZ268" s="208">
        <f>WWWW[[#This Row],[People adopt basic personal and community hygiene practices]]/WWWW[[#This Row],[Total PoP ]]</f>
        <v>1</v>
      </c>
      <c r="CA268" s="212">
        <f>1-WWWW[[#This Row],[Hygiene Coverage%]]</f>
        <v>0</v>
      </c>
      <c r="CB268" s="211">
        <f>WWWW[[#This Row],['# people reached by regular dedicated hygiene promotion_5]]/WWWW[[#This Row],[Total PoP ]]</f>
        <v>1</v>
      </c>
      <c r="CC268" s="211">
        <f>IF(WWWW[[#This Row],['# HH received soaps]]/WWWW[[#This Row],[Total HH]]&gt;1,1,WWWW[[#This Row],['# HH received soaps]]/WWWW[[#This Row],[Total HH]])</f>
        <v>1</v>
      </c>
      <c r="CD268" s="211">
        <f>IF(WWWW[[#This Row],['# HH received Sanitary Pads]]/WWWW[[#This Row],[Total HH]]&gt;1,1,WWWW[[#This Row],['# HH received Sanitary Pads]]/WWWW[[#This Row],[Total HH]])</f>
        <v>1</v>
      </c>
      <c r="CE268" s="210">
        <f>WWWW[[#This Row],['# HH received soaps]]*5</f>
        <v>765</v>
      </c>
      <c r="CF268" s="210">
        <f>WWWW[[#This Row],['# HH received Sanitary Pads]]*5</f>
        <v>765</v>
      </c>
      <c r="CG268" s="210">
        <f>IF(WWWW[[#This Row],['# People with access to soap]]&gt;WWWW[[#This Row],['# People with access to Sanity Pads]],WWWW[[#This Row],['# People with access to soap]],WWWW[[#This Row],['# People with access to Sanity Pads]])</f>
        <v>765</v>
      </c>
      <c r="CH268" s="209">
        <f>WWWW[[#This Row],[Total HH]]*WWWW[[#This Row],[%HHs with access to functional hand washing stations]]</f>
        <v>0</v>
      </c>
      <c r="CI268" s="699">
        <f>VLOOKUP(WWWW[[#This Row],[Site Name]],SiteDB6[[Site Name]:[CCCM Management]],6,FALSE)</f>
        <v>0</v>
      </c>
      <c r="CJ268" s="699">
        <f>VLOOKUP(WWWW[[#This Row],[Site Name]],SiteDB6[[Site Name]:[CCCM Focal Agency]],7,FALSE)</f>
        <v>0</v>
      </c>
      <c r="CK268" s="699" t="str">
        <f>VLOOKUP(WWWW[[#This Row],[Site Name]],SiteDB6[[Site Name]:[Location Type]],8,FALSE)</f>
        <v>Village</v>
      </c>
      <c r="CL268" s="699" t="str">
        <f>VLOOKUP(WWWW[[#This Row],[Site Name]],SiteDB6[[Site Name]:[Location Type 1]],9,FALSE)</f>
        <v>Village</v>
      </c>
      <c r="CM268" s="699" t="str">
        <f>VLOOKUP(WWWW[[#This Row],[Site Name]],SiteDB6[[Site Name]:[Type of Accommodation]],10,FALSE)</f>
        <v>Village</v>
      </c>
      <c r="CN268" s="699" t="str">
        <f>VLOOKUP(WWWW[[#This Row],[Site Name]],SiteDB6[[Site Name]:[Ethnic or GCA/NGCA]],11,FALSE)</f>
        <v>Muslim</v>
      </c>
      <c r="CO268" s="699">
        <f>VLOOKUP(WWWW[[#This Row],[Site Name]],SiteDB6[[Site Name]:[Lat]],12,FALSE)</f>
        <v>20.866529464721701</v>
      </c>
      <c r="CP268" s="699">
        <f>VLOOKUP(WWWW[[#This Row],[Site Name]],SiteDB6[[Site Name]:[Long]],13,FALSE)</f>
        <v>92.364883422851605</v>
      </c>
      <c r="CQ268" s="699">
        <f>VLOOKUP(WWWW[[#This Row],[Site Name]],SiteDB6[[Site Name]:[Pcode]],3,FALSE)</f>
        <v>197969</v>
      </c>
      <c r="CR268" s="660" t="str">
        <f t="shared" si="5"/>
        <v>Covered</v>
      </c>
      <c r="CS268" s="660"/>
      <c r="CT268" s="24"/>
      <c r="CU268" s="24"/>
      <c r="CV268" s="24"/>
    </row>
    <row r="269" spans="1:100" ht="15.75" customHeight="1" x14ac:dyDescent="0.25">
      <c r="A269" s="833" t="s">
        <v>3206</v>
      </c>
      <c r="B269" s="206" t="s">
        <v>469</v>
      </c>
      <c r="C269" s="206" t="s">
        <v>454</v>
      </c>
      <c r="D269" s="206" t="s">
        <v>466</v>
      </c>
      <c r="E269" s="206" t="s">
        <v>2758</v>
      </c>
      <c r="F269" s="206">
        <v>210</v>
      </c>
      <c r="G269" s="209">
        <v>694</v>
      </c>
      <c r="H269" s="206"/>
      <c r="I269" s="206" t="s">
        <v>2752</v>
      </c>
      <c r="J269" s="207">
        <v>44134</v>
      </c>
      <c r="K269" s="206">
        <v>2</v>
      </c>
      <c r="L269" s="206" t="s">
        <v>286</v>
      </c>
      <c r="M269" s="208" t="s">
        <v>286</v>
      </c>
      <c r="N269" s="208" t="s">
        <v>286</v>
      </c>
      <c r="O269" s="316"/>
      <c r="P269" s="317"/>
      <c r="Q269" s="317"/>
      <c r="R269" s="318"/>
      <c r="S269" s="318"/>
      <c r="T269" s="318"/>
      <c r="U269" s="318"/>
      <c r="V269" s="318"/>
      <c r="W269" s="318"/>
      <c r="X269" s="318"/>
      <c r="Y269" s="318"/>
      <c r="Z269" s="318"/>
      <c r="AA269" s="310"/>
      <c r="AB269" s="310"/>
      <c r="AC269" s="66"/>
      <c r="AD269" s="66"/>
      <c r="AE269" s="310"/>
      <c r="AF269" s="310"/>
      <c r="AG269" s="311"/>
      <c r="AH269" s="311"/>
      <c r="AI269" s="310"/>
      <c r="AJ269" s="310"/>
      <c r="AK269" s="841"/>
      <c r="AL269" s="842"/>
      <c r="AM269" s="842"/>
      <c r="AN269" s="841"/>
      <c r="AO269" s="863"/>
      <c r="AP269" s="843">
        <v>138</v>
      </c>
      <c r="AQ269" s="843">
        <v>138</v>
      </c>
      <c r="AR269" s="843"/>
      <c r="AS269" s="843"/>
      <c r="AT269" s="843"/>
      <c r="AU269" s="843"/>
      <c r="AV269" s="844"/>
      <c r="AW269" s="208" t="str">
        <f>IFERROR(WWWW[[#This Row],['# of Water passed at source]]/WWWW[[#This Row],['# of Water tested at source]],"no test")</f>
        <v>no test</v>
      </c>
      <c r="AX269" s="211" t="str">
        <f>IFERROR(WWWW[[#This Row],['# of Water passed at HH]]/WWWW[[#This Row],['# of Water tested at HH]],"no test")</f>
        <v>no test</v>
      </c>
      <c r="AY269" s="210" t="str">
        <f>IF(AND(WWWW[[#This Row],[%of Water samples which passed at water source]]="no test",WWWW[[#This Row],[%Water samples which passed at HH]]="no test"),"No Test","Tested")</f>
        <v>No Test</v>
      </c>
      <c r="AZ26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6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69" s="211">
        <f>IF(WWWW[[#This Row],[Location Type 1]]="Village",WWWW[[#This Row],[Access to safe drinking water for Village]],WWWW[[#This Row],[Access to safe drinking water for Camp]])</f>
        <v>0</v>
      </c>
      <c r="BC269" s="209">
        <f>WWWW[[#This Row],[%Equitable and continuous access to sufficient quantity of safe drinking water]]*WWWW[[#This Row],[Total PoP ]]</f>
        <v>0</v>
      </c>
      <c r="BD269" s="211">
        <f>IF((WWWW[[#This Row],['# Existing protected/fenced ponds ]]*250)/WWWW[[#This Row],[Total PoP ]]&gt;1,1,WWWW[[#This Row],['# Existing protected/fenced ponds ]]*250/WWWW[[#This Row],[Total PoP ]])</f>
        <v>0</v>
      </c>
      <c r="BE269" s="209">
        <f>WWWW[[#This Row],[Access to unimproved water points]]*WWWW[[#This Row],[Total PoP ]]</f>
        <v>0</v>
      </c>
      <c r="BF26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6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69" s="209">
        <f>WWWW[[#This Row],['#people Equitable and continuous access to sufficient quantity of domestic water borehole n ponds_2]]/500</f>
        <v>0</v>
      </c>
      <c r="BI269" s="208">
        <f>1-WWWW[[#This Row],[%Equitable and continuous access to sufficient quantity of domestic water borehole n ponds]]</f>
        <v>1</v>
      </c>
      <c r="BJ269" s="209">
        <f>WWWW[[#This Row],[%equitable and continuous access to sufficient quantity of safe drinking and domestic water''s GAP]]*WWWW[[#This Row],[Total PoP ]]</f>
        <v>694</v>
      </c>
      <c r="BK269" s="210">
        <f>IF(WWWW[[#This Row],[Total required water points]]-WWWW[[#This Row],['#Water points coverage]]&lt;0,0,WWWW[[#This Row],[Total required water points]]-WWWW[[#This Row],['#Water points coverage]])</f>
        <v>1</v>
      </c>
      <c r="BL269" s="210">
        <f>ROUND(IF(WWWW[[#This Row],[Total PoP ]]&lt;500,1,WWWW[[#This Row],[Total PoP ]]/500),0)</f>
        <v>1</v>
      </c>
      <c r="BM269" s="210">
        <f>WWWW[[#This Row],['# Existing functional latrines]]+WWWW[[#This Row],['# Existing latrines dysfunctional]]</f>
        <v>0</v>
      </c>
      <c r="BN26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69" s="352">
        <f>WWWW[[#This Row],[% people access to functioning Latrine]]*WWWW[[#This Row],[Total PoP ]]</f>
        <v>0</v>
      </c>
      <c r="BP26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69" s="209">
        <f>IF(WWWW[[#This Row],[Total required Latrines]]-WWWW[[#This Row],[Total '# of latrine]]&lt;0,0,WWWW[[#This Row],[Total required Latrines]]-WWWW[[#This Row],[Total '# of latrine]])</f>
        <v>116</v>
      </c>
      <c r="BR269" s="210">
        <f>ROUND(IF(WWWW[[#This Row],[Location Type 1]]="camp",WWWW[[#This Row],[Total PoP ]]/20,WWWW[[#This Row],[Total PoP ]]/6),0)</f>
        <v>116</v>
      </c>
      <c r="BS269" s="212">
        <f>IF(OR(WWWW[[#This Row],['# Existing latrines dysfunctional]]="",WWWW[[#This Row],['# Existing latrines dysfunctional]]=0),0,WWWW[[#This Row],['# Existing latrines dysfunctional]]/WWWW[[#This Row],[Total '# of latrine]])</f>
        <v>0</v>
      </c>
      <c r="BT26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69" s="209">
        <f>IF(500*WWWW[[#This Row],['# Hygiene Promoters ]]&gt;WWWW[[#This Row],[Total PoP ]],WWWW[[#This Row],[Total PoP ]],500*WWWW[[#This Row],['# Hygiene Promoters ]])</f>
        <v>0</v>
      </c>
      <c r="BV269" s="209">
        <f>IF(WWWW[[#This Row],[% of HH with access to Sanitary Pad]]&gt;=100%,1,0)</f>
        <v>0</v>
      </c>
      <c r="BW269" s="209">
        <f>IF(WWWW[[#This Row],[Total PoP ]]=0,0,IF(WWWW[[#This Row],['# Hygiene Promoters ]]=0,0,IF(WWWW[[#This Row],[Location Type 1]]="Village",IF(WWWW[[#This Row],[Total PoP ]]/WWWW[[#This Row],['# Hygiene Promoters ]]&lt;1000,1,0),IF(WWWW[[#This Row],[Total PoP ]]/WWWW[[#This Row],['# Hygiene Promoters ]]&lt;600,1,0))))</f>
        <v>0</v>
      </c>
      <c r="BX269" s="209">
        <f>IF(WWWW[[#This Row],[%HH with access to soap]]&gt;=100%,1,0)</f>
        <v>0</v>
      </c>
      <c r="BY269" s="209">
        <f>IF(WWWW[[#This Row],[% of HHs with access to Sanitary pad more than '#%]]+WWWW[[#This Row],[Ratio of Hyiene promoters to people less than '#]]+WWWW[[#This Row],[% of HHs with access to soap more than '#%]]&gt;=2,WWWW[[#This Row],[Total PoP ]],0)</f>
        <v>0</v>
      </c>
      <c r="BZ269" s="208">
        <f>WWWW[[#This Row],[People adopt basic personal and community hygiene practices]]/WWWW[[#This Row],[Total PoP ]]</f>
        <v>0</v>
      </c>
      <c r="CA269" s="212">
        <f>1-WWWW[[#This Row],[Hygiene Coverage%]]</f>
        <v>1</v>
      </c>
      <c r="CB269" s="211">
        <f>WWWW[[#This Row],['# people reached by regular dedicated hygiene promotion_5]]/WWWW[[#This Row],[Total PoP ]]</f>
        <v>0</v>
      </c>
      <c r="CC269" s="211">
        <f>IF(WWWW[[#This Row],['# HH received soaps]]/WWWW[[#This Row],[Total HH]]&gt;1,1,WWWW[[#This Row],['# HH received soaps]]/WWWW[[#This Row],[Total HH]])</f>
        <v>0.65714285714285714</v>
      </c>
      <c r="CD269" s="211">
        <f>IF(WWWW[[#This Row],['# HH received Sanitary Pads]]/WWWW[[#This Row],[Total HH]]&gt;1,1,WWWW[[#This Row],['# HH received Sanitary Pads]]/WWWW[[#This Row],[Total HH]])</f>
        <v>0.65714285714285714</v>
      </c>
      <c r="CE269" s="210">
        <f>WWWW[[#This Row],['# HH received soaps]]*5</f>
        <v>690</v>
      </c>
      <c r="CF269" s="210">
        <f>WWWW[[#This Row],['# HH received Sanitary Pads]]*5</f>
        <v>690</v>
      </c>
      <c r="CG269" s="210">
        <f>IF(WWWW[[#This Row],['# People with access to soap]]&gt;WWWW[[#This Row],['# People with access to Sanity Pads]],WWWW[[#This Row],['# People with access to soap]],WWWW[[#This Row],['# People with access to Sanity Pads]])</f>
        <v>690</v>
      </c>
      <c r="CH269" s="209">
        <f>WWWW[[#This Row],[Total HH]]*WWWW[[#This Row],[%HHs with access to functional hand washing stations]]</f>
        <v>0</v>
      </c>
      <c r="CI269" s="699">
        <f>VLOOKUP(WWWW[[#This Row],[Site Name]],SiteDB6[[Site Name]:[CCCM Management]],6,FALSE)</f>
        <v>0</v>
      </c>
      <c r="CJ269" s="699">
        <f>VLOOKUP(WWWW[[#This Row],[Site Name]],SiteDB6[[Site Name]:[CCCM Focal Agency]],7,FALSE)</f>
        <v>0</v>
      </c>
      <c r="CK269" s="699" t="str">
        <f>VLOOKUP(WWWW[[#This Row],[Site Name]],SiteDB6[[Site Name]:[Location Type]],8,FALSE)</f>
        <v>Village</v>
      </c>
      <c r="CL269" s="699" t="str">
        <f>VLOOKUP(WWWW[[#This Row],[Site Name]],SiteDB6[[Site Name]:[Location Type 1]],9,FALSE)</f>
        <v>Village</v>
      </c>
      <c r="CM269" s="699" t="str">
        <f>VLOOKUP(WWWW[[#This Row],[Site Name]],SiteDB6[[Site Name]:[Type of Accommodation]],10,FALSE)</f>
        <v>Village</v>
      </c>
      <c r="CN269" s="699" t="str">
        <f>VLOOKUP(WWWW[[#This Row],[Site Name]],SiteDB6[[Site Name]:[Ethnic or GCA/NGCA]],11,FALSE)</f>
        <v>Muslim</v>
      </c>
      <c r="CO269" s="699">
        <f>VLOOKUP(WWWW[[#This Row],[Site Name]],SiteDB6[[Site Name]:[Lat]],12,FALSE)</f>
        <v>21.012830734252901</v>
      </c>
      <c r="CP269" s="699">
        <f>VLOOKUP(WWWW[[#This Row],[Site Name]],SiteDB6[[Site Name]:[Long]],13,FALSE)</f>
        <v>92.338958740234403</v>
      </c>
      <c r="CQ269" s="699">
        <f>VLOOKUP(WWWW[[#This Row],[Site Name]],SiteDB6[[Site Name]:[Pcode]],3,FALSE)</f>
        <v>197878</v>
      </c>
      <c r="CR269" s="660" t="str">
        <f t="shared" si="5"/>
        <v>Covered</v>
      </c>
      <c r="CS269" s="660"/>
      <c r="CT269" s="24"/>
      <c r="CU269" s="24"/>
      <c r="CV269" s="24"/>
    </row>
    <row r="270" spans="1:100" ht="15.75" customHeight="1" x14ac:dyDescent="0.25">
      <c r="A270" s="833" t="s">
        <v>3206</v>
      </c>
      <c r="B270" s="206" t="s">
        <v>530</v>
      </c>
      <c r="C270" s="206" t="s">
        <v>454</v>
      </c>
      <c r="D270" s="206" t="s">
        <v>466</v>
      </c>
      <c r="E270" s="206" t="s">
        <v>2513</v>
      </c>
      <c r="F270" s="206">
        <v>350</v>
      </c>
      <c r="G270" s="209">
        <v>1711</v>
      </c>
      <c r="H270" s="206"/>
      <c r="I270" s="206" t="s">
        <v>388</v>
      </c>
      <c r="J270" s="207">
        <v>43343</v>
      </c>
      <c r="K270" s="206">
        <v>0</v>
      </c>
      <c r="L270" s="206"/>
      <c r="M270" s="208"/>
      <c r="N270" s="208"/>
      <c r="O270" s="323">
        <v>0</v>
      </c>
      <c r="P270" s="317">
        <v>0</v>
      </c>
      <c r="Q270" s="317">
        <v>0</v>
      </c>
      <c r="R270" s="318">
        <v>0</v>
      </c>
      <c r="S270" s="318">
        <v>1</v>
      </c>
      <c r="T270" s="318"/>
      <c r="U270" s="318"/>
      <c r="V270" s="318"/>
      <c r="W270" s="318"/>
      <c r="X270" s="318"/>
      <c r="Y270" s="318"/>
      <c r="Z270" s="318"/>
      <c r="AA270" s="310"/>
      <c r="AB270" s="310"/>
      <c r="AC270" s="66"/>
      <c r="AD270" s="66"/>
      <c r="AE270" s="310">
        <v>12</v>
      </c>
      <c r="AF270" s="310" t="s">
        <v>332</v>
      </c>
      <c r="AG270" s="311" t="s">
        <v>332</v>
      </c>
      <c r="AH270" s="311"/>
      <c r="AI270" s="310"/>
      <c r="AJ270" s="310"/>
      <c r="AK270" s="841">
        <v>0</v>
      </c>
      <c r="AL270" s="842" t="s">
        <v>284</v>
      </c>
      <c r="AM270" s="842">
        <v>0</v>
      </c>
      <c r="AN270" s="863">
        <v>0</v>
      </c>
      <c r="AO270" s="863">
        <v>5</v>
      </c>
      <c r="AP270" s="843">
        <v>350</v>
      </c>
      <c r="AQ270" s="843">
        <v>350</v>
      </c>
      <c r="AR270" s="843"/>
      <c r="AS270" s="843"/>
      <c r="AT270" s="843"/>
      <c r="AU270" s="843"/>
      <c r="AV270" s="844"/>
      <c r="AW270" s="208" t="str">
        <f>IFERROR(WWWW[[#This Row],['# of Water passed at source]]/WWWW[[#This Row],['# of Water tested at source]],"no test")</f>
        <v>no test</v>
      </c>
      <c r="AX270" s="211" t="str">
        <f>IFERROR(WWWW[[#This Row],['# of Water passed at HH]]/WWWW[[#This Row],['# of Water tested at HH]],"no test")</f>
        <v>no test</v>
      </c>
      <c r="AY270" s="210" t="str">
        <f>IF(AND(WWWW[[#This Row],[%of Water samples which passed at water source]]="no test",WWWW[[#This Row],[%Water samples which passed at HH]]="no test"),"No Test","Tested")</f>
        <v>No Test</v>
      </c>
      <c r="AZ27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7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70" s="211">
        <f>IF(WWWW[[#This Row],[Location Type 1]]="Village",WWWW[[#This Row],[Access to safe drinking water for Village]],WWWW[[#This Row],[Access to safe drinking water for Camp]])</f>
        <v>0</v>
      </c>
      <c r="BC270" s="209">
        <f>WWWW[[#This Row],[%Equitable and continuous access to sufficient quantity of safe drinking water]]*WWWW[[#This Row],[Total PoP ]]</f>
        <v>0</v>
      </c>
      <c r="BD270" s="211">
        <f>IF((WWWW[[#This Row],['# Existing protected/fenced ponds ]]*250)/WWWW[[#This Row],[Total PoP ]]&gt;1,1,WWWW[[#This Row],['# Existing protected/fenced ponds ]]*250/WWWW[[#This Row],[Total PoP ]])</f>
        <v>0</v>
      </c>
      <c r="BE270" s="209">
        <f>WWWW[[#This Row],[Access to unimproved water points]]*WWWW[[#This Row],[Total PoP ]]</f>
        <v>0</v>
      </c>
      <c r="BF27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7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70" s="209">
        <f>ROUND(WWWW[[#This Row],['#people Equitable and continuous access to sufficient quantity of domestic water borehole n ponds_2]]/500,0)</f>
        <v>0</v>
      </c>
      <c r="BI270" s="208">
        <f>1-WWWW[[#This Row],[%Equitable and continuous access to sufficient quantity of domestic water borehole n ponds]]</f>
        <v>1</v>
      </c>
      <c r="BJ270" s="209">
        <f>WWWW[[#This Row],[%equitable and continuous access to sufficient quantity of safe drinking and domestic water''s GAP]]*WWWW[[#This Row],[Total PoP ]]</f>
        <v>1711</v>
      </c>
      <c r="BK270" s="210">
        <f>IF(WWWW[[#This Row],[Total required water points]]-WWWW[[#This Row],['#Water points coverage]]&lt;0,0,WWWW[[#This Row],[Total required water points]]-WWWW[[#This Row],['#Water points coverage]])</f>
        <v>3</v>
      </c>
      <c r="BL270" s="210">
        <f>ROUND(IF(WWWW[[#This Row],[Total PoP ]]&lt;500,1,WWWW[[#This Row],[Total PoP ]]/500),0)</f>
        <v>3</v>
      </c>
      <c r="BM270" s="210">
        <f>WWWW[[#This Row],['# Existing functional latrines]]+WWWW[[#This Row],['# Existing latrines dysfunctional]]</f>
        <v>0</v>
      </c>
      <c r="BN27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70" s="352">
        <f>WWWW[[#This Row],[% people access to functioning Latrine]]*WWWW[[#This Row],[Total PoP ]]</f>
        <v>0</v>
      </c>
      <c r="BP27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0.99941554646405606</v>
      </c>
      <c r="BQ270" s="209">
        <f>IF(WWWW[[#This Row],[Total required Latrines]]-WWWW[[#This Row],[Total '# of latrine]]&lt;0,0,WWWW[[#This Row],[Total required Latrines]]-WWWW[[#This Row],[Total '# of latrine]])</f>
        <v>285</v>
      </c>
      <c r="BR270" s="210">
        <f>ROUND(IF(WWWW[[#This Row],[Location Type 1]]="camp",WWWW[[#This Row],[Total PoP ]]/20,WWWW[[#This Row],[Total PoP ]]/6),0)</f>
        <v>285</v>
      </c>
      <c r="BS270" s="212">
        <f>IF(OR(WWWW[[#This Row],['# Existing latrines dysfunctional]]="",WWWW[[#This Row],['# Existing latrines dysfunctional]]=0),0,WWWW[[#This Row],['# Existing latrines dysfunctional]]/WWWW[[#This Row],[Total '# of latrine]])</f>
        <v>0</v>
      </c>
      <c r="BT27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0" s="209">
        <f>IF(500*WWWW[[#This Row],['# Hygiene Promoters ]]&gt;WWWW[[#This Row],[Total PoP ]],WWWW[[#This Row],[Total PoP ]],500*WWWW[[#This Row],['# Hygiene Promoters ]])</f>
        <v>1711</v>
      </c>
      <c r="BV270" s="209">
        <f>IF(WWWW[[#This Row],[% of HH with access to Sanitary Pad]]&gt;=100%,1,0)</f>
        <v>1</v>
      </c>
      <c r="BW270" s="209">
        <f>IF(WWWW[[#This Row],[Total PoP ]]=0,0,IF(WWWW[[#This Row],['# Hygiene Promoters ]]=0,0,IF(WWWW[[#This Row],[Location Type 1]]="Village",IF(WWWW[[#This Row],[Total PoP ]]/WWWW[[#This Row],['# Hygiene Promoters ]]&lt;1000,1,0),IF(WWWW[[#This Row],[Total PoP ]]/WWWW[[#This Row],['# Hygiene Promoters ]]&lt;600,1,0))))</f>
        <v>1</v>
      </c>
      <c r="BX270" s="209">
        <f>IF(WWWW[[#This Row],[%HH with access to soap]]&gt;=100%,1,0)</f>
        <v>1</v>
      </c>
      <c r="BY270" s="209">
        <f>IF(WWWW[[#This Row],[% of HHs with access to Sanitary pad more than '#%]]+WWWW[[#This Row],[Ratio of Hyiene promoters to people less than '#]]+WWWW[[#This Row],[% of HHs with access to soap more than '#%]]&gt;=2,WWWW[[#This Row],[Total PoP ]],0)</f>
        <v>1711</v>
      </c>
      <c r="BZ270" s="208">
        <f>WWWW[[#This Row],[People adopt basic personal and community hygiene practices]]/WWWW[[#This Row],[Total PoP ]]</f>
        <v>1</v>
      </c>
      <c r="CA270" s="212">
        <f>1-WWWW[[#This Row],[Hygiene Coverage%]]</f>
        <v>0</v>
      </c>
      <c r="CB270" s="211">
        <f>WWWW[[#This Row],['# people reached by regular dedicated hygiene promotion_5]]/WWWW[[#This Row],[Total PoP ]]</f>
        <v>1</v>
      </c>
      <c r="CC270" s="211">
        <f>IF(WWWW[[#This Row],['# HH received soaps]]/WWWW[[#This Row],[Total HH]]&gt;1,1,WWWW[[#This Row],['# HH received soaps]]/WWWW[[#This Row],[Total HH]])</f>
        <v>1</v>
      </c>
      <c r="CD270" s="211">
        <f>IF(WWWW[[#This Row],['# HH received Sanitary Pads]]/WWWW[[#This Row],[Total HH]]&gt;1,1,WWWW[[#This Row],['# HH received Sanitary Pads]]/WWWW[[#This Row],[Total HH]])</f>
        <v>1</v>
      </c>
      <c r="CE270" s="210">
        <f>WWWW[[#This Row],['# HH received soaps]]*5</f>
        <v>1750</v>
      </c>
      <c r="CF270" s="210">
        <f>WWWW[[#This Row],['# HH received Sanitary Pads]]*5</f>
        <v>1750</v>
      </c>
      <c r="CG270" s="210">
        <f>IF(WWWW[[#This Row],['# People with access to soap]]&gt;WWWW[[#This Row],['# People with access to Sanity Pads]],WWWW[[#This Row],['# People with access to soap]],WWWW[[#This Row],['# People with access to Sanity Pads]])</f>
        <v>1750</v>
      </c>
      <c r="CH270" s="209">
        <f>WWWW[[#This Row],[Total HH]]*WWWW[[#This Row],[%HHs with access to functional hand washing stations]]</f>
        <v>0</v>
      </c>
      <c r="CI270" s="699">
        <f>VLOOKUP(WWWW[[#This Row],[Site Name]],SiteDB6[[Site Name]:[CCCM Management]],6,FALSE)</f>
        <v>0</v>
      </c>
      <c r="CJ270" s="699">
        <f>VLOOKUP(WWWW[[#This Row],[Site Name]],SiteDB6[[Site Name]:[CCCM Focal Agency]],7,FALSE)</f>
        <v>0</v>
      </c>
      <c r="CK270" s="699" t="str">
        <f>VLOOKUP(WWWW[[#This Row],[Site Name]],SiteDB6[[Site Name]:[Location Type]],8,FALSE)</f>
        <v>Village</v>
      </c>
      <c r="CL270" s="699" t="str">
        <f>VLOOKUP(WWWW[[#This Row],[Site Name]],SiteDB6[[Site Name]:[Location Type 1]],9,FALSE)</f>
        <v>Village</v>
      </c>
      <c r="CM270" s="699" t="str">
        <f>VLOOKUP(WWWW[[#This Row],[Site Name]],SiteDB6[[Site Name]:[Type of Accommodation]],10,FALSE)</f>
        <v>Village</v>
      </c>
      <c r="CN270" s="699" t="str">
        <f>VLOOKUP(WWWW[[#This Row],[Site Name]],SiteDB6[[Site Name]:[Ethnic or GCA/NGCA]],11,FALSE)</f>
        <v>Muslim</v>
      </c>
      <c r="CO270" s="699">
        <f>VLOOKUP(WWWW[[#This Row],[Site Name]],SiteDB6[[Site Name]:[Lat]],12,FALSE)</f>
        <v>20.903369903564499</v>
      </c>
      <c r="CP270" s="699">
        <f>VLOOKUP(WWWW[[#This Row],[Site Name]],SiteDB6[[Site Name]:[Long]],13,FALSE)</f>
        <v>92.332237243652301</v>
      </c>
      <c r="CQ270" s="699">
        <f>VLOOKUP(WWWW[[#This Row],[Site Name]],SiteDB6[[Site Name]:[Pcode]],3,FALSE)</f>
        <v>197961</v>
      </c>
      <c r="CR270" s="660" t="str">
        <f t="shared" si="5"/>
        <v>Covered</v>
      </c>
      <c r="CS270" s="660"/>
      <c r="CT270" s="24"/>
      <c r="CU270" s="24"/>
      <c r="CV270" s="24"/>
    </row>
    <row r="271" spans="1:100" ht="15.75" customHeight="1" x14ac:dyDescent="0.25">
      <c r="A271" s="833" t="s">
        <v>3206</v>
      </c>
      <c r="B271" s="206" t="s">
        <v>530</v>
      </c>
      <c r="C271" s="206" t="s">
        <v>454</v>
      </c>
      <c r="D271" s="206" t="s">
        <v>466</v>
      </c>
      <c r="E271" s="206" t="s">
        <v>839</v>
      </c>
      <c r="F271" s="206">
        <v>79</v>
      </c>
      <c r="G271" s="209">
        <v>334</v>
      </c>
      <c r="H271" s="206"/>
      <c r="I271" s="206" t="s">
        <v>388</v>
      </c>
      <c r="J271" s="207">
        <v>43145</v>
      </c>
      <c r="K271" s="206">
        <v>0</v>
      </c>
      <c r="L271" s="206"/>
      <c r="M271" s="208"/>
      <c r="N271" s="208"/>
      <c r="O271" s="323">
        <v>1</v>
      </c>
      <c r="P271" s="317">
        <v>25</v>
      </c>
      <c r="Q271" s="317">
        <v>0</v>
      </c>
      <c r="R271" s="318">
        <v>5</v>
      </c>
      <c r="S271" s="318">
        <v>1</v>
      </c>
      <c r="T271" s="318"/>
      <c r="U271" s="318"/>
      <c r="V271" s="318"/>
      <c r="W271" s="318"/>
      <c r="X271" s="318"/>
      <c r="Y271" s="318"/>
      <c r="Z271" s="318"/>
      <c r="AA271" s="310">
        <v>5</v>
      </c>
      <c r="AB271" s="310">
        <v>0</v>
      </c>
      <c r="AC271" s="66"/>
      <c r="AD271" s="66"/>
      <c r="AE271" s="310">
        <v>5</v>
      </c>
      <c r="AF271" s="310" t="s">
        <v>332</v>
      </c>
      <c r="AG271" s="311" t="s">
        <v>332</v>
      </c>
      <c r="AH271" s="311"/>
      <c r="AI271" s="310"/>
      <c r="AJ271" s="310"/>
      <c r="AK271" s="841">
        <v>0</v>
      </c>
      <c r="AL271" s="842" t="s">
        <v>284</v>
      </c>
      <c r="AM271" s="842">
        <v>0</v>
      </c>
      <c r="AN271" s="863">
        <v>0</v>
      </c>
      <c r="AO271" s="863">
        <v>5</v>
      </c>
      <c r="AP271" s="843">
        <v>79</v>
      </c>
      <c r="AQ271" s="843">
        <v>79</v>
      </c>
      <c r="AR271" s="843"/>
      <c r="AS271" s="843"/>
      <c r="AT271" s="843"/>
      <c r="AU271" s="843"/>
      <c r="AV271" s="844"/>
      <c r="AW271" s="208" t="str">
        <f>IFERROR(WWWW[[#This Row],['# of Water passed at source]]/WWWW[[#This Row],['# of Water tested at source]],"no test")</f>
        <v>no test</v>
      </c>
      <c r="AX271" s="211" t="str">
        <f>IFERROR(WWWW[[#This Row],['# of Water passed at HH]]/WWWW[[#This Row],['# of Water tested at HH]],"no test")</f>
        <v>no test</v>
      </c>
      <c r="AY271" s="210" t="str">
        <f>IF(AND(WWWW[[#This Row],[%of Water samples which passed at water source]]="no test",WWWW[[#This Row],[%Water samples which passed at HH]]="no test"),"No Test","Tested")</f>
        <v>No Test</v>
      </c>
      <c r="AZ27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7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71" s="211">
        <f>IF(WWWW[[#This Row],[Location Type 1]]="Village",WWWW[[#This Row],[Access to safe drinking water for Village]],WWWW[[#This Row],[Access to safe drinking water for Camp]])</f>
        <v>1</v>
      </c>
      <c r="BC271" s="209">
        <f>WWWW[[#This Row],[%Equitable and continuous access to sufficient quantity of safe drinking water]]*WWWW[[#This Row],[Total PoP ]]</f>
        <v>334</v>
      </c>
      <c r="BD271" s="211">
        <f>IF((WWWW[[#This Row],['# Existing protected/fenced ponds ]]*250)/WWWW[[#This Row],[Total PoP ]]&gt;1,1,WWWW[[#This Row],['# Existing protected/fenced ponds ]]*250/WWWW[[#This Row],[Total PoP ]])</f>
        <v>1</v>
      </c>
      <c r="BE271" s="209">
        <f>WWWW[[#This Row],[Access to unimproved water points]]*WWWW[[#This Row],[Total PoP ]]</f>
        <v>334</v>
      </c>
      <c r="BF27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7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334</v>
      </c>
      <c r="BH271" s="209">
        <f>ROUND(WWWW[[#This Row],['#people Equitable and continuous access to sufficient quantity of domestic water borehole n ponds_2]]/500,0)</f>
        <v>1</v>
      </c>
      <c r="BI271" s="208">
        <f>1-WWWW[[#This Row],[%Equitable and continuous access to sufficient quantity of domestic water borehole n ponds]]</f>
        <v>0</v>
      </c>
      <c r="BJ271" s="209">
        <f>WWWW[[#This Row],[%equitable and continuous access to sufficient quantity of safe drinking and domestic water''s GAP]]*WWWW[[#This Row],[Total PoP ]]</f>
        <v>0</v>
      </c>
      <c r="BK271" s="210">
        <f>IF(WWWW[[#This Row],[Total required water points]]-WWWW[[#This Row],['#Water points coverage]]&lt;0,0,WWWW[[#This Row],[Total required water points]]-WWWW[[#This Row],['#Water points coverage]])</f>
        <v>0</v>
      </c>
      <c r="BL271" s="210">
        <f>ROUND(IF(WWWW[[#This Row],[Total PoP ]]&lt;500,1,WWWW[[#This Row],[Total PoP ]]/500),0)</f>
        <v>1</v>
      </c>
      <c r="BM271" s="210">
        <f>WWWW[[#This Row],['# Existing functional latrines]]+WWWW[[#This Row],['# Existing latrines dysfunctional]]</f>
        <v>5</v>
      </c>
      <c r="BN27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8.9820359281437126E-2</v>
      </c>
      <c r="BO271" s="352">
        <f>WWWW[[#This Row],[% people access to functioning Latrine]]*WWWW[[#This Row],[Total PoP ]]</f>
        <v>30</v>
      </c>
      <c r="BP27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0.91616766467065869</v>
      </c>
      <c r="BQ271" s="209">
        <f>IF(WWWW[[#This Row],[Total required Latrines]]-WWWW[[#This Row],[Total '# of latrine]]&lt;0,0,WWWW[[#This Row],[Total required Latrines]]-WWWW[[#This Row],[Total '# of latrine]])</f>
        <v>51</v>
      </c>
      <c r="BR271" s="210">
        <f>ROUND(IF(WWWW[[#This Row],[Location Type 1]]="camp",WWWW[[#This Row],[Total PoP ]]/20,WWWW[[#This Row],[Total PoP ]]/6),0)</f>
        <v>56</v>
      </c>
      <c r="BS271" s="212">
        <f>IF(OR(WWWW[[#This Row],['# Existing latrines dysfunctional]]="",WWWW[[#This Row],['# Existing latrines dysfunctional]]=0),0,WWWW[[#This Row],['# Existing latrines dysfunctional]]/WWWW[[#This Row],[Total '# of latrine]])</f>
        <v>0</v>
      </c>
      <c r="BT27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1" s="209">
        <f>IF(500*WWWW[[#This Row],['# Hygiene Promoters ]]&gt;WWWW[[#This Row],[Total PoP ]],WWWW[[#This Row],[Total PoP ]],500*WWWW[[#This Row],['# Hygiene Promoters ]])</f>
        <v>334</v>
      </c>
      <c r="BV271" s="209">
        <f>IF(WWWW[[#This Row],[% of HH with access to Sanitary Pad]]&gt;=100%,1,0)</f>
        <v>1</v>
      </c>
      <c r="BW271" s="209">
        <f>IF(WWWW[[#This Row],[Total PoP ]]=0,0,IF(WWWW[[#This Row],['# Hygiene Promoters ]]=0,0,IF(WWWW[[#This Row],[Location Type 1]]="Village",IF(WWWW[[#This Row],[Total PoP ]]/WWWW[[#This Row],['# Hygiene Promoters ]]&lt;1000,1,0),IF(WWWW[[#This Row],[Total PoP ]]/WWWW[[#This Row],['# Hygiene Promoters ]]&lt;600,1,0))))</f>
        <v>1</v>
      </c>
      <c r="BX271" s="209">
        <f>IF(WWWW[[#This Row],[%HH with access to soap]]&gt;=100%,1,0)</f>
        <v>1</v>
      </c>
      <c r="BY271" s="209">
        <f>IF(WWWW[[#This Row],[% of HHs with access to Sanitary pad more than '#%]]+WWWW[[#This Row],[Ratio of Hyiene promoters to people less than '#]]+WWWW[[#This Row],[% of HHs with access to soap more than '#%]]&gt;=2,WWWW[[#This Row],[Total PoP ]],0)</f>
        <v>334</v>
      </c>
      <c r="BZ271" s="208">
        <f>WWWW[[#This Row],[People adopt basic personal and community hygiene practices]]/WWWW[[#This Row],[Total PoP ]]</f>
        <v>1</v>
      </c>
      <c r="CA271" s="212">
        <f>1-WWWW[[#This Row],[Hygiene Coverage%]]</f>
        <v>0</v>
      </c>
      <c r="CB271" s="211">
        <f>WWWW[[#This Row],['# people reached by regular dedicated hygiene promotion_5]]/WWWW[[#This Row],[Total PoP ]]</f>
        <v>1</v>
      </c>
      <c r="CC271" s="211">
        <f>IF(WWWW[[#This Row],['# HH received soaps]]/WWWW[[#This Row],[Total HH]]&gt;1,1,WWWW[[#This Row],['# HH received soaps]]/WWWW[[#This Row],[Total HH]])</f>
        <v>1</v>
      </c>
      <c r="CD271" s="211">
        <f>IF(WWWW[[#This Row],['# HH received Sanitary Pads]]/WWWW[[#This Row],[Total HH]]&gt;1,1,WWWW[[#This Row],['# HH received Sanitary Pads]]/WWWW[[#This Row],[Total HH]])</f>
        <v>1</v>
      </c>
      <c r="CE271" s="210">
        <f>WWWW[[#This Row],['# HH received soaps]]*5</f>
        <v>395</v>
      </c>
      <c r="CF271" s="210">
        <f>WWWW[[#This Row],['# HH received Sanitary Pads]]*5</f>
        <v>395</v>
      </c>
      <c r="CG271" s="210">
        <f>IF(WWWW[[#This Row],['# People with access to soap]]&gt;WWWW[[#This Row],['# People with access to Sanity Pads]],WWWW[[#This Row],['# People with access to soap]],WWWW[[#This Row],['# People with access to Sanity Pads]])</f>
        <v>395</v>
      </c>
      <c r="CH271" s="209">
        <f>WWWW[[#This Row],[Total HH]]*WWWW[[#This Row],[%HHs with access to functional hand washing stations]]</f>
        <v>0</v>
      </c>
      <c r="CI271" s="699">
        <f>VLOOKUP(WWWW[[#This Row],[Site Name]],SiteDB6[[Site Name]:[CCCM Management]],6,FALSE)</f>
        <v>0</v>
      </c>
      <c r="CJ271" s="699">
        <f>VLOOKUP(WWWW[[#This Row],[Site Name]],SiteDB6[[Site Name]:[CCCM Focal Agency]],7,FALSE)</f>
        <v>0</v>
      </c>
      <c r="CK271" s="699" t="str">
        <f>VLOOKUP(WWWW[[#This Row],[Site Name]],SiteDB6[[Site Name]:[Location Type]],8,FALSE)</f>
        <v>Village</v>
      </c>
      <c r="CL271" s="699" t="str">
        <f>VLOOKUP(WWWW[[#This Row],[Site Name]],SiteDB6[[Site Name]:[Location Type 1]],9,FALSE)</f>
        <v>Village</v>
      </c>
      <c r="CM271" s="699" t="str">
        <f>VLOOKUP(WWWW[[#This Row],[Site Name]],SiteDB6[[Site Name]:[Type of Accommodation]],10,FALSE)</f>
        <v>Village</v>
      </c>
      <c r="CN271" s="699" t="str">
        <f>VLOOKUP(WWWW[[#This Row],[Site Name]],SiteDB6[[Site Name]:[Ethnic or GCA/NGCA]],11,FALSE)</f>
        <v>Rakhine</v>
      </c>
      <c r="CO271" s="699">
        <f>VLOOKUP(WWWW[[#This Row],[Site Name]],SiteDB6[[Site Name]:[Lat]],12,FALSE)</f>
        <v>21.007270812988299</v>
      </c>
      <c r="CP271" s="699">
        <f>VLOOKUP(WWWW[[#This Row],[Site Name]],SiteDB6[[Site Name]:[Long]],13,FALSE)</f>
        <v>92.3585205078125</v>
      </c>
      <c r="CQ271" s="699">
        <f>VLOOKUP(WWWW[[#This Row],[Site Name]],SiteDB6[[Site Name]:[Pcode]],3,FALSE)</f>
        <v>197910</v>
      </c>
      <c r="CR271" s="660" t="str">
        <f t="shared" si="5"/>
        <v>Covered</v>
      </c>
      <c r="CS271" s="660"/>
      <c r="CT271" s="24"/>
      <c r="CU271" s="24"/>
      <c r="CV271" s="24"/>
    </row>
    <row r="272" spans="1:100" ht="15.75" customHeight="1" x14ac:dyDescent="0.25">
      <c r="A272" s="833" t="s">
        <v>3206</v>
      </c>
      <c r="B272" s="206" t="s">
        <v>530</v>
      </c>
      <c r="C272" s="206" t="s">
        <v>454</v>
      </c>
      <c r="D272" s="206" t="s">
        <v>466</v>
      </c>
      <c r="E272" s="206" t="s">
        <v>2514</v>
      </c>
      <c r="F272" s="206">
        <v>220</v>
      </c>
      <c r="G272" s="209">
        <v>1442</v>
      </c>
      <c r="H272" s="206"/>
      <c r="I272" s="206" t="s">
        <v>388</v>
      </c>
      <c r="J272" s="207">
        <v>43343</v>
      </c>
      <c r="K272" s="206">
        <v>0</v>
      </c>
      <c r="L272" s="206"/>
      <c r="M272" s="208"/>
      <c r="N272" s="208"/>
      <c r="O272" s="323">
        <v>0</v>
      </c>
      <c r="P272" s="317">
        <v>0</v>
      </c>
      <c r="Q272" s="317">
        <v>0</v>
      </c>
      <c r="R272" s="318">
        <v>0</v>
      </c>
      <c r="S272" s="318">
        <v>1</v>
      </c>
      <c r="T272" s="318"/>
      <c r="U272" s="318"/>
      <c r="V272" s="318"/>
      <c r="W272" s="318"/>
      <c r="X272" s="318"/>
      <c r="Y272" s="318"/>
      <c r="Z272" s="318"/>
      <c r="AA272" s="310"/>
      <c r="AB272" s="310"/>
      <c r="AC272" s="66"/>
      <c r="AD272" s="66"/>
      <c r="AE272" s="310">
        <v>18</v>
      </c>
      <c r="AF272" s="310" t="s">
        <v>332</v>
      </c>
      <c r="AG272" s="311" t="s">
        <v>332</v>
      </c>
      <c r="AH272" s="311"/>
      <c r="AI272" s="310"/>
      <c r="AJ272" s="310"/>
      <c r="AK272" s="841">
        <v>0</v>
      </c>
      <c r="AL272" s="842" t="s">
        <v>284</v>
      </c>
      <c r="AM272" s="842">
        <v>0</v>
      </c>
      <c r="AN272" s="863">
        <v>0</v>
      </c>
      <c r="AO272" s="863">
        <v>5</v>
      </c>
      <c r="AP272" s="843">
        <v>220</v>
      </c>
      <c r="AQ272" s="843">
        <v>220</v>
      </c>
      <c r="AR272" s="843"/>
      <c r="AS272" s="843"/>
      <c r="AT272" s="843"/>
      <c r="AU272" s="843"/>
      <c r="AV272" s="844"/>
      <c r="AW272" s="208" t="str">
        <f>IFERROR(WWWW[[#This Row],['# of Water passed at source]]/WWWW[[#This Row],['# of Water tested at source]],"no test")</f>
        <v>no test</v>
      </c>
      <c r="AX272" s="211" t="str">
        <f>IFERROR(WWWW[[#This Row],['# of Water passed at HH]]/WWWW[[#This Row],['# of Water tested at HH]],"no test")</f>
        <v>no test</v>
      </c>
      <c r="AY272" s="210" t="str">
        <f>IF(AND(WWWW[[#This Row],[%of Water samples which passed at water source]]="no test",WWWW[[#This Row],[%Water samples which passed at HH]]="no test"),"No Test","Tested")</f>
        <v>No Test</v>
      </c>
      <c r="AZ27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7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72" s="211">
        <f>IF(WWWW[[#This Row],[Location Type 1]]="Village",WWWW[[#This Row],[Access to safe drinking water for Village]],WWWW[[#This Row],[Access to safe drinking water for Camp]])</f>
        <v>0</v>
      </c>
      <c r="BC272" s="209">
        <f>WWWW[[#This Row],[%Equitable and continuous access to sufficient quantity of safe drinking water]]*WWWW[[#This Row],[Total PoP ]]</f>
        <v>0</v>
      </c>
      <c r="BD272" s="211">
        <f>IF((WWWW[[#This Row],['# Existing protected/fenced ponds ]]*250)/WWWW[[#This Row],[Total PoP ]]&gt;1,1,WWWW[[#This Row],['# Existing protected/fenced ponds ]]*250/WWWW[[#This Row],[Total PoP ]])</f>
        <v>0</v>
      </c>
      <c r="BE272" s="209">
        <f>WWWW[[#This Row],[Access to unimproved water points]]*WWWW[[#This Row],[Total PoP ]]</f>
        <v>0</v>
      </c>
      <c r="BF27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7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72" s="209">
        <f>ROUND(WWWW[[#This Row],['#people Equitable and continuous access to sufficient quantity of domestic water borehole n ponds_2]]/500,0)</f>
        <v>0</v>
      </c>
      <c r="BI272" s="208">
        <f>1-WWWW[[#This Row],[%Equitable and continuous access to sufficient quantity of domestic water borehole n ponds]]</f>
        <v>1</v>
      </c>
      <c r="BJ272" s="209">
        <f>WWWW[[#This Row],[%equitable and continuous access to sufficient quantity of safe drinking and domestic water''s GAP]]*WWWW[[#This Row],[Total PoP ]]</f>
        <v>1442</v>
      </c>
      <c r="BK272" s="210">
        <f>IF(WWWW[[#This Row],[Total required water points]]-WWWW[[#This Row],['#Water points coverage]]&lt;0,0,WWWW[[#This Row],[Total required water points]]-WWWW[[#This Row],['#Water points coverage]])</f>
        <v>3</v>
      </c>
      <c r="BL272" s="210">
        <f>ROUND(IF(WWWW[[#This Row],[Total PoP ]]&lt;500,1,WWWW[[#This Row],[Total PoP ]]/500),0)</f>
        <v>3</v>
      </c>
      <c r="BM272" s="210">
        <f>WWWW[[#This Row],['# Existing functional latrines]]+WWWW[[#This Row],['# Existing latrines dysfunctional]]</f>
        <v>0</v>
      </c>
      <c r="BN27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72" s="352">
        <f>WWWW[[#This Row],[% people access to functioning Latrine]]*WWWW[[#This Row],[Total PoP ]]</f>
        <v>0</v>
      </c>
      <c r="BP27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0.9986130374479889</v>
      </c>
      <c r="BQ272" s="209">
        <f>IF(WWWW[[#This Row],[Total required Latrines]]-WWWW[[#This Row],[Total '# of latrine]]&lt;0,0,WWWW[[#This Row],[Total required Latrines]]-WWWW[[#This Row],[Total '# of latrine]])</f>
        <v>240</v>
      </c>
      <c r="BR272" s="210">
        <f>ROUND(IF(WWWW[[#This Row],[Location Type 1]]="camp",WWWW[[#This Row],[Total PoP ]]/20,WWWW[[#This Row],[Total PoP ]]/6),0)</f>
        <v>240</v>
      </c>
      <c r="BS272" s="212">
        <f>IF(OR(WWWW[[#This Row],['# Existing latrines dysfunctional]]="",WWWW[[#This Row],['# Existing latrines dysfunctional]]=0),0,WWWW[[#This Row],['# Existing latrines dysfunctional]]/WWWW[[#This Row],[Total '# of latrine]])</f>
        <v>0</v>
      </c>
      <c r="BT27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2" s="209">
        <f>IF(500*WWWW[[#This Row],['# Hygiene Promoters ]]&gt;WWWW[[#This Row],[Total PoP ]],WWWW[[#This Row],[Total PoP ]],500*WWWW[[#This Row],['# Hygiene Promoters ]])</f>
        <v>1442</v>
      </c>
      <c r="BV272" s="209">
        <f>IF(WWWW[[#This Row],[% of HH with access to Sanitary Pad]]&gt;=100%,1,0)</f>
        <v>1</v>
      </c>
      <c r="BW272" s="209">
        <f>IF(WWWW[[#This Row],[Total PoP ]]=0,0,IF(WWWW[[#This Row],['# Hygiene Promoters ]]=0,0,IF(WWWW[[#This Row],[Location Type 1]]="Village",IF(WWWW[[#This Row],[Total PoP ]]/WWWW[[#This Row],['# Hygiene Promoters ]]&lt;1000,1,0),IF(WWWW[[#This Row],[Total PoP ]]/WWWW[[#This Row],['# Hygiene Promoters ]]&lt;600,1,0))))</f>
        <v>1</v>
      </c>
      <c r="BX272" s="209">
        <f>IF(WWWW[[#This Row],[%HH with access to soap]]&gt;=100%,1,0)</f>
        <v>1</v>
      </c>
      <c r="BY272" s="209">
        <f>IF(WWWW[[#This Row],[% of HHs with access to Sanitary pad more than '#%]]+WWWW[[#This Row],[Ratio of Hyiene promoters to people less than '#]]+WWWW[[#This Row],[% of HHs with access to soap more than '#%]]&gt;=2,WWWW[[#This Row],[Total PoP ]],0)</f>
        <v>1442</v>
      </c>
      <c r="BZ272" s="208">
        <f>WWWW[[#This Row],[People adopt basic personal and community hygiene practices]]/WWWW[[#This Row],[Total PoP ]]</f>
        <v>1</v>
      </c>
      <c r="CA272" s="212">
        <f>1-WWWW[[#This Row],[Hygiene Coverage%]]</f>
        <v>0</v>
      </c>
      <c r="CB272" s="211">
        <f>WWWW[[#This Row],['# people reached by regular dedicated hygiene promotion_5]]/WWWW[[#This Row],[Total PoP ]]</f>
        <v>1</v>
      </c>
      <c r="CC272" s="211">
        <f>IF(WWWW[[#This Row],['# HH received soaps]]/WWWW[[#This Row],[Total HH]]&gt;1,1,WWWW[[#This Row],['# HH received soaps]]/WWWW[[#This Row],[Total HH]])</f>
        <v>1</v>
      </c>
      <c r="CD272" s="211">
        <f>IF(WWWW[[#This Row],['# HH received Sanitary Pads]]/WWWW[[#This Row],[Total HH]]&gt;1,1,WWWW[[#This Row],['# HH received Sanitary Pads]]/WWWW[[#This Row],[Total HH]])</f>
        <v>1</v>
      </c>
      <c r="CE272" s="210">
        <f>WWWW[[#This Row],['# HH received soaps]]*5</f>
        <v>1100</v>
      </c>
      <c r="CF272" s="210">
        <f>WWWW[[#This Row],['# HH received Sanitary Pads]]*5</f>
        <v>1100</v>
      </c>
      <c r="CG272" s="210">
        <f>IF(WWWW[[#This Row],['# People with access to soap]]&gt;WWWW[[#This Row],['# People with access to Sanity Pads]],WWWW[[#This Row],['# People with access to soap]],WWWW[[#This Row],['# People with access to Sanity Pads]])</f>
        <v>1100</v>
      </c>
      <c r="CH272" s="209">
        <f>WWWW[[#This Row],[Total HH]]*WWWW[[#This Row],[%HHs with access to functional hand washing stations]]</f>
        <v>0</v>
      </c>
      <c r="CI272" s="699">
        <f>VLOOKUP(WWWW[[#This Row],[Site Name]],SiteDB6[[Site Name]:[CCCM Management]],6,FALSE)</f>
        <v>0</v>
      </c>
      <c r="CJ272" s="699">
        <f>VLOOKUP(WWWW[[#This Row],[Site Name]],SiteDB6[[Site Name]:[CCCM Focal Agency]],7,FALSE)</f>
        <v>0</v>
      </c>
      <c r="CK272" s="699" t="str">
        <f>VLOOKUP(WWWW[[#This Row],[Site Name]],SiteDB6[[Site Name]:[Location Type]],8,FALSE)</f>
        <v>Village</v>
      </c>
      <c r="CL272" s="699" t="str">
        <f>VLOOKUP(WWWW[[#This Row],[Site Name]],SiteDB6[[Site Name]:[Location Type 1]],9,FALSE)</f>
        <v>Village</v>
      </c>
      <c r="CM272" s="699" t="str">
        <f>VLOOKUP(WWWW[[#This Row],[Site Name]],SiteDB6[[Site Name]:[Type of Accommodation]],10,FALSE)</f>
        <v>Village</v>
      </c>
      <c r="CN272" s="699" t="str">
        <f>VLOOKUP(WWWW[[#This Row],[Site Name]],SiteDB6[[Site Name]:[Ethnic or GCA/NGCA]],11,FALSE)</f>
        <v>Muslim</v>
      </c>
      <c r="CO272" s="699">
        <f>VLOOKUP(WWWW[[#This Row],[Site Name]],SiteDB6[[Site Name]:[Lat]],12,FALSE)</f>
        <v>20.872400283813501</v>
      </c>
      <c r="CP272" s="699">
        <f>VLOOKUP(WWWW[[#This Row],[Site Name]],SiteDB6[[Site Name]:[Long]],13,FALSE)</f>
        <v>92.337608337402301</v>
      </c>
      <c r="CQ272" s="699">
        <f>VLOOKUP(WWWW[[#This Row],[Site Name]],SiteDB6[[Site Name]:[Pcode]],3,FALSE)</f>
        <v>197971</v>
      </c>
      <c r="CR272" s="660" t="str">
        <f t="shared" si="5"/>
        <v>Covered</v>
      </c>
      <c r="CS272" s="660"/>
      <c r="CT272" s="24"/>
      <c r="CU272" s="24"/>
      <c r="CV272" s="24"/>
    </row>
    <row r="273" spans="1:100" ht="15.75" customHeight="1" x14ac:dyDescent="0.25">
      <c r="A273" s="833" t="s">
        <v>3206</v>
      </c>
      <c r="B273" s="206" t="s">
        <v>469</v>
      </c>
      <c r="C273" s="206" t="s">
        <v>454</v>
      </c>
      <c r="D273" s="206" t="s">
        <v>466</v>
      </c>
      <c r="E273" s="206" t="s">
        <v>2759</v>
      </c>
      <c r="F273" s="206">
        <v>87</v>
      </c>
      <c r="G273" s="209">
        <v>412</v>
      </c>
      <c r="H273" s="206"/>
      <c r="I273" s="206" t="s">
        <v>2752</v>
      </c>
      <c r="J273" s="207">
        <v>44134</v>
      </c>
      <c r="K273" s="206">
        <v>2</v>
      </c>
      <c r="L273" s="206" t="s">
        <v>286</v>
      </c>
      <c r="M273" s="208" t="s">
        <v>286</v>
      </c>
      <c r="N273" s="208" t="s">
        <v>286</v>
      </c>
      <c r="O273" s="323"/>
      <c r="P273" s="317"/>
      <c r="Q273" s="317"/>
      <c r="R273" s="318"/>
      <c r="S273" s="318"/>
      <c r="T273" s="318"/>
      <c r="U273" s="318"/>
      <c r="V273" s="318"/>
      <c r="W273" s="318"/>
      <c r="X273" s="318"/>
      <c r="Y273" s="318"/>
      <c r="Z273" s="318"/>
      <c r="AA273" s="310"/>
      <c r="AB273" s="310"/>
      <c r="AC273" s="66"/>
      <c r="AD273" s="66"/>
      <c r="AE273" s="310"/>
      <c r="AF273" s="310"/>
      <c r="AG273" s="311"/>
      <c r="AH273" s="311"/>
      <c r="AI273" s="310"/>
      <c r="AJ273" s="310"/>
      <c r="AK273" s="841"/>
      <c r="AL273" s="842"/>
      <c r="AM273" s="842"/>
      <c r="AN273" s="863"/>
      <c r="AO273" s="863"/>
      <c r="AP273" s="843"/>
      <c r="AQ273" s="843"/>
      <c r="AR273" s="843"/>
      <c r="AS273" s="843"/>
      <c r="AT273" s="843"/>
      <c r="AU273" s="843"/>
      <c r="AV273" s="844"/>
      <c r="AW273" s="208" t="str">
        <f>IFERROR(WWWW[[#This Row],['# of Water passed at source]]/WWWW[[#This Row],['# of Water tested at source]],"no test")</f>
        <v>no test</v>
      </c>
      <c r="AX273" s="211" t="str">
        <f>IFERROR(WWWW[[#This Row],['# of Water passed at HH]]/WWWW[[#This Row],['# of Water tested at HH]],"no test")</f>
        <v>no test</v>
      </c>
      <c r="AY273" s="210" t="str">
        <f>IF(AND(WWWW[[#This Row],[%of Water samples which passed at water source]]="no test",WWWW[[#This Row],[%Water samples which passed at HH]]="no test"),"No Test","Tested")</f>
        <v>No Test</v>
      </c>
      <c r="AZ27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7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73" s="211">
        <f>IF(WWWW[[#This Row],[Location Type 1]]="Village",WWWW[[#This Row],[Access to safe drinking water for Village]],WWWW[[#This Row],[Access to safe drinking water for Camp]])</f>
        <v>0</v>
      </c>
      <c r="BC273" s="209">
        <f>WWWW[[#This Row],[%Equitable and continuous access to sufficient quantity of safe drinking water]]*WWWW[[#This Row],[Total PoP ]]</f>
        <v>0</v>
      </c>
      <c r="BD273" s="211">
        <f>IF((WWWW[[#This Row],['# Existing protected/fenced ponds ]]*250)/WWWW[[#This Row],[Total PoP ]]&gt;1,1,WWWW[[#This Row],['# Existing protected/fenced ponds ]]*250/WWWW[[#This Row],[Total PoP ]])</f>
        <v>0</v>
      </c>
      <c r="BE273" s="209">
        <f>WWWW[[#This Row],[Access to unimproved water points]]*WWWW[[#This Row],[Total PoP ]]</f>
        <v>0</v>
      </c>
      <c r="BF27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7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73" s="209">
        <f>WWWW[[#This Row],['#people Equitable and continuous access to sufficient quantity of domestic water borehole n ponds_2]]/500</f>
        <v>0</v>
      </c>
      <c r="BI273" s="208">
        <f>1-WWWW[[#This Row],[%Equitable and continuous access to sufficient quantity of domestic water borehole n ponds]]</f>
        <v>1</v>
      </c>
      <c r="BJ273" s="209">
        <f>WWWW[[#This Row],[%equitable and continuous access to sufficient quantity of safe drinking and domestic water''s GAP]]*WWWW[[#This Row],[Total PoP ]]</f>
        <v>412</v>
      </c>
      <c r="BK273" s="210">
        <f>IF(WWWW[[#This Row],[Total required water points]]-WWWW[[#This Row],['#Water points coverage]]&lt;0,0,WWWW[[#This Row],[Total required water points]]-WWWW[[#This Row],['#Water points coverage]])</f>
        <v>1</v>
      </c>
      <c r="BL273" s="210">
        <f>ROUND(IF(WWWW[[#This Row],[Total PoP ]]&lt;500,1,WWWW[[#This Row],[Total PoP ]]/500),0)</f>
        <v>1</v>
      </c>
      <c r="BM273" s="210">
        <f>WWWW[[#This Row],['# Existing functional latrines]]+WWWW[[#This Row],['# Existing latrines dysfunctional]]</f>
        <v>0</v>
      </c>
      <c r="BN27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73" s="352">
        <f>WWWW[[#This Row],[% people access to functioning Latrine]]*WWWW[[#This Row],[Total PoP ]]</f>
        <v>0</v>
      </c>
      <c r="BP27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73" s="209">
        <f>IF(WWWW[[#This Row],[Total required Latrines]]-WWWW[[#This Row],[Total '# of latrine]]&lt;0,0,WWWW[[#This Row],[Total required Latrines]]-WWWW[[#This Row],[Total '# of latrine]])</f>
        <v>69</v>
      </c>
      <c r="BR273" s="210">
        <f>ROUND(IF(WWWW[[#This Row],[Location Type 1]]="camp",WWWW[[#This Row],[Total PoP ]]/20,WWWW[[#This Row],[Total PoP ]]/6),0)</f>
        <v>69</v>
      </c>
      <c r="BS273" s="212">
        <f>IF(OR(WWWW[[#This Row],['# Existing latrines dysfunctional]]="",WWWW[[#This Row],['# Existing latrines dysfunctional]]=0),0,WWWW[[#This Row],['# Existing latrines dysfunctional]]/WWWW[[#This Row],[Total '# of latrine]])</f>
        <v>0</v>
      </c>
      <c r="BT27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3" s="209">
        <f>IF(500*WWWW[[#This Row],['# Hygiene Promoters ]]&gt;WWWW[[#This Row],[Total PoP ]],WWWW[[#This Row],[Total PoP ]],500*WWWW[[#This Row],['# Hygiene Promoters ]])</f>
        <v>0</v>
      </c>
      <c r="BV273" s="209">
        <f>IF(WWWW[[#This Row],[% of HH with access to Sanitary Pad]]&gt;=100%,1,0)</f>
        <v>0</v>
      </c>
      <c r="BW273" s="209">
        <f>IF(WWWW[[#This Row],[Total PoP ]]=0,0,IF(WWWW[[#This Row],['# Hygiene Promoters ]]=0,0,IF(WWWW[[#This Row],[Location Type 1]]="Village",IF(WWWW[[#This Row],[Total PoP ]]/WWWW[[#This Row],['# Hygiene Promoters ]]&lt;1000,1,0),IF(WWWW[[#This Row],[Total PoP ]]/WWWW[[#This Row],['# Hygiene Promoters ]]&lt;600,1,0))))</f>
        <v>0</v>
      </c>
      <c r="BX273" s="209">
        <f>IF(WWWW[[#This Row],[%HH with access to soap]]&gt;=100%,1,0)</f>
        <v>0</v>
      </c>
      <c r="BY273" s="209">
        <f>IF(WWWW[[#This Row],[% of HHs with access to Sanitary pad more than '#%]]+WWWW[[#This Row],[Ratio of Hyiene promoters to people less than '#]]+WWWW[[#This Row],[% of HHs with access to soap more than '#%]]&gt;=2,WWWW[[#This Row],[Total PoP ]],0)</f>
        <v>0</v>
      </c>
      <c r="BZ273" s="208">
        <f>WWWW[[#This Row],[People adopt basic personal and community hygiene practices]]/WWWW[[#This Row],[Total PoP ]]</f>
        <v>0</v>
      </c>
      <c r="CA273" s="212">
        <f>1-WWWW[[#This Row],[Hygiene Coverage%]]</f>
        <v>1</v>
      </c>
      <c r="CB273" s="211">
        <f>WWWW[[#This Row],['# people reached by regular dedicated hygiene promotion_5]]/WWWW[[#This Row],[Total PoP ]]</f>
        <v>0</v>
      </c>
      <c r="CC273" s="211">
        <f>IF(WWWW[[#This Row],['# HH received soaps]]/WWWW[[#This Row],[Total HH]]&gt;1,1,WWWW[[#This Row],['# HH received soaps]]/WWWW[[#This Row],[Total HH]])</f>
        <v>0</v>
      </c>
      <c r="CD273" s="211">
        <f>IF(WWWW[[#This Row],['# HH received Sanitary Pads]]/WWWW[[#This Row],[Total HH]]&gt;1,1,WWWW[[#This Row],['# HH received Sanitary Pads]]/WWWW[[#This Row],[Total HH]])</f>
        <v>0</v>
      </c>
      <c r="CE273" s="210">
        <f>WWWW[[#This Row],['# HH received soaps]]*5</f>
        <v>0</v>
      </c>
      <c r="CF273" s="210">
        <f>WWWW[[#This Row],['# HH received Sanitary Pads]]*5</f>
        <v>0</v>
      </c>
      <c r="CG273" s="210">
        <f>IF(WWWW[[#This Row],['# People with access to soap]]&gt;WWWW[[#This Row],['# People with access to Sanity Pads]],WWWW[[#This Row],['# People with access to soap]],WWWW[[#This Row],['# People with access to Sanity Pads]])</f>
        <v>0</v>
      </c>
      <c r="CH273" s="209">
        <f>WWWW[[#This Row],[Total HH]]*WWWW[[#This Row],[%HHs with access to functional hand washing stations]]</f>
        <v>0</v>
      </c>
      <c r="CI273" s="699">
        <f>VLOOKUP(WWWW[[#This Row],[Site Name]],SiteDB6[[Site Name]:[CCCM Management]],6,FALSE)</f>
        <v>0</v>
      </c>
      <c r="CJ273" s="699">
        <f>VLOOKUP(WWWW[[#This Row],[Site Name]],SiteDB6[[Site Name]:[CCCM Focal Agency]],7,FALSE)</f>
        <v>0</v>
      </c>
      <c r="CK273" s="699" t="str">
        <f>VLOOKUP(WWWW[[#This Row],[Site Name]],SiteDB6[[Site Name]:[Location Type]],8,FALSE)</f>
        <v>Village</v>
      </c>
      <c r="CL273" s="699" t="str">
        <f>VLOOKUP(WWWW[[#This Row],[Site Name]],SiteDB6[[Site Name]:[Location Type 1]],9,FALSE)</f>
        <v>Village</v>
      </c>
      <c r="CM273" s="699" t="str">
        <f>VLOOKUP(WWWW[[#This Row],[Site Name]],SiteDB6[[Site Name]:[Type of Accommodation]],10,FALSE)</f>
        <v>Village</v>
      </c>
      <c r="CN273" s="699" t="str">
        <f>VLOOKUP(WWWW[[#This Row],[Site Name]],SiteDB6[[Site Name]:[Ethnic or GCA/NGCA]],11,FALSE)</f>
        <v>Rakhine</v>
      </c>
      <c r="CO273" s="699">
        <f>VLOOKUP(WWWW[[#This Row],[Site Name]],SiteDB6[[Site Name]:[Lat]],12,FALSE)</f>
        <v>21.2182006835938</v>
      </c>
      <c r="CP273" s="699">
        <f>VLOOKUP(WWWW[[#This Row],[Site Name]],SiteDB6[[Site Name]:[Long]],13,FALSE)</f>
        <v>92.323173522949205</v>
      </c>
      <c r="CQ273" s="699">
        <f>VLOOKUP(WWWW[[#This Row],[Site Name]],SiteDB6[[Site Name]:[Pcode]],3,FALSE)</f>
        <v>197830</v>
      </c>
      <c r="CR273" s="660" t="str">
        <f t="shared" si="5"/>
        <v>Covered</v>
      </c>
      <c r="CS273" s="660"/>
      <c r="CT273" s="24"/>
      <c r="CU273" s="24"/>
      <c r="CV273" s="24"/>
    </row>
    <row r="274" spans="1:100" ht="15.75" customHeight="1" x14ac:dyDescent="0.25">
      <c r="A274" s="833" t="s">
        <v>3206</v>
      </c>
      <c r="B274" s="206" t="s">
        <v>530</v>
      </c>
      <c r="C274" s="206" t="s">
        <v>454</v>
      </c>
      <c r="D274" s="206" t="s">
        <v>466</v>
      </c>
      <c r="E274" s="206" t="s">
        <v>2517</v>
      </c>
      <c r="F274" s="206">
        <v>115</v>
      </c>
      <c r="G274" s="209">
        <v>700</v>
      </c>
      <c r="H274" s="206"/>
      <c r="I274" s="206" t="s">
        <v>388</v>
      </c>
      <c r="J274" s="207">
        <v>43343</v>
      </c>
      <c r="K274" s="206">
        <v>0</v>
      </c>
      <c r="L274" s="206"/>
      <c r="M274" s="208"/>
      <c r="N274" s="208"/>
      <c r="O274" s="323">
        <v>0</v>
      </c>
      <c r="P274" s="317">
        <v>0</v>
      </c>
      <c r="Q274" s="317">
        <v>0</v>
      </c>
      <c r="R274" s="318">
        <v>0</v>
      </c>
      <c r="S274" s="318">
        <v>1</v>
      </c>
      <c r="T274" s="318"/>
      <c r="U274" s="318"/>
      <c r="V274" s="318"/>
      <c r="W274" s="318"/>
      <c r="X274" s="318"/>
      <c r="Y274" s="318"/>
      <c r="Z274" s="318"/>
      <c r="AA274" s="310"/>
      <c r="AB274" s="310"/>
      <c r="AC274" s="66"/>
      <c r="AD274" s="66"/>
      <c r="AE274" s="310">
        <v>3</v>
      </c>
      <c r="AF274" s="310" t="s">
        <v>332</v>
      </c>
      <c r="AG274" s="311" t="s">
        <v>332</v>
      </c>
      <c r="AH274" s="311"/>
      <c r="AI274" s="310"/>
      <c r="AJ274" s="310"/>
      <c r="AK274" s="841">
        <v>0</v>
      </c>
      <c r="AL274" s="842" t="s">
        <v>284</v>
      </c>
      <c r="AM274" s="842">
        <v>0</v>
      </c>
      <c r="AN274" s="863">
        <v>0</v>
      </c>
      <c r="AO274" s="863">
        <v>5</v>
      </c>
      <c r="AP274" s="843">
        <v>115</v>
      </c>
      <c r="AQ274" s="843">
        <v>115</v>
      </c>
      <c r="AR274" s="843"/>
      <c r="AS274" s="843"/>
      <c r="AT274" s="843"/>
      <c r="AU274" s="843"/>
      <c r="AV274" s="844"/>
      <c r="AW274" s="208" t="str">
        <f>IFERROR(WWWW[[#This Row],['# of Water passed at source]]/WWWW[[#This Row],['# of Water tested at source]],"no test")</f>
        <v>no test</v>
      </c>
      <c r="AX274" s="211" t="str">
        <f>IFERROR(WWWW[[#This Row],['# of Water passed at HH]]/WWWW[[#This Row],['# of Water tested at HH]],"no test")</f>
        <v>no test</v>
      </c>
      <c r="AY274" s="210" t="str">
        <f>IF(AND(WWWW[[#This Row],[%of Water samples which passed at water source]]="no test",WWWW[[#This Row],[%Water samples which passed at HH]]="no test"),"No Test","Tested")</f>
        <v>No Test</v>
      </c>
      <c r="AZ27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7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74" s="211">
        <f>IF(WWWW[[#This Row],[Location Type 1]]="Village",WWWW[[#This Row],[Access to safe drinking water for Village]],WWWW[[#This Row],[Access to safe drinking water for Camp]])</f>
        <v>0</v>
      </c>
      <c r="BC274" s="209">
        <f>WWWW[[#This Row],[%Equitable and continuous access to sufficient quantity of safe drinking water]]*WWWW[[#This Row],[Total PoP ]]</f>
        <v>0</v>
      </c>
      <c r="BD274" s="211">
        <f>IF((WWWW[[#This Row],['# Existing protected/fenced ponds ]]*250)/WWWW[[#This Row],[Total PoP ]]&gt;1,1,WWWW[[#This Row],['# Existing protected/fenced ponds ]]*250/WWWW[[#This Row],[Total PoP ]])</f>
        <v>0</v>
      </c>
      <c r="BE274" s="209">
        <f>WWWW[[#This Row],[Access to unimproved water points]]*WWWW[[#This Row],[Total PoP ]]</f>
        <v>0</v>
      </c>
      <c r="BF27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7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74" s="209">
        <f>ROUND(WWWW[[#This Row],['#people Equitable and continuous access to sufficient quantity of domestic water borehole n ponds_2]]/500,0)</f>
        <v>0</v>
      </c>
      <c r="BI274" s="208">
        <f>1-WWWW[[#This Row],[%Equitable and continuous access to sufficient quantity of domestic water borehole n ponds]]</f>
        <v>1</v>
      </c>
      <c r="BJ274" s="209">
        <f>WWWW[[#This Row],[%equitable and continuous access to sufficient quantity of safe drinking and domestic water''s GAP]]*WWWW[[#This Row],[Total PoP ]]</f>
        <v>700</v>
      </c>
      <c r="BK274" s="210">
        <f>IF(WWWW[[#This Row],[Total required water points]]-WWWW[[#This Row],['#Water points coverage]]&lt;0,0,WWWW[[#This Row],[Total required water points]]-WWWW[[#This Row],['#Water points coverage]])</f>
        <v>1</v>
      </c>
      <c r="BL274" s="210">
        <f>ROUND(IF(WWWW[[#This Row],[Total PoP ]]&lt;500,1,WWWW[[#This Row],[Total PoP ]]/500),0)</f>
        <v>1</v>
      </c>
      <c r="BM274" s="210">
        <f>WWWW[[#This Row],['# Existing functional latrines]]+WWWW[[#This Row],['# Existing latrines dysfunctional]]</f>
        <v>0</v>
      </c>
      <c r="BN27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74" s="352">
        <f>WWWW[[#This Row],[% people access to functioning Latrine]]*WWWW[[#This Row],[Total PoP ]]</f>
        <v>0</v>
      </c>
      <c r="BP27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74" s="209">
        <f>IF(WWWW[[#This Row],[Total required Latrines]]-WWWW[[#This Row],[Total '# of latrine]]&lt;0,0,WWWW[[#This Row],[Total required Latrines]]-WWWW[[#This Row],[Total '# of latrine]])</f>
        <v>117</v>
      </c>
      <c r="BR274" s="210">
        <f>ROUND(IF(WWWW[[#This Row],[Location Type 1]]="camp",WWWW[[#This Row],[Total PoP ]]/20,WWWW[[#This Row],[Total PoP ]]/6),0)</f>
        <v>117</v>
      </c>
      <c r="BS274" s="212">
        <f>IF(OR(WWWW[[#This Row],['# Existing latrines dysfunctional]]="",WWWW[[#This Row],['# Existing latrines dysfunctional]]=0),0,WWWW[[#This Row],['# Existing latrines dysfunctional]]/WWWW[[#This Row],[Total '# of latrine]])</f>
        <v>0</v>
      </c>
      <c r="BT27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4" s="209">
        <f>IF(500*WWWW[[#This Row],['# Hygiene Promoters ]]&gt;WWWW[[#This Row],[Total PoP ]],WWWW[[#This Row],[Total PoP ]],500*WWWW[[#This Row],['# Hygiene Promoters ]])</f>
        <v>700</v>
      </c>
      <c r="BV274" s="209">
        <f>IF(WWWW[[#This Row],[% of HH with access to Sanitary Pad]]&gt;=100%,1,0)</f>
        <v>1</v>
      </c>
      <c r="BW274" s="209">
        <f>IF(WWWW[[#This Row],[Total PoP ]]=0,0,IF(WWWW[[#This Row],['# Hygiene Promoters ]]=0,0,IF(WWWW[[#This Row],[Location Type 1]]="Village",IF(WWWW[[#This Row],[Total PoP ]]/WWWW[[#This Row],['# Hygiene Promoters ]]&lt;1000,1,0),IF(WWWW[[#This Row],[Total PoP ]]/WWWW[[#This Row],['# Hygiene Promoters ]]&lt;600,1,0))))</f>
        <v>1</v>
      </c>
      <c r="BX274" s="209">
        <f>IF(WWWW[[#This Row],[%HH with access to soap]]&gt;=100%,1,0)</f>
        <v>1</v>
      </c>
      <c r="BY274" s="209">
        <f>IF(WWWW[[#This Row],[% of HHs with access to Sanitary pad more than '#%]]+WWWW[[#This Row],[Ratio of Hyiene promoters to people less than '#]]+WWWW[[#This Row],[% of HHs with access to soap more than '#%]]&gt;=2,WWWW[[#This Row],[Total PoP ]],0)</f>
        <v>700</v>
      </c>
      <c r="BZ274" s="208">
        <f>WWWW[[#This Row],[People adopt basic personal and community hygiene practices]]/WWWW[[#This Row],[Total PoP ]]</f>
        <v>1</v>
      </c>
      <c r="CA274" s="212">
        <f>1-WWWW[[#This Row],[Hygiene Coverage%]]</f>
        <v>0</v>
      </c>
      <c r="CB274" s="211">
        <f>WWWW[[#This Row],['# people reached by regular dedicated hygiene promotion_5]]/WWWW[[#This Row],[Total PoP ]]</f>
        <v>1</v>
      </c>
      <c r="CC274" s="211">
        <f>IF(WWWW[[#This Row],['# HH received soaps]]/WWWW[[#This Row],[Total HH]]&gt;1,1,WWWW[[#This Row],['# HH received soaps]]/WWWW[[#This Row],[Total HH]])</f>
        <v>1</v>
      </c>
      <c r="CD274" s="211">
        <f>IF(WWWW[[#This Row],['# HH received Sanitary Pads]]/WWWW[[#This Row],[Total HH]]&gt;1,1,WWWW[[#This Row],['# HH received Sanitary Pads]]/WWWW[[#This Row],[Total HH]])</f>
        <v>1</v>
      </c>
      <c r="CE274" s="210">
        <f>WWWW[[#This Row],['# HH received soaps]]*5</f>
        <v>575</v>
      </c>
      <c r="CF274" s="210">
        <f>WWWW[[#This Row],['# HH received Sanitary Pads]]*5</f>
        <v>575</v>
      </c>
      <c r="CG274" s="210">
        <f>IF(WWWW[[#This Row],['# People with access to soap]]&gt;WWWW[[#This Row],['# People with access to Sanity Pads]],WWWW[[#This Row],['# People with access to soap]],WWWW[[#This Row],['# People with access to Sanity Pads]])</f>
        <v>575</v>
      </c>
      <c r="CH274" s="209">
        <f>WWWW[[#This Row],[Total HH]]*WWWW[[#This Row],[%HHs with access to functional hand washing stations]]</f>
        <v>0</v>
      </c>
      <c r="CI274" s="699">
        <f>VLOOKUP(WWWW[[#This Row],[Site Name]],SiteDB6[[Site Name]:[CCCM Management]],6,FALSE)</f>
        <v>0</v>
      </c>
      <c r="CJ274" s="699">
        <f>VLOOKUP(WWWW[[#This Row],[Site Name]],SiteDB6[[Site Name]:[CCCM Focal Agency]],7,FALSE)</f>
        <v>0</v>
      </c>
      <c r="CK274" s="699" t="str">
        <f>VLOOKUP(WWWW[[#This Row],[Site Name]],SiteDB6[[Site Name]:[Location Type]],8,FALSE)</f>
        <v>Village</v>
      </c>
      <c r="CL274" s="699" t="str">
        <f>VLOOKUP(WWWW[[#This Row],[Site Name]],SiteDB6[[Site Name]:[Location Type 1]],9,FALSE)</f>
        <v>Village</v>
      </c>
      <c r="CM274" s="699" t="str">
        <f>VLOOKUP(WWWW[[#This Row],[Site Name]],SiteDB6[[Site Name]:[Type of Accommodation]],10,FALSE)</f>
        <v>Village</v>
      </c>
      <c r="CN274" s="699" t="str">
        <f>VLOOKUP(WWWW[[#This Row],[Site Name]],SiteDB6[[Site Name]:[Ethnic or GCA/NGCA]],11,FALSE)</f>
        <v>Rakhine</v>
      </c>
      <c r="CO274" s="699">
        <f>VLOOKUP(WWWW[[#This Row],[Site Name]],SiteDB6[[Site Name]:[Lat]],12,FALSE)</f>
        <v>20.731571197509801</v>
      </c>
      <c r="CP274" s="699">
        <f>VLOOKUP(WWWW[[#This Row],[Site Name]],SiteDB6[[Site Name]:[Long]],13,FALSE)</f>
        <v>92.428176879882798</v>
      </c>
      <c r="CQ274" s="699">
        <f>VLOOKUP(WWWW[[#This Row],[Site Name]],SiteDB6[[Site Name]:[Pcode]],3,FALSE)</f>
        <v>198016</v>
      </c>
      <c r="CR274" s="660" t="str">
        <f t="shared" si="5"/>
        <v>Covered</v>
      </c>
      <c r="CS274" s="660"/>
      <c r="CT274" s="24"/>
      <c r="CU274" s="24"/>
      <c r="CV274" s="24"/>
    </row>
    <row r="275" spans="1:100" ht="15.75" customHeight="1" x14ac:dyDescent="0.25">
      <c r="A275" s="833" t="s">
        <v>3206</v>
      </c>
      <c r="B275" s="206" t="s">
        <v>469</v>
      </c>
      <c r="C275" s="206" t="s">
        <v>454</v>
      </c>
      <c r="D275" s="206" t="s">
        <v>466</v>
      </c>
      <c r="E275" s="206" t="s">
        <v>853</v>
      </c>
      <c r="F275" s="206">
        <v>34</v>
      </c>
      <c r="G275" s="209">
        <v>163</v>
      </c>
      <c r="H275" s="206"/>
      <c r="I275" s="206" t="s">
        <v>2752</v>
      </c>
      <c r="J275" s="207">
        <v>44134</v>
      </c>
      <c r="K275" s="206">
        <v>2</v>
      </c>
      <c r="L275" s="206" t="s">
        <v>286</v>
      </c>
      <c r="M275" s="208" t="s">
        <v>286</v>
      </c>
      <c r="N275" s="208" t="s">
        <v>286</v>
      </c>
      <c r="O275" s="316"/>
      <c r="P275" s="317"/>
      <c r="Q275" s="317"/>
      <c r="R275" s="318"/>
      <c r="S275" s="318"/>
      <c r="T275" s="318"/>
      <c r="U275" s="318"/>
      <c r="V275" s="318"/>
      <c r="W275" s="318"/>
      <c r="X275" s="318"/>
      <c r="Y275" s="318"/>
      <c r="Z275" s="318"/>
      <c r="AA275" s="310"/>
      <c r="AB275" s="310"/>
      <c r="AC275" s="66"/>
      <c r="AD275" s="66"/>
      <c r="AE275" s="310"/>
      <c r="AF275" s="310"/>
      <c r="AG275" s="311"/>
      <c r="AH275" s="311"/>
      <c r="AI275" s="310"/>
      <c r="AJ275" s="310"/>
      <c r="AK275" s="841"/>
      <c r="AL275" s="842"/>
      <c r="AM275" s="842"/>
      <c r="AN275" s="841"/>
      <c r="AO275" s="863"/>
      <c r="AP275" s="843">
        <v>34</v>
      </c>
      <c r="AQ275" s="843">
        <v>34</v>
      </c>
      <c r="AR275" s="843"/>
      <c r="AS275" s="843"/>
      <c r="AT275" s="843"/>
      <c r="AU275" s="843"/>
      <c r="AV275" s="844"/>
      <c r="AW275" s="208" t="str">
        <f>IFERROR(WWWW[[#This Row],['# of Water passed at source]]/WWWW[[#This Row],['# of Water tested at source]],"no test")</f>
        <v>no test</v>
      </c>
      <c r="AX275" s="211" t="str">
        <f>IFERROR(WWWW[[#This Row],['# of Water passed at HH]]/WWWW[[#This Row],['# of Water tested at HH]],"no test")</f>
        <v>no test</v>
      </c>
      <c r="AY275" s="210" t="str">
        <f>IF(AND(WWWW[[#This Row],[%of Water samples which passed at water source]]="no test",WWWW[[#This Row],[%Water samples which passed at HH]]="no test"),"No Test","Tested")</f>
        <v>No Test</v>
      </c>
      <c r="AZ27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7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75" s="211">
        <f>IF(WWWW[[#This Row],[Location Type 1]]="Village",WWWW[[#This Row],[Access to safe drinking water for Village]],WWWW[[#This Row],[Access to safe drinking water for Camp]])</f>
        <v>0</v>
      </c>
      <c r="BC275" s="209">
        <f>WWWW[[#This Row],[%Equitable and continuous access to sufficient quantity of safe drinking water]]*WWWW[[#This Row],[Total PoP ]]</f>
        <v>0</v>
      </c>
      <c r="BD275" s="211">
        <f>IF((WWWW[[#This Row],['# Existing protected/fenced ponds ]]*250)/WWWW[[#This Row],[Total PoP ]]&gt;1,1,WWWW[[#This Row],['# Existing protected/fenced ponds ]]*250/WWWW[[#This Row],[Total PoP ]])</f>
        <v>0</v>
      </c>
      <c r="BE275" s="209">
        <f>WWWW[[#This Row],[Access to unimproved water points]]*WWWW[[#This Row],[Total PoP ]]</f>
        <v>0</v>
      </c>
      <c r="BF27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7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75" s="209">
        <f>WWWW[[#This Row],['#people Equitable and continuous access to sufficient quantity of domestic water borehole n ponds_2]]/500</f>
        <v>0</v>
      </c>
      <c r="BI275" s="208">
        <f>1-WWWW[[#This Row],[%Equitable and continuous access to sufficient quantity of domestic water borehole n ponds]]</f>
        <v>1</v>
      </c>
      <c r="BJ275" s="209">
        <f>WWWW[[#This Row],[%equitable and continuous access to sufficient quantity of safe drinking and domestic water''s GAP]]*WWWW[[#This Row],[Total PoP ]]</f>
        <v>163</v>
      </c>
      <c r="BK275" s="210">
        <f>IF(WWWW[[#This Row],[Total required water points]]-WWWW[[#This Row],['#Water points coverage]]&lt;0,0,WWWW[[#This Row],[Total required water points]]-WWWW[[#This Row],['#Water points coverage]])</f>
        <v>1</v>
      </c>
      <c r="BL275" s="210">
        <f>ROUND(IF(WWWW[[#This Row],[Total PoP ]]&lt;500,1,WWWW[[#This Row],[Total PoP ]]/500),0)</f>
        <v>1</v>
      </c>
      <c r="BM275" s="210">
        <f>WWWW[[#This Row],['# Existing functional latrines]]+WWWW[[#This Row],['# Existing latrines dysfunctional]]</f>
        <v>0</v>
      </c>
      <c r="BN27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75" s="352">
        <f>WWWW[[#This Row],[% people access to functioning Latrine]]*WWWW[[#This Row],[Total PoP ]]</f>
        <v>0</v>
      </c>
      <c r="BP27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0.99386503067484655</v>
      </c>
      <c r="BQ275" s="209">
        <f>IF(WWWW[[#This Row],[Total required Latrines]]-WWWW[[#This Row],[Total '# of latrine]]&lt;0,0,WWWW[[#This Row],[Total required Latrines]]-WWWW[[#This Row],[Total '# of latrine]])</f>
        <v>27</v>
      </c>
      <c r="BR275" s="210">
        <f>ROUND(IF(WWWW[[#This Row],[Location Type 1]]="camp",WWWW[[#This Row],[Total PoP ]]/20,WWWW[[#This Row],[Total PoP ]]/6),0)</f>
        <v>27</v>
      </c>
      <c r="BS275" s="212">
        <f>IF(OR(WWWW[[#This Row],['# Existing latrines dysfunctional]]="",WWWW[[#This Row],['# Existing latrines dysfunctional]]=0),0,WWWW[[#This Row],['# Existing latrines dysfunctional]]/WWWW[[#This Row],[Total '# of latrine]])</f>
        <v>0</v>
      </c>
      <c r="BT27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5" s="209">
        <f>IF(500*WWWW[[#This Row],['# Hygiene Promoters ]]&gt;WWWW[[#This Row],[Total PoP ]],WWWW[[#This Row],[Total PoP ]],500*WWWW[[#This Row],['# Hygiene Promoters ]])</f>
        <v>0</v>
      </c>
      <c r="BV275" s="209">
        <f>IF(WWWW[[#This Row],[% of HH with access to Sanitary Pad]]&gt;=100%,1,0)</f>
        <v>1</v>
      </c>
      <c r="BW275" s="209">
        <f>IF(WWWW[[#This Row],[Total PoP ]]=0,0,IF(WWWW[[#This Row],['# Hygiene Promoters ]]=0,0,IF(WWWW[[#This Row],[Location Type 1]]="Village",IF(WWWW[[#This Row],[Total PoP ]]/WWWW[[#This Row],['# Hygiene Promoters ]]&lt;1000,1,0),IF(WWWW[[#This Row],[Total PoP ]]/WWWW[[#This Row],['# Hygiene Promoters ]]&lt;600,1,0))))</f>
        <v>0</v>
      </c>
      <c r="BX275" s="209">
        <f>IF(WWWW[[#This Row],[%HH with access to soap]]&gt;=100%,1,0)</f>
        <v>1</v>
      </c>
      <c r="BY275" s="209">
        <f>IF(WWWW[[#This Row],[% of HHs with access to Sanitary pad more than '#%]]+WWWW[[#This Row],[Ratio of Hyiene promoters to people less than '#]]+WWWW[[#This Row],[% of HHs with access to soap more than '#%]]&gt;=2,WWWW[[#This Row],[Total PoP ]],0)</f>
        <v>163</v>
      </c>
      <c r="BZ275" s="208">
        <f>WWWW[[#This Row],[People adopt basic personal and community hygiene practices]]/WWWW[[#This Row],[Total PoP ]]</f>
        <v>1</v>
      </c>
      <c r="CA275" s="212">
        <f>1-WWWW[[#This Row],[Hygiene Coverage%]]</f>
        <v>0</v>
      </c>
      <c r="CB275" s="211">
        <f>WWWW[[#This Row],['# people reached by regular dedicated hygiene promotion_5]]/WWWW[[#This Row],[Total PoP ]]</f>
        <v>0</v>
      </c>
      <c r="CC275" s="211">
        <f>IF(WWWW[[#This Row],['# HH received soaps]]/WWWW[[#This Row],[Total HH]]&gt;1,1,WWWW[[#This Row],['# HH received soaps]]/WWWW[[#This Row],[Total HH]])</f>
        <v>1</v>
      </c>
      <c r="CD275" s="211">
        <f>IF(WWWW[[#This Row],['# HH received Sanitary Pads]]/WWWW[[#This Row],[Total HH]]&gt;1,1,WWWW[[#This Row],['# HH received Sanitary Pads]]/WWWW[[#This Row],[Total HH]])</f>
        <v>1</v>
      </c>
      <c r="CE275" s="210">
        <f>WWWW[[#This Row],['# HH received soaps]]*5</f>
        <v>170</v>
      </c>
      <c r="CF275" s="210">
        <f>WWWW[[#This Row],['# HH received Sanitary Pads]]*5</f>
        <v>170</v>
      </c>
      <c r="CG275" s="210">
        <f>IF(WWWW[[#This Row],['# People with access to soap]]&gt;WWWW[[#This Row],['# People with access to Sanity Pads]],WWWW[[#This Row],['# People with access to soap]],WWWW[[#This Row],['# People with access to Sanity Pads]])</f>
        <v>170</v>
      </c>
      <c r="CH275" s="209">
        <f>WWWW[[#This Row],[Total HH]]*WWWW[[#This Row],[%HHs with access to functional hand washing stations]]</f>
        <v>0</v>
      </c>
      <c r="CI275" s="699">
        <f>VLOOKUP(WWWW[[#This Row],[Site Name]],SiteDB6[[Site Name]:[CCCM Management]],6,FALSE)</f>
        <v>0</v>
      </c>
      <c r="CJ275" s="699">
        <f>VLOOKUP(WWWW[[#This Row],[Site Name]],SiteDB6[[Site Name]:[CCCM Focal Agency]],7,FALSE)</f>
        <v>0</v>
      </c>
      <c r="CK275" s="699" t="str">
        <f>VLOOKUP(WWWW[[#This Row],[Site Name]],SiteDB6[[Site Name]:[Location Type]],8,FALSE)</f>
        <v>Village</v>
      </c>
      <c r="CL275" s="699" t="str">
        <f>VLOOKUP(WWWW[[#This Row],[Site Name]],SiteDB6[[Site Name]:[Location Type 1]],9,FALSE)</f>
        <v>Village</v>
      </c>
      <c r="CM275" s="699" t="str">
        <f>VLOOKUP(WWWW[[#This Row],[Site Name]],SiteDB6[[Site Name]:[Type of Accommodation]],10,FALSE)</f>
        <v>Village</v>
      </c>
      <c r="CN275" s="699" t="str">
        <f>VLOOKUP(WWWW[[#This Row],[Site Name]],SiteDB6[[Site Name]:[Ethnic or GCA/NGCA]],11,FALSE)</f>
        <v>Rakhine</v>
      </c>
      <c r="CO275" s="699">
        <f>VLOOKUP(WWWW[[#This Row],[Site Name]],SiteDB6[[Site Name]:[Lat]],12,FALSE)</f>
        <v>21.153581619262699</v>
      </c>
      <c r="CP275" s="699">
        <f>VLOOKUP(WWWW[[#This Row],[Site Name]],SiteDB6[[Site Name]:[Long]],13,FALSE)</f>
        <v>92.250885009765597</v>
      </c>
      <c r="CQ275" s="699" t="str">
        <f>VLOOKUP(WWWW[[#This Row],[Site Name]],SiteDB6[[Site Name]:[Pcode]],3,FALSE)</f>
        <v>220747</v>
      </c>
      <c r="CR275" s="660" t="str">
        <f t="shared" si="5"/>
        <v>Covered</v>
      </c>
      <c r="CS275" s="660"/>
      <c r="CT275" s="24"/>
      <c r="CU275" s="24"/>
      <c r="CV275" s="24"/>
    </row>
    <row r="276" spans="1:100" ht="15.75" customHeight="1" x14ac:dyDescent="0.25">
      <c r="A276" s="833" t="s">
        <v>3206</v>
      </c>
      <c r="B276" s="206" t="s">
        <v>469</v>
      </c>
      <c r="C276" s="206" t="s">
        <v>454</v>
      </c>
      <c r="D276" s="206" t="s">
        <v>466</v>
      </c>
      <c r="E276" s="206" t="s">
        <v>2754</v>
      </c>
      <c r="F276" s="206">
        <v>144</v>
      </c>
      <c r="G276" s="209">
        <v>742</v>
      </c>
      <c r="H276" s="206"/>
      <c r="I276" s="206" t="s">
        <v>2752</v>
      </c>
      <c r="J276" s="207">
        <v>44134</v>
      </c>
      <c r="K276" s="206">
        <v>2</v>
      </c>
      <c r="L276" s="206" t="s">
        <v>286</v>
      </c>
      <c r="M276" s="208" t="s">
        <v>286</v>
      </c>
      <c r="N276" s="208" t="s">
        <v>286</v>
      </c>
      <c r="O276" s="316"/>
      <c r="P276" s="317"/>
      <c r="Q276" s="317"/>
      <c r="R276" s="318"/>
      <c r="S276" s="318"/>
      <c r="T276" s="318"/>
      <c r="U276" s="318"/>
      <c r="V276" s="318"/>
      <c r="W276" s="318"/>
      <c r="X276" s="318"/>
      <c r="Y276" s="318"/>
      <c r="Z276" s="318"/>
      <c r="AA276" s="310"/>
      <c r="AB276" s="310"/>
      <c r="AC276" s="66"/>
      <c r="AD276" s="66"/>
      <c r="AE276" s="310"/>
      <c r="AF276" s="310"/>
      <c r="AG276" s="311"/>
      <c r="AH276" s="311"/>
      <c r="AI276" s="310"/>
      <c r="AJ276" s="310"/>
      <c r="AK276" s="841"/>
      <c r="AL276" s="842"/>
      <c r="AM276" s="842"/>
      <c r="AN276" s="841"/>
      <c r="AO276" s="863"/>
      <c r="AP276" s="843">
        <v>138</v>
      </c>
      <c r="AQ276" s="843">
        <v>138</v>
      </c>
      <c r="AR276" s="843"/>
      <c r="AS276" s="843"/>
      <c r="AT276" s="843"/>
      <c r="AU276" s="843"/>
      <c r="AV276" s="844"/>
      <c r="AW276" s="208" t="str">
        <f>IFERROR(WWWW[[#This Row],['# of Water passed at source]]/WWWW[[#This Row],['# of Water tested at source]],"no test")</f>
        <v>no test</v>
      </c>
      <c r="AX276" s="211" t="str">
        <f>IFERROR(WWWW[[#This Row],['# of Water passed at HH]]/WWWW[[#This Row],['# of Water tested at HH]],"no test")</f>
        <v>no test</v>
      </c>
      <c r="AY276" s="210" t="str">
        <f>IF(AND(WWWW[[#This Row],[%of Water samples which passed at water source]]="no test",WWWW[[#This Row],[%Water samples which passed at HH]]="no test"),"No Test","Tested")</f>
        <v>No Test</v>
      </c>
      <c r="AZ27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7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76" s="211">
        <f>IF(WWWW[[#This Row],[Location Type 1]]="Village",WWWW[[#This Row],[Access to safe drinking water for Village]],WWWW[[#This Row],[Access to safe drinking water for Camp]])</f>
        <v>0</v>
      </c>
      <c r="BC276" s="209">
        <f>WWWW[[#This Row],[%Equitable and continuous access to sufficient quantity of safe drinking water]]*WWWW[[#This Row],[Total PoP ]]</f>
        <v>0</v>
      </c>
      <c r="BD276" s="211">
        <f>IF((WWWW[[#This Row],['# Existing protected/fenced ponds ]]*250)/WWWW[[#This Row],[Total PoP ]]&gt;1,1,WWWW[[#This Row],['# Existing protected/fenced ponds ]]*250/WWWW[[#This Row],[Total PoP ]])</f>
        <v>0</v>
      </c>
      <c r="BE276" s="209">
        <f>WWWW[[#This Row],[Access to unimproved water points]]*WWWW[[#This Row],[Total PoP ]]</f>
        <v>0</v>
      </c>
      <c r="BF27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7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76" s="209">
        <f>WWWW[[#This Row],['#people Equitable and continuous access to sufficient quantity of domestic water borehole n ponds_2]]/500</f>
        <v>0</v>
      </c>
      <c r="BI276" s="208">
        <f>1-WWWW[[#This Row],[%Equitable and continuous access to sufficient quantity of domestic water borehole n ponds]]</f>
        <v>1</v>
      </c>
      <c r="BJ276" s="209">
        <f>WWWW[[#This Row],[%equitable and continuous access to sufficient quantity of safe drinking and domestic water''s GAP]]*WWWW[[#This Row],[Total PoP ]]</f>
        <v>742</v>
      </c>
      <c r="BK276" s="210">
        <f>IF(WWWW[[#This Row],[Total required water points]]-WWWW[[#This Row],['#Water points coverage]]&lt;0,0,WWWW[[#This Row],[Total required water points]]-WWWW[[#This Row],['#Water points coverage]])</f>
        <v>1</v>
      </c>
      <c r="BL276" s="210">
        <f>ROUND(IF(WWWW[[#This Row],[Total PoP ]]&lt;500,1,WWWW[[#This Row],[Total PoP ]]/500),0)</f>
        <v>1</v>
      </c>
      <c r="BM276" s="210">
        <f>WWWW[[#This Row],['# Existing functional latrines]]+WWWW[[#This Row],['# Existing latrines dysfunctional]]</f>
        <v>0</v>
      </c>
      <c r="BN27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76" s="352">
        <f>WWWW[[#This Row],[% people access to functioning Latrine]]*WWWW[[#This Row],[Total PoP ]]</f>
        <v>0</v>
      </c>
      <c r="BP27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76" s="209">
        <f>IF(WWWW[[#This Row],[Total required Latrines]]-WWWW[[#This Row],[Total '# of latrine]]&lt;0,0,WWWW[[#This Row],[Total required Latrines]]-WWWW[[#This Row],[Total '# of latrine]])</f>
        <v>124</v>
      </c>
      <c r="BR276" s="210">
        <f>ROUND(IF(WWWW[[#This Row],[Location Type 1]]="camp",WWWW[[#This Row],[Total PoP ]]/20,WWWW[[#This Row],[Total PoP ]]/6),0)</f>
        <v>124</v>
      </c>
      <c r="BS276" s="212">
        <f>IF(OR(WWWW[[#This Row],['# Existing latrines dysfunctional]]="",WWWW[[#This Row],['# Existing latrines dysfunctional]]=0),0,WWWW[[#This Row],['# Existing latrines dysfunctional]]/WWWW[[#This Row],[Total '# of latrine]])</f>
        <v>0</v>
      </c>
      <c r="BT27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6" s="209">
        <f>IF(500*WWWW[[#This Row],['# Hygiene Promoters ]]&gt;WWWW[[#This Row],[Total PoP ]],WWWW[[#This Row],[Total PoP ]],500*WWWW[[#This Row],['# Hygiene Promoters ]])</f>
        <v>0</v>
      </c>
      <c r="BV276" s="209">
        <f>IF(WWWW[[#This Row],[% of HH with access to Sanitary Pad]]&gt;=100%,1,0)</f>
        <v>0</v>
      </c>
      <c r="BW276" s="209">
        <f>IF(WWWW[[#This Row],[Total PoP ]]=0,0,IF(WWWW[[#This Row],['# Hygiene Promoters ]]=0,0,IF(WWWW[[#This Row],[Location Type 1]]="Village",IF(WWWW[[#This Row],[Total PoP ]]/WWWW[[#This Row],['# Hygiene Promoters ]]&lt;1000,1,0),IF(WWWW[[#This Row],[Total PoP ]]/WWWW[[#This Row],['# Hygiene Promoters ]]&lt;600,1,0))))</f>
        <v>0</v>
      </c>
      <c r="BX276" s="209">
        <f>IF(WWWW[[#This Row],[%HH with access to soap]]&gt;=100%,1,0)</f>
        <v>0</v>
      </c>
      <c r="BY276" s="209">
        <f>IF(WWWW[[#This Row],[% of HHs with access to Sanitary pad more than '#%]]+WWWW[[#This Row],[Ratio of Hyiene promoters to people less than '#]]+WWWW[[#This Row],[% of HHs with access to soap more than '#%]]&gt;=2,WWWW[[#This Row],[Total PoP ]],0)</f>
        <v>0</v>
      </c>
      <c r="BZ276" s="208">
        <f>WWWW[[#This Row],[People adopt basic personal and community hygiene practices]]/WWWW[[#This Row],[Total PoP ]]</f>
        <v>0</v>
      </c>
      <c r="CA276" s="212">
        <f>1-WWWW[[#This Row],[Hygiene Coverage%]]</f>
        <v>1</v>
      </c>
      <c r="CB276" s="211">
        <f>WWWW[[#This Row],['# people reached by regular dedicated hygiene promotion_5]]/WWWW[[#This Row],[Total PoP ]]</f>
        <v>0</v>
      </c>
      <c r="CC276" s="211">
        <f>IF(WWWW[[#This Row],['# HH received soaps]]/WWWW[[#This Row],[Total HH]]&gt;1,1,WWWW[[#This Row],['# HH received soaps]]/WWWW[[#This Row],[Total HH]])</f>
        <v>0.95833333333333337</v>
      </c>
      <c r="CD276" s="211">
        <f>IF(WWWW[[#This Row],['# HH received Sanitary Pads]]/WWWW[[#This Row],[Total HH]]&gt;1,1,WWWW[[#This Row],['# HH received Sanitary Pads]]/WWWW[[#This Row],[Total HH]])</f>
        <v>0.95833333333333337</v>
      </c>
      <c r="CE276" s="210">
        <f>WWWW[[#This Row],['# HH received soaps]]*5</f>
        <v>690</v>
      </c>
      <c r="CF276" s="210">
        <f>WWWW[[#This Row],['# HH received Sanitary Pads]]*5</f>
        <v>690</v>
      </c>
      <c r="CG276" s="210">
        <f>IF(WWWW[[#This Row],['# People with access to soap]]&gt;WWWW[[#This Row],['# People with access to Sanity Pads]],WWWW[[#This Row],['# People with access to soap]],WWWW[[#This Row],['# People with access to Sanity Pads]])</f>
        <v>690</v>
      </c>
      <c r="CH276" s="209">
        <f>WWWW[[#This Row],[Total HH]]*WWWW[[#This Row],[%HHs with access to functional hand washing stations]]</f>
        <v>0</v>
      </c>
      <c r="CI276" s="699">
        <f>VLOOKUP(WWWW[[#This Row],[Site Name]],SiteDB6[[Site Name]:[CCCM Management]],6,FALSE)</f>
        <v>0</v>
      </c>
      <c r="CJ276" s="699">
        <f>VLOOKUP(WWWW[[#This Row],[Site Name]],SiteDB6[[Site Name]:[CCCM Focal Agency]],7,FALSE)</f>
        <v>0</v>
      </c>
      <c r="CK276" s="699" t="str">
        <f>VLOOKUP(WWWW[[#This Row],[Site Name]],SiteDB6[[Site Name]:[Location Type]],8,FALSE)</f>
        <v>Village</v>
      </c>
      <c r="CL276" s="699" t="str">
        <f>VLOOKUP(WWWW[[#This Row],[Site Name]],SiteDB6[[Site Name]:[Location Type 1]],9,FALSE)</f>
        <v>Village</v>
      </c>
      <c r="CM276" s="699" t="str">
        <f>VLOOKUP(WWWW[[#This Row],[Site Name]],SiteDB6[[Site Name]:[Type of Accommodation]],10,FALSE)</f>
        <v>Village</v>
      </c>
      <c r="CN276" s="699" t="str">
        <f>VLOOKUP(WWWW[[#This Row],[Site Name]],SiteDB6[[Site Name]:[Ethnic or GCA/NGCA]],11,FALSE)</f>
        <v>Rakhine</v>
      </c>
      <c r="CO276" s="699">
        <f>VLOOKUP(WWWW[[#This Row],[Site Name]],SiteDB6[[Site Name]:[Lat]],12,FALSE)</f>
        <v>21.177719116210898</v>
      </c>
      <c r="CP276" s="699">
        <f>VLOOKUP(WWWW[[#This Row],[Site Name]],SiteDB6[[Site Name]:[Long]],13,FALSE)</f>
        <v>92.239547729492202</v>
      </c>
      <c r="CQ276" s="699">
        <f>VLOOKUP(WWWW[[#This Row],[Site Name]],SiteDB6[[Site Name]:[Pcode]],3,FALSE)</f>
        <v>198101</v>
      </c>
      <c r="CR276" s="660" t="str">
        <f t="shared" ref="CR276:CR307" si="6">IF(B276="none","Notcovered","Covered")</f>
        <v>Covered</v>
      </c>
      <c r="CS276" s="660"/>
      <c r="CT276" s="24"/>
      <c r="CU276" s="24"/>
      <c r="CV276" s="24"/>
    </row>
    <row r="277" spans="1:100" ht="15.75" customHeight="1" x14ac:dyDescent="0.25">
      <c r="A277" s="833" t="s">
        <v>3206</v>
      </c>
      <c r="B277" s="206" t="s">
        <v>530</v>
      </c>
      <c r="C277" s="206" t="s">
        <v>454</v>
      </c>
      <c r="D277" s="206" t="s">
        <v>466</v>
      </c>
      <c r="E277" s="206" t="s">
        <v>840</v>
      </c>
      <c r="F277" s="206">
        <v>60</v>
      </c>
      <c r="G277" s="209">
        <v>128</v>
      </c>
      <c r="H277" s="206"/>
      <c r="I277" s="206" t="s">
        <v>388</v>
      </c>
      <c r="J277" s="207">
        <v>43145</v>
      </c>
      <c r="K277" s="206">
        <v>0</v>
      </c>
      <c r="L277" s="206"/>
      <c r="M277" s="208"/>
      <c r="N277" s="208"/>
      <c r="O277" s="323">
        <v>1</v>
      </c>
      <c r="P277" s="317">
        <v>2</v>
      </c>
      <c r="Q277" s="317">
        <v>0</v>
      </c>
      <c r="R277" s="318">
        <v>3</v>
      </c>
      <c r="S277" s="318">
        <v>1</v>
      </c>
      <c r="T277" s="318"/>
      <c r="U277" s="318"/>
      <c r="V277" s="318"/>
      <c r="W277" s="318"/>
      <c r="X277" s="318"/>
      <c r="Y277" s="318"/>
      <c r="Z277" s="318"/>
      <c r="AA277" s="310">
        <v>8</v>
      </c>
      <c r="AB277" s="310">
        <v>0</v>
      </c>
      <c r="AC277" s="66"/>
      <c r="AD277" s="66"/>
      <c r="AE277" s="310">
        <v>8</v>
      </c>
      <c r="AF277" s="310" t="s">
        <v>332</v>
      </c>
      <c r="AG277" s="311" t="s">
        <v>332</v>
      </c>
      <c r="AH277" s="311"/>
      <c r="AI277" s="310"/>
      <c r="AJ277" s="310"/>
      <c r="AK277" s="841">
        <v>0</v>
      </c>
      <c r="AL277" s="842" t="s">
        <v>284</v>
      </c>
      <c r="AM277" s="842">
        <v>0</v>
      </c>
      <c r="AN277" s="863">
        <v>0</v>
      </c>
      <c r="AO277" s="863">
        <v>5</v>
      </c>
      <c r="AP277" s="843">
        <v>60</v>
      </c>
      <c r="AQ277" s="843">
        <v>60</v>
      </c>
      <c r="AR277" s="843"/>
      <c r="AS277" s="843"/>
      <c r="AT277" s="843"/>
      <c r="AU277" s="843"/>
      <c r="AV277" s="844"/>
      <c r="AW277" s="208" t="str">
        <f>IFERROR(WWWW[[#This Row],['# of Water passed at source]]/WWWW[[#This Row],['# of Water tested at source]],"no test")</f>
        <v>no test</v>
      </c>
      <c r="AX277" s="211" t="str">
        <f>IFERROR(WWWW[[#This Row],['# of Water passed at HH]]/WWWW[[#This Row],['# of Water tested at HH]],"no test")</f>
        <v>no test</v>
      </c>
      <c r="AY277" s="210" t="str">
        <f>IF(AND(WWWW[[#This Row],[%of Water samples which passed at water source]]="no test",WWWW[[#This Row],[%Water samples which passed at HH]]="no test"),"No Test","Tested")</f>
        <v>No Test</v>
      </c>
      <c r="AZ27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7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77" s="211">
        <f>IF(WWWW[[#This Row],[Location Type 1]]="Village",WWWW[[#This Row],[Access to safe drinking water for Village]],WWWW[[#This Row],[Access to safe drinking water for Camp]])</f>
        <v>1</v>
      </c>
      <c r="BC277" s="209">
        <f>WWWW[[#This Row],[%Equitable and continuous access to sufficient quantity of safe drinking water]]*WWWW[[#This Row],[Total PoP ]]</f>
        <v>128</v>
      </c>
      <c r="BD277" s="211">
        <f>IF((WWWW[[#This Row],['# Existing protected/fenced ponds ]]*250)/WWWW[[#This Row],[Total PoP ]]&gt;1,1,WWWW[[#This Row],['# Existing protected/fenced ponds ]]*250/WWWW[[#This Row],[Total PoP ]])</f>
        <v>1</v>
      </c>
      <c r="BE277" s="209">
        <f>WWWW[[#This Row],[Access to unimproved water points]]*WWWW[[#This Row],[Total PoP ]]</f>
        <v>128</v>
      </c>
      <c r="BF27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7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128</v>
      </c>
      <c r="BH277" s="209">
        <f>ROUND(WWWW[[#This Row],['#people Equitable and continuous access to sufficient quantity of domestic water borehole n ponds_2]]/500,0)</f>
        <v>0</v>
      </c>
      <c r="BI277" s="208">
        <f>1-WWWW[[#This Row],[%Equitable and continuous access to sufficient quantity of domestic water borehole n ponds]]</f>
        <v>0</v>
      </c>
      <c r="BJ277" s="209">
        <f>WWWW[[#This Row],[%equitable and continuous access to sufficient quantity of safe drinking and domestic water''s GAP]]*WWWW[[#This Row],[Total PoP ]]</f>
        <v>0</v>
      </c>
      <c r="BK277" s="210">
        <f>IF(WWWW[[#This Row],[Total required water points]]-WWWW[[#This Row],['#Water points coverage]]&lt;0,0,WWWW[[#This Row],[Total required water points]]-WWWW[[#This Row],['#Water points coverage]])</f>
        <v>1</v>
      </c>
      <c r="BL277" s="210">
        <f>ROUND(IF(WWWW[[#This Row],[Total PoP ]]&lt;500,1,WWWW[[#This Row],[Total PoP ]]/500),0)</f>
        <v>1</v>
      </c>
      <c r="BM277" s="210">
        <f>WWWW[[#This Row],['# Existing functional latrines]]+WWWW[[#This Row],['# Existing latrines dysfunctional]]</f>
        <v>8</v>
      </c>
      <c r="BN27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0.375</v>
      </c>
      <c r="BO277" s="352">
        <f>WWWW[[#This Row],[% people access to functioning Latrine]]*WWWW[[#This Row],[Total PoP ]]</f>
        <v>48</v>
      </c>
      <c r="BP27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0.609375</v>
      </c>
      <c r="BQ277" s="209">
        <f>IF(WWWW[[#This Row],[Total required Latrines]]-WWWW[[#This Row],[Total '# of latrine]]&lt;0,0,WWWW[[#This Row],[Total required Latrines]]-WWWW[[#This Row],[Total '# of latrine]])</f>
        <v>13</v>
      </c>
      <c r="BR277" s="210">
        <f>ROUND(IF(WWWW[[#This Row],[Location Type 1]]="camp",WWWW[[#This Row],[Total PoP ]]/20,WWWW[[#This Row],[Total PoP ]]/6),0)</f>
        <v>21</v>
      </c>
      <c r="BS277" s="212">
        <f>IF(OR(WWWW[[#This Row],['# Existing latrines dysfunctional]]="",WWWW[[#This Row],['# Existing latrines dysfunctional]]=0),0,WWWW[[#This Row],['# Existing latrines dysfunctional]]/WWWW[[#This Row],[Total '# of latrine]])</f>
        <v>0</v>
      </c>
      <c r="BT27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7" s="209">
        <f>IF(500*WWWW[[#This Row],['# Hygiene Promoters ]]&gt;WWWW[[#This Row],[Total PoP ]],WWWW[[#This Row],[Total PoP ]],500*WWWW[[#This Row],['# Hygiene Promoters ]])</f>
        <v>128</v>
      </c>
      <c r="BV277" s="209">
        <f>IF(WWWW[[#This Row],[% of HH with access to Sanitary Pad]]&gt;=100%,1,0)</f>
        <v>1</v>
      </c>
      <c r="BW277" s="209">
        <f>IF(WWWW[[#This Row],[Total PoP ]]=0,0,IF(WWWW[[#This Row],['# Hygiene Promoters ]]=0,0,IF(WWWW[[#This Row],[Location Type 1]]="Village",IF(WWWW[[#This Row],[Total PoP ]]/WWWW[[#This Row],['# Hygiene Promoters ]]&lt;1000,1,0),IF(WWWW[[#This Row],[Total PoP ]]/WWWW[[#This Row],['# Hygiene Promoters ]]&lt;600,1,0))))</f>
        <v>1</v>
      </c>
      <c r="BX277" s="209">
        <f>IF(WWWW[[#This Row],[%HH with access to soap]]&gt;=100%,1,0)</f>
        <v>1</v>
      </c>
      <c r="BY277" s="209">
        <f>IF(WWWW[[#This Row],[% of HHs with access to Sanitary pad more than '#%]]+WWWW[[#This Row],[Ratio of Hyiene promoters to people less than '#]]+WWWW[[#This Row],[% of HHs with access to soap more than '#%]]&gt;=2,WWWW[[#This Row],[Total PoP ]],0)</f>
        <v>128</v>
      </c>
      <c r="BZ277" s="208">
        <f>WWWW[[#This Row],[People adopt basic personal and community hygiene practices]]/WWWW[[#This Row],[Total PoP ]]</f>
        <v>1</v>
      </c>
      <c r="CA277" s="212">
        <f>1-WWWW[[#This Row],[Hygiene Coverage%]]</f>
        <v>0</v>
      </c>
      <c r="CB277" s="211">
        <f>WWWW[[#This Row],['# people reached by regular dedicated hygiene promotion_5]]/WWWW[[#This Row],[Total PoP ]]</f>
        <v>1</v>
      </c>
      <c r="CC277" s="211">
        <f>IF(WWWW[[#This Row],['# HH received soaps]]/WWWW[[#This Row],[Total HH]]&gt;1,1,WWWW[[#This Row],['# HH received soaps]]/WWWW[[#This Row],[Total HH]])</f>
        <v>1</v>
      </c>
      <c r="CD277" s="211">
        <f>IF(WWWW[[#This Row],['# HH received Sanitary Pads]]/WWWW[[#This Row],[Total HH]]&gt;1,1,WWWW[[#This Row],['# HH received Sanitary Pads]]/WWWW[[#This Row],[Total HH]])</f>
        <v>1</v>
      </c>
      <c r="CE277" s="210">
        <f>WWWW[[#This Row],['# HH received soaps]]*5</f>
        <v>300</v>
      </c>
      <c r="CF277" s="210">
        <f>WWWW[[#This Row],['# HH received Sanitary Pads]]*5</f>
        <v>300</v>
      </c>
      <c r="CG277" s="210">
        <f>IF(WWWW[[#This Row],['# People with access to soap]]&gt;WWWW[[#This Row],['# People with access to Sanity Pads]],WWWW[[#This Row],['# People with access to soap]],WWWW[[#This Row],['# People with access to Sanity Pads]])</f>
        <v>300</v>
      </c>
      <c r="CH277" s="209">
        <f>WWWW[[#This Row],[Total HH]]*WWWW[[#This Row],[%HHs with access to functional hand washing stations]]</f>
        <v>0</v>
      </c>
      <c r="CI277" s="699">
        <f>VLOOKUP(WWWW[[#This Row],[Site Name]],SiteDB6[[Site Name]:[CCCM Management]],6,FALSE)</f>
        <v>0</v>
      </c>
      <c r="CJ277" s="699">
        <f>VLOOKUP(WWWW[[#This Row],[Site Name]],SiteDB6[[Site Name]:[CCCM Focal Agency]],7,FALSE)</f>
        <v>0</v>
      </c>
      <c r="CK277" s="699" t="str">
        <f>VLOOKUP(WWWW[[#This Row],[Site Name]],SiteDB6[[Site Name]:[Location Type]],8,FALSE)</f>
        <v>Village</v>
      </c>
      <c r="CL277" s="699" t="str">
        <f>VLOOKUP(WWWW[[#This Row],[Site Name]],SiteDB6[[Site Name]:[Location Type 1]],9,FALSE)</f>
        <v>Village</v>
      </c>
      <c r="CM277" s="699" t="str">
        <f>VLOOKUP(WWWW[[#This Row],[Site Name]],SiteDB6[[Site Name]:[Type of Accommodation]],10,FALSE)</f>
        <v>Village</v>
      </c>
      <c r="CN277" s="699" t="str">
        <f>VLOOKUP(WWWW[[#This Row],[Site Name]],SiteDB6[[Site Name]:[Ethnic or GCA/NGCA]],11,FALSE)</f>
        <v>Rakhine</v>
      </c>
      <c r="CO277" s="699">
        <f>VLOOKUP(WWWW[[#This Row],[Site Name]],SiteDB6[[Site Name]:[Lat]],12,FALSE)</f>
        <v>21.0094203948975</v>
      </c>
      <c r="CP277" s="699">
        <f>VLOOKUP(WWWW[[#This Row],[Site Name]],SiteDB6[[Site Name]:[Long]],13,FALSE)</f>
        <v>92.318077087402301</v>
      </c>
      <c r="CQ277" s="699">
        <f>VLOOKUP(WWWW[[#This Row],[Site Name]],SiteDB6[[Site Name]:[Pcode]],3,FALSE)</f>
        <v>197893</v>
      </c>
      <c r="CR277" s="660" t="str">
        <f t="shared" si="6"/>
        <v>Covered</v>
      </c>
      <c r="CS277" s="660"/>
      <c r="CT277" s="24"/>
      <c r="CU277" s="24"/>
      <c r="CV277" s="24"/>
    </row>
    <row r="278" spans="1:100" ht="15.75" customHeight="1" x14ac:dyDescent="0.25">
      <c r="A278" s="833" t="s">
        <v>3206</v>
      </c>
      <c r="B278" s="206" t="s">
        <v>530</v>
      </c>
      <c r="C278" s="206" t="s">
        <v>454</v>
      </c>
      <c r="D278" s="206" t="s">
        <v>466</v>
      </c>
      <c r="E278" s="206" t="s">
        <v>2515</v>
      </c>
      <c r="F278" s="206">
        <v>43</v>
      </c>
      <c r="G278" s="209">
        <v>220</v>
      </c>
      <c r="H278" s="206"/>
      <c r="I278" s="206" t="s">
        <v>388</v>
      </c>
      <c r="J278" s="207">
        <v>43343</v>
      </c>
      <c r="K278" s="206">
        <v>0</v>
      </c>
      <c r="L278" s="206"/>
      <c r="M278" s="208"/>
      <c r="N278" s="208"/>
      <c r="O278" s="323">
        <v>0</v>
      </c>
      <c r="P278" s="317">
        <v>0</v>
      </c>
      <c r="Q278" s="317">
        <v>0</v>
      </c>
      <c r="R278" s="318">
        <v>0</v>
      </c>
      <c r="S278" s="318">
        <v>1</v>
      </c>
      <c r="T278" s="318"/>
      <c r="U278" s="318"/>
      <c r="V278" s="318"/>
      <c r="W278" s="318"/>
      <c r="X278" s="318"/>
      <c r="Y278" s="318"/>
      <c r="Z278" s="318"/>
      <c r="AA278" s="310"/>
      <c r="AB278" s="310"/>
      <c r="AC278" s="66"/>
      <c r="AD278" s="66"/>
      <c r="AE278" s="310">
        <v>2</v>
      </c>
      <c r="AF278" s="310" t="s">
        <v>332</v>
      </c>
      <c r="AG278" s="311" t="s">
        <v>332</v>
      </c>
      <c r="AH278" s="311"/>
      <c r="AI278" s="310"/>
      <c r="AJ278" s="310"/>
      <c r="AK278" s="841">
        <v>0</v>
      </c>
      <c r="AL278" s="842" t="s">
        <v>284</v>
      </c>
      <c r="AM278" s="842">
        <v>0</v>
      </c>
      <c r="AN278" s="863">
        <v>0</v>
      </c>
      <c r="AO278" s="863">
        <v>5</v>
      </c>
      <c r="AP278" s="843">
        <v>43</v>
      </c>
      <c r="AQ278" s="843">
        <v>43</v>
      </c>
      <c r="AR278" s="843"/>
      <c r="AS278" s="843"/>
      <c r="AT278" s="843"/>
      <c r="AU278" s="843"/>
      <c r="AV278" s="844"/>
      <c r="AW278" s="208" t="str">
        <f>IFERROR(WWWW[[#This Row],['# of Water passed at source]]/WWWW[[#This Row],['# of Water tested at source]],"no test")</f>
        <v>no test</v>
      </c>
      <c r="AX278" s="211" t="str">
        <f>IFERROR(WWWW[[#This Row],['# of Water passed at HH]]/WWWW[[#This Row],['# of Water tested at HH]],"no test")</f>
        <v>no test</v>
      </c>
      <c r="AY278" s="210" t="str">
        <f>IF(AND(WWWW[[#This Row],[%of Water samples which passed at water source]]="no test",WWWW[[#This Row],[%Water samples which passed at HH]]="no test"),"No Test","Tested")</f>
        <v>No Test</v>
      </c>
      <c r="AZ27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7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78" s="211">
        <f>IF(WWWW[[#This Row],[Location Type 1]]="Village",WWWW[[#This Row],[Access to safe drinking water for Village]],WWWW[[#This Row],[Access to safe drinking water for Camp]])</f>
        <v>0</v>
      </c>
      <c r="BC278" s="209">
        <f>WWWW[[#This Row],[%Equitable and continuous access to sufficient quantity of safe drinking water]]*WWWW[[#This Row],[Total PoP ]]</f>
        <v>0</v>
      </c>
      <c r="BD278" s="211">
        <f>IF((WWWW[[#This Row],['# Existing protected/fenced ponds ]]*250)/WWWW[[#This Row],[Total PoP ]]&gt;1,1,WWWW[[#This Row],['# Existing protected/fenced ponds ]]*250/WWWW[[#This Row],[Total PoP ]])</f>
        <v>0</v>
      </c>
      <c r="BE278" s="209">
        <f>WWWW[[#This Row],[Access to unimproved water points]]*WWWW[[#This Row],[Total PoP ]]</f>
        <v>0</v>
      </c>
      <c r="BF27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7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78" s="209">
        <f>ROUND(WWWW[[#This Row],['#people Equitable and continuous access to sufficient quantity of domestic water borehole n ponds_2]]/500,0)</f>
        <v>0</v>
      </c>
      <c r="BI278" s="208">
        <f>1-WWWW[[#This Row],[%Equitable and continuous access to sufficient quantity of domestic water borehole n ponds]]</f>
        <v>1</v>
      </c>
      <c r="BJ278" s="209">
        <f>WWWW[[#This Row],[%equitable and continuous access to sufficient quantity of safe drinking and domestic water''s GAP]]*WWWW[[#This Row],[Total PoP ]]</f>
        <v>220</v>
      </c>
      <c r="BK278" s="210">
        <f>IF(WWWW[[#This Row],[Total required water points]]-WWWW[[#This Row],['#Water points coverage]]&lt;0,0,WWWW[[#This Row],[Total required water points]]-WWWW[[#This Row],['#Water points coverage]])</f>
        <v>1</v>
      </c>
      <c r="BL278" s="210">
        <f>ROUND(IF(WWWW[[#This Row],[Total PoP ]]&lt;500,1,WWWW[[#This Row],[Total PoP ]]/500),0)</f>
        <v>1</v>
      </c>
      <c r="BM278" s="210">
        <f>WWWW[[#This Row],['# Existing functional latrines]]+WWWW[[#This Row],['# Existing latrines dysfunctional]]</f>
        <v>0</v>
      </c>
      <c r="BN27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78" s="352">
        <f>WWWW[[#This Row],[% people access to functioning Latrine]]*WWWW[[#This Row],[Total PoP ]]</f>
        <v>0</v>
      </c>
      <c r="BP27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78" s="209">
        <f>IF(WWWW[[#This Row],[Total required Latrines]]-WWWW[[#This Row],[Total '# of latrine]]&lt;0,0,WWWW[[#This Row],[Total required Latrines]]-WWWW[[#This Row],[Total '# of latrine]])</f>
        <v>37</v>
      </c>
      <c r="BR278" s="210">
        <f>ROUND(IF(WWWW[[#This Row],[Location Type 1]]="camp",WWWW[[#This Row],[Total PoP ]]/20,WWWW[[#This Row],[Total PoP ]]/6),0)</f>
        <v>37</v>
      </c>
      <c r="BS278" s="212">
        <f>IF(OR(WWWW[[#This Row],['# Existing latrines dysfunctional]]="",WWWW[[#This Row],['# Existing latrines dysfunctional]]=0),0,WWWW[[#This Row],['# Existing latrines dysfunctional]]/WWWW[[#This Row],[Total '# of latrine]])</f>
        <v>0</v>
      </c>
      <c r="BT27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8" s="209">
        <f>IF(500*WWWW[[#This Row],['# Hygiene Promoters ]]&gt;WWWW[[#This Row],[Total PoP ]],WWWW[[#This Row],[Total PoP ]],500*WWWW[[#This Row],['# Hygiene Promoters ]])</f>
        <v>220</v>
      </c>
      <c r="BV278" s="209">
        <f>IF(WWWW[[#This Row],[% of HH with access to Sanitary Pad]]&gt;=100%,1,0)</f>
        <v>1</v>
      </c>
      <c r="BW278" s="209">
        <f>IF(WWWW[[#This Row],[Total PoP ]]=0,0,IF(WWWW[[#This Row],['# Hygiene Promoters ]]=0,0,IF(WWWW[[#This Row],[Location Type 1]]="Village",IF(WWWW[[#This Row],[Total PoP ]]/WWWW[[#This Row],['# Hygiene Promoters ]]&lt;1000,1,0),IF(WWWW[[#This Row],[Total PoP ]]/WWWW[[#This Row],['# Hygiene Promoters ]]&lt;600,1,0))))</f>
        <v>1</v>
      </c>
      <c r="BX278" s="209">
        <f>IF(WWWW[[#This Row],[%HH with access to soap]]&gt;=100%,1,0)</f>
        <v>1</v>
      </c>
      <c r="BY278" s="209">
        <f>IF(WWWW[[#This Row],[% of HHs with access to Sanitary pad more than '#%]]+WWWW[[#This Row],[Ratio of Hyiene promoters to people less than '#]]+WWWW[[#This Row],[% of HHs with access to soap more than '#%]]&gt;=2,WWWW[[#This Row],[Total PoP ]],0)</f>
        <v>220</v>
      </c>
      <c r="BZ278" s="208">
        <f>WWWW[[#This Row],[People adopt basic personal and community hygiene practices]]/WWWW[[#This Row],[Total PoP ]]</f>
        <v>1</v>
      </c>
      <c r="CA278" s="212">
        <f>1-WWWW[[#This Row],[Hygiene Coverage%]]</f>
        <v>0</v>
      </c>
      <c r="CB278" s="211">
        <f>WWWW[[#This Row],['# people reached by regular dedicated hygiene promotion_5]]/WWWW[[#This Row],[Total PoP ]]</f>
        <v>1</v>
      </c>
      <c r="CC278" s="211">
        <f>IF(WWWW[[#This Row],['# HH received soaps]]/WWWW[[#This Row],[Total HH]]&gt;1,1,WWWW[[#This Row],['# HH received soaps]]/WWWW[[#This Row],[Total HH]])</f>
        <v>1</v>
      </c>
      <c r="CD278" s="211">
        <f>IF(WWWW[[#This Row],['# HH received Sanitary Pads]]/WWWW[[#This Row],[Total HH]]&gt;1,1,WWWW[[#This Row],['# HH received Sanitary Pads]]/WWWW[[#This Row],[Total HH]])</f>
        <v>1</v>
      </c>
      <c r="CE278" s="210">
        <f>WWWW[[#This Row],['# HH received soaps]]*5</f>
        <v>215</v>
      </c>
      <c r="CF278" s="210">
        <f>WWWW[[#This Row],['# HH received Sanitary Pads]]*5</f>
        <v>215</v>
      </c>
      <c r="CG278" s="210">
        <f>IF(WWWW[[#This Row],['# People with access to soap]]&gt;WWWW[[#This Row],['# People with access to Sanity Pads]],WWWW[[#This Row],['# People with access to soap]],WWWW[[#This Row],['# People with access to Sanity Pads]])</f>
        <v>215</v>
      </c>
      <c r="CH278" s="209">
        <f>WWWW[[#This Row],[Total HH]]*WWWW[[#This Row],[%HHs with access to functional hand washing stations]]</f>
        <v>0</v>
      </c>
      <c r="CI278" s="699">
        <f>VLOOKUP(WWWW[[#This Row],[Site Name]],SiteDB6[[Site Name]:[CCCM Management]],6,FALSE)</f>
        <v>0</v>
      </c>
      <c r="CJ278" s="699">
        <f>VLOOKUP(WWWW[[#This Row],[Site Name]],SiteDB6[[Site Name]:[CCCM Focal Agency]],7,FALSE)</f>
        <v>0</v>
      </c>
      <c r="CK278" s="699" t="str">
        <f>VLOOKUP(WWWW[[#This Row],[Site Name]],SiteDB6[[Site Name]:[Location Type]],8,FALSE)</f>
        <v>Village</v>
      </c>
      <c r="CL278" s="699" t="str">
        <f>VLOOKUP(WWWW[[#This Row],[Site Name]],SiteDB6[[Site Name]:[Location Type 1]],9,FALSE)</f>
        <v>Village</v>
      </c>
      <c r="CM278" s="699" t="str">
        <f>VLOOKUP(WWWW[[#This Row],[Site Name]],SiteDB6[[Site Name]:[Type of Accommodation]],10,FALSE)</f>
        <v>Village</v>
      </c>
      <c r="CN278" s="699" t="str">
        <f>VLOOKUP(WWWW[[#This Row],[Site Name]],SiteDB6[[Site Name]:[Ethnic or GCA/NGCA]],11,FALSE)</f>
        <v>rakhine</v>
      </c>
      <c r="CO278" s="699">
        <f>VLOOKUP(WWWW[[#This Row],[Site Name]],SiteDB6[[Site Name]:[Lat]],12,FALSE)</f>
        <v>20.946010589599599</v>
      </c>
      <c r="CP278" s="699">
        <f>VLOOKUP(WWWW[[#This Row],[Site Name]],SiteDB6[[Site Name]:[Long]],13,FALSE)</f>
        <v>92.301872253417997</v>
      </c>
      <c r="CQ278" s="699">
        <f>VLOOKUP(WWWW[[#This Row],[Site Name]],SiteDB6[[Site Name]:[Pcode]],3,FALSE)</f>
        <v>197899</v>
      </c>
      <c r="CR278" s="660" t="str">
        <f t="shared" si="6"/>
        <v>Covered</v>
      </c>
      <c r="CS278" s="660"/>
      <c r="CT278" s="24"/>
      <c r="CU278" s="24"/>
      <c r="CV278" s="24"/>
    </row>
    <row r="279" spans="1:100" ht="15.75" customHeight="1" x14ac:dyDescent="0.25">
      <c r="A279" s="833" t="s">
        <v>3206</v>
      </c>
      <c r="B279" s="206" t="s">
        <v>460</v>
      </c>
      <c r="C279" s="206" t="s">
        <v>454</v>
      </c>
      <c r="D279" s="206" t="s">
        <v>466</v>
      </c>
      <c r="E279" s="206" t="s">
        <v>837</v>
      </c>
      <c r="F279" s="206">
        <v>173</v>
      </c>
      <c r="G279" s="209">
        <v>1205</v>
      </c>
      <c r="H279" s="206"/>
      <c r="I279" s="206"/>
      <c r="J279" s="207"/>
      <c r="K279" s="206">
        <v>0</v>
      </c>
      <c r="L279" s="206" t="s">
        <v>48</v>
      </c>
      <c r="M279" s="208">
        <v>0</v>
      </c>
      <c r="N279" s="208">
        <v>0</v>
      </c>
      <c r="O279" s="323">
        <v>1</v>
      </c>
      <c r="P279" s="317">
        <v>10</v>
      </c>
      <c r="Q279" s="317">
        <v>0</v>
      </c>
      <c r="R279" s="318">
        <v>5</v>
      </c>
      <c r="S279" s="318">
        <v>0</v>
      </c>
      <c r="T279" s="318"/>
      <c r="U279" s="318"/>
      <c r="V279" s="318"/>
      <c r="W279" s="318"/>
      <c r="X279" s="318"/>
      <c r="Y279" s="318"/>
      <c r="Z279" s="318"/>
      <c r="AA279" s="310">
        <v>0</v>
      </c>
      <c r="AB279" s="310">
        <v>0</v>
      </c>
      <c r="AC279" s="310"/>
      <c r="AD279" s="66"/>
      <c r="AE279" s="310">
        <v>0</v>
      </c>
      <c r="AF279" s="310" t="s">
        <v>332</v>
      </c>
      <c r="AG279" s="311" t="s">
        <v>332</v>
      </c>
      <c r="AH279" s="66"/>
      <c r="AI279" s="66"/>
      <c r="AJ279" s="310"/>
      <c r="AK279" s="841">
        <v>0</v>
      </c>
      <c r="AL279" s="842" t="s">
        <v>284</v>
      </c>
      <c r="AM279" s="842">
        <v>0</v>
      </c>
      <c r="AN279" s="863">
        <v>0</v>
      </c>
      <c r="AO279" s="863">
        <v>7</v>
      </c>
      <c r="AP279" s="843"/>
      <c r="AQ279" s="843"/>
      <c r="AR279" s="843"/>
      <c r="AS279" s="843"/>
      <c r="AT279" s="843"/>
      <c r="AU279" s="843"/>
      <c r="AV279" s="844"/>
      <c r="AW279" s="208" t="str">
        <f>IFERROR(WWWW[[#This Row],['# of Water passed at source]]/WWWW[[#This Row],['# of Water tested at source]],"no test")</f>
        <v>no test</v>
      </c>
      <c r="AX279" s="211" t="str">
        <f>IFERROR(WWWW[[#This Row],['# of Water passed at HH]]/WWWW[[#This Row],['# of Water tested at HH]],"no test")</f>
        <v>no test</v>
      </c>
      <c r="AY279" s="210" t="str">
        <f>IF(AND(WWWW[[#This Row],[%of Water samples which passed at water source]]="no test",WWWW[[#This Row],[%Water samples which passed at HH]]="no test"),"No Test","Tested")</f>
        <v>No Test</v>
      </c>
      <c r="AZ27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7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79" s="211">
        <f>IF(WWWW[[#This Row],[Location Type 1]]="Village",WWWW[[#This Row],[Access to safe drinking water for Village]],WWWW[[#This Row],[Access to safe drinking water for Camp]])</f>
        <v>1</v>
      </c>
      <c r="BC279" s="209">
        <f>WWWW[[#This Row],[%Equitable and continuous access to sufficient quantity of safe drinking water]]*WWWW[[#This Row],[Total PoP ]]</f>
        <v>1205</v>
      </c>
      <c r="BD279" s="211">
        <f>IF((WWWW[[#This Row],['# Existing protected/fenced ponds ]]*250)/WWWW[[#This Row],[Total PoP ]]&gt;1,1,WWWW[[#This Row],['# Existing protected/fenced ponds ]]*250/WWWW[[#This Row],[Total PoP ]])</f>
        <v>1</v>
      </c>
      <c r="BE279" s="209">
        <f>WWWW[[#This Row],[Access to unimproved water points]]*WWWW[[#This Row],[Total PoP ]]</f>
        <v>1205</v>
      </c>
      <c r="BF27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7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1205</v>
      </c>
      <c r="BH279" s="209">
        <f>ROUND(WWWW[[#This Row],['#people Equitable and continuous access to sufficient quantity of domestic water borehole n ponds_2]]/500,0)</f>
        <v>2</v>
      </c>
      <c r="BI279" s="208">
        <f>1-WWWW[[#This Row],[%Equitable and continuous access to sufficient quantity of domestic water borehole n ponds]]</f>
        <v>0</v>
      </c>
      <c r="BJ279" s="209">
        <f>WWWW[[#This Row],[%equitable and continuous access to sufficient quantity of safe drinking and domestic water''s GAP]]*WWWW[[#This Row],[Total PoP ]]</f>
        <v>0</v>
      </c>
      <c r="BK279" s="210">
        <f>IF(WWWW[[#This Row],[Total required water points]]-WWWW[[#This Row],['#Water points coverage]]&lt;0,0,WWWW[[#This Row],[Total required water points]]-WWWW[[#This Row],['#Water points coverage]])</f>
        <v>0</v>
      </c>
      <c r="BL279" s="210">
        <f>ROUND(IF(WWWW[[#This Row],[Total PoP ]]&lt;500,1,WWWW[[#This Row],[Total PoP ]]/500),0)</f>
        <v>2</v>
      </c>
      <c r="BM279" s="210">
        <f>WWWW[[#This Row],['# Existing functional latrines]]+WWWW[[#This Row],['# Existing latrines dysfunctional]]</f>
        <v>0</v>
      </c>
      <c r="BN27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79" s="352">
        <f>WWWW[[#This Row],[% people access to functioning Latrine]]*WWWW[[#This Row],[Total PoP ]]</f>
        <v>0</v>
      </c>
      <c r="BP27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79" s="209">
        <f>IF(WWWW[[#This Row],[Total required Latrines]]-WWWW[[#This Row],[Total '# of latrine]]&lt;0,0,WWWW[[#This Row],[Total required Latrines]]-WWWW[[#This Row],[Total '# of latrine]])</f>
        <v>201</v>
      </c>
      <c r="BR279" s="210">
        <f>ROUND(IF(WWWW[[#This Row],[Location Type 1]]="camp",WWWW[[#This Row],[Total PoP ]]/20,WWWW[[#This Row],[Total PoP ]]/6),0)</f>
        <v>201</v>
      </c>
      <c r="BS279" s="212">
        <f>IF(OR(WWWW[[#This Row],['# Existing latrines dysfunctional]]="",WWWW[[#This Row],['# Existing latrines dysfunctional]]=0),0,WWWW[[#This Row],['# Existing latrines dysfunctional]]/WWWW[[#This Row],[Total '# of latrine]])</f>
        <v>0</v>
      </c>
      <c r="BT27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79" s="209">
        <f>IF(500*WWWW[[#This Row],['# Hygiene Promoters ]]&gt;WWWW[[#This Row],[Total PoP ]],WWWW[[#This Row],[Total PoP ]],500*WWWW[[#This Row],['# Hygiene Promoters ]])</f>
        <v>1205</v>
      </c>
      <c r="BV279" s="209">
        <f>IF(WWWW[[#This Row],[% of HH with access to Sanitary Pad]]&gt;=100%,1,0)</f>
        <v>0</v>
      </c>
      <c r="BW279" s="209">
        <f>IF(WWWW[[#This Row],[Total PoP ]]=0,0,IF(WWWW[[#This Row],['# Hygiene Promoters ]]=0,0,IF(WWWW[[#This Row],[Location Type 1]]="Village",IF(WWWW[[#This Row],[Total PoP ]]/WWWW[[#This Row],['# Hygiene Promoters ]]&lt;1000,1,0),IF(WWWW[[#This Row],[Total PoP ]]/WWWW[[#This Row],['# Hygiene Promoters ]]&lt;600,1,0))))</f>
        <v>1</v>
      </c>
      <c r="BX279" s="209">
        <f>IF(WWWW[[#This Row],[%HH with access to soap]]&gt;=100%,1,0)</f>
        <v>0</v>
      </c>
      <c r="BY279" s="209">
        <f>IF(WWWW[[#This Row],[% of HHs with access to Sanitary pad more than '#%]]+WWWW[[#This Row],[Ratio of Hyiene promoters to people less than '#]]+WWWW[[#This Row],[% of HHs with access to soap more than '#%]]&gt;=2,WWWW[[#This Row],[Total PoP ]],0)</f>
        <v>0</v>
      </c>
      <c r="BZ279" s="208">
        <f>WWWW[[#This Row],[People adopt basic personal and community hygiene practices]]/WWWW[[#This Row],[Total PoP ]]</f>
        <v>0</v>
      </c>
      <c r="CA279" s="212">
        <f>1-WWWW[[#This Row],[Hygiene Coverage%]]</f>
        <v>1</v>
      </c>
      <c r="CB279" s="211">
        <f>WWWW[[#This Row],['# people reached by regular dedicated hygiene promotion_5]]/WWWW[[#This Row],[Total PoP ]]</f>
        <v>1</v>
      </c>
      <c r="CC279" s="211">
        <f>IF(WWWW[[#This Row],['# HH received soaps]]/WWWW[[#This Row],[Total HH]]&gt;1,1,WWWW[[#This Row],['# HH received soaps]]/WWWW[[#This Row],[Total HH]])</f>
        <v>0</v>
      </c>
      <c r="CD279" s="211">
        <f>IF(WWWW[[#This Row],['# HH received Sanitary Pads]]/WWWW[[#This Row],[Total HH]]&gt;1,1,WWWW[[#This Row],['# HH received Sanitary Pads]]/WWWW[[#This Row],[Total HH]])</f>
        <v>0</v>
      </c>
      <c r="CE279" s="210">
        <f>WWWW[[#This Row],['# HH received soaps]]*5</f>
        <v>0</v>
      </c>
      <c r="CF279" s="210">
        <f>WWWW[[#This Row],['# HH received Sanitary Pads]]*5</f>
        <v>0</v>
      </c>
      <c r="CG279" s="210">
        <f>IF(WWWW[[#This Row],['# People with access to soap]]&gt;WWWW[[#This Row],['# People with access to Sanity Pads]],WWWW[[#This Row],['# People with access to soap]],WWWW[[#This Row],['# People with access to Sanity Pads]])</f>
        <v>0</v>
      </c>
      <c r="CH279" s="209">
        <f>WWWW[[#This Row],[Total HH]]*WWWW[[#This Row],[%HHs with access to functional hand washing stations]]</f>
        <v>0</v>
      </c>
      <c r="CI279" s="699">
        <f>VLOOKUP(WWWW[[#This Row],[Site Name]],SiteDB6[[Site Name]:[CCCM Management]],6,FALSE)</f>
        <v>0</v>
      </c>
      <c r="CJ279" s="699">
        <f>VLOOKUP(WWWW[[#This Row],[Site Name]],SiteDB6[[Site Name]:[CCCM Focal Agency]],7,FALSE)</f>
        <v>0</v>
      </c>
      <c r="CK279" s="699" t="str">
        <f>VLOOKUP(WWWW[[#This Row],[Site Name]],SiteDB6[[Site Name]:[Location Type]],8,FALSE)</f>
        <v>Village</v>
      </c>
      <c r="CL279" s="699" t="str">
        <f>VLOOKUP(WWWW[[#This Row],[Site Name]],SiteDB6[[Site Name]:[Location Type 1]],9,FALSE)</f>
        <v>Village</v>
      </c>
      <c r="CM279" s="699" t="str">
        <f>VLOOKUP(WWWW[[#This Row],[Site Name]],SiteDB6[[Site Name]:[Type of Accommodation]],10,FALSE)</f>
        <v>Village</v>
      </c>
      <c r="CN279" s="699" t="str">
        <f>VLOOKUP(WWWW[[#This Row],[Site Name]],SiteDB6[[Site Name]:[Ethnic or GCA/NGCA]],11,FALSE)</f>
        <v>Muslim</v>
      </c>
      <c r="CO279" s="699">
        <f>VLOOKUP(WWWW[[#This Row],[Site Name]],SiteDB6[[Site Name]:[Lat]],12,FALSE)</f>
        <v>21.000970840454102</v>
      </c>
      <c r="CP279" s="699">
        <f>VLOOKUP(WWWW[[#This Row],[Site Name]],SiteDB6[[Site Name]:[Long]],13,FALSE)</f>
        <v>92.334213256835895</v>
      </c>
      <c r="CQ279" s="699">
        <f>VLOOKUP(WWWW[[#This Row],[Site Name]],SiteDB6[[Site Name]:[Pcode]],3,FALSE)</f>
        <v>197903</v>
      </c>
      <c r="CR279" s="660" t="str">
        <f t="shared" si="6"/>
        <v>Notcovered</v>
      </c>
      <c r="CS279" s="699" t="s">
        <v>2797</v>
      </c>
      <c r="CT279" s="24"/>
      <c r="CU279" s="24"/>
      <c r="CV279" s="24"/>
    </row>
    <row r="280" spans="1:100" ht="15.75" customHeight="1" x14ac:dyDescent="0.25">
      <c r="A280" s="833" t="s">
        <v>3206</v>
      </c>
      <c r="B280" s="206" t="s">
        <v>460</v>
      </c>
      <c r="C280" s="206" t="s">
        <v>454</v>
      </c>
      <c r="D280" s="206" t="s">
        <v>473</v>
      </c>
      <c r="E280" s="206" t="s">
        <v>628</v>
      </c>
      <c r="F280" s="206">
        <v>124</v>
      </c>
      <c r="G280" s="209">
        <v>479</v>
      </c>
      <c r="H280" s="206"/>
      <c r="I280" s="206"/>
      <c r="J280" s="207"/>
      <c r="K280" s="206"/>
      <c r="L280" s="206" t="s">
        <v>282</v>
      </c>
      <c r="M280" s="208">
        <v>0</v>
      </c>
      <c r="N280" s="208">
        <v>0</v>
      </c>
      <c r="O280" s="316">
        <v>0</v>
      </c>
      <c r="P280" s="317">
        <v>0</v>
      </c>
      <c r="Q280" s="317"/>
      <c r="R280" s="318"/>
      <c r="S280" s="318">
        <v>0</v>
      </c>
      <c r="T280" s="318"/>
      <c r="U280" s="318"/>
      <c r="V280" s="318"/>
      <c r="W280" s="318"/>
      <c r="X280" s="318"/>
      <c r="Y280" s="318"/>
      <c r="Z280" s="318"/>
      <c r="AA280" s="310">
        <v>8</v>
      </c>
      <c r="AB280" s="310"/>
      <c r="AC280" s="66"/>
      <c r="AD280" s="66"/>
      <c r="AE280" s="310">
        <v>8</v>
      </c>
      <c r="AF280" s="310" t="s">
        <v>286</v>
      </c>
      <c r="AG280" s="311" t="s">
        <v>286</v>
      </c>
      <c r="AH280" s="311"/>
      <c r="AI280" s="310"/>
      <c r="AJ280" s="310"/>
      <c r="AK280" s="841">
        <v>0</v>
      </c>
      <c r="AL280" s="842"/>
      <c r="AM280" s="842">
        <v>0</v>
      </c>
      <c r="AN280" s="863"/>
      <c r="AO280" s="863"/>
      <c r="AP280" s="843"/>
      <c r="AQ280" s="843"/>
      <c r="AR280" s="843"/>
      <c r="AS280" s="843"/>
      <c r="AT280" s="843"/>
      <c r="AU280" s="843"/>
      <c r="AV280" s="844"/>
      <c r="AW280" s="208" t="str">
        <f>IFERROR(WWWW[[#This Row],['# of Water passed at source]]/WWWW[[#This Row],['# of Water tested at source]],"no test")</f>
        <v>no test</v>
      </c>
      <c r="AX280" s="211" t="str">
        <f>IFERROR(WWWW[[#This Row],['# of Water passed at HH]]/WWWW[[#This Row],['# of Water tested at HH]],"no test")</f>
        <v>no test</v>
      </c>
      <c r="AY280" s="210" t="str">
        <f>IF(AND(WWWW[[#This Row],[%of Water samples which passed at water source]]="no test",WWWW[[#This Row],[%Water samples which passed at HH]]="no test"),"No Test","Tested")</f>
        <v>No Test</v>
      </c>
      <c r="AZ28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8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80" s="211">
        <f>IF(WWWW[[#This Row],[Location Type 1]]="Village",WWWW[[#This Row],[Access to safe drinking water for Village]],WWWW[[#This Row],[Access to safe drinking water for Camp]])</f>
        <v>0</v>
      </c>
      <c r="BC280" s="209">
        <f>WWWW[[#This Row],[%Equitable and continuous access to sufficient quantity of safe drinking water]]*WWWW[[#This Row],[Total PoP ]]</f>
        <v>0</v>
      </c>
      <c r="BD280" s="211">
        <f>IF((WWWW[[#This Row],['# Existing protected/fenced ponds ]]*250)/WWWW[[#This Row],[Total PoP ]]&gt;1,1,WWWW[[#This Row],['# Existing protected/fenced ponds ]]*250/WWWW[[#This Row],[Total PoP ]])</f>
        <v>0</v>
      </c>
      <c r="BE280" s="209">
        <f>WWWW[[#This Row],[Access to unimproved water points]]*WWWW[[#This Row],[Total PoP ]]</f>
        <v>0</v>
      </c>
      <c r="BF28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8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80" s="209">
        <f>ROUND(WWWW[[#This Row],['#people Equitable and continuous access to sufficient quantity of domestic water borehole n ponds_2]]/500,0)</f>
        <v>0</v>
      </c>
      <c r="BI280" s="208">
        <f>1-WWWW[[#This Row],[%Equitable and continuous access to sufficient quantity of domestic water borehole n ponds]]</f>
        <v>1</v>
      </c>
      <c r="BJ280" s="209">
        <f>WWWW[[#This Row],[%equitable and continuous access to sufficient quantity of safe drinking and domestic water''s GAP]]*WWWW[[#This Row],[Total PoP ]]</f>
        <v>479</v>
      </c>
      <c r="BK280" s="210">
        <f>IF(WWWW[[#This Row],[Total required water points]]-WWWW[[#This Row],['#Water points coverage]]&lt;0,0,WWWW[[#This Row],[Total required water points]]-WWWW[[#This Row],['#Water points coverage]])</f>
        <v>1</v>
      </c>
      <c r="BL280" s="210">
        <f>ROUND(IF(WWWW[[#This Row],[Total PoP ]]&lt;500,1,WWWW[[#This Row],[Total PoP ]]/500),0)</f>
        <v>1</v>
      </c>
      <c r="BM280" s="210">
        <f>WWWW[[#This Row],['# Existing functional latrines]]+WWWW[[#This Row],['# Existing latrines dysfunctional]]</f>
        <v>8</v>
      </c>
      <c r="BN28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0.10020876826722339</v>
      </c>
      <c r="BO280" s="352">
        <f>WWWW[[#This Row],[% people access to functioning Latrine]]*WWWW[[#This Row],[Total PoP ]]</f>
        <v>48</v>
      </c>
      <c r="BP28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0.90187891440501045</v>
      </c>
      <c r="BQ280" s="209">
        <f>IF(WWWW[[#This Row],[Total required Latrines]]-WWWW[[#This Row],[Total '# of latrine]]&lt;0,0,WWWW[[#This Row],[Total required Latrines]]-WWWW[[#This Row],[Total '# of latrine]])</f>
        <v>72</v>
      </c>
      <c r="BR280" s="210">
        <f>ROUND(IF(WWWW[[#This Row],[Location Type 1]]="camp",WWWW[[#This Row],[Total PoP ]]/20,WWWW[[#This Row],[Total PoP ]]/6),0)</f>
        <v>80</v>
      </c>
      <c r="BS280" s="212">
        <f>IF(OR(WWWW[[#This Row],['# Existing latrines dysfunctional]]="",WWWW[[#This Row],['# Existing latrines dysfunctional]]=0),0,WWWW[[#This Row],['# Existing latrines dysfunctional]]/WWWW[[#This Row],[Total '# of latrine]])</f>
        <v>0</v>
      </c>
      <c r="BT28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0" s="209">
        <f>IF(500*WWWW[[#This Row],['# Hygiene Promoters ]]&gt;WWWW[[#This Row],[Total PoP ]],WWWW[[#This Row],[Total PoP ]],500*WWWW[[#This Row],['# Hygiene Promoters ]])</f>
        <v>0</v>
      </c>
      <c r="BV280" s="209">
        <f>IF(WWWW[[#This Row],[% of HH with access to Sanitary Pad]]&gt;=100%,1,0)</f>
        <v>0</v>
      </c>
      <c r="BW280" s="209">
        <f>IF(WWWW[[#This Row],[Total PoP ]]=0,0,IF(WWWW[[#This Row],['# Hygiene Promoters ]]=0,0,IF(WWWW[[#This Row],[Location Type 1]]="Village",IF(WWWW[[#This Row],[Total PoP ]]/WWWW[[#This Row],['# Hygiene Promoters ]]&lt;1000,1,0),IF(WWWW[[#This Row],[Total PoP ]]/WWWW[[#This Row],['# Hygiene Promoters ]]&lt;600,1,0))))</f>
        <v>0</v>
      </c>
      <c r="BX280" s="209">
        <f>IF(WWWW[[#This Row],[%HH with access to soap]]&gt;=100%,1,0)</f>
        <v>0</v>
      </c>
      <c r="BY280" s="209">
        <f>IF(WWWW[[#This Row],[% of HHs with access to Sanitary pad more than '#%]]+WWWW[[#This Row],[Ratio of Hyiene promoters to people less than '#]]+WWWW[[#This Row],[% of HHs with access to soap more than '#%]]&gt;=2,WWWW[[#This Row],[Total PoP ]],0)</f>
        <v>0</v>
      </c>
      <c r="BZ280" s="208">
        <f>WWWW[[#This Row],[People adopt basic personal and community hygiene practices]]/WWWW[[#This Row],[Total PoP ]]</f>
        <v>0</v>
      </c>
      <c r="CA280" s="212">
        <f>1-WWWW[[#This Row],[Hygiene Coverage%]]</f>
        <v>1</v>
      </c>
      <c r="CB280" s="211">
        <f>WWWW[[#This Row],['# people reached by regular dedicated hygiene promotion_5]]/WWWW[[#This Row],[Total PoP ]]</f>
        <v>0</v>
      </c>
      <c r="CC280" s="211">
        <f>IF(WWWW[[#This Row],['# HH received soaps]]/WWWW[[#This Row],[Total HH]]&gt;1,1,WWWW[[#This Row],['# HH received soaps]]/WWWW[[#This Row],[Total HH]])</f>
        <v>0</v>
      </c>
      <c r="CD280" s="211">
        <f>IF(WWWW[[#This Row],['# HH received Sanitary Pads]]/WWWW[[#This Row],[Total HH]]&gt;1,1,WWWW[[#This Row],['# HH received Sanitary Pads]]/WWWW[[#This Row],[Total HH]])</f>
        <v>0</v>
      </c>
      <c r="CE280" s="210">
        <f>WWWW[[#This Row],['# HH received soaps]]*5</f>
        <v>0</v>
      </c>
      <c r="CF280" s="210">
        <f>WWWW[[#This Row],['# HH received Sanitary Pads]]*5</f>
        <v>0</v>
      </c>
      <c r="CG280" s="210">
        <f>IF(WWWW[[#This Row],['# People with access to soap]]&gt;WWWW[[#This Row],['# People with access to Sanity Pads]],WWWW[[#This Row],['# People with access to soap]],WWWW[[#This Row],['# People with access to Sanity Pads]])</f>
        <v>0</v>
      </c>
      <c r="CH280" s="209">
        <f>WWWW[[#This Row],[Total HH]]*WWWW[[#This Row],[%HHs with access to functional hand washing stations]]</f>
        <v>0</v>
      </c>
      <c r="CI280" s="699">
        <f>VLOOKUP(WWWW[[#This Row],[Site Name]],SiteDB6[[Site Name]:[CCCM Management]],6,FALSE)</f>
        <v>0</v>
      </c>
      <c r="CJ280" s="699">
        <f>VLOOKUP(WWWW[[#This Row],[Site Name]],SiteDB6[[Site Name]:[CCCM Focal Agency]],7,FALSE)</f>
        <v>0</v>
      </c>
      <c r="CK280" s="699" t="str">
        <f>VLOOKUP(WWWW[[#This Row],[Site Name]],SiteDB6[[Site Name]:[Location Type]],8,FALSE)</f>
        <v>Village</v>
      </c>
      <c r="CL280" s="699" t="str">
        <f>VLOOKUP(WWWW[[#This Row],[Site Name]],SiteDB6[[Site Name]:[Location Type 1]],9,FALSE)</f>
        <v>Village</v>
      </c>
      <c r="CM280" s="699" t="str">
        <f>VLOOKUP(WWWW[[#This Row],[Site Name]],SiteDB6[[Site Name]:[Type of Accommodation]],10,FALSE)</f>
        <v>Village</v>
      </c>
      <c r="CN280" s="699" t="str">
        <f>VLOOKUP(WWWW[[#This Row],[Site Name]],SiteDB6[[Site Name]:[Ethnic or GCA/NGCA]],11,FALSE)</f>
        <v>Mixed</v>
      </c>
      <c r="CO280" s="699">
        <f>VLOOKUP(WWWW[[#This Row],[Site Name]],SiteDB6[[Site Name]:[Lat]],12,FALSE)</f>
        <v>20.394809723000002</v>
      </c>
      <c r="CP280" s="699">
        <f>VLOOKUP(WWWW[[#This Row],[Site Name]],SiteDB6[[Site Name]:[Long]],13,FALSE)</f>
        <v>93.251609802000004</v>
      </c>
      <c r="CQ280" s="699" t="str">
        <f>VLOOKUP(WWWW[[#This Row],[Site Name]],SiteDB6[[Site Name]:[Pcode]],3,FALSE)</f>
        <v>196994</v>
      </c>
      <c r="CR280" s="660" t="str">
        <f t="shared" si="6"/>
        <v>Notcovered</v>
      </c>
      <c r="CS280" s="660"/>
      <c r="CT280" s="24"/>
      <c r="CU280" s="24"/>
      <c r="CV280" s="24"/>
    </row>
    <row r="281" spans="1:100" ht="15.75" customHeight="1" x14ac:dyDescent="0.25">
      <c r="A281" s="833" t="s">
        <v>3206</v>
      </c>
      <c r="B281" s="206" t="s">
        <v>460</v>
      </c>
      <c r="C281" s="206" t="s">
        <v>454</v>
      </c>
      <c r="D281" s="206" t="s">
        <v>473</v>
      </c>
      <c r="E281" s="206" t="s">
        <v>474</v>
      </c>
      <c r="F281" s="206">
        <v>178</v>
      </c>
      <c r="G281" s="209">
        <v>763</v>
      </c>
      <c r="H281" s="206"/>
      <c r="I281" s="206"/>
      <c r="J281" s="207"/>
      <c r="K281" s="206"/>
      <c r="L281" s="206" t="s">
        <v>282</v>
      </c>
      <c r="M281" s="208">
        <v>0</v>
      </c>
      <c r="N281" s="208">
        <v>0</v>
      </c>
      <c r="O281" s="316">
        <v>0</v>
      </c>
      <c r="P281" s="317">
        <v>0</v>
      </c>
      <c r="Q281" s="317"/>
      <c r="R281" s="318"/>
      <c r="S281" s="318">
        <v>0</v>
      </c>
      <c r="T281" s="318"/>
      <c r="U281" s="318"/>
      <c r="V281" s="318"/>
      <c r="W281" s="318"/>
      <c r="X281" s="318"/>
      <c r="Y281" s="318"/>
      <c r="Z281" s="318"/>
      <c r="AA281" s="310">
        <v>5</v>
      </c>
      <c r="AB281" s="311"/>
      <c r="AC281" s="66"/>
      <c r="AD281" s="66"/>
      <c r="AE281" s="310">
        <v>5</v>
      </c>
      <c r="AF281" s="310" t="s">
        <v>286</v>
      </c>
      <c r="AG281" s="311" t="s">
        <v>286</v>
      </c>
      <c r="AH281" s="66"/>
      <c r="AI281" s="66"/>
      <c r="AJ281" s="311"/>
      <c r="AK281" s="841">
        <v>0</v>
      </c>
      <c r="AL281" s="846"/>
      <c r="AM281" s="844">
        <v>0</v>
      </c>
      <c r="AN281" s="863"/>
      <c r="AO281" s="863"/>
      <c r="AP281" s="843"/>
      <c r="AQ281" s="843"/>
      <c r="AR281" s="843"/>
      <c r="AS281" s="843"/>
      <c r="AT281" s="843"/>
      <c r="AU281" s="843"/>
      <c r="AV281" s="844"/>
      <c r="AW281" s="208" t="str">
        <f>IFERROR(WWWW[[#This Row],['# of Water passed at source]]/WWWW[[#This Row],['# of Water tested at source]],"no test")</f>
        <v>no test</v>
      </c>
      <c r="AX281" s="211" t="str">
        <f>IFERROR(WWWW[[#This Row],['# of Water passed at HH]]/WWWW[[#This Row],['# of Water tested at HH]],"no test")</f>
        <v>no test</v>
      </c>
      <c r="AY281" s="210" t="str">
        <f>IF(AND(WWWW[[#This Row],[%of Water samples which passed at water source]]="no test",WWWW[[#This Row],[%Water samples which passed at HH]]="no test"),"No Test","Tested")</f>
        <v>No Test</v>
      </c>
      <c r="AZ28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8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81" s="211">
        <f>IF(WWWW[[#This Row],[Location Type 1]]="Village",WWWW[[#This Row],[Access to safe drinking water for Village]],WWWW[[#This Row],[Access to safe drinking water for Camp]])</f>
        <v>0</v>
      </c>
      <c r="BC281" s="209">
        <f>WWWW[[#This Row],[%Equitable and continuous access to sufficient quantity of safe drinking water]]*WWWW[[#This Row],[Total PoP ]]</f>
        <v>0</v>
      </c>
      <c r="BD281" s="211">
        <f>IF((WWWW[[#This Row],['# Existing protected/fenced ponds ]]*250)/WWWW[[#This Row],[Total PoP ]]&gt;1,1,WWWW[[#This Row],['# Existing protected/fenced ponds ]]*250/WWWW[[#This Row],[Total PoP ]])</f>
        <v>0</v>
      </c>
      <c r="BE281" s="209">
        <f>WWWW[[#This Row],[Access to unimproved water points]]*WWWW[[#This Row],[Total PoP ]]</f>
        <v>0</v>
      </c>
      <c r="BF28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8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81" s="209">
        <f>ROUND(WWWW[[#This Row],['#people Equitable and continuous access to sufficient quantity of domestic water borehole n ponds_2]]/500,0)</f>
        <v>0</v>
      </c>
      <c r="BI281" s="208">
        <f>1-WWWW[[#This Row],[%Equitable and continuous access to sufficient quantity of domestic water borehole n ponds]]</f>
        <v>1</v>
      </c>
      <c r="BJ281" s="209">
        <f>WWWW[[#This Row],[%equitable and continuous access to sufficient quantity of safe drinking and domestic water''s GAP]]*WWWW[[#This Row],[Total PoP ]]</f>
        <v>763</v>
      </c>
      <c r="BK281" s="210">
        <f>IF(WWWW[[#This Row],[Total required water points]]-WWWW[[#This Row],['#Water points coverage]]&lt;0,0,WWWW[[#This Row],[Total required water points]]-WWWW[[#This Row],['#Water points coverage]])</f>
        <v>2</v>
      </c>
      <c r="BL281" s="210">
        <f>ROUND(IF(WWWW[[#This Row],[Total PoP ]]&lt;500,1,WWWW[[#This Row],[Total PoP ]]/500),0)</f>
        <v>2</v>
      </c>
      <c r="BM281" s="210">
        <f>WWWW[[#This Row],['# Existing functional latrines]]+WWWW[[#This Row],['# Existing latrines dysfunctional]]</f>
        <v>5</v>
      </c>
      <c r="BN28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3.9318479685452164E-2</v>
      </c>
      <c r="BO281" s="352">
        <f>WWWW[[#This Row],[% people access to functioning Latrine]]*WWWW[[#This Row],[Total PoP ]]</f>
        <v>30</v>
      </c>
      <c r="BP28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0.95937090432503269</v>
      </c>
      <c r="BQ281" s="209">
        <f>IF(WWWW[[#This Row],[Total required Latrines]]-WWWW[[#This Row],[Total '# of latrine]]&lt;0,0,WWWW[[#This Row],[Total required Latrines]]-WWWW[[#This Row],[Total '# of latrine]])</f>
        <v>122</v>
      </c>
      <c r="BR281" s="210">
        <f>ROUND(IF(WWWW[[#This Row],[Location Type 1]]="camp",WWWW[[#This Row],[Total PoP ]]/20,WWWW[[#This Row],[Total PoP ]]/6),0)</f>
        <v>127</v>
      </c>
      <c r="BS281" s="212">
        <f>IF(OR(WWWW[[#This Row],['# Existing latrines dysfunctional]]="",WWWW[[#This Row],['# Existing latrines dysfunctional]]=0),0,WWWW[[#This Row],['# Existing latrines dysfunctional]]/WWWW[[#This Row],[Total '# of latrine]])</f>
        <v>0</v>
      </c>
      <c r="BT28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1" s="209">
        <f>IF(500*WWWW[[#This Row],['# Hygiene Promoters ]]&gt;WWWW[[#This Row],[Total PoP ]],WWWW[[#This Row],[Total PoP ]],500*WWWW[[#This Row],['# Hygiene Promoters ]])</f>
        <v>0</v>
      </c>
      <c r="BV281" s="209">
        <f>IF(WWWW[[#This Row],[% of HH with access to Sanitary Pad]]&gt;=100%,1,0)</f>
        <v>0</v>
      </c>
      <c r="BW281" s="209">
        <f>IF(WWWW[[#This Row],[Total PoP ]]=0,0,IF(WWWW[[#This Row],['# Hygiene Promoters ]]=0,0,IF(WWWW[[#This Row],[Location Type 1]]="Village",IF(WWWW[[#This Row],[Total PoP ]]/WWWW[[#This Row],['# Hygiene Promoters ]]&lt;1000,1,0),IF(WWWW[[#This Row],[Total PoP ]]/WWWW[[#This Row],['# Hygiene Promoters ]]&lt;600,1,0))))</f>
        <v>0</v>
      </c>
      <c r="BX281" s="209">
        <f>IF(WWWW[[#This Row],[%HH with access to soap]]&gt;=100%,1,0)</f>
        <v>0</v>
      </c>
      <c r="BY281" s="209">
        <f>IF(WWWW[[#This Row],[% of HHs with access to Sanitary pad more than '#%]]+WWWW[[#This Row],[Ratio of Hyiene promoters to people less than '#]]+WWWW[[#This Row],[% of HHs with access to soap more than '#%]]&gt;=2,WWWW[[#This Row],[Total PoP ]],0)</f>
        <v>0</v>
      </c>
      <c r="BZ281" s="208">
        <f>WWWW[[#This Row],[People adopt basic personal and community hygiene practices]]/WWWW[[#This Row],[Total PoP ]]</f>
        <v>0</v>
      </c>
      <c r="CA281" s="212">
        <f>1-WWWW[[#This Row],[Hygiene Coverage%]]</f>
        <v>1</v>
      </c>
      <c r="CB281" s="211">
        <f>WWWW[[#This Row],['# people reached by regular dedicated hygiene promotion_5]]/WWWW[[#This Row],[Total PoP ]]</f>
        <v>0</v>
      </c>
      <c r="CC281" s="211">
        <f>IF(WWWW[[#This Row],['# HH received soaps]]/WWWW[[#This Row],[Total HH]]&gt;1,1,WWWW[[#This Row],['# HH received soaps]]/WWWW[[#This Row],[Total HH]])</f>
        <v>0</v>
      </c>
      <c r="CD281" s="211">
        <f>IF(WWWW[[#This Row],['# HH received Sanitary Pads]]/WWWW[[#This Row],[Total HH]]&gt;1,1,WWWW[[#This Row],['# HH received Sanitary Pads]]/WWWW[[#This Row],[Total HH]])</f>
        <v>0</v>
      </c>
      <c r="CE281" s="210">
        <f>WWWW[[#This Row],['# HH received soaps]]*5</f>
        <v>0</v>
      </c>
      <c r="CF281" s="210">
        <f>WWWW[[#This Row],['# HH received Sanitary Pads]]*5</f>
        <v>0</v>
      </c>
      <c r="CG281" s="210">
        <f>IF(WWWW[[#This Row],['# People with access to soap]]&gt;WWWW[[#This Row],['# People with access to Sanity Pads]],WWWW[[#This Row],['# People with access to soap]],WWWW[[#This Row],['# People with access to Sanity Pads]])</f>
        <v>0</v>
      </c>
      <c r="CH281" s="209">
        <f>WWWW[[#This Row],[Total HH]]*WWWW[[#This Row],[%HHs with access to functional hand washing stations]]</f>
        <v>0</v>
      </c>
      <c r="CI281" s="699">
        <f>VLOOKUP(WWWW[[#This Row],[Site Name]],SiteDB6[[Site Name]:[CCCM Management]],6,FALSE)</f>
        <v>0</v>
      </c>
      <c r="CJ281" s="699">
        <f>VLOOKUP(WWWW[[#This Row],[Site Name]],SiteDB6[[Site Name]:[CCCM Focal Agency]],7,FALSE)</f>
        <v>0</v>
      </c>
      <c r="CK281" s="699" t="str">
        <f>VLOOKUP(WWWW[[#This Row],[Site Name]],SiteDB6[[Site Name]:[Location Type]],8,FALSE)</f>
        <v>Village</v>
      </c>
      <c r="CL281" s="699" t="str">
        <f>VLOOKUP(WWWW[[#This Row],[Site Name]],SiteDB6[[Site Name]:[Location Type 1]],9,FALSE)</f>
        <v>Village</v>
      </c>
      <c r="CM281" s="699" t="str">
        <f>VLOOKUP(WWWW[[#This Row],[Site Name]],SiteDB6[[Site Name]:[Type of Accommodation]],10,FALSE)</f>
        <v>Village</v>
      </c>
      <c r="CN281" s="699" t="str">
        <f>VLOOKUP(WWWW[[#This Row],[Site Name]],SiteDB6[[Site Name]:[Ethnic or GCA/NGCA]],11,FALSE)</f>
        <v>Rakhine</v>
      </c>
      <c r="CO281" s="699">
        <f>VLOOKUP(WWWW[[#This Row],[Site Name]],SiteDB6[[Site Name]:[Lat]],12,FALSE)</f>
        <v>0</v>
      </c>
      <c r="CP281" s="699">
        <f>VLOOKUP(WWWW[[#This Row],[Site Name]],SiteDB6[[Site Name]:[Long]],13,FALSE)</f>
        <v>0</v>
      </c>
      <c r="CQ281" s="699" t="str">
        <f>VLOOKUP(WWWW[[#This Row],[Site Name]],SiteDB6[[Site Name]:[Pcode]],3,FALSE)</f>
        <v>197174</v>
      </c>
      <c r="CR281" s="660" t="str">
        <f t="shared" si="6"/>
        <v>Notcovered</v>
      </c>
      <c r="CS281" s="699"/>
      <c r="CT281" s="24"/>
      <c r="CU281" s="24"/>
      <c r="CV281" s="24"/>
    </row>
    <row r="282" spans="1:100" ht="15.75" customHeight="1" x14ac:dyDescent="0.25">
      <c r="A282" s="833" t="s">
        <v>3206</v>
      </c>
      <c r="B282" s="206" t="s">
        <v>460</v>
      </c>
      <c r="C282" s="206" t="s">
        <v>454</v>
      </c>
      <c r="D282" s="206" t="s">
        <v>473</v>
      </c>
      <c r="E282" s="206" t="s">
        <v>630</v>
      </c>
      <c r="F282" s="206">
        <v>42</v>
      </c>
      <c r="G282" s="209">
        <v>183</v>
      </c>
      <c r="H282" s="206"/>
      <c r="I282" s="206"/>
      <c r="J282" s="207"/>
      <c r="K282" s="206"/>
      <c r="L282" s="206" t="s">
        <v>282</v>
      </c>
      <c r="M282" s="208">
        <v>0</v>
      </c>
      <c r="N282" s="208">
        <v>0</v>
      </c>
      <c r="O282" s="316">
        <v>2</v>
      </c>
      <c r="P282" s="317">
        <v>0</v>
      </c>
      <c r="Q282" s="317"/>
      <c r="R282" s="318"/>
      <c r="S282" s="318">
        <v>2</v>
      </c>
      <c r="T282" s="318"/>
      <c r="U282" s="318"/>
      <c r="V282" s="318"/>
      <c r="W282" s="318"/>
      <c r="X282" s="318"/>
      <c r="Y282" s="318"/>
      <c r="Z282" s="318"/>
      <c r="AA282" s="310">
        <v>0</v>
      </c>
      <c r="AB282" s="310"/>
      <c r="AC282" s="66"/>
      <c r="AD282" s="66"/>
      <c r="AE282" s="310">
        <v>0</v>
      </c>
      <c r="AF282" s="310" t="s">
        <v>286</v>
      </c>
      <c r="AG282" s="311" t="s">
        <v>286</v>
      </c>
      <c r="AH282" s="311"/>
      <c r="AI282" s="310"/>
      <c r="AJ282" s="310"/>
      <c r="AK282" s="841">
        <v>0</v>
      </c>
      <c r="AL282" s="842"/>
      <c r="AM282" s="842">
        <v>0</v>
      </c>
      <c r="AN282" s="863"/>
      <c r="AO282" s="863"/>
      <c r="AP282" s="843"/>
      <c r="AQ282" s="843"/>
      <c r="AR282" s="843"/>
      <c r="AS282" s="843"/>
      <c r="AT282" s="843"/>
      <c r="AU282" s="843"/>
      <c r="AV282" s="844"/>
      <c r="AW282" s="208" t="str">
        <f>IFERROR(WWWW[[#This Row],['# of Water passed at source]]/WWWW[[#This Row],['# of Water tested at source]],"no test")</f>
        <v>no test</v>
      </c>
      <c r="AX282" s="211" t="str">
        <f>IFERROR(WWWW[[#This Row],['# of Water passed at HH]]/WWWW[[#This Row],['# of Water tested at HH]],"no test")</f>
        <v>no test</v>
      </c>
      <c r="AY282" s="210" t="str">
        <f>IF(AND(WWWW[[#This Row],[%of Water samples which passed at water source]]="no test",WWWW[[#This Row],[%Water samples which passed at HH]]="no test"),"No Test","Tested")</f>
        <v>No Test</v>
      </c>
      <c r="AZ28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8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82" s="211">
        <f>IF(WWWW[[#This Row],[Location Type 1]]="Village",WWWW[[#This Row],[Access to safe drinking water for Village]],WWWW[[#This Row],[Access to safe drinking water for Camp]])</f>
        <v>1</v>
      </c>
      <c r="BC282" s="209">
        <f>WWWW[[#This Row],[%Equitable and continuous access to sufficient quantity of safe drinking water]]*WWWW[[#This Row],[Total PoP ]]</f>
        <v>183</v>
      </c>
      <c r="BD282" s="211">
        <f>IF((WWWW[[#This Row],['# Existing protected/fenced ponds ]]*250)/WWWW[[#This Row],[Total PoP ]]&gt;1,1,WWWW[[#This Row],['# Existing protected/fenced ponds ]]*250/WWWW[[#This Row],[Total PoP ]])</f>
        <v>0</v>
      </c>
      <c r="BE282" s="209">
        <f>WWWW[[#This Row],[Access to unimproved water points]]*WWWW[[#This Row],[Total PoP ]]</f>
        <v>0</v>
      </c>
      <c r="BF28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8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183</v>
      </c>
      <c r="BH282" s="209">
        <f>ROUND(WWWW[[#This Row],['#people Equitable and continuous access to sufficient quantity of domestic water borehole n ponds_2]]/500,0)</f>
        <v>0</v>
      </c>
      <c r="BI282" s="208">
        <f>1-WWWW[[#This Row],[%Equitable and continuous access to sufficient quantity of domestic water borehole n ponds]]</f>
        <v>0</v>
      </c>
      <c r="BJ282" s="209">
        <f>WWWW[[#This Row],[%equitable and continuous access to sufficient quantity of safe drinking and domestic water''s GAP]]*WWWW[[#This Row],[Total PoP ]]</f>
        <v>0</v>
      </c>
      <c r="BK282" s="210">
        <f>IF(WWWW[[#This Row],[Total required water points]]-WWWW[[#This Row],['#Water points coverage]]&lt;0,0,WWWW[[#This Row],[Total required water points]]-WWWW[[#This Row],['#Water points coverage]])</f>
        <v>1</v>
      </c>
      <c r="BL282" s="210">
        <f>ROUND(IF(WWWW[[#This Row],[Total PoP ]]&lt;500,1,WWWW[[#This Row],[Total PoP ]]/500),0)</f>
        <v>1</v>
      </c>
      <c r="BM282" s="210">
        <f>WWWW[[#This Row],['# Existing functional latrines]]+WWWW[[#This Row],['# Existing latrines dysfunctional]]</f>
        <v>0</v>
      </c>
      <c r="BN28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82" s="352">
        <f>WWWW[[#This Row],[% people access to functioning Latrine]]*WWWW[[#This Row],[Total PoP ]]</f>
        <v>0</v>
      </c>
      <c r="BP28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82" s="209">
        <f>IF(WWWW[[#This Row],[Total required Latrines]]-WWWW[[#This Row],[Total '# of latrine]]&lt;0,0,WWWW[[#This Row],[Total required Latrines]]-WWWW[[#This Row],[Total '# of latrine]])</f>
        <v>31</v>
      </c>
      <c r="BR282" s="210">
        <f>ROUND(IF(WWWW[[#This Row],[Location Type 1]]="camp",WWWW[[#This Row],[Total PoP ]]/20,WWWW[[#This Row],[Total PoP ]]/6),0)</f>
        <v>31</v>
      </c>
      <c r="BS282" s="212">
        <f>IF(OR(WWWW[[#This Row],['# Existing latrines dysfunctional]]="",WWWW[[#This Row],['# Existing latrines dysfunctional]]=0),0,WWWW[[#This Row],['# Existing latrines dysfunctional]]/WWWW[[#This Row],[Total '# of latrine]])</f>
        <v>0</v>
      </c>
      <c r="BT28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2" s="209">
        <f>IF(500*WWWW[[#This Row],['# Hygiene Promoters ]]&gt;WWWW[[#This Row],[Total PoP ]],WWWW[[#This Row],[Total PoP ]],500*WWWW[[#This Row],['# Hygiene Promoters ]])</f>
        <v>0</v>
      </c>
      <c r="BV282" s="209">
        <f>IF(WWWW[[#This Row],[% of HH with access to Sanitary Pad]]&gt;=100%,1,0)</f>
        <v>0</v>
      </c>
      <c r="BW282" s="209">
        <f>IF(WWWW[[#This Row],[Total PoP ]]=0,0,IF(WWWW[[#This Row],['# Hygiene Promoters ]]=0,0,IF(WWWW[[#This Row],[Location Type 1]]="Village",IF(WWWW[[#This Row],[Total PoP ]]/WWWW[[#This Row],['# Hygiene Promoters ]]&lt;1000,1,0),IF(WWWW[[#This Row],[Total PoP ]]/WWWW[[#This Row],['# Hygiene Promoters ]]&lt;600,1,0))))</f>
        <v>0</v>
      </c>
      <c r="BX282" s="209">
        <f>IF(WWWW[[#This Row],[%HH with access to soap]]&gt;=100%,1,0)</f>
        <v>0</v>
      </c>
      <c r="BY282" s="209">
        <f>IF(WWWW[[#This Row],[% of HHs with access to Sanitary pad more than '#%]]+WWWW[[#This Row],[Ratio of Hyiene promoters to people less than '#]]+WWWW[[#This Row],[% of HHs with access to soap more than '#%]]&gt;=2,WWWW[[#This Row],[Total PoP ]],0)</f>
        <v>0</v>
      </c>
      <c r="BZ282" s="208">
        <f>WWWW[[#This Row],[People adopt basic personal and community hygiene practices]]/WWWW[[#This Row],[Total PoP ]]</f>
        <v>0</v>
      </c>
      <c r="CA282" s="212">
        <f>1-WWWW[[#This Row],[Hygiene Coverage%]]</f>
        <v>1</v>
      </c>
      <c r="CB282" s="211">
        <f>WWWW[[#This Row],['# people reached by regular dedicated hygiene promotion_5]]/WWWW[[#This Row],[Total PoP ]]</f>
        <v>0</v>
      </c>
      <c r="CC282" s="211">
        <f>IF(WWWW[[#This Row],['# HH received soaps]]/WWWW[[#This Row],[Total HH]]&gt;1,1,WWWW[[#This Row],['# HH received soaps]]/WWWW[[#This Row],[Total HH]])</f>
        <v>0</v>
      </c>
      <c r="CD282" s="211">
        <f>IF(WWWW[[#This Row],['# HH received Sanitary Pads]]/WWWW[[#This Row],[Total HH]]&gt;1,1,WWWW[[#This Row],['# HH received Sanitary Pads]]/WWWW[[#This Row],[Total HH]])</f>
        <v>0</v>
      </c>
      <c r="CE282" s="210">
        <f>WWWW[[#This Row],['# HH received soaps]]*5</f>
        <v>0</v>
      </c>
      <c r="CF282" s="210">
        <f>WWWW[[#This Row],['# HH received Sanitary Pads]]*5</f>
        <v>0</v>
      </c>
      <c r="CG282" s="210">
        <f>IF(WWWW[[#This Row],['# People with access to soap]]&gt;WWWW[[#This Row],['# People with access to Sanity Pads]],WWWW[[#This Row],['# People with access to soap]],WWWW[[#This Row],['# People with access to Sanity Pads]])</f>
        <v>0</v>
      </c>
      <c r="CH282" s="209">
        <f>WWWW[[#This Row],[Total HH]]*WWWW[[#This Row],[%HHs with access to functional hand washing stations]]</f>
        <v>0</v>
      </c>
      <c r="CI282" s="699">
        <f>VLOOKUP(WWWW[[#This Row],[Site Name]],SiteDB6[[Site Name]:[CCCM Management]],6,FALSE)</f>
        <v>0</v>
      </c>
      <c r="CJ282" s="699">
        <f>VLOOKUP(WWWW[[#This Row],[Site Name]],SiteDB6[[Site Name]:[CCCM Focal Agency]],7,FALSE)</f>
        <v>0</v>
      </c>
      <c r="CK282" s="699" t="str">
        <f>VLOOKUP(WWWW[[#This Row],[Site Name]],SiteDB6[[Site Name]:[Location Type]],8,FALSE)</f>
        <v>Village</v>
      </c>
      <c r="CL282" s="699" t="str">
        <f>VLOOKUP(WWWW[[#This Row],[Site Name]],SiteDB6[[Site Name]:[Location Type 1]],9,FALSE)</f>
        <v>Village</v>
      </c>
      <c r="CM282" s="699" t="str">
        <f>VLOOKUP(WWWW[[#This Row],[Site Name]],SiteDB6[[Site Name]:[Type of Accommodation]],10,FALSE)</f>
        <v>Village</v>
      </c>
      <c r="CN282" s="699" t="str">
        <f>VLOOKUP(WWWW[[#This Row],[Site Name]],SiteDB6[[Site Name]:[Ethnic or GCA/NGCA]],11,FALSE)</f>
        <v>Rakhine</v>
      </c>
      <c r="CO282" s="699">
        <f>VLOOKUP(WWWW[[#This Row],[Site Name]],SiteDB6[[Site Name]:[Lat]],12,FALSE)</f>
        <v>20.398889541999999</v>
      </c>
      <c r="CP282" s="699">
        <f>VLOOKUP(WWWW[[#This Row],[Site Name]],SiteDB6[[Site Name]:[Long]],13,FALSE)</f>
        <v>93.254051208000007</v>
      </c>
      <c r="CQ282" s="699" t="str">
        <f>VLOOKUP(WWWW[[#This Row],[Site Name]],SiteDB6[[Site Name]:[Pcode]],3,FALSE)</f>
        <v>196996</v>
      </c>
      <c r="CR282" s="660" t="str">
        <f t="shared" si="6"/>
        <v>Notcovered</v>
      </c>
      <c r="CS282" s="660"/>
      <c r="CT282" s="24"/>
      <c r="CU282" s="24"/>
      <c r="CV282" s="24"/>
    </row>
    <row r="283" spans="1:100" ht="15.75" customHeight="1" x14ac:dyDescent="0.25">
      <c r="A283" s="833" t="s">
        <v>3206</v>
      </c>
      <c r="B283" s="206" t="s">
        <v>460</v>
      </c>
      <c r="C283" s="206" t="s">
        <v>454</v>
      </c>
      <c r="D283" s="206" t="s">
        <v>473</v>
      </c>
      <c r="E283" s="206" t="s">
        <v>610</v>
      </c>
      <c r="F283" s="206">
        <v>415</v>
      </c>
      <c r="G283" s="209">
        <v>1628</v>
      </c>
      <c r="H283" s="206"/>
      <c r="I283" s="206"/>
      <c r="J283" s="207"/>
      <c r="K283" s="206"/>
      <c r="L283" s="206" t="s">
        <v>282</v>
      </c>
      <c r="M283" s="208">
        <v>0</v>
      </c>
      <c r="N283" s="208">
        <v>0</v>
      </c>
      <c r="O283" s="316">
        <v>0</v>
      </c>
      <c r="P283" s="317">
        <v>0</v>
      </c>
      <c r="Q283" s="317"/>
      <c r="R283" s="318"/>
      <c r="S283" s="318">
        <v>0</v>
      </c>
      <c r="T283" s="318"/>
      <c r="U283" s="318"/>
      <c r="V283" s="318"/>
      <c r="W283" s="318"/>
      <c r="X283" s="318"/>
      <c r="Y283" s="318"/>
      <c r="Z283" s="318"/>
      <c r="AA283" s="310">
        <v>45</v>
      </c>
      <c r="AB283" s="310"/>
      <c r="AC283" s="66"/>
      <c r="AD283" s="66"/>
      <c r="AE283" s="310">
        <v>45</v>
      </c>
      <c r="AF283" s="310" t="s">
        <v>286</v>
      </c>
      <c r="AG283" s="311" t="s">
        <v>286</v>
      </c>
      <c r="AH283" s="311"/>
      <c r="AI283" s="310"/>
      <c r="AJ283" s="310"/>
      <c r="AK283" s="841">
        <v>0</v>
      </c>
      <c r="AL283" s="842"/>
      <c r="AM283" s="842">
        <v>0</v>
      </c>
      <c r="AN283" s="863"/>
      <c r="AO283" s="863"/>
      <c r="AP283" s="843"/>
      <c r="AQ283" s="843"/>
      <c r="AR283" s="843"/>
      <c r="AS283" s="843"/>
      <c r="AT283" s="843"/>
      <c r="AU283" s="843"/>
      <c r="AV283" s="844"/>
      <c r="AW283" s="208" t="str">
        <f>IFERROR(WWWW[[#This Row],['# of Water passed at source]]/WWWW[[#This Row],['# of Water tested at source]],"no test")</f>
        <v>no test</v>
      </c>
      <c r="AX283" s="211" t="str">
        <f>IFERROR(WWWW[[#This Row],['# of Water passed at HH]]/WWWW[[#This Row],['# of Water tested at HH]],"no test")</f>
        <v>no test</v>
      </c>
      <c r="AY283" s="210" t="str">
        <f>IF(AND(WWWW[[#This Row],[%of Water samples which passed at water source]]="no test",WWWW[[#This Row],[%Water samples which passed at HH]]="no test"),"No Test","Tested")</f>
        <v>No Test</v>
      </c>
      <c r="AZ28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8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83" s="211">
        <f>IF(WWWW[[#This Row],[Location Type 1]]="Village",WWWW[[#This Row],[Access to safe drinking water for Village]],WWWW[[#This Row],[Access to safe drinking water for Camp]])</f>
        <v>0</v>
      </c>
      <c r="BC283" s="209">
        <f>WWWW[[#This Row],[%Equitable and continuous access to sufficient quantity of safe drinking water]]*WWWW[[#This Row],[Total PoP ]]</f>
        <v>0</v>
      </c>
      <c r="BD283" s="211">
        <f>IF((WWWW[[#This Row],['# Existing protected/fenced ponds ]]*250)/WWWW[[#This Row],[Total PoP ]]&gt;1,1,WWWW[[#This Row],['# Existing protected/fenced ponds ]]*250/WWWW[[#This Row],[Total PoP ]])</f>
        <v>0</v>
      </c>
      <c r="BE283" s="209">
        <f>WWWW[[#This Row],[Access to unimproved water points]]*WWWW[[#This Row],[Total PoP ]]</f>
        <v>0</v>
      </c>
      <c r="BF28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28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283" s="209">
        <f>ROUND(WWWW[[#This Row],['#people Equitable and continuous access to sufficient quantity of domestic water borehole n ponds_2]]/500,0)</f>
        <v>0</v>
      </c>
      <c r="BI283" s="208">
        <f>1-WWWW[[#This Row],[%Equitable and continuous access to sufficient quantity of domestic water borehole n ponds]]</f>
        <v>1</v>
      </c>
      <c r="BJ283" s="209">
        <f>WWWW[[#This Row],[%equitable and continuous access to sufficient quantity of safe drinking and domestic water''s GAP]]*WWWW[[#This Row],[Total PoP ]]</f>
        <v>1628</v>
      </c>
      <c r="BK283" s="210">
        <f>IF(WWWW[[#This Row],[Total required water points]]-WWWW[[#This Row],['#Water points coverage]]&lt;0,0,WWWW[[#This Row],[Total required water points]]-WWWW[[#This Row],['#Water points coverage]])</f>
        <v>3</v>
      </c>
      <c r="BL283" s="210">
        <f>ROUND(IF(WWWW[[#This Row],[Total PoP ]]&lt;500,1,WWWW[[#This Row],[Total PoP ]]/500),0)</f>
        <v>3</v>
      </c>
      <c r="BM283" s="210">
        <f>WWWW[[#This Row],['# Existing functional latrines]]+WWWW[[#This Row],['# Existing latrines dysfunctional]]</f>
        <v>45</v>
      </c>
      <c r="BN28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0.16584766584766586</v>
      </c>
      <c r="BO283" s="352">
        <f>WWWW[[#This Row],[% people access to functioning Latrine]]*WWWW[[#This Row],[Total PoP ]]</f>
        <v>270</v>
      </c>
      <c r="BP28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0.83292383292383299</v>
      </c>
      <c r="BQ283" s="209">
        <f>IF(WWWW[[#This Row],[Total required Latrines]]-WWWW[[#This Row],[Total '# of latrine]]&lt;0,0,WWWW[[#This Row],[Total required Latrines]]-WWWW[[#This Row],[Total '# of latrine]])</f>
        <v>226</v>
      </c>
      <c r="BR283" s="210">
        <f>ROUND(IF(WWWW[[#This Row],[Location Type 1]]="camp",WWWW[[#This Row],[Total PoP ]]/20,WWWW[[#This Row],[Total PoP ]]/6),0)</f>
        <v>271</v>
      </c>
      <c r="BS283" s="212">
        <f>IF(OR(WWWW[[#This Row],['# Existing latrines dysfunctional]]="",WWWW[[#This Row],['# Existing latrines dysfunctional]]=0),0,WWWW[[#This Row],['# Existing latrines dysfunctional]]/WWWW[[#This Row],[Total '# of latrine]])</f>
        <v>0</v>
      </c>
      <c r="BT28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3" s="209">
        <f>IF(500*WWWW[[#This Row],['# Hygiene Promoters ]]&gt;WWWW[[#This Row],[Total PoP ]],WWWW[[#This Row],[Total PoP ]],500*WWWW[[#This Row],['# Hygiene Promoters ]])</f>
        <v>0</v>
      </c>
      <c r="BV283" s="209">
        <f>IF(WWWW[[#This Row],[% of HH with access to Sanitary Pad]]&gt;=100%,1,0)</f>
        <v>0</v>
      </c>
      <c r="BW283" s="209">
        <f>IF(WWWW[[#This Row],[Total PoP ]]=0,0,IF(WWWW[[#This Row],['# Hygiene Promoters ]]=0,0,IF(WWWW[[#This Row],[Location Type 1]]="Village",IF(WWWW[[#This Row],[Total PoP ]]/WWWW[[#This Row],['# Hygiene Promoters ]]&lt;1000,1,0),IF(WWWW[[#This Row],[Total PoP ]]/WWWW[[#This Row],['# Hygiene Promoters ]]&lt;600,1,0))))</f>
        <v>0</v>
      </c>
      <c r="BX283" s="209">
        <f>IF(WWWW[[#This Row],[%HH with access to soap]]&gt;=100%,1,0)</f>
        <v>0</v>
      </c>
      <c r="BY283" s="209">
        <f>IF(WWWW[[#This Row],[% of HHs with access to Sanitary pad more than '#%]]+WWWW[[#This Row],[Ratio of Hyiene promoters to people less than '#]]+WWWW[[#This Row],[% of HHs with access to soap more than '#%]]&gt;=2,WWWW[[#This Row],[Total PoP ]],0)</f>
        <v>0</v>
      </c>
      <c r="BZ283" s="208">
        <f>WWWW[[#This Row],[People adopt basic personal and community hygiene practices]]/WWWW[[#This Row],[Total PoP ]]</f>
        <v>0</v>
      </c>
      <c r="CA283" s="212">
        <f>1-WWWW[[#This Row],[Hygiene Coverage%]]</f>
        <v>1</v>
      </c>
      <c r="CB283" s="211">
        <f>WWWW[[#This Row],['# people reached by regular dedicated hygiene promotion_5]]/WWWW[[#This Row],[Total PoP ]]</f>
        <v>0</v>
      </c>
      <c r="CC283" s="211">
        <f>IF(WWWW[[#This Row],['# HH received soaps]]/WWWW[[#This Row],[Total HH]]&gt;1,1,WWWW[[#This Row],['# HH received soaps]]/WWWW[[#This Row],[Total HH]])</f>
        <v>0</v>
      </c>
      <c r="CD283" s="211">
        <f>IF(WWWW[[#This Row],['# HH received Sanitary Pads]]/WWWW[[#This Row],[Total HH]]&gt;1,1,WWWW[[#This Row],['# HH received Sanitary Pads]]/WWWW[[#This Row],[Total HH]])</f>
        <v>0</v>
      </c>
      <c r="CE283" s="210">
        <f>WWWW[[#This Row],['# HH received soaps]]*5</f>
        <v>0</v>
      </c>
      <c r="CF283" s="210">
        <f>WWWW[[#This Row],['# HH received Sanitary Pads]]*5</f>
        <v>0</v>
      </c>
      <c r="CG283" s="210">
        <f>IF(WWWW[[#This Row],['# People with access to soap]]&gt;WWWW[[#This Row],['# People with access to Sanity Pads]],WWWW[[#This Row],['# People with access to soap]],WWWW[[#This Row],['# People with access to Sanity Pads]])</f>
        <v>0</v>
      </c>
      <c r="CH283" s="209">
        <f>WWWW[[#This Row],[Total HH]]*WWWW[[#This Row],[%HHs with access to functional hand washing stations]]</f>
        <v>0</v>
      </c>
      <c r="CI283" s="699">
        <f>VLOOKUP(WWWW[[#This Row],[Site Name]],SiteDB6[[Site Name]:[CCCM Management]],6,FALSE)</f>
        <v>0</v>
      </c>
      <c r="CJ283" s="699">
        <f>VLOOKUP(WWWW[[#This Row],[Site Name]],SiteDB6[[Site Name]:[CCCM Focal Agency]],7,FALSE)</f>
        <v>0</v>
      </c>
      <c r="CK283" s="699" t="str">
        <f>VLOOKUP(WWWW[[#This Row],[Site Name]],SiteDB6[[Site Name]:[Location Type]],8,FALSE)</f>
        <v>Village</v>
      </c>
      <c r="CL283" s="699" t="str">
        <f>VLOOKUP(WWWW[[#This Row],[Site Name]],SiteDB6[[Site Name]:[Location Type 1]],9,FALSE)</f>
        <v>Village</v>
      </c>
      <c r="CM283" s="699" t="str">
        <f>VLOOKUP(WWWW[[#This Row],[Site Name]],SiteDB6[[Site Name]:[Type of Accommodation]],10,FALSE)</f>
        <v>Village</v>
      </c>
      <c r="CN283" s="699" t="str">
        <f>VLOOKUP(WWWW[[#This Row],[Site Name]],SiteDB6[[Site Name]:[Ethnic or GCA/NGCA]],11,FALSE)</f>
        <v>Rakhine</v>
      </c>
      <c r="CO283" s="699">
        <f>VLOOKUP(WWWW[[#This Row],[Site Name]],SiteDB6[[Site Name]:[Lat]],12,FALSE)</f>
        <v>20.218471527099599</v>
      </c>
      <c r="CP283" s="699">
        <f>VLOOKUP(WWWW[[#This Row],[Site Name]],SiteDB6[[Site Name]:[Long]],13,FALSE)</f>
        <v>93.424331665039105</v>
      </c>
      <c r="CQ283" s="699" t="str">
        <f>VLOOKUP(WWWW[[#This Row],[Site Name]],SiteDB6[[Site Name]:[Pcode]],3,FALSE)</f>
        <v>220671</v>
      </c>
      <c r="CR283" s="660" t="str">
        <f t="shared" si="6"/>
        <v>Notcovered</v>
      </c>
      <c r="CS283" s="660"/>
      <c r="CT283" s="24"/>
      <c r="CU283" s="24"/>
      <c r="CV283" s="24"/>
    </row>
    <row r="284" spans="1:100" ht="15.75" customHeight="1" x14ac:dyDescent="0.25">
      <c r="A284" s="833" t="s">
        <v>3206</v>
      </c>
      <c r="B284" s="206" t="s">
        <v>460</v>
      </c>
      <c r="C284" s="206" t="s">
        <v>454</v>
      </c>
      <c r="D284" s="206" t="s">
        <v>473</v>
      </c>
      <c r="E284" s="206" t="s">
        <v>631</v>
      </c>
      <c r="F284" s="206">
        <v>150</v>
      </c>
      <c r="G284" s="209">
        <v>730</v>
      </c>
      <c r="H284" s="206"/>
      <c r="I284" s="206"/>
      <c r="J284" s="207"/>
      <c r="K284" s="206"/>
      <c r="L284" s="206" t="s">
        <v>282</v>
      </c>
      <c r="M284" s="208">
        <v>0</v>
      </c>
      <c r="N284" s="208">
        <v>0</v>
      </c>
      <c r="O284" s="316">
        <v>2</v>
      </c>
      <c r="P284" s="317">
        <v>0</v>
      </c>
      <c r="Q284" s="317"/>
      <c r="R284" s="318"/>
      <c r="S284" s="318">
        <v>3</v>
      </c>
      <c r="T284" s="318"/>
      <c r="U284" s="318"/>
      <c r="V284" s="318"/>
      <c r="W284" s="318"/>
      <c r="X284" s="318"/>
      <c r="Y284" s="318"/>
      <c r="Z284" s="318"/>
      <c r="AA284" s="310">
        <v>55</v>
      </c>
      <c r="AB284" s="310"/>
      <c r="AC284" s="66"/>
      <c r="AD284" s="66"/>
      <c r="AE284" s="310">
        <v>55</v>
      </c>
      <c r="AF284" s="310" t="s">
        <v>286</v>
      </c>
      <c r="AG284" s="311" t="s">
        <v>286</v>
      </c>
      <c r="AH284" s="311"/>
      <c r="AI284" s="310"/>
      <c r="AJ284" s="310"/>
      <c r="AK284" s="841">
        <v>1</v>
      </c>
      <c r="AL284" s="842"/>
      <c r="AM284" s="842">
        <v>15</v>
      </c>
      <c r="AN284" s="863"/>
      <c r="AO284" s="863">
        <v>4</v>
      </c>
      <c r="AP284" s="843"/>
      <c r="AQ284" s="843"/>
      <c r="AR284" s="843"/>
      <c r="AS284" s="843"/>
      <c r="AT284" s="843"/>
      <c r="AU284" s="843"/>
      <c r="AV284" s="844"/>
      <c r="AW284" s="208" t="str">
        <f>IFERROR(WWWW[[#This Row],['# of Water passed at source]]/WWWW[[#This Row],['# of Water tested at source]],"no test")</f>
        <v>no test</v>
      </c>
      <c r="AX284" s="211" t="str">
        <f>IFERROR(WWWW[[#This Row],['# of Water passed at HH]]/WWWW[[#This Row],['# of Water tested at HH]],"no test")</f>
        <v>no test</v>
      </c>
      <c r="AY284" s="210" t="str">
        <f>IF(AND(WWWW[[#This Row],[%of Water samples which passed at water source]]="no test",WWWW[[#This Row],[%Water samples which passed at HH]]="no test"),"No Test","Tested")</f>
        <v>No Test</v>
      </c>
      <c r="AZ28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8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0.68493150684931503</v>
      </c>
      <c r="BB284" s="211">
        <f>IF(WWWW[[#This Row],[Location Type 1]]="Village",WWWW[[#This Row],[Access to safe drinking water for Village]],WWWW[[#This Row],[Access to safe drinking water for Camp]])</f>
        <v>0.68493150684931503</v>
      </c>
      <c r="BC284" s="209">
        <f>WWWW[[#This Row],[%Equitable and continuous access to sufficient quantity of safe drinking water]]*WWWW[[#This Row],[Total PoP ]]</f>
        <v>500</v>
      </c>
      <c r="BD284" s="211">
        <f>IF((WWWW[[#This Row],['# Existing protected/fenced ponds ]]*250)/WWWW[[#This Row],[Total PoP ]]&gt;1,1,WWWW[[#This Row],['# Existing protected/fenced ponds ]]*250/WWWW[[#This Row],[Total PoP ]])</f>
        <v>0</v>
      </c>
      <c r="BE284" s="209">
        <f>WWWW[[#This Row],[Access to unimproved water points]]*WWWW[[#This Row],[Total PoP ]]</f>
        <v>0</v>
      </c>
      <c r="BF28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0.68493150684931503</v>
      </c>
      <c r="BG28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H284" s="209">
        <f>ROUND(WWWW[[#This Row],['#people Equitable and continuous access to sufficient quantity of domestic water borehole n ponds_2]]/500,0)</f>
        <v>1</v>
      </c>
      <c r="BI284" s="208">
        <f>1-WWWW[[#This Row],[%Equitable and continuous access to sufficient quantity of domestic water borehole n ponds]]</f>
        <v>0.31506849315068497</v>
      </c>
      <c r="BJ284" s="209">
        <f>WWWW[[#This Row],[%equitable and continuous access to sufficient quantity of safe drinking and domestic water''s GAP]]*WWWW[[#This Row],[Total PoP ]]</f>
        <v>230.00000000000003</v>
      </c>
      <c r="BK284" s="210">
        <f>IF(WWWW[[#This Row],[Total required water points]]-WWWW[[#This Row],['#Water points coverage]]&lt;0,0,WWWW[[#This Row],[Total required water points]]-WWWW[[#This Row],['#Water points coverage]])</f>
        <v>0</v>
      </c>
      <c r="BL284" s="210">
        <f>ROUND(IF(WWWW[[#This Row],[Total PoP ]]&lt;500,1,WWWW[[#This Row],[Total PoP ]]/500),0)</f>
        <v>1</v>
      </c>
      <c r="BM284" s="210">
        <f>WWWW[[#This Row],['# Existing functional latrines]]+WWWW[[#This Row],['# Existing latrines dysfunctional]]</f>
        <v>55</v>
      </c>
      <c r="BN28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0.45205479452054792</v>
      </c>
      <c r="BO284" s="352">
        <f>WWWW[[#This Row],[% people access to functioning Latrine]]*WWWW[[#This Row],[Total PoP ]]</f>
        <v>330</v>
      </c>
      <c r="BP28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0.55068493150684927</v>
      </c>
      <c r="BQ284" s="209">
        <f>IF(WWWW[[#This Row],[Total required Latrines]]-WWWW[[#This Row],[Total '# of latrine]]&lt;0,0,WWWW[[#This Row],[Total required Latrines]]-WWWW[[#This Row],[Total '# of latrine]])</f>
        <v>67</v>
      </c>
      <c r="BR284" s="210">
        <f>ROUND(IF(WWWW[[#This Row],[Location Type 1]]="camp",WWWW[[#This Row],[Total PoP ]]/20,WWWW[[#This Row],[Total PoP ]]/6),0)</f>
        <v>122</v>
      </c>
      <c r="BS284" s="212">
        <f>IF(OR(WWWW[[#This Row],['# Existing latrines dysfunctional]]="",WWWW[[#This Row],['# Existing latrines dysfunctional]]=0),0,WWWW[[#This Row],['# Existing latrines dysfunctional]]/WWWW[[#This Row],[Total '# of latrine]])</f>
        <v>0</v>
      </c>
      <c r="BT28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4" s="209">
        <f>IF(500*WWWW[[#This Row],['# Hygiene Promoters ]]&gt;WWWW[[#This Row],[Total PoP ]],WWWW[[#This Row],[Total PoP ]],500*WWWW[[#This Row],['# Hygiene Promoters ]])</f>
        <v>730</v>
      </c>
      <c r="BV284" s="209">
        <f>IF(WWWW[[#This Row],[% of HH with access to Sanitary Pad]]&gt;=100%,1,0)</f>
        <v>0</v>
      </c>
      <c r="BW284" s="209">
        <f>IF(WWWW[[#This Row],[Total PoP ]]=0,0,IF(WWWW[[#This Row],['# Hygiene Promoters ]]=0,0,IF(WWWW[[#This Row],[Location Type 1]]="Village",IF(WWWW[[#This Row],[Total PoP ]]/WWWW[[#This Row],['# Hygiene Promoters ]]&lt;1000,1,0),IF(WWWW[[#This Row],[Total PoP ]]/WWWW[[#This Row],['# Hygiene Promoters ]]&lt;600,1,0))))</f>
        <v>1</v>
      </c>
      <c r="BX284" s="209">
        <f>IF(WWWW[[#This Row],[%HH with access to soap]]&gt;=100%,1,0)</f>
        <v>0</v>
      </c>
      <c r="BY284" s="209">
        <f>IF(WWWW[[#This Row],[% of HHs with access to Sanitary pad more than '#%]]+WWWW[[#This Row],[Ratio of Hyiene promoters to people less than '#]]+WWWW[[#This Row],[% of HHs with access to soap more than '#%]]&gt;=2,WWWW[[#This Row],[Total PoP ]],0)</f>
        <v>0</v>
      </c>
      <c r="BZ284" s="208">
        <f>WWWW[[#This Row],[People adopt basic personal and community hygiene practices]]/WWWW[[#This Row],[Total PoP ]]</f>
        <v>0</v>
      </c>
      <c r="CA284" s="212">
        <f>1-WWWW[[#This Row],[Hygiene Coverage%]]</f>
        <v>1</v>
      </c>
      <c r="CB284" s="211">
        <f>WWWW[[#This Row],['# people reached by regular dedicated hygiene promotion_5]]/WWWW[[#This Row],[Total PoP ]]</f>
        <v>1</v>
      </c>
      <c r="CC284" s="211">
        <f>IF(WWWW[[#This Row],['# HH received soaps]]/WWWW[[#This Row],[Total HH]]&gt;1,1,WWWW[[#This Row],['# HH received soaps]]/WWWW[[#This Row],[Total HH]])</f>
        <v>0</v>
      </c>
      <c r="CD284" s="211">
        <f>IF(WWWW[[#This Row],['# HH received Sanitary Pads]]/WWWW[[#This Row],[Total HH]]&gt;1,1,WWWW[[#This Row],['# HH received Sanitary Pads]]/WWWW[[#This Row],[Total HH]])</f>
        <v>0</v>
      </c>
      <c r="CE284" s="210">
        <f>WWWW[[#This Row],['# HH received soaps]]*5</f>
        <v>0</v>
      </c>
      <c r="CF284" s="210">
        <f>WWWW[[#This Row],['# HH received Sanitary Pads]]*5</f>
        <v>0</v>
      </c>
      <c r="CG284" s="210">
        <f>IF(WWWW[[#This Row],['# People with access to soap]]&gt;WWWW[[#This Row],['# People with access to Sanity Pads]],WWWW[[#This Row],['# People with access to soap]],WWWW[[#This Row],['# People with access to Sanity Pads]])</f>
        <v>0</v>
      </c>
      <c r="CH284" s="209">
        <f>WWWW[[#This Row],[Total HH]]*WWWW[[#This Row],[%HHs with access to functional hand washing stations]]</f>
        <v>150</v>
      </c>
      <c r="CI284" s="699">
        <f>VLOOKUP(WWWW[[#This Row],[Site Name]],SiteDB6[[Site Name]:[CCCM Management]],6,FALSE)</f>
        <v>0</v>
      </c>
      <c r="CJ284" s="699">
        <f>VLOOKUP(WWWW[[#This Row],[Site Name]],SiteDB6[[Site Name]:[CCCM Focal Agency]],7,FALSE)</f>
        <v>0</v>
      </c>
      <c r="CK284" s="699" t="str">
        <f>VLOOKUP(WWWW[[#This Row],[Site Name]],SiteDB6[[Site Name]:[Location Type]],8,FALSE)</f>
        <v>Village</v>
      </c>
      <c r="CL284" s="699" t="str">
        <f>VLOOKUP(WWWW[[#This Row],[Site Name]],SiteDB6[[Site Name]:[Location Type 1]],9,FALSE)</f>
        <v>Village</v>
      </c>
      <c r="CM284" s="699" t="str">
        <f>VLOOKUP(WWWW[[#This Row],[Site Name]],SiteDB6[[Site Name]:[Type of Accommodation]],10,FALSE)</f>
        <v>Returned</v>
      </c>
      <c r="CN284" s="699" t="str">
        <f>VLOOKUP(WWWW[[#This Row],[Site Name]],SiteDB6[[Site Name]:[Ethnic or GCA/NGCA]],11,FALSE)</f>
        <v>Muslim</v>
      </c>
      <c r="CO284" s="699">
        <f>VLOOKUP(WWWW[[#This Row],[Site Name]],SiteDB6[[Site Name]:[Lat]],12,FALSE)</f>
        <v>20.39902</v>
      </c>
      <c r="CP284" s="699">
        <f>VLOOKUP(WWWW[[#This Row],[Site Name]],SiteDB6[[Site Name]:[Long]],13,FALSE)</f>
        <v>93.249669999999995</v>
      </c>
      <c r="CQ284" s="699" t="str">
        <f>VLOOKUP(WWWW[[#This Row],[Site Name]],SiteDB6[[Site Name]:[Pcode]],3,FALSE)</f>
        <v>MMR012CMP003</v>
      </c>
      <c r="CR284" s="660" t="str">
        <f t="shared" si="6"/>
        <v>Notcovered</v>
      </c>
      <c r="CS284" s="660"/>
      <c r="CT284" s="24"/>
      <c r="CU284" s="24"/>
      <c r="CV284" s="24"/>
    </row>
    <row r="285" spans="1:100" ht="15.75" customHeight="1" x14ac:dyDescent="0.25">
      <c r="A285" s="833" t="s">
        <v>3206</v>
      </c>
      <c r="B285" s="206" t="s">
        <v>460</v>
      </c>
      <c r="C285" s="206" t="s">
        <v>454</v>
      </c>
      <c r="D285" s="206" t="s">
        <v>473</v>
      </c>
      <c r="E285" s="206" t="s">
        <v>656</v>
      </c>
      <c r="F285" s="206">
        <v>175</v>
      </c>
      <c r="G285" s="209">
        <v>659</v>
      </c>
      <c r="H285" s="206"/>
      <c r="I285" s="206"/>
      <c r="J285" s="207"/>
      <c r="K285" s="206"/>
      <c r="L285" s="206" t="s">
        <v>282</v>
      </c>
      <c r="M285" s="208">
        <v>0</v>
      </c>
      <c r="N285" s="208">
        <v>0</v>
      </c>
      <c r="O285" s="323">
        <v>2</v>
      </c>
      <c r="P285" s="317">
        <v>0</v>
      </c>
      <c r="Q285" s="317"/>
      <c r="R285" s="318"/>
      <c r="S285" s="318">
        <v>0</v>
      </c>
      <c r="T285" s="318"/>
      <c r="U285" s="318"/>
      <c r="V285" s="318"/>
      <c r="W285" s="318"/>
      <c r="X285" s="318"/>
      <c r="Y285" s="318"/>
      <c r="Z285" s="318"/>
      <c r="AA285" s="310">
        <v>12</v>
      </c>
      <c r="AB285" s="311"/>
      <c r="AC285" s="66"/>
      <c r="AD285" s="66"/>
      <c r="AE285" s="310">
        <v>12</v>
      </c>
      <c r="AF285" s="310" t="s">
        <v>286</v>
      </c>
      <c r="AG285" s="311" t="s">
        <v>286</v>
      </c>
      <c r="AH285" s="66"/>
      <c r="AI285" s="66"/>
      <c r="AJ285" s="311"/>
      <c r="AK285" s="841">
        <v>0</v>
      </c>
      <c r="AL285" s="846"/>
      <c r="AM285" s="844">
        <v>0</v>
      </c>
      <c r="AN285" s="863"/>
      <c r="AO285" s="863"/>
      <c r="AP285" s="843"/>
      <c r="AQ285" s="843"/>
      <c r="AR285" s="843"/>
      <c r="AS285" s="843"/>
      <c r="AT285" s="843"/>
      <c r="AU285" s="843"/>
      <c r="AV285" s="844"/>
      <c r="AW285" s="208" t="str">
        <f>IFERROR(WWWW[[#This Row],['# of Water passed at source]]/WWWW[[#This Row],['# of Water tested at source]],"no test")</f>
        <v>no test</v>
      </c>
      <c r="AX285" s="211" t="str">
        <f>IFERROR(WWWW[[#This Row],['# of Water passed at HH]]/WWWW[[#This Row],['# of Water tested at HH]],"no test")</f>
        <v>no test</v>
      </c>
      <c r="AY285" s="210" t="str">
        <f>IF(AND(WWWW[[#This Row],[%of Water samples which passed at water source]]="no test",WWWW[[#This Row],[%Water samples which passed at HH]]="no test"),"No Test","Tested")</f>
        <v>No Test</v>
      </c>
      <c r="AZ28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8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0.75872534142640369</v>
      </c>
      <c r="BB285" s="211">
        <f>IF(WWWW[[#This Row],[Location Type 1]]="Village",WWWW[[#This Row],[Access to safe drinking water for Village]],WWWW[[#This Row],[Access to safe drinking water for Camp]])</f>
        <v>0.75872534142640369</v>
      </c>
      <c r="BC285" s="209">
        <f>WWWW[[#This Row],[%Equitable and continuous access to sufficient quantity of safe drinking water]]*WWWW[[#This Row],[Total PoP ]]</f>
        <v>500.00000000000006</v>
      </c>
      <c r="BD285" s="211">
        <f>IF((WWWW[[#This Row],['# Existing protected/fenced ponds ]]*250)/WWWW[[#This Row],[Total PoP ]]&gt;1,1,WWWW[[#This Row],['# Existing protected/fenced ponds ]]*250/WWWW[[#This Row],[Total PoP ]])</f>
        <v>0</v>
      </c>
      <c r="BE285" s="209">
        <f>WWWW[[#This Row],[Access to unimproved water points]]*WWWW[[#This Row],[Total PoP ]]</f>
        <v>0</v>
      </c>
      <c r="BF28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0.75872534142640369</v>
      </c>
      <c r="BG28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500.00000000000006</v>
      </c>
      <c r="BH285" s="209">
        <f>ROUND(WWWW[[#This Row],['#people Equitable and continuous access to sufficient quantity of domestic water borehole n ponds_2]]/500,0)</f>
        <v>1</v>
      </c>
      <c r="BI285" s="208">
        <f>1-WWWW[[#This Row],[%Equitable and continuous access to sufficient quantity of domestic water borehole n ponds]]</f>
        <v>0.24127465857359631</v>
      </c>
      <c r="BJ285" s="209">
        <f>WWWW[[#This Row],[%equitable and continuous access to sufficient quantity of safe drinking and domestic water''s GAP]]*WWWW[[#This Row],[Total PoP ]]</f>
        <v>158.99999999999997</v>
      </c>
      <c r="BK285" s="210">
        <f>IF(WWWW[[#This Row],[Total required water points]]-WWWW[[#This Row],['#Water points coverage]]&lt;0,0,WWWW[[#This Row],[Total required water points]]-WWWW[[#This Row],['#Water points coverage]])</f>
        <v>0</v>
      </c>
      <c r="BL285" s="210">
        <f>ROUND(IF(WWWW[[#This Row],[Total PoP ]]&lt;500,1,WWWW[[#This Row],[Total PoP ]]/500),0)</f>
        <v>1</v>
      </c>
      <c r="BM285" s="210">
        <f>WWWW[[#This Row],['# Existing functional latrines]]+WWWW[[#This Row],['# Existing latrines dysfunctional]]</f>
        <v>12</v>
      </c>
      <c r="BN28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0.10925644916540213</v>
      </c>
      <c r="BO285" s="352">
        <f>WWWW[[#This Row],[% people access to functioning Latrine]]*WWWW[[#This Row],[Total PoP ]]</f>
        <v>72</v>
      </c>
      <c r="BP28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0.89226100151745069</v>
      </c>
      <c r="BQ285" s="209">
        <f>IF(WWWW[[#This Row],[Total required Latrines]]-WWWW[[#This Row],[Total '# of latrine]]&lt;0,0,WWWW[[#This Row],[Total required Latrines]]-WWWW[[#This Row],[Total '# of latrine]])</f>
        <v>98</v>
      </c>
      <c r="BR285" s="210">
        <f>ROUND(IF(WWWW[[#This Row],[Location Type 1]]="camp",WWWW[[#This Row],[Total PoP ]]/20,WWWW[[#This Row],[Total PoP ]]/6),0)</f>
        <v>110</v>
      </c>
      <c r="BS285" s="212">
        <f>IF(OR(WWWW[[#This Row],['# Existing latrines dysfunctional]]="",WWWW[[#This Row],['# Existing latrines dysfunctional]]=0),0,WWWW[[#This Row],['# Existing latrines dysfunctional]]/WWWW[[#This Row],[Total '# of latrine]])</f>
        <v>0</v>
      </c>
      <c r="BT28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5" s="209">
        <f>IF(500*WWWW[[#This Row],['# Hygiene Promoters ]]&gt;WWWW[[#This Row],[Total PoP ]],WWWW[[#This Row],[Total PoP ]],500*WWWW[[#This Row],['# Hygiene Promoters ]])</f>
        <v>0</v>
      </c>
      <c r="BV285" s="209">
        <f>IF(WWWW[[#This Row],[% of HH with access to Sanitary Pad]]&gt;=100%,1,0)</f>
        <v>0</v>
      </c>
      <c r="BW285" s="209">
        <f>IF(WWWW[[#This Row],[Total PoP ]]=0,0,IF(WWWW[[#This Row],['# Hygiene Promoters ]]=0,0,IF(WWWW[[#This Row],[Location Type 1]]="Village",IF(WWWW[[#This Row],[Total PoP ]]/WWWW[[#This Row],['# Hygiene Promoters ]]&lt;1000,1,0),IF(WWWW[[#This Row],[Total PoP ]]/WWWW[[#This Row],['# Hygiene Promoters ]]&lt;600,1,0))))</f>
        <v>0</v>
      </c>
      <c r="BX285" s="209">
        <f>IF(WWWW[[#This Row],[%HH with access to soap]]&gt;=100%,1,0)</f>
        <v>0</v>
      </c>
      <c r="BY285" s="209">
        <f>IF(WWWW[[#This Row],[% of HHs with access to Sanitary pad more than '#%]]+WWWW[[#This Row],[Ratio of Hyiene promoters to people less than '#]]+WWWW[[#This Row],[% of HHs with access to soap more than '#%]]&gt;=2,WWWW[[#This Row],[Total PoP ]],0)</f>
        <v>0</v>
      </c>
      <c r="BZ285" s="208">
        <f>WWWW[[#This Row],[People adopt basic personal and community hygiene practices]]/WWWW[[#This Row],[Total PoP ]]</f>
        <v>0</v>
      </c>
      <c r="CA285" s="212">
        <f>1-WWWW[[#This Row],[Hygiene Coverage%]]</f>
        <v>1</v>
      </c>
      <c r="CB285" s="211">
        <f>WWWW[[#This Row],['# people reached by regular dedicated hygiene promotion_5]]/WWWW[[#This Row],[Total PoP ]]</f>
        <v>0</v>
      </c>
      <c r="CC285" s="211">
        <f>IF(WWWW[[#This Row],['# HH received soaps]]/WWWW[[#This Row],[Total HH]]&gt;1,1,WWWW[[#This Row],['# HH received soaps]]/WWWW[[#This Row],[Total HH]])</f>
        <v>0</v>
      </c>
      <c r="CD285" s="211">
        <f>IF(WWWW[[#This Row],['# HH received Sanitary Pads]]/WWWW[[#This Row],[Total HH]]&gt;1,1,WWWW[[#This Row],['# HH received Sanitary Pads]]/WWWW[[#This Row],[Total HH]])</f>
        <v>0</v>
      </c>
      <c r="CE285" s="210">
        <f>WWWW[[#This Row],['# HH received soaps]]*5</f>
        <v>0</v>
      </c>
      <c r="CF285" s="210">
        <f>WWWW[[#This Row],['# HH received Sanitary Pads]]*5</f>
        <v>0</v>
      </c>
      <c r="CG285" s="210">
        <f>IF(WWWW[[#This Row],['# People with access to soap]]&gt;WWWW[[#This Row],['# People with access to Sanity Pads]],WWWW[[#This Row],['# People with access to soap]],WWWW[[#This Row],['# People with access to Sanity Pads]])</f>
        <v>0</v>
      </c>
      <c r="CH285" s="209">
        <f>WWWW[[#This Row],[Total HH]]*WWWW[[#This Row],[%HHs with access to functional hand washing stations]]</f>
        <v>0</v>
      </c>
      <c r="CI285" s="699">
        <f>VLOOKUP(WWWW[[#This Row],[Site Name]],SiteDB6[[Site Name]:[CCCM Management]],6,FALSE)</f>
        <v>0</v>
      </c>
      <c r="CJ285" s="699">
        <f>VLOOKUP(WWWW[[#This Row],[Site Name]],SiteDB6[[Site Name]:[CCCM Focal Agency]],7,FALSE)</f>
        <v>0</v>
      </c>
      <c r="CK285" s="699" t="str">
        <f>VLOOKUP(WWWW[[#This Row],[Site Name]],SiteDB6[[Site Name]:[Location Type]],8,FALSE)</f>
        <v>Village</v>
      </c>
      <c r="CL285" s="699" t="str">
        <f>VLOOKUP(WWWW[[#This Row],[Site Name]],SiteDB6[[Site Name]:[Location Type 1]],9,FALSE)</f>
        <v>Village</v>
      </c>
      <c r="CM285" s="699" t="str">
        <f>VLOOKUP(WWWW[[#This Row],[Site Name]],SiteDB6[[Site Name]:[Type of Accommodation]],10,FALSE)</f>
        <v>Village</v>
      </c>
      <c r="CN285" s="699" t="str">
        <f>VLOOKUP(WWWW[[#This Row],[Site Name]],SiteDB6[[Site Name]:[Ethnic or GCA/NGCA]],11,FALSE)</f>
        <v>Rakhine</v>
      </c>
      <c r="CO285" s="699">
        <f>VLOOKUP(WWWW[[#This Row],[Site Name]],SiteDB6[[Site Name]:[Lat]],12,FALSE)</f>
        <v>20.5199794769287</v>
      </c>
      <c r="CP285" s="699">
        <f>VLOOKUP(WWWW[[#This Row],[Site Name]],SiteDB6[[Site Name]:[Long]],13,FALSE)</f>
        <v>93.277252197265597</v>
      </c>
      <c r="CQ285" s="699" t="str">
        <f>VLOOKUP(WWWW[[#This Row],[Site Name]],SiteDB6[[Site Name]:[Pcode]],3,FALSE)</f>
        <v>197067</v>
      </c>
      <c r="CR285" s="660" t="str">
        <f t="shared" si="6"/>
        <v>Notcovered</v>
      </c>
      <c r="CS285" s="699"/>
      <c r="CT285" s="24"/>
      <c r="CU285" s="24"/>
      <c r="CV285" s="24"/>
    </row>
    <row r="286" spans="1:100" ht="15.75" customHeight="1" x14ac:dyDescent="0.25">
      <c r="A286" s="833" t="s">
        <v>3206</v>
      </c>
      <c r="B286" s="206" t="s">
        <v>460</v>
      </c>
      <c r="C286" s="206" t="s">
        <v>454</v>
      </c>
      <c r="D286" s="206" t="s">
        <v>473</v>
      </c>
      <c r="E286" s="206" t="s">
        <v>629</v>
      </c>
      <c r="F286" s="206">
        <v>41</v>
      </c>
      <c r="G286" s="209">
        <v>146</v>
      </c>
      <c r="H286" s="206"/>
      <c r="I286" s="206"/>
      <c r="J286" s="207"/>
      <c r="K286" s="206"/>
      <c r="L286" s="206" t="s">
        <v>282</v>
      </c>
      <c r="M286" s="208">
        <v>0</v>
      </c>
      <c r="N286" s="208">
        <v>0</v>
      </c>
      <c r="O286" s="316">
        <v>2</v>
      </c>
      <c r="P286" s="317">
        <v>0</v>
      </c>
      <c r="Q286" s="317"/>
      <c r="R286" s="318"/>
      <c r="S286" s="318">
        <v>2</v>
      </c>
      <c r="T286" s="318"/>
      <c r="U286" s="318"/>
      <c r="V286" s="318"/>
      <c r="W286" s="318"/>
      <c r="X286" s="318"/>
      <c r="Y286" s="318"/>
      <c r="Z286" s="318"/>
      <c r="AA286" s="310">
        <v>2</v>
      </c>
      <c r="AB286" s="310"/>
      <c r="AC286" s="66"/>
      <c r="AD286" s="66"/>
      <c r="AE286" s="310">
        <v>2</v>
      </c>
      <c r="AF286" s="310" t="s">
        <v>286</v>
      </c>
      <c r="AG286" s="311" t="s">
        <v>286</v>
      </c>
      <c r="AH286" s="311"/>
      <c r="AI286" s="310"/>
      <c r="AJ286" s="310"/>
      <c r="AK286" s="841">
        <v>0</v>
      </c>
      <c r="AL286" s="842"/>
      <c r="AM286" s="842">
        <v>0</v>
      </c>
      <c r="AN286" s="863"/>
      <c r="AO286" s="863"/>
      <c r="AP286" s="843"/>
      <c r="AQ286" s="843"/>
      <c r="AR286" s="843"/>
      <c r="AS286" s="843"/>
      <c r="AT286" s="843"/>
      <c r="AU286" s="843"/>
      <c r="AV286" s="844"/>
      <c r="AW286" s="208" t="str">
        <f>IFERROR(WWWW[[#This Row],['# of Water passed at source]]/WWWW[[#This Row],['# of Water tested at source]],"no test")</f>
        <v>no test</v>
      </c>
      <c r="AX286" s="211" t="str">
        <f>IFERROR(WWWW[[#This Row],['# of Water passed at HH]]/WWWW[[#This Row],['# of Water tested at HH]],"no test")</f>
        <v>no test</v>
      </c>
      <c r="AY286" s="210" t="str">
        <f>IF(AND(WWWW[[#This Row],[%of Water samples which passed at water source]]="no test",WWWW[[#This Row],[%Water samples which passed at HH]]="no test"),"No Test","Tested")</f>
        <v>No Test</v>
      </c>
      <c r="AZ28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8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86" s="211">
        <f>IF(WWWW[[#This Row],[Location Type 1]]="Village",WWWW[[#This Row],[Access to safe drinking water for Village]],WWWW[[#This Row],[Access to safe drinking water for Camp]])</f>
        <v>1</v>
      </c>
      <c r="BC286" s="209">
        <f>WWWW[[#This Row],[%Equitable and continuous access to sufficient quantity of safe drinking water]]*WWWW[[#This Row],[Total PoP ]]</f>
        <v>146</v>
      </c>
      <c r="BD286" s="211">
        <f>IF((WWWW[[#This Row],['# Existing protected/fenced ponds ]]*250)/WWWW[[#This Row],[Total PoP ]]&gt;1,1,WWWW[[#This Row],['# Existing protected/fenced ponds ]]*250/WWWW[[#This Row],[Total PoP ]])</f>
        <v>0</v>
      </c>
      <c r="BE286" s="209">
        <f>WWWW[[#This Row],[Access to unimproved water points]]*WWWW[[#This Row],[Total PoP ]]</f>
        <v>0</v>
      </c>
      <c r="BF28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8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146</v>
      </c>
      <c r="BH286" s="209">
        <f>ROUND(WWWW[[#This Row],['#people Equitable and continuous access to sufficient quantity of domestic water borehole n ponds_2]]/500,0)</f>
        <v>0</v>
      </c>
      <c r="BI286" s="208">
        <f>1-WWWW[[#This Row],[%Equitable and continuous access to sufficient quantity of domestic water borehole n ponds]]</f>
        <v>0</v>
      </c>
      <c r="BJ286" s="209">
        <f>WWWW[[#This Row],[%equitable and continuous access to sufficient quantity of safe drinking and domestic water''s GAP]]*WWWW[[#This Row],[Total PoP ]]</f>
        <v>0</v>
      </c>
      <c r="BK286" s="210">
        <f>IF(WWWW[[#This Row],[Total required water points]]-WWWW[[#This Row],['#Water points coverage]]&lt;0,0,WWWW[[#This Row],[Total required water points]]-WWWW[[#This Row],['#Water points coverage]])</f>
        <v>1</v>
      </c>
      <c r="BL286" s="210">
        <f>ROUND(IF(WWWW[[#This Row],[Total PoP ]]&lt;500,1,WWWW[[#This Row],[Total PoP ]]/500),0)</f>
        <v>1</v>
      </c>
      <c r="BM286" s="210">
        <f>WWWW[[#This Row],['# Existing functional latrines]]+WWWW[[#This Row],['# Existing latrines dysfunctional]]</f>
        <v>2</v>
      </c>
      <c r="BN28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8.2191780821917804E-2</v>
      </c>
      <c r="BO286" s="352">
        <f>WWWW[[#This Row],[% people access to functioning Latrine]]*WWWW[[#This Row],[Total PoP ]]</f>
        <v>12</v>
      </c>
      <c r="BP28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0.90410958904109595</v>
      </c>
      <c r="BQ286" s="209">
        <f>IF(WWWW[[#This Row],[Total required Latrines]]-WWWW[[#This Row],[Total '# of latrine]]&lt;0,0,WWWW[[#This Row],[Total required Latrines]]-WWWW[[#This Row],[Total '# of latrine]])</f>
        <v>22</v>
      </c>
      <c r="BR286" s="210">
        <f>ROUND(IF(WWWW[[#This Row],[Location Type 1]]="camp",WWWW[[#This Row],[Total PoP ]]/20,WWWW[[#This Row],[Total PoP ]]/6),0)</f>
        <v>24</v>
      </c>
      <c r="BS286" s="212">
        <f>IF(OR(WWWW[[#This Row],['# Existing latrines dysfunctional]]="",WWWW[[#This Row],['# Existing latrines dysfunctional]]=0),0,WWWW[[#This Row],['# Existing latrines dysfunctional]]/WWWW[[#This Row],[Total '# of latrine]])</f>
        <v>0</v>
      </c>
      <c r="BT28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6" s="209">
        <f>IF(500*WWWW[[#This Row],['# Hygiene Promoters ]]&gt;WWWW[[#This Row],[Total PoP ]],WWWW[[#This Row],[Total PoP ]],500*WWWW[[#This Row],['# Hygiene Promoters ]])</f>
        <v>0</v>
      </c>
      <c r="BV286" s="209">
        <f>IF(WWWW[[#This Row],[% of HH with access to Sanitary Pad]]&gt;=100%,1,0)</f>
        <v>0</v>
      </c>
      <c r="BW286" s="209">
        <f>IF(WWWW[[#This Row],[Total PoP ]]=0,0,IF(WWWW[[#This Row],['# Hygiene Promoters ]]=0,0,IF(WWWW[[#This Row],[Location Type 1]]="Village",IF(WWWW[[#This Row],[Total PoP ]]/WWWW[[#This Row],['# Hygiene Promoters ]]&lt;1000,1,0),IF(WWWW[[#This Row],[Total PoP ]]/WWWW[[#This Row],['# Hygiene Promoters ]]&lt;600,1,0))))</f>
        <v>0</v>
      </c>
      <c r="BX286" s="209">
        <f>IF(WWWW[[#This Row],[%HH with access to soap]]&gt;=100%,1,0)</f>
        <v>0</v>
      </c>
      <c r="BY286" s="209">
        <f>IF(WWWW[[#This Row],[% of HHs with access to Sanitary pad more than '#%]]+WWWW[[#This Row],[Ratio of Hyiene promoters to people less than '#]]+WWWW[[#This Row],[% of HHs with access to soap more than '#%]]&gt;=2,WWWW[[#This Row],[Total PoP ]],0)</f>
        <v>0</v>
      </c>
      <c r="BZ286" s="208">
        <f>WWWW[[#This Row],[People adopt basic personal and community hygiene practices]]/WWWW[[#This Row],[Total PoP ]]</f>
        <v>0</v>
      </c>
      <c r="CA286" s="212">
        <f>1-WWWW[[#This Row],[Hygiene Coverage%]]</f>
        <v>1</v>
      </c>
      <c r="CB286" s="211">
        <f>WWWW[[#This Row],['# people reached by regular dedicated hygiene promotion_5]]/WWWW[[#This Row],[Total PoP ]]</f>
        <v>0</v>
      </c>
      <c r="CC286" s="211">
        <f>IF(WWWW[[#This Row],['# HH received soaps]]/WWWW[[#This Row],[Total HH]]&gt;1,1,WWWW[[#This Row],['# HH received soaps]]/WWWW[[#This Row],[Total HH]])</f>
        <v>0</v>
      </c>
      <c r="CD286" s="211">
        <f>IF(WWWW[[#This Row],['# HH received Sanitary Pads]]/WWWW[[#This Row],[Total HH]]&gt;1,1,WWWW[[#This Row],['# HH received Sanitary Pads]]/WWWW[[#This Row],[Total HH]])</f>
        <v>0</v>
      </c>
      <c r="CE286" s="210">
        <f>WWWW[[#This Row],['# HH received soaps]]*5</f>
        <v>0</v>
      </c>
      <c r="CF286" s="210">
        <f>WWWW[[#This Row],['# HH received Sanitary Pads]]*5</f>
        <v>0</v>
      </c>
      <c r="CG286" s="210">
        <f>IF(WWWW[[#This Row],['# People with access to soap]]&gt;WWWW[[#This Row],['# People with access to Sanity Pads]],WWWW[[#This Row],['# People with access to soap]],WWWW[[#This Row],['# People with access to Sanity Pads]])</f>
        <v>0</v>
      </c>
      <c r="CH286" s="209">
        <f>WWWW[[#This Row],[Total HH]]*WWWW[[#This Row],[%HHs with access to functional hand washing stations]]</f>
        <v>0</v>
      </c>
      <c r="CI286" s="699">
        <f>VLOOKUP(WWWW[[#This Row],[Site Name]],SiteDB6[[Site Name]:[CCCM Management]],6,FALSE)</f>
        <v>0</v>
      </c>
      <c r="CJ286" s="699">
        <f>VLOOKUP(WWWW[[#This Row],[Site Name]],SiteDB6[[Site Name]:[CCCM Focal Agency]],7,FALSE)</f>
        <v>0</v>
      </c>
      <c r="CK286" s="699" t="str">
        <f>VLOOKUP(WWWW[[#This Row],[Site Name]],SiteDB6[[Site Name]:[Location Type]],8,FALSE)</f>
        <v>Village</v>
      </c>
      <c r="CL286" s="699" t="str">
        <f>VLOOKUP(WWWW[[#This Row],[Site Name]],SiteDB6[[Site Name]:[Location Type 1]],9,FALSE)</f>
        <v>Village</v>
      </c>
      <c r="CM286" s="699" t="str">
        <f>VLOOKUP(WWWW[[#This Row],[Site Name]],SiteDB6[[Site Name]:[Type of Accommodation]],10,FALSE)</f>
        <v>Village</v>
      </c>
      <c r="CN286" s="699" t="str">
        <f>VLOOKUP(WWWW[[#This Row],[Site Name]],SiteDB6[[Site Name]:[Ethnic or GCA/NGCA]],11,FALSE)</f>
        <v>Rakhine</v>
      </c>
      <c r="CO286" s="699">
        <f>VLOOKUP(WWWW[[#This Row],[Site Name]],SiteDB6[[Site Name]:[Lat]],12,FALSE)</f>
        <v>20.396680832000001</v>
      </c>
      <c r="CP286" s="699">
        <f>VLOOKUP(WWWW[[#This Row],[Site Name]],SiteDB6[[Site Name]:[Long]],13,FALSE)</f>
        <v>93.252868652000004</v>
      </c>
      <c r="CQ286" s="699" t="str">
        <f>VLOOKUP(WWWW[[#This Row],[Site Name]],SiteDB6[[Site Name]:[Pcode]],3,FALSE)</f>
        <v>196998</v>
      </c>
      <c r="CR286" s="660" t="str">
        <f t="shared" si="6"/>
        <v>Notcovered</v>
      </c>
      <c r="CS286" s="660"/>
      <c r="CT286" s="24"/>
      <c r="CU286" s="24"/>
      <c r="CV286" s="24"/>
    </row>
    <row r="287" spans="1:100" ht="15.75" customHeight="1" x14ac:dyDescent="0.25">
      <c r="A287" s="833" t="s">
        <v>3206</v>
      </c>
      <c r="B287" s="206" t="s">
        <v>460</v>
      </c>
      <c r="C287" s="206" t="s">
        <v>454</v>
      </c>
      <c r="D287" s="206" t="s">
        <v>473</v>
      </c>
      <c r="E287" s="206" t="s">
        <v>626</v>
      </c>
      <c r="F287" s="206">
        <v>280</v>
      </c>
      <c r="G287" s="209">
        <v>1423</v>
      </c>
      <c r="H287" s="206"/>
      <c r="I287" s="206"/>
      <c r="J287" s="207"/>
      <c r="K287" s="206"/>
      <c r="L287" s="206" t="s">
        <v>282</v>
      </c>
      <c r="M287" s="208">
        <v>0</v>
      </c>
      <c r="N287" s="208">
        <v>0</v>
      </c>
      <c r="O287" s="316">
        <v>2</v>
      </c>
      <c r="P287" s="317">
        <v>0</v>
      </c>
      <c r="Q287" s="317"/>
      <c r="R287" s="318"/>
      <c r="S287" s="318">
        <v>3</v>
      </c>
      <c r="T287" s="318"/>
      <c r="U287" s="318"/>
      <c r="V287" s="318"/>
      <c r="W287" s="318"/>
      <c r="X287" s="318"/>
      <c r="Y287" s="318"/>
      <c r="Z287" s="318"/>
      <c r="AA287" s="310">
        <v>60</v>
      </c>
      <c r="AB287" s="310"/>
      <c r="AC287" s="66"/>
      <c r="AD287" s="66"/>
      <c r="AE287" s="310">
        <v>60</v>
      </c>
      <c r="AF287" s="310" t="s">
        <v>286</v>
      </c>
      <c r="AG287" s="311" t="s">
        <v>286</v>
      </c>
      <c r="AH287" s="311"/>
      <c r="AI287" s="310"/>
      <c r="AJ287" s="310"/>
      <c r="AK287" s="841">
        <v>1</v>
      </c>
      <c r="AL287" s="842"/>
      <c r="AM287" s="842">
        <v>0</v>
      </c>
      <c r="AN287" s="863"/>
      <c r="AO287" s="863">
        <v>6</v>
      </c>
      <c r="AP287" s="843"/>
      <c r="AQ287" s="843"/>
      <c r="AR287" s="843"/>
      <c r="AS287" s="843"/>
      <c r="AT287" s="843"/>
      <c r="AU287" s="843"/>
      <c r="AV287" s="844"/>
      <c r="AW287" s="208" t="str">
        <f>IFERROR(WWWW[[#This Row],['# of Water passed at source]]/WWWW[[#This Row],['# of Water tested at source]],"no test")</f>
        <v>no test</v>
      </c>
      <c r="AX287" s="211" t="str">
        <f>IFERROR(WWWW[[#This Row],['# of Water passed at HH]]/WWWW[[#This Row],['# of Water tested at HH]],"no test")</f>
        <v>no test</v>
      </c>
      <c r="AY287" s="210" t="str">
        <f>IF(AND(WWWW[[#This Row],[%of Water samples which passed at water source]]="no test",WWWW[[#This Row],[%Water samples which passed at HH]]="no test"),"No Test","Tested")</f>
        <v>No Test</v>
      </c>
      <c r="AZ28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8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0.35137034434293746</v>
      </c>
      <c r="BB287" s="211">
        <f>IF(WWWW[[#This Row],[Location Type 1]]="Village",WWWW[[#This Row],[Access to safe drinking water for Village]],WWWW[[#This Row],[Access to safe drinking water for Camp]])</f>
        <v>0.35137034434293746</v>
      </c>
      <c r="BC287" s="209">
        <f>WWWW[[#This Row],[%Equitable and continuous access to sufficient quantity of safe drinking water]]*WWWW[[#This Row],[Total PoP ]]</f>
        <v>500</v>
      </c>
      <c r="BD287" s="211">
        <f>IF((WWWW[[#This Row],['# Existing protected/fenced ponds ]]*250)/WWWW[[#This Row],[Total PoP ]]&gt;1,1,WWWW[[#This Row],['# Existing protected/fenced ponds ]]*250/WWWW[[#This Row],[Total PoP ]])</f>
        <v>0</v>
      </c>
      <c r="BE287" s="209">
        <f>WWWW[[#This Row],[Access to unimproved water points]]*WWWW[[#This Row],[Total PoP ]]</f>
        <v>0</v>
      </c>
      <c r="BF28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0.35137034434293746</v>
      </c>
      <c r="BG28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H287" s="209">
        <f>ROUND(WWWW[[#This Row],['#people Equitable and continuous access to sufficient quantity of domestic water borehole n ponds_2]]/500,0)</f>
        <v>1</v>
      </c>
      <c r="BI287" s="208">
        <f>1-WWWW[[#This Row],[%Equitable and continuous access to sufficient quantity of domestic water borehole n ponds]]</f>
        <v>0.64862965565706254</v>
      </c>
      <c r="BJ287" s="209">
        <f>WWWW[[#This Row],[%equitable and continuous access to sufficient quantity of safe drinking and domestic water''s GAP]]*WWWW[[#This Row],[Total PoP ]]</f>
        <v>923</v>
      </c>
      <c r="BK287" s="210">
        <f>IF(WWWW[[#This Row],[Total required water points]]-WWWW[[#This Row],['#Water points coverage]]&lt;0,0,WWWW[[#This Row],[Total required water points]]-WWWW[[#This Row],['#Water points coverage]])</f>
        <v>2</v>
      </c>
      <c r="BL287" s="210">
        <f>ROUND(IF(WWWW[[#This Row],[Total PoP ]]&lt;500,1,WWWW[[#This Row],[Total PoP ]]/500),0)</f>
        <v>3</v>
      </c>
      <c r="BM287" s="210">
        <f>WWWW[[#This Row],['# Existing functional latrines]]+WWWW[[#This Row],['# Existing latrines dysfunctional]]</f>
        <v>60</v>
      </c>
      <c r="BN28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0.25298664792691494</v>
      </c>
      <c r="BO287" s="352">
        <f>WWWW[[#This Row],[% people access to functioning Latrine]]*WWWW[[#This Row],[Total PoP ]]</f>
        <v>359.99999999999994</v>
      </c>
      <c r="BP28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0.74631061138439914</v>
      </c>
      <c r="BQ287" s="209">
        <f>IF(WWWW[[#This Row],[Total required Latrines]]-WWWW[[#This Row],[Total '# of latrine]]&lt;0,0,WWWW[[#This Row],[Total required Latrines]]-WWWW[[#This Row],[Total '# of latrine]])</f>
        <v>177</v>
      </c>
      <c r="BR287" s="210">
        <f>ROUND(IF(WWWW[[#This Row],[Location Type 1]]="camp",WWWW[[#This Row],[Total PoP ]]/20,WWWW[[#This Row],[Total PoP ]]/6),0)</f>
        <v>237</v>
      </c>
      <c r="BS287" s="212">
        <f>IF(OR(WWWW[[#This Row],['# Existing latrines dysfunctional]]="",WWWW[[#This Row],['# Existing latrines dysfunctional]]=0),0,WWWW[[#This Row],['# Existing latrines dysfunctional]]/WWWW[[#This Row],[Total '# of latrine]])</f>
        <v>0</v>
      </c>
      <c r="BT28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7" s="209">
        <f>IF(500*WWWW[[#This Row],['# Hygiene Promoters ]]&gt;WWWW[[#This Row],[Total PoP ]],WWWW[[#This Row],[Total PoP ]],500*WWWW[[#This Row],['# Hygiene Promoters ]])</f>
        <v>1423</v>
      </c>
      <c r="BV287" s="209">
        <f>IF(WWWW[[#This Row],[% of HH with access to Sanitary Pad]]&gt;=100%,1,0)</f>
        <v>0</v>
      </c>
      <c r="BW287" s="209">
        <f>IF(WWWW[[#This Row],[Total PoP ]]=0,0,IF(WWWW[[#This Row],['# Hygiene Promoters ]]=0,0,IF(WWWW[[#This Row],[Location Type 1]]="Village",IF(WWWW[[#This Row],[Total PoP ]]/WWWW[[#This Row],['# Hygiene Promoters ]]&lt;1000,1,0),IF(WWWW[[#This Row],[Total PoP ]]/WWWW[[#This Row],['# Hygiene Promoters ]]&lt;600,1,0))))</f>
        <v>1</v>
      </c>
      <c r="BX287" s="209">
        <f>IF(WWWW[[#This Row],[%HH with access to soap]]&gt;=100%,1,0)</f>
        <v>0</v>
      </c>
      <c r="BY287" s="209">
        <f>IF(WWWW[[#This Row],[% of HHs with access to Sanitary pad more than '#%]]+WWWW[[#This Row],[Ratio of Hyiene promoters to people less than '#]]+WWWW[[#This Row],[% of HHs with access to soap more than '#%]]&gt;=2,WWWW[[#This Row],[Total PoP ]],0)</f>
        <v>0</v>
      </c>
      <c r="BZ287" s="208">
        <f>WWWW[[#This Row],[People adopt basic personal and community hygiene practices]]/WWWW[[#This Row],[Total PoP ]]</f>
        <v>0</v>
      </c>
      <c r="CA287" s="212">
        <f>1-WWWW[[#This Row],[Hygiene Coverage%]]</f>
        <v>1</v>
      </c>
      <c r="CB287" s="211">
        <f>WWWW[[#This Row],['# people reached by regular dedicated hygiene promotion_5]]/WWWW[[#This Row],[Total PoP ]]</f>
        <v>1</v>
      </c>
      <c r="CC287" s="211">
        <f>IF(WWWW[[#This Row],['# HH received soaps]]/WWWW[[#This Row],[Total HH]]&gt;1,1,WWWW[[#This Row],['# HH received soaps]]/WWWW[[#This Row],[Total HH]])</f>
        <v>0</v>
      </c>
      <c r="CD287" s="211">
        <f>IF(WWWW[[#This Row],['# HH received Sanitary Pads]]/WWWW[[#This Row],[Total HH]]&gt;1,1,WWWW[[#This Row],['# HH received Sanitary Pads]]/WWWW[[#This Row],[Total HH]])</f>
        <v>0</v>
      </c>
      <c r="CE287" s="210">
        <f>WWWW[[#This Row],['# HH received soaps]]*5</f>
        <v>0</v>
      </c>
      <c r="CF287" s="210">
        <f>WWWW[[#This Row],['# HH received Sanitary Pads]]*5</f>
        <v>0</v>
      </c>
      <c r="CG287" s="210">
        <f>IF(WWWW[[#This Row],['# People with access to soap]]&gt;WWWW[[#This Row],['# People with access to Sanity Pads]],WWWW[[#This Row],['# People with access to soap]],WWWW[[#This Row],['# People with access to Sanity Pads]])</f>
        <v>0</v>
      </c>
      <c r="CH287" s="209">
        <f>WWWW[[#This Row],[Total HH]]*WWWW[[#This Row],[%HHs with access to functional hand washing stations]]</f>
        <v>280</v>
      </c>
      <c r="CI287" s="699">
        <f>VLOOKUP(WWWW[[#This Row],[Site Name]],SiteDB6[[Site Name]:[CCCM Management]],6,FALSE)</f>
        <v>0</v>
      </c>
      <c r="CJ287" s="699">
        <f>VLOOKUP(WWWW[[#This Row],[Site Name]],SiteDB6[[Site Name]:[CCCM Focal Agency]],7,FALSE)</f>
        <v>0</v>
      </c>
      <c r="CK287" s="699" t="str">
        <f>VLOOKUP(WWWW[[#This Row],[Site Name]],SiteDB6[[Site Name]:[Location Type]],8,FALSE)</f>
        <v>Village</v>
      </c>
      <c r="CL287" s="699" t="str">
        <f>VLOOKUP(WWWW[[#This Row],[Site Name]],SiteDB6[[Site Name]:[Location Type 1]],9,FALSE)</f>
        <v>Village</v>
      </c>
      <c r="CM287" s="699" t="str">
        <f>VLOOKUP(WWWW[[#This Row],[Site Name]],SiteDB6[[Site Name]:[Type of Accommodation]],10,FALSE)</f>
        <v>Returned</v>
      </c>
      <c r="CN287" s="699" t="str">
        <f>VLOOKUP(WWWW[[#This Row],[Site Name]],SiteDB6[[Site Name]:[Ethnic or GCA/NGCA]],11,FALSE)</f>
        <v>Muslim</v>
      </c>
      <c r="CO287" s="699">
        <f>VLOOKUP(WWWW[[#This Row],[Site Name]],SiteDB6[[Site Name]:[Lat]],12,FALSE)</f>
        <v>20.392137999999999</v>
      </c>
      <c r="CP287" s="699">
        <f>VLOOKUP(WWWW[[#This Row],[Site Name]],SiteDB6[[Site Name]:[Long]],13,FALSE)</f>
        <v>93.257272</v>
      </c>
      <c r="CQ287" s="699" t="str">
        <f>VLOOKUP(WWWW[[#This Row],[Site Name]],SiteDB6[[Site Name]:[Pcode]],3,FALSE)</f>
        <v>MMR012CMP002</v>
      </c>
      <c r="CR287" s="660" t="str">
        <f t="shared" si="6"/>
        <v>Notcovered</v>
      </c>
      <c r="CS287" s="660"/>
      <c r="CT287" s="24"/>
      <c r="CU287" s="24"/>
      <c r="CV287" s="24"/>
    </row>
    <row r="288" spans="1:100" ht="15.75" customHeight="1" x14ac:dyDescent="0.25">
      <c r="A288" s="833" t="s">
        <v>3206</v>
      </c>
      <c r="B288" s="206" t="s">
        <v>460</v>
      </c>
      <c r="C288" s="206" t="s">
        <v>454</v>
      </c>
      <c r="D288" s="206" t="s">
        <v>637</v>
      </c>
      <c r="E288" s="206" t="s">
        <v>714</v>
      </c>
      <c r="F288" s="206">
        <f>ROUND(WWWW[[#This Row],[Total PoP ]]/5,0)</f>
        <v>146</v>
      </c>
      <c r="G288" s="209">
        <v>731</v>
      </c>
      <c r="H288" s="206"/>
      <c r="I288" s="206"/>
      <c r="J288" s="207"/>
      <c r="K288" s="206"/>
      <c r="L288" s="206" t="s">
        <v>282</v>
      </c>
      <c r="M288" s="208">
        <v>0</v>
      </c>
      <c r="N288" s="208">
        <v>0</v>
      </c>
      <c r="O288" s="316">
        <v>1</v>
      </c>
      <c r="P288" s="317"/>
      <c r="Q288" s="317"/>
      <c r="R288" s="318"/>
      <c r="S288" s="318">
        <v>0</v>
      </c>
      <c r="T288" s="318"/>
      <c r="U288" s="318"/>
      <c r="V288" s="318"/>
      <c r="W288" s="318"/>
      <c r="X288" s="318"/>
      <c r="Y288" s="318"/>
      <c r="Z288" s="318"/>
      <c r="AA288" s="310">
        <v>5</v>
      </c>
      <c r="AB288" s="310"/>
      <c r="AC288" s="66"/>
      <c r="AD288" s="66"/>
      <c r="AE288" s="310">
        <v>0</v>
      </c>
      <c r="AF288" s="310" t="s">
        <v>286</v>
      </c>
      <c r="AG288" s="311" t="s">
        <v>286</v>
      </c>
      <c r="AH288" s="311"/>
      <c r="AI288" s="310"/>
      <c r="AJ288" s="310"/>
      <c r="AK288" s="841">
        <v>0</v>
      </c>
      <c r="AL288" s="842"/>
      <c r="AM288" s="842">
        <v>0</v>
      </c>
      <c r="AN288" s="863"/>
      <c r="AO288" s="863">
        <v>0</v>
      </c>
      <c r="AP288" s="843"/>
      <c r="AQ288" s="843"/>
      <c r="AR288" s="843"/>
      <c r="AS288" s="843"/>
      <c r="AT288" s="843"/>
      <c r="AU288" s="843"/>
      <c r="AV288" s="844"/>
      <c r="AW288" s="208" t="str">
        <f>IFERROR(WWWW[[#This Row],['# of Water passed at source]]/WWWW[[#This Row],['# of Water tested at source]],"no test")</f>
        <v>no test</v>
      </c>
      <c r="AX288" s="211" t="str">
        <f>IFERROR(WWWW[[#This Row],['# of Water passed at HH]]/WWWW[[#This Row],['# of Water tested at HH]],"no test")</f>
        <v>no test</v>
      </c>
      <c r="AY288" s="210" t="str">
        <f>IF(AND(WWWW[[#This Row],[%of Water samples which passed at water source]]="no test",WWWW[[#This Row],[%Water samples which passed at HH]]="no test"),"No Test","Tested")</f>
        <v>No Test</v>
      </c>
      <c r="AZ28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8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0.34199726402188785</v>
      </c>
      <c r="BB288" s="211">
        <f>IF(WWWW[[#This Row],[Location Type 1]]="Village",WWWW[[#This Row],[Access to safe drinking water for Village]],WWWW[[#This Row],[Access to safe drinking water for Camp]])</f>
        <v>0.34199726402188785</v>
      </c>
      <c r="BC288" s="209">
        <f>WWWW[[#This Row],[%Equitable and continuous access to sufficient quantity of safe drinking water]]*WWWW[[#This Row],[Total PoP ]]</f>
        <v>250.00000000000003</v>
      </c>
      <c r="BD288" s="211">
        <f>IF((WWWW[[#This Row],['# Existing protected/fenced ponds ]]*250)/WWWW[[#This Row],[Total PoP ]]&gt;1,1,WWWW[[#This Row],['# Existing protected/fenced ponds ]]*250/WWWW[[#This Row],[Total PoP ]])</f>
        <v>0</v>
      </c>
      <c r="BE288" s="209">
        <f>WWWW[[#This Row],[Access to unimproved water points]]*WWWW[[#This Row],[Total PoP ]]</f>
        <v>0</v>
      </c>
      <c r="BF28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0.34199726402188785</v>
      </c>
      <c r="BG28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250.00000000000003</v>
      </c>
      <c r="BH288" s="209">
        <f>ROUND(WWWW[[#This Row],['#people Equitable and continuous access to sufficient quantity of domestic water borehole n ponds_2]]/500,0)</f>
        <v>1</v>
      </c>
      <c r="BI288" s="208">
        <f>1-WWWW[[#This Row],[%Equitable and continuous access to sufficient quantity of domestic water borehole n ponds]]</f>
        <v>0.65800273597811221</v>
      </c>
      <c r="BJ288" s="209">
        <f>WWWW[[#This Row],[%equitable and continuous access to sufficient quantity of safe drinking and domestic water''s GAP]]*WWWW[[#This Row],[Total PoP ]]</f>
        <v>481</v>
      </c>
      <c r="BK288" s="210">
        <f>IF(WWWW[[#This Row],[Total required water points]]-WWWW[[#This Row],['#Water points coverage]]&lt;0,0,WWWW[[#This Row],[Total required water points]]-WWWW[[#This Row],['#Water points coverage]])</f>
        <v>0</v>
      </c>
      <c r="BL288" s="210">
        <f>ROUND(IF(WWWW[[#This Row],[Total PoP ]]&lt;500,1,WWWW[[#This Row],[Total PoP ]]/500),0)</f>
        <v>1</v>
      </c>
      <c r="BM288" s="210">
        <f>WWWW[[#This Row],['# Existing functional latrines]]+WWWW[[#This Row],['# Existing latrines dysfunctional]]</f>
        <v>5</v>
      </c>
      <c r="BN28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4.1039671682626538E-2</v>
      </c>
      <c r="BO288" s="352">
        <f>WWWW[[#This Row],[% people access to functioning Latrine]]*WWWW[[#This Row],[Total PoP ]]</f>
        <v>30</v>
      </c>
      <c r="BP28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0.96032831737346103</v>
      </c>
      <c r="BQ288" s="209">
        <f>IF(WWWW[[#This Row],[Total required Latrines]]-WWWW[[#This Row],[Total '# of latrine]]&lt;0,0,WWWW[[#This Row],[Total required Latrines]]-WWWW[[#This Row],[Total '# of latrine]])</f>
        <v>117</v>
      </c>
      <c r="BR288" s="210">
        <f>ROUND(IF(WWWW[[#This Row],[Location Type 1]]="camp",WWWW[[#This Row],[Total PoP ]]/20,WWWW[[#This Row],[Total PoP ]]/6),0)</f>
        <v>122</v>
      </c>
      <c r="BS288" s="212">
        <f>IF(OR(WWWW[[#This Row],['# Existing latrines dysfunctional]]="",WWWW[[#This Row],['# Existing latrines dysfunctional]]=0),0,WWWW[[#This Row],['# Existing latrines dysfunctional]]/WWWW[[#This Row],[Total '# of latrine]])</f>
        <v>0</v>
      </c>
      <c r="BT28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8" s="209">
        <f>IF(500*WWWW[[#This Row],['# Hygiene Promoters ]]&gt;WWWW[[#This Row],[Total PoP ]],WWWW[[#This Row],[Total PoP ]],500*WWWW[[#This Row],['# Hygiene Promoters ]])</f>
        <v>0</v>
      </c>
      <c r="BV288" s="209">
        <f>IF(WWWW[[#This Row],[% of HH with access to Sanitary Pad]]&gt;=100%,1,0)</f>
        <v>0</v>
      </c>
      <c r="BW288" s="209">
        <f>IF(WWWW[[#This Row],[Total PoP ]]=0,0,IF(WWWW[[#This Row],['# Hygiene Promoters ]]=0,0,IF(WWWW[[#This Row],[Location Type 1]]="Village",IF(WWWW[[#This Row],[Total PoP ]]/WWWW[[#This Row],['# Hygiene Promoters ]]&lt;1000,1,0),IF(WWWW[[#This Row],[Total PoP ]]/WWWW[[#This Row],['# Hygiene Promoters ]]&lt;600,1,0))))</f>
        <v>0</v>
      </c>
      <c r="BX288" s="209">
        <f>IF(WWWW[[#This Row],[%HH with access to soap]]&gt;=100%,1,0)</f>
        <v>0</v>
      </c>
      <c r="BY288" s="209">
        <f>IF(WWWW[[#This Row],[% of HHs with access to Sanitary pad more than '#%]]+WWWW[[#This Row],[Ratio of Hyiene promoters to people less than '#]]+WWWW[[#This Row],[% of HHs with access to soap more than '#%]]&gt;=2,WWWW[[#This Row],[Total PoP ]],0)</f>
        <v>0</v>
      </c>
      <c r="BZ288" s="208">
        <f>WWWW[[#This Row],[People adopt basic personal and community hygiene practices]]/WWWW[[#This Row],[Total PoP ]]</f>
        <v>0</v>
      </c>
      <c r="CA288" s="212">
        <f>1-WWWW[[#This Row],[Hygiene Coverage%]]</f>
        <v>1</v>
      </c>
      <c r="CB288" s="211">
        <f>WWWW[[#This Row],['# people reached by regular dedicated hygiene promotion_5]]/WWWW[[#This Row],[Total PoP ]]</f>
        <v>0</v>
      </c>
      <c r="CC288" s="211">
        <f>IF(WWWW[[#This Row],['# HH received soaps]]/WWWW[[#This Row],[Total HH]]&gt;1,1,WWWW[[#This Row],['# HH received soaps]]/WWWW[[#This Row],[Total HH]])</f>
        <v>0</v>
      </c>
      <c r="CD288" s="211">
        <f>IF(WWWW[[#This Row],['# HH received Sanitary Pads]]/WWWW[[#This Row],[Total HH]]&gt;1,1,WWWW[[#This Row],['# HH received Sanitary Pads]]/WWWW[[#This Row],[Total HH]])</f>
        <v>0</v>
      </c>
      <c r="CE288" s="210">
        <f>WWWW[[#This Row],['# HH received soaps]]*5</f>
        <v>0</v>
      </c>
      <c r="CF288" s="210">
        <f>WWWW[[#This Row],['# HH received Sanitary Pads]]*5</f>
        <v>0</v>
      </c>
      <c r="CG288" s="210">
        <f>IF(WWWW[[#This Row],['# People with access to soap]]&gt;WWWW[[#This Row],['# People with access to Sanity Pads]],WWWW[[#This Row],['# People with access to soap]],WWWW[[#This Row],['# People with access to Sanity Pads]])</f>
        <v>0</v>
      </c>
      <c r="CH288" s="209">
        <f>WWWW[[#This Row],[Total HH]]*WWWW[[#This Row],[%HHs with access to functional hand washing stations]]</f>
        <v>0</v>
      </c>
      <c r="CI288" s="699">
        <f>VLOOKUP(WWWW[[#This Row],[Site Name]],SiteDB6[[Site Name]:[CCCM Management]],6,FALSE)</f>
        <v>0</v>
      </c>
      <c r="CJ288" s="699">
        <f>VLOOKUP(WWWW[[#This Row],[Site Name]],SiteDB6[[Site Name]:[CCCM Focal Agency]],7,FALSE)</f>
        <v>0</v>
      </c>
      <c r="CK288" s="699" t="str">
        <f>VLOOKUP(WWWW[[#This Row],[Site Name]],SiteDB6[[Site Name]:[Location Type]],8,FALSE)</f>
        <v>Village</v>
      </c>
      <c r="CL288" s="699" t="str">
        <f>VLOOKUP(WWWW[[#This Row],[Site Name]],SiteDB6[[Site Name]:[Location Type 1]],9,FALSE)</f>
        <v>Village</v>
      </c>
      <c r="CM288" s="699" t="str">
        <f>VLOOKUP(WWWW[[#This Row],[Site Name]],SiteDB6[[Site Name]:[Type of Accommodation]],10,FALSE)</f>
        <v>Village</v>
      </c>
      <c r="CN288" s="699" t="str">
        <f>VLOOKUP(WWWW[[#This Row],[Site Name]],SiteDB6[[Site Name]:[Ethnic or GCA/NGCA]],11,FALSE)</f>
        <v>Muslim</v>
      </c>
      <c r="CO288" s="699">
        <f>VLOOKUP(WWWW[[#This Row],[Site Name]],SiteDB6[[Site Name]:[Lat]],12,FALSE)</f>
        <v>20.697229385376001</v>
      </c>
      <c r="CP288" s="699">
        <f>VLOOKUP(WWWW[[#This Row],[Site Name]],SiteDB6[[Site Name]:[Long]],13,FALSE)</f>
        <v>93.044059753417997</v>
      </c>
      <c r="CQ288" s="699" t="str">
        <f>VLOOKUP(WWWW[[#This Row],[Site Name]],SiteDB6[[Site Name]:[Pcode]],3,FALSE)</f>
        <v>196643</v>
      </c>
      <c r="CR288" s="660" t="str">
        <f t="shared" si="6"/>
        <v>Notcovered</v>
      </c>
      <c r="CS288" s="660"/>
      <c r="CT288" s="24"/>
      <c r="CU288" s="24"/>
      <c r="CV288" s="24"/>
    </row>
    <row r="289" spans="1:100" ht="15.75" customHeight="1" x14ac:dyDescent="0.25">
      <c r="A289" s="833" t="s">
        <v>3206</v>
      </c>
      <c r="B289" s="206" t="s">
        <v>460</v>
      </c>
      <c r="C289" s="206" t="s">
        <v>454</v>
      </c>
      <c r="D289" s="206" t="s">
        <v>637</v>
      </c>
      <c r="E289" s="206" t="s">
        <v>649</v>
      </c>
      <c r="F289" s="206">
        <f>ROUND(WWWW[[#This Row],[Total PoP ]]/5,0)</f>
        <v>23</v>
      </c>
      <c r="G289" s="209">
        <v>117</v>
      </c>
      <c r="H289" s="206"/>
      <c r="I289" s="206"/>
      <c r="J289" s="207"/>
      <c r="K289" s="206"/>
      <c r="L289" s="206" t="s">
        <v>282</v>
      </c>
      <c r="M289" s="208">
        <v>0</v>
      </c>
      <c r="N289" s="208">
        <v>0</v>
      </c>
      <c r="O289" s="323">
        <v>2</v>
      </c>
      <c r="P289" s="317"/>
      <c r="Q289" s="317"/>
      <c r="R289" s="318"/>
      <c r="S289" s="318">
        <v>0</v>
      </c>
      <c r="T289" s="318"/>
      <c r="U289" s="318"/>
      <c r="V289" s="318"/>
      <c r="W289" s="318"/>
      <c r="X289" s="318"/>
      <c r="Y289" s="318"/>
      <c r="Z289" s="318"/>
      <c r="AA289" s="310">
        <v>0</v>
      </c>
      <c r="AB289" s="310"/>
      <c r="AC289" s="66"/>
      <c r="AD289" s="66"/>
      <c r="AE289" s="310">
        <v>0</v>
      </c>
      <c r="AF289" s="310" t="s">
        <v>286</v>
      </c>
      <c r="AG289" s="311" t="s">
        <v>286</v>
      </c>
      <c r="AH289" s="66"/>
      <c r="AI289" s="66"/>
      <c r="AJ289" s="310"/>
      <c r="AK289" s="841">
        <v>0</v>
      </c>
      <c r="AL289" s="842"/>
      <c r="AM289" s="842">
        <v>0</v>
      </c>
      <c r="AN289" s="863"/>
      <c r="AO289" s="863">
        <v>0</v>
      </c>
      <c r="AP289" s="843"/>
      <c r="AQ289" s="843"/>
      <c r="AR289" s="843"/>
      <c r="AS289" s="843"/>
      <c r="AT289" s="843"/>
      <c r="AU289" s="843"/>
      <c r="AV289" s="844"/>
      <c r="AW289" s="208" t="str">
        <f>IFERROR(WWWW[[#This Row],['# of Water passed at source]]/WWWW[[#This Row],['# of Water tested at source]],"no test")</f>
        <v>no test</v>
      </c>
      <c r="AX289" s="211" t="str">
        <f>IFERROR(WWWW[[#This Row],['# of Water passed at HH]]/WWWW[[#This Row],['# of Water tested at HH]],"no test")</f>
        <v>no test</v>
      </c>
      <c r="AY289" s="210" t="str">
        <f>IF(AND(WWWW[[#This Row],[%of Water samples which passed at water source]]="no test",WWWW[[#This Row],[%Water samples which passed at HH]]="no test"),"No Test","Tested")</f>
        <v>No Test</v>
      </c>
      <c r="AZ28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8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89" s="211">
        <f>IF(WWWW[[#This Row],[Location Type 1]]="Village",WWWW[[#This Row],[Access to safe drinking water for Village]],WWWW[[#This Row],[Access to safe drinking water for Camp]])</f>
        <v>1</v>
      </c>
      <c r="BC289" s="209">
        <f>WWWW[[#This Row],[%Equitable and continuous access to sufficient quantity of safe drinking water]]*WWWW[[#This Row],[Total PoP ]]</f>
        <v>117</v>
      </c>
      <c r="BD289" s="211">
        <f>IF((WWWW[[#This Row],['# Existing protected/fenced ponds ]]*250)/WWWW[[#This Row],[Total PoP ]]&gt;1,1,WWWW[[#This Row],['# Existing protected/fenced ponds ]]*250/WWWW[[#This Row],[Total PoP ]])</f>
        <v>0</v>
      </c>
      <c r="BE289" s="209">
        <f>WWWW[[#This Row],[Access to unimproved water points]]*WWWW[[#This Row],[Total PoP ]]</f>
        <v>0</v>
      </c>
      <c r="BF28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8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117</v>
      </c>
      <c r="BH289" s="209">
        <f>ROUND(WWWW[[#This Row],['#people Equitable and continuous access to sufficient quantity of domestic water borehole n ponds_2]]/500,0)</f>
        <v>0</v>
      </c>
      <c r="BI289" s="208">
        <f>1-WWWW[[#This Row],[%Equitable and continuous access to sufficient quantity of domestic water borehole n ponds]]</f>
        <v>0</v>
      </c>
      <c r="BJ289" s="209">
        <f>WWWW[[#This Row],[%equitable and continuous access to sufficient quantity of safe drinking and domestic water''s GAP]]*WWWW[[#This Row],[Total PoP ]]</f>
        <v>0</v>
      </c>
      <c r="BK289" s="210">
        <f>IF(WWWW[[#This Row],[Total required water points]]-WWWW[[#This Row],['#Water points coverage]]&lt;0,0,WWWW[[#This Row],[Total required water points]]-WWWW[[#This Row],['#Water points coverage]])</f>
        <v>1</v>
      </c>
      <c r="BL289" s="210">
        <f>ROUND(IF(WWWW[[#This Row],[Total PoP ]]&lt;500,1,WWWW[[#This Row],[Total PoP ]]/500),0)</f>
        <v>1</v>
      </c>
      <c r="BM289" s="210">
        <f>WWWW[[#This Row],['# Existing functional latrines]]+WWWW[[#This Row],['# Existing latrines dysfunctional]]</f>
        <v>0</v>
      </c>
      <c r="BN28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89" s="352">
        <f>WWWW[[#This Row],[% people access to functioning Latrine]]*WWWW[[#This Row],[Total PoP ]]</f>
        <v>0</v>
      </c>
      <c r="BP28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89" s="209">
        <f>IF(WWWW[[#This Row],[Total required Latrines]]-WWWW[[#This Row],[Total '# of latrine]]&lt;0,0,WWWW[[#This Row],[Total required Latrines]]-WWWW[[#This Row],[Total '# of latrine]])</f>
        <v>20</v>
      </c>
      <c r="BR289" s="210">
        <f>ROUND(IF(WWWW[[#This Row],[Location Type 1]]="camp",WWWW[[#This Row],[Total PoP ]]/20,WWWW[[#This Row],[Total PoP ]]/6),0)</f>
        <v>20</v>
      </c>
      <c r="BS289" s="212">
        <f>IF(OR(WWWW[[#This Row],['# Existing latrines dysfunctional]]="",WWWW[[#This Row],['# Existing latrines dysfunctional]]=0),0,WWWW[[#This Row],['# Existing latrines dysfunctional]]/WWWW[[#This Row],[Total '# of latrine]])</f>
        <v>0</v>
      </c>
      <c r="BT28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89" s="209">
        <f>IF(500*WWWW[[#This Row],['# Hygiene Promoters ]]&gt;WWWW[[#This Row],[Total PoP ]],WWWW[[#This Row],[Total PoP ]],500*WWWW[[#This Row],['# Hygiene Promoters ]])</f>
        <v>0</v>
      </c>
      <c r="BV289" s="209">
        <f>IF(WWWW[[#This Row],[% of HH with access to Sanitary Pad]]&gt;=100%,1,0)</f>
        <v>0</v>
      </c>
      <c r="BW289" s="209">
        <f>IF(WWWW[[#This Row],[Total PoP ]]=0,0,IF(WWWW[[#This Row],['# Hygiene Promoters ]]=0,0,IF(WWWW[[#This Row],[Location Type 1]]="Village",IF(WWWW[[#This Row],[Total PoP ]]/WWWW[[#This Row],['# Hygiene Promoters ]]&lt;1000,1,0),IF(WWWW[[#This Row],[Total PoP ]]/WWWW[[#This Row],['# Hygiene Promoters ]]&lt;600,1,0))))</f>
        <v>0</v>
      </c>
      <c r="BX289" s="209">
        <f>IF(WWWW[[#This Row],[%HH with access to soap]]&gt;=100%,1,0)</f>
        <v>0</v>
      </c>
      <c r="BY289" s="209">
        <f>IF(WWWW[[#This Row],[% of HHs with access to Sanitary pad more than '#%]]+WWWW[[#This Row],[Ratio of Hyiene promoters to people less than '#]]+WWWW[[#This Row],[% of HHs with access to soap more than '#%]]&gt;=2,WWWW[[#This Row],[Total PoP ]],0)</f>
        <v>0</v>
      </c>
      <c r="BZ289" s="208">
        <f>WWWW[[#This Row],[People adopt basic personal and community hygiene practices]]/WWWW[[#This Row],[Total PoP ]]</f>
        <v>0</v>
      </c>
      <c r="CA289" s="212">
        <f>1-WWWW[[#This Row],[Hygiene Coverage%]]</f>
        <v>1</v>
      </c>
      <c r="CB289" s="211">
        <f>WWWW[[#This Row],['# people reached by regular dedicated hygiene promotion_5]]/WWWW[[#This Row],[Total PoP ]]</f>
        <v>0</v>
      </c>
      <c r="CC289" s="211">
        <f>IF(WWWW[[#This Row],['# HH received soaps]]/WWWW[[#This Row],[Total HH]]&gt;1,1,WWWW[[#This Row],['# HH received soaps]]/WWWW[[#This Row],[Total HH]])</f>
        <v>0</v>
      </c>
      <c r="CD289" s="211">
        <f>IF(WWWW[[#This Row],['# HH received Sanitary Pads]]/WWWW[[#This Row],[Total HH]]&gt;1,1,WWWW[[#This Row],['# HH received Sanitary Pads]]/WWWW[[#This Row],[Total HH]])</f>
        <v>0</v>
      </c>
      <c r="CE289" s="210">
        <f>WWWW[[#This Row],['# HH received soaps]]*5</f>
        <v>0</v>
      </c>
      <c r="CF289" s="210">
        <f>WWWW[[#This Row],['# HH received Sanitary Pads]]*5</f>
        <v>0</v>
      </c>
      <c r="CG289" s="210">
        <f>IF(WWWW[[#This Row],['# People with access to soap]]&gt;WWWW[[#This Row],['# People with access to Sanity Pads]],WWWW[[#This Row],['# People with access to soap]],WWWW[[#This Row],['# People with access to Sanity Pads]])</f>
        <v>0</v>
      </c>
      <c r="CH289" s="209">
        <f>WWWW[[#This Row],[Total HH]]*WWWW[[#This Row],[%HHs with access to functional hand washing stations]]</f>
        <v>0</v>
      </c>
      <c r="CI289" s="699">
        <f>VLOOKUP(WWWW[[#This Row],[Site Name]],SiteDB6[[Site Name]:[CCCM Management]],6,FALSE)</f>
        <v>0</v>
      </c>
      <c r="CJ289" s="699">
        <f>VLOOKUP(WWWW[[#This Row],[Site Name]],SiteDB6[[Site Name]:[CCCM Focal Agency]],7,FALSE)</f>
        <v>0</v>
      </c>
      <c r="CK289" s="699" t="str">
        <f>VLOOKUP(WWWW[[#This Row],[Site Name]],SiteDB6[[Site Name]:[Location Type]],8,FALSE)</f>
        <v>Village</v>
      </c>
      <c r="CL289" s="699" t="str">
        <f>VLOOKUP(WWWW[[#This Row],[Site Name]],SiteDB6[[Site Name]:[Location Type 1]],9,FALSE)</f>
        <v>Village</v>
      </c>
      <c r="CM289" s="699" t="str">
        <f>VLOOKUP(WWWW[[#This Row],[Site Name]],SiteDB6[[Site Name]:[Type of Accommodation]],10,FALSE)</f>
        <v>Village</v>
      </c>
      <c r="CN289" s="699" t="str">
        <f>VLOOKUP(WWWW[[#This Row],[Site Name]],SiteDB6[[Site Name]:[Ethnic or GCA/NGCA]],11,FALSE)</f>
        <v>Rakhine</v>
      </c>
      <c r="CO289" s="699">
        <f>VLOOKUP(WWWW[[#This Row],[Site Name]],SiteDB6[[Site Name]:[Lat]],12,FALSE)</f>
        <v>20.489089965820298</v>
      </c>
      <c r="CP289" s="699">
        <f>VLOOKUP(WWWW[[#This Row],[Site Name]],SiteDB6[[Site Name]:[Long]],13,FALSE)</f>
        <v>93.211738586425795</v>
      </c>
      <c r="CQ289" s="699" t="str">
        <f>VLOOKUP(WWWW[[#This Row],[Site Name]],SiteDB6[[Site Name]:[Pcode]],3,FALSE)</f>
        <v>196508</v>
      </c>
      <c r="CR289" s="660" t="str">
        <f t="shared" si="6"/>
        <v>Notcovered</v>
      </c>
      <c r="CS289" s="699"/>
      <c r="CT289" s="24"/>
      <c r="CU289" s="24"/>
      <c r="CV289" s="24"/>
    </row>
    <row r="290" spans="1:100" ht="15.75" customHeight="1" x14ac:dyDescent="0.25">
      <c r="A290" s="833" t="s">
        <v>3206</v>
      </c>
      <c r="B290" s="206" t="s">
        <v>460</v>
      </c>
      <c r="C290" s="206" t="s">
        <v>454</v>
      </c>
      <c r="D290" s="206" t="s">
        <v>637</v>
      </c>
      <c r="E290" s="206" t="s">
        <v>640</v>
      </c>
      <c r="F290" s="206">
        <f>ROUND(WWWW[[#This Row],[Total PoP ]]/5,0)</f>
        <v>44</v>
      </c>
      <c r="G290" s="209">
        <v>221</v>
      </c>
      <c r="H290" s="206"/>
      <c r="I290" s="206"/>
      <c r="J290" s="207"/>
      <c r="K290" s="206"/>
      <c r="L290" s="206" t="s">
        <v>282</v>
      </c>
      <c r="M290" s="208">
        <v>0</v>
      </c>
      <c r="N290" s="208">
        <v>0</v>
      </c>
      <c r="O290" s="316">
        <v>2</v>
      </c>
      <c r="P290" s="317"/>
      <c r="Q290" s="317"/>
      <c r="R290" s="318"/>
      <c r="S290" s="318">
        <v>0</v>
      </c>
      <c r="T290" s="318"/>
      <c r="U290" s="318"/>
      <c r="V290" s="318"/>
      <c r="W290" s="318"/>
      <c r="X290" s="318"/>
      <c r="Y290" s="318"/>
      <c r="Z290" s="318"/>
      <c r="AA290" s="310">
        <v>3</v>
      </c>
      <c r="AB290" s="310"/>
      <c r="AC290" s="66"/>
      <c r="AD290" s="66"/>
      <c r="AE290" s="310">
        <v>0</v>
      </c>
      <c r="AF290" s="310" t="s">
        <v>286</v>
      </c>
      <c r="AG290" s="311" t="s">
        <v>286</v>
      </c>
      <c r="AH290" s="311"/>
      <c r="AI290" s="310"/>
      <c r="AJ290" s="310"/>
      <c r="AK290" s="841">
        <v>0</v>
      </c>
      <c r="AL290" s="842"/>
      <c r="AM290" s="842">
        <v>0</v>
      </c>
      <c r="AN290" s="863"/>
      <c r="AO290" s="863">
        <v>0</v>
      </c>
      <c r="AP290" s="843"/>
      <c r="AQ290" s="843"/>
      <c r="AR290" s="843"/>
      <c r="AS290" s="843"/>
      <c r="AT290" s="843"/>
      <c r="AU290" s="843"/>
      <c r="AV290" s="844"/>
      <c r="AW290" s="208" t="str">
        <f>IFERROR(WWWW[[#This Row],['# of Water passed at source]]/WWWW[[#This Row],['# of Water tested at source]],"no test")</f>
        <v>no test</v>
      </c>
      <c r="AX290" s="211" t="str">
        <f>IFERROR(WWWW[[#This Row],['# of Water passed at HH]]/WWWW[[#This Row],['# of Water tested at HH]],"no test")</f>
        <v>no test</v>
      </c>
      <c r="AY290" s="210" t="str">
        <f>IF(AND(WWWW[[#This Row],[%of Water samples which passed at water source]]="no test",WWWW[[#This Row],[%Water samples which passed at HH]]="no test"),"No Test","Tested")</f>
        <v>No Test</v>
      </c>
      <c r="AZ29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9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90" s="211">
        <f>IF(WWWW[[#This Row],[Location Type 1]]="Village",WWWW[[#This Row],[Access to safe drinking water for Village]],WWWW[[#This Row],[Access to safe drinking water for Camp]])</f>
        <v>1</v>
      </c>
      <c r="BC290" s="209">
        <f>WWWW[[#This Row],[%Equitable and continuous access to sufficient quantity of safe drinking water]]*WWWW[[#This Row],[Total PoP ]]</f>
        <v>221</v>
      </c>
      <c r="BD290" s="211">
        <f>IF((WWWW[[#This Row],['# Existing protected/fenced ponds ]]*250)/WWWW[[#This Row],[Total PoP ]]&gt;1,1,WWWW[[#This Row],['# Existing protected/fenced ponds ]]*250/WWWW[[#This Row],[Total PoP ]])</f>
        <v>0</v>
      </c>
      <c r="BE290" s="209">
        <f>WWWW[[#This Row],[Access to unimproved water points]]*WWWW[[#This Row],[Total PoP ]]</f>
        <v>0</v>
      </c>
      <c r="BF29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9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221</v>
      </c>
      <c r="BH290" s="209">
        <f>ROUND(WWWW[[#This Row],['#people Equitable and continuous access to sufficient quantity of domestic water borehole n ponds_2]]/500,0)</f>
        <v>0</v>
      </c>
      <c r="BI290" s="208">
        <f>1-WWWW[[#This Row],[%Equitable and continuous access to sufficient quantity of domestic water borehole n ponds]]</f>
        <v>0</v>
      </c>
      <c r="BJ290" s="209">
        <f>WWWW[[#This Row],[%equitable and continuous access to sufficient quantity of safe drinking and domestic water''s GAP]]*WWWW[[#This Row],[Total PoP ]]</f>
        <v>0</v>
      </c>
      <c r="BK290" s="210">
        <f>IF(WWWW[[#This Row],[Total required water points]]-WWWW[[#This Row],['#Water points coverage]]&lt;0,0,WWWW[[#This Row],[Total required water points]]-WWWW[[#This Row],['#Water points coverage]])</f>
        <v>1</v>
      </c>
      <c r="BL290" s="210">
        <f>ROUND(IF(WWWW[[#This Row],[Total PoP ]]&lt;500,1,WWWW[[#This Row],[Total PoP ]]/500),0)</f>
        <v>1</v>
      </c>
      <c r="BM290" s="210">
        <f>WWWW[[#This Row],['# Existing functional latrines]]+WWWW[[#This Row],['# Existing latrines dysfunctional]]</f>
        <v>3</v>
      </c>
      <c r="BN29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8.1447963800904979E-2</v>
      </c>
      <c r="BO290" s="352">
        <f>WWWW[[#This Row],[% people access to functioning Latrine]]*WWWW[[#This Row],[Total PoP ]]</f>
        <v>18</v>
      </c>
      <c r="BP29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0.92307692307692302</v>
      </c>
      <c r="BQ290" s="209">
        <f>IF(WWWW[[#This Row],[Total required Latrines]]-WWWW[[#This Row],[Total '# of latrine]]&lt;0,0,WWWW[[#This Row],[Total required Latrines]]-WWWW[[#This Row],[Total '# of latrine]])</f>
        <v>34</v>
      </c>
      <c r="BR290" s="210">
        <f>ROUND(IF(WWWW[[#This Row],[Location Type 1]]="camp",WWWW[[#This Row],[Total PoP ]]/20,WWWW[[#This Row],[Total PoP ]]/6),0)</f>
        <v>37</v>
      </c>
      <c r="BS290" s="212">
        <f>IF(OR(WWWW[[#This Row],['# Existing latrines dysfunctional]]="",WWWW[[#This Row],['# Existing latrines dysfunctional]]=0),0,WWWW[[#This Row],['# Existing latrines dysfunctional]]/WWWW[[#This Row],[Total '# of latrine]])</f>
        <v>0</v>
      </c>
      <c r="BT29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90" s="209">
        <f>IF(500*WWWW[[#This Row],['# Hygiene Promoters ]]&gt;WWWW[[#This Row],[Total PoP ]],WWWW[[#This Row],[Total PoP ]],500*WWWW[[#This Row],['# Hygiene Promoters ]])</f>
        <v>0</v>
      </c>
      <c r="BV290" s="209">
        <f>IF(WWWW[[#This Row],[% of HH with access to Sanitary Pad]]&gt;=100%,1,0)</f>
        <v>0</v>
      </c>
      <c r="BW290" s="209">
        <f>IF(WWWW[[#This Row],[Total PoP ]]=0,0,IF(WWWW[[#This Row],['# Hygiene Promoters ]]=0,0,IF(WWWW[[#This Row],[Location Type 1]]="Village",IF(WWWW[[#This Row],[Total PoP ]]/WWWW[[#This Row],['# Hygiene Promoters ]]&lt;1000,1,0),IF(WWWW[[#This Row],[Total PoP ]]/WWWW[[#This Row],['# Hygiene Promoters ]]&lt;600,1,0))))</f>
        <v>0</v>
      </c>
      <c r="BX290" s="209">
        <f>IF(WWWW[[#This Row],[%HH with access to soap]]&gt;=100%,1,0)</f>
        <v>0</v>
      </c>
      <c r="BY290" s="209">
        <f>IF(WWWW[[#This Row],[% of HHs with access to Sanitary pad more than '#%]]+WWWW[[#This Row],[Ratio of Hyiene promoters to people less than '#]]+WWWW[[#This Row],[% of HHs with access to soap more than '#%]]&gt;=2,WWWW[[#This Row],[Total PoP ]],0)</f>
        <v>0</v>
      </c>
      <c r="BZ290" s="208">
        <f>WWWW[[#This Row],[People adopt basic personal and community hygiene practices]]/WWWW[[#This Row],[Total PoP ]]</f>
        <v>0</v>
      </c>
      <c r="CA290" s="212">
        <f>1-WWWW[[#This Row],[Hygiene Coverage%]]</f>
        <v>1</v>
      </c>
      <c r="CB290" s="211">
        <f>WWWW[[#This Row],['# people reached by regular dedicated hygiene promotion_5]]/WWWW[[#This Row],[Total PoP ]]</f>
        <v>0</v>
      </c>
      <c r="CC290" s="211">
        <f>IF(WWWW[[#This Row],['# HH received soaps]]/WWWW[[#This Row],[Total HH]]&gt;1,1,WWWW[[#This Row],['# HH received soaps]]/WWWW[[#This Row],[Total HH]])</f>
        <v>0</v>
      </c>
      <c r="CD290" s="211">
        <f>IF(WWWW[[#This Row],['# HH received Sanitary Pads]]/WWWW[[#This Row],[Total HH]]&gt;1,1,WWWW[[#This Row],['# HH received Sanitary Pads]]/WWWW[[#This Row],[Total HH]])</f>
        <v>0</v>
      </c>
      <c r="CE290" s="210">
        <f>WWWW[[#This Row],['# HH received soaps]]*5</f>
        <v>0</v>
      </c>
      <c r="CF290" s="210">
        <f>WWWW[[#This Row],['# HH received Sanitary Pads]]*5</f>
        <v>0</v>
      </c>
      <c r="CG290" s="210">
        <f>IF(WWWW[[#This Row],['# People with access to soap]]&gt;WWWW[[#This Row],['# People with access to Sanity Pads]],WWWW[[#This Row],['# People with access to soap]],WWWW[[#This Row],['# People with access to Sanity Pads]])</f>
        <v>0</v>
      </c>
      <c r="CH290" s="209">
        <f>WWWW[[#This Row],[Total HH]]*WWWW[[#This Row],[%HHs with access to functional hand washing stations]]</f>
        <v>0</v>
      </c>
      <c r="CI290" s="699">
        <f>VLOOKUP(WWWW[[#This Row],[Site Name]],SiteDB6[[Site Name]:[CCCM Management]],6,FALSE)</f>
        <v>0</v>
      </c>
      <c r="CJ290" s="699">
        <f>VLOOKUP(WWWW[[#This Row],[Site Name]],SiteDB6[[Site Name]:[CCCM Focal Agency]],7,FALSE)</f>
        <v>0</v>
      </c>
      <c r="CK290" s="699" t="str">
        <f>VLOOKUP(WWWW[[#This Row],[Site Name]],SiteDB6[[Site Name]:[Location Type]],8,FALSE)</f>
        <v>Village</v>
      </c>
      <c r="CL290" s="699" t="str">
        <f>VLOOKUP(WWWW[[#This Row],[Site Name]],SiteDB6[[Site Name]:[Location Type 1]],9,FALSE)</f>
        <v>Village</v>
      </c>
      <c r="CM290" s="699" t="str">
        <f>VLOOKUP(WWWW[[#This Row],[Site Name]],SiteDB6[[Site Name]:[Type of Accommodation]],10,FALSE)</f>
        <v>Village</v>
      </c>
      <c r="CN290" s="699" t="str">
        <f>VLOOKUP(WWWW[[#This Row],[Site Name]],SiteDB6[[Site Name]:[Ethnic or GCA/NGCA]],11,FALSE)</f>
        <v>Rakhine</v>
      </c>
      <c r="CO290" s="699">
        <f>VLOOKUP(WWWW[[#This Row],[Site Name]],SiteDB6[[Site Name]:[Lat]],12,FALSE)</f>
        <v>20.464775085449201</v>
      </c>
      <c r="CP290" s="699">
        <f>VLOOKUP(WWWW[[#This Row],[Site Name]],SiteDB6[[Site Name]:[Long]],13,FALSE)</f>
        <v>93.269363403320298</v>
      </c>
      <c r="CQ290" s="699" t="str">
        <f>VLOOKUP(WWWW[[#This Row],[Site Name]],SiteDB6[[Site Name]:[Pcode]],3,FALSE)</f>
        <v>196496</v>
      </c>
      <c r="CR290" s="660" t="str">
        <f t="shared" si="6"/>
        <v>Notcovered</v>
      </c>
      <c r="CS290" s="660"/>
      <c r="CT290" s="24"/>
      <c r="CU290" s="24"/>
      <c r="CV290" s="24"/>
    </row>
    <row r="291" spans="1:100" ht="15.75" customHeight="1" x14ac:dyDescent="0.25">
      <c r="A291" s="833" t="s">
        <v>3206</v>
      </c>
      <c r="B291" s="206" t="s">
        <v>460</v>
      </c>
      <c r="C291" s="206" t="s">
        <v>454</v>
      </c>
      <c r="D291" s="206" t="s">
        <v>637</v>
      </c>
      <c r="E291" s="206" t="s">
        <v>638</v>
      </c>
      <c r="F291" s="206">
        <f>ROUND(WWWW[[#This Row],[Total PoP ]]/5,0)</f>
        <v>161</v>
      </c>
      <c r="G291" s="209">
        <v>807</v>
      </c>
      <c r="H291" s="206"/>
      <c r="I291" s="206"/>
      <c r="J291" s="207"/>
      <c r="K291" s="206"/>
      <c r="L291" s="206" t="s">
        <v>282</v>
      </c>
      <c r="M291" s="208">
        <v>0</v>
      </c>
      <c r="N291" s="208">
        <v>0</v>
      </c>
      <c r="O291" s="316">
        <v>1</v>
      </c>
      <c r="P291" s="317"/>
      <c r="Q291" s="317"/>
      <c r="R291" s="318"/>
      <c r="S291" s="318">
        <v>0</v>
      </c>
      <c r="T291" s="318"/>
      <c r="U291" s="318"/>
      <c r="V291" s="318"/>
      <c r="W291" s="318"/>
      <c r="X291" s="318"/>
      <c r="Y291" s="318"/>
      <c r="Z291" s="318"/>
      <c r="AA291" s="310">
        <v>4</v>
      </c>
      <c r="AB291" s="310"/>
      <c r="AC291" s="66"/>
      <c r="AD291" s="66"/>
      <c r="AE291" s="310">
        <v>0</v>
      </c>
      <c r="AF291" s="310" t="s">
        <v>286</v>
      </c>
      <c r="AG291" s="311" t="s">
        <v>286</v>
      </c>
      <c r="AH291" s="311"/>
      <c r="AI291" s="310"/>
      <c r="AJ291" s="310"/>
      <c r="AK291" s="841">
        <v>0</v>
      </c>
      <c r="AL291" s="842"/>
      <c r="AM291" s="842">
        <v>0</v>
      </c>
      <c r="AN291" s="863"/>
      <c r="AO291" s="863">
        <v>0</v>
      </c>
      <c r="AP291" s="843"/>
      <c r="AQ291" s="843"/>
      <c r="AR291" s="843"/>
      <c r="AS291" s="843"/>
      <c r="AT291" s="843"/>
      <c r="AU291" s="843"/>
      <c r="AV291" s="844"/>
      <c r="AW291" s="208" t="str">
        <f>IFERROR(WWWW[[#This Row],['# of Water passed at source]]/WWWW[[#This Row],['# of Water tested at source]],"no test")</f>
        <v>no test</v>
      </c>
      <c r="AX291" s="211" t="str">
        <f>IFERROR(WWWW[[#This Row],['# of Water passed at HH]]/WWWW[[#This Row],['# of Water tested at HH]],"no test")</f>
        <v>no test</v>
      </c>
      <c r="AY291" s="210" t="str">
        <f>IF(AND(WWWW[[#This Row],[%of Water samples which passed at water source]]="no test",WWWW[[#This Row],[%Water samples which passed at HH]]="no test"),"No Test","Tested")</f>
        <v>No Test</v>
      </c>
      <c r="AZ29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9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0.3097893432465923</v>
      </c>
      <c r="BB291" s="211">
        <f>IF(WWWW[[#This Row],[Location Type 1]]="Village",WWWW[[#This Row],[Access to safe drinking water for Village]],WWWW[[#This Row],[Access to safe drinking water for Camp]])</f>
        <v>0.3097893432465923</v>
      </c>
      <c r="BC291" s="209">
        <f>WWWW[[#This Row],[%Equitable and continuous access to sufficient quantity of safe drinking water]]*WWWW[[#This Row],[Total PoP ]]</f>
        <v>249.99999999999997</v>
      </c>
      <c r="BD291" s="211">
        <f>IF((WWWW[[#This Row],['# Existing protected/fenced ponds ]]*250)/WWWW[[#This Row],[Total PoP ]]&gt;1,1,WWWW[[#This Row],['# Existing protected/fenced ponds ]]*250/WWWW[[#This Row],[Total PoP ]])</f>
        <v>0</v>
      </c>
      <c r="BE291" s="209">
        <f>WWWW[[#This Row],[Access to unimproved water points]]*WWWW[[#This Row],[Total PoP ]]</f>
        <v>0</v>
      </c>
      <c r="BF29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0.3097893432465923</v>
      </c>
      <c r="BG29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249.99999999999997</v>
      </c>
      <c r="BH291" s="209">
        <f>ROUND(WWWW[[#This Row],['#people Equitable and continuous access to sufficient quantity of domestic water borehole n ponds_2]]/500,0)</f>
        <v>1</v>
      </c>
      <c r="BI291" s="208">
        <f>1-WWWW[[#This Row],[%Equitable and continuous access to sufficient quantity of domestic water borehole n ponds]]</f>
        <v>0.69021065675340765</v>
      </c>
      <c r="BJ291" s="209">
        <f>WWWW[[#This Row],[%equitable and continuous access to sufficient quantity of safe drinking and domestic water''s GAP]]*WWWW[[#This Row],[Total PoP ]]</f>
        <v>557</v>
      </c>
      <c r="BK291" s="210">
        <f>IF(WWWW[[#This Row],[Total required water points]]-WWWW[[#This Row],['#Water points coverage]]&lt;0,0,WWWW[[#This Row],[Total required water points]]-WWWW[[#This Row],['#Water points coverage]])</f>
        <v>1</v>
      </c>
      <c r="BL291" s="210">
        <f>ROUND(IF(WWWW[[#This Row],[Total PoP ]]&lt;500,1,WWWW[[#This Row],[Total PoP ]]/500),0)</f>
        <v>2</v>
      </c>
      <c r="BM291" s="210">
        <f>WWWW[[#This Row],['# Existing functional latrines]]+WWWW[[#This Row],['# Existing latrines dysfunctional]]</f>
        <v>4</v>
      </c>
      <c r="BN29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2.9739776951672861E-2</v>
      </c>
      <c r="BO291" s="352">
        <f>WWWW[[#This Row],[% people access to functioning Latrine]]*WWWW[[#This Row],[Total PoP ]]</f>
        <v>24</v>
      </c>
      <c r="BP29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0.97397769516728627</v>
      </c>
      <c r="BQ291" s="209">
        <f>IF(WWWW[[#This Row],[Total required Latrines]]-WWWW[[#This Row],[Total '# of latrine]]&lt;0,0,WWWW[[#This Row],[Total required Latrines]]-WWWW[[#This Row],[Total '# of latrine]])</f>
        <v>131</v>
      </c>
      <c r="BR291" s="210">
        <f>ROUND(IF(WWWW[[#This Row],[Location Type 1]]="camp",WWWW[[#This Row],[Total PoP ]]/20,WWWW[[#This Row],[Total PoP ]]/6),0)</f>
        <v>135</v>
      </c>
      <c r="BS291" s="212">
        <f>IF(OR(WWWW[[#This Row],['# Existing latrines dysfunctional]]="",WWWW[[#This Row],['# Existing latrines dysfunctional]]=0),0,WWWW[[#This Row],['# Existing latrines dysfunctional]]/WWWW[[#This Row],[Total '# of latrine]])</f>
        <v>0</v>
      </c>
      <c r="BT29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91" s="209">
        <f>IF(500*WWWW[[#This Row],['# Hygiene Promoters ]]&gt;WWWW[[#This Row],[Total PoP ]],WWWW[[#This Row],[Total PoP ]],500*WWWW[[#This Row],['# Hygiene Promoters ]])</f>
        <v>0</v>
      </c>
      <c r="BV291" s="209">
        <f>IF(WWWW[[#This Row],[% of HH with access to Sanitary Pad]]&gt;=100%,1,0)</f>
        <v>0</v>
      </c>
      <c r="BW291" s="209">
        <f>IF(WWWW[[#This Row],[Total PoP ]]=0,0,IF(WWWW[[#This Row],['# Hygiene Promoters ]]=0,0,IF(WWWW[[#This Row],[Location Type 1]]="Village",IF(WWWW[[#This Row],[Total PoP ]]/WWWW[[#This Row],['# Hygiene Promoters ]]&lt;1000,1,0),IF(WWWW[[#This Row],[Total PoP ]]/WWWW[[#This Row],['# Hygiene Promoters ]]&lt;600,1,0))))</f>
        <v>0</v>
      </c>
      <c r="BX291" s="209">
        <f>IF(WWWW[[#This Row],[%HH with access to soap]]&gt;=100%,1,0)</f>
        <v>0</v>
      </c>
      <c r="BY291" s="209">
        <f>IF(WWWW[[#This Row],[% of HHs with access to Sanitary pad more than '#%]]+WWWW[[#This Row],[Ratio of Hyiene promoters to people less than '#]]+WWWW[[#This Row],[% of HHs with access to soap more than '#%]]&gt;=2,WWWW[[#This Row],[Total PoP ]],0)</f>
        <v>0</v>
      </c>
      <c r="BZ291" s="208">
        <f>WWWW[[#This Row],[People adopt basic personal and community hygiene practices]]/WWWW[[#This Row],[Total PoP ]]</f>
        <v>0</v>
      </c>
      <c r="CA291" s="212">
        <f>1-WWWW[[#This Row],[Hygiene Coverage%]]</f>
        <v>1</v>
      </c>
      <c r="CB291" s="211">
        <f>WWWW[[#This Row],['# people reached by regular dedicated hygiene promotion_5]]/WWWW[[#This Row],[Total PoP ]]</f>
        <v>0</v>
      </c>
      <c r="CC291" s="211">
        <f>IF(WWWW[[#This Row],['# HH received soaps]]/WWWW[[#This Row],[Total HH]]&gt;1,1,WWWW[[#This Row],['# HH received soaps]]/WWWW[[#This Row],[Total HH]])</f>
        <v>0</v>
      </c>
      <c r="CD291" s="211">
        <f>IF(WWWW[[#This Row],['# HH received Sanitary Pads]]/WWWW[[#This Row],[Total HH]]&gt;1,1,WWWW[[#This Row],['# HH received Sanitary Pads]]/WWWW[[#This Row],[Total HH]])</f>
        <v>0</v>
      </c>
      <c r="CE291" s="210">
        <f>WWWW[[#This Row],['# HH received soaps]]*5</f>
        <v>0</v>
      </c>
      <c r="CF291" s="210">
        <f>WWWW[[#This Row],['# HH received Sanitary Pads]]*5</f>
        <v>0</v>
      </c>
      <c r="CG291" s="210">
        <f>IF(WWWW[[#This Row],['# People with access to soap]]&gt;WWWW[[#This Row],['# People with access to Sanity Pads]],WWWW[[#This Row],['# People with access to soap]],WWWW[[#This Row],['# People with access to Sanity Pads]])</f>
        <v>0</v>
      </c>
      <c r="CH291" s="209">
        <f>WWWW[[#This Row],[Total HH]]*WWWW[[#This Row],[%HHs with access to functional hand washing stations]]</f>
        <v>0</v>
      </c>
      <c r="CI291" s="699">
        <f>VLOOKUP(WWWW[[#This Row],[Site Name]],SiteDB6[[Site Name]:[CCCM Management]],6,FALSE)</f>
        <v>0</v>
      </c>
      <c r="CJ291" s="699">
        <f>VLOOKUP(WWWW[[#This Row],[Site Name]],SiteDB6[[Site Name]:[CCCM Focal Agency]],7,FALSE)</f>
        <v>0</v>
      </c>
      <c r="CK291" s="699" t="str">
        <f>VLOOKUP(WWWW[[#This Row],[Site Name]],SiteDB6[[Site Name]:[Location Type]],8,FALSE)</f>
        <v>Village</v>
      </c>
      <c r="CL291" s="699" t="str">
        <f>VLOOKUP(WWWW[[#This Row],[Site Name]],SiteDB6[[Site Name]:[Location Type 1]],9,FALSE)</f>
        <v>Village</v>
      </c>
      <c r="CM291" s="699" t="str">
        <f>VLOOKUP(WWWW[[#This Row],[Site Name]],SiteDB6[[Site Name]:[Type of Accommodation]],10,FALSE)</f>
        <v>Village</v>
      </c>
      <c r="CN291" s="699" t="str">
        <f>VLOOKUP(WWWW[[#This Row],[Site Name]],SiteDB6[[Site Name]:[Ethnic or GCA/NGCA]],11,FALSE)</f>
        <v>Rakhine</v>
      </c>
      <c r="CO291" s="699">
        <f>VLOOKUP(WWWW[[#This Row],[Site Name]],SiteDB6[[Site Name]:[Lat]],12,FALSE)</f>
        <v>20.4625244140625</v>
      </c>
      <c r="CP291" s="699">
        <f>VLOOKUP(WWWW[[#This Row],[Site Name]],SiteDB6[[Site Name]:[Long]],13,FALSE)</f>
        <v>93.257278442382798</v>
      </c>
      <c r="CQ291" s="699" t="str">
        <f>VLOOKUP(WWWW[[#This Row],[Site Name]],SiteDB6[[Site Name]:[Pcode]],3,FALSE)</f>
        <v>220626</v>
      </c>
      <c r="CR291" s="660" t="str">
        <f t="shared" si="6"/>
        <v>Notcovered</v>
      </c>
      <c r="CS291" s="660"/>
      <c r="CT291" s="24"/>
      <c r="CU291" s="24"/>
      <c r="CV291" s="24"/>
    </row>
    <row r="292" spans="1:100" ht="15.75" customHeight="1" x14ac:dyDescent="0.25">
      <c r="A292" s="833" t="s">
        <v>3206</v>
      </c>
      <c r="B292" s="206" t="s">
        <v>460</v>
      </c>
      <c r="C292" s="206" t="s">
        <v>454</v>
      </c>
      <c r="D292" s="206" t="s">
        <v>637</v>
      </c>
      <c r="E292" s="206" t="s">
        <v>715</v>
      </c>
      <c r="F292" s="206">
        <f>ROUND(WWWW[[#This Row],[Total PoP ]]/5,0)</f>
        <v>211</v>
      </c>
      <c r="G292" s="209">
        <v>1055</v>
      </c>
      <c r="H292" s="206"/>
      <c r="I292" s="206"/>
      <c r="J292" s="207"/>
      <c r="K292" s="206"/>
      <c r="L292" s="206" t="s">
        <v>282</v>
      </c>
      <c r="M292" s="208">
        <v>0</v>
      </c>
      <c r="N292" s="208">
        <v>0</v>
      </c>
      <c r="O292" s="316">
        <v>1</v>
      </c>
      <c r="P292" s="317"/>
      <c r="Q292" s="317"/>
      <c r="R292" s="318"/>
      <c r="S292" s="318">
        <v>0</v>
      </c>
      <c r="T292" s="318"/>
      <c r="U292" s="318"/>
      <c r="V292" s="318"/>
      <c r="W292" s="318"/>
      <c r="X292" s="318"/>
      <c r="Y292" s="318"/>
      <c r="Z292" s="318"/>
      <c r="AA292" s="310">
        <v>5</v>
      </c>
      <c r="AB292" s="310"/>
      <c r="AC292" s="66"/>
      <c r="AD292" s="66"/>
      <c r="AE292" s="310">
        <v>0</v>
      </c>
      <c r="AF292" s="310" t="s">
        <v>286</v>
      </c>
      <c r="AG292" s="311" t="s">
        <v>286</v>
      </c>
      <c r="AH292" s="311"/>
      <c r="AI292" s="310"/>
      <c r="AJ292" s="310"/>
      <c r="AK292" s="841">
        <v>0</v>
      </c>
      <c r="AL292" s="842"/>
      <c r="AM292" s="842">
        <v>0</v>
      </c>
      <c r="AN292" s="863"/>
      <c r="AO292" s="863">
        <v>0</v>
      </c>
      <c r="AP292" s="843"/>
      <c r="AQ292" s="843"/>
      <c r="AR292" s="843"/>
      <c r="AS292" s="843"/>
      <c r="AT292" s="843"/>
      <c r="AU292" s="843"/>
      <c r="AV292" s="844"/>
      <c r="AW292" s="208" t="str">
        <f>IFERROR(WWWW[[#This Row],['# of Water passed at source]]/WWWW[[#This Row],['# of Water tested at source]],"no test")</f>
        <v>no test</v>
      </c>
      <c r="AX292" s="211" t="str">
        <f>IFERROR(WWWW[[#This Row],['# of Water passed at HH]]/WWWW[[#This Row],['# of Water tested at HH]],"no test")</f>
        <v>no test</v>
      </c>
      <c r="AY292" s="210" t="str">
        <f>IF(AND(WWWW[[#This Row],[%of Water samples which passed at water source]]="no test",WWWW[[#This Row],[%Water samples which passed at HH]]="no test"),"No Test","Tested")</f>
        <v>No Test</v>
      </c>
      <c r="AZ29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9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0.23696682464454977</v>
      </c>
      <c r="BB292" s="211">
        <f>IF(WWWW[[#This Row],[Location Type 1]]="Village",WWWW[[#This Row],[Access to safe drinking water for Village]],WWWW[[#This Row],[Access to safe drinking water for Camp]])</f>
        <v>0.23696682464454977</v>
      </c>
      <c r="BC292" s="209">
        <f>WWWW[[#This Row],[%Equitable and continuous access to sufficient quantity of safe drinking water]]*WWWW[[#This Row],[Total PoP ]]</f>
        <v>250</v>
      </c>
      <c r="BD292" s="211">
        <f>IF((WWWW[[#This Row],['# Existing protected/fenced ponds ]]*250)/WWWW[[#This Row],[Total PoP ]]&gt;1,1,WWWW[[#This Row],['# Existing protected/fenced ponds ]]*250/WWWW[[#This Row],[Total PoP ]])</f>
        <v>0</v>
      </c>
      <c r="BE292" s="209">
        <f>WWWW[[#This Row],[Access to unimproved water points]]*WWWW[[#This Row],[Total PoP ]]</f>
        <v>0</v>
      </c>
      <c r="BF29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0.23696682464454977</v>
      </c>
      <c r="BG29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H292" s="209">
        <f>ROUND(WWWW[[#This Row],['#people Equitable and continuous access to sufficient quantity of domestic water borehole n ponds_2]]/500,0)</f>
        <v>1</v>
      </c>
      <c r="BI292" s="208">
        <f>1-WWWW[[#This Row],[%Equitable and continuous access to sufficient quantity of domestic water borehole n ponds]]</f>
        <v>0.76303317535545023</v>
      </c>
      <c r="BJ292" s="209">
        <f>WWWW[[#This Row],[%equitable and continuous access to sufficient quantity of safe drinking and domestic water''s GAP]]*WWWW[[#This Row],[Total PoP ]]</f>
        <v>805</v>
      </c>
      <c r="BK292" s="210">
        <f>IF(WWWW[[#This Row],[Total required water points]]-WWWW[[#This Row],['#Water points coverage]]&lt;0,0,WWWW[[#This Row],[Total required water points]]-WWWW[[#This Row],['#Water points coverage]])</f>
        <v>1</v>
      </c>
      <c r="BL292" s="210">
        <f>ROUND(IF(WWWW[[#This Row],[Total PoP ]]&lt;500,1,WWWW[[#This Row],[Total PoP ]]/500),0)</f>
        <v>2</v>
      </c>
      <c r="BM292" s="210">
        <f>WWWW[[#This Row],['# Existing functional latrines]]+WWWW[[#This Row],['# Existing latrines dysfunctional]]</f>
        <v>5</v>
      </c>
      <c r="BN29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2.843601895734597E-2</v>
      </c>
      <c r="BO292" s="352">
        <f>WWWW[[#This Row],[% people access to functioning Latrine]]*WWWW[[#This Row],[Total PoP ]]</f>
        <v>30</v>
      </c>
      <c r="BP29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0.97251184834123217</v>
      </c>
      <c r="BQ292" s="209">
        <f>IF(WWWW[[#This Row],[Total required Latrines]]-WWWW[[#This Row],[Total '# of latrine]]&lt;0,0,WWWW[[#This Row],[Total required Latrines]]-WWWW[[#This Row],[Total '# of latrine]])</f>
        <v>171</v>
      </c>
      <c r="BR292" s="210">
        <f>ROUND(IF(WWWW[[#This Row],[Location Type 1]]="camp",WWWW[[#This Row],[Total PoP ]]/20,WWWW[[#This Row],[Total PoP ]]/6),0)</f>
        <v>176</v>
      </c>
      <c r="BS292" s="212">
        <f>IF(OR(WWWW[[#This Row],['# Existing latrines dysfunctional]]="",WWWW[[#This Row],['# Existing latrines dysfunctional]]=0),0,WWWW[[#This Row],['# Existing latrines dysfunctional]]/WWWW[[#This Row],[Total '# of latrine]])</f>
        <v>0</v>
      </c>
      <c r="BT29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92" s="209">
        <f>IF(500*WWWW[[#This Row],['# Hygiene Promoters ]]&gt;WWWW[[#This Row],[Total PoP ]],WWWW[[#This Row],[Total PoP ]],500*WWWW[[#This Row],['# Hygiene Promoters ]])</f>
        <v>0</v>
      </c>
      <c r="BV292" s="209">
        <f>IF(WWWW[[#This Row],[% of HH with access to Sanitary Pad]]&gt;=100%,1,0)</f>
        <v>0</v>
      </c>
      <c r="BW292" s="209">
        <f>IF(WWWW[[#This Row],[Total PoP ]]=0,0,IF(WWWW[[#This Row],['# Hygiene Promoters ]]=0,0,IF(WWWW[[#This Row],[Location Type 1]]="Village",IF(WWWW[[#This Row],[Total PoP ]]/WWWW[[#This Row],['# Hygiene Promoters ]]&lt;1000,1,0),IF(WWWW[[#This Row],[Total PoP ]]/WWWW[[#This Row],['# Hygiene Promoters ]]&lt;600,1,0))))</f>
        <v>0</v>
      </c>
      <c r="BX292" s="209">
        <f>IF(WWWW[[#This Row],[%HH with access to soap]]&gt;=100%,1,0)</f>
        <v>0</v>
      </c>
      <c r="BY292" s="209">
        <f>IF(WWWW[[#This Row],[% of HHs with access to Sanitary pad more than '#%]]+WWWW[[#This Row],[Ratio of Hyiene promoters to people less than '#]]+WWWW[[#This Row],[% of HHs with access to soap more than '#%]]&gt;=2,WWWW[[#This Row],[Total PoP ]],0)</f>
        <v>0</v>
      </c>
      <c r="BZ292" s="208">
        <f>WWWW[[#This Row],[People adopt basic personal and community hygiene practices]]/WWWW[[#This Row],[Total PoP ]]</f>
        <v>0</v>
      </c>
      <c r="CA292" s="212">
        <f>1-WWWW[[#This Row],[Hygiene Coverage%]]</f>
        <v>1</v>
      </c>
      <c r="CB292" s="211">
        <f>WWWW[[#This Row],['# people reached by regular dedicated hygiene promotion_5]]/WWWW[[#This Row],[Total PoP ]]</f>
        <v>0</v>
      </c>
      <c r="CC292" s="211">
        <f>IF(WWWW[[#This Row],['# HH received soaps]]/WWWW[[#This Row],[Total HH]]&gt;1,1,WWWW[[#This Row],['# HH received soaps]]/WWWW[[#This Row],[Total HH]])</f>
        <v>0</v>
      </c>
      <c r="CD292" s="211">
        <f>IF(WWWW[[#This Row],['# HH received Sanitary Pads]]/WWWW[[#This Row],[Total HH]]&gt;1,1,WWWW[[#This Row],['# HH received Sanitary Pads]]/WWWW[[#This Row],[Total HH]])</f>
        <v>0</v>
      </c>
      <c r="CE292" s="210">
        <f>WWWW[[#This Row],['# HH received soaps]]*5</f>
        <v>0</v>
      </c>
      <c r="CF292" s="210">
        <f>WWWW[[#This Row],['# HH received Sanitary Pads]]*5</f>
        <v>0</v>
      </c>
      <c r="CG292" s="210">
        <f>IF(WWWW[[#This Row],['# People with access to soap]]&gt;WWWW[[#This Row],['# People with access to Sanity Pads]],WWWW[[#This Row],['# People with access to soap]],WWWW[[#This Row],['# People with access to Sanity Pads]])</f>
        <v>0</v>
      </c>
      <c r="CH292" s="209">
        <f>WWWW[[#This Row],[Total HH]]*WWWW[[#This Row],[%HHs with access to functional hand washing stations]]</f>
        <v>0</v>
      </c>
      <c r="CI292" s="699">
        <f>VLOOKUP(WWWW[[#This Row],[Site Name]],SiteDB6[[Site Name]:[CCCM Management]],6,FALSE)</f>
        <v>0</v>
      </c>
      <c r="CJ292" s="699">
        <f>VLOOKUP(WWWW[[#This Row],[Site Name]],SiteDB6[[Site Name]:[CCCM Focal Agency]],7,FALSE)</f>
        <v>0</v>
      </c>
      <c r="CK292" s="699" t="str">
        <f>VLOOKUP(WWWW[[#This Row],[Site Name]],SiteDB6[[Site Name]:[Location Type]],8,FALSE)</f>
        <v>Village</v>
      </c>
      <c r="CL292" s="699" t="str">
        <f>VLOOKUP(WWWW[[#This Row],[Site Name]],SiteDB6[[Site Name]:[Location Type 1]],9,FALSE)</f>
        <v>Village</v>
      </c>
      <c r="CM292" s="699" t="str">
        <f>VLOOKUP(WWWW[[#This Row],[Site Name]],SiteDB6[[Site Name]:[Type of Accommodation]],10,FALSE)</f>
        <v>Village</v>
      </c>
      <c r="CN292" s="699" t="str">
        <f>VLOOKUP(WWWW[[#This Row],[Site Name]],SiteDB6[[Site Name]:[Ethnic or GCA/NGCA]],11,FALSE)</f>
        <v>Rakhine</v>
      </c>
      <c r="CO292" s="699">
        <f>VLOOKUP(WWWW[[#This Row],[Site Name]],SiteDB6[[Site Name]:[Lat]],12,FALSE)</f>
        <v>20.703550338745099</v>
      </c>
      <c r="CP292" s="699">
        <f>VLOOKUP(WWWW[[#This Row],[Site Name]],SiteDB6[[Site Name]:[Long]],13,FALSE)</f>
        <v>93.060462951660199</v>
      </c>
      <c r="CQ292" s="699" t="str">
        <f>VLOOKUP(WWWW[[#This Row],[Site Name]],SiteDB6[[Site Name]:[Pcode]],3,FALSE)</f>
        <v>196642</v>
      </c>
      <c r="CR292" s="660" t="str">
        <f t="shared" si="6"/>
        <v>Notcovered</v>
      </c>
      <c r="CS292" s="660"/>
      <c r="CT292" s="24"/>
      <c r="CU292" s="24"/>
      <c r="CV292" s="24"/>
    </row>
    <row r="293" spans="1:100" ht="15.75" customHeight="1" x14ac:dyDescent="0.25">
      <c r="A293" s="833" t="s">
        <v>3206</v>
      </c>
      <c r="B293" s="206" t="s">
        <v>559</v>
      </c>
      <c r="C293" s="206" t="s">
        <v>454</v>
      </c>
      <c r="D293" s="206" t="s">
        <v>560</v>
      </c>
      <c r="E293" s="206" t="s">
        <v>562</v>
      </c>
      <c r="F293" s="206">
        <v>40</v>
      </c>
      <c r="G293" s="209">
        <v>217</v>
      </c>
      <c r="H293" s="206"/>
      <c r="I293" s="206" t="s">
        <v>388</v>
      </c>
      <c r="J293" s="207">
        <v>43465</v>
      </c>
      <c r="K293" s="206">
        <v>0</v>
      </c>
      <c r="L293" s="206" t="s">
        <v>282</v>
      </c>
      <c r="M293" s="208">
        <v>0</v>
      </c>
      <c r="N293" s="208">
        <v>0</v>
      </c>
      <c r="O293" s="316">
        <v>0</v>
      </c>
      <c r="P293" s="317">
        <v>0</v>
      </c>
      <c r="Q293" s="317">
        <f>45*WWWW[[#This Row],[Total PoP ]]</f>
        <v>9765</v>
      </c>
      <c r="R293" s="318">
        <v>0</v>
      </c>
      <c r="S293" s="318">
        <v>0</v>
      </c>
      <c r="T293" s="318"/>
      <c r="U293" s="318"/>
      <c r="V293" s="318"/>
      <c r="W293" s="318"/>
      <c r="X293" s="318"/>
      <c r="Y293" s="318"/>
      <c r="Z293" s="318"/>
      <c r="AA293" s="310">
        <v>40</v>
      </c>
      <c r="AB293" s="310">
        <v>0</v>
      </c>
      <c r="AC293" s="66"/>
      <c r="AD293" s="66"/>
      <c r="AE293" s="310">
        <v>40</v>
      </c>
      <c r="AF293" s="310" t="s">
        <v>332</v>
      </c>
      <c r="AG293" s="311" t="s">
        <v>283</v>
      </c>
      <c r="AH293" s="311"/>
      <c r="AI293" s="310"/>
      <c r="AJ293" s="310"/>
      <c r="AK293" s="841">
        <v>0</v>
      </c>
      <c r="AL293" s="842"/>
      <c r="AM293" s="842">
        <v>0</v>
      </c>
      <c r="AN293" s="863">
        <v>0</v>
      </c>
      <c r="AO293" s="863">
        <v>2</v>
      </c>
      <c r="AP293" s="843">
        <v>40</v>
      </c>
      <c r="AQ293" s="843">
        <v>40</v>
      </c>
      <c r="AR293" s="843"/>
      <c r="AS293" s="843"/>
      <c r="AT293" s="843">
        <v>0</v>
      </c>
      <c r="AU293" s="843">
        <v>2</v>
      </c>
      <c r="AV293" s="844"/>
      <c r="AW293" s="208" t="str">
        <f>IFERROR(WWWW[[#This Row],['# of Water passed at source]]/WWWW[[#This Row],['# of Water tested at source]],"no test")</f>
        <v>no test</v>
      </c>
      <c r="AX293" s="211" t="str">
        <f>IFERROR(WWWW[[#This Row],['# of Water passed at HH]]/WWWW[[#This Row],['# of Water tested at HH]],"no test")</f>
        <v>no test</v>
      </c>
      <c r="AY293" s="210" t="str">
        <f>IF(AND(WWWW[[#This Row],[%of Water samples which passed at water source]]="no test",WWWW[[#This Row],[%Water samples which passed at HH]]="no test"),"No Test","Tested")</f>
        <v>No Test</v>
      </c>
      <c r="AZ29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9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93" s="211">
        <f>IF(WWWW[[#This Row],[Location Type 1]]="Village",WWWW[[#This Row],[Access to safe drinking water for Village]],WWWW[[#This Row],[Access to safe drinking water for Camp]])</f>
        <v>1</v>
      </c>
      <c r="BC293" s="209">
        <f>WWWW[[#This Row],[%Equitable and continuous access to sufficient quantity of safe drinking water]]*WWWW[[#This Row],[Total PoP ]]</f>
        <v>217</v>
      </c>
      <c r="BD293" s="211">
        <f>IF((WWWW[[#This Row],['# Existing protected/fenced ponds ]]*250)/WWWW[[#This Row],[Total PoP ]]&gt;1,1,WWWW[[#This Row],['# Existing protected/fenced ponds ]]*250/WWWW[[#This Row],[Total PoP ]])</f>
        <v>0</v>
      </c>
      <c r="BE293" s="209">
        <f>WWWW[[#This Row],[Access to unimproved water points]]*WWWW[[#This Row],[Total PoP ]]</f>
        <v>0</v>
      </c>
      <c r="BF29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9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217</v>
      </c>
      <c r="BH293" s="209">
        <f>ROUND(WWWW[[#This Row],['#people Equitable and continuous access to sufficient quantity of domestic water borehole n ponds_2]]/500,0)</f>
        <v>0</v>
      </c>
      <c r="BI293" s="208">
        <f>1-WWWW[[#This Row],[%Equitable and continuous access to sufficient quantity of domestic water borehole n ponds]]</f>
        <v>0</v>
      </c>
      <c r="BJ293" s="209">
        <f>WWWW[[#This Row],[%equitable and continuous access to sufficient quantity of safe drinking and domestic water''s GAP]]*WWWW[[#This Row],[Total PoP ]]</f>
        <v>0</v>
      </c>
      <c r="BK293" s="210">
        <f>IF(WWWW[[#This Row],[Total required water points]]-WWWW[[#This Row],['#Water points coverage]]&lt;0,0,WWWW[[#This Row],[Total required water points]]-WWWW[[#This Row],['#Water points coverage]])</f>
        <v>1</v>
      </c>
      <c r="BL293" s="210">
        <f>ROUND(IF(WWWW[[#This Row],[Total PoP ]]&lt;500,1,WWWW[[#This Row],[Total PoP ]]/500),0)</f>
        <v>1</v>
      </c>
      <c r="BM293" s="210">
        <f>WWWW[[#This Row],['# Existing functional latrines]]+WWWW[[#This Row],['# Existing latrines dysfunctional]]</f>
        <v>40</v>
      </c>
      <c r="BN29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93" s="352">
        <f>WWWW[[#This Row],[% people access to functioning Latrine]]*WWWW[[#This Row],[Total PoP ]]</f>
        <v>217</v>
      </c>
      <c r="BP29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93" s="209">
        <f>IF(WWWW[[#This Row],[Total required Latrines]]-WWWW[[#This Row],[Total '# of latrine]]&lt;0,0,WWWW[[#This Row],[Total required Latrines]]-WWWW[[#This Row],[Total '# of latrine]])</f>
        <v>0</v>
      </c>
      <c r="BR293" s="210">
        <f>ROUND(IF(WWWW[[#This Row],[Location Type 1]]="camp",WWWW[[#This Row],[Total PoP ]]/20,WWWW[[#This Row],[Total PoP ]]/6),0)</f>
        <v>36</v>
      </c>
      <c r="BS293" s="212">
        <f>IF(OR(WWWW[[#This Row],['# Existing latrines dysfunctional]]="",WWWW[[#This Row],['# Existing latrines dysfunctional]]=0),0,WWWW[[#This Row],['# Existing latrines dysfunctional]]/WWWW[[#This Row],[Total '# of latrine]])</f>
        <v>0</v>
      </c>
      <c r="BT29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93" s="209">
        <f>IF(500*WWWW[[#This Row],['# Hygiene Promoters ]]&gt;WWWW[[#This Row],[Total PoP ]],WWWW[[#This Row],[Total PoP ]],500*WWWW[[#This Row],['# Hygiene Promoters ]])</f>
        <v>217</v>
      </c>
      <c r="BV293" s="209">
        <f>IF(WWWW[[#This Row],[% of HH with access to Sanitary Pad]]&gt;=100%,1,0)</f>
        <v>1</v>
      </c>
      <c r="BW293" s="209">
        <f>IF(WWWW[[#This Row],[Total PoP ]]=0,0,IF(WWWW[[#This Row],['# Hygiene Promoters ]]=0,0,IF(WWWW[[#This Row],[Location Type 1]]="Village",IF(WWWW[[#This Row],[Total PoP ]]/WWWW[[#This Row],['# Hygiene Promoters ]]&lt;1000,1,0),IF(WWWW[[#This Row],[Total PoP ]]/WWWW[[#This Row],['# Hygiene Promoters ]]&lt;600,1,0))))</f>
        <v>1</v>
      </c>
      <c r="BX293" s="209">
        <f>IF(WWWW[[#This Row],[%HH with access to soap]]&gt;=100%,1,0)</f>
        <v>1</v>
      </c>
      <c r="BY293" s="209">
        <f>IF(WWWW[[#This Row],[% of HHs with access to Sanitary pad more than '#%]]+WWWW[[#This Row],[Ratio of Hyiene promoters to people less than '#]]+WWWW[[#This Row],[% of HHs with access to soap more than '#%]]&gt;=2,WWWW[[#This Row],[Total PoP ]],0)</f>
        <v>217</v>
      </c>
      <c r="BZ293" s="208">
        <f>WWWW[[#This Row],[People adopt basic personal and community hygiene practices]]/WWWW[[#This Row],[Total PoP ]]</f>
        <v>1</v>
      </c>
      <c r="CA293" s="212">
        <f>1-WWWW[[#This Row],[Hygiene Coverage%]]</f>
        <v>0</v>
      </c>
      <c r="CB293" s="211">
        <f>WWWW[[#This Row],['# people reached by regular dedicated hygiene promotion_5]]/WWWW[[#This Row],[Total PoP ]]</f>
        <v>1</v>
      </c>
      <c r="CC293" s="211">
        <f>IF(WWWW[[#This Row],['# HH received soaps]]/WWWW[[#This Row],[Total HH]]&gt;1,1,WWWW[[#This Row],['# HH received soaps]]/WWWW[[#This Row],[Total HH]])</f>
        <v>1</v>
      </c>
      <c r="CD293" s="211">
        <f>IF(WWWW[[#This Row],['# HH received Sanitary Pads]]/WWWW[[#This Row],[Total HH]]&gt;1,1,WWWW[[#This Row],['# HH received Sanitary Pads]]/WWWW[[#This Row],[Total HH]])</f>
        <v>1</v>
      </c>
      <c r="CE293" s="210">
        <f>WWWW[[#This Row],['# HH received soaps]]*5</f>
        <v>200</v>
      </c>
      <c r="CF293" s="210">
        <f>WWWW[[#This Row],['# HH received Sanitary Pads]]*5</f>
        <v>200</v>
      </c>
      <c r="CG293" s="210">
        <f>IF(WWWW[[#This Row],['# People with access to soap]]&gt;WWWW[[#This Row],['# People with access to Sanity Pads]],WWWW[[#This Row],['# People with access to soap]],WWWW[[#This Row],['# People with access to Sanity Pads]])</f>
        <v>200</v>
      </c>
      <c r="CH293" s="209">
        <f>WWWW[[#This Row],[Total HH]]*WWWW[[#This Row],[%HHs with access to functional hand washing stations]]</f>
        <v>0</v>
      </c>
      <c r="CI293" s="699">
        <f>VLOOKUP(WWWW[[#This Row],[Site Name]],SiteDB6[[Site Name]:[CCCM Management]],6,FALSE)</f>
        <v>0</v>
      </c>
      <c r="CJ293" s="699">
        <f>VLOOKUP(WWWW[[#This Row],[Site Name]],SiteDB6[[Site Name]:[CCCM Focal Agency]],7,FALSE)</f>
        <v>0</v>
      </c>
      <c r="CK293" s="699" t="str">
        <f>VLOOKUP(WWWW[[#This Row],[Site Name]],SiteDB6[[Site Name]:[Location Type]],8,FALSE)</f>
        <v>Village</v>
      </c>
      <c r="CL293" s="699" t="str">
        <f>VLOOKUP(WWWW[[#This Row],[Site Name]],SiteDB6[[Site Name]:[Location Type 1]],9,FALSE)</f>
        <v>Village</v>
      </c>
      <c r="CM293" s="699" t="str">
        <f>VLOOKUP(WWWW[[#This Row],[Site Name]],SiteDB6[[Site Name]:[Type of Accommodation]],10,FALSE)</f>
        <v>Relocated</v>
      </c>
      <c r="CN293" s="699" t="str">
        <f>VLOOKUP(WWWW[[#This Row],[Site Name]],SiteDB6[[Site Name]:[Ethnic or GCA/NGCA]],11,FALSE)</f>
        <v>Rakhine</v>
      </c>
      <c r="CO293" s="699">
        <f>VLOOKUP(WWWW[[#This Row],[Site Name]],SiteDB6[[Site Name]:[Lat]],12,FALSE)</f>
        <v>20.041981</v>
      </c>
      <c r="CP293" s="699">
        <f>VLOOKUP(WWWW[[#This Row],[Site Name]],SiteDB6[[Site Name]:[Long]],13,FALSE)</f>
        <v>93.373951000000005</v>
      </c>
      <c r="CQ293" s="699" t="str">
        <f>VLOOKUP(WWWW[[#This Row],[Site Name]],SiteDB6[[Site Name]:[Pcode]],3,FALSE)</f>
        <v>MMR012CMP013</v>
      </c>
      <c r="CR293" s="660" t="str">
        <f t="shared" si="6"/>
        <v>Covered</v>
      </c>
      <c r="CS293" s="660"/>
      <c r="CT293" s="24"/>
      <c r="CU293" s="24"/>
      <c r="CV293" s="24"/>
    </row>
    <row r="294" spans="1:100" ht="15.75" customHeight="1" x14ac:dyDescent="0.25">
      <c r="A294" s="833" t="s">
        <v>3206</v>
      </c>
      <c r="B294" s="206" t="s">
        <v>426</v>
      </c>
      <c r="C294" s="206" t="s">
        <v>454</v>
      </c>
      <c r="D294" s="206" t="s">
        <v>455</v>
      </c>
      <c r="E294" s="206" t="s">
        <v>587</v>
      </c>
      <c r="F294" s="206">
        <v>1016</v>
      </c>
      <c r="G294" s="209">
        <v>4892</v>
      </c>
      <c r="H294" s="206"/>
      <c r="I294" s="206" t="s">
        <v>47</v>
      </c>
      <c r="J294" s="207">
        <v>44104</v>
      </c>
      <c r="K294" s="206">
        <v>0</v>
      </c>
      <c r="L294" s="206" t="s">
        <v>282</v>
      </c>
      <c r="M294" s="208">
        <v>0</v>
      </c>
      <c r="N294" s="208">
        <v>0</v>
      </c>
      <c r="O294" s="316">
        <v>0</v>
      </c>
      <c r="P294" s="317">
        <v>40</v>
      </c>
      <c r="Q294" s="317">
        <v>0</v>
      </c>
      <c r="R294" s="318">
        <v>0</v>
      </c>
      <c r="S294" s="318">
        <v>53</v>
      </c>
      <c r="T294" s="318"/>
      <c r="U294" s="318">
        <v>144</v>
      </c>
      <c r="V294" s="318">
        <v>97</v>
      </c>
      <c r="W294" s="318">
        <v>115</v>
      </c>
      <c r="X294" s="318">
        <v>34</v>
      </c>
      <c r="Y294" s="318">
        <v>0</v>
      </c>
      <c r="Z294" s="318" t="s">
        <v>2783</v>
      </c>
      <c r="AA294" s="336">
        <f>(172+70)</f>
        <v>242</v>
      </c>
      <c r="AB294" s="866">
        <v>83</v>
      </c>
      <c r="AC294" s="866">
        <f>514-151</f>
        <v>363</v>
      </c>
      <c r="AD294" s="66"/>
      <c r="AE294" s="310">
        <v>250</v>
      </c>
      <c r="AF294" s="310" t="s">
        <v>283</v>
      </c>
      <c r="AG294" s="311" t="s">
        <v>283</v>
      </c>
      <c r="AH294" s="311">
        <v>0</v>
      </c>
      <c r="AI294" s="310">
        <v>0</v>
      </c>
      <c r="AJ294" s="310"/>
      <c r="AK294" s="841">
        <v>1</v>
      </c>
      <c r="AL294" s="842" t="s">
        <v>284</v>
      </c>
      <c r="AM294" s="842">
        <v>0</v>
      </c>
      <c r="AN294" s="863">
        <v>0</v>
      </c>
      <c r="AO294" s="888">
        <v>2</v>
      </c>
      <c r="AP294" s="874">
        <v>1016</v>
      </c>
      <c r="AQ294" s="874">
        <v>1016</v>
      </c>
      <c r="AR294" s="843" t="s">
        <v>282</v>
      </c>
      <c r="AS294" s="843"/>
      <c r="AT294" s="843"/>
      <c r="AU294" s="843"/>
      <c r="AV294" s="844"/>
      <c r="AW294" s="208">
        <f>IFERROR(WWWW[[#This Row],['# of Water passed at source]]/WWWW[[#This Row],['# of Water tested at source]],"no test")</f>
        <v>0.67361111111111116</v>
      </c>
      <c r="AX294" s="211">
        <f>IFERROR(WWWW[[#This Row],['# of Water passed at HH]]/WWWW[[#This Row],['# of Water tested at HH]],"no test")</f>
        <v>0.29565217391304349</v>
      </c>
      <c r="AY294" s="210" t="str">
        <f>IF(AND(WWWW[[#This Row],[%of Water samples which passed at water source]]="no test",WWWW[[#This Row],[%Water samples which passed at HH]]="no test"),"No Test","Tested")</f>
        <v>Tested</v>
      </c>
      <c r="AZ29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9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94" s="211">
        <f>IF(WWWW[[#This Row],[Location Type 1]]="Village",WWWW[[#This Row],[Access to safe drinking water for Village]],WWWW[[#This Row],[Access to safe drinking water for Camp]])</f>
        <v>1</v>
      </c>
      <c r="BC294" s="209">
        <f>WWWW[[#This Row],[%Equitable and continuous access to sufficient quantity of safe drinking water]]*WWWW[[#This Row],[Total PoP ]]</f>
        <v>4892</v>
      </c>
      <c r="BD294" s="211">
        <f>IF((WWWW[[#This Row],['# Existing protected/fenced ponds ]]*250)/WWWW[[#This Row],[Total PoP ]]&gt;1,1,WWWW[[#This Row],['# Existing protected/fenced ponds ]]*250/WWWW[[#This Row],[Total PoP ]])</f>
        <v>0</v>
      </c>
      <c r="BE294" s="209">
        <f>WWWW[[#This Row],[Access to unimproved water points]]*WWWW[[#This Row],[Total PoP ]]</f>
        <v>0</v>
      </c>
      <c r="BF29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9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4892</v>
      </c>
      <c r="BH294" s="209">
        <f>WWWW[[#This Row],['#people Equitable and continuous access to sufficient quantity of domestic water borehole n ponds_2]]/500</f>
        <v>9.7840000000000007</v>
      </c>
      <c r="BI294" s="208">
        <f>1-WWWW[[#This Row],[%Equitable and continuous access to sufficient quantity of domestic water borehole n ponds]]</f>
        <v>0</v>
      </c>
      <c r="BJ294" s="209">
        <f>WWWW[[#This Row],[%equitable and continuous access to sufficient quantity of safe drinking and domestic water''s GAP]]*WWWW[[#This Row],[Total PoP ]]</f>
        <v>0</v>
      </c>
      <c r="BK294" s="210">
        <f>IF(WWWW[[#This Row],[Total required water points]]-WWWW[[#This Row],['#Water points coverage]]&lt;0,0,WWWW[[#This Row],[Total required water points]]-WWWW[[#This Row],['#Water points coverage]])</f>
        <v>0.2159999999999993</v>
      </c>
      <c r="BL294" s="210">
        <f>ROUND(IF(WWWW[[#This Row],[Total PoP ]]&lt;500,1,WWWW[[#This Row],[Total PoP ]]/500),0)</f>
        <v>10</v>
      </c>
      <c r="BM294" s="210">
        <f>WWWW[[#This Row],['# Existing functional latrines]]+WWWW[[#This Row],['# Existing latrines dysfunctional]]</f>
        <v>325</v>
      </c>
      <c r="BN29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0.98937040065412918</v>
      </c>
      <c r="BO294" s="352">
        <f>WWWW[[#This Row],[% people access to functioning Latrine]]*WWWW[[#This Row],[Total PoP ]]</f>
        <v>4840</v>
      </c>
      <c r="BP29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94" s="209">
        <f>IF(WWWW[[#This Row],[Total required Latrines]]-WWWW[[#This Row],[Total '# of latrine]]&lt;0,0,WWWW[[#This Row],[Total required Latrines]]-WWWW[[#This Row],[Total '# of latrine]])</f>
        <v>0</v>
      </c>
      <c r="BR294" s="210">
        <f>ROUND(IF(WWWW[[#This Row],[Location Type 1]]="camp",WWWW[[#This Row],[Total PoP ]]/20,WWWW[[#This Row],[Total PoP ]]/6),0)</f>
        <v>245</v>
      </c>
      <c r="BS294" s="212">
        <f>IF(OR(WWWW[[#This Row],['# Existing latrines dysfunctional]]="",WWWW[[#This Row],['# Existing latrines dysfunctional]]=0),0,WWWW[[#This Row],['# Existing latrines dysfunctional]]/WWWW[[#This Row],[Total '# of latrine]])</f>
        <v>0.25538461538461538</v>
      </c>
      <c r="BT29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4892</v>
      </c>
      <c r="BU294" s="209">
        <f>IF(500*WWWW[[#This Row],['# Hygiene Promoters ]]&gt;WWWW[[#This Row],[Total PoP ]],WWWW[[#This Row],[Total PoP ]],500*WWWW[[#This Row],['# Hygiene Promoters ]])</f>
        <v>1000</v>
      </c>
      <c r="BV294" s="209">
        <f>IF(WWWW[[#This Row],[% of HH with access to Sanitary Pad]]&gt;=100%,1,0)</f>
        <v>1</v>
      </c>
      <c r="BW294" s="209">
        <f>IF(WWWW[[#This Row],[Total PoP ]]=0,0,IF(WWWW[[#This Row],['# Hygiene Promoters ]]=0,0,IF(WWWW[[#This Row],[Location Type 1]]="Village",IF(WWWW[[#This Row],[Total PoP ]]/WWWW[[#This Row],['# Hygiene Promoters ]]&lt;1000,1,0),IF(WWWW[[#This Row],[Total PoP ]]/WWWW[[#This Row],['# Hygiene Promoters ]]&lt;600,1,0))))</f>
        <v>0</v>
      </c>
      <c r="BX294" s="209">
        <f>IF(WWWW[[#This Row],[%HH with access to soap]]&gt;=100%,1,0)</f>
        <v>1</v>
      </c>
      <c r="BY294" s="209">
        <f>IF(WWWW[[#This Row],[% of HHs with access to Sanitary pad more than '#%]]+WWWW[[#This Row],[Ratio of Hyiene promoters to people less than '#]]+WWWW[[#This Row],[% of HHs with access to soap more than '#%]]&gt;=2,WWWW[[#This Row],[Total PoP ]],0)</f>
        <v>4892</v>
      </c>
      <c r="BZ294" s="208">
        <f>WWWW[[#This Row],[People adopt basic personal and community hygiene practices]]/WWWW[[#This Row],[Total PoP ]]</f>
        <v>1</v>
      </c>
      <c r="CA294" s="212">
        <f>1-WWWW[[#This Row],[Hygiene Coverage%]]</f>
        <v>0</v>
      </c>
      <c r="CB294" s="211">
        <f>WWWW[[#This Row],['# people reached by regular dedicated hygiene promotion_5]]/WWWW[[#This Row],[Total PoP ]]</f>
        <v>0.20441537203597709</v>
      </c>
      <c r="CC294" s="211">
        <f>IF(WWWW[[#This Row],['# HH received soaps]]/WWWW[[#This Row],[Total HH]]&gt;1,1,WWWW[[#This Row],['# HH received soaps]]/WWWW[[#This Row],[Total HH]])</f>
        <v>1</v>
      </c>
      <c r="CD294" s="211">
        <f>IF(WWWW[[#This Row],['# HH received Sanitary Pads]]/WWWW[[#This Row],[Total HH]]&gt;1,1,WWWW[[#This Row],['# HH received Sanitary Pads]]/WWWW[[#This Row],[Total HH]])</f>
        <v>1</v>
      </c>
      <c r="CE294" s="210">
        <f>WWWW[[#This Row],['# HH received soaps]]*5</f>
        <v>5080</v>
      </c>
      <c r="CF294" s="210">
        <f>WWWW[[#This Row],['# HH received Sanitary Pads]]*5</f>
        <v>5080</v>
      </c>
      <c r="CG294" s="210">
        <f>IF(WWWW[[#This Row],['# People with access to soap]]&gt;WWWW[[#This Row],['# People with access to Sanity Pads]],WWWW[[#This Row],['# People with access to soap]],WWWW[[#This Row],['# People with access to Sanity Pads]])</f>
        <v>5080</v>
      </c>
      <c r="CH294" s="209">
        <f>WWWW[[#This Row],[Total HH]]*WWWW[[#This Row],[%HHs with access to functional hand washing stations]]</f>
        <v>1016</v>
      </c>
      <c r="CI294" s="699" t="str">
        <f>VLOOKUP(WWWW[[#This Row],[Site Name]],SiteDB6[[Site Name]:[CCCM Management]],6,FALSE)</f>
        <v>Yes</v>
      </c>
      <c r="CJ294" s="699">
        <f>VLOOKUP(WWWW[[#This Row],[Site Name]],SiteDB6[[Site Name]:[CCCM Focal Agency]],7,FALSE)</f>
        <v>0</v>
      </c>
      <c r="CK294" s="699" t="str">
        <f>VLOOKUP(WWWW[[#This Row],[Site Name]],SiteDB6[[Site Name]:[Location Type]],8,FALSE)</f>
        <v>Camp</v>
      </c>
      <c r="CL294" s="699" t="str">
        <f>VLOOKUP(WWWW[[#This Row],[Site Name]],SiteDB6[[Site Name]:[Location Type 1]],9,FALSE)</f>
        <v>Camp</v>
      </c>
      <c r="CM294" s="699" t="str">
        <f>VLOOKUP(WWWW[[#This Row],[Site Name]],SiteDB6[[Site Name]:[Type of Accommodation]],10,FALSE)</f>
        <v>Planned Camp</v>
      </c>
      <c r="CN294" s="699" t="str">
        <f>VLOOKUP(WWWW[[#This Row],[Site Name]],SiteDB6[[Site Name]:[Ethnic or GCA/NGCA]],11,FALSE)</f>
        <v>Muslim</v>
      </c>
      <c r="CO294" s="699">
        <f>VLOOKUP(WWWW[[#This Row],[Site Name]],SiteDB6[[Site Name]:[Lat]],12,FALSE)</f>
        <v>20.179417000000001</v>
      </c>
      <c r="CP294" s="699">
        <f>VLOOKUP(WWWW[[#This Row],[Site Name]],SiteDB6[[Site Name]:[Long]],13,FALSE)</f>
        <v>92.813028000000003</v>
      </c>
      <c r="CQ294" s="699" t="str">
        <f>VLOOKUP(WWWW[[#This Row],[Site Name]],SiteDB6[[Site Name]:[Pcode]],3,FALSE)</f>
        <v>MMR012CMP113</v>
      </c>
      <c r="CR294" s="660" t="str">
        <f t="shared" si="6"/>
        <v>Covered</v>
      </c>
      <c r="CS294" s="660"/>
      <c r="CT294" s="24"/>
      <c r="CU294" s="24"/>
      <c r="CV294" s="24"/>
    </row>
    <row r="295" spans="1:100" ht="15.75" customHeight="1" x14ac:dyDescent="0.25">
      <c r="A295" s="833" t="s">
        <v>3206</v>
      </c>
      <c r="B295" s="206" t="s">
        <v>426</v>
      </c>
      <c r="C295" s="206" t="s">
        <v>454</v>
      </c>
      <c r="D295" s="206" t="s">
        <v>563</v>
      </c>
      <c r="E295" s="206" t="s">
        <v>573</v>
      </c>
      <c r="F295" s="206">
        <v>379</v>
      </c>
      <c r="G295" s="209">
        <v>1914</v>
      </c>
      <c r="H295" s="206"/>
      <c r="I295" s="206" t="s">
        <v>2910</v>
      </c>
      <c r="J295" s="207" t="s">
        <v>2911</v>
      </c>
      <c r="K295" s="206">
        <v>7</v>
      </c>
      <c r="L295" s="206" t="s">
        <v>282</v>
      </c>
      <c r="M295" s="208">
        <v>0</v>
      </c>
      <c r="N295" s="208">
        <v>0</v>
      </c>
      <c r="O295" s="316">
        <v>0</v>
      </c>
      <c r="P295" s="317">
        <v>0</v>
      </c>
      <c r="Q295" s="317">
        <v>0</v>
      </c>
      <c r="R295" s="318">
        <v>3</v>
      </c>
      <c r="S295" s="318">
        <v>0</v>
      </c>
      <c r="T295" s="318">
        <v>0</v>
      </c>
      <c r="U295" s="318">
        <v>0</v>
      </c>
      <c r="V295" s="318"/>
      <c r="W295" s="318">
        <v>0</v>
      </c>
      <c r="X295" s="318"/>
      <c r="Y295" s="318">
        <v>0</v>
      </c>
      <c r="Z295" s="318" t="s">
        <v>2471</v>
      </c>
      <c r="AA295" s="310">
        <v>400</v>
      </c>
      <c r="AB295" s="310"/>
      <c r="AC295" s="66"/>
      <c r="AD295" s="66"/>
      <c r="AE295" s="310">
        <v>400</v>
      </c>
      <c r="AF295" s="310" t="s">
        <v>1358</v>
      </c>
      <c r="AG295" s="311" t="s">
        <v>283</v>
      </c>
      <c r="AH295" s="311"/>
      <c r="AI295" s="310">
        <v>0</v>
      </c>
      <c r="AJ295" s="310" t="s">
        <v>2472</v>
      </c>
      <c r="AK295" s="841">
        <v>0</v>
      </c>
      <c r="AL295" s="842"/>
      <c r="AM295" s="842">
        <v>0</v>
      </c>
      <c r="AN295" s="863">
        <v>0</v>
      </c>
      <c r="AO295" s="863">
        <v>3</v>
      </c>
      <c r="AP295" s="843"/>
      <c r="AQ295" s="843"/>
      <c r="AR295" s="843"/>
      <c r="AS295" s="843"/>
      <c r="AT295" s="843">
        <v>0</v>
      </c>
      <c r="AU295" s="843">
        <v>0</v>
      </c>
      <c r="AV295" s="876" t="s">
        <v>2473</v>
      </c>
      <c r="AW295" s="208" t="str">
        <f>IFERROR(WWWW[[#This Row],['# of Water passed at source]]/WWWW[[#This Row],['# of Water tested at source]],"no test")</f>
        <v>no test</v>
      </c>
      <c r="AX295" s="211" t="str">
        <f>IFERROR(WWWW[[#This Row],['# of Water passed at HH]]/WWWW[[#This Row],['# of Water tested at HH]],"no test")</f>
        <v>no test</v>
      </c>
      <c r="AY295" s="210" t="str">
        <f>IF(AND(WWWW[[#This Row],[%of Water samples which passed at water source]]="no test",WWWW[[#This Row],[%Water samples which passed at HH]]="no test"),"No Test","Tested")</f>
        <v>No Test</v>
      </c>
      <c r="AZ29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29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295" s="211">
        <f>IF(WWWW[[#This Row],[Location Type 1]]="Village",WWWW[[#This Row],[Access to safe drinking water for Village]],WWWW[[#This Row],[Access to safe drinking water for Camp]])</f>
        <v>0</v>
      </c>
      <c r="BC295" s="209">
        <f>WWWW[[#This Row],[%Equitable and continuous access to sufficient quantity of safe drinking water]]*WWWW[[#This Row],[Total PoP ]]</f>
        <v>0</v>
      </c>
      <c r="BD295" s="211">
        <f>IF((WWWW[[#This Row],['# Existing protected/fenced ponds ]]*250)/WWWW[[#This Row],[Total PoP ]]&gt;1,1,WWWW[[#This Row],['# Existing protected/fenced ponds ]]*250/WWWW[[#This Row],[Total PoP ]])</f>
        <v>0.39184952978056425</v>
      </c>
      <c r="BE295" s="209">
        <f>WWWW[[#This Row],[Access to unimproved water points]]*WWWW[[#This Row],[Total PoP ]]</f>
        <v>750</v>
      </c>
      <c r="BF29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0.39184952978056425</v>
      </c>
      <c r="BG29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H295" s="209">
        <f>WWWW[[#This Row],['#people Equitable and continuous access to sufficient quantity of domestic water borehole n ponds_2]]/500</f>
        <v>1.5</v>
      </c>
      <c r="BI295" s="208">
        <f>1-WWWW[[#This Row],[%Equitable and continuous access to sufficient quantity of domestic water borehole n ponds]]</f>
        <v>0.6081504702194358</v>
      </c>
      <c r="BJ295" s="209">
        <f>WWWW[[#This Row],[%equitable and continuous access to sufficient quantity of safe drinking and domestic water''s GAP]]*WWWW[[#This Row],[Total PoP ]]</f>
        <v>1164.0000000000002</v>
      </c>
      <c r="BK295" s="210">
        <f>IF(WWWW[[#This Row],[Total required water points]]-WWWW[[#This Row],['#Water points coverage]]&lt;0,0,WWWW[[#This Row],[Total required water points]]-WWWW[[#This Row],['#Water points coverage]])</f>
        <v>2.5</v>
      </c>
      <c r="BL295" s="210">
        <f>ROUND(IF(WWWW[[#This Row],[Total PoP ]]&lt;500,1,WWWW[[#This Row],[Total PoP ]]/500),0)</f>
        <v>4</v>
      </c>
      <c r="BM295" s="210">
        <f>WWWW[[#This Row],['# Existing functional latrines]]+WWWW[[#This Row],['# Existing latrines dysfunctional]]</f>
        <v>400</v>
      </c>
      <c r="BN29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295" s="352">
        <f>WWWW[[#This Row],[% people access to functioning Latrine]]*WWWW[[#This Row],[Total PoP ]]</f>
        <v>1914</v>
      </c>
      <c r="BP29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295" s="209">
        <f>IF(WWWW[[#This Row],[Total required Latrines]]-WWWW[[#This Row],[Total '# of latrine]]&lt;0,0,WWWW[[#This Row],[Total required Latrines]]-WWWW[[#This Row],[Total '# of latrine]])</f>
        <v>0</v>
      </c>
      <c r="BR295" s="210">
        <f>ROUND(IF(WWWW[[#This Row],[Location Type 1]]="camp",WWWW[[#This Row],[Total PoP ]]/20,WWWW[[#This Row],[Total PoP ]]/6),0)</f>
        <v>319</v>
      </c>
      <c r="BS295" s="212">
        <f>IF(OR(WWWW[[#This Row],['# Existing latrines dysfunctional]]="",WWWW[[#This Row],['# Existing latrines dysfunctional]]=0),0,WWWW[[#This Row],['# Existing latrines dysfunctional]]/WWWW[[#This Row],[Total '# of latrine]])</f>
        <v>0</v>
      </c>
      <c r="BT29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295" s="209">
        <f>IF(500*WWWW[[#This Row],['# Hygiene Promoters ]]&gt;WWWW[[#This Row],[Total PoP ]],WWWW[[#This Row],[Total PoP ]],500*WWWW[[#This Row],['# Hygiene Promoters ]])</f>
        <v>1500</v>
      </c>
      <c r="BV295" s="209">
        <f>IF(WWWW[[#This Row],[% of HH with access to Sanitary Pad]]&gt;=100%,1,0)</f>
        <v>0</v>
      </c>
      <c r="BW295" s="209">
        <f>IF(WWWW[[#This Row],[Total PoP ]]=0,0,IF(WWWW[[#This Row],['# Hygiene Promoters ]]=0,0,IF(WWWW[[#This Row],[Location Type 1]]="Village",IF(WWWW[[#This Row],[Total PoP ]]/WWWW[[#This Row],['# Hygiene Promoters ]]&lt;1000,1,0),IF(WWWW[[#This Row],[Total PoP ]]/WWWW[[#This Row],['# Hygiene Promoters ]]&lt;600,1,0))))</f>
        <v>1</v>
      </c>
      <c r="BX295" s="209">
        <f>IF(WWWW[[#This Row],[%HH with access to soap]]&gt;=100%,1,0)</f>
        <v>0</v>
      </c>
      <c r="BY295" s="209">
        <f>IF(WWWW[[#This Row],[% of HHs with access to Sanitary pad more than '#%]]+WWWW[[#This Row],[Ratio of Hyiene promoters to people less than '#]]+WWWW[[#This Row],[% of HHs with access to soap more than '#%]]&gt;=2,WWWW[[#This Row],[Total PoP ]],0)</f>
        <v>0</v>
      </c>
      <c r="BZ295" s="208">
        <f>WWWW[[#This Row],[People adopt basic personal and community hygiene practices]]/WWWW[[#This Row],[Total PoP ]]</f>
        <v>0</v>
      </c>
      <c r="CA295" s="212">
        <f>1-WWWW[[#This Row],[Hygiene Coverage%]]</f>
        <v>1</v>
      </c>
      <c r="CB295" s="211">
        <f>WWWW[[#This Row],['# people reached by regular dedicated hygiene promotion_5]]/WWWW[[#This Row],[Total PoP ]]</f>
        <v>0.78369905956112851</v>
      </c>
      <c r="CC295" s="211">
        <f>IF(WWWW[[#This Row],['# HH received soaps]]/WWWW[[#This Row],[Total HH]]&gt;1,1,WWWW[[#This Row],['# HH received soaps]]/WWWW[[#This Row],[Total HH]])</f>
        <v>0</v>
      </c>
      <c r="CD295" s="211">
        <f>IF(WWWW[[#This Row],['# HH received Sanitary Pads]]/WWWW[[#This Row],[Total HH]]&gt;1,1,WWWW[[#This Row],['# HH received Sanitary Pads]]/WWWW[[#This Row],[Total HH]])</f>
        <v>0</v>
      </c>
      <c r="CE295" s="210">
        <f>WWWW[[#This Row],['# HH received soaps]]*5</f>
        <v>0</v>
      </c>
      <c r="CF295" s="210">
        <f>WWWW[[#This Row],['# HH received Sanitary Pads]]*5</f>
        <v>0</v>
      </c>
      <c r="CG295" s="210">
        <f>IF(WWWW[[#This Row],['# People with access to soap]]&gt;WWWW[[#This Row],['# People with access to Sanity Pads]],WWWW[[#This Row],['# People with access to soap]],WWWW[[#This Row],['# People with access to Sanity Pads]])</f>
        <v>0</v>
      </c>
      <c r="CH295" s="209">
        <f>WWWW[[#This Row],[Total HH]]*WWWW[[#This Row],[%HHs with access to functional hand washing stations]]</f>
        <v>0</v>
      </c>
      <c r="CI295" s="699">
        <f>VLOOKUP(WWWW[[#This Row],[Site Name]],SiteDB6[[Site Name]:[CCCM Management]],6,FALSE)</f>
        <v>0</v>
      </c>
      <c r="CJ295" s="699">
        <f>VLOOKUP(WWWW[[#This Row],[Site Name]],SiteDB6[[Site Name]:[CCCM Focal Agency]],7,FALSE)</f>
        <v>0</v>
      </c>
      <c r="CK295" s="699" t="str">
        <f>VLOOKUP(WWWW[[#This Row],[Site Name]],SiteDB6[[Site Name]:[Location Type]],8,FALSE)</f>
        <v>Village</v>
      </c>
      <c r="CL295" s="699" t="str">
        <f>VLOOKUP(WWWW[[#This Row],[Site Name]],SiteDB6[[Site Name]:[Location Type 1]],9,FALSE)</f>
        <v>Village</v>
      </c>
      <c r="CM295" s="699" t="str">
        <f>VLOOKUP(WWWW[[#This Row],[Site Name]],SiteDB6[[Site Name]:[Type of Accommodation]],10,FALSE)</f>
        <v>Village</v>
      </c>
      <c r="CN295" s="699" t="str">
        <f>VLOOKUP(WWWW[[#This Row],[Site Name]],SiteDB6[[Site Name]:[Ethnic or GCA/NGCA]],11,FALSE)</f>
        <v>Muslim</v>
      </c>
      <c r="CO295" s="699">
        <f>VLOOKUP(WWWW[[#This Row],[Site Name]],SiteDB6[[Site Name]:[Lat]],12,FALSE)</f>
        <v>20.099340438842798</v>
      </c>
      <c r="CP295" s="699">
        <f>VLOOKUP(WWWW[[#This Row],[Site Name]],SiteDB6[[Site Name]:[Long]],13,FALSE)</f>
        <v>92.989143371582003</v>
      </c>
      <c r="CQ295" s="699" t="str">
        <f>VLOOKUP(WWWW[[#This Row],[Site Name]],SiteDB6[[Site Name]:[Pcode]],3,FALSE)</f>
        <v>197558</v>
      </c>
      <c r="CR295" s="660" t="str">
        <f t="shared" si="6"/>
        <v>Covered</v>
      </c>
      <c r="CS295" s="660"/>
      <c r="CT295" s="24"/>
      <c r="CU295" s="24"/>
      <c r="CV295" s="24"/>
    </row>
    <row r="296" spans="1:100" ht="15.75" customHeight="1" x14ac:dyDescent="0.25">
      <c r="A296" s="833" t="s">
        <v>3206</v>
      </c>
      <c r="B296" s="206" t="s">
        <v>426</v>
      </c>
      <c r="C296" s="206" t="s">
        <v>454</v>
      </c>
      <c r="D296" s="206" t="s">
        <v>455</v>
      </c>
      <c r="E296" s="206" t="s">
        <v>590</v>
      </c>
      <c r="F296" s="206">
        <v>1311</v>
      </c>
      <c r="G296" s="209">
        <v>6936</v>
      </c>
      <c r="H296" s="206"/>
      <c r="I296" s="206" t="s">
        <v>47</v>
      </c>
      <c r="J296" s="207">
        <v>44104</v>
      </c>
      <c r="K296" s="206">
        <v>0</v>
      </c>
      <c r="L296" s="206" t="s">
        <v>282</v>
      </c>
      <c r="M296" s="208">
        <v>0</v>
      </c>
      <c r="N296" s="208">
        <v>0</v>
      </c>
      <c r="O296" s="316">
        <v>0</v>
      </c>
      <c r="P296" s="317">
        <v>64</v>
      </c>
      <c r="Q296" s="317">
        <v>0</v>
      </c>
      <c r="R296" s="318">
        <v>0</v>
      </c>
      <c r="S296" s="318">
        <v>88</v>
      </c>
      <c r="T296" s="318"/>
      <c r="U296" s="318"/>
      <c r="V296" s="318"/>
      <c r="W296" s="318"/>
      <c r="X296" s="318"/>
      <c r="Y296" s="318">
        <v>0</v>
      </c>
      <c r="Z296" s="318" t="s">
        <v>2783</v>
      </c>
      <c r="AA296" s="336">
        <v>147</v>
      </c>
      <c r="AB296" s="866">
        <v>180</v>
      </c>
      <c r="AC296" s="866">
        <f>514-363</f>
        <v>151</v>
      </c>
      <c r="AD296" s="66"/>
      <c r="AE296" s="310">
        <v>303</v>
      </c>
      <c r="AF296" s="310" t="s">
        <v>283</v>
      </c>
      <c r="AG296" s="311" t="s">
        <v>283</v>
      </c>
      <c r="AH296" s="311">
        <v>0</v>
      </c>
      <c r="AI296" s="310">
        <v>0</v>
      </c>
      <c r="AJ296" s="310"/>
      <c r="AK296" s="841">
        <v>1</v>
      </c>
      <c r="AL296" s="842" t="s">
        <v>284</v>
      </c>
      <c r="AM296" s="842">
        <v>0</v>
      </c>
      <c r="AN296" s="863">
        <v>0</v>
      </c>
      <c r="AO296" s="863">
        <v>2</v>
      </c>
      <c r="AP296" s="874">
        <v>1344</v>
      </c>
      <c r="AQ296" s="874">
        <v>1344</v>
      </c>
      <c r="AR296" s="843"/>
      <c r="AS296" s="843"/>
      <c r="AT296" s="843"/>
      <c r="AU296" s="843"/>
      <c r="AV296" s="844"/>
      <c r="AW296" s="208" t="str">
        <f>IFERROR(WWWW[[#This Row],['# of Water passed at source]]/WWWW[[#This Row],['# of Water tested at source]],"no test")</f>
        <v>no test</v>
      </c>
      <c r="AX296" s="211" t="str">
        <f>IFERROR(WWWW[[#This Row],['# of Water passed at HH]]/WWWW[[#This Row],['# of Water tested at HH]],"no test")</f>
        <v>no test</v>
      </c>
      <c r="AY296" s="210" t="str">
        <f>IF(AND(WWWW[[#This Row],[%of Water samples which passed at water source]]="no test",WWWW[[#This Row],[%Water samples which passed at HH]]="no test"),"No Test","Tested")</f>
        <v>No Test</v>
      </c>
      <c r="AZ29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9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96" s="211">
        <f>IF(WWWW[[#This Row],[Location Type 1]]="Village",WWWW[[#This Row],[Access to safe drinking water for Village]],WWWW[[#This Row],[Access to safe drinking water for Camp]])</f>
        <v>1</v>
      </c>
      <c r="BC296" s="209">
        <f>WWWW[[#This Row],[%Equitable and continuous access to sufficient quantity of safe drinking water]]*WWWW[[#This Row],[Total PoP ]]</f>
        <v>6936</v>
      </c>
      <c r="BD296" s="211">
        <f>IF((WWWW[[#This Row],['# Existing protected/fenced ponds ]]*250)/WWWW[[#This Row],[Total PoP ]]&gt;1,1,WWWW[[#This Row],['# Existing protected/fenced ponds ]]*250/WWWW[[#This Row],[Total PoP ]])</f>
        <v>0</v>
      </c>
      <c r="BE296" s="209">
        <f>WWWW[[#This Row],[Access to unimproved water points]]*WWWW[[#This Row],[Total PoP ]]</f>
        <v>0</v>
      </c>
      <c r="BF29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9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6936</v>
      </c>
      <c r="BH296" s="209">
        <f>WWWW[[#This Row],['#people Equitable and continuous access to sufficient quantity of domestic water borehole n ponds_2]]/500</f>
        <v>13.872</v>
      </c>
      <c r="BI296" s="208">
        <f>1-WWWW[[#This Row],[%Equitable and continuous access to sufficient quantity of domestic water borehole n ponds]]</f>
        <v>0</v>
      </c>
      <c r="BJ296" s="209">
        <f>WWWW[[#This Row],[%equitable and continuous access to sufficient quantity of safe drinking and domestic water''s GAP]]*WWWW[[#This Row],[Total PoP ]]</f>
        <v>0</v>
      </c>
      <c r="BK296" s="210">
        <f>IF(WWWW[[#This Row],[Total required water points]]-WWWW[[#This Row],['#Water points coverage]]&lt;0,0,WWWW[[#This Row],[Total required water points]]-WWWW[[#This Row],['#Water points coverage]])</f>
        <v>0.12800000000000011</v>
      </c>
      <c r="BL296" s="210">
        <f>ROUND(IF(WWWW[[#This Row],[Total PoP ]]&lt;500,1,WWWW[[#This Row],[Total PoP ]]/500),0)</f>
        <v>14</v>
      </c>
      <c r="BM296" s="210">
        <f>WWWW[[#This Row],['# Existing functional latrines]]+WWWW[[#This Row],['# Existing latrines dysfunctional]]</f>
        <v>327</v>
      </c>
      <c r="BN29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0.42387543252595156</v>
      </c>
      <c r="BO296" s="352">
        <f>WWWW[[#This Row],[% people access to functioning Latrine]]*WWWW[[#This Row],[Total PoP ]]</f>
        <v>2940</v>
      </c>
      <c r="BP29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5.7670126874279123E-2</v>
      </c>
      <c r="BQ296" s="209">
        <f>IF(WWWW[[#This Row],[Total required Latrines]]-WWWW[[#This Row],[Total '# of latrine]]&lt;0,0,WWWW[[#This Row],[Total required Latrines]]-WWWW[[#This Row],[Total '# of latrine]])</f>
        <v>20</v>
      </c>
      <c r="BR296" s="210">
        <f>ROUND(IF(WWWW[[#This Row],[Location Type 1]]="camp",WWWW[[#This Row],[Total PoP ]]/20,WWWW[[#This Row],[Total PoP ]]/6),0)</f>
        <v>347</v>
      </c>
      <c r="BS296" s="212">
        <f>IF(OR(WWWW[[#This Row],['# Existing latrines dysfunctional]]="",WWWW[[#This Row],['# Existing latrines dysfunctional]]=0),0,WWWW[[#This Row],['# Existing latrines dysfunctional]]/WWWW[[#This Row],[Total '# of latrine]])</f>
        <v>0.55045871559633031</v>
      </c>
      <c r="BT29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3020</v>
      </c>
      <c r="BU296" s="209">
        <f>IF(500*WWWW[[#This Row],['# Hygiene Promoters ]]&gt;WWWW[[#This Row],[Total PoP ]],WWWW[[#This Row],[Total PoP ]],500*WWWW[[#This Row],['# Hygiene Promoters ]])</f>
        <v>1000</v>
      </c>
      <c r="BV296" s="209">
        <f>IF(WWWW[[#This Row],[% of HH with access to Sanitary Pad]]&gt;=100%,1,0)</f>
        <v>1</v>
      </c>
      <c r="BW296" s="209">
        <f>IF(WWWW[[#This Row],[Total PoP ]]=0,0,IF(WWWW[[#This Row],['# Hygiene Promoters ]]=0,0,IF(WWWW[[#This Row],[Location Type 1]]="Village",IF(WWWW[[#This Row],[Total PoP ]]/WWWW[[#This Row],['# Hygiene Promoters ]]&lt;1000,1,0),IF(WWWW[[#This Row],[Total PoP ]]/WWWW[[#This Row],['# Hygiene Promoters ]]&lt;600,1,0))))</f>
        <v>0</v>
      </c>
      <c r="BX296" s="209">
        <f>IF(WWWW[[#This Row],[%HH with access to soap]]&gt;=100%,1,0)</f>
        <v>1</v>
      </c>
      <c r="BY296" s="209">
        <f>IF(WWWW[[#This Row],[% of HHs with access to Sanitary pad more than '#%]]+WWWW[[#This Row],[Ratio of Hyiene promoters to people less than '#]]+WWWW[[#This Row],[% of HHs with access to soap more than '#%]]&gt;=2,WWWW[[#This Row],[Total PoP ]],0)</f>
        <v>6936</v>
      </c>
      <c r="BZ296" s="208">
        <f>WWWW[[#This Row],[People adopt basic personal and community hygiene practices]]/WWWW[[#This Row],[Total PoP ]]</f>
        <v>1</v>
      </c>
      <c r="CA296" s="212">
        <f>1-WWWW[[#This Row],[Hygiene Coverage%]]</f>
        <v>0</v>
      </c>
      <c r="CB296" s="211">
        <f>WWWW[[#This Row],['# people reached by regular dedicated hygiene promotion_5]]/WWWW[[#This Row],[Total PoP ]]</f>
        <v>0.14417531718569782</v>
      </c>
      <c r="CC296" s="211">
        <f>IF(WWWW[[#This Row],['# HH received soaps]]/WWWW[[#This Row],[Total HH]]&gt;1,1,WWWW[[#This Row],['# HH received soaps]]/WWWW[[#This Row],[Total HH]])</f>
        <v>1</v>
      </c>
      <c r="CD296" s="211">
        <f>IF(WWWW[[#This Row],['# HH received Sanitary Pads]]/WWWW[[#This Row],[Total HH]]&gt;1,1,WWWW[[#This Row],['# HH received Sanitary Pads]]/WWWW[[#This Row],[Total HH]])</f>
        <v>1</v>
      </c>
      <c r="CE296" s="210">
        <f>WWWW[[#This Row],['# HH received soaps]]*5</f>
        <v>6720</v>
      </c>
      <c r="CF296" s="210">
        <f>WWWW[[#This Row],['# HH received Sanitary Pads]]*5</f>
        <v>6720</v>
      </c>
      <c r="CG296" s="210">
        <f>IF(WWWW[[#This Row],['# People with access to soap]]&gt;WWWW[[#This Row],['# People with access to Sanity Pads]],WWWW[[#This Row],['# People with access to soap]],WWWW[[#This Row],['# People with access to Sanity Pads]])</f>
        <v>6720</v>
      </c>
      <c r="CH296" s="209">
        <f>WWWW[[#This Row],[Total HH]]*WWWW[[#This Row],[%HHs with access to functional hand washing stations]]</f>
        <v>1311</v>
      </c>
      <c r="CI296" s="699" t="str">
        <f>VLOOKUP(WWWW[[#This Row],[Site Name]],SiteDB6[[Site Name]:[CCCM Management]],6,FALSE)</f>
        <v>Yes</v>
      </c>
      <c r="CJ296" s="699">
        <f>VLOOKUP(WWWW[[#This Row],[Site Name]],SiteDB6[[Site Name]:[CCCM Focal Agency]],7,FALSE)</f>
        <v>0</v>
      </c>
      <c r="CK296" s="699" t="str">
        <f>VLOOKUP(WWWW[[#This Row],[Site Name]],SiteDB6[[Site Name]:[Location Type]],8,FALSE)</f>
        <v>Camp</v>
      </c>
      <c r="CL296" s="699" t="str">
        <f>VLOOKUP(WWWW[[#This Row],[Site Name]],SiteDB6[[Site Name]:[Location Type 1]],9,FALSE)</f>
        <v>Camp</v>
      </c>
      <c r="CM296" s="699" t="str">
        <f>VLOOKUP(WWWW[[#This Row],[Site Name]],SiteDB6[[Site Name]:[Type of Accommodation]],10,FALSE)</f>
        <v>Planned Camp</v>
      </c>
      <c r="CN296" s="699" t="str">
        <f>VLOOKUP(WWWW[[#This Row],[Site Name]],SiteDB6[[Site Name]:[Ethnic or GCA/NGCA]],11,FALSE)</f>
        <v>Muslim</v>
      </c>
      <c r="CO296" s="699">
        <f>VLOOKUP(WWWW[[#This Row],[Site Name]],SiteDB6[[Site Name]:[Lat]],12,FALSE)</f>
        <v>20.181405999999999</v>
      </c>
      <c r="CP296" s="699">
        <f>VLOOKUP(WWWW[[#This Row],[Site Name]],SiteDB6[[Site Name]:[Long]],13,FALSE)</f>
        <v>92.807552000000001</v>
      </c>
      <c r="CQ296" s="699" t="str">
        <f>VLOOKUP(WWWW[[#This Row],[Site Name]],SiteDB6[[Site Name]:[Pcode]],3,FALSE)</f>
        <v>MMR012CMP114</v>
      </c>
      <c r="CR296" s="660" t="str">
        <f t="shared" si="6"/>
        <v>Covered</v>
      </c>
      <c r="CS296" s="660"/>
      <c r="CT296" s="24"/>
      <c r="CU296" s="24"/>
      <c r="CV296" s="24"/>
    </row>
    <row r="297" spans="1:100" ht="15.75" customHeight="1" x14ac:dyDescent="0.25">
      <c r="A297" s="833" t="s">
        <v>3206</v>
      </c>
      <c r="B297" s="206" t="s">
        <v>426</v>
      </c>
      <c r="C297" s="206" t="s">
        <v>454</v>
      </c>
      <c r="D297" s="206" t="s">
        <v>455</v>
      </c>
      <c r="E297" s="206" t="s">
        <v>586</v>
      </c>
      <c r="F297" s="206">
        <v>2005</v>
      </c>
      <c r="G297" s="209">
        <v>11625</v>
      </c>
      <c r="H297" s="206"/>
      <c r="I297" s="206" t="s">
        <v>47</v>
      </c>
      <c r="J297" s="207">
        <v>44104</v>
      </c>
      <c r="K297" s="206">
        <v>0</v>
      </c>
      <c r="L297" s="206" t="s">
        <v>282</v>
      </c>
      <c r="M297" s="208">
        <v>0</v>
      </c>
      <c r="N297" s="208">
        <v>0</v>
      </c>
      <c r="O297" s="316">
        <v>0</v>
      </c>
      <c r="P297" s="317">
        <v>62</v>
      </c>
      <c r="Q297" s="317">
        <v>0</v>
      </c>
      <c r="R297" s="318">
        <v>0</v>
      </c>
      <c r="S297" s="318">
        <v>93</v>
      </c>
      <c r="T297" s="318"/>
      <c r="U297" s="318">
        <v>98</v>
      </c>
      <c r="V297" s="318">
        <v>55</v>
      </c>
      <c r="W297" s="318">
        <v>91</v>
      </c>
      <c r="X297" s="318">
        <v>19</v>
      </c>
      <c r="Y297" s="318">
        <v>0</v>
      </c>
      <c r="Z297" s="318" t="s">
        <v>2783</v>
      </c>
      <c r="AA297" s="336">
        <v>344</v>
      </c>
      <c r="AB297" s="866">
        <v>134</v>
      </c>
      <c r="AC297" s="866">
        <v>337</v>
      </c>
      <c r="AD297" s="66"/>
      <c r="AE297" s="310">
        <v>385</v>
      </c>
      <c r="AF297" s="310" t="s">
        <v>283</v>
      </c>
      <c r="AG297" s="311" t="s">
        <v>283</v>
      </c>
      <c r="AH297" s="311">
        <v>0</v>
      </c>
      <c r="AI297" s="310">
        <v>0</v>
      </c>
      <c r="AJ297" s="310"/>
      <c r="AK297" s="841">
        <v>1</v>
      </c>
      <c r="AL297" s="842" t="s">
        <v>284</v>
      </c>
      <c r="AM297" s="842">
        <v>0</v>
      </c>
      <c r="AN297" s="863">
        <v>0</v>
      </c>
      <c r="AO297" s="888">
        <v>3</v>
      </c>
      <c r="AP297" s="874">
        <v>2006</v>
      </c>
      <c r="AQ297" s="874">
        <v>2006</v>
      </c>
      <c r="AR297" s="843" t="s">
        <v>282</v>
      </c>
      <c r="AS297" s="843"/>
      <c r="AT297" s="843"/>
      <c r="AU297" s="843"/>
      <c r="AV297" s="844"/>
      <c r="AW297" s="208">
        <f>IFERROR(WWWW[[#This Row],['# of Water passed at source]]/WWWW[[#This Row],['# of Water tested at source]],"no test")</f>
        <v>0.56122448979591832</v>
      </c>
      <c r="AX297" s="211">
        <f>IFERROR(WWWW[[#This Row],['# of Water passed at HH]]/WWWW[[#This Row],['# of Water tested at HH]],"no test")</f>
        <v>0.2087912087912088</v>
      </c>
      <c r="AY297" s="210" t="str">
        <f>IF(AND(WWWW[[#This Row],[%of Water samples which passed at water source]]="no test",WWWW[[#This Row],[%Water samples which passed at HH]]="no test"),"No Test","Tested")</f>
        <v>Tested</v>
      </c>
      <c r="AZ29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9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97" s="211">
        <f>IF(WWWW[[#This Row],[Location Type 1]]="Village",WWWW[[#This Row],[Access to safe drinking water for Village]],WWWW[[#This Row],[Access to safe drinking water for Camp]])</f>
        <v>1</v>
      </c>
      <c r="BC297" s="209">
        <f>WWWW[[#This Row],[%Equitable and continuous access to sufficient quantity of safe drinking water]]*WWWW[[#This Row],[Total PoP ]]</f>
        <v>11625</v>
      </c>
      <c r="BD297" s="211">
        <f>IF((WWWW[[#This Row],['# Existing protected/fenced ponds ]]*250)/WWWW[[#This Row],[Total PoP ]]&gt;1,1,WWWW[[#This Row],['# Existing protected/fenced ponds ]]*250/WWWW[[#This Row],[Total PoP ]])</f>
        <v>0</v>
      </c>
      <c r="BE297" s="209">
        <f>WWWW[[#This Row],[Access to unimproved water points]]*WWWW[[#This Row],[Total PoP ]]</f>
        <v>0</v>
      </c>
      <c r="BF29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9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11625</v>
      </c>
      <c r="BH297" s="209">
        <f>WWWW[[#This Row],['#people Equitable and continuous access to sufficient quantity of domestic water borehole n ponds_2]]/500</f>
        <v>23.25</v>
      </c>
      <c r="BI297" s="208">
        <f>1-WWWW[[#This Row],[%Equitable and continuous access to sufficient quantity of domestic water borehole n ponds]]</f>
        <v>0</v>
      </c>
      <c r="BJ297" s="209">
        <f>WWWW[[#This Row],[%equitable and continuous access to sufficient quantity of safe drinking and domestic water''s GAP]]*WWWW[[#This Row],[Total PoP ]]</f>
        <v>0</v>
      </c>
      <c r="BK297" s="210">
        <f>IF(WWWW[[#This Row],[Total required water points]]-WWWW[[#This Row],['#Water points coverage]]&lt;0,0,WWWW[[#This Row],[Total required water points]]-WWWW[[#This Row],['#Water points coverage]])</f>
        <v>0</v>
      </c>
      <c r="BL297" s="210">
        <f>ROUND(IF(WWWW[[#This Row],[Total PoP ]]&lt;500,1,WWWW[[#This Row],[Total PoP ]]/500),0)</f>
        <v>23</v>
      </c>
      <c r="BM297" s="210">
        <f>WWWW[[#This Row],['# Existing functional latrines]]+WWWW[[#This Row],['# Existing latrines dysfunctional]]</f>
        <v>478</v>
      </c>
      <c r="BN29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0.59182795698924728</v>
      </c>
      <c r="BO297" s="352">
        <f>WWWW[[#This Row],[% people access to functioning Latrine]]*WWWW[[#This Row],[Total PoP ]]</f>
        <v>6880</v>
      </c>
      <c r="BP29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0.17720430107526883</v>
      </c>
      <c r="BQ297" s="209">
        <f>IF(WWWW[[#This Row],[Total required Latrines]]-WWWW[[#This Row],[Total '# of latrine]]&lt;0,0,WWWW[[#This Row],[Total required Latrines]]-WWWW[[#This Row],[Total '# of latrine]])</f>
        <v>103</v>
      </c>
      <c r="BR297" s="210">
        <f>ROUND(IF(WWWW[[#This Row],[Location Type 1]]="camp",WWWW[[#This Row],[Total PoP ]]/20,WWWW[[#This Row],[Total PoP ]]/6),0)</f>
        <v>581</v>
      </c>
      <c r="BS297" s="212">
        <f>IF(OR(WWWW[[#This Row],['# Existing latrines dysfunctional]]="",WWWW[[#This Row],['# Existing latrines dysfunctional]]=0),0,WWWW[[#This Row],['# Existing latrines dysfunctional]]/WWWW[[#This Row],[Total '# of latrine]])</f>
        <v>0.28033472803347281</v>
      </c>
      <c r="BT29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6740</v>
      </c>
      <c r="BU297" s="209">
        <f>IF(500*WWWW[[#This Row],['# Hygiene Promoters ]]&gt;WWWW[[#This Row],[Total PoP ]],WWWW[[#This Row],[Total PoP ]],500*WWWW[[#This Row],['# Hygiene Promoters ]])</f>
        <v>1500</v>
      </c>
      <c r="BV297" s="209">
        <f>IF(WWWW[[#This Row],[% of HH with access to Sanitary Pad]]&gt;=100%,1,0)</f>
        <v>1</v>
      </c>
      <c r="BW297" s="209">
        <f>IF(WWWW[[#This Row],[Total PoP ]]=0,0,IF(WWWW[[#This Row],['# Hygiene Promoters ]]=0,0,IF(WWWW[[#This Row],[Location Type 1]]="Village",IF(WWWW[[#This Row],[Total PoP ]]/WWWW[[#This Row],['# Hygiene Promoters ]]&lt;1000,1,0),IF(WWWW[[#This Row],[Total PoP ]]/WWWW[[#This Row],['# Hygiene Promoters ]]&lt;600,1,0))))</f>
        <v>0</v>
      </c>
      <c r="BX297" s="209">
        <f>IF(WWWW[[#This Row],[%HH with access to soap]]&gt;=100%,1,0)</f>
        <v>1</v>
      </c>
      <c r="BY297" s="209">
        <f>IF(WWWW[[#This Row],[% of HHs with access to Sanitary pad more than '#%]]+WWWW[[#This Row],[Ratio of Hyiene promoters to people less than '#]]+WWWW[[#This Row],[% of HHs with access to soap more than '#%]]&gt;=2,WWWW[[#This Row],[Total PoP ]],0)</f>
        <v>11625</v>
      </c>
      <c r="BZ297" s="208">
        <f>WWWW[[#This Row],[People adopt basic personal and community hygiene practices]]/WWWW[[#This Row],[Total PoP ]]</f>
        <v>1</v>
      </c>
      <c r="CA297" s="212">
        <f>1-WWWW[[#This Row],[Hygiene Coverage%]]</f>
        <v>0</v>
      </c>
      <c r="CB297" s="211">
        <f>WWWW[[#This Row],['# people reached by regular dedicated hygiene promotion_5]]/WWWW[[#This Row],[Total PoP ]]</f>
        <v>0.12903225806451613</v>
      </c>
      <c r="CC297" s="211">
        <f>IF(WWWW[[#This Row],['# HH received soaps]]/WWWW[[#This Row],[Total HH]]&gt;1,1,WWWW[[#This Row],['# HH received soaps]]/WWWW[[#This Row],[Total HH]])</f>
        <v>1</v>
      </c>
      <c r="CD297" s="211">
        <f>IF(WWWW[[#This Row],['# HH received Sanitary Pads]]/WWWW[[#This Row],[Total HH]]&gt;1,1,WWWW[[#This Row],['# HH received Sanitary Pads]]/WWWW[[#This Row],[Total HH]])</f>
        <v>1</v>
      </c>
      <c r="CE297" s="210">
        <f>WWWW[[#This Row],['# HH received soaps]]*5</f>
        <v>10030</v>
      </c>
      <c r="CF297" s="210">
        <f>WWWW[[#This Row],['# HH received Sanitary Pads]]*5</f>
        <v>10030</v>
      </c>
      <c r="CG297" s="210">
        <f>IF(WWWW[[#This Row],['# People with access to soap]]&gt;WWWW[[#This Row],['# People with access to Sanity Pads]],WWWW[[#This Row],['# People with access to soap]],WWWW[[#This Row],['# People with access to Sanity Pads]])</f>
        <v>10030</v>
      </c>
      <c r="CH297" s="209">
        <f>WWWW[[#This Row],[Total HH]]*WWWW[[#This Row],[%HHs with access to functional hand washing stations]]</f>
        <v>2005</v>
      </c>
      <c r="CI297" s="699" t="str">
        <f>VLOOKUP(WWWW[[#This Row],[Site Name]],SiteDB6[[Site Name]:[CCCM Management]],6,FALSE)</f>
        <v>Yes</v>
      </c>
      <c r="CJ297" s="699">
        <f>VLOOKUP(WWWW[[#This Row],[Site Name]],SiteDB6[[Site Name]:[CCCM Focal Agency]],7,FALSE)</f>
        <v>0</v>
      </c>
      <c r="CK297" s="699" t="str">
        <f>VLOOKUP(WWWW[[#This Row],[Site Name]],SiteDB6[[Site Name]:[Location Type]],8,FALSE)</f>
        <v>Camp</v>
      </c>
      <c r="CL297" s="699" t="str">
        <f>VLOOKUP(WWWW[[#This Row],[Site Name]],SiteDB6[[Site Name]:[Location Type 1]],9,FALSE)</f>
        <v>Camp</v>
      </c>
      <c r="CM297" s="699" t="str">
        <f>VLOOKUP(WWWW[[#This Row],[Site Name]],SiteDB6[[Site Name]:[Type of Accommodation]],10,FALSE)</f>
        <v>Planned Camp</v>
      </c>
      <c r="CN297" s="699" t="str">
        <f>VLOOKUP(WWWW[[#This Row],[Site Name]],SiteDB6[[Site Name]:[Ethnic or GCA/NGCA]],11,FALSE)</f>
        <v>Muslim</v>
      </c>
      <c r="CO297" s="699">
        <f>VLOOKUP(WWWW[[#This Row],[Site Name]],SiteDB6[[Site Name]:[Lat]],12,FALSE)</f>
        <v>20.16846</v>
      </c>
      <c r="CP297" s="699">
        <f>VLOOKUP(WWWW[[#This Row],[Site Name]],SiteDB6[[Site Name]:[Long]],13,FALSE)</f>
        <v>92.827427</v>
      </c>
      <c r="CQ297" s="699" t="str">
        <f>VLOOKUP(WWWW[[#This Row],[Site Name]],SiteDB6[[Site Name]:[Pcode]],3,FALSE)</f>
        <v>MMR012CMP041</v>
      </c>
      <c r="CR297" s="660" t="str">
        <f t="shared" si="6"/>
        <v>Covered</v>
      </c>
      <c r="CS297" s="660"/>
      <c r="CT297" s="24"/>
      <c r="CU297" s="24"/>
      <c r="CV297" s="24"/>
    </row>
    <row r="298" spans="1:100" ht="15.75" customHeight="1" x14ac:dyDescent="0.25">
      <c r="A298" s="833" t="s">
        <v>3206</v>
      </c>
      <c r="B298" s="206" t="s">
        <v>426</v>
      </c>
      <c r="C298" s="206" t="s">
        <v>454</v>
      </c>
      <c r="D298" s="206" t="s">
        <v>455</v>
      </c>
      <c r="E298" s="206" t="s">
        <v>585</v>
      </c>
      <c r="F298" s="206">
        <v>601</v>
      </c>
      <c r="G298" s="209">
        <v>3360</v>
      </c>
      <c r="H298" s="206"/>
      <c r="I298" s="206" t="s">
        <v>47</v>
      </c>
      <c r="J298" s="207">
        <v>44104</v>
      </c>
      <c r="K298" s="206">
        <v>0</v>
      </c>
      <c r="L298" s="206" t="s">
        <v>282</v>
      </c>
      <c r="M298" s="208">
        <v>0</v>
      </c>
      <c r="N298" s="208">
        <v>0</v>
      </c>
      <c r="O298" s="316">
        <v>0</v>
      </c>
      <c r="P298" s="873">
        <v>19</v>
      </c>
      <c r="Q298" s="317">
        <v>0</v>
      </c>
      <c r="R298" s="318">
        <v>0</v>
      </c>
      <c r="S298" s="318">
        <v>21</v>
      </c>
      <c r="T298" s="318"/>
      <c r="U298" s="318">
        <v>20</v>
      </c>
      <c r="V298" s="318">
        <v>12</v>
      </c>
      <c r="W298" s="318">
        <v>32</v>
      </c>
      <c r="X298" s="318">
        <v>2</v>
      </c>
      <c r="Y298" s="318">
        <v>0</v>
      </c>
      <c r="Z298" s="318" t="s">
        <v>2783</v>
      </c>
      <c r="AA298" s="336">
        <v>0</v>
      </c>
      <c r="AB298" s="310">
        <v>0</v>
      </c>
      <c r="AC298" s="66"/>
      <c r="AD298" s="66"/>
      <c r="AE298" s="310">
        <v>0</v>
      </c>
      <c r="AF298" s="310" t="s">
        <v>332</v>
      </c>
      <c r="AG298" s="311" t="s">
        <v>332</v>
      </c>
      <c r="AH298" s="311">
        <v>0</v>
      </c>
      <c r="AI298" s="310">
        <v>0</v>
      </c>
      <c r="AJ298" s="310"/>
      <c r="AK298" s="841">
        <v>1</v>
      </c>
      <c r="AL298" s="842" t="s">
        <v>284</v>
      </c>
      <c r="AM298" s="842">
        <v>0</v>
      </c>
      <c r="AN298" s="863">
        <v>0</v>
      </c>
      <c r="AO298" s="863">
        <v>1</v>
      </c>
      <c r="AP298" s="874">
        <v>596</v>
      </c>
      <c r="AQ298" s="874">
        <v>596</v>
      </c>
      <c r="AR298" s="843" t="s">
        <v>282</v>
      </c>
      <c r="AS298" s="843"/>
      <c r="AT298" s="843"/>
      <c r="AU298" s="843"/>
      <c r="AV298" s="844"/>
      <c r="AW298" s="208">
        <f>IFERROR(WWWW[[#This Row],['# of Water passed at source]]/WWWW[[#This Row],['# of Water tested at source]],"no test")</f>
        <v>0.6</v>
      </c>
      <c r="AX298" s="211">
        <f>IFERROR(WWWW[[#This Row],['# of Water passed at HH]]/WWWW[[#This Row],['# of Water tested at HH]],"no test")</f>
        <v>6.25E-2</v>
      </c>
      <c r="AY298" s="210" t="str">
        <f>IF(AND(WWWW[[#This Row],[%of Water samples which passed at water source]]="no test",WWWW[[#This Row],[%Water samples which passed at HH]]="no test"),"No Test","Tested")</f>
        <v>Tested</v>
      </c>
      <c r="AZ29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9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98" s="211">
        <f>IF(WWWW[[#This Row],[Location Type 1]]="Village",WWWW[[#This Row],[Access to safe drinking water for Village]],WWWW[[#This Row],[Access to safe drinking water for Camp]])</f>
        <v>1</v>
      </c>
      <c r="BC298" s="209">
        <f>WWWW[[#This Row],[%Equitable and continuous access to sufficient quantity of safe drinking water]]*WWWW[[#This Row],[Total PoP ]]</f>
        <v>3360</v>
      </c>
      <c r="BD298" s="211">
        <f>IF((WWWW[[#This Row],['# Existing protected/fenced ponds ]]*250)/WWWW[[#This Row],[Total PoP ]]&gt;1,1,WWWW[[#This Row],['# Existing protected/fenced ponds ]]*250/WWWW[[#This Row],[Total PoP ]])</f>
        <v>0</v>
      </c>
      <c r="BE298" s="209">
        <f>WWWW[[#This Row],[Access to unimproved water points]]*WWWW[[#This Row],[Total PoP ]]</f>
        <v>0</v>
      </c>
      <c r="BF29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9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3360</v>
      </c>
      <c r="BH298" s="209">
        <f>WWWW[[#This Row],['#people Equitable and continuous access to sufficient quantity of domestic water borehole n ponds_2]]/500</f>
        <v>6.72</v>
      </c>
      <c r="BI298" s="208">
        <f>1-WWWW[[#This Row],[%Equitable and continuous access to sufficient quantity of domestic water borehole n ponds]]</f>
        <v>0</v>
      </c>
      <c r="BJ298" s="209">
        <f>WWWW[[#This Row],[%equitable and continuous access to sufficient quantity of safe drinking and domestic water''s GAP]]*WWWW[[#This Row],[Total PoP ]]</f>
        <v>0</v>
      </c>
      <c r="BK298" s="210">
        <f>IF(WWWW[[#This Row],[Total required water points]]-WWWW[[#This Row],['#Water points coverage]]&lt;0,0,WWWW[[#This Row],[Total required water points]]-WWWW[[#This Row],['#Water points coverage]])</f>
        <v>0.28000000000000025</v>
      </c>
      <c r="BL298" s="210">
        <f>ROUND(IF(WWWW[[#This Row],[Total PoP ]]&lt;500,1,WWWW[[#This Row],[Total PoP ]]/500),0)</f>
        <v>7</v>
      </c>
      <c r="BM298" s="210">
        <f>WWWW[[#This Row],['# Existing functional latrines]]+WWWW[[#This Row],['# Existing latrines dysfunctional]]</f>
        <v>0</v>
      </c>
      <c r="BN29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298" s="352">
        <f>WWWW[[#This Row],[% people access to functioning Latrine]]*WWWW[[#This Row],[Total PoP ]]</f>
        <v>0</v>
      </c>
      <c r="BP29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298" s="209">
        <f>IF(WWWW[[#This Row],[Total required Latrines]]-WWWW[[#This Row],[Total '# of latrine]]&lt;0,0,WWWW[[#This Row],[Total required Latrines]]-WWWW[[#This Row],[Total '# of latrine]])</f>
        <v>168</v>
      </c>
      <c r="BR298" s="210">
        <f>ROUND(IF(WWWW[[#This Row],[Location Type 1]]="camp",WWWW[[#This Row],[Total PoP ]]/20,WWWW[[#This Row],[Total PoP ]]/6),0)</f>
        <v>168</v>
      </c>
      <c r="BS298" s="212">
        <f>IF(OR(WWWW[[#This Row],['# Existing latrines dysfunctional]]="",WWWW[[#This Row],['# Existing latrines dysfunctional]]=0),0,WWWW[[#This Row],['# Existing latrines dysfunctional]]/WWWW[[#This Row],[Total '# of latrine]])</f>
        <v>0</v>
      </c>
      <c r="BT29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298" s="209">
        <f>IF(500*WWWW[[#This Row],['# Hygiene Promoters ]]&gt;WWWW[[#This Row],[Total PoP ]],WWWW[[#This Row],[Total PoP ]],500*WWWW[[#This Row],['# Hygiene Promoters ]])</f>
        <v>500</v>
      </c>
      <c r="BV298" s="209">
        <f>IF(WWWW[[#This Row],[% of HH with access to Sanitary Pad]]&gt;=100%,1,0)</f>
        <v>0</v>
      </c>
      <c r="BW298" s="209">
        <f>IF(WWWW[[#This Row],[Total PoP ]]=0,0,IF(WWWW[[#This Row],['# Hygiene Promoters ]]=0,0,IF(WWWW[[#This Row],[Location Type 1]]="Village",IF(WWWW[[#This Row],[Total PoP ]]/WWWW[[#This Row],['# Hygiene Promoters ]]&lt;1000,1,0),IF(WWWW[[#This Row],[Total PoP ]]/WWWW[[#This Row],['# Hygiene Promoters ]]&lt;600,1,0))))</f>
        <v>0</v>
      </c>
      <c r="BX298" s="209">
        <f>IF(WWWW[[#This Row],[%HH with access to soap]]&gt;=100%,1,0)</f>
        <v>0</v>
      </c>
      <c r="BY298" s="209">
        <f>IF(WWWW[[#This Row],[% of HHs with access to Sanitary pad more than '#%]]+WWWW[[#This Row],[Ratio of Hyiene promoters to people less than '#]]+WWWW[[#This Row],[% of HHs with access to soap more than '#%]]&gt;=2,WWWW[[#This Row],[Total PoP ]],0)</f>
        <v>0</v>
      </c>
      <c r="BZ298" s="208">
        <f>WWWW[[#This Row],[People adopt basic personal and community hygiene practices]]/WWWW[[#This Row],[Total PoP ]]</f>
        <v>0</v>
      </c>
      <c r="CA298" s="212">
        <f>1-WWWW[[#This Row],[Hygiene Coverage%]]</f>
        <v>1</v>
      </c>
      <c r="CB298" s="211">
        <f>WWWW[[#This Row],['# people reached by regular dedicated hygiene promotion_5]]/WWWW[[#This Row],[Total PoP ]]</f>
        <v>0.14880952380952381</v>
      </c>
      <c r="CC298" s="211">
        <f>IF(WWWW[[#This Row],['# HH received soaps]]/WWWW[[#This Row],[Total HH]]&gt;1,1,WWWW[[#This Row],['# HH received soaps]]/WWWW[[#This Row],[Total HH]])</f>
        <v>0.99168053244592347</v>
      </c>
      <c r="CD298" s="211">
        <f>IF(WWWW[[#This Row],['# HH received Sanitary Pads]]/WWWW[[#This Row],[Total HH]]&gt;1,1,WWWW[[#This Row],['# HH received Sanitary Pads]]/WWWW[[#This Row],[Total HH]])</f>
        <v>0.99168053244592347</v>
      </c>
      <c r="CE298" s="210">
        <f>WWWW[[#This Row],['# HH received soaps]]*5</f>
        <v>2980</v>
      </c>
      <c r="CF298" s="210">
        <f>WWWW[[#This Row],['# HH received Sanitary Pads]]*5</f>
        <v>2980</v>
      </c>
      <c r="CG298" s="210">
        <f>IF(WWWW[[#This Row],['# People with access to soap]]&gt;WWWW[[#This Row],['# People with access to Sanity Pads]],WWWW[[#This Row],['# People with access to soap]],WWWW[[#This Row],['# People with access to Sanity Pads]])</f>
        <v>2980</v>
      </c>
      <c r="CH298" s="209">
        <f>WWWW[[#This Row],[Total HH]]*WWWW[[#This Row],[%HHs with access to functional hand washing stations]]</f>
        <v>601</v>
      </c>
      <c r="CI298" s="699" t="str">
        <f>VLOOKUP(WWWW[[#This Row],[Site Name]],SiteDB6[[Site Name]:[CCCM Management]],6,FALSE)</f>
        <v>Yes</v>
      </c>
      <c r="CJ298" s="699">
        <f>VLOOKUP(WWWW[[#This Row],[Site Name]],SiteDB6[[Site Name]:[CCCM Focal Agency]],7,FALSE)</f>
        <v>0</v>
      </c>
      <c r="CK298" s="699" t="str">
        <f>VLOOKUP(WWWW[[#This Row],[Site Name]],SiteDB6[[Site Name]:[Location Type]],8,FALSE)</f>
        <v>Camp</v>
      </c>
      <c r="CL298" s="699" t="str">
        <f>VLOOKUP(WWWW[[#This Row],[Site Name]],SiteDB6[[Site Name]:[Location Type 1]],9,FALSE)</f>
        <v>Camp</v>
      </c>
      <c r="CM298" s="699" t="str">
        <f>VLOOKUP(WWWW[[#This Row],[Site Name]],SiteDB6[[Site Name]:[Type of Accommodation]],10,FALSE)</f>
        <v>Host Families</v>
      </c>
      <c r="CN298" s="699" t="str">
        <f>VLOOKUP(WWWW[[#This Row],[Site Name]],SiteDB6[[Site Name]:[Ethnic or GCA/NGCA]],11,FALSE)</f>
        <v>Muslim</v>
      </c>
      <c r="CO298" s="699">
        <f>VLOOKUP(WWWW[[#This Row],[Site Name]],SiteDB6[[Site Name]:[Lat]],12,FALSE)</f>
        <v>20.167421999999998</v>
      </c>
      <c r="CP298" s="699">
        <f>VLOOKUP(WWWW[[#This Row],[Site Name]],SiteDB6[[Site Name]:[Long]],13,FALSE)</f>
        <v>92.830074999999994</v>
      </c>
      <c r="CQ298" s="699" t="str">
        <f>VLOOKUP(WWWW[[#This Row],[Site Name]],SiteDB6[[Site Name]:[Pcode]],3,FALSE)</f>
        <v>MMR012CMP097</v>
      </c>
      <c r="CR298" s="660" t="str">
        <f t="shared" si="6"/>
        <v>Covered</v>
      </c>
      <c r="CS298" s="660"/>
      <c r="CT298" s="24"/>
      <c r="CU298" s="24"/>
      <c r="CV298" s="24"/>
    </row>
    <row r="299" spans="1:100" ht="15.75" customHeight="1" x14ac:dyDescent="0.25">
      <c r="A299" s="833" t="s">
        <v>3206</v>
      </c>
      <c r="B299" s="206" t="s">
        <v>426</v>
      </c>
      <c r="C299" s="206" t="s">
        <v>454</v>
      </c>
      <c r="D299" s="206" t="s">
        <v>455</v>
      </c>
      <c r="E299" s="206" t="s">
        <v>589</v>
      </c>
      <c r="F299" s="206">
        <v>400</v>
      </c>
      <c r="G299" s="209">
        <v>2186</v>
      </c>
      <c r="H299" s="206"/>
      <c r="I299" s="206" t="s">
        <v>47</v>
      </c>
      <c r="J299" s="207">
        <v>44104</v>
      </c>
      <c r="K299" s="206">
        <v>0</v>
      </c>
      <c r="L299" s="206" t="s">
        <v>282</v>
      </c>
      <c r="M299" s="208">
        <v>0</v>
      </c>
      <c r="N299" s="208">
        <v>0</v>
      </c>
      <c r="O299" s="316">
        <v>0</v>
      </c>
      <c r="P299" s="317">
        <v>28</v>
      </c>
      <c r="Q299" s="317">
        <v>0</v>
      </c>
      <c r="R299" s="318">
        <v>0</v>
      </c>
      <c r="S299" s="318">
        <v>27</v>
      </c>
      <c r="T299" s="318"/>
      <c r="U299" s="318">
        <v>31</v>
      </c>
      <c r="V299" s="318">
        <v>23</v>
      </c>
      <c r="W299" s="318">
        <v>32</v>
      </c>
      <c r="X299" s="318">
        <v>7</v>
      </c>
      <c r="Y299" s="318">
        <v>0</v>
      </c>
      <c r="Z299" s="318" t="s">
        <v>2783</v>
      </c>
      <c r="AA299" s="336">
        <v>78</v>
      </c>
      <c r="AB299" s="866">
        <v>26</v>
      </c>
      <c r="AC299" s="866">
        <v>113</v>
      </c>
      <c r="AD299" s="66"/>
      <c r="AE299" s="310">
        <v>102</v>
      </c>
      <c r="AF299" s="310" t="s">
        <v>283</v>
      </c>
      <c r="AG299" s="311" t="s">
        <v>1358</v>
      </c>
      <c r="AH299" s="311">
        <v>0</v>
      </c>
      <c r="AI299" s="310">
        <v>0</v>
      </c>
      <c r="AJ299" s="310"/>
      <c r="AK299" s="841">
        <v>1</v>
      </c>
      <c r="AL299" s="842" t="s">
        <v>284</v>
      </c>
      <c r="AM299" s="842">
        <v>0</v>
      </c>
      <c r="AN299" s="863">
        <v>0</v>
      </c>
      <c r="AO299" s="863">
        <v>1</v>
      </c>
      <c r="AP299" s="874">
        <v>400</v>
      </c>
      <c r="AQ299" s="874">
        <v>400</v>
      </c>
      <c r="AR299" s="843" t="s">
        <v>282</v>
      </c>
      <c r="AS299" s="843"/>
      <c r="AT299" s="843"/>
      <c r="AU299" s="843"/>
      <c r="AV299" s="844"/>
      <c r="AW299" s="208">
        <f>IFERROR(WWWW[[#This Row],['# of Water passed at source]]/WWWW[[#This Row],['# of Water tested at source]],"no test")</f>
        <v>0.74193548387096775</v>
      </c>
      <c r="AX299" s="211">
        <f>IFERROR(WWWW[[#This Row],['# of Water passed at HH]]/WWWW[[#This Row],['# of Water tested at HH]],"no test")</f>
        <v>0.21875</v>
      </c>
      <c r="AY299" s="210" t="str">
        <f>IF(AND(WWWW[[#This Row],[%of Water samples which passed at water source]]="no test",WWWW[[#This Row],[%Water samples which passed at HH]]="no test"),"No Test","Tested")</f>
        <v>Tested</v>
      </c>
      <c r="AZ29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29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299" s="211">
        <f>IF(WWWW[[#This Row],[Location Type 1]]="Village",WWWW[[#This Row],[Access to safe drinking water for Village]],WWWW[[#This Row],[Access to safe drinking water for Camp]])</f>
        <v>1</v>
      </c>
      <c r="BC299" s="209">
        <f>WWWW[[#This Row],[%Equitable and continuous access to sufficient quantity of safe drinking water]]*WWWW[[#This Row],[Total PoP ]]</f>
        <v>2186</v>
      </c>
      <c r="BD299" s="211">
        <f>IF((WWWW[[#This Row],['# Existing protected/fenced ponds ]]*250)/WWWW[[#This Row],[Total PoP ]]&gt;1,1,WWWW[[#This Row],['# Existing protected/fenced ponds ]]*250/WWWW[[#This Row],[Total PoP ]])</f>
        <v>0</v>
      </c>
      <c r="BE299" s="209">
        <f>WWWW[[#This Row],[Access to unimproved water points]]*WWWW[[#This Row],[Total PoP ]]</f>
        <v>0</v>
      </c>
      <c r="BF29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29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2186</v>
      </c>
      <c r="BH299" s="209">
        <f>WWWW[[#This Row],['#people Equitable and continuous access to sufficient quantity of domestic water borehole n ponds_2]]/500</f>
        <v>4.3719999999999999</v>
      </c>
      <c r="BI299" s="208">
        <f>1-WWWW[[#This Row],[%Equitable and continuous access to sufficient quantity of domestic water borehole n ponds]]</f>
        <v>0</v>
      </c>
      <c r="BJ299" s="209">
        <f>WWWW[[#This Row],[%equitable and continuous access to sufficient quantity of safe drinking and domestic water''s GAP]]*WWWW[[#This Row],[Total PoP ]]</f>
        <v>0</v>
      </c>
      <c r="BK299" s="210">
        <f>IF(WWWW[[#This Row],[Total required water points]]-WWWW[[#This Row],['#Water points coverage]]&lt;0,0,WWWW[[#This Row],[Total required water points]]-WWWW[[#This Row],['#Water points coverage]])</f>
        <v>0</v>
      </c>
      <c r="BL299" s="210">
        <f>ROUND(IF(WWWW[[#This Row],[Total PoP ]]&lt;500,1,WWWW[[#This Row],[Total PoP ]]/500),0)</f>
        <v>4</v>
      </c>
      <c r="BM299" s="210">
        <f>WWWW[[#This Row],['# Existing functional latrines]]+WWWW[[#This Row],['# Existing latrines dysfunctional]]</f>
        <v>104</v>
      </c>
      <c r="BN29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0.7136322049405307</v>
      </c>
      <c r="BO299" s="352">
        <f>WWWW[[#This Row],[% people access to functioning Latrine]]*WWWW[[#This Row],[Total PoP ]]</f>
        <v>1560</v>
      </c>
      <c r="BP29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4.5745654162854532E-2</v>
      </c>
      <c r="BQ299" s="209">
        <f>IF(WWWW[[#This Row],[Total required Latrines]]-WWWW[[#This Row],[Total '# of latrine]]&lt;0,0,WWWW[[#This Row],[Total required Latrines]]-WWWW[[#This Row],[Total '# of latrine]])</f>
        <v>5</v>
      </c>
      <c r="BR299" s="210">
        <f>ROUND(IF(WWWW[[#This Row],[Location Type 1]]="camp",WWWW[[#This Row],[Total PoP ]]/20,WWWW[[#This Row],[Total PoP ]]/6),0)</f>
        <v>109</v>
      </c>
      <c r="BS299" s="212">
        <f>IF(OR(WWWW[[#This Row],['# Existing latrines dysfunctional]]="",WWWW[[#This Row],['# Existing latrines dysfunctional]]=0),0,WWWW[[#This Row],['# Existing latrines dysfunctional]]/WWWW[[#This Row],[Total '# of latrine]])</f>
        <v>0.25</v>
      </c>
      <c r="BT29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2186</v>
      </c>
      <c r="BU299" s="209">
        <f>IF(500*WWWW[[#This Row],['# Hygiene Promoters ]]&gt;WWWW[[#This Row],[Total PoP ]],WWWW[[#This Row],[Total PoP ]],500*WWWW[[#This Row],['# Hygiene Promoters ]])</f>
        <v>500</v>
      </c>
      <c r="BV299" s="209">
        <f>IF(WWWW[[#This Row],[% of HH with access to Sanitary Pad]]&gt;=100%,1,0)</f>
        <v>1</v>
      </c>
      <c r="BW299" s="209">
        <f>IF(WWWW[[#This Row],[Total PoP ]]=0,0,IF(WWWW[[#This Row],['# Hygiene Promoters ]]=0,0,IF(WWWW[[#This Row],[Location Type 1]]="Village",IF(WWWW[[#This Row],[Total PoP ]]/WWWW[[#This Row],['# Hygiene Promoters ]]&lt;1000,1,0),IF(WWWW[[#This Row],[Total PoP ]]/WWWW[[#This Row],['# Hygiene Promoters ]]&lt;600,1,0))))</f>
        <v>0</v>
      </c>
      <c r="BX299" s="209">
        <f>IF(WWWW[[#This Row],[%HH with access to soap]]&gt;=100%,1,0)</f>
        <v>1</v>
      </c>
      <c r="BY299" s="209">
        <f>IF(WWWW[[#This Row],[% of HHs with access to Sanitary pad more than '#%]]+WWWW[[#This Row],[Ratio of Hyiene promoters to people less than '#]]+WWWW[[#This Row],[% of HHs with access to soap more than '#%]]&gt;=2,WWWW[[#This Row],[Total PoP ]],0)</f>
        <v>2186</v>
      </c>
      <c r="BZ299" s="208">
        <f>WWWW[[#This Row],[People adopt basic personal and community hygiene practices]]/WWWW[[#This Row],[Total PoP ]]</f>
        <v>1</v>
      </c>
      <c r="CA299" s="212">
        <f>1-WWWW[[#This Row],[Hygiene Coverage%]]</f>
        <v>0</v>
      </c>
      <c r="CB299" s="211">
        <f>WWWW[[#This Row],['# people reached by regular dedicated hygiene promotion_5]]/WWWW[[#This Row],[Total PoP ]]</f>
        <v>0.22872827081427263</v>
      </c>
      <c r="CC299" s="211">
        <f>IF(WWWW[[#This Row],['# HH received soaps]]/WWWW[[#This Row],[Total HH]]&gt;1,1,WWWW[[#This Row],['# HH received soaps]]/WWWW[[#This Row],[Total HH]])</f>
        <v>1</v>
      </c>
      <c r="CD299" s="211">
        <f>IF(WWWW[[#This Row],['# HH received Sanitary Pads]]/WWWW[[#This Row],[Total HH]]&gt;1,1,WWWW[[#This Row],['# HH received Sanitary Pads]]/WWWW[[#This Row],[Total HH]])</f>
        <v>1</v>
      </c>
      <c r="CE299" s="210">
        <f>WWWW[[#This Row],['# HH received soaps]]*5</f>
        <v>2000</v>
      </c>
      <c r="CF299" s="210">
        <f>WWWW[[#This Row],['# HH received Sanitary Pads]]*5</f>
        <v>2000</v>
      </c>
      <c r="CG299" s="210">
        <f>IF(WWWW[[#This Row],['# People with access to soap]]&gt;WWWW[[#This Row],['# People with access to Sanity Pads]],WWWW[[#This Row],['# People with access to soap]],WWWW[[#This Row],['# People with access to Sanity Pads]])</f>
        <v>2000</v>
      </c>
      <c r="CH299" s="209">
        <f>WWWW[[#This Row],[Total HH]]*WWWW[[#This Row],[%HHs with access to functional hand washing stations]]</f>
        <v>400</v>
      </c>
      <c r="CI299" s="699">
        <f>VLOOKUP(WWWW[[#This Row],[Site Name]],SiteDB6[[Site Name]:[CCCM Management]],6,FALSE)</f>
        <v>0</v>
      </c>
      <c r="CJ299" s="699">
        <f>VLOOKUP(WWWW[[#This Row],[Site Name]],SiteDB6[[Site Name]:[CCCM Focal Agency]],7,FALSE)</f>
        <v>0</v>
      </c>
      <c r="CK299" s="699" t="str">
        <f>VLOOKUP(WWWW[[#This Row],[Site Name]],SiteDB6[[Site Name]:[Location Type]],8,FALSE)</f>
        <v>Camp</v>
      </c>
      <c r="CL299" s="699" t="str">
        <f>VLOOKUP(WWWW[[#This Row],[Site Name]],SiteDB6[[Site Name]:[Location Type 1]],9,FALSE)</f>
        <v>Camp</v>
      </c>
      <c r="CM299" s="699" t="str">
        <f>VLOOKUP(WWWW[[#This Row],[Site Name]],SiteDB6[[Site Name]:[Type of Accommodation]],10,FALSE)</f>
        <v>Closed Camp</v>
      </c>
      <c r="CN299" s="699" t="str">
        <f>VLOOKUP(WWWW[[#This Row],[Site Name]],SiteDB6[[Site Name]:[Ethnic or GCA/NGCA]],11,FALSE)</f>
        <v>Muslim</v>
      </c>
      <c r="CO299" s="699">
        <f>VLOOKUP(WWWW[[#This Row],[Site Name]],SiteDB6[[Site Name]:[Lat]],12,FALSE)</f>
        <v>20.180194</v>
      </c>
      <c r="CP299" s="699">
        <f>VLOOKUP(WWWW[[#This Row],[Site Name]],SiteDB6[[Site Name]:[Long]],13,FALSE)</f>
        <v>92.816638999999995</v>
      </c>
      <c r="CQ299" s="699" t="str">
        <f>VLOOKUP(WWWW[[#This Row],[Site Name]],SiteDB6[[Site Name]:[Pcode]],3,FALSE)</f>
        <v>MMR012CMP102</v>
      </c>
      <c r="CR299" s="660" t="str">
        <f t="shared" si="6"/>
        <v>Covered</v>
      </c>
      <c r="CS299" s="660"/>
      <c r="CT299" s="24"/>
      <c r="CU299" s="24"/>
      <c r="CV299" s="24"/>
    </row>
    <row r="300" spans="1:100" ht="15.75" customHeight="1" x14ac:dyDescent="0.25">
      <c r="A300" s="833" t="s">
        <v>3206</v>
      </c>
      <c r="B300" s="206" t="s">
        <v>447</v>
      </c>
      <c r="C300" s="206" t="s">
        <v>454</v>
      </c>
      <c r="D300" s="206" t="s">
        <v>563</v>
      </c>
      <c r="E300" s="206" t="s">
        <v>570</v>
      </c>
      <c r="F300" s="206">
        <v>204</v>
      </c>
      <c r="G300" s="209">
        <v>1055</v>
      </c>
      <c r="H300" s="206"/>
      <c r="I300" s="206" t="s">
        <v>391</v>
      </c>
      <c r="J300" s="207">
        <v>43555</v>
      </c>
      <c r="K300" s="206">
        <v>0</v>
      </c>
      <c r="L300" s="206" t="s">
        <v>282</v>
      </c>
      <c r="M300" s="208">
        <v>0</v>
      </c>
      <c r="N300" s="208">
        <v>0</v>
      </c>
      <c r="O300" s="316">
        <v>0</v>
      </c>
      <c r="P300" s="317">
        <v>0</v>
      </c>
      <c r="Q300" s="317">
        <v>0</v>
      </c>
      <c r="R300" s="318">
        <v>2</v>
      </c>
      <c r="S300" s="318">
        <v>1</v>
      </c>
      <c r="T300" s="318"/>
      <c r="U300" s="318">
        <v>0</v>
      </c>
      <c r="V300" s="318">
        <v>0</v>
      </c>
      <c r="W300" s="318">
        <v>0</v>
      </c>
      <c r="X300" s="318">
        <v>0</v>
      </c>
      <c r="Y300" s="318">
        <v>0</v>
      </c>
      <c r="Z300" s="318"/>
      <c r="AA300" s="310">
        <v>45</v>
      </c>
      <c r="AB300" s="310">
        <v>20</v>
      </c>
      <c r="AC300" s="66">
        <v>0</v>
      </c>
      <c r="AD300" s="66"/>
      <c r="AE300" s="310">
        <v>70</v>
      </c>
      <c r="AF300" s="310" t="s">
        <v>332</v>
      </c>
      <c r="AG300" s="311" t="s">
        <v>332</v>
      </c>
      <c r="AH300" s="311">
        <v>0</v>
      </c>
      <c r="AI300" s="310">
        <v>0</v>
      </c>
      <c r="AJ300" s="310"/>
      <c r="AK300" s="841">
        <v>0</v>
      </c>
      <c r="AL300" s="842" t="s">
        <v>284</v>
      </c>
      <c r="AM300" s="842">
        <v>0</v>
      </c>
      <c r="AN300" s="863">
        <v>0</v>
      </c>
      <c r="AO300" s="863">
        <v>3</v>
      </c>
      <c r="AP300" s="843">
        <v>0</v>
      </c>
      <c r="AQ300" s="843">
        <v>0</v>
      </c>
      <c r="AR300" s="843"/>
      <c r="AS300" s="843"/>
      <c r="AT300" s="843"/>
      <c r="AU300" s="843"/>
      <c r="AV300" s="844"/>
      <c r="AW300" s="208" t="str">
        <f>IFERROR(WWWW[[#This Row],['# of Water passed at source]]/WWWW[[#This Row],['# of Water tested at source]],"no test")</f>
        <v>no test</v>
      </c>
      <c r="AX300" s="211" t="str">
        <f>IFERROR(WWWW[[#This Row],['# of Water passed at HH]]/WWWW[[#This Row],['# of Water tested at HH]],"no test")</f>
        <v>no test</v>
      </c>
      <c r="AY300" s="210" t="str">
        <f>IF(AND(WWWW[[#This Row],[%of Water samples which passed at water source]]="no test",WWWW[[#This Row],[%Water samples which passed at HH]]="no test"),"No Test","Tested")</f>
        <v>No Test</v>
      </c>
      <c r="AZ30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0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00" s="211">
        <f>IF(WWWW[[#This Row],[Location Type 1]]="Village",WWWW[[#This Row],[Access to safe drinking water for Village]],WWWW[[#This Row],[Access to safe drinking water for Camp]])</f>
        <v>0</v>
      </c>
      <c r="BC300" s="209">
        <f>WWWW[[#This Row],[%Equitable and continuous access to sufficient quantity of safe drinking water]]*WWWW[[#This Row],[Total PoP ]]</f>
        <v>0</v>
      </c>
      <c r="BD300" s="211">
        <f>IF((WWWW[[#This Row],['# Existing protected/fenced ponds ]]*250)/WWWW[[#This Row],[Total PoP ]]&gt;1,1,WWWW[[#This Row],['# Existing protected/fenced ponds ]]*250/WWWW[[#This Row],[Total PoP ]])</f>
        <v>0.47393364928909953</v>
      </c>
      <c r="BE300" s="209">
        <f>WWWW[[#This Row],[Access to unimproved water points]]*WWWW[[#This Row],[Total PoP ]]</f>
        <v>500</v>
      </c>
      <c r="BF30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0.47393364928909953</v>
      </c>
      <c r="BG30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H300" s="209">
        <f>WWWW[[#This Row],['#people Equitable and continuous access to sufficient quantity of domestic water borehole n ponds_2]]/500</f>
        <v>1</v>
      </c>
      <c r="BI300" s="208">
        <f>1-WWWW[[#This Row],[%Equitable and continuous access to sufficient quantity of domestic water borehole n ponds]]</f>
        <v>0.52606635071090047</v>
      </c>
      <c r="BJ300" s="209">
        <f>WWWW[[#This Row],[%equitable and continuous access to sufficient quantity of safe drinking and domestic water''s GAP]]*WWWW[[#This Row],[Total PoP ]]</f>
        <v>555</v>
      </c>
      <c r="BK300" s="210">
        <f>IF(WWWW[[#This Row],[Total required water points]]-WWWW[[#This Row],['#Water points coverage]]&lt;0,0,WWWW[[#This Row],[Total required water points]]-WWWW[[#This Row],['#Water points coverage]])</f>
        <v>1</v>
      </c>
      <c r="BL300" s="210">
        <f>ROUND(IF(WWWW[[#This Row],[Total PoP ]]&lt;500,1,WWWW[[#This Row],[Total PoP ]]/500),0)</f>
        <v>2</v>
      </c>
      <c r="BM300" s="210">
        <f>WWWW[[#This Row],['# Existing functional latrines]]+WWWW[[#This Row],['# Existing latrines dysfunctional]]</f>
        <v>65</v>
      </c>
      <c r="BN30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0.25592417061611372</v>
      </c>
      <c r="BO300" s="352">
        <f>WWWW[[#This Row],[% people access to functioning Latrine]]*WWWW[[#This Row],[Total PoP ]]</f>
        <v>270</v>
      </c>
      <c r="BP30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0.63127962085308054</v>
      </c>
      <c r="BQ300" s="209">
        <f>IF(WWWW[[#This Row],[Total required Latrines]]-WWWW[[#This Row],[Total '# of latrine]]&lt;0,0,WWWW[[#This Row],[Total required Latrines]]-WWWW[[#This Row],[Total '# of latrine]])</f>
        <v>111</v>
      </c>
      <c r="BR300" s="210">
        <f>ROUND(IF(WWWW[[#This Row],[Location Type 1]]="camp",WWWW[[#This Row],[Total PoP ]]/20,WWWW[[#This Row],[Total PoP ]]/6),0)</f>
        <v>176</v>
      </c>
      <c r="BS300" s="212">
        <f>IF(OR(WWWW[[#This Row],['# Existing latrines dysfunctional]]="",WWWW[[#This Row],['# Existing latrines dysfunctional]]=0),0,WWWW[[#This Row],['# Existing latrines dysfunctional]]/WWWW[[#This Row],[Total '# of latrine]])</f>
        <v>0.30769230769230771</v>
      </c>
      <c r="BT30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00" s="209">
        <f>IF(500*WWWW[[#This Row],['# Hygiene Promoters ]]&gt;WWWW[[#This Row],[Total PoP ]],WWWW[[#This Row],[Total PoP ]],500*WWWW[[#This Row],['# Hygiene Promoters ]])</f>
        <v>1055</v>
      </c>
      <c r="BV300" s="209">
        <f>IF(WWWW[[#This Row],[% of HH with access to Sanitary Pad]]&gt;=100%,1,0)</f>
        <v>0</v>
      </c>
      <c r="BW300" s="209">
        <f>IF(WWWW[[#This Row],[Total PoP ]]=0,0,IF(WWWW[[#This Row],['# Hygiene Promoters ]]=0,0,IF(WWWW[[#This Row],[Location Type 1]]="Village",IF(WWWW[[#This Row],[Total PoP ]]/WWWW[[#This Row],['# Hygiene Promoters ]]&lt;1000,1,0),IF(WWWW[[#This Row],[Total PoP ]]/WWWW[[#This Row],['# Hygiene Promoters ]]&lt;600,1,0))))</f>
        <v>1</v>
      </c>
      <c r="BX300" s="209">
        <f>IF(WWWW[[#This Row],[%HH with access to soap]]&gt;=100%,1,0)</f>
        <v>0</v>
      </c>
      <c r="BY300" s="209">
        <f>IF(WWWW[[#This Row],[% of HHs with access to Sanitary pad more than '#%]]+WWWW[[#This Row],[Ratio of Hyiene promoters to people less than '#]]+WWWW[[#This Row],[% of HHs with access to soap more than '#%]]&gt;=2,WWWW[[#This Row],[Total PoP ]],0)</f>
        <v>0</v>
      </c>
      <c r="BZ300" s="208">
        <f>WWWW[[#This Row],[People adopt basic personal and community hygiene practices]]/WWWW[[#This Row],[Total PoP ]]</f>
        <v>0</v>
      </c>
      <c r="CA300" s="212">
        <f>1-WWWW[[#This Row],[Hygiene Coverage%]]</f>
        <v>1</v>
      </c>
      <c r="CB300" s="211">
        <f>WWWW[[#This Row],['# people reached by regular dedicated hygiene promotion_5]]/WWWW[[#This Row],[Total PoP ]]</f>
        <v>1</v>
      </c>
      <c r="CC300" s="211">
        <f>IF(WWWW[[#This Row],['# HH received soaps]]/WWWW[[#This Row],[Total HH]]&gt;1,1,WWWW[[#This Row],['# HH received soaps]]/WWWW[[#This Row],[Total HH]])</f>
        <v>0</v>
      </c>
      <c r="CD300" s="211">
        <f>IF(WWWW[[#This Row],['# HH received Sanitary Pads]]/WWWW[[#This Row],[Total HH]]&gt;1,1,WWWW[[#This Row],['# HH received Sanitary Pads]]/WWWW[[#This Row],[Total HH]])</f>
        <v>0</v>
      </c>
      <c r="CE300" s="210">
        <f>WWWW[[#This Row],['# HH received soaps]]*5</f>
        <v>0</v>
      </c>
      <c r="CF300" s="210">
        <f>WWWW[[#This Row],['# HH received Sanitary Pads]]*5</f>
        <v>0</v>
      </c>
      <c r="CG300" s="210">
        <f>IF(WWWW[[#This Row],['# People with access to soap]]&gt;WWWW[[#This Row],['# People with access to Sanity Pads]],WWWW[[#This Row],['# People with access to soap]],WWWW[[#This Row],['# People with access to Sanity Pads]])</f>
        <v>0</v>
      </c>
      <c r="CH300" s="209">
        <f>WWWW[[#This Row],[Total HH]]*WWWW[[#This Row],[%HHs with access to functional hand washing stations]]</f>
        <v>0</v>
      </c>
      <c r="CI300" s="699">
        <f>VLOOKUP(WWWW[[#This Row],[Site Name]],SiteDB6[[Site Name]:[CCCM Management]],6,FALSE)</f>
        <v>0</v>
      </c>
      <c r="CJ300" s="699">
        <f>VLOOKUP(WWWW[[#This Row],[Site Name]],SiteDB6[[Site Name]:[CCCM Focal Agency]],7,FALSE)</f>
        <v>0</v>
      </c>
      <c r="CK300" s="699" t="str">
        <f>VLOOKUP(WWWW[[#This Row],[Site Name]],SiteDB6[[Site Name]:[Location Type]],8,FALSE)</f>
        <v>Village</v>
      </c>
      <c r="CL300" s="699" t="str">
        <f>VLOOKUP(WWWW[[#This Row],[Site Name]],SiteDB6[[Site Name]:[Location Type 1]],9,FALSE)</f>
        <v>Village</v>
      </c>
      <c r="CM300" s="699" t="str">
        <f>VLOOKUP(WWWW[[#This Row],[Site Name]],SiteDB6[[Site Name]:[Type of Accommodation]],10,FALSE)</f>
        <v>Village</v>
      </c>
      <c r="CN300" s="699" t="str">
        <f>VLOOKUP(WWWW[[#This Row],[Site Name]],SiteDB6[[Site Name]:[Ethnic or GCA/NGCA]],11,FALSE)</f>
        <v>Rakhine</v>
      </c>
      <c r="CO300" s="699">
        <f>VLOOKUP(WWWW[[#This Row],[Site Name]],SiteDB6[[Site Name]:[Lat]],12,FALSE)</f>
        <v>20.0839</v>
      </c>
      <c r="CP300" s="699">
        <f>VLOOKUP(WWWW[[#This Row],[Site Name]],SiteDB6[[Site Name]:[Long]],13,FALSE)</f>
        <v>92.993799999999993</v>
      </c>
      <c r="CQ300" s="699" t="str">
        <f>VLOOKUP(WWWW[[#This Row],[Site Name]],SiteDB6[[Site Name]:[Pcode]],3,FALSE)</f>
        <v>197557</v>
      </c>
      <c r="CR300" s="660" t="str">
        <f t="shared" si="6"/>
        <v>Covered</v>
      </c>
      <c r="CS300" s="660"/>
      <c r="CT300" s="24"/>
      <c r="CU300" s="24"/>
      <c r="CV300" s="24"/>
    </row>
    <row r="301" spans="1:100" ht="15.75" customHeight="1" x14ac:dyDescent="0.25">
      <c r="A301" s="833" t="s">
        <v>3206</v>
      </c>
      <c r="B301" s="206" t="s">
        <v>479</v>
      </c>
      <c r="C301" s="206" t="s">
        <v>454</v>
      </c>
      <c r="D301" s="206" t="s">
        <v>455</v>
      </c>
      <c r="E301" s="206" t="s">
        <v>592</v>
      </c>
      <c r="F301" s="206">
        <v>400</v>
      </c>
      <c r="G301" s="209">
        <v>2248</v>
      </c>
      <c r="H301" s="206">
        <v>276</v>
      </c>
      <c r="I301" s="206" t="s">
        <v>388</v>
      </c>
      <c r="J301" s="207">
        <v>43434</v>
      </c>
      <c r="K301" s="206">
        <v>0</v>
      </c>
      <c r="L301" s="206" t="s">
        <v>48</v>
      </c>
      <c r="M301" s="208">
        <v>0</v>
      </c>
      <c r="N301" s="208">
        <v>0</v>
      </c>
      <c r="O301" s="316">
        <v>0</v>
      </c>
      <c r="P301" s="317">
        <v>30</v>
      </c>
      <c r="Q301" s="317">
        <v>0</v>
      </c>
      <c r="R301" s="318">
        <v>0</v>
      </c>
      <c r="S301" s="318"/>
      <c r="T301" s="872">
        <v>1</v>
      </c>
      <c r="U301" s="872">
        <v>16</v>
      </c>
      <c r="V301" s="872">
        <v>11</v>
      </c>
      <c r="W301" s="872">
        <v>24</v>
      </c>
      <c r="X301" s="872">
        <v>24</v>
      </c>
      <c r="Y301" s="318">
        <v>0</v>
      </c>
      <c r="Z301" s="318"/>
      <c r="AA301" s="310">
        <v>142</v>
      </c>
      <c r="AB301" s="310">
        <v>0</v>
      </c>
      <c r="AC301" s="66">
        <v>0</v>
      </c>
      <c r="AD301" s="66"/>
      <c r="AE301" s="310">
        <v>142</v>
      </c>
      <c r="AF301" s="310" t="s">
        <v>283</v>
      </c>
      <c r="AG301" s="311" t="s">
        <v>283</v>
      </c>
      <c r="AH301" s="311">
        <v>0</v>
      </c>
      <c r="AI301" s="310">
        <v>0</v>
      </c>
      <c r="AJ301" s="310"/>
      <c r="AK301" s="841">
        <v>0</v>
      </c>
      <c r="AL301" s="842" t="s">
        <v>291</v>
      </c>
      <c r="AM301" s="842">
        <v>399</v>
      </c>
      <c r="AN301" s="863">
        <v>0</v>
      </c>
      <c r="AO301" s="863">
        <v>8</v>
      </c>
      <c r="AP301" s="843">
        <v>400</v>
      </c>
      <c r="AQ301" s="843">
        <v>400</v>
      </c>
      <c r="AR301" s="843"/>
      <c r="AS301" s="843">
        <v>1</v>
      </c>
      <c r="AT301" s="843">
        <v>1</v>
      </c>
      <c r="AU301" s="843">
        <v>9</v>
      </c>
      <c r="AV301" s="844"/>
      <c r="AW301" s="208">
        <f>IFERROR(WWWW[[#This Row],['# of Water passed at source]]/WWWW[[#This Row],['# of Water tested at source]],"no test")</f>
        <v>0.6875</v>
      </c>
      <c r="AX301" s="211">
        <f>IFERROR(WWWW[[#This Row],['# of Water passed at HH]]/WWWW[[#This Row],['# of Water tested at HH]],"no test")</f>
        <v>1</v>
      </c>
      <c r="AY301" s="210" t="str">
        <f>IF(AND(WWWW[[#This Row],[%of Water samples which passed at water source]]="no test",WWWW[[#This Row],[%Water samples which passed at HH]]="no test"),"No Test","Tested")</f>
        <v>Tested</v>
      </c>
      <c r="AZ30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0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01" s="211">
        <f>IF(WWWW[[#This Row],[Location Type 1]]="Village",WWWW[[#This Row],[Access to safe drinking water for Village]],WWWW[[#This Row],[Access to safe drinking water for Camp]])</f>
        <v>1</v>
      </c>
      <c r="BC301" s="209">
        <f>WWWW[[#This Row],[%Equitable and continuous access to sufficient quantity of safe drinking water]]*WWWW[[#This Row],[Total PoP ]]</f>
        <v>2248</v>
      </c>
      <c r="BD301" s="211">
        <f>IF((WWWW[[#This Row],['# Existing protected/fenced ponds ]]*250)/WWWW[[#This Row],[Total PoP ]]&gt;1,1,WWWW[[#This Row],['# Existing protected/fenced ponds ]]*250/WWWW[[#This Row],[Total PoP ]])</f>
        <v>0</v>
      </c>
      <c r="BE301" s="209">
        <f>WWWW[[#This Row],[Access to unimproved water points]]*WWWW[[#This Row],[Total PoP ]]</f>
        <v>0</v>
      </c>
      <c r="BF30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0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2248</v>
      </c>
      <c r="BH301" s="209">
        <f>WWWW[[#This Row],['#people Equitable and continuous access to sufficient quantity of domestic water borehole n ponds_2]]/500</f>
        <v>4.4960000000000004</v>
      </c>
      <c r="BI301" s="208">
        <f>1-WWWW[[#This Row],[%Equitable and continuous access to sufficient quantity of domestic water borehole n ponds]]</f>
        <v>0</v>
      </c>
      <c r="BJ301" s="209">
        <f>WWWW[[#This Row],[%equitable and continuous access to sufficient quantity of safe drinking and domestic water''s GAP]]*WWWW[[#This Row],[Total PoP ]]</f>
        <v>0</v>
      </c>
      <c r="BK301" s="210">
        <f>IF(WWWW[[#This Row],[Total required water points]]-WWWW[[#This Row],['#Water points coverage]]&lt;0,0,WWWW[[#This Row],[Total required water points]]-WWWW[[#This Row],['#Water points coverage]])</f>
        <v>0</v>
      </c>
      <c r="BL301" s="210">
        <f>ROUND(IF(WWWW[[#This Row],[Total PoP ]]&lt;500,1,WWWW[[#This Row],[Total PoP ]]/500),0)</f>
        <v>4</v>
      </c>
      <c r="BM301" s="210">
        <f>WWWW[[#This Row],['# Existing functional latrines]]+WWWW[[#This Row],['# Existing latrines dysfunctional]]</f>
        <v>142</v>
      </c>
      <c r="BN30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01" s="352">
        <f>WWWW[[#This Row],[% people access to functioning Latrine]]*WWWW[[#This Row],[Total PoP ]]</f>
        <v>2248</v>
      </c>
      <c r="BP30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01" s="209">
        <f>IF(WWWW[[#This Row],[Total required Latrines]]-WWWW[[#This Row],[Total '# of latrine]]&lt;0,0,WWWW[[#This Row],[Total required Latrines]]-WWWW[[#This Row],[Total '# of latrine]])</f>
        <v>0</v>
      </c>
      <c r="BR301" s="210">
        <f>ROUND(IF(WWWW[[#This Row],[Location Type 1]]="camp",WWWW[[#This Row],[Total PoP ]]/20,WWWW[[#This Row],[Total PoP ]]/6),0)</f>
        <v>112</v>
      </c>
      <c r="BS301" s="212">
        <f>IF(OR(WWWW[[#This Row],['# Existing latrines dysfunctional]]="",WWWW[[#This Row],['# Existing latrines dysfunctional]]=0),0,WWWW[[#This Row],['# Existing latrines dysfunctional]]/WWWW[[#This Row],[Total '# of latrine]])</f>
        <v>0</v>
      </c>
      <c r="BT30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01" s="209">
        <f>IF(500*WWWW[[#This Row],['# Hygiene Promoters ]]&gt;WWWW[[#This Row],[Total PoP ]],WWWW[[#This Row],[Total PoP ]],500*WWWW[[#This Row],['# Hygiene Promoters ]])</f>
        <v>2248</v>
      </c>
      <c r="BV301" s="209">
        <f>IF(WWWW[[#This Row],[% of HH with access to Sanitary Pad]]&gt;=100%,1,0)</f>
        <v>1</v>
      </c>
      <c r="BW301" s="209">
        <f>IF(WWWW[[#This Row],[Total PoP ]]=0,0,IF(WWWW[[#This Row],['# Hygiene Promoters ]]=0,0,IF(WWWW[[#This Row],[Location Type 1]]="Village",IF(WWWW[[#This Row],[Total PoP ]]/WWWW[[#This Row],['# Hygiene Promoters ]]&lt;1000,1,0),IF(WWWW[[#This Row],[Total PoP ]]/WWWW[[#This Row],['# Hygiene Promoters ]]&lt;600,1,0))))</f>
        <v>1</v>
      </c>
      <c r="BX301" s="209">
        <f>IF(WWWW[[#This Row],[%HH with access to soap]]&gt;=100%,1,0)</f>
        <v>1</v>
      </c>
      <c r="BY301" s="209">
        <f>IF(WWWW[[#This Row],[% of HHs with access to Sanitary pad more than '#%]]+WWWW[[#This Row],[Ratio of Hyiene promoters to people less than '#]]+WWWW[[#This Row],[% of HHs with access to soap more than '#%]]&gt;=2,WWWW[[#This Row],[Total PoP ]],0)</f>
        <v>2248</v>
      </c>
      <c r="BZ301" s="208">
        <f>WWWW[[#This Row],[People adopt basic personal and community hygiene practices]]/WWWW[[#This Row],[Total PoP ]]</f>
        <v>1</v>
      </c>
      <c r="CA301" s="212">
        <f>1-WWWW[[#This Row],[Hygiene Coverage%]]</f>
        <v>0</v>
      </c>
      <c r="CB301" s="211">
        <f>WWWW[[#This Row],['# people reached by regular dedicated hygiene promotion_5]]/WWWW[[#This Row],[Total PoP ]]</f>
        <v>1</v>
      </c>
      <c r="CC301" s="211">
        <f>IF(WWWW[[#This Row],['# HH received soaps]]/WWWW[[#This Row],[Total HH]]&gt;1,1,WWWW[[#This Row],['# HH received soaps]]/WWWW[[#This Row],[Total HH]])</f>
        <v>1</v>
      </c>
      <c r="CD301" s="211">
        <f>IF(WWWW[[#This Row],['# HH received Sanitary Pads]]/WWWW[[#This Row],[Total HH]]&gt;1,1,WWWW[[#This Row],['# HH received Sanitary Pads]]/WWWW[[#This Row],[Total HH]])</f>
        <v>1</v>
      </c>
      <c r="CE301" s="210">
        <f>WWWW[[#This Row],['# HH received soaps]]*5</f>
        <v>2000</v>
      </c>
      <c r="CF301" s="210">
        <f>WWWW[[#This Row],['# HH received Sanitary Pads]]*5</f>
        <v>2000</v>
      </c>
      <c r="CG301" s="210">
        <f>IF(WWWW[[#This Row],['# People with access to soap]]&gt;WWWW[[#This Row],['# People with access to Sanity Pads]],WWWW[[#This Row],['# People with access to soap]],WWWW[[#This Row],['# People with access to Sanity Pads]])</f>
        <v>2000</v>
      </c>
      <c r="CH301" s="209">
        <f>WWWW[[#This Row],[Total HH]]*WWWW[[#This Row],[%HHs with access to functional hand washing stations]]</f>
        <v>0</v>
      </c>
      <c r="CI301" s="699" t="str">
        <f>VLOOKUP(WWWW[[#This Row],[Site Name]],SiteDB6[[Site Name]:[CCCM Management]],6,FALSE)</f>
        <v>Yes</v>
      </c>
      <c r="CJ301" s="699">
        <f>VLOOKUP(WWWW[[#This Row],[Site Name]],SiteDB6[[Site Name]:[CCCM Focal Agency]],7,FALSE)</f>
        <v>0</v>
      </c>
      <c r="CK301" s="699" t="str">
        <f>VLOOKUP(WWWW[[#This Row],[Site Name]],SiteDB6[[Site Name]:[Location Type]],8,FALSE)</f>
        <v>Camp</v>
      </c>
      <c r="CL301" s="699" t="str">
        <f>VLOOKUP(WWWW[[#This Row],[Site Name]],SiteDB6[[Site Name]:[Location Type 1]],9,FALSE)</f>
        <v>Camp</v>
      </c>
      <c r="CM301" s="699" t="str">
        <f>VLOOKUP(WWWW[[#This Row],[Site Name]],SiteDB6[[Site Name]:[Type of Accommodation]],10,FALSE)</f>
        <v>Planned Camp</v>
      </c>
      <c r="CN301" s="699" t="str">
        <f>VLOOKUP(WWWW[[#This Row],[Site Name]],SiteDB6[[Site Name]:[Ethnic or GCA/NGCA]],11,FALSE)</f>
        <v>Muslim</v>
      </c>
      <c r="CO301" s="699">
        <f>VLOOKUP(WWWW[[#This Row],[Site Name]],SiteDB6[[Site Name]:[Lat]],12,FALSE)</f>
        <v>20.181778000000001</v>
      </c>
      <c r="CP301" s="699">
        <f>VLOOKUP(WWWW[[#This Row],[Site Name]],SiteDB6[[Site Name]:[Long]],13,FALSE)</f>
        <v>92.823166999999998</v>
      </c>
      <c r="CQ301" s="699" t="str">
        <f>VLOOKUP(WWWW[[#This Row],[Site Name]],SiteDB6[[Site Name]:[Pcode]],3,FALSE)</f>
        <v>MMR012CMP042</v>
      </c>
      <c r="CR301" s="660" t="str">
        <f t="shared" si="6"/>
        <v>Covered</v>
      </c>
      <c r="CS301" s="660"/>
      <c r="CT301" s="24"/>
      <c r="CU301" s="24"/>
      <c r="CV301" s="24"/>
    </row>
    <row r="302" spans="1:100" ht="15.75" customHeight="1" x14ac:dyDescent="0.25">
      <c r="A302" s="833" t="s">
        <v>3206</v>
      </c>
      <c r="B302" s="206" t="s">
        <v>447</v>
      </c>
      <c r="C302" s="206" t="s">
        <v>454</v>
      </c>
      <c r="D302" s="206" t="s">
        <v>563</v>
      </c>
      <c r="E302" s="206" t="s">
        <v>566</v>
      </c>
      <c r="F302" s="206">
        <v>948</v>
      </c>
      <c r="G302" s="209">
        <v>3946</v>
      </c>
      <c r="H302" s="206"/>
      <c r="I302" s="206" t="s">
        <v>391</v>
      </c>
      <c r="J302" s="207">
        <v>43555</v>
      </c>
      <c r="K302" s="206">
        <v>0</v>
      </c>
      <c r="L302" s="206" t="s">
        <v>282</v>
      </c>
      <c r="M302" s="208">
        <v>0</v>
      </c>
      <c r="N302" s="208">
        <v>0</v>
      </c>
      <c r="O302" s="316">
        <v>50</v>
      </c>
      <c r="P302" s="317">
        <v>8</v>
      </c>
      <c r="Q302" s="317">
        <v>0</v>
      </c>
      <c r="R302" s="318">
        <v>0</v>
      </c>
      <c r="S302" s="318">
        <v>0</v>
      </c>
      <c r="T302" s="318"/>
      <c r="U302" s="318">
        <v>0</v>
      </c>
      <c r="V302" s="318">
        <v>0</v>
      </c>
      <c r="W302" s="318">
        <v>0</v>
      </c>
      <c r="X302" s="318">
        <v>0</v>
      </c>
      <c r="Y302" s="318">
        <v>0</v>
      </c>
      <c r="Z302" s="318"/>
      <c r="AA302" s="310">
        <v>243</v>
      </c>
      <c r="AB302" s="310">
        <v>97</v>
      </c>
      <c r="AC302" s="66">
        <v>0</v>
      </c>
      <c r="AD302" s="66"/>
      <c r="AE302" s="310">
        <v>340</v>
      </c>
      <c r="AF302" s="310" t="s">
        <v>332</v>
      </c>
      <c r="AG302" s="311" t="s">
        <v>283</v>
      </c>
      <c r="AH302" s="311">
        <v>4</v>
      </c>
      <c r="AI302" s="310">
        <v>7</v>
      </c>
      <c r="AJ302" s="310"/>
      <c r="AK302" s="841">
        <v>0.45</v>
      </c>
      <c r="AL302" s="842" t="s">
        <v>291</v>
      </c>
      <c r="AM302" s="842">
        <v>0</v>
      </c>
      <c r="AN302" s="863">
        <v>0</v>
      </c>
      <c r="AO302" s="863">
        <v>7</v>
      </c>
      <c r="AP302" s="843">
        <v>0</v>
      </c>
      <c r="AQ302" s="843">
        <v>0</v>
      </c>
      <c r="AR302" s="843"/>
      <c r="AS302" s="843"/>
      <c r="AT302" s="843"/>
      <c r="AU302" s="843"/>
      <c r="AV302" s="844"/>
      <c r="AW302" s="208" t="str">
        <f>IFERROR(WWWW[[#This Row],['# of Water passed at source]]/WWWW[[#This Row],['# of Water tested at source]],"no test")</f>
        <v>no test</v>
      </c>
      <c r="AX302" s="211" t="str">
        <f>IFERROR(WWWW[[#This Row],['# of Water passed at HH]]/WWWW[[#This Row],['# of Water tested at HH]],"no test")</f>
        <v>no test</v>
      </c>
      <c r="AY302" s="210" t="str">
        <f>IF(AND(WWWW[[#This Row],[%of Water samples which passed at water source]]="no test",WWWW[[#This Row],[%Water samples which passed at HH]]="no test"),"No Test","Tested")</f>
        <v>No Test</v>
      </c>
      <c r="AZ30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0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02" s="211">
        <f>IF(WWWW[[#This Row],[Location Type 1]]="Village",WWWW[[#This Row],[Access to safe drinking water for Village]],WWWW[[#This Row],[Access to safe drinking water for Camp]])</f>
        <v>1</v>
      </c>
      <c r="BC302" s="209">
        <f>WWWW[[#This Row],[%Equitable and continuous access to sufficient quantity of safe drinking water]]*WWWW[[#This Row],[Total PoP ]]</f>
        <v>3946</v>
      </c>
      <c r="BD302" s="211">
        <f>IF((WWWW[[#This Row],['# Existing protected/fenced ponds ]]*250)/WWWW[[#This Row],[Total PoP ]]&gt;1,1,WWWW[[#This Row],['# Existing protected/fenced ponds ]]*250/WWWW[[#This Row],[Total PoP ]])</f>
        <v>0</v>
      </c>
      <c r="BE302" s="209">
        <f>WWWW[[#This Row],[Access to unimproved water points]]*WWWW[[#This Row],[Total PoP ]]</f>
        <v>0</v>
      </c>
      <c r="BF30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0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3946</v>
      </c>
      <c r="BH302" s="209">
        <f>WWWW[[#This Row],['#people Equitable and continuous access to sufficient quantity of domestic water borehole n ponds_2]]/500</f>
        <v>7.8920000000000003</v>
      </c>
      <c r="BI302" s="208">
        <f>1-WWWW[[#This Row],[%Equitable and continuous access to sufficient quantity of domestic water borehole n ponds]]</f>
        <v>0</v>
      </c>
      <c r="BJ302" s="209">
        <f>WWWW[[#This Row],[%equitable and continuous access to sufficient quantity of safe drinking and domestic water''s GAP]]*WWWW[[#This Row],[Total PoP ]]</f>
        <v>0</v>
      </c>
      <c r="BK302" s="210">
        <f>IF(WWWW[[#This Row],[Total required water points]]-WWWW[[#This Row],['#Water points coverage]]&lt;0,0,WWWW[[#This Row],[Total required water points]]-WWWW[[#This Row],['#Water points coverage]])</f>
        <v>0.10799999999999965</v>
      </c>
      <c r="BL302" s="210">
        <f>ROUND(IF(WWWW[[#This Row],[Total PoP ]]&lt;500,1,WWWW[[#This Row],[Total PoP ]]/500),0)</f>
        <v>8</v>
      </c>
      <c r="BM302" s="210">
        <f>WWWW[[#This Row],['# Existing functional latrines]]+WWWW[[#This Row],['# Existing latrines dysfunctional]]</f>
        <v>340</v>
      </c>
      <c r="BN30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0.36948808920425746</v>
      </c>
      <c r="BO302" s="352">
        <f>WWWW[[#This Row],[% people access to functioning Latrine]]*WWWW[[#This Row],[Total PoP ]]</f>
        <v>1458</v>
      </c>
      <c r="BP30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0.48352762290927526</v>
      </c>
      <c r="BQ302" s="209">
        <f>IF(WWWW[[#This Row],[Total required Latrines]]-WWWW[[#This Row],[Total '# of latrine]]&lt;0,0,WWWW[[#This Row],[Total required Latrines]]-WWWW[[#This Row],[Total '# of latrine]])</f>
        <v>318</v>
      </c>
      <c r="BR302" s="210">
        <f>ROUND(IF(WWWW[[#This Row],[Location Type 1]]="camp",WWWW[[#This Row],[Total PoP ]]/20,WWWW[[#This Row],[Total PoP ]]/6),0)</f>
        <v>658</v>
      </c>
      <c r="BS302" s="212">
        <f>IF(OR(WWWW[[#This Row],['# Existing latrines dysfunctional]]="",WWWW[[#This Row],['# Existing latrines dysfunctional]]=0),0,WWWW[[#This Row],['# Existing latrines dysfunctional]]/WWWW[[#This Row],[Total '# of latrine]])</f>
        <v>0.28529411764705881</v>
      </c>
      <c r="BT30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02" s="209">
        <f>IF(500*WWWW[[#This Row],['# Hygiene Promoters ]]&gt;WWWW[[#This Row],[Total PoP ]],WWWW[[#This Row],[Total PoP ]],500*WWWW[[#This Row],['# Hygiene Promoters ]])</f>
        <v>3500</v>
      </c>
      <c r="BV302" s="209">
        <f>IF(WWWW[[#This Row],[% of HH with access to Sanitary Pad]]&gt;=100%,1,0)</f>
        <v>0</v>
      </c>
      <c r="BW302" s="209">
        <f>IF(WWWW[[#This Row],[Total PoP ]]=0,0,IF(WWWW[[#This Row],['# Hygiene Promoters ]]=0,0,IF(WWWW[[#This Row],[Location Type 1]]="Village",IF(WWWW[[#This Row],[Total PoP ]]/WWWW[[#This Row],['# Hygiene Promoters ]]&lt;1000,1,0),IF(WWWW[[#This Row],[Total PoP ]]/WWWW[[#This Row],['# Hygiene Promoters ]]&lt;600,1,0))))</f>
        <v>1</v>
      </c>
      <c r="BX302" s="209">
        <f>IF(WWWW[[#This Row],[%HH with access to soap]]&gt;=100%,1,0)</f>
        <v>0</v>
      </c>
      <c r="BY302" s="209">
        <f>IF(WWWW[[#This Row],[% of HHs with access to Sanitary pad more than '#%]]+WWWW[[#This Row],[Ratio of Hyiene promoters to people less than '#]]+WWWW[[#This Row],[% of HHs with access to soap more than '#%]]&gt;=2,WWWW[[#This Row],[Total PoP ]],0)</f>
        <v>0</v>
      </c>
      <c r="BZ302" s="208">
        <f>WWWW[[#This Row],[People adopt basic personal and community hygiene practices]]/WWWW[[#This Row],[Total PoP ]]</f>
        <v>0</v>
      </c>
      <c r="CA302" s="212">
        <f>1-WWWW[[#This Row],[Hygiene Coverage%]]</f>
        <v>1</v>
      </c>
      <c r="CB302" s="211">
        <f>WWWW[[#This Row],['# people reached by regular dedicated hygiene promotion_5]]/WWWW[[#This Row],[Total PoP ]]</f>
        <v>0.88697415103902688</v>
      </c>
      <c r="CC302" s="211">
        <f>IF(WWWW[[#This Row],['# HH received soaps]]/WWWW[[#This Row],[Total HH]]&gt;1,1,WWWW[[#This Row],['# HH received soaps]]/WWWW[[#This Row],[Total HH]])</f>
        <v>0</v>
      </c>
      <c r="CD302" s="211">
        <f>IF(WWWW[[#This Row],['# HH received Sanitary Pads]]/WWWW[[#This Row],[Total HH]]&gt;1,1,WWWW[[#This Row],['# HH received Sanitary Pads]]/WWWW[[#This Row],[Total HH]])</f>
        <v>0</v>
      </c>
      <c r="CE302" s="210">
        <f>WWWW[[#This Row],['# HH received soaps]]*5</f>
        <v>0</v>
      </c>
      <c r="CF302" s="210">
        <f>WWWW[[#This Row],['# HH received Sanitary Pads]]*5</f>
        <v>0</v>
      </c>
      <c r="CG302" s="210">
        <f>IF(WWWW[[#This Row],['# People with access to soap]]&gt;WWWW[[#This Row],['# People with access to Sanity Pads]],WWWW[[#This Row],['# People with access to soap]],WWWW[[#This Row],['# People with access to Sanity Pads]])</f>
        <v>0</v>
      </c>
      <c r="CH302" s="209">
        <f>WWWW[[#This Row],[Total HH]]*WWWW[[#This Row],[%HHs with access to functional hand washing stations]]</f>
        <v>426.6</v>
      </c>
      <c r="CI302" s="699">
        <f>VLOOKUP(WWWW[[#This Row],[Site Name]],SiteDB6[[Site Name]:[CCCM Management]],6,FALSE)</f>
        <v>0</v>
      </c>
      <c r="CJ302" s="699">
        <f>VLOOKUP(WWWW[[#This Row],[Site Name]],SiteDB6[[Site Name]:[CCCM Focal Agency]],7,FALSE)</f>
        <v>0</v>
      </c>
      <c r="CK302" s="699" t="str">
        <f>VLOOKUP(WWWW[[#This Row],[Site Name]],SiteDB6[[Site Name]:[Location Type]],8,FALSE)</f>
        <v>Village</v>
      </c>
      <c r="CL302" s="699" t="str">
        <f>VLOOKUP(WWWW[[#This Row],[Site Name]],SiteDB6[[Site Name]:[Location Type 1]],9,FALSE)</f>
        <v>Village</v>
      </c>
      <c r="CM302" s="699" t="str">
        <f>VLOOKUP(WWWW[[#This Row],[Site Name]],SiteDB6[[Site Name]:[Type of Accommodation]],10,FALSE)</f>
        <v>Village</v>
      </c>
      <c r="CN302" s="699" t="str">
        <f>VLOOKUP(WWWW[[#This Row],[Site Name]],SiteDB6[[Site Name]:[Ethnic or GCA/NGCA]],11,FALSE)</f>
        <v>Muslim</v>
      </c>
      <c r="CO302" s="699">
        <f>VLOOKUP(WWWW[[#This Row],[Site Name]],SiteDB6[[Site Name]:[Lat]],12,FALSE)</f>
        <v>20.0641</v>
      </c>
      <c r="CP302" s="699">
        <f>VLOOKUP(WWWW[[#This Row],[Site Name]],SiteDB6[[Site Name]:[Long]],13,FALSE)</f>
        <v>92.994600000000005</v>
      </c>
      <c r="CQ302" s="699" t="str">
        <f>VLOOKUP(WWWW[[#This Row],[Site Name]],SiteDB6[[Site Name]:[Pcode]],3,FALSE)</f>
        <v>197548</v>
      </c>
      <c r="CR302" s="660" t="str">
        <f t="shared" si="6"/>
        <v>Covered</v>
      </c>
      <c r="CS302" s="660"/>
      <c r="CT302" s="24"/>
      <c r="CU302" s="24"/>
      <c r="CV302" s="24"/>
    </row>
    <row r="303" spans="1:100" ht="15.75" customHeight="1" x14ac:dyDescent="0.25">
      <c r="A303" s="833" t="s">
        <v>3206</v>
      </c>
      <c r="B303" s="206" t="s">
        <v>447</v>
      </c>
      <c r="C303" s="206" t="s">
        <v>454</v>
      </c>
      <c r="D303" s="206" t="s">
        <v>563</v>
      </c>
      <c r="E303" s="206" t="s">
        <v>564</v>
      </c>
      <c r="F303" s="206">
        <v>477</v>
      </c>
      <c r="G303" s="209">
        <v>2034</v>
      </c>
      <c r="H303" s="206"/>
      <c r="I303" s="206" t="s">
        <v>391</v>
      </c>
      <c r="J303" s="207">
        <v>43555</v>
      </c>
      <c r="K303" s="206">
        <v>0</v>
      </c>
      <c r="L303" s="206" t="s">
        <v>282</v>
      </c>
      <c r="M303" s="208">
        <v>0</v>
      </c>
      <c r="N303" s="208">
        <v>0</v>
      </c>
      <c r="O303" s="316">
        <v>15</v>
      </c>
      <c r="P303" s="317">
        <v>7</v>
      </c>
      <c r="Q303" s="317">
        <v>0</v>
      </c>
      <c r="R303" s="318">
        <v>2</v>
      </c>
      <c r="S303" s="318">
        <v>0</v>
      </c>
      <c r="T303" s="318"/>
      <c r="U303" s="318">
        <v>0</v>
      </c>
      <c r="V303" s="318">
        <v>0</v>
      </c>
      <c r="W303" s="318">
        <v>0</v>
      </c>
      <c r="X303" s="318">
        <v>0</v>
      </c>
      <c r="Y303" s="318">
        <v>0</v>
      </c>
      <c r="Z303" s="318"/>
      <c r="AA303" s="310">
        <v>102</v>
      </c>
      <c r="AB303" s="310">
        <v>74</v>
      </c>
      <c r="AC303" s="66">
        <v>0</v>
      </c>
      <c r="AD303" s="66"/>
      <c r="AE303" s="310">
        <v>176</v>
      </c>
      <c r="AF303" s="310" t="s">
        <v>332</v>
      </c>
      <c r="AG303" s="311" t="s">
        <v>283</v>
      </c>
      <c r="AH303" s="311">
        <v>0</v>
      </c>
      <c r="AI303" s="310">
        <v>0</v>
      </c>
      <c r="AJ303" s="310" t="s">
        <v>565</v>
      </c>
      <c r="AK303" s="841">
        <v>0</v>
      </c>
      <c r="AL303" s="842" t="s">
        <v>284</v>
      </c>
      <c r="AM303" s="842">
        <v>0</v>
      </c>
      <c r="AN303" s="863">
        <v>0</v>
      </c>
      <c r="AO303" s="863">
        <v>4</v>
      </c>
      <c r="AP303" s="843">
        <v>0</v>
      </c>
      <c r="AQ303" s="843">
        <v>0</v>
      </c>
      <c r="AR303" s="843"/>
      <c r="AS303" s="843"/>
      <c r="AT303" s="843"/>
      <c r="AU303" s="843"/>
      <c r="AV303" s="844"/>
      <c r="AW303" s="208" t="str">
        <f>IFERROR(WWWW[[#This Row],['# of Water passed at source]]/WWWW[[#This Row],['# of Water tested at source]],"no test")</f>
        <v>no test</v>
      </c>
      <c r="AX303" s="211" t="str">
        <f>IFERROR(WWWW[[#This Row],['# of Water passed at HH]]/WWWW[[#This Row],['# of Water tested at HH]],"no test")</f>
        <v>no test</v>
      </c>
      <c r="AY303" s="210" t="str">
        <f>IF(AND(WWWW[[#This Row],[%of Water samples which passed at water source]]="no test",WWWW[[#This Row],[%Water samples which passed at HH]]="no test"),"No Test","Tested")</f>
        <v>No Test</v>
      </c>
      <c r="AZ30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0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03" s="211">
        <f>IF(WWWW[[#This Row],[Location Type 1]]="Village",WWWW[[#This Row],[Access to safe drinking water for Village]],WWWW[[#This Row],[Access to safe drinking water for Camp]])</f>
        <v>1</v>
      </c>
      <c r="BC303" s="209">
        <f>WWWW[[#This Row],[%Equitable and continuous access to sufficient quantity of safe drinking water]]*WWWW[[#This Row],[Total PoP ]]</f>
        <v>2034</v>
      </c>
      <c r="BD303" s="211">
        <f>IF((WWWW[[#This Row],['# Existing protected/fenced ponds ]]*250)/WWWW[[#This Row],[Total PoP ]]&gt;1,1,WWWW[[#This Row],['# Existing protected/fenced ponds ]]*250/WWWW[[#This Row],[Total PoP ]])</f>
        <v>0.24582104228121926</v>
      </c>
      <c r="BE303" s="209">
        <f>WWWW[[#This Row],[Access to unimproved water points]]*WWWW[[#This Row],[Total PoP ]]</f>
        <v>500</v>
      </c>
      <c r="BF30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0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2034</v>
      </c>
      <c r="BH303" s="209">
        <f>WWWW[[#This Row],['#people Equitable and continuous access to sufficient quantity of domestic water borehole n ponds_2]]/500</f>
        <v>4.0679999999999996</v>
      </c>
      <c r="BI303" s="208">
        <f>1-WWWW[[#This Row],[%Equitable and continuous access to sufficient quantity of domestic water borehole n ponds]]</f>
        <v>0</v>
      </c>
      <c r="BJ303" s="209">
        <f>WWWW[[#This Row],[%equitable and continuous access to sufficient quantity of safe drinking and domestic water''s GAP]]*WWWW[[#This Row],[Total PoP ]]</f>
        <v>0</v>
      </c>
      <c r="BK303" s="210">
        <f>IF(WWWW[[#This Row],[Total required water points]]-WWWW[[#This Row],['#Water points coverage]]&lt;0,0,WWWW[[#This Row],[Total required water points]]-WWWW[[#This Row],['#Water points coverage]])</f>
        <v>0</v>
      </c>
      <c r="BL303" s="210">
        <f>ROUND(IF(WWWW[[#This Row],[Total PoP ]]&lt;500,1,WWWW[[#This Row],[Total PoP ]]/500),0)</f>
        <v>4</v>
      </c>
      <c r="BM303" s="210">
        <f>WWWW[[#This Row],['# Existing functional latrines]]+WWWW[[#This Row],['# Existing latrines dysfunctional]]</f>
        <v>176</v>
      </c>
      <c r="BN30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0.30088495575221241</v>
      </c>
      <c r="BO303" s="352">
        <f>WWWW[[#This Row],[% people access to functioning Latrine]]*WWWW[[#This Row],[Total PoP ]]</f>
        <v>612</v>
      </c>
      <c r="BP30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0.4808259587020649</v>
      </c>
      <c r="BQ303" s="209">
        <f>IF(WWWW[[#This Row],[Total required Latrines]]-WWWW[[#This Row],[Total '# of latrine]]&lt;0,0,WWWW[[#This Row],[Total required Latrines]]-WWWW[[#This Row],[Total '# of latrine]])</f>
        <v>163</v>
      </c>
      <c r="BR303" s="210">
        <f>ROUND(IF(WWWW[[#This Row],[Location Type 1]]="camp",WWWW[[#This Row],[Total PoP ]]/20,WWWW[[#This Row],[Total PoP ]]/6),0)</f>
        <v>339</v>
      </c>
      <c r="BS303" s="212">
        <f>IF(OR(WWWW[[#This Row],['# Existing latrines dysfunctional]]="",WWWW[[#This Row],['# Existing latrines dysfunctional]]=0),0,WWWW[[#This Row],['# Existing latrines dysfunctional]]/WWWW[[#This Row],[Total '# of latrine]])</f>
        <v>0.42045454545454547</v>
      </c>
      <c r="BT30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03" s="209">
        <f>IF(500*WWWW[[#This Row],['# Hygiene Promoters ]]&gt;WWWW[[#This Row],[Total PoP ]],WWWW[[#This Row],[Total PoP ]],500*WWWW[[#This Row],['# Hygiene Promoters ]])</f>
        <v>2000</v>
      </c>
      <c r="BV303" s="209">
        <f>IF(WWWW[[#This Row],[% of HH with access to Sanitary Pad]]&gt;=100%,1,0)</f>
        <v>0</v>
      </c>
      <c r="BW303" s="209">
        <f>IF(WWWW[[#This Row],[Total PoP ]]=0,0,IF(WWWW[[#This Row],['# Hygiene Promoters ]]=0,0,IF(WWWW[[#This Row],[Location Type 1]]="Village",IF(WWWW[[#This Row],[Total PoP ]]/WWWW[[#This Row],['# Hygiene Promoters ]]&lt;1000,1,0),IF(WWWW[[#This Row],[Total PoP ]]/WWWW[[#This Row],['# Hygiene Promoters ]]&lt;600,1,0))))</f>
        <v>1</v>
      </c>
      <c r="BX303" s="209">
        <f>IF(WWWW[[#This Row],[%HH with access to soap]]&gt;=100%,1,0)</f>
        <v>0</v>
      </c>
      <c r="BY303" s="209">
        <f>IF(WWWW[[#This Row],[% of HHs with access to Sanitary pad more than '#%]]+WWWW[[#This Row],[Ratio of Hyiene promoters to people less than '#]]+WWWW[[#This Row],[% of HHs with access to soap more than '#%]]&gt;=2,WWWW[[#This Row],[Total PoP ]],0)</f>
        <v>0</v>
      </c>
      <c r="BZ303" s="208">
        <f>WWWW[[#This Row],[People adopt basic personal and community hygiene practices]]/WWWW[[#This Row],[Total PoP ]]</f>
        <v>0</v>
      </c>
      <c r="CA303" s="212">
        <f>1-WWWW[[#This Row],[Hygiene Coverage%]]</f>
        <v>1</v>
      </c>
      <c r="CB303" s="211">
        <f>WWWW[[#This Row],['# people reached by regular dedicated hygiene promotion_5]]/WWWW[[#This Row],[Total PoP ]]</f>
        <v>0.98328416912487704</v>
      </c>
      <c r="CC303" s="211">
        <f>IF(WWWW[[#This Row],['# HH received soaps]]/WWWW[[#This Row],[Total HH]]&gt;1,1,WWWW[[#This Row],['# HH received soaps]]/WWWW[[#This Row],[Total HH]])</f>
        <v>0</v>
      </c>
      <c r="CD303" s="211">
        <f>IF(WWWW[[#This Row],['# HH received Sanitary Pads]]/WWWW[[#This Row],[Total HH]]&gt;1,1,WWWW[[#This Row],['# HH received Sanitary Pads]]/WWWW[[#This Row],[Total HH]])</f>
        <v>0</v>
      </c>
      <c r="CE303" s="210">
        <f>WWWW[[#This Row],['# HH received soaps]]*5</f>
        <v>0</v>
      </c>
      <c r="CF303" s="210">
        <f>WWWW[[#This Row],['# HH received Sanitary Pads]]*5</f>
        <v>0</v>
      </c>
      <c r="CG303" s="210">
        <f>IF(WWWW[[#This Row],['# People with access to soap]]&gt;WWWW[[#This Row],['# People with access to Sanity Pads]],WWWW[[#This Row],['# People with access to soap]],WWWW[[#This Row],['# People with access to Sanity Pads]])</f>
        <v>0</v>
      </c>
      <c r="CH303" s="209">
        <f>WWWW[[#This Row],[Total HH]]*WWWW[[#This Row],[%HHs with access to functional hand washing stations]]</f>
        <v>0</v>
      </c>
      <c r="CI303" s="699">
        <f>VLOOKUP(WWWW[[#This Row],[Site Name]],SiteDB6[[Site Name]:[CCCM Management]],6,FALSE)</f>
        <v>0</v>
      </c>
      <c r="CJ303" s="699">
        <f>VLOOKUP(WWWW[[#This Row],[Site Name]],SiteDB6[[Site Name]:[CCCM Focal Agency]],7,FALSE)</f>
        <v>0</v>
      </c>
      <c r="CK303" s="699" t="str">
        <f>VLOOKUP(WWWW[[#This Row],[Site Name]],SiteDB6[[Site Name]:[Location Type]],8,FALSE)</f>
        <v>Village</v>
      </c>
      <c r="CL303" s="699" t="str">
        <f>VLOOKUP(WWWW[[#This Row],[Site Name]],SiteDB6[[Site Name]:[Location Type 1]],9,FALSE)</f>
        <v>Village</v>
      </c>
      <c r="CM303" s="699" t="str">
        <f>VLOOKUP(WWWW[[#This Row],[Site Name]],SiteDB6[[Site Name]:[Type of Accommodation]],10,FALSE)</f>
        <v>Village</v>
      </c>
      <c r="CN303" s="699" t="str">
        <f>VLOOKUP(WWWW[[#This Row],[Site Name]],SiteDB6[[Site Name]:[Ethnic or GCA/NGCA]],11,FALSE)</f>
        <v>Rakhine</v>
      </c>
      <c r="CO303" s="699">
        <f>VLOOKUP(WWWW[[#This Row],[Site Name]],SiteDB6[[Site Name]:[Lat]],12,FALSE)</f>
        <v>20.057860999999999</v>
      </c>
      <c r="CP303" s="699">
        <f>VLOOKUP(WWWW[[#This Row],[Site Name]],SiteDB6[[Site Name]:[Long]],13,FALSE)</f>
        <v>92.995181000000002</v>
      </c>
      <c r="CQ303" s="699" t="str">
        <f>VLOOKUP(WWWW[[#This Row],[Site Name]],SiteDB6[[Site Name]:[Pcode]],3,FALSE)</f>
        <v>197550</v>
      </c>
      <c r="CR303" s="660" t="str">
        <f t="shared" si="6"/>
        <v>Covered</v>
      </c>
      <c r="CS303" s="660"/>
      <c r="CT303" s="24"/>
      <c r="CU303" s="24"/>
      <c r="CV303" s="24"/>
    </row>
    <row r="304" spans="1:100" ht="15.75" customHeight="1" x14ac:dyDescent="0.25">
      <c r="A304" s="833" t="s">
        <v>3206</v>
      </c>
      <c r="B304" s="206" t="s">
        <v>460</v>
      </c>
      <c r="C304" s="206" t="s">
        <v>454</v>
      </c>
      <c r="D304" s="206" t="s">
        <v>618</v>
      </c>
      <c r="E304" s="206" t="s">
        <v>650</v>
      </c>
      <c r="F304" s="206">
        <f>ROUND(WWWW[[#This Row],[Total PoP ]]/5,0)</f>
        <v>72</v>
      </c>
      <c r="G304" s="209">
        <v>360</v>
      </c>
      <c r="H304" s="206"/>
      <c r="I304" s="206"/>
      <c r="J304" s="207"/>
      <c r="K304" s="206"/>
      <c r="L304" s="206" t="s">
        <v>282</v>
      </c>
      <c r="M304" s="208">
        <v>0</v>
      </c>
      <c r="N304" s="208">
        <v>0</v>
      </c>
      <c r="O304" s="316">
        <v>0</v>
      </c>
      <c r="P304" s="317"/>
      <c r="Q304" s="317"/>
      <c r="R304" s="318"/>
      <c r="S304" s="318">
        <v>0</v>
      </c>
      <c r="T304" s="318"/>
      <c r="U304" s="318"/>
      <c r="V304" s="318"/>
      <c r="W304" s="318"/>
      <c r="X304" s="318"/>
      <c r="Y304" s="318"/>
      <c r="Z304" s="318"/>
      <c r="AA304" s="310">
        <v>5</v>
      </c>
      <c r="AB304" s="310"/>
      <c r="AC304" s="66"/>
      <c r="AD304" s="66"/>
      <c r="AE304" s="310">
        <v>0</v>
      </c>
      <c r="AF304" s="310" t="s">
        <v>286</v>
      </c>
      <c r="AG304" s="311" t="s">
        <v>286</v>
      </c>
      <c r="AH304" s="311"/>
      <c r="AI304" s="310"/>
      <c r="AJ304" s="310"/>
      <c r="AK304" s="841">
        <v>0</v>
      </c>
      <c r="AL304" s="842"/>
      <c r="AM304" s="842">
        <v>0</v>
      </c>
      <c r="AN304" s="863"/>
      <c r="AO304" s="863">
        <v>0</v>
      </c>
      <c r="AP304" s="843"/>
      <c r="AQ304" s="843"/>
      <c r="AR304" s="843"/>
      <c r="AS304" s="843"/>
      <c r="AT304" s="843"/>
      <c r="AU304" s="843"/>
      <c r="AV304" s="844"/>
      <c r="AW304" s="208" t="str">
        <f>IFERROR(WWWW[[#This Row],['# of Water passed at source]]/WWWW[[#This Row],['# of Water tested at source]],"no test")</f>
        <v>no test</v>
      </c>
      <c r="AX304" s="211" t="str">
        <f>IFERROR(WWWW[[#This Row],['# of Water passed at HH]]/WWWW[[#This Row],['# of Water tested at HH]],"no test")</f>
        <v>no test</v>
      </c>
      <c r="AY304" s="210" t="str">
        <f>IF(AND(WWWW[[#This Row],[%of Water samples which passed at water source]]="no test",WWWW[[#This Row],[%Water samples which passed at HH]]="no test"),"No Test","Tested")</f>
        <v>No Test</v>
      </c>
      <c r="AZ30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0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04" s="211">
        <f>IF(WWWW[[#This Row],[Location Type 1]]="Village",WWWW[[#This Row],[Access to safe drinking water for Village]],WWWW[[#This Row],[Access to safe drinking water for Camp]])</f>
        <v>0</v>
      </c>
      <c r="BC304" s="209">
        <f>WWWW[[#This Row],[%Equitable and continuous access to sufficient quantity of safe drinking water]]*WWWW[[#This Row],[Total PoP ]]</f>
        <v>0</v>
      </c>
      <c r="BD304" s="211">
        <f>IF((WWWW[[#This Row],['# Existing protected/fenced ponds ]]*250)/WWWW[[#This Row],[Total PoP ]]&gt;1,1,WWWW[[#This Row],['# Existing protected/fenced ponds ]]*250/WWWW[[#This Row],[Total PoP ]])</f>
        <v>0</v>
      </c>
      <c r="BE304" s="209">
        <f>WWWW[[#This Row],[Access to unimproved water points]]*WWWW[[#This Row],[Total PoP ]]</f>
        <v>0</v>
      </c>
      <c r="BF30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0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04" s="209">
        <f>WWWW[[#This Row],['#people Equitable and continuous access to sufficient quantity of domestic water borehole n ponds_2]]/500</f>
        <v>0</v>
      </c>
      <c r="BI304" s="208">
        <f>1-WWWW[[#This Row],[%Equitable and continuous access to sufficient quantity of domestic water borehole n ponds]]</f>
        <v>1</v>
      </c>
      <c r="BJ304" s="209">
        <f>WWWW[[#This Row],[%equitable and continuous access to sufficient quantity of safe drinking and domestic water''s GAP]]*WWWW[[#This Row],[Total PoP ]]</f>
        <v>360</v>
      </c>
      <c r="BK304" s="210">
        <f>IF(WWWW[[#This Row],[Total required water points]]-WWWW[[#This Row],['#Water points coverage]]&lt;0,0,WWWW[[#This Row],[Total required water points]]-WWWW[[#This Row],['#Water points coverage]])</f>
        <v>1</v>
      </c>
      <c r="BL304" s="210">
        <f>ROUND(IF(WWWW[[#This Row],[Total PoP ]]&lt;500,1,WWWW[[#This Row],[Total PoP ]]/500),0)</f>
        <v>1</v>
      </c>
      <c r="BM304" s="210">
        <f>WWWW[[#This Row],['# Existing functional latrines]]+WWWW[[#This Row],['# Existing latrines dysfunctional]]</f>
        <v>5</v>
      </c>
      <c r="BN30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8.3333333333333329E-2</v>
      </c>
      <c r="BO304" s="352">
        <f>WWWW[[#This Row],[% people access to functioning Latrine]]*WWWW[[#This Row],[Total PoP ]]</f>
        <v>30</v>
      </c>
      <c r="BP30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0.91666666666666663</v>
      </c>
      <c r="BQ304" s="209">
        <f>IF(WWWW[[#This Row],[Total required Latrines]]-WWWW[[#This Row],[Total '# of latrine]]&lt;0,0,WWWW[[#This Row],[Total required Latrines]]-WWWW[[#This Row],[Total '# of latrine]])</f>
        <v>55</v>
      </c>
      <c r="BR304" s="210">
        <f>ROUND(IF(WWWW[[#This Row],[Location Type 1]]="camp",WWWW[[#This Row],[Total PoP ]]/20,WWWW[[#This Row],[Total PoP ]]/6),0)</f>
        <v>60</v>
      </c>
      <c r="BS304" s="212">
        <f>IF(OR(WWWW[[#This Row],['# Existing latrines dysfunctional]]="",WWWW[[#This Row],['# Existing latrines dysfunctional]]=0),0,WWWW[[#This Row],['# Existing latrines dysfunctional]]/WWWW[[#This Row],[Total '# of latrine]])</f>
        <v>0</v>
      </c>
      <c r="BT30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04" s="209">
        <f>IF(500*WWWW[[#This Row],['# Hygiene Promoters ]]&gt;WWWW[[#This Row],[Total PoP ]],WWWW[[#This Row],[Total PoP ]],500*WWWW[[#This Row],['# Hygiene Promoters ]])</f>
        <v>0</v>
      </c>
      <c r="BV304" s="209">
        <f>IF(WWWW[[#This Row],[% of HH with access to Sanitary Pad]]&gt;=100%,1,0)</f>
        <v>0</v>
      </c>
      <c r="BW304" s="209">
        <f>IF(WWWW[[#This Row],[Total PoP ]]=0,0,IF(WWWW[[#This Row],['# Hygiene Promoters ]]=0,0,IF(WWWW[[#This Row],[Location Type 1]]="Village",IF(WWWW[[#This Row],[Total PoP ]]/WWWW[[#This Row],['# Hygiene Promoters ]]&lt;1000,1,0),IF(WWWW[[#This Row],[Total PoP ]]/WWWW[[#This Row],['# Hygiene Promoters ]]&lt;600,1,0))))</f>
        <v>0</v>
      </c>
      <c r="BX304" s="209">
        <f>IF(WWWW[[#This Row],[%HH with access to soap]]&gt;=100%,1,0)</f>
        <v>0</v>
      </c>
      <c r="BY304" s="209">
        <f>IF(WWWW[[#This Row],[% of HHs with access to Sanitary pad more than '#%]]+WWWW[[#This Row],[Ratio of Hyiene promoters to people less than '#]]+WWWW[[#This Row],[% of HHs with access to soap more than '#%]]&gt;=2,WWWW[[#This Row],[Total PoP ]],0)</f>
        <v>0</v>
      </c>
      <c r="BZ304" s="208">
        <f>WWWW[[#This Row],[People adopt basic personal and community hygiene practices]]/WWWW[[#This Row],[Total PoP ]]</f>
        <v>0</v>
      </c>
      <c r="CA304" s="212">
        <f>1-WWWW[[#This Row],[Hygiene Coverage%]]</f>
        <v>1</v>
      </c>
      <c r="CB304" s="211">
        <f>WWWW[[#This Row],['# people reached by regular dedicated hygiene promotion_5]]/WWWW[[#This Row],[Total PoP ]]</f>
        <v>0</v>
      </c>
      <c r="CC304" s="211">
        <f>IF(WWWW[[#This Row],['# HH received soaps]]/WWWW[[#This Row],[Total HH]]&gt;1,1,WWWW[[#This Row],['# HH received soaps]]/WWWW[[#This Row],[Total HH]])</f>
        <v>0</v>
      </c>
      <c r="CD304" s="211">
        <f>IF(WWWW[[#This Row],['# HH received Sanitary Pads]]/WWWW[[#This Row],[Total HH]]&gt;1,1,WWWW[[#This Row],['# HH received Sanitary Pads]]/WWWW[[#This Row],[Total HH]])</f>
        <v>0</v>
      </c>
      <c r="CE304" s="210">
        <f>WWWW[[#This Row],['# HH received soaps]]*5</f>
        <v>0</v>
      </c>
      <c r="CF304" s="210">
        <f>WWWW[[#This Row],['# HH received Sanitary Pads]]*5</f>
        <v>0</v>
      </c>
      <c r="CG304" s="210">
        <f>IF(WWWW[[#This Row],['# People with access to soap]]&gt;WWWW[[#This Row],['# People with access to Sanity Pads]],WWWW[[#This Row],['# People with access to soap]],WWWW[[#This Row],['# People with access to Sanity Pads]])</f>
        <v>0</v>
      </c>
      <c r="CH304" s="209">
        <f>WWWW[[#This Row],[Total HH]]*WWWW[[#This Row],[%HHs with access to functional hand washing stations]]</f>
        <v>0</v>
      </c>
      <c r="CI304" s="699">
        <f>VLOOKUP(WWWW[[#This Row],[Site Name]],SiteDB6[[Site Name]:[CCCM Management]],6,FALSE)</f>
        <v>0</v>
      </c>
      <c r="CJ304" s="699">
        <f>VLOOKUP(WWWW[[#This Row],[Site Name]],SiteDB6[[Site Name]:[CCCM Focal Agency]],7,FALSE)</f>
        <v>0</v>
      </c>
      <c r="CK304" s="699" t="str">
        <f>VLOOKUP(WWWW[[#This Row],[Site Name]],SiteDB6[[Site Name]:[Location Type]],8,FALSE)</f>
        <v>Village</v>
      </c>
      <c r="CL304" s="699" t="str">
        <f>VLOOKUP(WWWW[[#This Row],[Site Name]],SiteDB6[[Site Name]:[Location Type 1]],9,FALSE)</f>
        <v>Village</v>
      </c>
      <c r="CM304" s="699" t="str">
        <f>VLOOKUP(WWWW[[#This Row],[Site Name]],SiteDB6[[Site Name]:[Type of Accommodation]],10,FALSE)</f>
        <v>Village</v>
      </c>
      <c r="CN304" s="699" t="str">
        <f>VLOOKUP(WWWW[[#This Row],[Site Name]],SiteDB6[[Site Name]:[Ethnic or GCA/NGCA]],11,FALSE)</f>
        <v>Muslim</v>
      </c>
      <c r="CO304" s="699">
        <f>VLOOKUP(WWWW[[#This Row],[Site Name]],SiteDB6[[Site Name]:[Lat]],12,FALSE)</f>
        <v>20.494340897000001</v>
      </c>
      <c r="CP304" s="699">
        <f>VLOOKUP(WWWW[[#This Row],[Site Name]],SiteDB6[[Site Name]:[Long]],13,FALSE)</f>
        <v>93.054298400999997</v>
      </c>
      <c r="CQ304" s="699" t="str">
        <f>VLOOKUP(WWWW[[#This Row],[Site Name]],SiteDB6[[Site Name]:[Pcode]],3,FALSE)</f>
        <v>196350</v>
      </c>
      <c r="CR304" s="660" t="str">
        <f t="shared" si="6"/>
        <v>Notcovered</v>
      </c>
      <c r="CS304" s="660"/>
      <c r="CT304" s="24"/>
      <c r="CU304" s="24"/>
      <c r="CV304" s="24"/>
    </row>
    <row r="305" spans="1:100" ht="15.75" customHeight="1" x14ac:dyDescent="0.25">
      <c r="A305" s="833" t="s">
        <v>3206</v>
      </c>
      <c r="B305" s="206" t="s">
        <v>460</v>
      </c>
      <c r="C305" s="206" t="s">
        <v>454</v>
      </c>
      <c r="D305" s="206" t="s">
        <v>618</v>
      </c>
      <c r="E305" s="206" t="s">
        <v>674</v>
      </c>
      <c r="F305" s="206">
        <f>ROUND(WWWW[[#This Row],[Total PoP ]]/5,0)</f>
        <v>324</v>
      </c>
      <c r="G305" s="209">
        <v>1618</v>
      </c>
      <c r="H305" s="206"/>
      <c r="I305" s="206"/>
      <c r="J305" s="207"/>
      <c r="K305" s="206"/>
      <c r="L305" s="206" t="s">
        <v>282</v>
      </c>
      <c r="M305" s="208">
        <v>0</v>
      </c>
      <c r="N305" s="208">
        <v>0</v>
      </c>
      <c r="O305" s="316">
        <v>0</v>
      </c>
      <c r="P305" s="317"/>
      <c r="Q305" s="317"/>
      <c r="R305" s="318"/>
      <c r="S305" s="318">
        <v>0</v>
      </c>
      <c r="T305" s="318"/>
      <c r="U305" s="318"/>
      <c r="V305" s="318"/>
      <c r="W305" s="318"/>
      <c r="X305" s="318"/>
      <c r="Y305" s="318"/>
      <c r="Z305" s="318"/>
      <c r="AA305" s="310">
        <v>45</v>
      </c>
      <c r="AB305" s="310"/>
      <c r="AC305" s="66"/>
      <c r="AD305" s="66"/>
      <c r="AE305" s="310">
        <v>0</v>
      </c>
      <c r="AF305" s="310" t="s">
        <v>286</v>
      </c>
      <c r="AG305" s="311" t="s">
        <v>286</v>
      </c>
      <c r="AH305" s="311"/>
      <c r="AI305" s="310"/>
      <c r="AJ305" s="310"/>
      <c r="AK305" s="841">
        <v>0</v>
      </c>
      <c r="AL305" s="842"/>
      <c r="AM305" s="842">
        <v>0</v>
      </c>
      <c r="AN305" s="863"/>
      <c r="AO305" s="863">
        <v>0</v>
      </c>
      <c r="AP305" s="843"/>
      <c r="AQ305" s="843"/>
      <c r="AR305" s="843"/>
      <c r="AS305" s="843"/>
      <c r="AT305" s="843"/>
      <c r="AU305" s="843"/>
      <c r="AV305" s="844"/>
      <c r="AW305" s="208" t="str">
        <f>IFERROR(WWWW[[#This Row],['# of Water passed at source]]/WWWW[[#This Row],['# of Water tested at source]],"no test")</f>
        <v>no test</v>
      </c>
      <c r="AX305" s="211" t="str">
        <f>IFERROR(WWWW[[#This Row],['# of Water passed at HH]]/WWWW[[#This Row],['# of Water tested at HH]],"no test")</f>
        <v>no test</v>
      </c>
      <c r="AY305" s="210" t="str">
        <f>IF(AND(WWWW[[#This Row],[%of Water samples which passed at water source]]="no test",WWWW[[#This Row],[%Water samples which passed at HH]]="no test"),"No Test","Tested")</f>
        <v>No Test</v>
      </c>
      <c r="AZ30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0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05" s="211">
        <f>IF(WWWW[[#This Row],[Location Type 1]]="Village",WWWW[[#This Row],[Access to safe drinking water for Village]],WWWW[[#This Row],[Access to safe drinking water for Camp]])</f>
        <v>0</v>
      </c>
      <c r="BC305" s="209">
        <f>WWWW[[#This Row],[%Equitable and continuous access to sufficient quantity of safe drinking water]]*WWWW[[#This Row],[Total PoP ]]</f>
        <v>0</v>
      </c>
      <c r="BD305" s="211">
        <f>IF((WWWW[[#This Row],['# Existing protected/fenced ponds ]]*250)/WWWW[[#This Row],[Total PoP ]]&gt;1,1,WWWW[[#This Row],['# Existing protected/fenced ponds ]]*250/WWWW[[#This Row],[Total PoP ]])</f>
        <v>0</v>
      </c>
      <c r="BE305" s="209">
        <f>WWWW[[#This Row],[Access to unimproved water points]]*WWWW[[#This Row],[Total PoP ]]</f>
        <v>0</v>
      </c>
      <c r="BF30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0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05" s="209">
        <f>WWWW[[#This Row],['#people Equitable and continuous access to sufficient quantity of domestic water borehole n ponds_2]]/500</f>
        <v>0</v>
      </c>
      <c r="BI305" s="208">
        <f>1-WWWW[[#This Row],[%Equitable and continuous access to sufficient quantity of domestic water borehole n ponds]]</f>
        <v>1</v>
      </c>
      <c r="BJ305" s="209">
        <f>WWWW[[#This Row],[%equitable and continuous access to sufficient quantity of safe drinking and domestic water''s GAP]]*WWWW[[#This Row],[Total PoP ]]</f>
        <v>1618</v>
      </c>
      <c r="BK305" s="210">
        <f>IF(WWWW[[#This Row],[Total required water points]]-WWWW[[#This Row],['#Water points coverage]]&lt;0,0,WWWW[[#This Row],[Total required water points]]-WWWW[[#This Row],['#Water points coverage]])</f>
        <v>3</v>
      </c>
      <c r="BL305" s="210">
        <f>ROUND(IF(WWWW[[#This Row],[Total PoP ]]&lt;500,1,WWWW[[#This Row],[Total PoP ]]/500),0)</f>
        <v>3</v>
      </c>
      <c r="BM305" s="210">
        <f>WWWW[[#This Row],['# Existing functional latrines]]+WWWW[[#This Row],['# Existing latrines dysfunctional]]</f>
        <v>45</v>
      </c>
      <c r="BN30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0.1668726823238566</v>
      </c>
      <c r="BO305" s="352">
        <f>WWWW[[#This Row],[% people access to functioning Latrine]]*WWWW[[#This Row],[Total PoP ]]</f>
        <v>270</v>
      </c>
      <c r="BP30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0.83436341161928296</v>
      </c>
      <c r="BQ305" s="209">
        <f>IF(WWWW[[#This Row],[Total required Latrines]]-WWWW[[#This Row],[Total '# of latrine]]&lt;0,0,WWWW[[#This Row],[Total required Latrines]]-WWWW[[#This Row],[Total '# of latrine]])</f>
        <v>225</v>
      </c>
      <c r="BR305" s="210">
        <f>ROUND(IF(WWWW[[#This Row],[Location Type 1]]="camp",WWWW[[#This Row],[Total PoP ]]/20,WWWW[[#This Row],[Total PoP ]]/6),0)</f>
        <v>270</v>
      </c>
      <c r="BS305" s="212">
        <f>IF(OR(WWWW[[#This Row],['# Existing latrines dysfunctional]]="",WWWW[[#This Row],['# Existing latrines dysfunctional]]=0),0,WWWW[[#This Row],['# Existing latrines dysfunctional]]/WWWW[[#This Row],[Total '# of latrine]])</f>
        <v>0</v>
      </c>
      <c r="BT30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05" s="209">
        <f>IF(500*WWWW[[#This Row],['# Hygiene Promoters ]]&gt;WWWW[[#This Row],[Total PoP ]],WWWW[[#This Row],[Total PoP ]],500*WWWW[[#This Row],['# Hygiene Promoters ]])</f>
        <v>0</v>
      </c>
      <c r="BV305" s="209">
        <f>IF(WWWW[[#This Row],[% of HH with access to Sanitary Pad]]&gt;=100%,1,0)</f>
        <v>0</v>
      </c>
      <c r="BW305" s="209">
        <f>IF(WWWW[[#This Row],[Total PoP ]]=0,0,IF(WWWW[[#This Row],['# Hygiene Promoters ]]=0,0,IF(WWWW[[#This Row],[Location Type 1]]="Village",IF(WWWW[[#This Row],[Total PoP ]]/WWWW[[#This Row],['# Hygiene Promoters ]]&lt;1000,1,0),IF(WWWW[[#This Row],[Total PoP ]]/WWWW[[#This Row],['# Hygiene Promoters ]]&lt;600,1,0))))</f>
        <v>0</v>
      </c>
      <c r="BX305" s="209">
        <f>IF(WWWW[[#This Row],[%HH with access to soap]]&gt;=100%,1,0)</f>
        <v>0</v>
      </c>
      <c r="BY305" s="209">
        <f>IF(WWWW[[#This Row],[% of HHs with access to Sanitary pad more than '#%]]+WWWW[[#This Row],[Ratio of Hyiene promoters to people less than '#]]+WWWW[[#This Row],[% of HHs with access to soap more than '#%]]&gt;=2,WWWW[[#This Row],[Total PoP ]],0)</f>
        <v>0</v>
      </c>
      <c r="BZ305" s="208">
        <f>WWWW[[#This Row],[People adopt basic personal and community hygiene practices]]/WWWW[[#This Row],[Total PoP ]]</f>
        <v>0</v>
      </c>
      <c r="CA305" s="212">
        <f>1-WWWW[[#This Row],[Hygiene Coverage%]]</f>
        <v>1</v>
      </c>
      <c r="CB305" s="211">
        <f>WWWW[[#This Row],['# people reached by regular dedicated hygiene promotion_5]]/WWWW[[#This Row],[Total PoP ]]</f>
        <v>0</v>
      </c>
      <c r="CC305" s="211">
        <f>IF(WWWW[[#This Row],['# HH received soaps]]/WWWW[[#This Row],[Total HH]]&gt;1,1,WWWW[[#This Row],['# HH received soaps]]/WWWW[[#This Row],[Total HH]])</f>
        <v>0</v>
      </c>
      <c r="CD305" s="211">
        <f>IF(WWWW[[#This Row],['# HH received Sanitary Pads]]/WWWW[[#This Row],[Total HH]]&gt;1,1,WWWW[[#This Row],['# HH received Sanitary Pads]]/WWWW[[#This Row],[Total HH]])</f>
        <v>0</v>
      </c>
      <c r="CE305" s="210">
        <f>WWWW[[#This Row],['# HH received soaps]]*5</f>
        <v>0</v>
      </c>
      <c r="CF305" s="210">
        <f>WWWW[[#This Row],['# HH received Sanitary Pads]]*5</f>
        <v>0</v>
      </c>
      <c r="CG305" s="210">
        <f>IF(WWWW[[#This Row],['# People with access to soap]]&gt;WWWW[[#This Row],['# People with access to Sanity Pads]],WWWW[[#This Row],['# People with access to soap]],WWWW[[#This Row],['# People with access to Sanity Pads]])</f>
        <v>0</v>
      </c>
      <c r="CH305" s="209">
        <f>WWWW[[#This Row],[Total HH]]*WWWW[[#This Row],[%HHs with access to functional hand washing stations]]</f>
        <v>0</v>
      </c>
      <c r="CI305" s="699">
        <f>VLOOKUP(WWWW[[#This Row],[Site Name]],SiteDB6[[Site Name]:[CCCM Management]],6,FALSE)</f>
        <v>0</v>
      </c>
      <c r="CJ305" s="699">
        <f>VLOOKUP(WWWW[[#This Row],[Site Name]],SiteDB6[[Site Name]:[CCCM Focal Agency]],7,FALSE)</f>
        <v>0</v>
      </c>
      <c r="CK305" s="699" t="str">
        <f>VLOOKUP(WWWW[[#This Row],[Site Name]],SiteDB6[[Site Name]:[Location Type]],8,FALSE)</f>
        <v>Village</v>
      </c>
      <c r="CL305" s="699" t="str">
        <f>VLOOKUP(WWWW[[#This Row],[Site Name]],SiteDB6[[Site Name]:[Location Type 1]],9,FALSE)</f>
        <v>Village</v>
      </c>
      <c r="CM305" s="699" t="str">
        <f>VLOOKUP(WWWW[[#This Row],[Site Name]],SiteDB6[[Site Name]:[Type of Accommodation]],10,FALSE)</f>
        <v>Village</v>
      </c>
      <c r="CN305" s="699" t="str">
        <f>VLOOKUP(WWWW[[#This Row],[Site Name]],SiteDB6[[Site Name]:[Ethnic or GCA/NGCA]],11,FALSE)</f>
        <v>Muslim</v>
      </c>
      <c r="CO305" s="699">
        <f>VLOOKUP(WWWW[[#This Row],[Site Name]],SiteDB6[[Site Name]:[Lat]],12,FALSE)</f>
        <v>20.608819961999998</v>
      </c>
      <c r="CP305" s="699">
        <f>VLOOKUP(WWWW[[#This Row],[Site Name]],SiteDB6[[Site Name]:[Long]],13,FALSE)</f>
        <v>93.022407532000003</v>
      </c>
      <c r="CQ305" s="699" t="str">
        <f>VLOOKUP(WWWW[[#This Row],[Site Name]],SiteDB6[[Site Name]:[Pcode]],3,FALSE)</f>
        <v>196318</v>
      </c>
      <c r="CR305" s="660" t="str">
        <f t="shared" si="6"/>
        <v>Notcovered</v>
      </c>
      <c r="CS305" s="660"/>
      <c r="CT305" s="24"/>
      <c r="CU305" s="24"/>
      <c r="CV305" s="24"/>
    </row>
    <row r="306" spans="1:100" ht="15.75" customHeight="1" x14ac:dyDescent="0.25">
      <c r="A306" s="833" t="s">
        <v>3206</v>
      </c>
      <c r="B306" s="206" t="s">
        <v>460</v>
      </c>
      <c r="C306" s="206" t="s">
        <v>454</v>
      </c>
      <c r="D306" s="206" t="s">
        <v>618</v>
      </c>
      <c r="E306" s="206" t="s">
        <v>675</v>
      </c>
      <c r="F306" s="206">
        <f>ROUND(WWWW[[#This Row],[Total PoP ]]/5,0)</f>
        <v>149</v>
      </c>
      <c r="G306" s="209">
        <v>747</v>
      </c>
      <c r="H306" s="206"/>
      <c r="I306" s="206"/>
      <c r="J306" s="207"/>
      <c r="K306" s="206"/>
      <c r="L306" s="206" t="s">
        <v>282</v>
      </c>
      <c r="M306" s="208">
        <v>0</v>
      </c>
      <c r="N306" s="208">
        <v>0</v>
      </c>
      <c r="O306" s="316">
        <v>0</v>
      </c>
      <c r="P306" s="317"/>
      <c r="Q306" s="317"/>
      <c r="R306" s="318"/>
      <c r="S306" s="318">
        <v>0</v>
      </c>
      <c r="T306" s="318"/>
      <c r="U306" s="318"/>
      <c r="V306" s="318"/>
      <c r="W306" s="318"/>
      <c r="X306" s="318"/>
      <c r="Y306" s="318"/>
      <c r="Z306" s="318"/>
      <c r="AA306" s="310">
        <v>0</v>
      </c>
      <c r="AB306" s="310"/>
      <c r="AC306" s="66"/>
      <c r="AD306" s="66"/>
      <c r="AE306" s="310">
        <v>0</v>
      </c>
      <c r="AF306" s="310" t="s">
        <v>286</v>
      </c>
      <c r="AG306" s="311" t="s">
        <v>286</v>
      </c>
      <c r="AH306" s="311"/>
      <c r="AI306" s="310"/>
      <c r="AJ306" s="310"/>
      <c r="AK306" s="841">
        <v>0</v>
      </c>
      <c r="AL306" s="842"/>
      <c r="AM306" s="842">
        <v>0</v>
      </c>
      <c r="AN306" s="863"/>
      <c r="AO306" s="863">
        <v>0</v>
      </c>
      <c r="AP306" s="843"/>
      <c r="AQ306" s="843"/>
      <c r="AR306" s="843"/>
      <c r="AS306" s="843"/>
      <c r="AT306" s="843"/>
      <c r="AU306" s="843"/>
      <c r="AV306" s="844"/>
      <c r="AW306" s="208" t="str">
        <f>IFERROR(WWWW[[#This Row],['# of Water passed at source]]/WWWW[[#This Row],['# of Water tested at source]],"no test")</f>
        <v>no test</v>
      </c>
      <c r="AX306" s="211" t="str">
        <f>IFERROR(WWWW[[#This Row],['# of Water passed at HH]]/WWWW[[#This Row],['# of Water tested at HH]],"no test")</f>
        <v>no test</v>
      </c>
      <c r="AY306" s="210" t="str">
        <f>IF(AND(WWWW[[#This Row],[%of Water samples which passed at water source]]="no test",WWWW[[#This Row],[%Water samples which passed at HH]]="no test"),"No Test","Tested")</f>
        <v>No Test</v>
      </c>
      <c r="AZ30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0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06" s="211">
        <f>IF(WWWW[[#This Row],[Location Type 1]]="Village",WWWW[[#This Row],[Access to safe drinking water for Village]],WWWW[[#This Row],[Access to safe drinking water for Camp]])</f>
        <v>0</v>
      </c>
      <c r="BC306" s="209">
        <f>WWWW[[#This Row],[%Equitable and continuous access to sufficient quantity of safe drinking water]]*WWWW[[#This Row],[Total PoP ]]</f>
        <v>0</v>
      </c>
      <c r="BD306" s="211">
        <f>IF((WWWW[[#This Row],['# Existing protected/fenced ponds ]]*250)/WWWW[[#This Row],[Total PoP ]]&gt;1,1,WWWW[[#This Row],['# Existing protected/fenced ponds ]]*250/WWWW[[#This Row],[Total PoP ]])</f>
        <v>0</v>
      </c>
      <c r="BE306" s="209">
        <f>WWWW[[#This Row],[Access to unimproved water points]]*WWWW[[#This Row],[Total PoP ]]</f>
        <v>0</v>
      </c>
      <c r="BF30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0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06" s="209">
        <f>WWWW[[#This Row],['#people Equitable and continuous access to sufficient quantity of domestic water borehole n ponds_2]]/500</f>
        <v>0</v>
      </c>
      <c r="BI306" s="208">
        <f>1-WWWW[[#This Row],[%Equitable and continuous access to sufficient quantity of domestic water borehole n ponds]]</f>
        <v>1</v>
      </c>
      <c r="BJ306" s="209">
        <f>WWWW[[#This Row],[%equitable and continuous access to sufficient quantity of safe drinking and domestic water''s GAP]]*WWWW[[#This Row],[Total PoP ]]</f>
        <v>747</v>
      </c>
      <c r="BK306" s="210">
        <f>IF(WWWW[[#This Row],[Total required water points]]-WWWW[[#This Row],['#Water points coverage]]&lt;0,0,WWWW[[#This Row],[Total required water points]]-WWWW[[#This Row],['#Water points coverage]])</f>
        <v>1</v>
      </c>
      <c r="BL306" s="210">
        <f>ROUND(IF(WWWW[[#This Row],[Total PoP ]]&lt;500,1,WWWW[[#This Row],[Total PoP ]]/500),0)</f>
        <v>1</v>
      </c>
      <c r="BM306" s="210">
        <f>WWWW[[#This Row],['# Existing functional latrines]]+WWWW[[#This Row],['# Existing latrines dysfunctional]]</f>
        <v>0</v>
      </c>
      <c r="BN30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06" s="352">
        <f>WWWW[[#This Row],[% people access to functioning Latrine]]*WWWW[[#This Row],[Total PoP ]]</f>
        <v>0</v>
      </c>
      <c r="BP30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06" s="209">
        <f>IF(WWWW[[#This Row],[Total required Latrines]]-WWWW[[#This Row],[Total '# of latrine]]&lt;0,0,WWWW[[#This Row],[Total required Latrines]]-WWWW[[#This Row],[Total '# of latrine]])</f>
        <v>125</v>
      </c>
      <c r="BR306" s="210">
        <f>ROUND(IF(WWWW[[#This Row],[Location Type 1]]="camp",WWWW[[#This Row],[Total PoP ]]/20,WWWW[[#This Row],[Total PoP ]]/6),0)</f>
        <v>125</v>
      </c>
      <c r="BS306" s="212">
        <f>IF(OR(WWWW[[#This Row],['# Existing latrines dysfunctional]]="",WWWW[[#This Row],['# Existing latrines dysfunctional]]=0),0,WWWW[[#This Row],['# Existing latrines dysfunctional]]/WWWW[[#This Row],[Total '# of latrine]])</f>
        <v>0</v>
      </c>
      <c r="BT30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06" s="209">
        <f>IF(500*WWWW[[#This Row],['# Hygiene Promoters ]]&gt;WWWW[[#This Row],[Total PoP ]],WWWW[[#This Row],[Total PoP ]],500*WWWW[[#This Row],['# Hygiene Promoters ]])</f>
        <v>0</v>
      </c>
      <c r="BV306" s="209">
        <f>IF(WWWW[[#This Row],[% of HH with access to Sanitary Pad]]&gt;=100%,1,0)</f>
        <v>0</v>
      </c>
      <c r="BW306" s="209">
        <f>IF(WWWW[[#This Row],[Total PoP ]]=0,0,IF(WWWW[[#This Row],['# Hygiene Promoters ]]=0,0,IF(WWWW[[#This Row],[Location Type 1]]="Village",IF(WWWW[[#This Row],[Total PoP ]]/WWWW[[#This Row],['# Hygiene Promoters ]]&lt;1000,1,0),IF(WWWW[[#This Row],[Total PoP ]]/WWWW[[#This Row],['# Hygiene Promoters ]]&lt;600,1,0))))</f>
        <v>0</v>
      </c>
      <c r="BX306" s="209">
        <f>IF(WWWW[[#This Row],[%HH with access to soap]]&gt;=100%,1,0)</f>
        <v>0</v>
      </c>
      <c r="BY306" s="209">
        <f>IF(WWWW[[#This Row],[% of HHs with access to Sanitary pad more than '#%]]+WWWW[[#This Row],[Ratio of Hyiene promoters to people less than '#]]+WWWW[[#This Row],[% of HHs with access to soap more than '#%]]&gt;=2,WWWW[[#This Row],[Total PoP ]],0)</f>
        <v>0</v>
      </c>
      <c r="BZ306" s="208">
        <f>WWWW[[#This Row],[People adopt basic personal and community hygiene practices]]/WWWW[[#This Row],[Total PoP ]]</f>
        <v>0</v>
      </c>
      <c r="CA306" s="212">
        <f>1-WWWW[[#This Row],[Hygiene Coverage%]]</f>
        <v>1</v>
      </c>
      <c r="CB306" s="211">
        <f>WWWW[[#This Row],['# people reached by regular dedicated hygiene promotion_5]]/WWWW[[#This Row],[Total PoP ]]</f>
        <v>0</v>
      </c>
      <c r="CC306" s="211">
        <f>IF(WWWW[[#This Row],['# HH received soaps]]/WWWW[[#This Row],[Total HH]]&gt;1,1,WWWW[[#This Row],['# HH received soaps]]/WWWW[[#This Row],[Total HH]])</f>
        <v>0</v>
      </c>
      <c r="CD306" s="211">
        <f>IF(WWWW[[#This Row],['# HH received Sanitary Pads]]/WWWW[[#This Row],[Total HH]]&gt;1,1,WWWW[[#This Row],['# HH received Sanitary Pads]]/WWWW[[#This Row],[Total HH]])</f>
        <v>0</v>
      </c>
      <c r="CE306" s="210">
        <f>WWWW[[#This Row],['# HH received soaps]]*5</f>
        <v>0</v>
      </c>
      <c r="CF306" s="210">
        <f>WWWW[[#This Row],['# HH received Sanitary Pads]]*5</f>
        <v>0</v>
      </c>
      <c r="CG306" s="210">
        <f>IF(WWWW[[#This Row],['# People with access to soap]]&gt;WWWW[[#This Row],['# People with access to Sanity Pads]],WWWW[[#This Row],['# People with access to soap]],WWWW[[#This Row],['# People with access to Sanity Pads]])</f>
        <v>0</v>
      </c>
      <c r="CH306" s="209">
        <f>WWWW[[#This Row],[Total HH]]*WWWW[[#This Row],[%HHs with access to functional hand washing stations]]</f>
        <v>0</v>
      </c>
      <c r="CI306" s="699">
        <f>VLOOKUP(WWWW[[#This Row],[Site Name]],SiteDB6[[Site Name]:[CCCM Management]],6,FALSE)</f>
        <v>0</v>
      </c>
      <c r="CJ306" s="699">
        <f>VLOOKUP(WWWW[[#This Row],[Site Name]],SiteDB6[[Site Name]:[CCCM Focal Agency]],7,FALSE)</f>
        <v>0</v>
      </c>
      <c r="CK306" s="699" t="str">
        <f>VLOOKUP(WWWW[[#This Row],[Site Name]],SiteDB6[[Site Name]:[Location Type]],8,FALSE)</f>
        <v>Village</v>
      </c>
      <c r="CL306" s="699" t="str">
        <f>VLOOKUP(WWWW[[#This Row],[Site Name]],SiteDB6[[Site Name]:[Location Type 1]],9,FALSE)</f>
        <v>Village</v>
      </c>
      <c r="CM306" s="699" t="str">
        <f>VLOOKUP(WWWW[[#This Row],[Site Name]],SiteDB6[[Site Name]:[Type of Accommodation]],10,FALSE)</f>
        <v>Village</v>
      </c>
      <c r="CN306" s="699" t="str">
        <f>VLOOKUP(WWWW[[#This Row],[Site Name]],SiteDB6[[Site Name]:[Ethnic or GCA/NGCA]],11,FALSE)</f>
        <v>Rakhine</v>
      </c>
      <c r="CO306" s="699">
        <f>VLOOKUP(WWWW[[#This Row],[Site Name]],SiteDB6[[Site Name]:[Lat]],12,FALSE)</f>
        <v>20.630609511999999</v>
      </c>
      <c r="CP306" s="699">
        <f>VLOOKUP(WWWW[[#This Row],[Site Name]],SiteDB6[[Site Name]:[Long]],13,FALSE)</f>
        <v>92.998641968000001</v>
      </c>
      <c r="CQ306" s="699" t="str">
        <f>VLOOKUP(WWWW[[#This Row],[Site Name]],SiteDB6[[Site Name]:[Pcode]],3,FALSE)</f>
        <v>196316</v>
      </c>
      <c r="CR306" s="660" t="str">
        <f t="shared" si="6"/>
        <v>Notcovered</v>
      </c>
      <c r="CS306" s="660"/>
      <c r="CT306" s="24"/>
      <c r="CU306" s="24"/>
      <c r="CV306" s="24"/>
    </row>
    <row r="307" spans="1:100" ht="15.75" customHeight="1" x14ac:dyDescent="0.25">
      <c r="A307" s="833" t="s">
        <v>3206</v>
      </c>
      <c r="B307" s="206" t="s">
        <v>460</v>
      </c>
      <c r="C307" s="206" t="s">
        <v>454</v>
      </c>
      <c r="D307" s="206" t="s">
        <v>618</v>
      </c>
      <c r="E307" s="206" t="s">
        <v>681</v>
      </c>
      <c r="F307" s="206">
        <f>ROUND(WWWW[[#This Row],[Total PoP ]]/5,0)</f>
        <v>83</v>
      </c>
      <c r="G307" s="209">
        <v>417</v>
      </c>
      <c r="H307" s="206"/>
      <c r="I307" s="206"/>
      <c r="J307" s="207"/>
      <c r="K307" s="206"/>
      <c r="L307" s="206" t="s">
        <v>282</v>
      </c>
      <c r="M307" s="208">
        <v>0</v>
      </c>
      <c r="N307" s="208">
        <v>0</v>
      </c>
      <c r="O307" s="316">
        <v>0</v>
      </c>
      <c r="P307" s="317"/>
      <c r="Q307" s="317"/>
      <c r="R307" s="318"/>
      <c r="S307" s="318">
        <v>0</v>
      </c>
      <c r="T307" s="318"/>
      <c r="U307" s="318"/>
      <c r="V307" s="318"/>
      <c r="W307" s="318"/>
      <c r="X307" s="318"/>
      <c r="Y307" s="318"/>
      <c r="Z307" s="318"/>
      <c r="AA307" s="310">
        <v>10</v>
      </c>
      <c r="AB307" s="310"/>
      <c r="AC307" s="66"/>
      <c r="AD307" s="66"/>
      <c r="AE307" s="310">
        <v>0</v>
      </c>
      <c r="AF307" s="310" t="s">
        <v>286</v>
      </c>
      <c r="AG307" s="311" t="s">
        <v>286</v>
      </c>
      <c r="AH307" s="311"/>
      <c r="AI307" s="310"/>
      <c r="AJ307" s="310"/>
      <c r="AK307" s="841">
        <v>0</v>
      </c>
      <c r="AL307" s="842"/>
      <c r="AM307" s="842">
        <v>0</v>
      </c>
      <c r="AN307" s="863"/>
      <c r="AO307" s="863">
        <v>0</v>
      </c>
      <c r="AP307" s="843"/>
      <c r="AQ307" s="843"/>
      <c r="AR307" s="843"/>
      <c r="AS307" s="843"/>
      <c r="AT307" s="843"/>
      <c r="AU307" s="843"/>
      <c r="AV307" s="844"/>
      <c r="AW307" s="208" t="str">
        <f>IFERROR(WWWW[[#This Row],['# of Water passed at source]]/WWWW[[#This Row],['# of Water tested at source]],"no test")</f>
        <v>no test</v>
      </c>
      <c r="AX307" s="211" t="str">
        <f>IFERROR(WWWW[[#This Row],['# of Water passed at HH]]/WWWW[[#This Row],['# of Water tested at HH]],"no test")</f>
        <v>no test</v>
      </c>
      <c r="AY307" s="210" t="str">
        <f>IF(AND(WWWW[[#This Row],[%of Water samples which passed at water source]]="no test",WWWW[[#This Row],[%Water samples which passed at HH]]="no test"),"No Test","Tested")</f>
        <v>No Test</v>
      </c>
      <c r="AZ30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0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07" s="211">
        <f>IF(WWWW[[#This Row],[Location Type 1]]="Village",WWWW[[#This Row],[Access to safe drinking water for Village]],WWWW[[#This Row],[Access to safe drinking water for Camp]])</f>
        <v>0</v>
      </c>
      <c r="BC307" s="209">
        <f>WWWW[[#This Row],[%Equitable and continuous access to sufficient quantity of safe drinking water]]*WWWW[[#This Row],[Total PoP ]]</f>
        <v>0</v>
      </c>
      <c r="BD307" s="211">
        <f>IF((WWWW[[#This Row],['# Existing protected/fenced ponds ]]*250)/WWWW[[#This Row],[Total PoP ]]&gt;1,1,WWWW[[#This Row],['# Existing protected/fenced ponds ]]*250/WWWW[[#This Row],[Total PoP ]])</f>
        <v>0</v>
      </c>
      <c r="BE307" s="209">
        <f>WWWW[[#This Row],[Access to unimproved water points]]*WWWW[[#This Row],[Total PoP ]]</f>
        <v>0</v>
      </c>
      <c r="BF30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0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07" s="209">
        <f>WWWW[[#This Row],['#people Equitable and continuous access to sufficient quantity of domestic water borehole n ponds_2]]/500</f>
        <v>0</v>
      </c>
      <c r="BI307" s="208">
        <f>1-WWWW[[#This Row],[%Equitable and continuous access to sufficient quantity of domestic water borehole n ponds]]</f>
        <v>1</v>
      </c>
      <c r="BJ307" s="209">
        <f>WWWW[[#This Row],[%equitable and continuous access to sufficient quantity of safe drinking and domestic water''s GAP]]*WWWW[[#This Row],[Total PoP ]]</f>
        <v>417</v>
      </c>
      <c r="BK307" s="210">
        <f>IF(WWWW[[#This Row],[Total required water points]]-WWWW[[#This Row],['#Water points coverage]]&lt;0,0,WWWW[[#This Row],[Total required water points]]-WWWW[[#This Row],['#Water points coverage]])</f>
        <v>1</v>
      </c>
      <c r="BL307" s="210">
        <f>ROUND(IF(WWWW[[#This Row],[Total PoP ]]&lt;500,1,WWWW[[#This Row],[Total PoP ]]/500),0)</f>
        <v>1</v>
      </c>
      <c r="BM307" s="210">
        <f>WWWW[[#This Row],['# Existing functional latrines]]+WWWW[[#This Row],['# Existing latrines dysfunctional]]</f>
        <v>10</v>
      </c>
      <c r="BN30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0.14388489208633093</v>
      </c>
      <c r="BO307" s="352">
        <f>WWWW[[#This Row],[% people access to functioning Latrine]]*WWWW[[#This Row],[Total PoP ]]</f>
        <v>60</v>
      </c>
      <c r="BP30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0.86330935251798557</v>
      </c>
      <c r="BQ307" s="209">
        <f>IF(WWWW[[#This Row],[Total required Latrines]]-WWWW[[#This Row],[Total '# of latrine]]&lt;0,0,WWWW[[#This Row],[Total required Latrines]]-WWWW[[#This Row],[Total '# of latrine]])</f>
        <v>60</v>
      </c>
      <c r="BR307" s="210">
        <f>ROUND(IF(WWWW[[#This Row],[Location Type 1]]="camp",WWWW[[#This Row],[Total PoP ]]/20,WWWW[[#This Row],[Total PoP ]]/6),0)</f>
        <v>70</v>
      </c>
      <c r="BS307" s="212">
        <f>IF(OR(WWWW[[#This Row],['# Existing latrines dysfunctional]]="",WWWW[[#This Row],['# Existing latrines dysfunctional]]=0),0,WWWW[[#This Row],['# Existing latrines dysfunctional]]/WWWW[[#This Row],[Total '# of latrine]])</f>
        <v>0</v>
      </c>
      <c r="BT30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07" s="209">
        <f>IF(500*WWWW[[#This Row],['# Hygiene Promoters ]]&gt;WWWW[[#This Row],[Total PoP ]],WWWW[[#This Row],[Total PoP ]],500*WWWW[[#This Row],['# Hygiene Promoters ]])</f>
        <v>0</v>
      </c>
      <c r="BV307" s="209">
        <f>IF(WWWW[[#This Row],[% of HH with access to Sanitary Pad]]&gt;=100%,1,0)</f>
        <v>0</v>
      </c>
      <c r="BW307" s="209">
        <f>IF(WWWW[[#This Row],[Total PoP ]]=0,0,IF(WWWW[[#This Row],['# Hygiene Promoters ]]=0,0,IF(WWWW[[#This Row],[Location Type 1]]="Village",IF(WWWW[[#This Row],[Total PoP ]]/WWWW[[#This Row],['# Hygiene Promoters ]]&lt;1000,1,0),IF(WWWW[[#This Row],[Total PoP ]]/WWWW[[#This Row],['# Hygiene Promoters ]]&lt;600,1,0))))</f>
        <v>0</v>
      </c>
      <c r="BX307" s="209">
        <f>IF(WWWW[[#This Row],[%HH with access to soap]]&gt;=100%,1,0)</f>
        <v>0</v>
      </c>
      <c r="BY307" s="209">
        <f>IF(WWWW[[#This Row],[% of HHs with access to Sanitary pad more than '#%]]+WWWW[[#This Row],[Ratio of Hyiene promoters to people less than '#]]+WWWW[[#This Row],[% of HHs with access to soap more than '#%]]&gt;=2,WWWW[[#This Row],[Total PoP ]],0)</f>
        <v>0</v>
      </c>
      <c r="BZ307" s="208">
        <f>WWWW[[#This Row],[People adopt basic personal and community hygiene practices]]/WWWW[[#This Row],[Total PoP ]]</f>
        <v>0</v>
      </c>
      <c r="CA307" s="212">
        <f>1-WWWW[[#This Row],[Hygiene Coverage%]]</f>
        <v>1</v>
      </c>
      <c r="CB307" s="211">
        <f>WWWW[[#This Row],['# people reached by regular dedicated hygiene promotion_5]]/WWWW[[#This Row],[Total PoP ]]</f>
        <v>0</v>
      </c>
      <c r="CC307" s="211">
        <f>IF(WWWW[[#This Row],['# HH received soaps]]/WWWW[[#This Row],[Total HH]]&gt;1,1,WWWW[[#This Row],['# HH received soaps]]/WWWW[[#This Row],[Total HH]])</f>
        <v>0</v>
      </c>
      <c r="CD307" s="211">
        <f>IF(WWWW[[#This Row],['# HH received Sanitary Pads]]/WWWW[[#This Row],[Total HH]]&gt;1,1,WWWW[[#This Row],['# HH received Sanitary Pads]]/WWWW[[#This Row],[Total HH]])</f>
        <v>0</v>
      </c>
      <c r="CE307" s="210">
        <f>WWWW[[#This Row],['# HH received soaps]]*5</f>
        <v>0</v>
      </c>
      <c r="CF307" s="210">
        <f>WWWW[[#This Row],['# HH received Sanitary Pads]]*5</f>
        <v>0</v>
      </c>
      <c r="CG307" s="210">
        <f>IF(WWWW[[#This Row],['# People with access to soap]]&gt;WWWW[[#This Row],['# People with access to Sanity Pads]],WWWW[[#This Row],['# People with access to soap]],WWWW[[#This Row],['# People with access to Sanity Pads]])</f>
        <v>0</v>
      </c>
      <c r="CH307" s="209">
        <f>WWWW[[#This Row],[Total HH]]*WWWW[[#This Row],[%HHs with access to functional hand washing stations]]</f>
        <v>0</v>
      </c>
      <c r="CI307" s="699">
        <f>VLOOKUP(WWWW[[#This Row],[Site Name]],SiteDB6[[Site Name]:[CCCM Management]],6,FALSE)</f>
        <v>0</v>
      </c>
      <c r="CJ307" s="699">
        <f>VLOOKUP(WWWW[[#This Row],[Site Name]],SiteDB6[[Site Name]:[CCCM Focal Agency]],7,FALSE)</f>
        <v>0</v>
      </c>
      <c r="CK307" s="699" t="str">
        <f>VLOOKUP(WWWW[[#This Row],[Site Name]],SiteDB6[[Site Name]:[Location Type]],8,FALSE)</f>
        <v>Village</v>
      </c>
      <c r="CL307" s="699" t="str">
        <f>VLOOKUP(WWWW[[#This Row],[Site Name]],SiteDB6[[Site Name]:[Location Type 1]],9,FALSE)</f>
        <v>Village</v>
      </c>
      <c r="CM307" s="699" t="str">
        <f>VLOOKUP(WWWW[[#This Row],[Site Name]],SiteDB6[[Site Name]:[Type of Accommodation]],10,FALSE)</f>
        <v>Village</v>
      </c>
      <c r="CN307" s="699" t="str">
        <f>VLOOKUP(WWWW[[#This Row],[Site Name]],SiteDB6[[Site Name]:[Ethnic or GCA/NGCA]],11,FALSE)</f>
        <v>Rakhine</v>
      </c>
      <c r="CO307" s="699">
        <f>VLOOKUP(WWWW[[#This Row],[Site Name]],SiteDB6[[Site Name]:[Lat]],12,FALSE)</f>
        <v>20.645240783999999</v>
      </c>
      <c r="CP307" s="699">
        <f>VLOOKUP(WWWW[[#This Row],[Site Name]],SiteDB6[[Site Name]:[Long]],13,FALSE)</f>
        <v>92.939758300999998</v>
      </c>
      <c r="CQ307" s="699" t="str">
        <f>VLOOKUP(WWWW[[#This Row],[Site Name]],SiteDB6[[Site Name]:[Pcode]],3,FALSE)</f>
        <v>196313</v>
      </c>
      <c r="CR307" s="660" t="str">
        <f t="shared" si="6"/>
        <v>Notcovered</v>
      </c>
      <c r="CS307" s="660"/>
      <c r="CT307" s="24"/>
      <c r="CU307" s="24"/>
      <c r="CV307" s="24"/>
    </row>
    <row r="308" spans="1:100" ht="15.75" customHeight="1" x14ac:dyDescent="0.25">
      <c r="A308" s="833" t="s">
        <v>3206</v>
      </c>
      <c r="B308" s="206" t="s">
        <v>460</v>
      </c>
      <c r="C308" s="206" t="s">
        <v>454</v>
      </c>
      <c r="D308" s="206" t="s">
        <v>618</v>
      </c>
      <c r="E308" s="206" t="s">
        <v>647</v>
      </c>
      <c r="F308" s="206">
        <f>ROUND(WWWW[[#This Row],[Total PoP ]]/5,0)</f>
        <v>130</v>
      </c>
      <c r="G308" s="209">
        <v>650</v>
      </c>
      <c r="H308" s="206"/>
      <c r="I308" s="206"/>
      <c r="J308" s="207"/>
      <c r="K308" s="206"/>
      <c r="L308" s="206" t="s">
        <v>282</v>
      </c>
      <c r="M308" s="208">
        <v>0</v>
      </c>
      <c r="N308" s="208">
        <v>0</v>
      </c>
      <c r="O308" s="316">
        <v>0</v>
      </c>
      <c r="P308" s="317"/>
      <c r="Q308" s="317"/>
      <c r="R308" s="318"/>
      <c r="S308" s="318">
        <v>0</v>
      </c>
      <c r="T308" s="318"/>
      <c r="U308" s="318"/>
      <c r="V308" s="318"/>
      <c r="W308" s="318"/>
      <c r="X308" s="318"/>
      <c r="Y308" s="318"/>
      <c r="Z308" s="318"/>
      <c r="AA308" s="310">
        <v>23</v>
      </c>
      <c r="AB308" s="310"/>
      <c r="AC308" s="66"/>
      <c r="AD308" s="66"/>
      <c r="AE308" s="310">
        <v>0</v>
      </c>
      <c r="AF308" s="310" t="s">
        <v>286</v>
      </c>
      <c r="AG308" s="311" t="s">
        <v>286</v>
      </c>
      <c r="AH308" s="311"/>
      <c r="AI308" s="310"/>
      <c r="AJ308" s="310"/>
      <c r="AK308" s="841">
        <v>0</v>
      </c>
      <c r="AL308" s="842"/>
      <c r="AM308" s="842">
        <v>0</v>
      </c>
      <c r="AN308" s="863"/>
      <c r="AO308" s="863">
        <v>0</v>
      </c>
      <c r="AP308" s="843"/>
      <c r="AQ308" s="843"/>
      <c r="AR308" s="843"/>
      <c r="AS308" s="843"/>
      <c r="AT308" s="843"/>
      <c r="AU308" s="843"/>
      <c r="AV308" s="844"/>
      <c r="AW308" s="208" t="str">
        <f>IFERROR(WWWW[[#This Row],['# of Water passed at source]]/WWWW[[#This Row],['# of Water tested at source]],"no test")</f>
        <v>no test</v>
      </c>
      <c r="AX308" s="211" t="str">
        <f>IFERROR(WWWW[[#This Row],['# of Water passed at HH]]/WWWW[[#This Row],['# of Water tested at HH]],"no test")</f>
        <v>no test</v>
      </c>
      <c r="AY308" s="210" t="str">
        <f>IF(AND(WWWW[[#This Row],[%of Water samples which passed at water source]]="no test",WWWW[[#This Row],[%Water samples which passed at HH]]="no test"),"No Test","Tested")</f>
        <v>No Test</v>
      </c>
      <c r="AZ30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0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08" s="211">
        <f>IF(WWWW[[#This Row],[Location Type 1]]="Village",WWWW[[#This Row],[Access to safe drinking water for Village]],WWWW[[#This Row],[Access to safe drinking water for Camp]])</f>
        <v>0</v>
      </c>
      <c r="BC308" s="209">
        <f>WWWW[[#This Row],[%Equitable and continuous access to sufficient quantity of safe drinking water]]*WWWW[[#This Row],[Total PoP ]]</f>
        <v>0</v>
      </c>
      <c r="BD308" s="211">
        <f>IF((WWWW[[#This Row],['# Existing protected/fenced ponds ]]*250)/WWWW[[#This Row],[Total PoP ]]&gt;1,1,WWWW[[#This Row],['# Existing protected/fenced ponds ]]*250/WWWW[[#This Row],[Total PoP ]])</f>
        <v>0</v>
      </c>
      <c r="BE308" s="209">
        <f>WWWW[[#This Row],[Access to unimproved water points]]*WWWW[[#This Row],[Total PoP ]]</f>
        <v>0</v>
      </c>
      <c r="BF30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0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08" s="209">
        <f>WWWW[[#This Row],['#people Equitable and continuous access to sufficient quantity of domestic water borehole n ponds_2]]/500</f>
        <v>0</v>
      </c>
      <c r="BI308" s="208">
        <f>1-WWWW[[#This Row],[%Equitable and continuous access to sufficient quantity of domestic water borehole n ponds]]</f>
        <v>1</v>
      </c>
      <c r="BJ308" s="209">
        <f>WWWW[[#This Row],[%equitable and continuous access to sufficient quantity of safe drinking and domestic water''s GAP]]*WWWW[[#This Row],[Total PoP ]]</f>
        <v>650</v>
      </c>
      <c r="BK308" s="210">
        <f>IF(WWWW[[#This Row],[Total required water points]]-WWWW[[#This Row],['#Water points coverage]]&lt;0,0,WWWW[[#This Row],[Total required water points]]-WWWW[[#This Row],['#Water points coverage]])</f>
        <v>1</v>
      </c>
      <c r="BL308" s="210">
        <f>ROUND(IF(WWWW[[#This Row],[Total PoP ]]&lt;500,1,WWWW[[#This Row],[Total PoP ]]/500),0)</f>
        <v>1</v>
      </c>
      <c r="BM308" s="210">
        <f>WWWW[[#This Row],['# Existing functional latrines]]+WWWW[[#This Row],['# Existing latrines dysfunctional]]</f>
        <v>23</v>
      </c>
      <c r="BN30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0.21230769230769231</v>
      </c>
      <c r="BO308" s="352">
        <f>WWWW[[#This Row],[% people access to functioning Latrine]]*WWWW[[#This Row],[Total PoP ]]</f>
        <v>138</v>
      </c>
      <c r="BP30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0.7846153846153846</v>
      </c>
      <c r="BQ308" s="209">
        <f>IF(WWWW[[#This Row],[Total required Latrines]]-WWWW[[#This Row],[Total '# of latrine]]&lt;0,0,WWWW[[#This Row],[Total required Latrines]]-WWWW[[#This Row],[Total '# of latrine]])</f>
        <v>85</v>
      </c>
      <c r="BR308" s="210">
        <f>ROUND(IF(WWWW[[#This Row],[Location Type 1]]="camp",WWWW[[#This Row],[Total PoP ]]/20,WWWW[[#This Row],[Total PoP ]]/6),0)</f>
        <v>108</v>
      </c>
      <c r="BS308" s="212">
        <f>IF(OR(WWWW[[#This Row],['# Existing latrines dysfunctional]]="",WWWW[[#This Row],['# Existing latrines dysfunctional]]=0),0,WWWW[[#This Row],['# Existing latrines dysfunctional]]/WWWW[[#This Row],[Total '# of latrine]])</f>
        <v>0</v>
      </c>
      <c r="BT30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08" s="209">
        <f>IF(500*WWWW[[#This Row],['# Hygiene Promoters ]]&gt;WWWW[[#This Row],[Total PoP ]],WWWW[[#This Row],[Total PoP ]],500*WWWW[[#This Row],['# Hygiene Promoters ]])</f>
        <v>0</v>
      </c>
      <c r="BV308" s="209">
        <f>IF(WWWW[[#This Row],[% of HH with access to Sanitary Pad]]&gt;=100%,1,0)</f>
        <v>0</v>
      </c>
      <c r="BW308" s="209">
        <f>IF(WWWW[[#This Row],[Total PoP ]]=0,0,IF(WWWW[[#This Row],['# Hygiene Promoters ]]=0,0,IF(WWWW[[#This Row],[Location Type 1]]="Village",IF(WWWW[[#This Row],[Total PoP ]]/WWWW[[#This Row],['# Hygiene Promoters ]]&lt;1000,1,0),IF(WWWW[[#This Row],[Total PoP ]]/WWWW[[#This Row],['# Hygiene Promoters ]]&lt;600,1,0))))</f>
        <v>0</v>
      </c>
      <c r="BX308" s="209">
        <f>IF(WWWW[[#This Row],[%HH with access to soap]]&gt;=100%,1,0)</f>
        <v>0</v>
      </c>
      <c r="BY308" s="209">
        <f>IF(WWWW[[#This Row],[% of HHs with access to Sanitary pad more than '#%]]+WWWW[[#This Row],[Ratio of Hyiene promoters to people less than '#]]+WWWW[[#This Row],[% of HHs with access to soap more than '#%]]&gt;=2,WWWW[[#This Row],[Total PoP ]],0)</f>
        <v>0</v>
      </c>
      <c r="BZ308" s="208">
        <f>WWWW[[#This Row],[People adopt basic personal and community hygiene practices]]/WWWW[[#This Row],[Total PoP ]]</f>
        <v>0</v>
      </c>
      <c r="CA308" s="212">
        <f>1-WWWW[[#This Row],[Hygiene Coverage%]]</f>
        <v>1</v>
      </c>
      <c r="CB308" s="211">
        <f>WWWW[[#This Row],['# people reached by regular dedicated hygiene promotion_5]]/WWWW[[#This Row],[Total PoP ]]</f>
        <v>0</v>
      </c>
      <c r="CC308" s="211">
        <f>IF(WWWW[[#This Row],['# HH received soaps]]/WWWW[[#This Row],[Total HH]]&gt;1,1,WWWW[[#This Row],['# HH received soaps]]/WWWW[[#This Row],[Total HH]])</f>
        <v>0</v>
      </c>
      <c r="CD308" s="211">
        <f>IF(WWWW[[#This Row],['# HH received Sanitary Pads]]/WWWW[[#This Row],[Total HH]]&gt;1,1,WWWW[[#This Row],['# HH received Sanitary Pads]]/WWWW[[#This Row],[Total HH]])</f>
        <v>0</v>
      </c>
      <c r="CE308" s="210">
        <f>WWWW[[#This Row],['# HH received soaps]]*5</f>
        <v>0</v>
      </c>
      <c r="CF308" s="210">
        <f>WWWW[[#This Row],['# HH received Sanitary Pads]]*5</f>
        <v>0</v>
      </c>
      <c r="CG308" s="210">
        <f>IF(WWWW[[#This Row],['# People with access to soap]]&gt;WWWW[[#This Row],['# People with access to Sanity Pads]],WWWW[[#This Row],['# People with access to soap]],WWWW[[#This Row],['# People with access to Sanity Pads]])</f>
        <v>0</v>
      </c>
      <c r="CH308" s="209">
        <f>WWWW[[#This Row],[Total HH]]*WWWW[[#This Row],[%HHs with access to functional hand washing stations]]</f>
        <v>0</v>
      </c>
      <c r="CI308" s="699">
        <f>VLOOKUP(WWWW[[#This Row],[Site Name]],SiteDB6[[Site Name]:[CCCM Management]],6,FALSE)</f>
        <v>0</v>
      </c>
      <c r="CJ308" s="699">
        <f>VLOOKUP(WWWW[[#This Row],[Site Name]],SiteDB6[[Site Name]:[CCCM Focal Agency]],7,FALSE)</f>
        <v>0</v>
      </c>
      <c r="CK308" s="699" t="str">
        <f>VLOOKUP(WWWW[[#This Row],[Site Name]],SiteDB6[[Site Name]:[Location Type]],8,FALSE)</f>
        <v>Village</v>
      </c>
      <c r="CL308" s="699" t="str">
        <f>VLOOKUP(WWWW[[#This Row],[Site Name]],SiteDB6[[Site Name]:[Location Type 1]],9,FALSE)</f>
        <v>Village</v>
      </c>
      <c r="CM308" s="699" t="str">
        <f>VLOOKUP(WWWW[[#This Row],[Site Name]],SiteDB6[[Site Name]:[Type of Accommodation]],10,FALSE)</f>
        <v>Village</v>
      </c>
      <c r="CN308" s="699" t="str">
        <f>VLOOKUP(WWWW[[#This Row],[Site Name]],SiteDB6[[Site Name]:[Ethnic or GCA/NGCA]],11,FALSE)</f>
        <v>Rakhine</v>
      </c>
      <c r="CO308" s="699">
        <f>VLOOKUP(WWWW[[#This Row],[Site Name]],SiteDB6[[Site Name]:[Lat]],12,FALSE)</f>
        <v>20.482030868999999</v>
      </c>
      <c r="CP308" s="699">
        <f>VLOOKUP(WWWW[[#This Row],[Site Name]],SiteDB6[[Site Name]:[Long]],13,FALSE)</f>
        <v>93.045410156000003</v>
      </c>
      <c r="CQ308" s="699" t="str">
        <f>VLOOKUP(WWWW[[#This Row],[Site Name]],SiteDB6[[Site Name]:[Pcode]],3,FALSE)</f>
        <v>196349</v>
      </c>
      <c r="CR308" s="660" t="str">
        <f t="shared" ref="CR308:CR339" si="7">IF(B308="none","Notcovered","Covered")</f>
        <v>Notcovered</v>
      </c>
      <c r="CS308" s="660"/>
      <c r="CT308" s="24"/>
      <c r="CU308" s="24"/>
      <c r="CV308" s="24"/>
    </row>
    <row r="309" spans="1:100" ht="15.75" customHeight="1" x14ac:dyDescent="0.25">
      <c r="A309" s="833" t="s">
        <v>3206</v>
      </c>
      <c r="B309" s="206" t="s">
        <v>460</v>
      </c>
      <c r="C309" s="206" t="s">
        <v>454</v>
      </c>
      <c r="D309" s="206" t="s">
        <v>618</v>
      </c>
      <c r="E309" s="206" t="s">
        <v>676</v>
      </c>
      <c r="F309" s="206">
        <f>ROUND(WWWW[[#This Row],[Total PoP ]]/5,0)</f>
        <v>82</v>
      </c>
      <c r="G309" s="209">
        <v>408</v>
      </c>
      <c r="H309" s="206"/>
      <c r="I309" s="206"/>
      <c r="J309" s="207"/>
      <c r="K309" s="206"/>
      <c r="L309" s="206" t="s">
        <v>282</v>
      </c>
      <c r="M309" s="208">
        <v>0</v>
      </c>
      <c r="N309" s="208">
        <v>0</v>
      </c>
      <c r="O309" s="323">
        <v>0</v>
      </c>
      <c r="P309" s="317"/>
      <c r="Q309" s="317"/>
      <c r="R309" s="318"/>
      <c r="S309" s="318">
        <v>0</v>
      </c>
      <c r="T309" s="318"/>
      <c r="U309" s="318"/>
      <c r="V309" s="318"/>
      <c r="W309" s="318"/>
      <c r="X309" s="318"/>
      <c r="Y309" s="318"/>
      <c r="Z309" s="318"/>
      <c r="AA309" s="310">
        <v>0</v>
      </c>
      <c r="AB309" s="310"/>
      <c r="AC309" s="310"/>
      <c r="AD309" s="66"/>
      <c r="AE309" s="310">
        <v>0</v>
      </c>
      <c r="AF309" s="310" t="s">
        <v>286</v>
      </c>
      <c r="AG309" s="311" t="s">
        <v>286</v>
      </c>
      <c r="AH309" s="66"/>
      <c r="AI309" s="66"/>
      <c r="AJ309" s="310"/>
      <c r="AK309" s="841">
        <v>0</v>
      </c>
      <c r="AL309" s="842"/>
      <c r="AM309" s="842">
        <v>0</v>
      </c>
      <c r="AN309" s="863"/>
      <c r="AO309" s="863">
        <v>0</v>
      </c>
      <c r="AP309" s="843"/>
      <c r="AQ309" s="843"/>
      <c r="AR309" s="843"/>
      <c r="AS309" s="843"/>
      <c r="AT309" s="843"/>
      <c r="AU309" s="843"/>
      <c r="AV309" s="844"/>
      <c r="AW309" s="208" t="str">
        <f>IFERROR(WWWW[[#This Row],['# of Water passed at source]]/WWWW[[#This Row],['# of Water tested at source]],"no test")</f>
        <v>no test</v>
      </c>
      <c r="AX309" s="211" t="str">
        <f>IFERROR(WWWW[[#This Row],['# of Water passed at HH]]/WWWW[[#This Row],['# of Water tested at HH]],"no test")</f>
        <v>no test</v>
      </c>
      <c r="AY309" s="210" t="str">
        <f>IF(AND(WWWW[[#This Row],[%of Water samples which passed at water source]]="no test",WWWW[[#This Row],[%Water samples which passed at HH]]="no test"),"No Test","Tested")</f>
        <v>No Test</v>
      </c>
      <c r="AZ30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0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09" s="211">
        <f>IF(WWWW[[#This Row],[Location Type 1]]="Village",WWWW[[#This Row],[Access to safe drinking water for Village]],WWWW[[#This Row],[Access to safe drinking water for Camp]])</f>
        <v>0</v>
      </c>
      <c r="BC309" s="209">
        <f>WWWW[[#This Row],[%Equitable and continuous access to sufficient quantity of safe drinking water]]*WWWW[[#This Row],[Total PoP ]]</f>
        <v>0</v>
      </c>
      <c r="BD309" s="211">
        <f>IF((WWWW[[#This Row],['# Existing protected/fenced ponds ]]*250)/WWWW[[#This Row],[Total PoP ]]&gt;1,1,WWWW[[#This Row],['# Existing protected/fenced ponds ]]*250/WWWW[[#This Row],[Total PoP ]])</f>
        <v>0</v>
      </c>
      <c r="BE309" s="209">
        <f>WWWW[[#This Row],[Access to unimproved water points]]*WWWW[[#This Row],[Total PoP ]]</f>
        <v>0</v>
      </c>
      <c r="BF30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0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09" s="209">
        <f>WWWW[[#This Row],['#people Equitable and continuous access to sufficient quantity of domestic water borehole n ponds_2]]/500</f>
        <v>0</v>
      </c>
      <c r="BI309" s="208">
        <f>1-WWWW[[#This Row],[%Equitable and continuous access to sufficient quantity of domestic water borehole n ponds]]</f>
        <v>1</v>
      </c>
      <c r="BJ309" s="209">
        <f>WWWW[[#This Row],[%equitable and continuous access to sufficient quantity of safe drinking and domestic water''s GAP]]*WWWW[[#This Row],[Total PoP ]]</f>
        <v>408</v>
      </c>
      <c r="BK309" s="210">
        <f>IF(WWWW[[#This Row],[Total required water points]]-WWWW[[#This Row],['#Water points coverage]]&lt;0,0,WWWW[[#This Row],[Total required water points]]-WWWW[[#This Row],['#Water points coverage]])</f>
        <v>1</v>
      </c>
      <c r="BL309" s="210">
        <f>ROUND(IF(WWWW[[#This Row],[Total PoP ]]&lt;500,1,WWWW[[#This Row],[Total PoP ]]/500),0)</f>
        <v>1</v>
      </c>
      <c r="BM309" s="210">
        <f>WWWW[[#This Row],['# Existing functional latrines]]+WWWW[[#This Row],['# Existing latrines dysfunctional]]</f>
        <v>0</v>
      </c>
      <c r="BN30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09" s="352">
        <f>WWWW[[#This Row],[% people access to functioning Latrine]]*WWWW[[#This Row],[Total PoP ]]</f>
        <v>0</v>
      </c>
      <c r="BP30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09" s="209">
        <f>IF(WWWW[[#This Row],[Total required Latrines]]-WWWW[[#This Row],[Total '# of latrine]]&lt;0,0,WWWW[[#This Row],[Total required Latrines]]-WWWW[[#This Row],[Total '# of latrine]])</f>
        <v>68</v>
      </c>
      <c r="BR309" s="210">
        <f>ROUND(IF(WWWW[[#This Row],[Location Type 1]]="camp",WWWW[[#This Row],[Total PoP ]]/20,WWWW[[#This Row],[Total PoP ]]/6),0)</f>
        <v>68</v>
      </c>
      <c r="BS309" s="212">
        <f>IF(OR(WWWW[[#This Row],['# Existing latrines dysfunctional]]="",WWWW[[#This Row],['# Existing latrines dysfunctional]]=0),0,WWWW[[#This Row],['# Existing latrines dysfunctional]]/WWWW[[#This Row],[Total '# of latrine]])</f>
        <v>0</v>
      </c>
      <c r="BT30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09" s="209">
        <f>IF(500*WWWW[[#This Row],['# Hygiene Promoters ]]&gt;WWWW[[#This Row],[Total PoP ]],WWWW[[#This Row],[Total PoP ]],500*WWWW[[#This Row],['# Hygiene Promoters ]])</f>
        <v>0</v>
      </c>
      <c r="BV309" s="209">
        <f>IF(WWWW[[#This Row],[% of HH with access to Sanitary Pad]]&gt;=100%,1,0)</f>
        <v>0</v>
      </c>
      <c r="BW309" s="209">
        <f>IF(WWWW[[#This Row],[Total PoP ]]=0,0,IF(WWWW[[#This Row],['# Hygiene Promoters ]]=0,0,IF(WWWW[[#This Row],[Location Type 1]]="Village",IF(WWWW[[#This Row],[Total PoP ]]/WWWW[[#This Row],['# Hygiene Promoters ]]&lt;1000,1,0),IF(WWWW[[#This Row],[Total PoP ]]/WWWW[[#This Row],['# Hygiene Promoters ]]&lt;600,1,0))))</f>
        <v>0</v>
      </c>
      <c r="BX309" s="209">
        <f>IF(WWWW[[#This Row],[%HH with access to soap]]&gt;=100%,1,0)</f>
        <v>0</v>
      </c>
      <c r="BY309" s="209">
        <f>IF(WWWW[[#This Row],[% of HHs with access to Sanitary pad more than '#%]]+WWWW[[#This Row],[Ratio of Hyiene promoters to people less than '#]]+WWWW[[#This Row],[% of HHs with access to soap more than '#%]]&gt;=2,WWWW[[#This Row],[Total PoP ]],0)</f>
        <v>0</v>
      </c>
      <c r="BZ309" s="208">
        <f>WWWW[[#This Row],[People adopt basic personal and community hygiene practices]]/WWWW[[#This Row],[Total PoP ]]</f>
        <v>0</v>
      </c>
      <c r="CA309" s="212">
        <f>1-WWWW[[#This Row],[Hygiene Coverage%]]</f>
        <v>1</v>
      </c>
      <c r="CB309" s="211">
        <f>WWWW[[#This Row],['# people reached by regular dedicated hygiene promotion_5]]/WWWW[[#This Row],[Total PoP ]]</f>
        <v>0</v>
      </c>
      <c r="CC309" s="211">
        <f>IF(WWWW[[#This Row],['# HH received soaps]]/WWWW[[#This Row],[Total HH]]&gt;1,1,WWWW[[#This Row],['# HH received soaps]]/WWWW[[#This Row],[Total HH]])</f>
        <v>0</v>
      </c>
      <c r="CD309" s="211">
        <f>IF(WWWW[[#This Row],['# HH received Sanitary Pads]]/WWWW[[#This Row],[Total HH]]&gt;1,1,WWWW[[#This Row],['# HH received Sanitary Pads]]/WWWW[[#This Row],[Total HH]])</f>
        <v>0</v>
      </c>
      <c r="CE309" s="210">
        <f>WWWW[[#This Row],['# HH received soaps]]*5</f>
        <v>0</v>
      </c>
      <c r="CF309" s="210">
        <f>WWWW[[#This Row],['# HH received Sanitary Pads]]*5</f>
        <v>0</v>
      </c>
      <c r="CG309" s="210">
        <f>IF(WWWW[[#This Row],['# People with access to soap]]&gt;WWWW[[#This Row],['# People with access to Sanity Pads]],WWWW[[#This Row],['# People with access to soap]],WWWW[[#This Row],['# People with access to Sanity Pads]])</f>
        <v>0</v>
      </c>
      <c r="CH309" s="209">
        <f>WWWW[[#This Row],[Total HH]]*WWWW[[#This Row],[%HHs with access to functional hand washing stations]]</f>
        <v>0</v>
      </c>
      <c r="CI309" s="699">
        <f>VLOOKUP(WWWW[[#This Row],[Site Name]],SiteDB6[[Site Name]:[CCCM Management]],6,FALSE)</f>
        <v>0</v>
      </c>
      <c r="CJ309" s="699">
        <f>VLOOKUP(WWWW[[#This Row],[Site Name]],SiteDB6[[Site Name]:[CCCM Focal Agency]],7,FALSE)</f>
        <v>0</v>
      </c>
      <c r="CK309" s="699" t="str">
        <f>VLOOKUP(WWWW[[#This Row],[Site Name]],SiteDB6[[Site Name]:[Location Type]],8,FALSE)</f>
        <v>Village</v>
      </c>
      <c r="CL309" s="699" t="str">
        <f>VLOOKUP(WWWW[[#This Row],[Site Name]],SiteDB6[[Site Name]:[Location Type 1]],9,FALSE)</f>
        <v>Village</v>
      </c>
      <c r="CM309" s="699" t="str">
        <f>VLOOKUP(WWWW[[#This Row],[Site Name]],SiteDB6[[Site Name]:[Type of Accommodation]],10,FALSE)</f>
        <v>Village</v>
      </c>
      <c r="CN309" s="699" t="str">
        <f>VLOOKUP(WWWW[[#This Row],[Site Name]],SiteDB6[[Site Name]:[Ethnic or GCA/NGCA]],11,FALSE)</f>
        <v>Rakhine</v>
      </c>
      <c r="CO309" s="699">
        <f>VLOOKUP(WWWW[[#This Row],[Site Name]],SiteDB6[[Site Name]:[Lat]],12,FALSE)</f>
        <v>20.632720946999999</v>
      </c>
      <c r="CP309" s="699">
        <f>VLOOKUP(WWWW[[#This Row],[Site Name]],SiteDB6[[Site Name]:[Long]],13,FALSE)</f>
        <v>92.940132141000007</v>
      </c>
      <c r="CQ309" s="699" t="str">
        <f>VLOOKUP(WWWW[[#This Row],[Site Name]],SiteDB6[[Site Name]:[Pcode]],3,FALSE)</f>
        <v>196312</v>
      </c>
      <c r="CR309" s="660" t="str">
        <f t="shared" si="7"/>
        <v>Notcovered</v>
      </c>
      <c r="CS309" s="699"/>
      <c r="CT309" s="24"/>
      <c r="CU309" s="24"/>
      <c r="CV309" s="24"/>
    </row>
    <row r="310" spans="1:100" ht="15.75" customHeight="1" x14ac:dyDescent="0.25">
      <c r="A310" s="833" t="s">
        <v>3206</v>
      </c>
      <c r="B310" s="206" t="s">
        <v>460</v>
      </c>
      <c r="C310" s="206" t="s">
        <v>454</v>
      </c>
      <c r="D310" s="206" t="s">
        <v>618</v>
      </c>
      <c r="E310" s="206" t="s">
        <v>673</v>
      </c>
      <c r="F310" s="206">
        <f>ROUND(WWWW[[#This Row],[Total PoP ]]/5,0)</f>
        <v>246</v>
      </c>
      <c r="G310" s="209">
        <v>1232</v>
      </c>
      <c r="H310" s="206"/>
      <c r="I310" s="206"/>
      <c r="J310" s="207"/>
      <c r="K310" s="206"/>
      <c r="L310" s="206" t="s">
        <v>282</v>
      </c>
      <c r="M310" s="208">
        <v>0</v>
      </c>
      <c r="N310" s="208">
        <v>0</v>
      </c>
      <c r="O310" s="316">
        <v>0</v>
      </c>
      <c r="P310" s="317"/>
      <c r="Q310" s="317"/>
      <c r="R310" s="318"/>
      <c r="S310" s="318">
        <v>0</v>
      </c>
      <c r="T310" s="318"/>
      <c r="U310" s="318"/>
      <c r="V310" s="318"/>
      <c r="W310" s="318"/>
      <c r="X310" s="318"/>
      <c r="Y310" s="318"/>
      <c r="Z310" s="318"/>
      <c r="AA310" s="310">
        <v>42</v>
      </c>
      <c r="AB310" s="310"/>
      <c r="AC310" s="66"/>
      <c r="AD310" s="66"/>
      <c r="AE310" s="310">
        <v>0</v>
      </c>
      <c r="AF310" s="310" t="s">
        <v>286</v>
      </c>
      <c r="AG310" s="311" t="s">
        <v>286</v>
      </c>
      <c r="AH310" s="311"/>
      <c r="AI310" s="310"/>
      <c r="AJ310" s="310"/>
      <c r="AK310" s="841">
        <v>0</v>
      </c>
      <c r="AL310" s="842"/>
      <c r="AM310" s="842">
        <v>0</v>
      </c>
      <c r="AN310" s="863"/>
      <c r="AO310" s="863">
        <v>0</v>
      </c>
      <c r="AP310" s="843"/>
      <c r="AQ310" s="843"/>
      <c r="AR310" s="843"/>
      <c r="AS310" s="843"/>
      <c r="AT310" s="843"/>
      <c r="AU310" s="843"/>
      <c r="AV310" s="844"/>
      <c r="AW310" s="208" t="str">
        <f>IFERROR(WWWW[[#This Row],['# of Water passed at source]]/WWWW[[#This Row],['# of Water tested at source]],"no test")</f>
        <v>no test</v>
      </c>
      <c r="AX310" s="211" t="str">
        <f>IFERROR(WWWW[[#This Row],['# of Water passed at HH]]/WWWW[[#This Row],['# of Water tested at HH]],"no test")</f>
        <v>no test</v>
      </c>
      <c r="AY310" s="210" t="str">
        <f>IF(AND(WWWW[[#This Row],[%of Water samples which passed at water source]]="no test",WWWW[[#This Row],[%Water samples which passed at HH]]="no test"),"No Test","Tested")</f>
        <v>No Test</v>
      </c>
      <c r="AZ31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1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10" s="211">
        <f>IF(WWWW[[#This Row],[Location Type 1]]="Village",WWWW[[#This Row],[Access to safe drinking water for Village]],WWWW[[#This Row],[Access to safe drinking water for Camp]])</f>
        <v>0</v>
      </c>
      <c r="BC310" s="209">
        <f>WWWW[[#This Row],[%Equitable and continuous access to sufficient quantity of safe drinking water]]*WWWW[[#This Row],[Total PoP ]]</f>
        <v>0</v>
      </c>
      <c r="BD310" s="211">
        <f>IF((WWWW[[#This Row],['# Existing protected/fenced ponds ]]*250)/WWWW[[#This Row],[Total PoP ]]&gt;1,1,WWWW[[#This Row],['# Existing protected/fenced ponds ]]*250/WWWW[[#This Row],[Total PoP ]])</f>
        <v>0</v>
      </c>
      <c r="BE310" s="209">
        <f>WWWW[[#This Row],[Access to unimproved water points]]*WWWW[[#This Row],[Total PoP ]]</f>
        <v>0</v>
      </c>
      <c r="BF31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1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10" s="209">
        <f>WWWW[[#This Row],['#people Equitable and continuous access to sufficient quantity of domestic water borehole n ponds_2]]/500</f>
        <v>0</v>
      </c>
      <c r="BI310" s="208">
        <f>1-WWWW[[#This Row],[%Equitable and continuous access to sufficient quantity of domestic water borehole n ponds]]</f>
        <v>1</v>
      </c>
      <c r="BJ310" s="209">
        <f>WWWW[[#This Row],[%equitable and continuous access to sufficient quantity of safe drinking and domestic water''s GAP]]*WWWW[[#This Row],[Total PoP ]]</f>
        <v>1232</v>
      </c>
      <c r="BK310" s="210">
        <f>IF(WWWW[[#This Row],[Total required water points]]-WWWW[[#This Row],['#Water points coverage]]&lt;0,0,WWWW[[#This Row],[Total required water points]]-WWWW[[#This Row],['#Water points coverage]])</f>
        <v>2</v>
      </c>
      <c r="BL310" s="210">
        <f>ROUND(IF(WWWW[[#This Row],[Total PoP ]]&lt;500,1,WWWW[[#This Row],[Total PoP ]]/500),0)</f>
        <v>2</v>
      </c>
      <c r="BM310" s="210">
        <f>WWWW[[#This Row],['# Existing functional latrines]]+WWWW[[#This Row],['# Existing latrines dysfunctional]]</f>
        <v>42</v>
      </c>
      <c r="BN31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0.20454545454545456</v>
      </c>
      <c r="BO310" s="352">
        <f>WWWW[[#This Row],[% people access to functioning Latrine]]*WWWW[[#This Row],[Total PoP ]]</f>
        <v>252.00000000000003</v>
      </c>
      <c r="BP31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0.79383116883116878</v>
      </c>
      <c r="BQ310" s="209">
        <f>IF(WWWW[[#This Row],[Total required Latrines]]-WWWW[[#This Row],[Total '# of latrine]]&lt;0,0,WWWW[[#This Row],[Total required Latrines]]-WWWW[[#This Row],[Total '# of latrine]])</f>
        <v>163</v>
      </c>
      <c r="BR310" s="210">
        <f>ROUND(IF(WWWW[[#This Row],[Location Type 1]]="camp",WWWW[[#This Row],[Total PoP ]]/20,WWWW[[#This Row],[Total PoP ]]/6),0)</f>
        <v>205</v>
      </c>
      <c r="BS310" s="212">
        <f>IF(OR(WWWW[[#This Row],['# Existing latrines dysfunctional]]="",WWWW[[#This Row],['# Existing latrines dysfunctional]]=0),0,WWWW[[#This Row],['# Existing latrines dysfunctional]]/WWWW[[#This Row],[Total '# of latrine]])</f>
        <v>0</v>
      </c>
      <c r="BT31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0" s="209">
        <f>IF(500*WWWW[[#This Row],['# Hygiene Promoters ]]&gt;WWWW[[#This Row],[Total PoP ]],WWWW[[#This Row],[Total PoP ]],500*WWWW[[#This Row],['# Hygiene Promoters ]])</f>
        <v>0</v>
      </c>
      <c r="BV310" s="209">
        <f>IF(WWWW[[#This Row],[% of HH with access to Sanitary Pad]]&gt;=100%,1,0)</f>
        <v>0</v>
      </c>
      <c r="BW310" s="209">
        <f>IF(WWWW[[#This Row],[Total PoP ]]=0,0,IF(WWWW[[#This Row],['# Hygiene Promoters ]]=0,0,IF(WWWW[[#This Row],[Location Type 1]]="Village",IF(WWWW[[#This Row],[Total PoP ]]/WWWW[[#This Row],['# Hygiene Promoters ]]&lt;1000,1,0),IF(WWWW[[#This Row],[Total PoP ]]/WWWW[[#This Row],['# Hygiene Promoters ]]&lt;600,1,0))))</f>
        <v>0</v>
      </c>
      <c r="BX310" s="209">
        <f>IF(WWWW[[#This Row],[%HH with access to soap]]&gt;=100%,1,0)</f>
        <v>0</v>
      </c>
      <c r="BY310" s="209">
        <f>IF(WWWW[[#This Row],[% of HHs with access to Sanitary pad more than '#%]]+WWWW[[#This Row],[Ratio of Hyiene promoters to people less than '#]]+WWWW[[#This Row],[% of HHs with access to soap more than '#%]]&gt;=2,WWWW[[#This Row],[Total PoP ]],0)</f>
        <v>0</v>
      </c>
      <c r="BZ310" s="208">
        <f>WWWW[[#This Row],[People adopt basic personal and community hygiene practices]]/WWWW[[#This Row],[Total PoP ]]</f>
        <v>0</v>
      </c>
      <c r="CA310" s="212">
        <f>1-WWWW[[#This Row],[Hygiene Coverage%]]</f>
        <v>1</v>
      </c>
      <c r="CB310" s="211">
        <f>WWWW[[#This Row],['# people reached by regular dedicated hygiene promotion_5]]/WWWW[[#This Row],[Total PoP ]]</f>
        <v>0</v>
      </c>
      <c r="CC310" s="211">
        <f>IF(WWWW[[#This Row],['# HH received soaps]]/WWWW[[#This Row],[Total HH]]&gt;1,1,WWWW[[#This Row],['# HH received soaps]]/WWWW[[#This Row],[Total HH]])</f>
        <v>0</v>
      </c>
      <c r="CD310" s="211">
        <f>IF(WWWW[[#This Row],['# HH received Sanitary Pads]]/WWWW[[#This Row],[Total HH]]&gt;1,1,WWWW[[#This Row],['# HH received Sanitary Pads]]/WWWW[[#This Row],[Total HH]])</f>
        <v>0</v>
      </c>
      <c r="CE310" s="210">
        <f>WWWW[[#This Row],['# HH received soaps]]*5</f>
        <v>0</v>
      </c>
      <c r="CF310" s="210">
        <f>WWWW[[#This Row],['# HH received Sanitary Pads]]*5</f>
        <v>0</v>
      </c>
      <c r="CG310" s="210">
        <f>IF(WWWW[[#This Row],['# People with access to soap]]&gt;WWWW[[#This Row],['# People with access to Sanity Pads]],WWWW[[#This Row],['# People with access to soap]],WWWW[[#This Row],['# People with access to Sanity Pads]])</f>
        <v>0</v>
      </c>
      <c r="CH310" s="209">
        <f>WWWW[[#This Row],[Total HH]]*WWWW[[#This Row],[%HHs with access to functional hand washing stations]]</f>
        <v>0</v>
      </c>
      <c r="CI310" s="699">
        <f>VLOOKUP(WWWW[[#This Row],[Site Name]],SiteDB6[[Site Name]:[CCCM Management]],6,FALSE)</f>
        <v>0</v>
      </c>
      <c r="CJ310" s="699">
        <f>VLOOKUP(WWWW[[#This Row],[Site Name]],SiteDB6[[Site Name]:[CCCM Focal Agency]],7,FALSE)</f>
        <v>0</v>
      </c>
      <c r="CK310" s="699" t="str">
        <f>VLOOKUP(WWWW[[#This Row],[Site Name]],SiteDB6[[Site Name]:[Location Type]],8,FALSE)</f>
        <v>Village</v>
      </c>
      <c r="CL310" s="699" t="str">
        <f>VLOOKUP(WWWW[[#This Row],[Site Name]],SiteDB6[[Site Name]:[Location Type 1]],9,FALSE)</f>
        <v>Village</v>
      </c>
      <c r="CM310" s="699" t="str">
        <f>VLOOKUP(WWWW[[#This Row],[Site Name]],SiteDB6[[Site Name]:[Type of Accommodation]],10,FALSE)</f>
        <v>Village</v>
      </c>
      <c r="CN310" s="699" t="str">
        <f>VLOOKUP(WWWW[[#This Row],[Site Name]],SiteDB6[[Site Name]:[Ethnic or GCA/NGCA]],11,FALSE)</f>
        <v>Rakhine</v>
      </c>
      <c r="CO310" s="699">
        <f>VLOOKUP(WWWW[[#This Row],[Site Name]],SiteDB6[[Site Name]:[Lat]],12,FALSE)</f>
        <v>20.596279144</v>
      </c>
      <c r="CP310" s="699">
        <f>VLOOKUP(WWWW[[#This Row],[Site Name]],SiteDB6[[Site Name]:[Long]],13,FALSE)</f>
        <v>92.987480164000004</v>
      </c>
      <c r="CQ310" s="699" t="str">
        <f>VLOOKUP(WWWW[[#This Row],[Site Name]],SiteDB6[[Site Name]:[Pcode]],3,FALSE)</f>
        <v>196321</v>
      </c>
      <c r="CR310" s="660" t="str">
        <f t="shared" si="7"/>
        <v>Notcovered</v>
      </c>
      <c r="CS310" s="660"/>
      <c r="CT310" s="24"/>
      <c r="CU310" s="24"/>
      <c r="CV310" s="24"/>
    </row>
    <row r="311" spans="1:100" ht="15.75" customHeight="1" x14ac:dyDescent="0.25">
      <c r="A311" s="833" t="s">
        <v>3206</v>
      </c>
      <c r="B311" s="206" t="s">
        <v>460</v>
      </c>
      <c r="C311" s="206" t="s">
        <v>454</v>
      </c>
      <c r="D311" s="206" t="s">
        <v>618</v>
      </c>
      <c r="E311" s="206" t="s">
        <v>619</v>
      </c>
      <c r="F311" s="206">
        <f>ROUND(WWWW[[#This Row],[Total PoP ]]/5,0)</f>
        <v>362</v>
      </c>
      <c r="G311" s="209">
        <v>1811</v>
      </c>
      <c r="H311" s="206"/>
      <c r="I311" s="206"/>
      <c r="J311" s="207"/>
      <c r="K311" s="206"/>
      <c r="L311" s="206" t="s">
        <v>282</v>
      </c>
      <c r="M311" s="208">
        <v>0</v>
      </c>
      <c r="N311" s="208">
        <v>0</v>
      </c>
      <c r="O311" s="316">
        <v>0</v>
      </c>
      <c r="P311" s="317">
        <v>4</v>
      </c>
      <c r="Q311" s="317"/>
      <c r="R311" s="318"/>
      <c r="S311" s="318">
        <v>0</v>
      </c>
      <c r="T311" s="318"/>
      <c r="U311" s="318"/>
      <c r="V311" s="318"/>
      <c r="W311" s="318"/>
      <c r="X311" s="318"/>
      <c r="Y311" s="318"/>
      <c r="Z311" s="318"/>
      <c r="AA311" s="310">
        <v>141</v>
      </c>
      <c r="AB311" s="311"/>
      <c r="AC311" s="66"/>
      <c r="AD311" s="66"/>
      <c r="AE311" s="310">
        <v>141</v>
      </c>
      <c r="AF311" s="310" t="s">
        <v>286</v>
      </c>
      <c r="AG311" s="311" t="s">
        <v>286</v>
      </c>
      <c r="AH311" s="66"/>
      <c r="AI311" s="66"/>
      <c r="AJ311" s="311"/>
      <c r="AK311" s="841">
        <v>0</v>
      </c>
      <c r="AL311" s="846"/>
      <c r="AM311" s="844">
        <v>0</v>
      </c>
      <c r="AN311" s="863"/>
      <c r="AO311" s="863">
        <v>0</v>
      </c>
      <c r="AP311" s="843"/>
      <c r="AQ311" s="843"/>
      <c r="AR311" s="843"/>
      <c r="AS311" s="843"/>
      <c r="AT311" s="843"/>
      <c r="AU311" s="843"/>
      <c r="AV311" s="844"/>
      <c r="AW311" s="208" t="str">
        <f>IFERROR(WWWW[[#This Row],['# of Water passed at source]]/WWWW[[#This Row],['# of Water tested at source]],"no test")</f>
        <v>no test</v>
      </c>
      <c r="AX311" s="211" t="str">
        <f>IFERROR(WWWW[[#This Row],['# of Water passed at HH]]/WWWW[[#This Row],['# of Water tested at HH]],"no test")</f>
        <v>no test</v>
      </c>
      <c r="AY311" s="210" t="str">
        <f>IF(AND(WWWW[[#This Row],[%of Water samples which passed at water source]]="no test",WWWW[[#This Row],[%Water samples which passed at HH]]="no test"),"No Test","Tested")</f>
        <v>No Test</v>
      </c>
      <c r="AZ31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1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0.55218111540585313</v>
      </c>
      <c r="BB311" s="211">
        <f>IF(WWWW[[#This Row],[Location Type 1]]="Village",WWWW[[#This Row],[Access to safe drinking water for Village]],WWWW[[#This Row],[Access to safe drinking water for Camp]])</f>
        <v>0.55218111540585313</v>
      </c>
      <c r="BC311" s="209">
        <f>WWWW[[#This Row],[%Equitable and continuous access to sufficient quantity of safe drinking water]]*WWWW[[#This Row],[Total PoP ]]</f>
        <v>1000</v>
      </c>
      <c r="BD311" s="211">
        <f>IF((WWWW[[#This Row],['# Existing protected/fenced ponds ]]*250)/WWWW[[#This Row],[Total PoP ]]&gt;1,1,WWWW[[#This Row],['# Existing protected/fenced ponds ]]*250/WWWW[[#This Row],[Total PoP ]])</f>
        <v>0</v>
      </c>
      <c r="BE311" s="209">
        <f>WWWW[[#This Row],[Access to unimproved water points]]*WWWW[[#This Row],[Total PoP ]]</f>
        <v>0</v>
      </c>
      <c r="BF31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0.55218111540585313</v>
      </c>
      <c r="BG31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1000</v>
      </c>
      <c r="BH311" s="209">
        <f>ROUND(WWWW[[#This Row],['#people Equitable and continuous access to sufficient quantity of domestic water borehole n ponds_2]]/500,0)</f>
        <v>2</v>
      </c>
      <c r="BI311" s="208">
        <f>1-WWWW[[#This Row],[%Equitable and continuous access to sufficient quantity of domestic water borehole n ponds]]</f>
        <v>0.44781888459414687</v>
      </c>
      <c r="BJ311" s="209">
        <f>WWWW[[#This Row],[%equitable and continuous access to sufficient quantity of safe drinking and domestic water''s GAP]]*WWWW[[#This Row],[Total PoP ]]</f>
        <v>811</v>
      </c>
      <c r="BK311" s="210">
        <f>IF(WWWW[[#This Row],[Total required water points]]-WWWW[[#This Row],['#Water points coverage]]&lt;0,0,WWWW[[#This Row],[Total required water points]]-WWWW[[#This Row],['#Water points coverage]])</f>
        <v>2</v>
      </c>
      <c r="BL311" s="210">
        <f>ROUND(IF(WWWW[[#This Row],[Total PoP ]]&lt;500,1,WWWW[[#This Row],[Total PoP ]]/500),0)</f>
        <v>4</v>
      </c>
      <c r="BM311" s="210">
        <f>WWWW[[#This Row],['# Existing functional latrines]]+WWWW[[#This Row],['# Existing latrines dysfunctional]]</f>
        <v>141</v>
      </c>
      <c r="BN31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0.46714522363335176</v>
      </c>
      <c r="BO311" s="352">
        <f>WWWW[[#This Row],[% people access to functioning Latrine]]*WWWW[[#This Row],[Total PoP ]]</f>
        <v>846</v>
      </c>
      <c r="BP31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0.53340695748205413</v>
      </c>
      <c r="BQ311" s="209">
        <f>IF(WWWW[[#This Row],[Total required Latrines]]-WWWW[[#This Row],[Total '# of latrine]]&lt;0,0,WWWW[[#This Row],[Total required Latrines]]-WWWW[[#This Row],[Total '# of latrine]])</f>
        <v>161</v>
      </c>
      <c r="BR311" s="210">
        <f>ROUND(IF(WWWW[[#This Row],[Location Type 1]]="camp",WWWW[[#This Row],[Total PoP ]]/20,WWWW[[#This Row],[Total PoP ]]/6),0)</f>
        <v>302</v>
      </c>
      <c r="BS311" s="212">
        <f>IF(OR(WWWW[[#This Row],['# Existing latrines dysfunctional]]="",WWWW[[#This Row],['# Existing latrines dysfunctional]]=0),0,WWWW[[#This Row],['# Existing latrines dysfunctional]]/WWWW[[#This Row],[Total '# of latrine]])</f>
        <v>0</v>
      </c>
      <c r="BT31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1" s="209">
        <f>IF(500*WWWW[[#This Row],['# Hygiene Promoters ]]&gt;WWWW[[#This Row],[Total PoP ]],WWWW[[#This Row],[Total PoP ]],500*WWWW[[#This Row],['# Hygiene Promoters ]])</f>
        <v>0</v>
      </c>
      <c r="BV311" s="209">
        <f>IF(WWWW[[#This Row],[% of HH with access to Sanitary Pad]]&gt;=100%,1,0)</f>
        <v>0</v>
      </c>
      <c r="BW311" s="209">
        <f>IF(WWWW[[#This Row],[Total PoP ]]=0,0,IF(WWWW[[#This Row],['# Hygiene Promoters ]]=0,0,IF(WWWW[[#This Row],[Location Type 1]]="Village",IF(WWWW[[#This Row],[Total PoP ]]/WWWW[[#This Row],['# Hygiene Promoters ]]&lt;1000,1,0),IF(WWWW[[#This Row],[Total PoP ]]/WWWW[[#This Row],['# Hygiene Promoters ]]&lt;600,1,0))))</f>
        <v>0</v>
      </c>
      <c r="BX311" s="209">
        <f>IF(WWWW[[#This Row],[%HH with access to soap]]&gt;=100%,1,0)</f>
        <v>0</v>
      </c>
      <c r="BY311" s="209">
        <f>IF(WWWW[[#This Row],[% of HHs with access to Sanitary pad more than '#%]]+WWWW[[#This Row],[Ratio of Hyiene promoters to people less than '#]]+WWWW[[#This Row],[% of HHs with access to soap more than '#%]]&gt;=2,WWWW[[#This Row],[Total PoP ]],0)</f>
        <v>0</v>
      </c>
      <c r="BZ311" s="208">
        <f>WWWW[[#This Row],[People adopt basic personal and community hygiene practices]]/WWWW[[#This Row],[Total PoP ]]</f>
        <v>0</v>
      </c>
      <c r="CA311" s="212">
        <f>1-WWWW[[#This Row],[Hygiene Coverage%]]</f>
        <v>1</v>
      </c>
      <c r="CB311" s="211">
        <f>WWWW[[#This Row],['# people reached by regular dedicated hygiene promotion_5]]/WWWW[[#This Row],[Total PoP ]]</f>
        <v>0</v>
      </c>
      <c r="CC311" s="211">
        <f>IF(WWWW[[#This Row],['# HH received soaps]]/WWWW[[#This Row],[Total HH]]&gt;1,1,WWWW[[#This Row],['# HH received soaps]]/WWWW[[#This Row],[Total HH]])</f>
        <v>0</v>
      </c>
      <c r="CD311" s="211">
        <f>IF(WWWW[[#This Row],['# HH received Sanitary Pads]]/WWWW[[#This Row],[Total HH]]&gt;1,1,WWWW[[#This Row],['# HH received Sanitary Pads]]/WWWW[[#This Row],[Total HH]])</f>
        <v>0</v>
      </c>
      <c r="CE311" s="210">
        <f>WWWW[[#This Row],['# HH received soaps]]*5</f>
        <v>0</v>
      </c>
      <c r="CF311" s="210">
        <f>WWWW[[#This Row],['# HH received Sanitary Pads]]*5</f>
        <v>0</v>
      </c>
      <c r="CG311" s="210">
        <f>IF(WWWW[[#This Row],['# People with access to soap]]&gt;WWWW[[#This Row],['# People with access to Sanity Pads]],WWWW[[#This Row],['# People with access to soap]],WWWW[[#This Row],['# People with access to Sanity Pads]])</f>
        <v>0</v>
      </c>
      <c r="CH311" s="209">
        <f>WWWW[[#This Row],[Total HH]]*WWWW[[#This Row],[%HHs with access to functional hand washing stations]]</f>
        <v>0</v>
      </c>
      <c r="CI311" s="699">
        <f>VLOOKUP(WWWW[[#This Row],[Site Name]],SiteDB6[[Site Name]:[CCCM Management]],6,FALSE)</f>
        <v>0</v>
      </c>
      <c r="CJ311" s="699">
        <f>VLOOKUP(WWWW[[#This Row],[Site Name]],SiteDB6[[Site Name]:[CCCM Focal Agency]],7,FALSE)</f>
        <v>0</v>
      </c>
      <c r="CK311" s="699" t="str">
        <f>VLOOKUP(WWWW[[#This Row],[Site Name]],SiteDB6[[Site Name]:[Location Type]],8,FALSE)</f>
        <v>Village</v>
      </c>
      <c r="CL311" s="699" t="str">
        <f>VLOOKUP(WWWW[[#This Row],[Site Name]],SiteDB6[[Site Name]:[Location Type 1]],9,FALSE)</f>
        <v>Village</v>
      </c>
      <c r="CM311" s="699" t="str">
        <f>VLOOKUP(WWWW[[#This Row],[Site Name]],SiteDB6[[Site Name]:[Type of Accommodation]],10,FALSE)</f>
        <v>Village</v>
      </c>
      <c r="CN311" s="699" t="str">
        <f>VLOOKUP(WWWW[[#This Row],[Site Name]],SiteDB6[[Site Name]:[Ethnic or GCA/NGCA]],11,FALSE)</f>
        <v>Rakhine</v>
      </c>
      <c r="CO311" s="699">
        <f>VLOOKUP(WWWW[[#This Row],[Site Name]],SiteDB6[[Site Name]:[Lat]],12,FALSE)</f>
        <v>20.268000000000001</v>
      </c>
      <c r="CP311" s="699">
        <f>VLOOKUP(WWWW[[#This Row],[Site Name]],SiteDB6[[Site Name]:[Long]],13,FALSE)</f>
        <v>92.977999999999994</v>
      </c>
      <c r="CQ311" s="699" t="str">
        <f>VLOOKUP(WWWW[[#This Row],[Site Name]],SiteDB6[[Site Name]:[Pcode]],3,FALSE)</f>
        <v>196408</v>
      </c>
      <c r="CR311" s="660" t="str">
        <f t="shared" si="7"/>
        <v>Notcovered</v>
      </c>
      <c r="CS311" s="699"/>
      <c r="CT311" s="24"/>
      <c r="CU311" s="24"/>
      <c r="CV311" s="24"/>
    </row>
    <row r="312" spans="1:100" ht="15.75" customHeight="1" x14ac:dyDescent="0.25">
      <c r="A312" s="833" t="s">
        <v>3206</v>
      </c>
      <c r="B312" s="206" t="s">
        <v>460</v>
      </c>
      <c r="C312" s="206" t="s">
        <v>454</v>
      </c>
      <c r="D312" s="206" t="s">
        <v>618</v>
      </c>
      <c r="E312" s="206" t="s">
        <v>622</v>
      </c>
      <c r="F312" s="206">
        <f>ROUND(WWWW[[#This Row],[Total PoP ]]/5,0)</f>
        <v>139</v>
      </c>
      <c r="G312" s="209">
        <v>695</v>
      </c>
      <c r="H312" s="206"/>
      <c r="I312" s="206"/>
      <c r="J312" s="207"/>
      <c r="K312" s="206"/>
      <c r="L312" s="206" t="s">
        <v>282</v>
      </c>
      <c r="M312" s="208">
        <v>0</v>
      </c>
      <c r="N312" s="208">
        <v>0</v>
      </c>
      <c r="O312" s="316">
        <v>0</v>
      </c>
      <c r="P312" s="317">
        <v>0</v>
      </c>
      <c r="Q312" s="317"/>
      <c r="R312" s="318"/>
      <c r="S312" s="318">
        <v>0</v>
      </c>
      <c r="T312" s="318"/>
      <c r="U312" s="318"/>
      <c r="V312" s="318"/>
      <c r="W312" s="318"/>
      <c r="X312" s="318"/>
      <c r="Y312" s="318"/>
      <c r="Z312" s="318"/>
      <c r="AA312" s="310">
        <v>44</v>
      </c>
      <c r="AB312" s="310"/>
      <c r="AC312" s="66"/>
      <c r="AD312" s="66"/>
      <c r="AE312" s="310">
        <v>44</v>
      </c>
      <c r="AF312" s="310" t="s">
        <v>286</v>
      </c>
      <c r="AG312" s="311" t="s">
        <v>286</v>
      </c>
      <c r="AH312" s="66"/>
      <c r="AI312" s="66"/>
      <c r="AJ312" s="310"/>
      <c r="AK312" s="841">
        <v>0</v>
      </c>
      <c r="AL312" s="842"/>
      <c r="AM312" s="842">
        <v>0</v>
      </c>
      <c r="AN312" s="863"/>
      <c r="AO312" s="863">
        <v>0</v>
      </c>
      <c r="AP312" s="843"/>
      <c r="AQ312" s="843"/>
      <c r="AR312" s="843"/>
      <c r="AS312" s="843"/>
      <c r="AT312" s="843"/>
      <c r="AU312" s="843"/>
      <c r="AV312" s="844"/>
      <c r="AW312" s="208" t="str">
        <f>IFERROR(WWWW[[#This Row],['# of Water passed at source]]/WWWW[[#This Row],['# of Water tested at source]],"no test")</f>
        <v>no test</v>
      </c>
      <c r="AX312" s="211" t="str">
        <f>IFERROR(WWWW[[#This Row],['# of Water passed at HH]]/WWWW[[#This Row],['# of Water tested at HH]],"no test")</f>
        <v>no test</v>
      </c>
      <c r="AY312" s="210" t="str">
        <f>IF(AND(WWWW[[#This Row],[%of Water samples which passed at water source]]="no test",WWWW[[#This Row],[%Water samples which passed at HH]]="no test"),"No Test","Tested")</f>
        <v>No Test</v>
      </c>
      <c r="AZ31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1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12" s="211">
        <f>IF(WWWW[[#This Row],[Location Type 1]]="Village",WWWW[[#This Row],[Access to safe drinking water for Village]],WWWW[[#This Row],[Access to safe drinking water for Camp]])</f>
        <v>0</v>
      </c>
      <c r="BC312" s="209">
        <f>WWWW[[#This Row],[%Equitable and continuous access to sufficient quantity of safe drinking water]]*WWWW[[#This Row],[Total PoP ]]</f>
        <v>0</v>
      </c>
      <c r="BD312" s="211">
        <f>IF((WWWW[[#This Row],['# Existing protected/fenced ponds ]]*250)/WWWW[[#This Row],[Total PoP ]]&gt;1,1,WWWW[[#This Row],['# Existing protected/fenced ponds ]]*250/WWWW[[#This Row],[Total PoP ]])</f>
        <v>0</v>
      </c>
      <c r="BE312" s="209">
        <f>WWWW[[#This Row],[Access to unimproved water points]]*WWWW[[#This Row],[Total PoP ]]</f>
        <v>0</v>
      </c>
      <c r="BF31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1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12" s="209">
        <f>WWWW[[#This Row],['#people Equitable and continuous access to sufficient quantity of domestic water borehole n ponds_2]]/500</f>
        <v>0</v>
      </c>
      <c r="BI312" s="208">
        <f>1-WWWW[[#This Row],[%Equitable and continuous access to sufficient quantity of domestic water borehole n ponds]]</f>
        <v>1</v>
      </c>
      <c r="BJ312" s="209">
        <f>WWWW[[#This Row],[%equitable and continuous access to sufficient quantity of safe drinking and domestic water''s GAP]]*WWWW[[#This Row],[Total PoP ]]</f>
        <v>695</v>
      </c>
      <c r="BK312" s="210">
        <f>IF(WWWW[[#This Row],[Total required water points]]-WWWW[[#This Row],['#Water points coverage]]&lt;0,0,WWWW[[#This Row],[Total required water points]]-WWWW[[#This Row],['#Water points coverage]])</f>
        <v>1</v>
      </c>
      <c r="BL312" s="210">
        <f>ROUND(IF(WWWW[[#This Row],[Total PoP ]]&lt;500,1,WWWW[[#This Row],[Total PoP ]]/500),0)</f>
        <v>1</v>
      </c>
      <c r="BM312" s="210">
        <f>WWWW[[#This Row],['# Existing functional latrines]]+WWWW[[#This Row],['# Existing latrines dysfunctional]]</f>
        <v>44</v>
      </c>
      <c r="BN31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0.37985611510791367</v>
      </c>
      <c r="BO312" s="352">
        <f>WWWW[[#This Row],[% people access to functioning Latrine]]*WWWW[[#This Row],[Total PoP ]]</f>
        <v>264</v>
      </c>
      <c r="BP31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0.62158273381294971</v>
      </c>
      <c r="BQ312" s="209">
        <f>IF(WWWW[[#This Row],[Total required Latrines]]-WWWW[[#This Row],[Total '# of latrine]]&lt;0,0,WWWW[[#This Row],[Total required Latrines]]-WWWW[[#This Row],[Total '# of latrine]])</f>
        <v>72</v>
      </c>
      <c r="BR312" s="210">
        <f>ROUND(IF(WWWW[[#This Row],[Location Type 1]]="camp",WWWW[[#This Row],[Total PoP ]]/20,WWWW[[#This Row],[Total PoP ]]/6),0)</f>
        <v>116</v>
      </c>
      <c r="BS312" s="212">
        <f>IF(OR(WWWW[[#This Row],['# Existing latrines dysfunctional]]="",WWWW[[#This Row],['# Existing latrines dysfunctional]]=0),0,WWWW[[#This Row],['# Existing latrines dysfunctional]]/WWWW[[#This Row],[Total '# of latrine]])</f>
        <v>0</v>
      </c>
      <c r="BT31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2" s="209">
        <f>IF(500*WWWW[[#This Row],['# Hygiene Promoters ]]&gt;WWWW[[#This Row],[Total PoP ]],WWWW[[#This Row],[Total PoP ]],500*WWWW[[#This Row],['# Hygiene Promoters ]])</f>
        <v>0</v>
      </c>
      <c r="BV312" s="209">
        <f>IF(WWWW[[#This Row],[% of HH with access to Sanitary Pad]]&gt;=100%,1,0)</f>
        <v>0</v>
      </c>
      <c r="BW312" s="209">
        <f>IF(WWWW[[#This Row],[Total PoP ]]=0,0,IF(WWWW[[#This Row],['# Hygiene Promoters ]]=0,0,IF(WWWW[[#This Row],[Location Type 1]]="Village",IF(WWWW[[#This Row],[Total PoP ]]/WWWW[[#This Row],['# Hygiene Promoters ]]&lt;1000,1,0),IF(WWWW[[#This Row],[Total PoP ]]/WWWW[[#This Row],['# Hygiene Promoters ]]&lt;600,1,0))))</f>
        <v>0</v>
      </c>
      <c r="BX312" s="209">
        <f>IF(WWWW[[#This Row],[%HH with access to soap]]&gt;=100%,1,0)</f>
        <v>0</v>
      </c>
      <c r="BY312" s="209">
        <f>IF(WWWW[[#This Row],[% of HHs with access to Sanitary pad more than '#%]]+WWWW[[#This Row],[Ratio of Hyiene promoters to people less than '#]]+WWWW[[#This Row],[% of HHs with access to soap more than '#%]]&gt;=2,WWWW[[#This Row],[Total PoP ]],0)</f>
        <v>0</v>
      </c>
      <c r="BZ312" s="208">
        <f>WWWW[[#This Row],[People adopt basic personal and community hygiene practices]]/WWWW[[#This Row],[Total PoP ]]</f>
        <v>0</v>
      </c>
      <c r="CA312" s="212">
        <f>1-WWWW[[#This Row],[Hygiene Coverage%]]</f>
        <v>1</v>
      </c>
      <c r="CB312" s="211">
        <f>WWWW[[#This Row],['# people reached by regular dedicated hygiene promotion_5]]/WWWW[[#This Row],[Total PoP ]]</f>
        <v>0</v>
      </c>
      <c r="CC312" s="211">
        <f>IF(WWWW[[#This Row],['# HH received soaps]]/WWWW[[#This Row],[Total HH]]&gt;1,1,WWWW[[#This Row],['# HH received soaps]]/WWWW[[#This Row],[Total HH]])</f>
        <v>0</v>
      </c>
      <c r="CD312" s="211">
        <f>IF(WWWW[[#This Row],['# HH received Sanitary Pads]]/WWWW[[#This Row],[Total HH]]&gt;1,1,WWWW[[#This Row],['# HH received Sanitary Pads]]/WWWW[[#This Row],[Total HH]])</f>
        <v>0</v>
      </c>
      <c r="CE312" s="210">
        <f>WWWW[[#This Row],['# HH received soaps]]*5</f>
        <v>0</v>
      </c>
      <c r="CF312" s="210">
        <f>WWWW[[#This Row],['# HH received Sanitary Pads]]*5</f>
        <v>0</v>
      </c>
      <c r="CG312" s="210">
        <f>IF(WWWW[[#This Row],['# People with access to soap]]&gt;WWWW[[#This Row],['# People with access to Sanity Pads]],WWWW[[#This Row],['# People with access to soap]],WWWW[[#This Row],['# People with access to Sanity Pads]])</f>
        <v>0</v>
      </c>
      <c r="CH312" s="209">
        <f>WWWW[[#This Row],[Total HH]]*WWWW[[#This Row],[%HHs with access to functional hand washing stations]]</f>
        <v>0</v>
      </c>
      <c r="CI312" s="699">
        <f>VLOOKUP(WWWW[[#This Row],[Site Name]],SiteDB6[[Site Name]:[CCCM Management]],6,FALSE)</f>
        <v>0</v>
      </c>
      <c r="CJ312" s="699">
        <f>VLOOKUP(WWWW[[#This Row],[Site Name]],SiteDB6[[Site Name]:[CCCM Focal Agency]],7,FALSE)</f>
        <v>0</v>
      </c>
      <c r="CK312" s="699" t="str">
        <f>VLOOKUP(WWWW[[#This Row],[Site Name]],SiteDB6[[Site Name]:[Location Type]],8,FALSE)</f>
        <v>Village</v>
      </c>
      <c r="CL312" s="699" t="str">
        <f>VLOOKUP(WWWW[[#This Row],[Site Name]],SiteDB6[[Site Name]:[Location Type 1]],9,FALSE)</f>
        <v>Village</v>
      </c>
      <c r="CM312" s="699" t="str">
        <f>VLOOKUP(WWWW[[#This Row],[Site Name]],SiteDB6[[Site Name]:[Type of Accommodation]],10,FALSE)</f>
        <v>Village</v>
      </c>
      <c r="CN312" s="699" t="str">
        <f>VLOOKUP(WWWW[[#This Row],[Site Name]],SiteDB6[[Site Name]:[Ethnic or GCA/NGCA]],11,FALSE)</f>
        <v>Rakhine</v>
      </c>
      <c r="CO312" s="699">
        <f>VLOOKUP(WWWW[[#This Row],[Site Name]],SiteDB6[[Site Name]:[Lat]],12,FALSE)</f>
        <v>20.292100000000001</v>
      </c>
      <c r="CP312" s="699">
        <f>VLOOKUP(WWWW[[#This Row],[Site Name]],SiteDB6[[Site Name]:[Long]],13,FALSE)</f>
        <v>92.994100000000003</v>
      </c>
      <c r="CQ312" s="699" t="str">
        <f>VLOOKUP(WWWW[[#This Row],[Site Name]],SiteDB6[[Site Name]:[Pcode]],3,FALSE)</f>
        <v>196377</v>
      </c>
      <c r="CR312" s="660" t="str">
        <f t="shared" si="7"/>
        <v>Notcovered</v>
      </c>
      <c r="CS312" s="699"/>
      <c r="CT312" s="24"/>
      <c r="CU312" s="24"/>
      <c r="CV312" s="24"/>
    </row>
    <row r="313" spans="1:100" ht="15.75" customHeight="1" x14ac:dyDescent="0.25">
      <c r="A313" s="833" t="s">
        <v>3206</v>
      </c>
      <c r="B313" s="206" t="s">
        <v>460</v>
      </c>
      <c r="C313" s="206" t="s">
        <v>454</v>
      </c>
      <c r="D313" s="206" t="s">
        <v>618</v>
      </c>
      <c r="E313" s="206" t="s">
        <v>653</v>
      </c>
      <c r="F313" s="206">
        <f>ROUND(WWWW[[#This Row],[Total PoP ]]/5,0)</f>
        <v>91</v>
      </c>
      <c r="G313" s="209">
        <v>456</v>
      </c>
      <c r="H313" s="206"/>
      <c r="I313" s="206"/>
      <c r="J313" s="207"/>
      <c r="K313" s="206"/>
      <c r="L313" s="206" t="s">
        <v>282</v>
      </c>
      <c r="M313" s="208">
        <v>0</v>
      </c>
      <c r="N313" s="208">
        <v>0</v>
      </c>
      <c r="O313" s="323">
        <v>0</v>
      </c>
      <c r="P313" s="317"/>
      <c r="Q313" s="317"/>
      <c r="R313" s="318"/>
      <c r="S313" s="318">
        <v>0</v>
      </c>
      <c r="T313" s="318"/>
      <c r="U313" s="318"/>
      <c r="V313" s="318"/>
      <c r="W313" s="318"/>
      <c r="X313" s="318"/>
      <c r="Y313" s="318"/>
      <c r="Z313" s="318"/>
      <c r="AA313" s="310">
        <v>6</v>
      </c>
      <c r="AB313" s="311"/>
      <c r="AC313" s="66"/>
      <c r="AD313" s="66"/>
      <c r="AE313" s="310">
        <v>0</v>
      </c>
      <c r="AF313" s="310" t="s">
        <v>286</v>
      </c>
      <c r="AG313" s="311" t="s">
        <v>286</v>
      </c>
      <c r="AH313" s="66"/>
      <c r="AI313" s="66"/>
      <c r="AJ313" s="311"/>
      <c r="AK313" s="841">
        <v>0</v>
      </c>
      <c r="AL313" s="846"/>
      <c r="AM313" s="844">
        <v>0</v>
      </c>
      <c r="AN313" s="863"/>
      <c r="AO313" s="863">
        <v>0</v>
      </c>
      <c r="AP313" s="843"/>
      <c r="AQ313" s="843"/>
      <c r="AR313" s="843"/>
      <c r="AS313" s="843"/>
      <c r="AT313" s="843"/>
      <c r="AU313" s="843"/>
      <c r="AV313" s="844"/>
      <c r="AW313" s="208" t="str">
        <f>IFERROR(WWWW[[#This Row],['# of Water passed at source]]/WWWW[[#This Row],['# of Water tested at source]],"no test")</f>
        <v>no test</v>
      </c>
      <c r="AX313" s="211" t="str">
        <f>IFERROR(WWWW[[#This Row],['# of Water passed at HH]]/WWWW[[#This Row],['# of Water tested at HH]],"no test")</f>
        <v>no test</v>
      </c>
      <c r="AY313" s="210" t="str">
        <f>IF(AND(WWWW[[#This Row],[%of Water samples which passed at water source]]="no test",WWWW[[#This Row],[%Water samples which passed at HH]]="no test"),"No Test","Tested")</f>
        <v>No Test</v>
      </c>
      <c r="AZ31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1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13" s="211">
        <f>IF(WWWW[[#This Row],[Location Type 1]]="Village",WWWW[[#This Row],[Access to safe drinking water for Village]],WWWW[[#This Row],[Access to safe drinking water for Camp]])</f>
        <v>0</v>
      </c>
      <c r="BC313" s="209">
        <f>WWWW[[#This Row],[%Equitable and continuous access to sufficient quantity of safe drinking water]]*WWWW[[#This Row],[Total PoP ]]</f>
        <v>0</v>
      </c>
      <c r="BD313" s="211">
        <f>IF((WWWW[[#This Row],['# Existing protected/fenced ponds ]]*250)/WWWW[[#This Row],[Total PoP ]]&gt;1,1,WWWW[[#This Row],['# Existing protected/fenced ponds ]]*250/WWWW[[#This Row],[Total PoP ]])</f>
        <v>0</v>
      </c>
      <c r="BE313" s="209">
        <f>WWWW[[#This Row],[Access to unimproved water points]]*WWWW[[#This Row],[Total PoP ]]</f>
        <v>0</v>
      </c>
      <c r="BF31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1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13" s="209">
        <f>WWWW[[#This Row],['#people Equitable and continuous access to sufficient quantity of domestic water borehole n ponds_2]]/500</f>
        <v>0</v>
      </c>
      <c r="BI313" s="208">
        <f>1-WWWW[[#This Row],[%Equitable and continuous access to sufficient quantity of domestic water borehole n ponds]]</f>
        <v>1</v>
      </c>
      <c r="BJ313" s="209">
        <f>WWWW[[#This Row],[%equitable and continuous access to sufficient quantity of safe drinking and domestic water''s GAP]]*WWWW[[#This Row],[Total PoP ]]</f>
        <v>456</v>
      </c>
      <c r="BK313" s="210">
        <f>IF(WWWW[[#This Row],[Total required water points]]-WWWW[[#This Row],['#Water points coverage]]&lt;0,0,WWWW[[#This Row],[Total required water points]]-WWWW[[#This Row],['#Water points coverage]])</f>
        <v>1</v>
      </c>
      <c r="BL313" s="210">
        <f>ROUND(IF(WWWW[[#This Row],[Total PoP ]]&lt;500,1,WWWW[[#This Row],[Total PoP ]]/500),0)</f>
        <v>1</v>
      </c>
      <c r="BM313" s="210">
        <f>WWWW[[#This Row],['# Existing functional latrines]]+WWWW[[#This Row],['# Existing latrines dysfunctional]]</f>
        <v>6</v>
      </c>
      <c r="BN31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7.8947368421052627E-2</v>
      </c>
      <c r="BO313" s="352">
        <f>WWWW[[#This Row],[% people access to functioning Latrine]]*WWWW[[#This Row],[Total PoP ]]</f>
        <v>36</v>
      </c>
      <c r="BP31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0.92105263157894735</v>
      </c>
      <c r="BQ313" s="209">
        <f>IF(WWWW[[#This Row],[Total required Latrines]]-WWWW[[#This Row],[Total '# of latrine]]&lt;0,0,WWWW[[#This Row],[Total required Latrines]]-WWWW[[#This Row],[Total '# of latrine]])</f>
        <v>70</v>
      </c>
      <c r="BR313" s="210">
        <f>ROUND(IF(WWWW[[#This Row],[Location Type 1]]="camp",WWWW[[#This Row],[Total PoP ]]/20,WWWW[[#This Row],[Total PoP ]]/6),0)</f>
        <v>76</v>
      </c>
      <c r="BS313" s="212">
        <f>IF(OR(WWWW[[#This Row],['# Existing latrines dysfunctional]]="",WWWW[[#This Row],['# Existing latrines dysfunctional]]=0),0,WWWW[[#This Row],['# Existing latrines dysfunctional]]/WWWW[[#This Row],[Total '# of latrine]])</f>
        <v>0</v>
      </c>
      <c r="BT31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3" s="209">
        <f>IF(500*WWWW[[#This Row],['# Hygiene Promoters ]]&gt;WWWW[[#This Row],[Total PoP ]],WWWW[[#This Row],[Total PoP ]],500*WWWW[[#This Row],['# Hygiene Promoters ]])</f>
        <v>0</v>
      </c>
      <c r="BV313" s="209">
        <f>IF(WWWW[[#This Row],[% of HH with access to Sanitary Pad]]&gt;=100%,1,0)</f>
        <v>0</v>
      </c>
      <c r="BW313" s="209">
        <f>IF(WWWW[[#This Row],[Total PoP ]]=0,0,IF(WWWW[[#This Row],['# Hygiene Promoters ]]=0,0,IF(WWWW[[#This Row],[Location Type 1]]="Village",IF(WWWW[[#This Row],[Total PoP ]]/WWWW[[#This Row],['# Hygiene Promoters ]]&lt;1000,1,0),IF(WWWW[[#This Row],[Total PoP ]]/WWWW[[#This Row],['# Hygiene Promoters ]]&lt;600,1,0))))</f>
        <v>0</v>
      </c>
      <c r="BX313" s="209">
        <f>IF(WWWW[[#This Row],[%HH with access to soap]]&gt;=100%,1,0)</f>
        <v>0</v>
      </c>
      <c r="BY313" s="209">
        <f>IF(WWWW[[#This Row],[% of HHs with access to Sanitary pad more than '#%]]+WWWW[[#This Row],[Ratio of Hyiene promoters to people less than '#]]+WWWW[[#This Row],[% of HHs with access to soap more than '#%]]&gt;=2,WWWW[[#This Row],[Total PoP ]],0)</f>
        <v>0</v>
      </c>
      <c r="BZ313" s="208">
        <f>WWWW[[#This Row],[People adopt basic personal and community hygiene practices]]/WWWW[[#This Row],[Total PoP ]]</f>
        <v>0</v>
      </c>
      <c r="CA313" s="212">
        <f>1-WWWW[[#This Row],[Hygiene Coverage%]]</f>
        <v>1</v>
      </c>
      <c r="CB313" s="211">
        <f>WWWW[[#This Row],['# people reached by regular dedicated hygiene promotion_5]]/WWWW[[#This Row],[Total PoP ]]</f>
        <v>0</v>
      </c>
      <c r="CC313" s="211">
        <f>IF(WWWW[[#This Row],['# HH received soaps]]/WWWW[[#This Row],[Total HH]]&gt;1,1,WWWW[[#This Row],['# HH received soaps]]/WWWW[[#This Row],[Total HH]])</f>
        <v>0</v>
      </c>
      <c r="CD313" s="211">
        <f>IF(WWWW[[#This Row],['# HH received Sanitary Pads]]/WWWW[[#This Row],[Total HH]]&gt;1,1,WWWW[[#This Row],['# HH received Sanitary Pads]]/WWWW[[#This Row],[Total HH]])</f>
        <v>0</v>
      </c>
      <c r="CE313" s="210">
        <f>WWWW[[#This Row],['# HH received soaps]]*5</f>
        <v>0</v>
      </c>
      <c r="CF313" s="210">
        <f>WWWW[[#This Row],['# HH received Sanitary Pads]]*5</f>
        <v>0</v>
      </c>
      <c r="CG313" s="210">
        <f>IF(WWWW[[#This Row],['# People with access to soap]]&gt;WWWW[[#This Row],['# People with access to Sanity Pads]],WWWW[[#This Row],['# People with access to soap]],WWWW[[#This Row],['# People with access to Sanity Pads]])</f>
        <v>0</v>
      </c>
      <c r="CH313" s="209">
        <f>WWWW[[#This Row],[Total HH]]*WWWW[[#This Row],[%HHs with access to functional hand washing stations]]</f>
        <v>0</v>
      </c>
      <c r="CI313" s="699">
        <f>VLOOKUP(WWWW[[#This Row],[Site Name]],SiteDB6[[Site Name]:[CCCM Management]],6,FALSE)</f>
        <v>0</v>
      </c>
      <c r="CJ313" s="699">
        <f>VLOOKUP(WWWW[[#This Row],[Site Name]],SiteDB6[[Site Name]:[CCCM Focal Agency]],7,FALSE)</f>
        <v>0</v>
      </c>
      <c r="CK313" s="699" t="str">
        <f>VLOOKUP(WWWW[[#This Row],[Site Name]],SiteDB6[[Site Name]:[Location Type]],8,FALSE)</f>
        <v>Village</v>
      </c>
      <c r="CL313" s="699" t="str">
        <f>VLOOKUP(WWWW[[#This Row],[Site Name]],SiteDB6[[Site Name]:[Location Type 1]],9,FALSE)</f>
        <v>Village</v>
      </c>
      <c r="CM313" s="699" t="str">
        <f>VLOOKUP(WWWW[[#This Row],[Site Name]],SiteDB6[[Site Name]:[Type of Accommodation]],10,FALSE)</f>
        <v>Village</v>
      </c>
      <c r="CN313" s="699" t="str">
        <f>VLOOKUP(WWWW[[#This Row],[Site Name]],SiteDB6[[Site Name]:[Ethnic or GCA/NGCA]],11,FALSE)</f>
        <v>Rakhine</v>
      </c>
      <c r="CO313" s="699">
        <f>VLOOKUP(WWWW[[#This Row],[Site Name]],SiteDB6[[Site Name]:[Lat]],12,FALSE)</f>
        <v>20.509660720999999</v>
      </c>
      <c r="CP313" s="699">
        <f>VLOOKUP(WWWW[[#This Row],[Site Name]],SiteDB6[[Site Name]:[Long]],13,FALSE)</f>
        <v>92.997230529999996</v>
      </c>
      <c r="CQ313" s="699" t="str">
        <f>VLOOKUP(WWWW[[#This Row],[Site Name]],SiteDB6[[Site Name]:[Pcode]],3,FALSE)</f>
        <v>196337</v>
      </c>
      <c r="CR313" s="660" t="str">
        <f t="shared" si="7"/>
        <v>Notcovered</v>
      </c>
      <c r="CS313" s="699"/>
      <c r="CT313" s="24"/>
      <c r="CU313" s="24"/>
      <c r="CV313" s="24"/>
    </row>
    <row r="314" spans="1:100" ht="15.75" customHeight="1" x14ac:dyDescent="0.25">
      <c r="A314" s="833" t="s">
        <v>3206</v>
      </c>
      <c r="B314" s="206" t="s">
        <v>460</v>
      </c>
      <c r="C314" s="206" t="s">
        <v>454</v>
      </c>
      <c r="D314" s="206" t="s">
        <v>618</v>
      </c>
      <c r="E314" s="206" t="s">
        <v>625</v>
      </c>
      <c r="F314" s="206">
        <f>ROUND(WWWW[[#This Row],[Total PoP ]]/5,0)</f>
        <v>97</v>
      </c>
      <c r="G314" s="209">
        <v>487</v>
      </c>
      <c r="H314" s="206"/>
      <c r="I314" s="206"/>
      <c r="J314" s="207"/>
      <c r="K314" s="206"/>
      <c r="L314" s="206" t="s">
        <v>282</v>
      </c>
      <c r="M314" s="208">
        <v>0</v>
      </c>
      <c r="N314" s="208">
        <v>0</v>
      </c>
      <c r="O314" s="316">
        <v>0</v>
      </c>
      <c r="P314" s="317"/>
      <c r="Q314" s="317"/>
      <c r="R314" s="318"/>
      <c r="S314" s="318">
        <v>0</v>
      </c>
      <c r="T314" s="318"/>
      <c r="U314" s="318"/>
      <c r="V314" s="318"/>
      <c r="W314" s="318"/>
      <c r="X314" s="318"/>
      <c r="Y314" s="318"/>
      <c r="Z314" s="318"/>
      <c r="AA314" s="310">
        <v>5</v>
      </c>
      <c r="AB314" s="311"/>
      <c r="AC314" s="66"/>
      <c r="AD314" s="66"/>
      <c r="AE314" s="310">
        <v>0</v>
      </c>
      <c r="AF314" s="310" t="s">
        <v>286</v>
      </c>
      <c r="AG314" s="311" t="s">
        <v>286</v>
      </c>
      <c r="AH314" s="66"/>
      <c r="AI314" s="66"/>
      <c r="AJ314" s="311"/>
      <c r="AK314" s="841">
        <v>0</v>
      </c>
      <c r="AL314" s="846"/>
      <c r="AM314" s="844">
        <v>0</v>
      </c>
      <c r="AN314" s="863"/>
      <c r="AO314" s="863">
        <v>0</v>
      </c>
      <c r="AP314" s="843"/>
      <c r="AQ314" s="843"/>
      <c r="AR314" s="843"/>
      <c r="AS314" s="843"/>
      <c r="AT314" s="843"/>
      <c r="AU314" s="843"/>
      <c r="AV314" s="844"/>
      <c r="AW314" s="208" t="str">
        <f>IFERROR(WWWW[[#This Row],['# of Water passed at source]]/WWWW[[#This Row],['# of Water tested at source]],"no test")</f>
        <v>no test</v>
      </c>
      <c r="AX314" s="211" t="str">
        <f>IFERROR(WWWW[[#This Row],['# of Water passed at HH]]/WWWW[[#This Row],['# of Water tested at HH]],"no test")</f>
        <v>no test</v>
      </c>
      <c r="AY314" s="210" t="str">
        <f>IF(AND(WWWW[[#This Row],[%of Water samples which passed at water source]]="no test",WWWW[[#This Row],[%Water samples which passed at HH]]="no test"),"No Test","Tested")</f>
        <v>No Test</v>
      </c>
      <c r="AZ31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1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14" s="211">
        <f>IF(WWWW[[#This Row],[Location Type 1]]="Village",WWWW[[#This Row],[Access to safe drinking water for Village]],WWWW[[#This Row],[Access to safe drinking water for Camp]])</f>
        <v>0</v>
      </c>
      <c r="BC314" s="209">
        <f>WWWW[[#This Row],[%Equitable and continuous access to sufficient quantity of safe drinking water]]*WWWW[[#This Row],[Total PoP ]]</f>
        <v>0</v>
      </c>
      <c r="BD314" s="211">
        <f>IF((WWWW[[#This Row],['# Existing protected/fenced ponds ]]*250)/WWWW[[#This Row],[Total PoP ]]&gt;1,1,WWWW[[#This Row],['# Existing protected/fenced ponds ]]*250/WWWW[[#This Row],[Total PoP ]])</f>
        <v>0</v>
      </c>
      <c r="BE314" s="209">
        <f>WWWW[[#This Row],[Access to unimproved water points]]*WWWW[[#This Row],[Total PoP ]]</f>
        <v>0</v>
      </c>
      <c r="BF31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1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14" s="209">
        <f>WWWW[[#This Row],['#people Equitable and continuous access to sufficient quantity of domestic water borehole n ponds_2]]/500</f>
        <v>0</v>
      </c>
      <c r="BI314" s="208">
        <f>1-WWWW[[#This Row],[%Equitable and continuous access to sufficient quantity of domestic water borehole n ponds]]</f>
        <v>1</v>
      </c>
      <c r="BJ314" s="209">
        <f>WWWW[[#This Row],[%equitable and continuous access to sufficient quantity of safe drinking and domestic water''s GAP]]*WWWW[[#This Row],[Total PoP ]]</f>
        <v>487</v>
      </c>
      <c r="BK314" s="210">
        <f>IF(WWWW[[#This Row],[Total required water points]]-WWWW[[#This Row],['#Water points coverage]]&lt;0,0,WWWW[[#This Row],[Total required water points]]-WWWW[[#This Row],['#Water points coverage]])</f>
        <v>1</v>
      </c>
      <c r="BL314" s="210">
        <f>ROUND(IF(WWWW[[#This Row],[Total PoP ]]&lt;500,1,WWWW[[#This Row],[Total PoP ]]/500),0)</f>
        <v>1</v>
      </c>
      <c r="BM314" s="210">
        <f>WWWW[[#This Row],['# Existing functional latrines]]+WWWW[[#This Row],['# Existing latrines dysfunctional]]</f>
        <v>5</v>
      </c>
      <c r="BN31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6.1601642710472276E-2</v>
      </c>
      <c r="BO314" s="352">
        <f>WWWW[[#This Row],[% people access to functioning Latrine]]*WWWW[[#This Row],[Total PoP ]]</f>
        <v>30</v>
      </c>
      <c r="BP31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0.93634496919917864</v>
      </c>
      <c r="BQ314" s="209">
        <f>IF(WWWW[[#This Row],[Total required Latrines]]-WWWW[[#This Row],[Total '# of latrine]]&lt;0,0,WWWW[[#This Row],[Total required Latrines]]-WWWW[[#This Row],[Total '# of latrine]])</f>
        <v>76</v>
      </c>
      <c r="BR314" s="210">
        <f>ROUND(IF(WWWW[[#This Row],[Location Type 1]]="camp",WWWW[[#This Row],[Total PoP ]]/20,WWWW[[#This Row],[Total PoP ]]/6),0)</f>
        <v>81</v>
      </c>
      <c r="BS314" s="212">
        <f>IF(OR(WWWW[[#This Row],['# Existing latrines dysfunctional]]="",WWWW[[#This Row],['# Existing latrines dysfunctional]]=0),0,WWWW[[#This Row],['# Existing latrines dysfunctional]]/WWWW[[#This Row],[Total '# of latrine]])</f>
        <v>0</v>
      </c>
      <c r="BT31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4" s="209">
        <f>IF(500*WWWW[[#This Row],['# Hygiene Promoters ]]&gt;WWWW[[#This Row],[Total PoP ]],WWWW[[#This Row],[Total PoP ]],500*WWWW[[#This Row],['# Hygiene Promoters ]])</f>
        <v>0</v>
      </c>
      <c r="BV314" s="209">
        <f>IF(WWWW[[#This Row],[% of HH with access to Sanitary Pad]]&gt;=100%,1,0)</f>
        <v>0</v>
      </c>
      <c r="BW314" s="209">
        <f>IF(WWWW[[#This Row],[Total PoP ]]=0,0,IF(WWWW[[#This Row],['# Hygiene Promoters ]]=0,0,IF(WWWW[[#This Row],[Location Type 1]]="Village",IF(WWWW[[#This Row],[Total PoP ]]/WWWW[[#This Row],['# Hygiene Promoters ]]&lt;1000,1,0),IF(WWWW[[#This Row],[Total PoP ]]/WWWW[[#This Row],['# Hygiene Promoters ]]&lt;600,1,0))))</f>
        <v>0</v>
      </c>
      <c r="BX314" s="209">
        <f>IF(WWWW[[#This Row],[%HH with access to soap]]&gt;=100%,1,0)</f>
        <v>0</v>
      </c>
      <c r="BY314" s="209">
        <f>IF(WWWW[[#This Row],[% of HHs with access to Sanitary pad more than '#%]]+WWWW[[#This Row],[Ratio of Hyiene promoters to people less than '#]]+WWWW[[#This Row],[% of HHs with access to soap more than '#%]]&gt;=2,WWWW[[#This Row],[Total PoP ]],0)</f>
        <v>0</v>
      </c>
      <c r="BZ314" s="208">
        <f>WWWW[[#This Row],[People adopt basic personal and community hygiene practices]]/WWWW[[#This Row],[Total PoP ]]</f>
        <v>0</v>
      </c>
      <c r="CA314" s="212">
        <f>1-WWWW[[#This Row],[Hygiene Coverage%]]</f>
        <v>1</v>
      </c>
      <c r="CB314" s="211">
        <f>WWWW[[#This Row],['# people reached by regular dedicated hygiene promotion_5]]/WWWW[[#This Row],[Total PoP ]]</f>
        <v>0</v>
      </c>
      <c r="CC314" s="211">
        <f>IF(WWWW[[#This Row],['# HH received soaps]]/WWWW[[#This Row],[Total HH]]&gt;1,1,WWWW[[#This Row],['# HH received soaps]]/WWWW[[#This Row],[Total HH]])</f>
        <v>0</v>
      </c>
      <c r="CD314" s="211">
        <f>IF(WWWW[[#This Row],['# HH received Sanitary Pads]]/WWWW[[#This Row],[Total HH]]&gt;1,1,WWWW[[#This Row],['# HH received Sanitary Pads]]/WWWW[[#This Row],[Total HH]])</f>
        <v>0</v>
      </c>
      <c r="CE314" s="210">
        <f>WWWW[[#This Row],['# HH received soaps]]*5</f>
        <v>0</v>
      </c>
      <c r="CF314" s="210">
        <f>WWWW[[#This Row],['# HH received Sanitary Pads]]*5</f>
        <v>0</v>
      </c>
      <c r="CG314" s="210">
        <f>IF(WWWW[[#This Row],['# People with access to soap]]&gt;WWWW[[#This Row],['# People with access to Sanity Pads]],WWWW[[#This Row],['# People with access to soap]],WWWW[[#This Row],['# People with access to Sanity Pads]])</f>
        <v>0</v>
      </c>
      <c r="CH314" s="209">
        <f>WWWW[[#This Row],[Total HH]]*WWWW[[#This Row],[%HHs with access to functional hand washing stations]]</f>
        <v>0</v>
      </c>
      <c r="CI314" s="699">
        <f>VLOOKUP(WWWW[[#This Row],[Site Name]],SiteDB6[[Site Name]:[CCCM Management]],6,FALSE)</f>
        <v>0</v>
      </c>
      <c r="CJ314" s="699">
        <f>VLOOKUP(WWWW[[#This Row],[Site Name]],SiteDB6[[Site Name]:[CCCM Focal Agency]],7,FALSE)</f>
        <v>0</v>
      </c>
      <c r="CK314" s="699" t="str">
        <f>VLOOKUP(WWWW[[#This Row],[Site Name]],SiteDB6[[Site Name]:[Location Type]],8,FALSE)</f>
        <v>Village</v>
      </c>
      <c r="CL314" s="699" t="str">
        <f>VLOOKUP(WWWW[[#This Row],[Site Name]],SiteDB6[[Site Name]:[Location Type 1]],9,FALSE)</f>
        <v>Village</v>
      </c>
      <c r="CM314" s="699" t="str">
        <f>VLOOKUP(WWWW[[#This Row],[Site Name]],SiteDB6[[Site Name]:[Type of Accommodation]],10,FALSE)</f>
        <v>Village</v>
      </c>
      <c r="CN314" s="699" t="str">
        <f>VLOOKUP(WWWW[[#This Row],[Site Name]],SiteDB6[[Site Name]:[Ethnic or GCA/NGCA]],11,FALSE)</f>
        <v>Rakhine</v>
      </c>
      <c r="CO314" s="699">
        <f>VLOOKUP(WWWW[[#This Row],[Site Name]],SiteDB6[[Site Name]:[Lat]],12,FALSE)</f>
        <v>20.361530303999999</v>
      </c>
      <c r="CP314" s="699">
        <f>VLOOKUP(WWWW[[#This Row],[Site Name]],SiteDB6[[Site Name]:[Long]],13,FALSE)</f>
        <v>92.992073059000006</v>
      </c>
      <c r="CQ314" s="699" t="str">
        <f>VLOOKUP(WWWW[[#This Row],[Site Name]],SiteDB6[[Site Name]:[Pcode]],3,FALSE)</f>
        <v>196359</v>
      </c>
      <c r="CR314" s="660" t="str">
        <f t="shared" si="7"/>
        <v>Notcovered</v>
      </c>
      <c r="CS314" s="699"/>
      <c r="CT314" s="24"/>
      <c r="CU314" s="24"/>
      <c r="CV314" s="24"/>
    </row>
    <row r="315" spans="1:100" ht="15.75" customHeight="1" x14ac:dyDescent="0.25">
      <c r="A315" s="833" t="s">
        <v>3206</v>
      </c>
      <c r="B315" s="206" t="s">
        <v>460</v>
      </c>
      <c r="C315" s="206" t="s">
        <v>454</v>
      </c>
      <c r="D315" s="206" t="s">
        <v>618</v>
      </c>
      <c r="E315" s="206" t="s">
        <v>652</v>
      </c>
      <c r="F315" s="206">
        <f>ROUND(WWWW[[#This Row],[Total PoP ]]/5,0)</f>
        <v>26</v>
      </c>
      <c r="G315" s="209">
        <v>130</v>
      </c>
      <c r="H315" s="206"/>
      <c r="I315" s="206"/>
      <c r="J315" s="207"/>
      <c r="K315" s="206"/>
      <c r="L315" s="206" t="s">
        <v>282</v>
      </c>
      <c r="M315" s="208">
        <v>0</v>
      </c>
      <c r="N315" s="208">
        <v>0</v>
      </c>
      <c r="O315" s="316">
        <v>0</v>
      </c>
      <c r="P315" s="317"/>
      <c r="Q315" s="317"/>
      <c r="R315" s="318"/>
      <c r="S315" s="318">
        <v>0</v>
      </c>
      <c r="T315" s="318"/>
      <c r="U315" s="318"/>
      <c r="V315" s="318"/>
      <c r="W315" s="318"/>
      <c r="X315" s="318"/>
      <c r="Y315" s="318"/>
      <c r="Z315" s="318"/>
      <c r="AA315" s="310">
        <v>5</v>
      </c>
      <c r="AB315" s="310"/>
      <c r="AC315" s="66"/>
      <c r="AD315" s="66"/>
      <c r="AE315" s="310">
        <v>0</v>
      </c>
      <c r="AF315" s="310" t="s">
        <v>286</v>
      </c>
      <c r="AG315" s="311" t="s">
        <v>286</v>
      </c>
      <c r="AH315" s="311"/>
      <c r="AI315" s="310"/>
      <c r="AJ315" s="310"/>
      <c r="AK315" s="841">
        <v>0</v>
      </c>
      <c r="AL315" s="842"/>
      <c r="AM315" s="842">
        <v>0</v>
      </c>
      <c r="AN315" s="863"/>
      <c r="AO315" s="863">
        <v>0</v>
      </c>
      <c r="AP315" s="843"/>
      <c r="AQ315" s="843"/>
      <c r="AR315" s="843"/>
      <c r="AS315" s="843"/>
      <c r="AT315" s="843"/>
      <c r="AU315" s="843"/>
      <c r="AV315" s="844"/>
      <c r="AW315" s="208" t="str">
        <f>IFERROR(WWWW[[#This Row],['# of Water passed at source]]/WWWW[[#This Row],['# of Water tested at source]],"no test")</f>
        <v>no test</v>
      </c>
      <c r="AX315" s="211" t="str">
        <f>IFERROR(WWWW[[#This Row],['# of Water passed at HH]]/WWWW[[#This Row],['# of Water tested at HH]],"no test")</f>
        <v>no test</v>
      </c>
      <c r="AY315" s="210" t="str">
        <f>IF(AND(WWWW[[#This Row],[%of Water samples which passed at water source]]="no test",WWWW[[#This Row],[%Water samples which passed at HH]]="no test"),"No Test","Tested")</f>
        <v>No Test</v>
      </c>
      <c r="AZ31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1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15" s="211">
        <f>IF(WWWW[[#This Row],[Location Type 1]]="Village",WWWW[[#This Row],[Access to safe drinking water for Village]],WWWW[[#This Row],[Access to safe drinking water for Camp]])</f>
        <v>0</v>
      </c>
      <c r="BC315" s="209">
        <f>WWWW[[#This Row],[%Equitable and continuous access to sufficient quantity of safe drinking water]]*WWWW[[#This Row],[Total PoP ]]</f>
        <v>0</v>
      </c>
      <c r="BD315" s="211">
        <f>IF((WWWW[[#This Row],['# Existing protected/fenced ponds ]]*250)/WWWW[[#This Row],[Total PoP ]]&gt;1,1,WWWW[[#This Row],['# Existing protected/fenced ponds ]]*250/WWWW[[#This Row],[Total PoP ]])</f>
        <v>0</v>
      </c>
      <c r="BE315" s="209">
        <f>WWWW[[#This Row],[Access to unimproved water points]]*WWWW[[#This Row],[Total PoP ]]</f>
        <v>0</v>
      </c>
      <c r="BF31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1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15" s="209">
        <f>WWWW[[#This Row],['#people Equitable and continuous access to sufficient quantity of domestic water borehole n ponds_2]]/500</f>
        <v>0</v>
      </c>
      <c r="BI315" s="208">
        <f>1-WWWW[[#This Row],[%Equitable and continuous access to sufficient quantity of domestic water borehole n ponds]]</f>
        <v>1</v>
      </c>
      <c r="BJ315" s="209">
        <f>WWWW[[#This Row],[%equitable and continuous access to sufficient quantity of safe drinking and domestic water''s GAP]]*WWWW[[#This Row],[Total PoP ]]</f>
        <v>130</v>
      </c>
      <c r="BK315" s="210">
        <f>IF(WWWW[[#This Row],[Total required water points]]-WWWW[[#This Row],['#Water points coverage]]&lt;0,0,WWWW[[#This Row],[Total required water points]]-WWWW[[#This Row],['#Water points coverage]])</f>
        <v>1</v>
      </c>
      <c r="BL315" s="210">
        <f>ROUND(IF(WWWW[[#This Row],[Total PoP ]]&lt;500,1,WWWW[[#This Row],[Total PoP ]]/500),0)</f>
        <v>1</v>
      </c>
      <c r="BM315" s="210">
        <f>WWWW[[#This Row],['# Existing functional latrines]]+WWWW[[#This Row],['# Existing latrines dysfunctional]]</f>
        <v>5</v>
      </c>
      <c r="BN31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0.23076923076923078</v>
      </c>
      <c r="BO315" s="352">
        <f>WWWW[[#This Row],[% people access to functioning Latrine]]*WWWW[[#This Row],[Total PoP ]]</f>
        <v>30</v>
      </c>
      <c r="BP31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0.7846153846153846</v>
      </c>
      <c r="BQ315" s="209">
        <f>IF(WWWW[[#This Row],[Total required Latrines]]-WWWW[[#This Row],[Total '# of latrine]]&lt;0,0,WWWW[[#This Row],[Total required Latrines]]-WWWW[[#This Row],[Total '# of latrine]])</f>
        <v>17</v>
      </c>
      <c r="BR315" s="210">
        <f>ROUND(IF(WWWW[[#This Row],[Location Type 1]]="camp",WWWW[[#This Row],[Total PoP ]]/20,WWWW[[#This Row],[Total PoP ]]/6),0)</f>
        <v>22</v>
      </c>
      <c r="BS315" s="212">
        <f>IF(OR(WWWW[[#This Row],['# Existing latrines dysfunctional]]="",WWWW[[#This Row],['# Existing latrines dysfunctional]]=0),0,WWWW[[#This Row],['# Existing latrines dysfunctional]]/WWWW[[#This Row],[Total '# of latrine]])</f>
        <v>0</v>
      </c>
      <c r="BT31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5" s="209">
        <f>IF(500*WWWW[[#This Row],['# Hygiene Promoters ]]&gt;WWWW[[#This Row],[Total PoP ]],WWWW[[#This Row],[Total PoP ]],500*WWWW[[#This Row],['# Hygiene Promoters ]])</f>
        <v>0</v>
      </c>
      <c r="BV315" s="209">
        <f>IF(WWWW[[#This Row],[% of HH with access to Sanitary Pad]]&gt;=100%,1,0)</f>
        <v>0</v>
      </c>
      <c r="BW315" s="209">
        <f>IF(WWWW[[#This Row],[Total PoP ]]=0,0,IF(WWWW[[#This Row],['# Hygiene Promoters ]]=0,0,IF(WWWW[[#This Row],[Location Type 1]]="Village",IF(WWWW[[#This Row],[Total PoP ]]/WWWW[[#This Row],['# Hygiene Promoters ]]&lt;1000,1,0),IF(WWWW[[#This Row],[Total PoP ]]/WWWW[[#This Row],['# Hygiene Promoters ]]&lt;600,1,0))))</f>
        <v>0</v>
      </c>
      <c r="BX315" s="209">
        <f>IF(WWWW[[#This Row],[%HH with access to soap]]&gt;=100%,1,0)</f>
        <v>0</v>
      </c>
      <c r="BY315" s="209">
        <f>IF(WWWW[[#This Row],[% of HHs with access to Sanitary pad more than '#%]]+WWWW[[#This Row],[Ratio of Hyiene promoters to people less than '#]]+WWWW[[#This Row],[% of HHs with access to soap more than '#%]]&gt;=2,WWWW[[#This Row],[Total PoP ]],0)</f>
        <v>0</v>
      </c>
      <c r="BZ315" s="208">
        <f>WWWW[[#This Row],[People adopt basic personal and community hygiene practices]]/WWWW[[#This Row],[Total PoP ]]</f>
        <v>0</v>
      </c>
      <c r="CA315" s="212">
        <f>1-WWWW[[#This Row],[Hygiene Coverage%]]</f>
        <v>1</v>
      </c>
      <c r="CB315" s="211">
        <f>WWWW[[#This Row],['# people reached by regular dedicated hygiene promotion_5]]/WWWW[[#This Row],[Total PoP ]]</f>
        <v>0</v>
      </c>
      <c r="CC315" s="211">
        <f>IF(WWWW[[#This Row],['# HH received soaps]]/WWWW[[#This Row],[Total HH]]&gt;1,1,WWWW[[#This Row],['# HH received soaps]]/WWWW[[#This Row],[Total HH]])</f>
        <v>0</v>
      </c>
      <c r="CD315" s="211">
        <f>IF(WWWW[[#This Row],['# HH received Sanitary Pads]]/WWWW[[#This Row],[Total HH]]&gt;1,1,WWWW[[#This Row],['# HH received Sanitary Pads]]/WWWW[[#This Row],[Total HH]])</f>
        <v>0</v>
      </c>
      <c r="CE315" s="210">
        <f>WWWW[[#This Row],['# HH received soaps]]*5</f>
        <v>0</v>
      </c>
      <c r="CF315" s="210">
        <f>WWWW[[#This Row],['# HH received Sanitary Pads]]*5</f>
        <v>0</v>
      </c>
      <c r="CG315" s="210">
        <f>IF(WWWW[[#This Row],['# People with access to soap]]&gt;WWWW[[#This Row],['# People with access to Sanity Pads]],WWWW[[#This Row],['# People with access to soap]],WWWW[[#This Row],['# People with access to Sanity Pads]])</f>
        <v>0</v>
      </c>
      <c r="CH315" s="209">
        <f>WWWW[[#This Row],[Total HH]]*WWWW[[#This Row],[%HHs with access to functional hand washing stations]]</f>
        <v>0</v>
      </c>
      <c r="CI315" s="699">
        <f>VLOOKUP(WWWW[[#This Row],[Site Name]],SiteDB6[[Site Name]:[CCCM Management]],6,FALSE)</f>
        <v>0</v>
      </c>
      <c r="CJ315" s="699">
        <f>VLOOKUP(WWWW[[#This Row],[Site Name]],SiteDB6[[Site Name]:[CCCM Focal Agency]],7,FALSE)</f>
        <v>0</v>
      </c>
      <c r="CK315" s="699" t="str">
        <f>VLOOKUP(WWWW[[#This Row],[Site Name]],SiteDB6[[Site Name]:[Location Type]],8,FALSE)</f>
        <v>Village</v>
      </c>
      <c r="CL315" s="699" t="str">
        <f>VLOOKUP(WWWW[[#This Row],[Site Name]],SiteDB6[[Site Name]:[Location Type 1]],9,FALSE)</f>
        <v>Village</v>
      </c>
      <c r="CM315" s="699" t="str">
        <f>VLOOKUP(WWWW[[#This Row],[Site Name]],SiteDB6[[Site Name]:[Type of Accommodation]],10,FALSE)</f>
        <v>Village</v>
      </c>
      <c r="CN315" s="699" t="str">
        <f>VLOOKUP(WWWW[[#This Row],[Site Name]],SiteDB6[[Site Name]:[Ethnic or GCA/NGCA]],11,FALSE)</f>
        <v>Rakhine</v>
      </c>
      <c r="CO315" s="699">
        <f>VLOOKUP(WWWW[[#This Row],[Site Name]],SiteDB6[[Site Name]:[Lat]],12,FALSE)</f>
        <v>20.506580353</v>
      </c>
      <c r="CP315" s="699">
        <f>VLOOKUP(WWWW[[#This Row],[Site Name]],SiteDB6[[Site Name]:[Long]],13,FALSE)</f>
        <v>93.043449401999993</v>
      </c>
      <c r="CQ315" s="699" t="str">
        <f>VLOOKUP(WWWW[[#This Row],[Site Name]],SiteDB6[[Site Name]:[Pcode]],3,FALSE)</f>
        <v>196351</v>
      </c>
      <c r="CR315" s="660" t="str">
        <f t="shared" si="7"/>
        <v>Notcovered</v>
      </c>
      <c r="CS315" s="660"/>
      <c r="CT315" s="24"/>
      <c r="CU315" s="24"/>
      <c r="CV315" s="24"/>
    </row>
    <row r="316" spans="1:100" ht="15.75" customHeight="1" x14ac:dyDescent="0.25">
      <c r="A316" s="833" t="s">
        <v>3206</v>
      </c>
      <c r="B316" s="206" t="s">
        <v>460</v>
      </c>
      <c r="C316" s="206" t="s">
        <v>454</v>
      </c>
      <c r="D316" s="206" t="s">
        <v>618</v>
      </c>
      <c r="E316" s="206" t="s">
        <v>666</v>
      </c>
      <c r="F316" s="206">
        <f>ROUND(WWWW[[#This Row],[Total PoP ]]/5,0)</f>
        <v>97</v>
      </c>
      <c r="G316" s="209">
        <v>484</v>
      </c>
      <c r="H316" s="206"/>
      <c r="I316" s="206"/>
      <c r="J316" s="207"/>
      <c r="K316" s="206"/>
      <c r="L316" s="206" t="s">
        <v>282</v>
      </c>
      <c r="M316" s="208">
        <v>0</v>
      </c>
      <c r="N316" s="208">
        <v>0</v>
      </c>
      <c r="O316" s="323">
        <v>0</v>
      </c>
      <c r="P316" s="317"/>
      <c r="Q316" s="317"/>
      <c r="R316" s="318"/>
      <c r="S316" s="318">
        <v>0</v>
      </c>
      <c r="T316" s="318"/>
      <c r="U316" s="318"/>
      <c r="V316" s="318"/>
      <c r="W316" s="318"/>
      <c r="X316" s="318"/>
      <c r="Y316" s="318"/>
      <c r="Z316" s="318"/>
      <c r="AA316" s="310">
        <v>10</v>
      </c>
      <c r="AB316" s="311"/>
      <c r="AC316" s="66"/>
      <c r="AD316" s="66"/>
      <c r="AE316" s="310">
        <v>0</v>
      </c>
      <c r="AF316" s="310" t="s">
        <v>286</v>
      </c>
      <c r="AG316" s="311" t="s">
        <v>286</v>
      </c>
      <c r="AH316" s="66"/>
      <c r="AI316" s="66"/>
      <c r="AJ316" s="311"/>
      <c r="AK316" s="841">
        <v>0</v>
      </c>
      <c r="AL316" s="846"/>
      <c r="AM316" s="844">
        <v>0</v>
      </c>
      <c r="AN316" s="863"/>
      <c r="AO316" s="863">
        <v>0</v>
      </c>
      <c r="AP316" s="843"/>
      <c r="AQ316" s="843"/>
      <c r="AR316" s="843"/>
      <c r="AS316" s="843"/>
      <c r="AT316" s="843"/>
      <c r="AU316" s="843"/>
      <c r="AV316" s="844"/>
      <c r="AW316" s="208" t="str">
        <f>IFERROR(WWWW[[#This Row],['# of Water passed at source]]/WWWW[[#This Row],['# of Water tested at source]],"no test")</f>
        <v>no test</v>
      </c>
      <c r="AX316" s="211" t="str">
        <f>IFERROR(WWWW[[#This Row],['# of Water passed at HH]]/WWWW[[#This Row],['# of Water tested at HH]],"no test")</f>
        <v>no test</v>
      </c>
      <c r="AY316" s="210" t="str">
        <f>IF(AND(WWWW[[#This Row],[%of Water samples which passed at water source]]="no test",WWWW[[#This Row],[%Water samples which passed at HH]]="no test"),"No Test","Tested")</f>
        <v>No Test</v>
      </c>
      <c r="AZ31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1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16" s="211">
        <f>IF(WWWW[[#This Row],[Location Type 1]]="Village",WWWW[[#This Row],[Access to safe drinking water for Village]],WWWW[[#This Row],[Access to safe drinking water for Camp]])</f>
        <v>0</v>
      </c>
      <c r="BC316" s="209">
        <f>WWWW[[#This Row],[%Equitable and continuous access to sufficient quantity of safe drinking water]]*WWWW[[#This Row],[Total PoP ]]</f>
        <v>0</v>
      </c>
      <c r="BD316" s="211">
        <f>IF((WWWW[[#This Row],['# Existing protected/fenced ponds ]]*250)/WWWW[[#This Row],[Total PoP ]]&gt;1,1,WWWW[[#This Row],['# Existing protected/fenced ponds ]]*250/WWWW[[#This Row],[Total PoP ]])</f>
        <v>0</v>
      </c>
      <c r="BE316" s="209">
        <f>WWWW[[#This Row],[Access to unimproved water points]]*WWWW[[#This Row],[Total PoP ]]</f>
        <v>0</v>
      </c>
      <c r="BF31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1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16" s="209">
        <f>WWWW[[#This Row],['#people Equitable and continuous access to sufficient quantity of domestic water borehole n ponds_2]]/500</f>
        <v>0</v>
      </c>
      <c r="BI316" s="208">
        <f>1-WWWW[[#This Row],[%Equitable and continuous access to sufficient quantity of domestic water borehole n ponds]]</f>
        <v>1</v>
      </c>
      <c r="BJ316" s="209">
        <f>WWWW[[#This Row],[%equitable and continuous access to sufficient quantity of safe drinking and domestic water''s GAP]]*WWWW[[#This Row],[Total PoP ]]</f>
        <v>484</v>
      </c>
      <c r="BK316" s="210">
        <f>IF(WWWW[[#This Row],[Total required water points]]-WWWW[[#This Row],['#Water points coverage]]&lt;0,0,WWWW[[#This Row],[Total required water points]]-WWWW[[#This Row],['#Water points coverage]])</f>
        <v>1</v>
      </c>
      <c r="BL316" s="210">
        <f>ROUND(IF(WWWW[[#This Row],[Total PoP ]]&lt;500,1,WWWW[[#This Row],[Total PoP ]]/500),0)</f>
        <v>1</v>
      </c>
      <c r="BM316" s="210">
        <f>WWWW[[#This Row],['# Existing functional latrines]]+WWWW[[#This Row],['# Existing latrines dysfunctional]]</f>
        <v>10</v>
      </c>
      <c r="BN31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0.12396694214876033</v>
      </c>
      <c r="BO316" s="352">
        <f>WWWW[[#This Row],[% people access to functioning Latrine]]*WWWW[[#This Row],[Total PoP ]]</f>
        <v>60</v>
      </c>
      <c r="BP31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0.8801652892561983</v>
      </c>
      <c r="BQ316" s="209">
        <f>IF(WWWW[[#This Row],[Total required Latrines]]-WWWW[[#This Row],[Total '# of latrine]]&lt;0,0,WWWW[[#This Row],[Total required Latrines]]-WWWW[[#This Row],[Total '# of latrine]])</f>
        <v>71</v>
      </c>
      <c r="BR316" s="210">
        <f>ROUND(IF(WWWW[[#This Row],[Location Type 1]]="camp",WWWW[[#This Row],[Total PoP ]]/20,WWWW[[#This Row],[Total PoP ]]/6),0)</f>
        <v>81</v>
      </c>
      <c r="BS316" s="212">
        <f>IF(OR(WWWW[[#This Row],['# Existing latrines dysfunctional]]="",WWWW[[#This Row],['# Existing latrines dysfunctional]]=0),0,WWWW[[#This Row],['# Existing latrines dysfunctional]]/WWWW[[#This Row],[Total '# of latrine]])</f>
        <v>0</v>
      </c>
      <c r="BT31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6" s="209">
        <f>IF(500*WWWW[[#This Row],['# Hygiene Promoters ]]&gt;WWWW[[#This Row],[Total PoP ]],WWWW[[#This Row],[Total PoP ]],500*WWWW[[#This Row],['# Hygiene Promoters ]])</f>
        <v>0</v>
      </c>
      <c r="BV316" s="209">
        <f>IF(WWWW[[#This Row],[% of HH with access to Sanitary Pad]]&gt;=100%,1,0)</f>
        <v>0</v>
      </c>
      <c r="BW316" s="209">
        <f>IF(WWWW[[#This Row],[Total PoP ]]=0,0,IF(WWWW[[#This Row],['# Hygiene Promoters ]]=0,0,IF(WWWW[[#This Row],[Location Type 1]]="Village",IF(WWWW[[#This Row],[Total PoP ]]/WWWW[[#This Row],['# Hygiene Promoters ]]&lt;1000,1,0),IF(WWWW[[#This Row],[Total PoP ]]/WWWW[[#This Row],['# Hygiene Promoters ]]&lt;600,1,0))))</f>
        <v>0</v>
      </c>
      <c r="BX316" s="209">
        <f>IF(WWWW[[#This Row],[%HH with access to soap]]&gt;=100%,1,0)</f>
        <v>0</v>
      </c>
      <c r="BY316" s="209">
        <f>IF(WWWW[[#This Row],[% of HHs with access to Sanitary pad more than '#%]]+WWWW[[#This Row],[Ratio of Hyiene promoters to people less than '#]]+WWWW[[#This Row],[% of HHs with access to soap more than '#%]]&gt;=2,WWWW[[#This Row],[Total PoP ]],0)</f>
        <v>0</v>
      </c>
      <c r="BZ316" s="208">
        <f>WWWW[[#This Row],[People adopt basic personal and community hygiene practices]]/WWWW[[#This Row],[Total PoP ]]</f>
        <v>0</v>
      </c>
      <c r="CA316" s="212">
        <f>1-WWWW[[#This Row],[Hygiene Coverage%]]</f>
        <v>1</v>
      </c>
      <c r="CB316" s="211">
        <f>WWWW[[#This Row],['# people reached by regular dedicated hygiene promotion_5]]/WWWW[[#This Row],[Total PoP ]]</f>
        <v>0</v>
      </c>
      <c r="CC316" s="211">
        <f>IF(WWWW[[#This Row],['# HH received soaps]]/WWWW[[#This Row],[Total HH]]&gt;1,1,WWWW[[#This Row],['# HH received soaps]]/WWWW[[#This Row],[Total HH]])</f>
        <v>0</v>
      </c>
      <c r="CD316" s="211">
        <f>IF(WWWW[[#This Row],['# HH received Sanitary Pads]]/WWWW[[#This Row],[Total HH]]&gt;1,1,WWWW[[#This Row],['# HH received Sanitary Pads]]/WWWW[[#This Row],[Total HH]])</f>
        <v>0</v>
      </c>
      <c r="CE316" s="210">
        <f>WWWW[[#This Row],['# HH received soaps]]*5</f>
        <v>0</v>
      </c>
      <c r="CF316" s="210">
        <f>WWWW[[#This Row],['# HH received Sanitary Pads]]*5</f>
        <v>0</v>
      </c>
      <c r="CG316" s="210">
        <f>IF(WWWW[[#This Row],['# People with access to soap]]&gt;WWWW[[#This Row],['# People with access to Sanity Pads]],WWWW[[#This Row],['# People with access to soap]],WWWW[[#This Row],['# People with access to Sanity Pads]])</f>
        <v>0</v>
      </c>
      <c r="CH316" s="209">
        <f>WWWW[[#This Row],[Total HH]]*WWWW[[#This Row],[%HHs with access to functional hand washing stations]]</f>
        <v>0</v>
      </c>
      <c r="CI316" s="699">
        <f>VLOOKUP(WWWW[[#This Row],[Site Name]],SiteDB6[[Site Name]:[CCCM Management]],6,FALSE)</f>
        <v>0</v>
      </c>
      <c r="CJ316" s="699">
        <f>VLOOKUP(WWWW[[#This Row],[Site Name]],SiteDB6[[Site Name]:[CCCM Focal Agency]],7,FALSE)</f>
        <v>0</v>
      </c>
      <c r="CK316" s="699" t="str">
        <f>VLOOKUP(WWWW[[#This Row],[Site Name]],SiteDB6[[Site Name]:[Location Type]],8,FALSE)</f>
        <v>Village</v>
      </c>
      <c r="CL316" s="699" t="str">
        <f>VLOOKUP(WWWW[[#This Row],[Site Name]],SiteDB6[[Site Name]:[Location Type 1]],9,FALSE)</f>
        <v>Village</v>
      </c>
      <c r="CM316" s="699" t="str">
        <f>VLOOKUP(WWWW[[#This Row],[Site Name]],SiteDB6[[Site Name]:[Type of Accommodation]],10,FALSE)</f>
        <v>Village</v>
      </c>
      <c r="CN316" s="699" t="str">
        <f>VLOOKUP(WWWW[[#This Row],[Site Name]],SiteDB6[[Site Name]:[Ethnic or GCA/NGCA]],11,FALSE)</f>
        <v>Rakhine</v>
      </c>
      <c r="CO316" s="699">
        <f>VLOOKUP(WWWW[[#This Row],[Site Name]],SiteDB6[[Site Name]:[Lat]],12,FALSE)</f>
        <v>20.564739227</v>
      </c>
      <c r="CP316" s="699">
        <f>VLOOKUP(WWWW[[#This Row],[Site Name]],SiteDB6[[Site Name]:[Long]],13,FALSE)</f>
        <v>93.064781189000001</v>
      </c>
      <c r="CQ316" s="699" t="str">
        <f>VLOOKUP(WWWW[[#This Row],[Site Name]],SiteDB6[[Site Name]:[Pcode]],3,FALSE)</f>
        <v>196331</v>
      </c>
      <c r="CR316" s="660" t="str">
        <f t="shared" si="7"/>
        <v>Notcovered</v>
      </c>
      <c r="CS316" s="699"/>
      <c r="CT316" s="24"/>
      <c r="CU316" s="24"/>
      <c r="CV316" s="24"/>
    </row>
    <row r="317" spans="1:100" ht="15.75" customHeight="1" x14ac:dyDescent="0.25">
      <c r="A317" s="833" t="s">
        <v>3206</v>
      </c>
      <c r="B317" s="206" t="s">
        <v>460</v>
      </c>
      <c r="C317" s="206" t="s">
        <v>454</v>
      </c>
      <c r="D317" s="206" t="s">
        <v>618</v>
      </c>
      <c r="E317" s="206" t="s">
        <v>634</v>
      </c>
      <c r="F317" s="206">
        <f>ROUND(WWWW[[#This Row],[Total PoP ]]/5,0)</f>
        <v>291</v>
      </c>
      <c r="G317" s="209">
        <v>1455</v>
      </c>
      <c r="H317" s="206"/>
      <c r="I317" s="206"/>
      <c r="J317" s="207"/>
      <c r="K317" s="206"/>
      <c r="L317" s="206" t="s">
        <v>282</v>
      </c>
      <c r="M317" s="208">
        <v>0</v>
      </c>
      <c r="N317" s="208">
        <v>0</v>
      </c>
      <c r="O317" s="316">
        <v>0</v>
      </c>
      <c r="P317" s="317">
        <v>0</v>
      </c>
      <c r="Q317" s="317"/>
      <c r="R317" s="318"/>
      <c r="S317" s="318">
        <v>0</v>
      </c>
      <c r="T317" s="318"/>
      <c r="U317" s="318"/>
      <c r="V317" s="318"/>
      <c r="W317" s="318"/>
      <c r="X317" s="318"/>
      <c r="Y317" s="318"/>
      <c r="Z317" s="318"/>
      <c r="AA317" s="310">
        <v>44</v>
      </c>
      <c r="AB317" s="310"/>
      <c r="AC317" s="66"/>
      <c r="AD317" s="66"/>
      <c r="AE317" s="310">
        <v>44</v>
      </c>
      <c r="AF317" s="310" t="s">
        <v>286</v>
      </c>
      <c r="AG317" s="311" t="s">
        <v>286</v>
      </c>
      <c r="AH317" s="311"/>
      <c r="AI317" s="310"/>
      <c r="AJ317" s="310"/>
      <c r="AK317" s="841">
        <v>0</v>
      </c>
      <c r="AL317" s="842"/>
      <c r="AM317" s="842">
        <v>0</v>
      </c>
      <c r="AN317" s="863"/>
      <c r="AO317" s="863">
        <v>0</v>
      </c>
      <c r="AP317" s="843"/>
      <c r="AQ317" s="843"/>
      <c r="AR317" s="843"/>
      <c r="AS317" s="843"/>
      <c r="AT317" s="843"/>
      <c r="AU317" s="843"/>
      <c r="AV317" s="844"/>
      <c r="AW317" s="208" t="str">
        <f>IFERROR(WWWW[[#This Row],['# of Water passed at source]]/WWWW[[#This Row],['# of Water tested at source]],"no test")</f>
        <v>no test</v>
      </c>
      <c r="AX317" s="211" t="str">
        <f>IFERROR(WWWW[[#This Row],['# of Water passed at HH]]/WWWW[[#This Row],['# of Water tested at HH]],"no test")</f>
        <v>no test</v>
      </c>
      <c r="AY317" s="210" t="str">
        <f>IF(AND(WWWW[[#This Row],[%of Water samples which passed at water source]]="no test",WWWW[[#This Row],[%Water samples which passed at HH]]="no test"),"No Test","Tested")</f>
        <v>No Test</v>
      </c>
      <c r="AZ31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1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17" s="211">
        <f>IF(WWWW[[#This Row],[Location Type 1]]="Village",WWWW[[#This Row],[Access to safe drinking water for Village]],WWWW[[#This Row],[Access to safe drinking water for Camp]])</f>
        <v>0</v>
      </c>
      <c r="BC317" s="209">
        <f>WWWW[[#This Row],[%Equitable and continuous access to sufficient quantity of safe drinking water]]*WWWW[[#This Row],[Total PoP ]]</f>
        <v>0</v>
      </c>
      <c r="BD317" s="211">
        <f>IF((WWWW[[#This Row],['# Existing protected/fenced ponds ]]*250)/WWWW[[#This Row],[Total PoP ]]&gt;1,1,WWWW[[#This Row],['# Existing protected/fenced ponds ]]*250/WWWW[[#This Row],[Total PoP ]])</f>
        <v>0</v>
      </c>
      <c r="BE317" s="209">
        <f>WWWW[[#This Row],[Access to unimproved water points]]*WWWW[[#This Row],[Total PoP ]]</f>
        <v>0</v>
      </c>
      <c r="BF31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1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17" s="209">
        <f>WWWW[[#This Row],['#people Equitable and continuous access to sufficient quantity of domestic water borehole n ponds_2]]/500</f>
        <v>0</v>
      </c>
      <c r="BI317" s="208">
        <f>1-WWWW[[#This Row],[%Equitable and continuous access to sufficient quantity of domestic water borehole n ponds]]</f>
        <v>1</v>
      </c>
      <c r="BJ317" s="209">
        <f>WWWW[[#This Row],[%equitable and continuous access to sufficient quantity of safe drinking and domestic water''s GAP]]*WWWW[[#This Row],[Total PoP ]]</f>
        <v>1455</v>
      </c>
      <c r="BK317" s="210">
        <f>IF(WWWW[[#This Row],[Total required water points]]-WWWW[[#This Row],['#Water points coverage]]&lt;0,0,WWWW[[#This Row],[Total required water points]]-WWWW[[#This Row],['#Water points coverage]])</f>
        <v>3</v>
      </c>
      <c r="BL317" s="210">
        <f>ROUND(IF(WWWW[[#This Row],[Total PoP ]]&lt;500,1,WWWW[[#This Row],[Total PoP ]]/500),0)</f>
        <v>3</v>
      </c>
      <c r="BM317" s="210">
        <f>WWWW[[#This Row],['# Existing functional latrines]]+WWWW[[#This Row],['# Existing latrines dysfunctional]]</f>
        <v>44</v>
      </c>
      <c r="BN31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0.18144329896907216</v>
      </c>
      <c r="BO317" s="352">
        <f>WWWW[[#This Row],[% people access to functioning Latrine]]*WWWW[[#This Row],[Total PoP ]]</f>
        <v>264</v>
      </c>
      <c r="BP31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0.8206185567010309</v>
      </c>
      <c r="BQ317" s="209">
        <f>IF(WWWW[[#This Row],[Total required Latrines]]-WWWW[[#This Row],[Total '# of latrine]]&lt;0,0,WWWW[[#This Row],[Total required Latrines]]-WWWW[[#This Row],[Total '# of latrine]])</f>
        <v>199</v>
      </c>
      <c r="BR317" s="210">
        <f>ROUND(IF(WWWW[[#This Row],[Location Type 1]]="camp",WWWW[[#This Row],[Total PoP ]]/20,WWWW[[#This Row],[Total PoP ]]/6),0)</f>
        <v>243</v>
      </c>
      <c r="BS317" s="212">
        <f>IF(OR(WWWW[[#This Row],['# Existing latrines dysfunctional]]="",WWWW[[#This Row],['# Existing latrines dysfunctional]]=0),0,WWWW[[#This Row],['# Existing latrines dysfunctional]]/WWWW[[#This Row],[Total '# of latrine]])</f>
        <v>0</v>
      </c>
      <c r="BT31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7" s="209">
        <f>IF(500*WWWW[[#This Row],['# Hygiene Promoters ]]&gt;WWWW[[#This Row],[Total PoP ]],WWWW[[#This Row],[Total PoP ]],500*WWWW[[#This Row],['# Hygiene Promoters ]])</f>
        <v>0</v>
      </c>
      <c r="BV317" s="209">
        <f>IF(WWWW[[#This Row],[% of HH with access to Sanitary Pad]]&gt;=100%,1,0)</f>
        <v>0</v>
      </c>
      <c r="BW317" s="209">
        <f>IF(WWWW[[#This Row],[Total PoP ]]=0,0,IF(WWWW[[#This Row],['# Hygiene Promoters ]]=0,0,IF(WWWW[[#This Row],[Location Type 1]]="Village",IF(WWWW[[#This Row],[Total PoP ]]/WWWW[[#This Row],['# Hygiene Promoters ]]&lt;1000,1,0),IF(WWWW[[#This Row],[Total PoP ]]/WWWW[[#This Row],['# Hygiene Promoters ]]&lt;600,1,0))))</f>
        <v>0</v>
      </c>
      <c r="BX317" s="209">
        <f>IF(WWWW[[#This Row],[%HH with access to soap]]&gt;=100%,1,0)</f>
        <v>0</v>
      </c>
      <c r="BY317" s="209">
        <f>IF(WWWW[[#This Row],[% of HHs with access to Sanitary pad more than '#%]]+WWWW[[#This Row],[Ratio of Hyiene promoters to people less than '#]]+WWWW[[#This Row],[% of HHs with access to soap more than '#%]]&gt;=2,WWWW[[#This Row],[Total PoP ]],0)</f>
        <v>0</v>
      </c>
      <c r="BZ317" s="208">
        <f>WWWW[[#This Row],[People adopt basic personal and community hygiene practices]]/WWWW[[#This Row],[Total PoP ]]</f>
        <v>0</v>
      </c>
      <c r="CA317" s="212">
        <f>1-WWWW[[#This Row],[Hygiene Coverage%]]</f>
        <v>1</v>
      </c>
      <c r="CB317" s="211">
        <f>WWWW[[#This Row],['# people reached by regular dedicated hygiene promotion_5]]/WWWW[[#This Row],[Total PoP ]]</f>
        <v>0</v>
      </c>
      <c r="CC317" s="211">
        <f>IF(WWWW[[#This Row],['# HH received soaps]]/WWWW[[#This Row],[Total HH]]&gt;1,1,WWWW[[#This Row],['# HH received soaps]]/WWWW[[#This Row],[Total HH]])</f>
        <v>0</v>
      </c>
      <c r="CD317" s="211">
        <f>IF(WWWW[[#This Row],['# HH received Sanitary Pads]]/WWWW[[#This Row],[Total HH]]&gt;1,1,WWWW[[#This Row],['# HH received Sanitary Pads]]/WWWW[[#This Row],[Total HH]])</f>
        <v>0</v>
      </c>
      <c r="CE317" s="210">
        <f>WWWW[[#This Row],['# HH received soaps]]*5</f>
        <v>0</v>
      </c>
      <c r="CF317" s="210">
        <f>WWWW[[#This Row],['# HH received Sanitary Pads]]*5</f>
        <v>0</v>
      </c>
      <c r="CG317" s="210">
        <f>IF(WWWW[[#This Row],['# People with access to soap]]&gt;WWWW[[#This Row],['# People with access to Sanity Pads]],WWWW[[#This Row],['# People with access to soap]],WWWW[[#This Row],['# People with access to Sanity Pads]])</f>
        <v>0</v>
      </c>
      <c r="CH317" s="209">
        <f>WWWW[[#This Row],[Total HH]]*WWWW[[#This Row],[%HHs with access to functional hand washing stations]]</f>
        <v>0</v>
      </c>
      <c r="CI317" s="699">
        <f>VLOOKUP(WWWW[[#This Row],[Site Name]],SiteDB6[[Site Name]:[CCCM Management]],6,FALSE)</f>
        <v>0</v>
      </c>
      <c r="CJ317" s="699">
        <f>VLOOKUP(WWWW[[#This Row],[Site Name]],SiteDB6[[Site Name]:[CCCM Focal Agency]],7,FALSE)</f>
        <v>0</v>
      </c>
      <c r="CK317" s="699" t="str">
        <f>VLOOKUP(WWWW[[#This Row],[Site Name]],SiteDB6[[Site Name]:[Location Type]],8,FALSE)</f>
        <v>Village</v>
      </c>
      <c r="CL317" s="699" t="str">
        <f>VLOOKUP(WWWW[[#This Row],[Site Name]],SiteDB6[[Site Name]:[Location Type 1]],9,FALSE)</f>
        <v>Village</v>
      </c>
      <c r="CM317" s="699" t="str">
        <f>VLOOKUP(WWWW[[#This Row],[Site Name]],SiteDB6[[Site Name]:[Type of Accommodation]],10,FALSE)</f>
        <v>Village</v>
      </c>
      <c r="CN317" s="699" t="str">
        <f>VLOOKUP(WWWW[[#This Row],[Site Name]],SiteDB6[[Site Name]:[Ethnic or GCA/NGCA]],11,FALSE)</f>
        <v>Rakhine</v>
      </c>
      <c r="CO317" s="699">
        <f>VLOOKUP(WWWW[[#This Row],[Site Name]],SiteDB6[[Site Name]:[Lat]],12,FALSE)</f>
        <v>20.424389999999999</v>
      </c>
      <c r="CP317" s="699">
        <f>VLOOKUP(WWWW[[#This Row],[Site Name]],SiteDB6[[Site Name]:[Long]],13,FALSE)</f>
        <v>93.012960000000007</v>
      </c>
      <c r="CQ317" s="699" t="str">
        <f>VLOOKUP(WWWW[[#This Row],[Site Name]],SiteDB6[[Site Name]:[Pcode]],3,FALSE)</f>
        <v>196356</v>
      </c>
      <c r="CR317" s="660" t="str">
        <f t="shared" si="7"/>
        <v>Notcovered</v>
      </c>
      <c r="CS317" s="660"/>
      <c r="CT317" s="24"/>
      <c r="CU317" s="24"/>
      <c r="CV317" s="24"/>
    </row>
    <row r="318" spans="1:100" ht="15.75" customHeight="1" x14ac:dyDescent="0.25">
      <c r="A318" s="833" t="s">
        <v>3206</v>
      </c>
      <c r="B318" s="206" t="s">
        <v>460</v>
      </c>
      <c r="C318" s="206" t="s">
        <v>454</v>
      </c>
      <c r="D318" s="206" t="s">
        <v>498</v>
      </c>
      <c r="E318" s="206" t="s">
        <v>664</v>
      </c>
      <c r="F318" s="206">
        <v>367</v>
      </c>
      <c r="G318" s="209">
        <v>1768</v>
      </c>
      <c r="H318" s="206"/>
      <c r="I318" s="206"/>
      <c r="J318" s="207"/>
      <c r="K318" s="206">
        <v>0</v>
      </c>
      <c r="L318" s="206" t="s">
        <v>48</v>
      </c>
      <c r="M318" s="208"/>
      <c r="N318" s="208"/>
      <c r="O318" s="316">
        <v>0</v>
      </c>
      <c r="P318" s="317">
        <v>0</v>
      </c>
      <c r="Q318" s="317">
        <v>0</v>
      </c>
      <c r="R318" s="318">
        <v>3</v>
      </c>
      <c r="S318" s="318">
        <v>0</v>
      </c>
      <c r="T318" s="318"/>
      <c r="U318" s="318"/>
      <c r="V318" s="318"/>
      <c r="W318" s="318"/>
      <c r="X318" s="318"/>
      <c r="Y318" s="318"/>
      <c r="Z318" s="318"/>
      <c r="AA318" s="310">
        <v>0</v>
      </c>
      <c r="AB318" s="310">
        <v>0</v>
      </c>
      <c r="AC318" s="66"/>
      <c r="AD318" s="66"/>
      <c r="AE318" s="310">
        <v>0</v>
      </c>
      <c r="AF318" s="310" t="s">
        <v>332</v>
      </c>
      <c r="AG318" s="311" t="s">
        <v>332</v>
      </c>
      <c r="AH318" s="311"/>
      <c r="AI318" s="310"/>
      <c r="AJ318" s="310"/>
      <c r="AK318" s="841">
        <v>0</v>
      </c>
      <c r="AL318" s="842" t="s">
        <v>284</v>
      </c>
      <c r="AM318" s="842">
        <v>0</v>
      </c>
      <c r="AN318" s="863">
        <v>0</v>
      </c>
      <c r="AO318" s="863">
        <v>7</v>
      </c>
      <c r="AP318" s="843"/>
      <c r="AQ318" s="843"/>
      <c r="AR318" s="843"/>
      <c r="AS318" s="843"/>
      <c r="AT318" s="843"/>
      <c r="AU318" s="843"/>
      <c r="AV318" s="844"/>
      <c r="AW318" s="208" t="str">
        <f>IFERROR(WWWW[[#This Row],['# of Water passed at source]]/WWWW[[#This Row],['# of Water tested at source]],"no test")</f>
        <v>no test</v>
      </c>
      <c r="AX318" s="211" t="str">
        <f>IFERROR(WWWW[[#This Row],['# of Water passed at HH]]/WWWW[[#This Row],['# of Water tested at HH]],"no test")</f>
        <v>no test</v>
      </c>
      <c r="AY318" s="210" t="str">
        <f>IF(AND(WWWW[[#This Row],[%of Water samples which passed at water source]]="no test",WWWW[[#This Row],[%Water samples which passed at HH]]="no test"),"No Test","Tested")</f>
        <v>No Test</v>
      </c>
      <c r="AZ31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1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18" s="211">
        <f>IF(WWWW[[#This Row],[Location Type 1]]="Village",WWWW[[#This Row],[Access to safe drinking water for Village]],WWWW[[#This Row],[Access to safe drinking water for Camp]])</f>
        <v>0</v>
      </c>
      <c r="BC318" s="209">
        <f>WWWW[[#This Row],[%Equitable and continuous access to sufficient quantity of safe drinking water]]*WWWW[[#This Row],[Total PoP ]]</f>
        <v>0</v>
      </c>
      <c r="BD318" s="211">
        <f>IF((WWWW[[#This Row],['# Existing protected/fenced ponds ]]*250)/WWWW[[#This Row],[Total PoP ]]&gt;1,1,WWWW[[#This Row],['# Existing protected/fenced ponds ]]*250/WWWW[[#This Row],[Total PoP ]])</f>
        <v>0.42420814479638008</v>
      </c>
      <c r="BE318" s="209">
        <f>WWWW[[#This Row],[Access to unimproved water points]]*WWWW[[#This Row],[Total PoP ]]</f>
        <v>750</v>
      </c>
      <c r="BF31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0.42420814479638008</v>
      </c>
      <c r="BG31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H318" s="209">
        <f>WWWW[[#This Row],['#people Equitable and continuous access to sufficient quantity of domestic water borehole n ponds_2]]/500</f>
        <v>1.5</v>
      </c>
      <c r="BI318" s="208">
        <f>1-WWWW[[#This Row],[%Equitable and continuous access to sufficient quantity of domestic water borehole n ponds]]</f>
        <v>0.57579185520361986</v>
      </c>
      <c r="BJ318" s="209">
        <f>WWWW[[#This Row],[%equitable and continuous access to sufficient quantity of safe drinking and domestic water''s GAP]]*WWWW[[#This Row],[Total PoP ]]</f>
        <v>1017.9999999999999</v>
      </c>
      <c r="BK318" s="210">
        <f>IF(WWWW[[#This Row],[Total required water points]]-WWWW[[#This Row],['#Water points coverage]]&lt;0,0,WWWW[[#This Row],[Total required water points]]-WWWW[[#This Row],['#Water points coverage]])</f>
        <v>2.5</v>
      </c>
      <c r="BL318" s="210">
        <f>ROUND(IF(WWWW[[#This Row],[Total PoP ]]&lt;500,1,WWWW[[#This Row],[Total PoP ]]/500),0)</f>
        <v>4</v>
      </c>
      <c r="BM318" s="210">
        <f>WWWW[[#This Row],['# Existing functional latrines]]+WWWW[[#This Row],['# Existing latrines dysfunctional]]</f>
        <v>0</v>
      </c>
      <c r="BN31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18" s="352">
        <f>WWWW[[#This Row],[% people access to functioning Latrine]]*WWWW[[#This Row],[Total PoP ]]</f>
        <v>0</v>
      </c>
      <c r="BP31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18" s="209">
        <f>IF(WWWW[[#This Row],[Total required Latrines]]-WWWW[[#This Row],[Total '# of latrine]]&lt;0,0,WWWW[[#This Row],[Total required Latrines]]-WWWW[[#This Row],[Total '# of latrine]])</f>
        <v>295</v>
      </c>
      <c r="BR318" s="210">
        <f>ROUND(IF(WWWW[[#This Row],[Location Type 1]]="camp",WWWW[[#This Row],[Total PoP ]]/20,WWWW[[#This Row],[Total PoP ]]/6),0)</f>
        <v>295</v>
      </c>
      <c r="BS318" s="212">
        <f>IF(OR(WWWW[[#This Row],['# Existing latrines dysfunctional]]="",WWWW[[#This Row],['# Existing latrines dysfunctional]]=0),0,WWWW[[#This Row],['# Existing latrines dysfunctional]]/WWWW[[#This Row],[Total '# of latrine]])</f>
        <v>0</v>
      </c>
      <c r="BT31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8" s="209">
        <f>IF(500*WWWW[[#This Row],['# Hygiene Promoters ]]&gt;WWWW[[#This Row],[Total PoP ]],WWWW[[#This Row],[Total PoP ]],500*WWWW[[#This Row],['# Hygiene Promoters ]])</f>
        <v>1768</v>
      </c>
      <c r="BV318" s="209">
        <f>IF(WWWW[[#This Row],[% of HH with access to Sanitary Pad]]&gt;=100%,1,0)</f>
        <v>0</v>
      </c>
      <c r="BW318" s="209">
        <f>IF(WWWW[[#This Row],[Total PoP ]]=0,0,IF(WWWW[[#This Row],['# Hygiene Promoters ]]=0,0,IF(WWWW[[#This Row],[Location Type 1]]="Village",IF(WWWW[[#This Row],[Total PoP ]]/WWWW[[#This Row],['# Hygiene Promoters ]]&lt;1000,1,0),IF(WWWW[[#This Row],[Total PoP ]]/WWWW[[#This Row],['# Hygiene Promoters ]]&lt;600,1,0))))</f>
        <v>1</v>
      </c>
      <c r="BX318" s="209">
        <f>IF(WWWW[[#This Row],[%HH with access to soap]]&gt;=100%,1,0)</f>
        <v>0</v>
      </c>
      <c r="BY318" s="209">
        <f>IF(WWWW[[#This Row],[% of HHs with access to Sanitary pad more than '#%]]+WWWW[[#This Row],[Ratio of Hyiene promoters to people less than '#]]+WWWW[[#This Row],[% of HHs with access to soap more than '#%]]&gt;=2,WWWW[[#This Row],[Total PoP ]],0)</f>
        <v>0</v>
      </c>
      <c r="BZ318" s="208">
        <f>WWWW[[#This Row],[People adopt basic personal and community hygiene practices]]/WWWW[[#This Row],[Total PoP ]]</f>
        <v>0</v>
      </c>
      <c r="CA318" s="212">
        <f>1-WWWW[[#This Row],[Hygiene Coverage%]]</f>
        <v>1</v>
      </c>
      <c r="CB318" s="211">
        <f>WWWW[[#This Row],['# people reached by regular dedicated hygiene promotion_5]]/WWWW[[#This Row],[Total PoP ]]</f>
        <v>1</v>
      </c>
      <c r="CC318" s="211">
        <f>IF(WWWW[[#This Row],['# HH received soaps]]/WWWW[[#This Row],[Total HH]]&gt;1,1,WWWW[[#This Row],['# HH received soaps]]/WWWW[[#This Row],[Total HH]])</f>
        <v>0</v>
      </c>
      <c r="CD318" s="211">
        <f>IF(WWWW[[#This Row],['# HH received Sanitary Pads]]/WWWW[[#This Row],[Total HH]]&gt;1,1,WWWW[[#This Row],['# HH received Sanitary Pads]]/WWWW[[#This Row],[Total HH]])</f>
        <v>0</v>
      </c>
      <c r="CE318" s="210">
        <f>WWWW[[#This Row],['# HH received soaps]]*5</f>
        <v>0</v>
      </c>
      <c r="CF318" s="210">
        <f>WWWW[[#This Row],['# HH received Sanitary Pads]]*5</f>
        <v>0</v>
      </c>
      <c r="CG318" s="210">
        <f>IF(WWWW[[#This Row],['# People with access to soap]]&gt;WWWW[[#This Row],['# People with access to Sanity Pads]],WWWW[[#This Row],['# People with access to soap]],WWWW[[#This Row],['# People with access to Sanity Pads]])</f>
        <v>0</v>
      </c>
      <c r="CH318" s="209">
        <f>WWWW[[#This Row],[Total HH]]*WWWW[[#This Row],[%HHs with access to functional hand washing stations]]</f>
        <v>0</v>
      </c>
      <c r="CI318" s="699">
        <f>VLOOKUP(WWWW[[#This Row],[Site Name]],SiteDB6[[Site Name]:[CCCM Management]],6,FALSE)</f>
        <v>0</v>
      </c>
      <c r="CJ318" s="699">
        <f>VLOOKUP(WWWW[[#This Row],[Site Name]],SiteDB6[[Site Name]:[CCCM Focal Agency]],7,FALSE)</f>
        <v>0</v>
      </c>
      <c r="CK318" s="699" t="str">
        <f>VLOOKUP(WWWW[[#This Row],[Site Name]],SiteDB6[[Site Name]:[Location Type]],8,FALSE)</f>
        <v>Village</v>
      </c>
      <c r="CL318" s="699" t="str">
        <f>VLOOKUP(WWWW[[#This Row],[Site Name]],SiteDB6[[Site Name]:[Location Type 1]],9,FALSE)</f>
        <v>Village</v>
      </c>
      <c r="CM318" s="699" t="str">
        <f>VLOOKUP(WWWW[[#This Row],[Site Name]],SiteDB6[[Site Name]:[Type of Accommodation]],10,FALSE)</f>
        <v>Village</v>
      </c>
      <c r="CN318" s="699" t="str">
        <f>VLOOKUP(WWWW[[#This Row],[Site Name]],SiteDB6[[Site Name]:[Ethnic or GCA/NGCA]],11,FALSE)</f>
        <v>Muslim</v>
      </c>
      <c r="CO318" s="699">
        <f>VLOOKUP(WWWW[[#This Row],[Site Name]],SiteDB6[[Site Name]:[Lat]],12,FALSE)</f>
        <v>20.555610656738299</v>
      </c>
      <c r="CP318" s="699">
        <f>VLOOKUP(WWWW[[#This Row],[Site Name]],SiteDB6[[Site Name]:[Long]],13,FALSE)</f>
        <v>92.643516540527301</v>
      </c>
      <c r="CQ318" s="699">
        <f>VLOOKUP(WWWW[[#This Row],[Site Name]],SiteDB6[[Site Name]:[Pcode]],3,FALSE)</f>
        <v>197593</v>
      </c>
      <c r="CR318" s="660" t="str">
        <f t="shared" si="7"/>
        <v>Notcovered</v>
      </c>
      <c r="CS318" s="660" t="s">
        <v>2797</v>
      </c>
      <c r="CT318" s="24"/>
      <c r="CU318" s="24"/>
      <c r="CV318" s="24"/>
    </row>
    <row r="319" spans="1:100" ht="15.75" customHeight="1" x14ac:dyDescent="0.25">
      <c r="A319" s="833" t="s">
        <v>3206</v>
      </c>
      <c r="B319" s="206" t="s">
        <v>460</v>
      </c>
      <c r="C319" s="206" t="s">
        <v>454</v>
      </c>
      <c r="D319" s="206" t="s">
        <v>498</v>
      </c>
      <c r="E319" s="206" t="s">
        <v>632</v>
      </c>
      <c r="F319" s="206">
        <v>425</v>
      </c>
      <c r="G319" s="209">
        <v>2552</v>
      </c>
      <c r="H319" s="206"/>
      <c r="I319" s="206" t="s">
        <v>391</v>
      </c>
      <c r="J319" s="207">
        <v>43220</v>
      </c>
      <c r="K319" s="206"/>
      <c r="L319" s="206" t="s">
        <v>48</v>
      </c>
      <c r="M319" s="208">
        <v>0.5</v>
      </c>
      <c r="N319" s="208">
        <v>0</v>
      </c>
      <c r="O319" s="323">
        <v>48</v>
      </c>
      <c r="P319" s="317">
        <v>0</v>
      </c>
      <c r="Q319" s="317">
        <v>0</v>
      </c>
      <c r="R319" s="318">
        <v>0</v>
      </c>
      <c r="S319" s="318">
        <v>48</v>
      </c>
      <c r="T319" s="318"/>
      <c r="U319" s="318"/>
      <c r="V319" s="318"/>
      <c r="W319" s="318"/>
      <c r="X319" s="318"/>
      <c r="Y319" s="318"/>
      <c r="Z319" s="318" t="s">
        <v>2458</v>
      </c>
      <c r="AA319" s="310">
        <v>328</v>
      </c>
      <c r="AB319" s="311">
        <v>0</v>
      </c>
      <c r="AC319" s="66"/>
      <c r="AD319" s="66"/>
      <c r="AE319" s="310">
        <v>0</v>
      </c>
      <c r="AF319" s="310" t="s">
        <v>286</v>
      </c>
      <c r="AG319" s="311" t="s">
        <v>286</v>
      </c>
      <c r="AH319" s="66"/>
      <c r="AI319" s="66"/>
      <c r="AJ319" s="311"/>
      <c r="AK319" s="841">
        <v>0</v>
      </c>
      <c r="AL319" s="846"/>
      <c r="AM319" s="844">
        <v>580</v>
      </c>
      <c r="AN319" s="863">
        <v>0</v>
      </c>
      <c r="AO319" s="863">
        <v>0</v>
      </c>
      <c r="AP319" s="843"/>
      <c r="AQ319" s="843"/>
      <c r="AR319" s="843"/>
      <c r="AS319" s="843"/>
      <c r="AT319" s="843"/>
      <c r="AU319" s="843"/>
      <c r="AV319" s="844"/>
      <c r="AW319" s="208" t="str">
        <f>IFERROR(WWWW[[#This Row],['# of Water passed at source]]/WWWW[[#This Row],['# of Water tested at source]],"no test")</f>
        <v>no test</v>
      </c>
      <c r="AX319" s="211" t="str">
        <f>IFERROR(WWWW[[#This Row],['# of Water passed at HH]]/WWWW[[#This Row],['# of Water tested at HH]],"no test")</f>
        <v>no test</v>
      </c>
      <c r="AY319" s="210" t="str">
        <f>IF(AND(WWWW[[#This Row],[%of Water samples which passed at water source]]="no test",WWWW[[#This Row],[%Water samples which passed at HH]]="no test"),"No Test","Tested")</f>
        <v>No Test</v>
      </c>
      <c r="AZ31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1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19" s="211">
        <f>IF(WWWW[[#This Row],[Location Type 1]]="Village",WWWW[[#This Row],[Access to safe drinking water for Village]],WWWW[[#This Row],[Access to safe drinking water for Camp]])</f>
        <v>1</v>
      </c>
      <c r="BC319" s="209">
        <f>WWWW[[#This Row],[%Equitable and continuous access to sufficient quantity of safe drinking water]]*WWWW[[#This Row],[Total PoP ]]</f>
        <v>2552</v>
      </c>
      <c r="BD319" s="211">
        <f>IF((WWWW[[#This Row],['# Existing protected/fenced ponds ]]*250)/WWWW[[#This Row],[Total PoP ]]&gt;1,1,WWWW[[#This Row],['# Existing protected/fenced ponds ]]*250/WWWW[[#This Row],[Total PoP ]])</f>
        <v>0</v>
      </c>
      <c r="BE319" s="209">
        <f>WWWW[[#This Row],[Access to unimproved water points]]*WWWW[[#This Row],[Total PoP ]]</f>
        <v>0</v>
      </c>
      <c r="BF31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1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2552</v>
      </c>
      <c r="BH319" s="209">
        <f>WWWW[[#This Row],['#people Equitable and continuous access to sufficient quantity of domestic water borehole n ponds_2]]/500</f>
        <v>5.1040000000000001</v>
      </c>
      <c r="BI319" s="208">
        <f>1-WWWW[[#This Row],[%Equitable and continuous access to sufficient quantity of domestic water borehole n ponds]]</f>
        <v>0</v>
      </c>
      <c r="BJ319" s="209">
        <f>WWWW[[#This Row],[%equitable and continuous access to sufficient quantity of safe drinking and domestic water''s GAP]]*WWWW[[#This Row],[Total PoP ]]</f>
        <v>0</v>
      </c>
      <c r="BK319" s="210">
        <f>IF(WWWW[[#This Row],[Total required water points]]-WWWW[[#This Row],['#Water points coverage]]&lt;0,0,WWWW[[#This Row],[Total required water points]]-WWWW[[#This Row],['#Water points coverage]])</f>
        <v>0</v>
      </c>
      <c r="BL319" s="210">
        <f>ROUND(IF(WWWW[[#This Row],[Total PoP ]]&lt;500,1,WWWW[[#This Row],[Total PoP ]]/500),0)</f>
        <v>5</v>
      </c>
      <c r="BM319" s="210">
        <f>WWWW[[#This Row],['# Existing functional latrines]]+WWWW[[#This Row],['# Existing latrines dysfunctional]]</f>
        <v>328</v>
      </c>
      <c r="BN31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0.7711598746081505</v>
      </c>
      <c r="BO319" s="352">
        <f>WWWW[[#This Row],[% people access to functioning Latrine]]*WWWW[[#This Row],[Total PoP ]]</f>
        <v>1968</v>
      </c>
      <c r="BP31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0.2280564263322884</v>
      </c>
      <c r="BQ319" s="209">
        <f>IF(WWWW[[#This Row],[Total required Latrines]]-WWWW[[#This Row],[Total '# of latrine]]&lt;0,0,WWWW[[#This Row],[Total required Latrines]]-WWWW[[#This Row],[Total '# of latrine]])</f>
        <v>97</v>
      </c>
      <c r="BR319" s="210">
        <f>ROUND(IF(WWWW[[#This Row],[Location Type 1]]="camp",WWWW[[#This Row],[Total PoP ]]/20,WWWW[[#This Row],[Total PoP ]]/6),0)</f>
        <v>425</v>
      </c>
      <c r="BS319" s="212">
        <f>IF(OR(WWWW[[#This Row],['# Existing latrines dysfunctional]]="",WWWW[[#This Row],['# Existing latrines dysfunctional]]=0),0,WWWW[[#This Row],['# Existing latrines dysfunctional]]/WWWW[[#This Row],[Total '# of latrine]])</f>
        <v>0</v>
      </c>
      <c r="BT31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19" s="209">
        <f>IF(500*WWWW[[#This Row],['# Hygiene Promoters ]]&gt;WWWW[[#This Row],[Total PoP ]],WWWW[[#This Row],[Total PoP ]],500*WWWW[[#This Row],['# Hygiene Promoters ]])</f>
        <v>0</v>
      </c>
      <c r="BV319" s="209">
        <f>IF(WWWW[[#This Row],[% of HH with access to Sanitary Pad]]&gt;=100%,1,0)</f>
        <v>0</v>
      </c>
      <c r="BW319" s="209">
        <f>IF(WWWW[[#This Row],[Total PoP ]]=0,0,IF(WWWW[[#This Row],['# Hygiene Promoters ]]=0,0,IF(WWWW[[#This Row],[Location Type 1]]="Village",IF(WWWW[[#This Row],[Total PoP ]]/WWWW[[#This Row],['# Hygiene Promoters ]]&lt;1000,1,0),IF(WWWW[[#This Row],[Total PoP ]]/WWWW[[#This Row],['# Hygiene Promoters ]]&lt;600,1,0))))</f>
        <v>0</v>
      </c>
      <c r="BX319" s="209">
        <f>IF(WWWW[[#This Row],[%HH with access to soap]]&gt;=100%,1,0)</f>
        <v>0</v>
      </c>
      <c r="BY319" s="209">
        <f>IF(WWWW[[#This Row],[% of HHs with access to Sanitary pad more than '#%]]+WWWW[[#This Row],[Ratio of Hyiene promoters to people less than '#]]+WWWW[[#This Row],[% of HHs with access to soap more than '#%]]&gt;=2,WWWW[[#This Row],[Total PoP ]],0)</f>
        <v>0</v>
      </c>
      <c r="BZ319" s="208">
        <f>WWWW[[#This Row],[People adopt basic personal and community hygiene practices]]/WWWW[[#This Row],[Total PoP ]]</f>
        <v>0</v>
      </c>
      <c r="CA319" s="212">
        <f>1-WWWW[[#This Row],[Hygiene Coverage%]]</f>
        <v>1</v>
      </c>
      <c r="CB319" s="211">
        <f>WWWW[[#This Row],['# people reached by regular dedicated hygiene promotion_5]]/WWWW[[#This Row],[Total PoP ]]</f>
        <v>0</v>
      </c>
      <c r="CC319" s="211">
        <f>IF(WWWW[[#This Row],['# HH received soaps]]/WWWW[[#This Row],[Total HH]]&gt;1,1,WWWW[[#This Row],['# HH received soaps]]/WWWW[[#This Row],[Total HH]])</f>
        <v>0</v>
      </c>
      <c r="CD319" s="211">
        <f>IF(WWWW[[#This Row],['# HH received Sanitary Pads]]/WWWW[[#This Row],[Total HH]]&gt;1,1,WWWW[[#This Row],['# HH received Sanitary Pads]]/WWWW[[#This Row],[Total HH]])</f>
        <v>0</v>
      </c>
      <c r="CE319" s="210">
        <f>WWWW[[#This Row],['# HH received soaps]]*5</f>
        <v>0</v>
      </c>
      <c r="CF319" s="210">
        <f>WWWW[[#This Row],['# HH received Sanitary Pads]]*5</f>
        <v>0</v>
      </c>
      <c r="CG319" s="210">
        <f>IF(WWWW[[#This Row],['# People with access to soap]]&gt;WWWW[[#This Row],['# People with access to Sanity Pads]],WWWW[[#This Row],['# People with access to soap]],WWWW[[#This Row],['# People with access to Sanity Pads]])</f>
        <v>0</v>
      </c>
      <c r="CH319" s="209">
        <f>WWWW[[#This Row],[Total HH]]*WWWW[[#This Row],[%HHs with access to functional hand washing stations]]</f>
        <v>0</v>
      </c>
      <c r="CI319" s="699">
        <f>VLOOKUP(WWWW[[#This Row],[Site Name]],SiteDB6[[Site Name]:[CCCM Management]],6,FALSE)</f>
        <v>0</v>
      </c>
      <c r="CJ319" s="699">
        <f>VLOOKUP(WWWW[[#This Row],[Site Name]],SiteDB6[[Site Name]:[CCCM Focal Agency]],7,FALSE)</f>
        <v>0</v>
      </c>
      <c r="CK319" s="699" t="str">
        <f>VLOOKUP(WWWW[[#This Row],[Site Name]],SiteDB6[[Site Name]:[Location Type]],8,FALSE)</f>
        <v>Village</v>
      </c>
      <c r="CL319" s="699" t="str">
        <f>VLOOKUP(WWWW[[#This Row],[Site Name]],SiteDB6[[Site Name]:[Location Type 1]],9,FALSE)</f>
        <v>Village</v>
      </c>
      <c r="CM319" s="699" t="str">
        <f>VLOOKUP(WWWW[[#This Row],[Site Name]],SiteDB6[[Site Name]:[Type of Accommodation]],10,FALSE)</f>
        <v>Returned</v>
      </c>
      <c r="CN319" s="699" t="str">
        <f>VLOOKUP(WWWW[[#This Row],[Site Name]],SiteDB6[[Site Name]:[Ethnic or GCA/NGCA]],11,FALSE)</f>
        <v>Muslim</v>
      </c>
      <c r="CO319" s="699">
        <f>VLOOKUP(WWWW[[#This Row],[Site Name]],SiteDB6[[Site Name]:[Lat]],12,FALSE)</f>
        <v>20.399269</v>
      </c>
      <c r="CP319" s="699">
        <f>VLOOKUP(WWWW[[#This Row],[Site Name]],SiteDB6[[Site Name]:[Long]],13,FALSE)</f>
        <v>92.781294000000003</v>
      </c>
      <c r="CQ319" s="699" t="str">
        <f>VLOOKUP(WWWW[[#This Row],[Site Name]],SiteDB6[[Site Name]:[Pcode]],3,FALSE)</f>
        <v>MMR012CMP032</v>
      </c>
      <c r="CR319" s="660" t="str">
        <f t="shared" si="7"/>
        <v>Notcovered</v>
      </c>
      <c r="CS319" s="699"/>
      <c r="CT319" s="24"/>
      <c r="CU319" s="24"/>
      <c r="CV319" s="24"/>
    </row>
    <row r="320" spans="1:100" ht="15.75" customHeight="1" x14ac:dyDescent="0.25">
      <c r="A320" s="833" t="s">
        <v>3206</v>
      </c>
      <c r="B320" s="206" t="s">
        <v>530</v>
      </c>
      <c r="C320" s="206" t="s">
        <v>454</v>
      </c>
      <c r="D320" s="206" t="s">
        <v>498</v>
      </c>
      <c r="E320" s="206" t="s">
        <v>531</v>
      </c>
      <c r="F320" s="206">
        <v>54</v>
      </c>
      <c r="G320" s="209">
        <v>276</v>
      </c>
      <c r="H320" s="206"/>
      <c r="I320" s="206" t="s">
        <v>388</v>
      </c>
      <c r="J320" s="207">
        <v>43145</v>
      </c>
      <c r="K320" s="206"/>
      <c r="L320" s="206"/>
      <c r="M320" s="208"/>
      <c r="N320" s="208"/>
      <c r="O320" s="316">
        <v>0</v>
      </c>
      <c r="P320" s="317">
        <v>1</v>
      </c>
      <c r="Q320" s="317">
        <v>0</v>
      </c>
      <c r="R320" s="318">
        <v>2</v>
      </c>
      <c r="S320" s="318">
        <v>1</v>
      </c>
      <c r="T320" s="318"/>
      <c r="U320" s="318"/>
      <c r="V320" s="318"/>
      <c r="W320" s="318"/>
      <c r="X320" s="318"/>
      <c r="Y320" s="318"/>
      <c r="Z320" s="318"/>
      <c r="AA320" s="310">
        <v>3</v>
      </c>
      <c r="AB320" s="310">
        <v>0</v>
      </c>
      <c r="AC320" s="66"/>
      <c r="AD320" s="66"/>
      <c r="AE320" s="310">
        <v>3</v>
      </c>
      <c r="AF320" s="310" t="s">
        <v>332</v>
      </c>
      <c r="AG320" s="311" t="s">
        <v>332</v>
      </c>
      <c r="AH320" s="311"/>
      <c r="AI320" s="310"/>
      <c r="AJ320" s="310" t="s">
        <v>2462</v>
      </c>
      <c r="AK320" s="841">
        <v>0</v>
      </c>
      <c r="AL320" s="842" t="s">
        <v>284</v>
      </c>
      <c r="AM320" s="842">
        <v>0</v>
      </c>
      <c r="AN320" s="863">
        <v>0</v>
      </c>
      <c r="AO320" s="863">
        <v>9</v>
      </c>
      <c r="AP320" s="843"/>
      <c r="AQ320" s="843"/>
      <c r="AR320" s="843"/>
      <c r="AS320" s="843"/>
      <c r="AT320" s="843"/>
      <c r="AU320" s="843"/>
      <c r="AV320" s="844"/>
      <c r="AW320" s="208" t="str">
        <f>IFERROR(WWWW[[#This Row],['# of Water passed at source]]/WWWW[[#This Row],['# of Water tested at source]],"no test")</f>
        <v>no test</v>
      </c>
      <c r="AX320" s="211" t="str">
        <f>IFERROR(WWWW[[#This Row],['# of Water passed at HH]]/WWWW[[#This Row],['# of Water tested at HH]],"no test")</f>
        <v>no test</v>
      </c>
      <c r="AY320" s="210" t="str">
        <f>IF(AND(WWWW[[#This Row],[%of Water samples which passed at water source]]="no test",WWWW[[#This Row],[%Water samples which passed at HH]]="no test"),"No Test","Tested")</f>
        <v>No Test</v>
      </c>
      <c r="AZ32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2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0.90579710144927539</v>
      </c>
      <c r="BB320" s="211">
        <f>IF(WWWW[[#This Row],[Location Type 1]]="Village",WWWW[[#This Row],[Access to safe drinking water for Village]],WWWW[[#This Row],[Access to safe drinking water for Camp]])</f>
        <v>0.90579710144927539</v>
      </c>
      <c r="BC320" s="209">
        <f>WWWW[[#This Row],[%Equitable and continuous access to sufficient quantity of safe drinking water]]*WWWW[[#This Row],[Total PoP ]]</f>
        <v>250</v>
      </c>
      <c r="BD320" s="211">
        <f>IF((WWWW[[#This Row],['# Existing protected/fenced ponds ]]*250)/WWWW[[#This Row],[Total PoP ]]&gt;1,1,WWWW[[#This Row],['# Existing protected/fenced ponds ]]*250/WWWW[[#This Row],[Total PoP ]])</f>
        <v>1</v>
      </c>
      <c r="BE320" s="209">
        <f>WWWW[[#This Row],[Access to unimproved water points]]*WWWW[[#This Row],[Total PoP ]]</f>
        <v>276</v>
      </c>
      <c r="BF32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2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276</v>
      </c>
      <c r="BH320" s="209">
        <f>WWWW[[#This Row],['#people Equitable and continuous access to sufficient quantity of domestic water borehole n ponds_2]]/500</f>
        <v>0.55200000000000005</v>
      </c>
      <c r="BI320" s="208">
        <f>1-WWWW[[#This Row],[%Equitable and continuous access to sufficient quantity of domestic water borehole n ponds]]</f>
        <v>0</v>
      </c>
      <c r="BJ320" s="209">
        <f>WWWW[[#This Row],[%equitable and continuous access to sufficient quantity of safe drinking and domestic water''s GAP]]*WWWW[[#This Row],[Total PoP ]]</f>
        <v>0</v>
      </c>
      <c r="BK320" s="210">
        <f>IF(WWWW[[#This Row],[Total required water points]]-WWWW[[#This Row],['#Water points coverage]]&lt;0,0,WWWW[[#This Row],[Total required water points]]-WWWW[[#This Row],['#Water points coverage]])</f>
        <v>0.44799999999999995</v>
      </c>
      <c r="BL320" s="210">
        <f>ROUND(IF(WWWW[[#This Row],[Total PoP ]]&lt;500,1,WWWW[[#This Row],[Total PoP ]]/500),0)</f>
        <v>1</v>
      </c>
      <c r="BM320" s="210">
        <f>WWWW[[#This Row],['# Existing functional latrines]]+WWWW[[#This Row],['# Existing latrines dysfunctional]]</f>
        <v>3</v>
      </c>
      <c r="BN32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6.5217391304347824E-2</v>
      </c>
      <c r="BO320" s="352">
        <f>WWWW[[#This Row],[% people access to functioning Latrine]]*WWWW[[#This Row],[Total PoP ]]</f>
        <v>18</v>
      </c>
      <c r="BP32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0.93478260869565222</v>
      </c>
      <c r="BQ320" s="209">
        <f>IF(WWWW[[#This Row],[Total required Latrines]]-WWWW[[#This Row],[Total '# of latrine]]&lt;0,0,WWWW[[#This Row],[Total required Latrines]]-WWWW[[#This Row],[Total '# of latrine]])</f>
        <v>43</v>
      </c>
      <c r="BR320" s="210">
        <f>ROUND(IF(WWWW[[#This Row],[Location Type 1]]="camp",WWWW[[#This Row],[Total PoP ]]/20,WWWW[[#This Row],[Total PoP ]]/6),0)</f>
        <v>46</v>
      </c>
      <c r="BS320" s="212">
        <f>IF(OR(WWWW[[#This Row],['# Existing latrines dysfunctional]]="",WWWW[[#This Row],['# Existing latrines dysfunctional]]=0),0,WWWW[[#This Row],['# Existing latrines dysfunctional]]/WWWW[[#This Row],[Total '# of latrine]])</f>
        <v>0</v>
      </c>
      <c r="BT32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0" s="209">
        <f>IF(500*WWWW[[#This Row],['# Hygiene Promoters ]]&gt;WWWW[[#This Row],[Total PoP ]],WWWW[[#This Row],[Total PoP ]],500*WWWW[[#This Row],['# Hygiene Promoters ]])</f>
        <v>276</v>
      </c>
      <c r="BV320" s="209">
        <f>IF(WWWW[[#This Row],[% of HH with access to Sanitary Pad]]&gt;=100%,1,0)</f>
        <v>0</v>
      </c>
      <c r="BW320" s="209">
        <f>IF(WWWW[[#This Row],[Total PoP ]]=0,0,IF(WWWW[[#This Row],['# Hygiene Promoters ]]=0,0,IF(WWWW[[#This Row],[Location Type 1]]="Village",IF(WWWW[[#This Row],[Total PoP ]]/WWWW[[#This Row],['# Hygiene Promoters ]]&lt;1000,1,0),IF(WWWW[[#This Row],[Total PoP ]]/WWWW[[#This Row],['# Hygiene Promoters ]]&lt;600,1,0))))</f>
        <v>1</v>
      </c>
      <c r="BX320" s="209">
        <f>IF(WWWW[[#This Row],[%HH with access to soap]]&gt;=100%,1,0)</f>
        <v>0</v>
      </c>
      <c r="BY320" s="209">
        <f>IF(WWWW[[#This Row],[% of HHs with access to Sanitary pad more than '#%]]+WWWW[[#This Row],[Ratio of Hyiene promoters to people less than '#]]+WWWW[[#This Row],[% of HHs with access to soap more than '#%]]&gt;=2,WWWW[[#This Row],[Total PoP ]],0)</f>
        <v>0</v>
      </c>
      <c r="BZ320" s="208">
        <f>WWWW[[#This Row],[People adopt basic personal and community hygiene practices]]/WWWW[[#This Row],[Total PoP ]]</f>
        <v>0</v>
      </c>
      <c r="CA320" s="212">
        <f>1-WWWW[[#This Row],[Hygiene Coverage%]]</f>
        <v>1</v>
      </c>
      <c r="CB320" s="211">
        <f>WWWW[[#This Row],['# people reached by regular dedicated hygiene promotion_5]]/WWWW[[#This Row],[Total PoP ]]</f>
        <v>1</v>
      </c>
      <c r="CC320" s="211">
        <f>IF(WWWW[[#This Row],['# HH received soaps]]/WWWW[[#This Row],[Total HH]]&gt;1,1,WWWW[[#This Row],['# HH received soaps]]/WWWW[[#This Row],[Total HH]])</f>
        <v>0</v>
      </c>
      <c r="CD320" s="211">
        <f>IF(WWWW[[#This Row],['# HH received Sanitary Pads]]/WWWW[[#This Row],[Total HH]]&gt;1,1,WWWW[[#This Row],['# HH received Sanitary Pads]]/WWWW[[#This Row],[Total HH]])</f>
        <v>0</v>
      </c>
      <c r="CE320" s="210">
        <f>WWWW[[#This Row],['# HH received soaps]]*5</f>
        <v>0</v>
      </c>
      <c r="CF320" s="210">
        <f>WWWW[[#This Row],['# HH received Sanitary Pads]]*5</f>
        <v>0</v>
      </c>
      <c r="CG320" s="210">
        <f>IF(WWWW[[#This Row],['# People with access to soap]]&gt;WWWW[[#This Row],['# People with access to Sanity Pads]],WWWW[[#This Row],['# People with access to soap]],WWWW[[#This Row],['# People with access to Sanity Pads]])</f>
        <v>0</v>
      </c>
      <c r="CH320" s="209">
        <f>WWWW[[#This Row],[Total HH]]*WWWW[[#This Row],[%HHs with access to functional hand washing stations]]</f>
        <v>0</v>
      </c>
      <c r="CI320" s="699">
        <f>VLOOKUP(WWWW[[#This Row],[Site Name]],SiteDB6[[Site Name]:[CCCM Management]],6,FALSE)</f>
        <v>0</v>
      </c>
      <c r="CJ320" s="699">
        <f>VLOOKUP(WWWW[[#This Row],[Site Name]],SiteDB6[[Site Name]:[CCCM Focal Agency]],7,FALSE)</f>
        <v>0</v>
      </c>
      <c r="CK320" s="699" t="str">
        <f>VLOOKUP(WWWW[[#This Row],[Site Name]],SiteDB6[[Site Name]:[Location Type]],8,FALSE)</f>
        <v>Village</v>
      </c>
      <c r="CL320" s="699" t="str">
        <f>VLOOKUP(WWWW[[#This Row],[Site Name]],SiteDB6[[Site Name]:[Location Type 1]],9,FALSE)</f>
        <v>Village</v>
      </c>
      <c r="CM320" s="699" t="str">
        <f>VLOOKUP(WWWW[[#This Row],[Site Name]],SiteDB6[[Site Name]:[Type of Accommodation]],10,FALSE)</f>
        <v>Village</v>
      </c>
      <c r="CN320" s="699" t="str">
        <f>VLOOKUP(WWWW[[#This Row],[Site Name]],SiteDB6[[Site Name]:[Ethnic or GCA/NGCA]],11,FALSE)</f>
        <v>Rakhine</v>
      </c>
      <c r="CO320" s="699">
        <f>VLOOKUP(WWWW[[#This Row],[Site Name]],SiteDB6[[Site Name]:[Lat]],12,FALSE)</f>
        <v>0</v>
      </c>
      <c r="CP320" s="699">
        <f>VLOOKUP(WWWW[[#This Row],[Site Name]],SiteDB6[[Site Name]:[Long]],13,FALSE)</f>
        <v>0</v>
      </c>
      <c r="CQ320" s="699">
        <f>VLOOKUP(WWWW[[#This Row],[Site Name]],SiteDB6[[Site Name]:[Pcode]],3,FALSE)</f>
        <v>220977</v>
      </c>
      <c r="CR320" s="660" t="str">
        <f t="shared" si="7"/>
        <v>Covered</v>
      </c>
      <c r="CS320" s="660"/>
      <c r="CT320" s="24"/>
      <c r="CU320" s="24"/>
      <c r="CV320" s="24"/>
    </row>
    <row r="321" spans="1:100" ht="15.75" customHeight="1" x14ac:dyDescent="0.25">
      <c r="A321" s="833" t="s">
        <v>3206</v>
      </c>
      <c r="B321" s="206" t="s">
        <v>530</v>
      </c>
      <c r="C321" s="206" t="s">
        <v>454</v>
      </c>
      <c r="D321" s="206" t="s">
        <v>498</v>
      </c>
      <c r="E321" s="206" t="s">
        <v>644</v>
      </c>
      <c r="F321" s="206">
        <v>83</v>
      </c>
      <c r="G321" s="209">
        <v>483</v>
      </c>
      <c r="H321" s="206"/>
      <c r="I321" s="206" t="s">
        <v>388</v>
      </c>
      <c r="J321" s="207">
        <v>43145</v>
      </c>
      <c r="K321" s="206"/>
      <c r="L321" s="206"/>
      <c r="M321" s="208"/>
      <c r="N321" s="208"/>
      <c r="O321" s="323">
        <v>0</v>
      </c>
      <c r="P321" s="317">
        <v>0</v>
      </c>
      <c r="Q321" s="317">
        <v>0</v>
      </c>
      <c r="R321" s="318">
        <v>2</v>
      </c>
      <c r="S321" s="318">
        <v>1</v>
      </c>
      <c r="T321" s="318"/>
      <c r="U321" s="318"/>
      <c r="V321" s="318"/>
      <c r="W321" s="318"/>
      <c r="X321" s="318"/>
      <c r="Y321" s="318"/>
      <c r="Z321" s="318"/>
      <c r="AA321" s="310">
        <v>22</v>
      </c>
      <c r="AB321" s="311">
        <v>0</v>
      </c>
      <c r="AC321" s="66"/>
      <c r="AD321" s="66"/>
      <c r="AE321" s="310">
        <v>22</v>
      </c>
      <c r="AF321" s="310" t="s">
        <v>332</v>
      </c>
      <c r="AG321" s="311" t="s">
        <v>332</v>
      </c>
      <c r="AH321" s="66"/>
      <c r="AI321" s="66"/>
      <c r="AJ321" s="310" t="s">
        <v>2462</v>
      </c>
      <c r="AK321" s="841">
        <v>0</v>
      </c>
      <c r="AL321" s="842" t="s">
        <v>284</v>
      </c>
      <c r="AM321" s="842">
        <v>0</v>
      </c>
      <c r="AN321" s="863">
        <v>0</v>
      </c>
      <c r="AO321" s="863">
        <v>9</v>
      </c>
      <c r="AP321" s="843"/>
      <c r="AQ321" s="843"/>
      <c r="AR321" s="843"/>
      <c r="AS321" s="843"/>
      <c r="AT321" s="843"/>
      <c r="AU321" s="843"/>
      <c r="AV321" s="844"/>
      <c r="AW321" s="208" t="str">
        <f>IFERROR(WWWW[[#This Row],['# of Water passed at source]]/WWWW[[#This Row],['# of Water tested at source]],"no test")</f>
        <v>no test</v>
      </c>
      <c r="AX321" s="211" t="str">
        <f>IFERROR(WWWW[[#This Row],['# of Water passed at HH]]/WWWW[[#This Row],['# of Water tested at HH]],"no test")</f>
        <v>no test</v>
      </c>
      <c r="AY321" s="210" t="str">
        <f>IF(AND(WWWW[[#This Row],[%of Water samples which passed at water source]]="no test",WWWW[[#This Row],[%Water samples which passed at HH]]="no test"),"No Test","Tested")</f>
        <v>No Test</v>
      </c>
      <c r="AZ32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2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21" s="211">
        <f>IF(WWWW[[#This Row],[Location Type 1]]="Village",WWWW[[#This Row],[Access to safe drinking water for Village]],WWWW[[#This Row],[Access to safe drinking water for Camp]])</f>
        <v>0</v>
      </c>
      <c r="BC321" s="209">
        <f>WWWW[[#This Row],[%Equitable and continuous access to sufficient quantity of safe drinking water]]*WWWW[[#This Row],[Total PoP ]]</f>
        <v>0</v>
      </c>
      <c r="BD321" s="211">
        <f>IF((WWWW[[#This Row],['# Existing protected/fenced ponds ]]*250)/WWWW[[#This Row],[Total PoP ]]&gt;1,1,WWWW[[#This Row],['# Existing protected/fenced ponds ]]*250/WWWW[[#This Row],[Total PoP ]])</f>
        <v>1</v>
      </c>
      <c r="BE321" s="209">
        <f>WWWW[[#This Row],[Access to unimproved water points]]*WWWW[[#This Row],[Total PoP ]]</f>
        <v>483</v>
      </c>
      <c r="BF32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2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483</v>
      </c>
      <c r="BH321" s="209">
        <f>WWWW[[#This Row],['#people Equitable and continuous access to sufficient quantity of domestic water borehole n ponds_2]]/500</f>
        <v>0.96599999999999997</v>
      </c>
      <c r="BI321" s="208">
        <f>1-WWWW[[#This Row],[%Equitable and continuous access to sufficient quantity of domestic water borehole n ponds]]</f>
        <v>0</v>
      </c>
      <c r="BJ321" s="209">
        <f>WWWW[[#This Row],[%equitable and continuous access to sufficient quantity of safe drinking and domestic water''s GAP]]*WWWW[[#This Row],[Total PoP ]]</f>
        <v>0</v>
      </c>
      <c r="BK321" s="210">
        <f>IF(WWWW[[#This Row],[Total required water points]]-WWWW[[#This Row],['#Water points coverage]]&lt;0,0,WWWW[[#This Row],[Total required water points]]-WWWW[[#This Row],['#Water points coverage]])</f>
        <v>3.400000000000003E-2</v>
      </c>
      <c r="BL321" s="210">
        <f>ROUND(IF(WWWW[[#This Row],[Total PoP ]]&lt;500,1,WWWW[[#This Row],[Total PoP ]]/500),0)</f>
        <v>1</v>
      </c>
      <c r="BM321" s="210">
        <f>WWWW[[#This Row],['# Existing functional latrines]]+WWWW[[#This Row],['# Existing latrines dysfunctional]]</f>
        <v>22</v>
      </c>
      <c r="BN32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0.27329192546583853</v>
      </c>
      <c r="BO321" s="352">
        <f>WWWW[[#This Row],[% people access to functioning Latrine]]*WWWW[[#This Row],[Total PoP ]]</f>
        <v>132</v>
      </c>
      <c r="BP32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0.73291925465838514</v>
      </c>
      <c r="BQ321" s="209">
        <f>IF(WWWW[[#This Row],[Total required Latrines]]-WWWW[[#This Row],[Total '# of latrine]]&lt;0,0,WWWW[[#This Row],[Total required Latrines]]-WWWW[[#This Row],[Total '# of latrine]])</f>
        <v>59</v>
      </c>
      <c r="BR321" s="210">
        <f>ROUND(IF(WWWW[[#This Row],[Location Type 1]]="camp",WWWW[[#This Row],[Total PoP ]]/20,WWWW[[#This Row],[Total PoP ]]/6),0)</f>
        <v>81</v>
      </c>
      <c r="BS321" s="212">
        <f>IF(OR(WWWW[[#This Row],['# Existing latrines dysfunctional]]="",WWWW[[#This Row],['# Existing latrines dysfunctional]]=0),0,WWWW[[#This Row],['# Existing latrines dysfunctional]]/WWWW[[#This Row],[Total '# of latrine]])</f>
        <v>0</v>
      </c>
      <c r="BT32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1" s="209">
        <f>IF(500*WWWW[[#This Row],['# Hygiene Promoters ]]&gt;WWWW[[#This Row],[Total PoP ]],WWWW[[#This Row],[Total PoP ]],500*WWWW[[#This Row],['# Hygiene Promoters ]])</f>
        <v>483</v>
      </c>
      <c r="BV321" s="209">
        <f>IF(WWWW[[#This Row],[% of HH with access to Sanitary Pad]]&gt;=100%,1,0)</f>
        <v>0</v>
      </c>
      <c r="BW321" s="209">
        <f>IF(WWWW[[#This Row],[Total PoP ]]=0,0,IF(WWWW[[#This Row],['# Hygiene Promoters ]]=0,0,IF(WWWW[[#This Row],[Location Type 1]]="Village",IF(WWWW[[#This Row],[Total PoP ]]/WWWW[[#This Row],['# Hygiene Promoters ]]&lt;1000,1,0),IF(WWWW[[#This Row],[Total PoP ]]/WWWW[[#This Row],['# Hygiene Promoters ]]&lt;600,1,0))))</f>
        <v>1</v>
      </c>
      <c r="BX321" s="209">
        <f>IF(WWWW[[#This Row],[%HH with access to soap]]&gt;=100%,1,0)</f>
        <v>0</v>
      </c>
      <c r="BY321" s="209">
        <f>IF(WWWW[[#This Row],[% of HHs with access to Sanitary pad more than '#%]]+WWWW[[#This Row],[Ratio of Hyiene promoters to people less than '#]]+WWWW[[#This Row],[% of HHs with access to soap more than '#%]]&gt;=2,WWWW[[#This Row],[Total PoP ]],0)</f>
        <v>0</v>
      </c>
      <c r="BZ321" s="208">
        <f>WWWW[[#This Row],[People adopt basic personal and community hygiene practices]]/WWWW[[#This Row],[Total PoP ]]</f>
        <v>0</v>
      </c>
      <c r="CA321" s="212">
        <f>1-WWWW[[#This Row],[Hygiene Coverage%]]</f>
        <v>1</v>
      </c>
      <c r="CB321" s="211">
        <f>WWWW[[#This Row],['# people reached by regular dedicated hygiene promotion_5]]/WWWW[[#This Row],[Total PoP ]]</f>
        <v>1</v>
      </c>
      <c r="CC321" s="211">
        <f>IF(WWWW[[#This Row],['# HH received soaps]]/WWWW[[#This Row],[Total HH]]&gt;1,1,WWWW[[#This Row],['# HH received soaps]]/WWWW[[#This Row],[Total HH]])</f>
        <v>0</v>
      </c>
      <c r="CD321" s="211">
        <f>IF(WWWW[[#This Row],['# HH received Sanitary Pads]]/WWWW[[#This Row],[Total HH]]&gt;1,1,WWWW[[#This Row],['# HH received Sanitary Pads]]/WWWW[[#This Row],[Total HH]])</f>
        <v>0</v>
      </c>
      <c r="CE321" s="210">
        <f>WWWW[[#This Row],['# HH received soaps]]*5</f>
        <v>0</v>
      </c>
      <c r="CF321" s="210">
        <f>WWWW[[#This Row],['# HH received Sanitary Pads]]*5</f>
        <v>0</v>
      </c>
      <c r="CG321" s="210">
        <f>IF(WWWW[[#This Row],['# People with access to soap]]&gt;WWWW[[#This Row],['# People with access to Sanity Pads]],WWWW[[#This Row],['# People with access to soap]],WWWW[[#This Row],['# People with access to Sanity Pads]])</f>
        <v>0</v>
      </c>
      <c r="CH321" s="209">
        <f>WWWW[[#This Row],[Total HH]]*WWWW[[#This Row],[%HHs with access to functional hand washing stations]]</f>
        <v>0</v>
      </c>
      <c r="CI321" s="699">
        <f>VLOOKUP(WWWW[[#This Row],[Site Name]],SiteDB6[[Site Name]:[CCCM Management]],6,FALSE)</f>
        <v>0</v>
      </c>
      <c r="CJ321" s="699">
        <f>VLOOKUP(WWWW[[#This Row],[Site Name]],SiteDB6[[Site Name]:[CCCM Focal Agency]],7,FALSE)</f>
        <v>0</v>
      </c>
      <c r="CK321" s="699" t="str">
        <f>VLOOKUP(WWWW[[#This Row],[Site Name]],SiteDB6[[Site Name]:[Location Type]],8,FALSE)</f>
        <v>Village</v>
      </c>
      <c r="CL321" s="699" t="str">
        <f>VLOOKUP(WWWW[[#This Row],[Site Name]],SiteDB6[[Site Name]:[Location Type 1]],9,FALSE)</f>
        <v>Village</v>
      </c>
      <c r="CM321" s="699" t="str">
        <f>VLOOKUP(WWWW[[#This Row],[Site Name]],SiteDB6[[Site Name]:[Type of Accommodation]],10,FALSE)</f>
        <v>Village</v>
      </c>
      <c r="CN321" s="699" t="str">
        <f>VLOOKUP(WWWW[[#This Row],[Site Name]],SiteDB6[[Site Name]:[Ethnic or GCA/NGCA]],11,FALSE)</f>
        <v>Rakhine</v>
      </c>
      <c r="CO321" s="699">
        <f>VLOOKUP(WWWW[[#This Row],[Site Name]],SiteDB6[[Site Name]:[Lat]],12,FALSE)</f>
        <v>20.473930358886701</v>
      </c>
      <c r="CP321" s="699">
        <f>VLOOKUP(WWWW[[#This Row],[Site Name]],SiteDB6[[Site Name]:[Long]],13,FALSE)</f>
        <v>92.668853759765597</v>
      </c>
      <c r="CQ321" s="699">
        <f>VLOOKUP(WWWW[[#This Row],[Site Name]],SiteDB6[[Site Name]:[Pcode]],3,FALSE)</f>
        <v>197631</v>
      </c>
      <c r="CR321" s="660" t="str">
        <f t="shared" si="7"/>
        <v>Covered</v>
      </c>
      <c r="CS321" s="699"/>
      <c r="CT321" s="24"/>
      <c r="CU321" s="24"/>
      <c r="CV321" s="24"/>
    </row>
    <row r="322" spans="1:100" ht="15.75" customHeight="1" x14ac:dyDescent="0.25">
      <c r="A322" s="833" t="s">
        <v>3206</v>
      </c>
      <c r="B322" s="206" t="s">
        <v>460</v>
      </c>
      <c r="C322" s="206" t="s">
        <v>454</v>
      </c>
      <c r="D322" s="206" t="s">
        <v>498</v>
      </c>
      <c r="E322" s="206" t="s">
        <v>669</v>
      </c>
      <c r="F322" s="206">
        <v>280</v>
      </c>
      <c r="G322" s="209">
        <v>2030</v>
      </c>
      <c r="H322" s="206"/>
      <c r="I322" s="206"/>
      <c r="J322" s="207"/>
      <c r="K322" s="206">
        <v>0</v>
      </c>
      <c r="L322" s="206" t="s">
        <v>48</v>
      </c>
      <c r="M322" s="208"/>
      <c r="N322" s="208"/>
      <c r="O322" s="316">
        <v>0</v>
      </c>
      <c r="P322" s="317">
        <v>0</v>
      </c>
      <c r="Q322" s="317">
        <v>0</v>
      </c>
      <c r="R322" s="318">
        <v>3</v>
      </c>
      <c r="S322" s="318">
        <v>0</v>
      </c>
      <c r="T322" s="318"/>
      <c r="U322" s="318"/>
      <c r="V322" s="318"/>
      <c r="W322" s="318"/>
      <c r="X322" s="318"/>
      <c r="Y322" s="318"/>
      <c r="Z322" s="318"/>
      <c r="AA322" s="310">
        <v>0</v>
      </c>
      <c r="AB322" s="310">
        <v>0</v>
      </c>
      <c r="AC322" s="66"/>
      <c r="AD322" s="66"/>
      <c r="AE322" s="310">
        <v>0</v>
      </c>
      <c r="AF322" s="310" t="s">
        <v>332</v>
      </c>
      <c r="AG322" s="311" t="s">
        <v>332</v>
      </c>
      <c r="AH322" s="311"/>
      <c r="AI322" s="310"/>
      <c r="AJ322" s="310"/>
      <c r="AK322" s="841">
        <v>0</v>
      </c>
      <c r="AL322" s="842" t="s">
        <v>284</v>
      </c>
      <c r="AM322" s="842">
        <v>0</v>
      </c>
      <c r="AN322" s="863">
        <v>0</v>
      </c>
      <c r="AO322" s="863">
        <v>7</v>
      </c>
      <c r="AP322" s="843"/>
      <c r="AQ322" s="843"/>
      <c r="AR322" s="843"/>
      <c r="AS322" s="843"/>
      <c r="AT322" s="843"/>
      <c r="AU322" s="843"/>
      <c r="AV322" s="844"/>
      <c r="AW322" s="208" t="str">
        <f>IFERROR(WWWW[[#This Row],['# of Water passed at source]]/WWWW[[#This Row],['# of Water tested at source]],"no test")</f>
        <v>no test</v>
      </c>
      <c r="AX322" s="211" t="str">
        <f>IFERROR(WWWW[[#This Row],['# of Water passed at HH]]/WWWW[[#This Row],['# of Water tested at HH]],"no test")</f>
        <v>no test</v>
      </c>
      <c r="AY322" s="210" t="str">
        <f>IF(AND(WWWW[[#This Row],[%of Water samples which passed at water source]]="no test",WWWW[[#This Row],[%Water samples which passed at HH]]="no test"),"No Test","Tested")</f>
        <v>No Test</v>
      </c>
      <c r="AZ32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2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22" s="211">
        <f>IF(WWWW[[#This Row],[Location Type 1]]="Village",WWWW[[#This Row],[Access to safe drinking water for Village]],WWWW[[#This Row],[Access to safe drinking water for Camp]])</f>
        <v>0</v>
      </c>
      <c r="BC322" s="209">
        <f>WWWW[[#This Row],[%Equitable and continuous access to sufficient quantity of safe drinking water]]*WWWW[[#This Row],[Total PoP ]]</f>
        <v>0</v>
      </c>
      <c r="BD322" s="211">
        <f>IF((WWWW[[#This Row],['# Existing protected/fenced ponds ]]*250)/WWWW[[#This Row],[Total PoP ]]&gt;1,1,WWWW[[#This Row],['# Existing protected/fenced ponds ]]*250/WWWW[[#This Row],[Total PoP ]])</f>
        <v>0.36945812807881773</v>
      </c>
      <c r="BE322" s="209">
        <f>WWWW[[#This Row],[Access to unimproved water points]]*WWWW[[#This Row],[Total PoP ]]</f>
        <v>750</v>
      </c>
      <c r="BF32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0.36945812807881773</v>
      </c>
      <c r="BG32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H322" s="209">
        <f>WWWW[[#This Row],['#people Equitable and continuous access to sufficient quantity of domestic water borehole n ponds_2]]/500</f>
        <v>1.5</v>
      </c>
      <c r="BI322" s="208">
        <f>1-WWWW[[#This Row],[%Equitable and continuous access to sufficient quantity of domestic water borehole n ponds]]</f>
        <v>0.63054187192118227</v>
      </c>
      <c r="BJ322" s="209">
        <f>WWWW[[#This Row],[%equitable and continuous access to sufficient quantity of safe drinking and domestic water''s GAP]]*WWWW[[#This Row],[Total PoP ]]</f>
        <v>1280</v>
      </c>
      <c r="BK322" s="210">
        <f>IF(WWWW[[#This Row],[Total required water points]]-WWWW[[#This Row],['#Water points coverage]]&lt;0,0,WWWW[[#This Row],[Total required water points]]-WWWW[[#This Row],['#Water points coverage]])</f>
        <v>2.5</v>
      </c>
      <c r="BL322" s="210">
        <f>ROUND(IF(WWWW[[#This Row],[Total PoP ]]&lt;500,1,WWWW[[#This Row],[Total PoP ]]/500),0)</f>
        <v>4</v>
      </c>
      <c r="BM322" s="210">
        <f>WWWW[[#This Row],['# Existing functional latrines]]+WWWW[[#This Row],['# Existing latrines dysfunctional]]</f>
        <v>0</v>
      </c>
      <c r="BN32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22" s="352">
        <f>WWWW[[#This Row],[% people access to functioning Latrine]]*WWWW[[#This Row],[Total PoP ]]</f>
        <v>0</v>
      </c>
      <c r="BP32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0.9990147783251232</v>
      </c>
      <c r="BQ322" s="209">
        <f>IF(WWWW[[#This Row],[Total required Latrines]]-WWWW[[#This Row],[Total '# of latrine]]&lt;0,0,WWWW[[#This Row],[Total required Latrines]]-WWWW[[#This Row],[Total '# of latrine]])</f>
        <v>338</v>
      </c>
      <c r="BR322" s="210">
        <f>ROUND(IF(WWWW[[#This Row],[Location Type 1]]="camp",WWWW[[#This Row],[Total PoP ]]/20,WWWW[[#This Row],[Total PoP ]]/6),0)</f>
        <v>338</v>
      </c>
      <c r="BS322" s="212">
        <f>IF(OR(WWWW[[#This Row],['# Existing latrines dysfunctional]]="",WWWW[[#This Row],['# Existing latrines dysfunctional]]=0),0,WWWW[[#This Row],['# Existing latrines dysfunctional]]/WWWW[[#This Row],[Total '# of latrine]])</f>
        <v>0</v>
      </c>
      <c r="BT32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2" s="209">
        <f>IF(500*WWWW[[#This Row],['# Hygiene Promoters ]]&gt;WWWW[[#This Row],[Total PoP ]],WWWW[[#This Row],[Total PoP ]],500*WWWW[[#This Row],['# Hygiene Promoters ]])</f>
        <v>2030</v>
      </c>
      <c r="BV322" s="209">
        <f>IF(WWWW[[#This Row],[% of HH with access to Sanitary Pad]]&gt;=100%,1,0)</f>
        <v>0</v>
      </c>
      <c r="BW322" s="209">
        <f>IF(WWWW[[#This Row],[Total PoP ]]=0,0,IF(WWWW[[#This Row],['# Hygiene Promoters ]]=0,0,IF(WWWW[[#This Row],[Location Type 1]]="Village",IF(WWWW[[#This Row],[Total PoP ]]/WWWW[[#This Row],['# Hygiene Promoters ]]&lt;1000,1,0),IF(WWWW[[#This Row],[Total PoP ]]/WWWW[[#This Row],['# Hygiene Promoters ]]&lt;600,1,0))))</f>
        <v>1</v>
      </c>
      <c r="BX322" s="209">
        <f>IF(WWWW[[#This Row],[%HH with access to soap]]&gt;=100%,1,0)</f>
        <v>0</v>
      </c>
      <c r="BY322" s="209">
        <f>IF(WWWW[[#This Row],[% of HHs with access to Sanitary pad more than '#%]]+WWWW[[#This Row],[Ratio of Hyiene promoters to people less than '#]]+WWWW[[#This Row],[% of HHs with access to soap more than '#%]]&gt;=2,WWWW[[#This Row],[Total PoP ]],0)</f>
        <v>0</v>
      </c>
      <c r="BZ322" s="208">
        <f>WWWW[[#This Row],[People adopt basic personal and community hygiene practices]]/WWWW[[#This Row],[Total PoP ]]</f>
        <v>0</v>
      </c>
      <c r="CA322" s="212">
        <f>1-WWWW[[#This Row],[Hygiene Coverage%]]</f>
        <v>1</v>
      </c>
      <c r="CB322" s="211">
        <f>WWWW[[#This Row],['# people reached by regular dedicated hygiene promotion_5]]/WWWW[[#This Row],[Total PoP ]]</f>
        <v>1</v>
      </c>
      <c r="CC322" s="211">
        <f>IF(WWWW[[#This Row],['# HH received soaps]]/WWWW[[#This Row],[Total HH]]&gt;1,1,WWWW[[#This Row],['# HH received soaps]]/WWWW[[#This Row],[Total HH]])</f>
        <v>0</v>
      </c>
      <c r="CD322" s="211">
        <f>IF(WWWW[[#This Row],['# HH received Sanitary Pads]]/WWWW[[#This Row],[Total HH]]&gt;1,1,WWWW[[#This Row],['# HH received Sanitary Pads]]/WWWW[[#This Row],[Total HH]])</f>
        <v>0</v>
      </c>
      <c r="CE322" s="210">
        <f>WWWW[[#This Row],['# HH received soaps]]*5</f>
        <v>0</v>
      </c>
      <c r="CF322" s="210">
        <f>WWWW[[#This Row],['# HH received Sanitary Pads]]*5</f>
        <v>0</v>
      </c>
      <c r="CG322" s="210">
        <f>IF(WWWW[[#This Row],['# People with access to soap]]&gt;WWWW[[#This Row],['# People with access to Sanity Pads]],WWWW[[#This Row],['# People with access to soap]],WWWW[[#This Row],['# People with access to Sanity Pads]])</f>
        <v>0</v>
      </c>
      <c r="CH322" s="209">
        <f>WWWW[[#This Row],[Total HH]]*WWWW[[#This Row],[%HHs with access to functional hand washing stations]]</f>
        <v>0</v>
      </c>
      <c r="CI322" s="699">
        <f>VLOOKUP(WWWW[[#This Row],[Site Name]],SiteDB6[[Site Name]:[CCCM Management]],6,FALSE)</f>
        <v>0</v>
      </c>
      <c r="CJ322" s="699">
        <f>VLOOKUP(WWWW[[#This Row],[Site Name]],SiteDB6[[Site Name]:[CCCM Focal Agency]],7,FALSE)</f>
        <v>0</v>
      </c>
      <c r="CK322" s="699" t="str">
        <f>VLOOKUP(WWWW[[#This Row],[Site Name]],SiteDB6[[Site Name]:[Location Type]],8,FALSE)</f>
        <v>Village</v>
      </c>
      <c r="CL322" s="699" t="str">
        <f>VLOOKUP(WWWW[[#This Row],[Site Name]],SiteDB6[[Site Name]:[Location Type 1]],9,FALSE)</f>
        <v>Village</v>
      </c>
      <c r="CM322" s="699" t="str">
        <f>VLOOKUP(WWWW[[#This Row],[Site Name]],SiteDB6[[Site Name]:[Type of Accommodation]],10,FALSE)</f>
        <v>Village</v>
      </c>
      <c r="CN322" s="699" t="str">
        <f>VLOOKUP(WWWW[[#This Row],[Site Name]],SiteDB6[[Site Name]:[Ethnic or GCA/NGCA]],11,FALSE)</f>
        <v>Muslim</v>
      </c>
      <c r="CO322" s="699">
        <f>VLOOKUP(WWWW[[#This Row],[Site Name]],SiteDB6[[Site Name]:[Lat]],12,FALSE)</f>
        <v>20.581470489501999</v>
      </c>
      <c r="CP322" s="699">
        <f>VLOOKUP(WWWW[[#This Row],[Site Name]],SiteDB6[[Site Name]:[Long]],13,FALSE)</f>
        <v>92.643272399902301</v>
      </c>
      <c r="CQ322" s="699" t="str">
        <f>VLOOKUP(WWWW[[#This Row],[Site Name]],SiteDB6[[Site Name]:[Pcode]],3,FALSE)</f>
        <v>197591</v>
      </c>
      <c r="CR322" s="660" t="str">
        <f t="shared" si="7"/>
        <v>Notcovered</v>
      </c>
      <c r="CS322" s="660" t="s">
        <v>2797</v>
      </c>
      <c r="CT322" s="24"/>
      <c r="CU322" s="24"/>
      <c r="CV322" s="24"/>
    </row>
    <row r="323" spans="1:100" ht="15.75" customHeight="1" x14ac:dyDescent="0.25">
      <c r="A323" s="833" t="s">
        <v>3206</v>
      </c>
      <c r="B323" s="206" t="s">
        <v>460</v>
      </c>
      <c r="C323" s="206" t="s">
        <v>454</v>
      </c>
      <c r="D323" s="206" t="s">
        <v>498</v>
      </c>
      <c r="E323" s="206" t="s">
        <v>668</v>
      </c>
      <c r="F323" s="206">
        <v>245</v>
      </c>
      <c r="G323" s="209">
        <v>1292</v>
      </c>
      <c r="H323" s="206"/>
      <c r="I323" s="206"/>
      <c r="J323" s="207"/>
      <c r="K323" s="206">
        <v>0</v>
      </c>
      <c r="L323" s="206" t="s">
        <v>48</v>
      </c>
      <c r="M323" s="208"/>
      <c r="N323" s="208"/>
      <c r="O323" s="316">
        <v>0</v>
      </c>
      <c r="P323" s="317">
        <v>0</v>
      </c>
      <c r="Q323" s="317">
        <v>0</v>
      </c>
      <c r="R323" s="318">
        <v>2</v>
      </c>
      <c r="S323" s="318">
        <v>0</v>
      </c>
      <c r="T323" s="318"/>
      <c r="U323" s="318"/>
      <c r="V323" s="318"/>
      <c r="W323" s="318"/>
      <c r="X323" s="318"/>
      <c r="Y323" s="318"/>
      <c r="Z323" s="318"/>
      <c r="AA323" s="310">
        <v>0</v>
      </c>
      <c r="AB323" s="310">
        <v>0</v>
      </c>
      <c r="AC323" s="66"/>
      <c r="AD323" s="66"/>
      <c r="AE323" s="310">
        <v>0</v>
      </c>
      <c r="AF323" s="310" t="s">
        <v>332</v>
      </c>
      <c r="AG323" s="311" t="s">
        <v>332</v>
      </c>
      <c r="AH323" s="311"/>
      <c r="AI323" s="310"/>
      <c r="AJ323" s="310"/>
      <c r="AK323" s="841">
        <v>0</v>
      </c>
      <c r="AL323" s="842" t="s">
        <v>284</v>
      </c>
      <c r="AM323" s="842">
        <v>0</v>
      </c>
      <c r="AN323" s="863">
        <v>0</v>
      </c>
      <c r="AO323" s="863">
        <v>7</v>
      </c>
      <c r="AP323" s="843"/>
      <c r="AQ323" s="843"/>
      <c r="AR323" s="843"/>
      <c r="AS323" s="843"/>
      <c r="AT323" s="843"/>
      <c r="AU323" s="843"/>
      <c r="AV323" s="844"/>
      <c r="AW323" s="208" t="str">
        <f>IFERROR(WWWW[[#This Row],['# of Water passed at source]]/WWWW[[#This Row],['# of Water tested at source]],"no test")</f>
        <v>no test</v>
      </c>
      <c r="AX323" s="211" t="str">
        <f>IFERROR(WWWW[[#This Row],['# of Water passed at HH]]/WWWW[[#This Row],['# of Water tested at HH]],"no test")</f>
        <v>no test</v>
      </c>
      <c r="AY323" s="210" t="str">
        <f>IF(AND(WWWW[[#This Row],[%of Water samples which passed at water source]]="no test",WWWW[[#This Row],[%Water samples which passed at HH]]="no test"),"No Test","Tested")</f>
        <v>No Test</v>
      </c>
      <c r="AZ32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2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23" s="211">
        <f>IF(WWWW[[#This Row],[Location Type 1]]="Village",WWWW[[#This Row],[Access to safe drinking water for Village]],WWWW[[#This Row],[Access to safe drinking water for Camp]])</f>
        <v>0</v>
      </c>
      <c r="BC323" s="209">
        <f>WWWW[[#This Row],[%Equitable and continuous access to sufficient quantity of safe drinking water]]*WWWW[[#This Row],[Total PoP ]]</f>
        <v>0</v>
      </c>
      <c r="BD323" s="211">
        <f>IF((WWWW[[#This Row],['# Existing protected/fenced ponds ]]*250)/WWWW[[#This Row],[Total PoP ]]&gt;1,1,WWWW[[#This Row],['# Existing protected/fenced ponds ]]*250/WWWW[[#This Row],[Total PoP ]])</f>
        <v>0.38699690402476783</v>
      </c>
      <c r="BE323" s="209">
        <f>WWWW[[#This Row],[Access to unimproved water points]]*WWWW[[#This Row],[Total PoP ]]</f>
        <v>500.00000000000006</v>
      </c>
      <c r="BF32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0.38699690402476783</v>
      </c>
      <c r="BG32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500.00000000000006</v>
      </c>
      <c r="BH323" s="209">
        <f>WWWW[[#This Row],['#people Equitable and continuous access to sufficient quantity of domestic water borehole n ponds_2]]/500</f>
        <v>1.0000000000000002</v>
      </c>
      <c r="BI323" s="208">
        <f>1-WWWW[[#This Row],[%Equitable and continuous access to sufficient quantity of domestic water borehole n ponds]]</f>
        <v>0.61300309597523217</v>
      </c>
      <c r="BJ323" s="209">
        <f>WWWW[[#This Row],[%equitable and continuous access to sufficient quantity of safe drinking and domestic water''s GAP]]*WWWW[[#This Row],[Total PoP ]]</f>
        <v>792</v>
      </c>
      <c r="BK323" s="210">
        <f>IF(WWWW[[#This Row],[Total required water points]]-WWWW[[#This Row],['#Water points coverage]]&lt;0,0,WWWW[[#This Row],[Total required water points]]-WWWW[[#This Row],['#Water points coverage]])</f>
        <v>1.9999999999999998</v>
      </c>
      <c r="BL323" s="210">
        <f>ROUND(IF(WWWW[[#This Row],[Total PoP ]]&lt;500,1,WWWW[[#This Row],[Total PoP ]]/500),0)</f>
        <v>3</v>
      </c>
      <c r="BM323" s="210">
        <f>WWWW[[#This Row],['# Existing functional latrines]]+WWWW[[#This Row],['# Existing latrines dysfunctional]]</f>
        <v>0</v>
      </c>
      <c r="BN32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23" s="352">
        <f>WWWW[[#This Row],[% people access to functioning Latrine]]*WWWW[[#This Row],[Total PoP ]]</f>
        <v>0</v>
      </c>
      <c r="BP32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0.99845201238390091</v>
      </c>
      <c r="BQ323" s="209">
        <f>IF(WWWW[[#This Row],[Total required Latrines]]-WWWW[[#This Row],[Total '# of latrine]]&lt;0,0,WWWW[[#This Row],[Total required Latrines]]-WWWW[[#This Row],[Total '# of latrine]])</f>
        <v>215</v>
      </c>
      <c r="BR323" s="210">
        <f>ROUND(IF(WWWW[[#This Row],[Location Type 1]]="camp",WWWW[[#This Row],[Total PoP ]]/20,WWWW[[#This Row],[Total PoP ]]/6),0)</f>
        <v>215</v>
      </c>
      <c r="BS323" s="212">
        <f>IF(OR(WWWW[[#This Row],['# Existing latrines dysfunctional]]="",WWWW[[#This Row],['# Existing latrines dysfunctional]]=0),0,WWWW[[#This Row],['# Existing latrines dysfunctional]]/WWWW[[#This Row],[Total '# of latrine]])</f>
        <v>0</v>
      </c>
      <c r="BT32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3" s="209">
        <f>IF(500*WWWW[[#This Row],['# Hygiene Promoters ]]&gt;WWWW[[#This Row],[Total PoP ]],WWWW[[#This Row],[Total PoP ]],500*WWWW[[#This Row],['# Hygiene Promoters ]])</f>
        <v>1292</v>
      </c>
      <c r="BV323" s="209">
        <f>IF(WWWW[[#This Row],[% of HH with access to Sanitary Pad]]&gt;=100%,1,0)</f>
        <v>0</v>
      </c>
      <c r="BW323" s="209">
        <f>IF(WWWW[[#This Row],[Total PoP ]]=0,0,IF(WWWW[[#This Row],['# Hygiene Promoters ]]=0,0,IF(WWWW[[#This Row],[Location Type 1]]="Village",IF(WWWW[[#This Row],[Total PoP ]]/WWWW[[#This Row],['# Hygiene Promoters ]]&lt;1000,1,0),IF(WWWW[[#This Row],[Total PoP ]]/WWWW[[#This Row],['# Hygiene Promoters ]]&lt;600,1,0))))</f>
        <v>1</v>
      </c>
      <c r="BX323" s="209">
        <f>IF(WWWW[[#This Row],[%HH with access to soap]]&gt;=100%,1,0)</f>
        <v>0</v>
      </c>
      <c r="BY323" s="209">
        <f>IF(WWWW[[#This Row],[% of HHs with access to Sanitary pad more than '#%]]+WWWW[[#This Row],[Ratio of Hyiene promoters to people less than '#]]+WWWW[[#This Row],[% of HHs with access to soap more than '#%]]&gt;=2,WWWW[[#This Row],[Total PoP ]],0)</f>
        <v>0</v>
      </c>
      <c r="BZ323" s="208">
        <f>WWWW[[#This Row],[People adopt basic personal and community hygiene practices]]/WWWW[[#This Row],[Total PoP ]]</f>
        <v>0</v>
      </c>
      <c r="CA323" s="212">
        <f>1-WWWW[[#This Row],[Hygiene Coverage%]]</f>
        <v>1</v>
      </c>
      <c r="CB323" s="211">
        <f>WWWW[[#This Row],['# people reached by regular dedicated hygiene promotion_5]]/WWWW[[#This Row],[Total PoP ]]</f>
        <v>1</v>
      </c>
      <c r="CC323" s="211">
        <f>IF(WWWW[[#This Row],['# HH received soaps]]/WWWW[[#This Row],[Total HH]]&gt;1,1,WWWW[[#This Row],['# HH received soaps]]/WWWW[[#This Row],[Total HH]])</f>
        <v>0</v>
      </c>
      <c r="CD323" s="211">
        <f>IF(WWWW[[#This Row],['# HH received Sanitary Pads]]/WWWW[[#This Row],[Total HH]]&gt;1,1,WWWW[[#This Row],['# HH received Sanitary Pads]]/WWWW[[#This Row],[Total HH]])</f>
        <v>0</v>
      </c>
      <c r="CE323" s="210">
        <f>WWWW[[#This Row],['# HH received soaps]]*5</f>
        <v>0</v>
      </c>
      <c r="CF323" s="210">
        <f>WWWW[[#This Row],['# HH received Sanitary Pads]]*5</f>
        <v>0</v>
      </c>
      <c r="CG323" s="210">
        <f>IF(WWWW[[#This Row],['# People with access to soap]]&gt;WWWW[[#This Row],['# People with access to Sanity Pads]],WWWW[[#This Row],['# People with access to soap]],WWWW[[#This Row],['# People with access to Sanity Pads]])</f>
        <v>0</v>
      </c>
      <c r="CH323" s="209">
        <f>WWWW[[#This Row],[Total HH]]*WWWW[[#This Row],[%HHs with access to functional hand washing stations]]</f>
        <v>0</v>
      </c>
      <c r="CI323" s="699">
        <f>VLOOKUP(WWWW[[#This Row],[Site Name]],SiteDB6[[Site Name]:[CCCM Management]],6,FALSE)</f>
        <v>0</v>
      </c>
      <c r="CJ323" s="699">
        <f>VLOOKUP(WWWW[[#This Row],[Site Name]],SiteDB6[[Site Name]:[CCCM Focal Agency]],7,FALSE)</f>
        <v>0</v>
      </c>
      <c r="CK323" s="699" t="str">
        <f>VLOOKUP(WWWW[[#This Row],[Site Name]],SiteDB6[[Site Name]:[Location Type]],8,FALSE)</f>
        <v>Village</v>
      </c>
      <c r="CL323" s="699" t="str">
        <f>VLOOKUP(WWWW[[#This Row],[Site Name]],SiteDB6[[Site Name]:[Location Type 1]],9,FALSE)</f>
        <v>Village</v>
      </c>
      <c r="CM323" s="699" t="str">
        <f>VLOOKUP(WWWW[[#This Row],[Site Name]],SiteDB6[[Site Name]:[Type of Accommodation]],10,FALSE)</f>
        <v>Village</v>
      </c>
      <c r="CN323" s="699" t="str">
        <f>VLOOKUP(WWWW[[#This Row],[Site Name]],SiteDB6[[Site Name]:[Ethnic or GCA/NGCA]],11,FALSE)</f>
        <v>Rakhine</v>
      </c>
      <c r="CO323" s="699">
        <f>VLOOKUP(WWWW[[#This Row],[Site Name]],SiteDB6[[Site Name]:[Lat]],12,FALSE)</f>
        <v>20.569759368896499</v>
      </c>
      <c r="CP323" s="699">
        <f>VLOOKUP(WWWW[[#This Row],[Site Name]],SiteDB6[[Site Name]:[Long]],13,FALSE)</f>
        <v>92.641799926757798</v>
      </c>
      <c r="CQ323" s="699" t="str">
        <f>VLOOKUP(WWWW[[#This Row],[Site Name]],SiteDB6[[Site Name]:[Pcode]],3,FALSE)</f>
        <v>197590</v>
      </c>
      <c r="CR323" s="660" t="str">
        <f t="shared" si="7"/>
        <v>Notcovered</v>
      </c>
      <c r="CS323" s="660" t="s">
        <v>2797</v>
      </c>
      <c r="CT323" s="24"/>
      <c r="CU323" s="24"/>
      <c r="CV323" s="24"/>
    </row>
    <row r="324" spans="1:100" x14ac:dyDescent="0.25">
      <c r="A324" s="833" t="s">
        <v>3206</v>
      </c>
      <c r="B324" s="206" t="s">
        <v>530</v>
      </c>
      <c r="C324" s="206" t="s">
        <v>454</v>
      </c>
      <c r="D324" s="206" t="s">
        <v>498</v>
      </c>
      <c r="E324" s="206" t="s">
        <v>744</v>
      </c>
      <c r="F324" s="206">
        <v>72</v>
      </c>
      <c r="G324" s="209">
        <v>271</v>
      </c>
      <c r="H324" s="206"/>
      <c r="I324" s="206" t="s">
        <v>388</v>
      </c>
      <c r="J324" s="207">
        <v>43145</v>
      </c>
      <c r="K324" s="206"/>
      <c r="L324" s="206"/>
      <c r="M324" s="208"/>
      <c r="N324" s="208"/>
      <c r="O324" s="316">
        <v>0</v>
      </c>
      <c r="P324" s="317">
        <v>3</v>
      </c>
      <c r="Q324" s="317">
        <v>0</v>
      </c>
      <c r="R324" s="318">
        <v>0</v>
      </c>
      <c r="S324" s="318">
        <v>1</v>
      </c>
      <c r="T324" s="318"/>
      <c r="U324" s="318"/>
      <c r="V324" s="318"/>
      <c r="W324" s="318"/>
      <c r="X324" s="318"/>
      <c r="Y324" s="318"/>
      <c r="Z324" s="318"/>
      <c r="AA324" s="310">
        <v>9</v>
      </c>
      <c r="AB324" s="310">
        <v>0</v>
      </c>
      <c r="AC324" s="66"/>
      <c r="AD324" s="66"/>
      <c r="AE324" s="310">
        <v>9</v>
      </c>
      <c r="AF324" s="310" t="s">
        <v>332</v>
      </c>
      <c r="AG324" s="311" t="s">
        <v>332</v>
      </c>
      <c r="AH324" s="311"/>
      <c r="AI324" s="310"/>
      <c r="AJ324" s="310" t="s">
        <v>2462</v>
      </c>
      <c r="AK324" s="841">
        <v>0</v>
      </c>
      <c r="AL324" s="842" t="s">
        <v>284</v>
      </c>
      <c r="AM324" s="842">
        <v>0</v>
      </c>
      <c r="AN324" s="863">
        <v>0</v>
      </c>
      <c r="AO324" s="863">
        <v>9</v>
      </c>
      <c r="AP324" s="843"/>
      <c r="AQ324" s="843"/>
      <c r="AR324" s="843"/>
      <c r="AS324" s="843"/>
      <c r="AT324" s="843"/>
      <c r="AU324" s="843"/>
      <c r="AV324" s="844"/>
      <c r="AW324" s="208" t="str">
        <f>IFERROR(WWWW[[#This Row],['# of Water passed at source]]/WWWW[[#This Row],['# of Water tested at source]],"no test")</f>
        <v>no test</v>
      </c>
      <c r="AX324" s="211" t="str">
        <f>IFERROR(WWWW[[#This Row],['# of Water passed at HH]]/WWWW[[#This Row],['# of Water tested at HH]],"no test")</f>
        <v>no test</v>
      </c>
      <c r="AY324" s="210" t="str">
        <f>IF(AND(WWWW[[#This Row],[%of Water samples which passed at water source]]="no test",WWWW[[#This Row],[%Water samples which passed at HH]]="no test"),"No Test","Tested")</f>
        <v>No Test</v>
      </c>
      <c r="AZ32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2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24" s="211">
        <f>IF(WWWW[[#This Row],[Location Type 1]]="Village",WWWW[[#This Row],[Access to safe drinking water for Village]],WWWW[[#This Row],[Access to safe drinking water for Camp]])</f>
        <v>1</v>
      </c>
      <c r="BC324" s="209">
        <f>WWWW[[#This Row],[%Equitable and continuous access to sufficient quantity of safe drinking water]]*WWWW[[#This Row],[Total PoP ]]</f>
        <v>271</v>
      </c>
      <c r="BD324" s="211">
        <f>IF((WWWW[[#This Row],['# Existing protected/fenced ponds ]]*250)/WWWW[[#This Row],[Total PoP ]]&gt;1,1,WWWW[[#This Row],['# Existing protected/fenced ponds ]]*250/WWWW[[#This Row],[Total PoP ]])</f>
        <v>0</v>
      </c>
      <c r="BE324" s="209">
        <f>WWWW[[#This Row],[Access to unimproved water points]]*WWWW[[#This Row],[Total PoP ]]</f>
        <v>0</v>
      </c>
      <c r="BF32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2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271</v>
      </c>
      <c r="BH324" s="209">
        <f>WWWW[[#This Row],['#people Equitable and continuous access to sufficient quantity of domestic water borehole n ponds_2]]/500</f>
        <v>0.54200000000000004</v>
      </c>
      <c r="BI324" s="208">
        <f>1-WWWW[[#This Row],[%Equitable and continuous access to sufficient quantity of domestic water borehole n ponds]]</f>
        <v>0</v>
      </c>
      <c r="BJ324" s="209">
        <f>WWWW[[#This Row],[%equitable and continuous access to sufficient quantity of safe drinking and domestic water''s GAP]]*WWWW[[#This Row],[Total PoP ]]</f>
        <v>0</v>
      </c>
      <c r="BK324" s="210">
        <f>IF(WWWW[[#This Row],[Total required water points]]-WWWW[[#This Row],['#Water points coverage]]&lt;0,0,WWWW[[#This Row],[Total required water points]]-WWWW[[#This Row],['#Water points coverage]])</f>
        <v>0.45799999999999996</v>
      </c>
      <c r="BL324" s="210">
        <f>ROUND(IF(WWWW[[#This Row],[Total PoP ]]&lt;500,1,WWWW[[#This Row],[Total PoP ]]/500),0)</f>
        <v>1</v>
      </c>
      <c r="BM324" s="210">
        <f>WWWW[[#This Row],['# Existing functional latrines]]+WWWW[[#This Row],['# Existing latrines dysfunctional]]</f>
        <v>9</v>
      </c>
      <c r="BN32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0.19926199261992619</v>
      </c>
      <c r="BO324" s="352">
        <f>WWWW[[#This Row],[% people access to functioning Latrine]]*WWWW[[#This Row],[Total PoP ]]</f>
        <v>54</v>
      </c>
      <c r="BP32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0.79704797047970488</v>
      </c>
      <c r="BQ324" s="209">
        <f>IF(WWWW[[#This Row],[Total required Latrines]]-WWWW[[#This Row],[Total '# of latrine]]&lt;0,0,WWWW[[#This Row],[Total required Latrines]]-WWWW[[#This Row],[Total '# of latrine]])</f>
        <v>36</v>
      </c>
      <c r="BR324" s="210">
        <f>ROUND(IF(WWWW[[#This Row],[Location Type 1]]="camp",WWWW[[#This Row],[Total PoP ]]/20,WWWW[[#This Row],[Total PoP ]]/6),0)</f>
        <v>45</v>
      </c>
      <c r="BS324" s="212">
        <f>IF(OR(WWWW[[#This Row],['# Existing latrines dysfunctional]]="",WWWW[[#This Row],['# Existing latrines dysfunctional]]=0),0,WWWW[[#This Row],['# Existing latrines dysfunctional]]/WWWW[[#This Row],[Total '# of latrine]])</f>
        <v>0</v>
      </c>
      <c r="BT32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4" s="209">
        <f>IF(500*WWWW[[#This Row],['# Hygiene Promoters ]]&gt;WWWW[[#This Row],[Total PoP ]],WWWW[[#This Row],[Total PoP ]],500*WWWW[[#This Row],['# Hygiene Promoters ]])</f>
        <v>271</v>
      </c>
      <c r="BV324" s="209">
        <f>IF(WWWW[[#This Row],[% of HH with access to Sanitary Pad]]&gt;=100%,1,0)</f>
        <v>0</v>
      </c>
      <c r="BW324" s="209">
        <f>IF(WWWW[[#This Row],[Total PoP ]]=0,0,IF(WWWW[[#This Row],['# Hygiene Promoters ]]=0,0,IF(WWWW[[#This Row],[Location Type 1]]="Village",IF(WWWW[[#This Row],[Total PoP ]]/WWWW[[#This Row],['# Hygiene Promoters ]]&lt;1000,1,0),IF(WWWW[[#This Row],[Total PoP ]]/WWWW[[#This Row],['# Hygiene Promoters ]]&lt;600,1,0))))</f>
        <v>1</v>
      </c>
      <c r="BX324" s="209">
        <f>IF(WWWW[[#This Row],[%HH with access to soap]]&gt;=100%,1,0)</f>
        <v>0</v>
      </c>
      <c r="BY324" s="209">
        <f>IF(WWWW[[#This Row],[% of HHs with access to Sanitary pad more than '#%]]+WWWW[[#This Row],[Ratio of Hyiene promoters to people less than '#]]+WWWW[[#This Row],[% of HHs with access to soap more than '#%]]&gt;=2,WWWW[[#This Row],[Total PoP ]],0)</f>
        <v>0</v>
      </c>
      <c r="BZ324" s="208">
        <f>WWWW[[#This Row],[People adopt basic personal and community hygiene practices]]/WWWW[[#This Row],[Total PoP ]]</f>
        <v>0</v>
      </c>
      <c r="CA324" s="212">
        <f>1-WWWW[[#This Row],[Hygiene Coverage%]]</f>
        <v>1</v>
      </c>
      <c r="CB324" s="211">
        <f>WWWW[[#This Row],['# people reached by regular dedicated hygiene promotion_5]]/WWWW[[#This Row],[Total PoP ]]</f>
        <v>1</v>
      </c>
      <c r="CC324" s="211">
        <f>IF(WWWW[[#This Row],['# HH received soaps]]/WWWW[[#This Row],[Total HH]]&gt;1,1,WWWW[[#This Row],['# HH received soaps]]/WWWW[[#This Row],[Total HH]])</f>
        <v>0</v>
      </c>
      <c r="CD324" s="211">
        <f>IF(WWWW[[#This Row],['# HH received Sanitary Pads]]/WWWW[[#This Row],[Total HH]]&gt;1,1,WWWW[[#This Row],['# HH received Sanitary Pads]]/WWWW[[#This Row],[Total HH]])</f>
        <v>0</v>
      </c>
      <c r="CE324" s="210">
        <f>WWWW[[#This Row],['# HH received soaps]]*5</f>
        <v>0</v>
      </c>
      <c r="CF324" s="210">
        <f>WWWW[[#This Row],['# HH received Sanitary Pads]]*5</f>
        <v>0</v>
      </c>
      <c r="CG324" s="210">
        <f>IF(WWWW[[#This Row],['# People with access to soap]]&gt;WWWW[[#This Row],['# People with access to Sanity Pads]],WWWW[[#This Row],['# People with access to soap]],WWWW[[#This Row],['# People with access to Sanity Pads]])</f>
        <v>0</v>
      </c>
      <c r="CH324" s="209">
        <f>WWWW[[#This Row],[Total HH]]*WWWW[[#This Row],[%HHs with access to functional hand washing stations]]</f>
        <v>0</v>
      </c>
      <c r="CI324" s="699">
        <f>VLOOKUP(WWWW[[#This Row],[Site Name]],SiteDB6[[Site Name]:[CCCM Management]],6,FALSE)</f>
        <v>0</v>
      </c>
      <c r="CJ324" s="699">
        <f>VLOOKUP(WWWW[[#This Row],[Site Name]],SiteDB6[[Site Name]:[CCCM Focal Agency]],7,FALSE)</f>
        <v>0</v>
      </c>
      <c r="CK324" s="699" t="str">
        <f>VLOOKUP(WWWW[[#This Row],[Site Name]],SiteDB6[[Site Name]:[Location Type]],8,FALSE)</f>
        <v>Village</v>
      </c>
      <c r="CL324" s="699" t="str">
        <f>VLOOKUP(WWWW[[#This Row],[Site Name]],SiteDB6[[Site Name]:[Location Type 1]],9,FALSE)</f>
        <v>Village</v>
      </c>
      <c r="CM324" s="699" t="str">
        <f>VLOOKUP(WWWW[[#This Row],[Site Name]],SiteDB6[[Site Name]:[Type of Accommodation]],10,FALSE)</f>
        <v>Village</v>
      </c>
      <c r="CN324" s="699" t="str">
        <f>VLOOKUP(WWWW[[#This Row],[Site Name]],SiteDB6[[Site Name]:[Ethnic or GCA/NGCA]],11,FALSE)</f>
        <v>Rakhine</v>
      </c>
      <c r="CO324" s="699">
        <f>VLOOKUP(WWWW[[#This Row],[Site Name]],SiteDB6[[Site Name]:[Lat]],12,FALSE)</f>
        <v>20.495670318603501</v>
      </c>
      <c r="CP324" s="699">
        <f>VLOOKUP(WWWW[[#This Row],[Site Name]],SiteDB6[[Site Name]:[Long]],13,FALSE)</f>
        <v>92.651496887207003</v>
      </c>
      <c r="CQ324" s="699">
        <f>VLOOKUP(WWWW[[#This Row],[Site Name]],SiteDB6[[Site Name]:[Pcode]],3,FALSE)</f>
        <v>197616</v>
      </c>
      <c r="CR324" s="660" t="str">
        <f t="shared" si="7"/>
        <v>Covered</v>
      </c>
      <c r="CS324" s="699"/>
      <c r="CT324" s="24"/>
      <c r="CU324" s="24"/>
      <c r="CV324" s="24"/>
    </row>
    <row r="325" spans="1:100" ht="15.75" customHeight="1" x14ac:dyDescent="0.25">
      <c r="A325" s="833" t="s">
        <v>3206</v>
      </c>
      <c r="B325" s="206" t="s">
        <v>530</v>
      </c>
      <c r="C325" s="206" t="s">
        <v>454</v>
      </c>
      <c r="D325" s="206" t="s">
        <v>498</v>
      </c>
      <c r="E325" s="206" t="s">
        <v>684</v>
      </c>
      <c r="F325" s="206">
        <v>86</v>
      </c>
      <c r="G325" s="209">
        <v>401</v>
      </c>
      <c r="H325" s="206"/>
      <c r="I325" s="206" t="s">
        <v>388</v>
      </c>
      <c r="J325" s="207">
        <v>43145</v>
      </c>
      <c r="K325" s="206"/>
      <c r="L325" s="206"/>
      <c r="M325" s="208"/>
      <c r="N325" s="208"/>
      <c r="O325" s="323">
        <v>0</v>
      </c>
      <c r="P325" s="317">
        <v>0</v>
      </c>
      <c r="Q325" s="317">
        <v>0</v>
      </c>
      <c r="R325" s="318">
        <v>2</v>
      </c>
      <c r="S325" s="318">
        <v>1</v>
      </c>
      <c r="T325" s="318"/>
      <c r="U325" s="318"/>
      <c r="V325" s="318"/>
      <c r="W325" s="318"/>
      <c r="X325" s="318"/>
      <c r="Y325" s="318"/>
      <c r="Z325" s="318"/>
      <c r="AA325" s="310">
        <v>17</v>
      </c>
      <c r="AB325" s="311">
        <v>0</v>
      </c>
      <c r="AC325" s="66"/>
      <c r="AD325" s="66"/>
      <c r="AE325" s="310">
        <v>17</v>
      </c>
      <c r="AF325" s="310" t="s">
        <v>332</v>
      </c>
      <c r="AG325" s="311" t="s">
        <v>332</v>
      </c>
      <c r="AH325" s="66"/>
      <c r="AI325" s="66"/>
      <c r="AJ325" s="310" t="s">
        <v>2462</v>
      </c>
      <c r="AK325" s="841">
        <v>0</v>
      </c>
      <c r="AL325" s="842" t="s">
        <v>284</v>
      </c>
      <c r="AM325" s="842">
        <v>0</v>
      </c>
      <c r="AN325" s="863">
        <v>0</v>
      </c>
      <c r="AO325" s="863">
        <v>9</v>
      </c>
      <c r="AP325" s="843"/>
      <c r="AQ325" s="843"/>
      <c r="AR325" s="843"/>
      <c r="AS325" s="843"/>
      <c r="AT325" s="843"/>
      <c r="AU325" s="843"/>
      <c r="AV325" s="844"/>
      <c r="AW325" s="208" t="str">
        <f>IFERROR(WWWW[[#This Row],['# of Water passed at source]]/WWWW[[#This Row],['# of Water tested at source]],"no test")</f>
        <v>no test</v>
      </c>
      <c r="AX325" s="211" t="str">
        <f>IFERROR(WWWW[[#This Row],['# of Water passed at HH]]/WWWW[[#This Row],['# of Water tested at HH]],"no test")</f>
        <v>no test</v>
      </c>
      <c r="AY325" s="210" t="str">
        <f>IF(AND(WWWW[[#This Row],[%of Water samples which passed at water source]]="no test",WWWW[[#This Row],[%Water samples which passed at HH]]="no test"),"No Test","Tested")</f>
        <v>No Test</v>
      </c>
      <c r="AZ32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2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25" s="211">
        <f>IF(WWWW[[#This Row],[Location Type 1]]="Village",WWWW[[#This Row],[Access to safe drinking water for Village]],WWWW[[#This Row],[Access to safe drinking water for Camp]])</f>
        <v>0</v>
      </c>
      <c r="BC325" s="209">
        <f>WWWW[[#This Row],[%Equitable and continuous access to sufficient quantity of safe drinking water]]*WWWW[[#This Row],[Total PoP ]]</f>
        <v>0</v>
      </c>
      <c r="BD325" s="211">
        <f>IF((WWWW[[#This Row],['# Existing protected/fenced ponds ]]*250)/WWWW[[#This Row],[Total PoP ]]&gt;1,1,WWWW[[#This Row],['# Existing protected/fenced ponds ]]*250/WWWW[[#This Row],[Total PoP ]])</f>
        <v>1</v>
      </c>
      <c r="BE325" s="209">
        <f>WWWW[[#This Row],[Access to unimproved water points]]*WWWW[[#This Row],[Total PoP ]]</f>
        <v>401</v>
      </c>
      <c r="BF32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2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401</v>
      </c>
      <c r="BH325" s="209">
        <f>WWWW[[#This Row],['#people Equitable and continuous access to sufficient quantity of domestic water borehole n ponds_2]]/500</f>
        <v>0.80200000000000005</v>
      </c>
      <c r="BI325" s="208">
        <f>1-WWWW[[#This Row],[%Equitable and continuous access to sufficient quantity of domestic water borehole n ponds]]</f>
        <v>0</v>
      </c>
      <c r="BJ325" s="209">
        <f>WWWW[[#This Row],[%equitable and continuous access to sufficient quantity of safe drinking and domestic water''s GAP]]*WWWW[[#This Row],[Total PoP ]]</f>
        <v>0</v>
      </c>
      <c r="BK325" s="210">
        <f>IF(WWWW[[#This Row],[Total required water points]]-WWWW[[#This Row],['#Water points coverage]]&lt;0,0,WWWW[[#This Row],[Total required water points]]-WWWW[[#This Row],['#Water points coverage]])</f>
        <v>0.19799999999999995</v>
      </c>
      <c r="BL325" s="210">
        <f>ROUND(IF(WWWW[[#This Row],[Total PoP ]]&lt;500,1,WWWW[[#This Row],[Total PoP ]]/500),0)</f>
        <v>1</v>
      </c>
      <c r="BM325" s="210">
        <f>WWWW[[#This Row],['# Existing functional latrines]]+WWWW[[#This Row],['# Existing latrines dysfunctional]]</f>
        <v>17</v>
      </c>
      <c r="BN32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0.25436408977556108</v>
      </c>
      <c r="BO325" s="352">
        <f>WWWW[[#This Row],[% people access to functioning Latrine]]*WWWW[[#This Row],[Total PoP ]]</f>
        <v>101.99999999999999</v>
      </c>
      <c r="BP32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0.74812967581047385</v>
      </c>
      <c r="BQ325" s="209">
        <f>IF(WWWW[[#This Row],[Total required Latrines]]-WWWW[[#This Row],[Total '# of latrine]]&lt;0,0,WWWW[[#This Row],[Total required Latrines]]-WWWW[[#This Row],[Total '# of latrine]])</f>
        <v>50</v>
      </c>
      <c r="BR325" s="210">
        <f>ROUND(IF(WWWW[[#This Row],[Location Type 1]]="camp",WWWW[[#This Row],[Total PoP ]]/20,WWWW[[#This Row],[Total PoP ]]/6),0)</f>
        <v>67</v>
      </c>
      <c r="BS325" s="212">
        <f>IF(OR(WWWW[[#This Row],['# Existing latrines dysfunctional]]="",WWWW[[#This Row],['# Existing latrines dysfunctional]]=0),0,WWWW[[#This Row],['# Existing latrines dysfunctional]]/WWWW[[#This Row],[Total '# of latrine]])</f>
        <v>0</v>
      </c>
      <c r="BT32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5" s="209">
        <f>IF(500*WWWW[[#This Row],['# Hygiene Promoters ]]&gt;WWWW[[#This Row],[Total PoP ]],WWWW[[#This Row],[Total PoP ]],500*WWWW[[#This Row],['# Hygiene Promoters ]])</f>
        <v>401</v>
      </c>
      <c r="BV325" s="209">
        <f>IF(WWWW[[#This Row],[% of HH with access to Sanitary Pad]]&gt;=100%,1,0)</f>
        <v>0</v>
      </c>
      <c r="BW325" s="209">
        <f>IF(WWWW[[#This Row],[Total PoP ]]=0,0,IF(WWWW[[#This Row],['# Hygiene Promoters ]]=0,0,IF(WWWW[[#This Row],[Location Type 1]]="Village",IF(WWWW[[#This Row],[Total PoP ]]/WWWW[[#This Row],['# Hygiene Promoters ]]&lt;1000,1,0),IF(WWWW[[#This Row],[Total PoP ]]/WWWW[[#This Row],['# Hygiene Promoters ]]&lt;600,1,0))))</f>
        <v>1</v>
      </c>
      <c r="BX325" s="209">
        <f>IF(WWWW[[#This Row],[%HH with access to soap]]&gt;=100%,1,0)</f>
        <v>0</v>
      </c>
      <c r="BY325" s="209">
        <f>IF(WWWW[[#This Row],[% of HHs with access to Sanitary pad more than '#%]]+WWWW[[#This Row],[Ratio of Hyiene promoters to people less than '#]]+WWWW[[#This Row],[% of HHs with access to soap more than '#%]]&gt;=2,WWWW[[#This Row],[Total PoP ]],0)</f>
        <v>0</v>
      </c>
      <c r="BZ325" s="208">
        <f>WWWW[[#This Row],[People adopt basic personal and community hygiene practices]]/WWWW[[#This Row],[Total PoP ]]</f>
        <v>0</v>
      </c>
      <c r="CA325" s="212">
        <f>1-WWWW[[#This Row],[Hygiene Coverage%]]</f>
        <v>1</v>
      </c>
      <c r="CB325" s="211">
        <f>WWWW[[#This Row],['# people reached by regular dedicated hygiene promotion_5]]/WWWW[[#This Row],[Total PoP ]]</f>
        <v>1</v>
      </c>
      <c r="CC325" s="211">
        <f>IF(WWWW[[#This Row],['# HH received soaps]]/WWWW[[#This Row],[Total HH]]&gt;1,1,WWWW[[#This Row],['# HH received soaps]]/WWWW[[#This Row],[Total HH]])</f>
        <v>0</v>
      </c>
      <c r="CD325" s="211">
        <f>IF(WWWW[[#This Row],['# HH received Sanitary Pads]]/WWWW[[#This Row],[Total HH]]&gt;1,1,WWWW[[#This Row],['# HH received Sanitary Pads]]/WWWW[[#This Row],[Total HH]])</f>
        <v>0</v>
      </c>
      <c r="CE325" s="210">
        <f>WWWW[[#This Row],['# HH received soaps]]*5</f>
        <v>0</v>
      </c>
      <c r="CF325" s="210">
        <f>WWWW[[#This Row],['# HH received Sanitary Pads]]*5</f>
        <v>0</v>
      </c>
      <c r="CG325" s="210">
        <f>IF(WWWW[[#This Row],['# People with access to soap]]&gt;WWWW[[#This Row],['# People with access to Sanity Pads]],WWWW[[#This Row],['# People with access to soap]],WWWW[[#This Row],['# People with access to Sanity Pads]])</f>
        <v>0</v>
      </c>
      <c r="CH325" s="209">
        <f>WWWW[[#This Row],[Total HH]]*WWWW[[#This Row],[%HHs with access to functional hand washing stations]]</f>
        <v>0</v>
      </c>
      <c r="CI325" s="699">
        <f>VLOOKUP(WWWW[[#This Row],[Site Name]],SiteDB6[[Site Name]:[CCCM Management]],6,FALSE)</f>
        <v>0</v>
      </c>
      <c r="CJ325" s="699">
        <f>VLOOKUP(WWWW[[#This Row],[Site Name]],SiteDB6[[Site Name]:[CCCM Focal Agency]],7,FALSE)</f>
        <v>0</v>
      </c>
      <c r="CK325" s="699" t="str">
        <f>VLOOKUP(WWWW[[#This Row],[Site Name]],SiteDB6[[Site Name]:[Location Type]],8,FALSE)</f>
        <v>Village</v>
      </c>
      <c r="CL325" s="699" t="str">
        <f>VLOOKUP(WWWW[[#This Row],[Site Name]],SiteDB6[[Site Name]:[Location Type 1]],9,FALSE)</f>
        <v>Village</v>
      </c>
      <c r="CM325" s="699" t="str">
        <f>VLOOKUP(WWWW[[#This Row],[Site Name]],SiteDB6[[Site Name]:[Type of Accommodation]],10,FALSE)</f>
        <v>Village</v>
      </c>
      <c r="CN325" s="699" t="str">
        <f>VLOOKUP(WWWW[[#This Row],[Site Name]],SiteDB6[[Site Name]:[Ethnic or GCA/NGCA]],11,FALSE)</f>
        <v>Rakhine</v>
      </c>
      <c r="CO325" s="699">
        <f>VLOOKUP(WWWW[[#This Row],[Site Name]],SiteDB6[[Site Name]:[Lat]],12,FALSE)</f>
        <v>20.651939392089801</v>
      </c>
      <c r="CP325" s="699">
        <f>VLOOKUP(WWWW[[#This Row],[Site Name]],SiteDB6[[Site Name]:[Long]],13,FALSE)</f>
        <v>92.684577941894503</v>
      </c>
      <c r="CQ325" s="699">
        <f>VLOOKUP(WWWW[[#This Row],[Site Name]],SiteDB6[[Site Name]:[Pcode]],3,FALSE)</f>
        <v>197695</v>
      </c>
      <c r="CR325" s="660" t="str">
        <f t="shared" si="7"/>
        <v>Covered</v>
      </c>
      <c r="CS325" s="699"/>
      <c r="CT325" s="24"/>
      <c r="CU325" s="24"/>
      <c r="CV325" s="24"/>
    </row>
    <row r="326" spans="1:100" ht="15.75" customHeight="1" x14ac:dyDescent="0.25">
      <c r="A326" s="833" t="s">
        <v>3206</v>
      </c>
      <c r="B326" s="206" t="s">
        <v>530</v>
      </c>
      <c r="C326" s="206" t="s">
        <v>454</v>
      </c>
      <c r="D326" s="206" t="s">
        <v>498</v>
      </c>
      <c r="E326" s="206" t="s">
        <v>639</v>
      </c>
      <c r="F326" s="206">
        <v>97</v>
      </c>
      <c r="G326" s="209">
        <v>339</v>
      </c>
      <c r="H326" s="206"/>
      <c r="I326" s="206" t="s">
        <v>388</v>
      </c>
      <c r="J326" s="207">
        <v>43145</v>
      </c>
      <c r="K326" s="206"/>
      <c r="L326" s="206"/>
      <c r="M326" s="208"/>
      <c r="N326" s="208"/>
      <c r="O326" s="323">
        <v>0</v>
      </c>
      <c r="P326" s="317">
        <v>0</v>
      </c>
      <c r="Q326" s="317">
        <v>0</v>
      </c>
      <c r="R326" s="318">
        <v>3</v>
      </c>
      <c r="S326" s="318">
        <v>1</v>
      </c>
      <c r="T326" s="318"/>
      <c r="U326" s="318"/>
      <c r="V326" s="318"/>
      <c r="W326" s="318"/>
      <c r="X326" s="318"/>
      <c r="Y326" s="318"/>
      <c r="Z326" s="318"/>
      <c r="AA326" s="310">
        <v>28</v>
      </c>
      <c r="AB326" s="311">
        <v>0</v>
      </c>
      <c r="AC326" s="66"/>
      <c r="AD326" s="66"/>
      <c r="AE326" s="310">
        <v>28</v>
      </c>
      <c r="AF326" s="310" t="s">
        <v>332</v>
      </c>
      <c r="AG326" s="311" t="s">
        <v>332</v>
      </c>
      <c r="AH326" s="66"/>
      <c r="AI326" s="66"/>
      <c r="AJ326" s="310" t="s">
        <v>2462</v>
      </c>
      <c r="AK326" s="841">
        <v>0</v>
      </c>
      <c r="AL326" s="842" t="s">
        <v>284</v>
      </c>
      <c r="AM326" s="842">
        <v>0</v>
      </c>
      <c r="AN326" s="863">
        <v>0</v>
      </c>
      <c r="AO326" s="863">
        <v>9</v>
      </c>
      <c r="AP326" s="843"/>
      <c r="AQ326" s="843"/>
      <c r="AR326" s="843"/>
      <c r="AS326" s="843"/>
      <c r="AT326" s="843"/>
      <c r="AU326" s="843"/>
      <c r="AV326" s="844"/>
      <c r="AW326" s="208" t="str">
        <f>IFERROR(WWWW[[#This Row],['# of Water passed at source]]/WWWW[[#This Row],['# of Water tested at source]],"no test")</f>
        <v>no test</v>
      </c>
      <c r="AX326" s="211" t="str">
        <f>IFERROR(WWWW[[#This Row],['# of Water passed at HH]]/WWWW[[#This Row],['# of Water tested at HH]],"no test")</f>
        <v>no test</v>
      </c>
      <c r="AY326" s="210" t="str">
        <f>IF(AND(WWWW[[#This Row],[%of Water samples which passed at water source]]="no test",WWWW[[#This Row],[%Water samples which passed at HH]]="no test"),"No Test","Tested")</f>
        <v>No Test</v>
      </c>
      <c r="AZ32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2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26" s="211">
        <f>IF(WWWW[[#This Row],[Location Type 1]]="Village",WWWW[[#This Row],[Access to safe drinking water for Village]],WWWW[[#This Row],[Access to safe drinking water for Camp]])</f>
        <v>0</v>
      </c>
      <c r="BC326" s="209">
        <f>WWWW[[#This Row],[%Equitable and continuous access to sufficient quantity of safe drinking water]]*WWWW[[#This Row],[Total PoP ]]</f>
        <v>0</v>
      </c>
      <c r="BD326" s="211">
        <f>IF((WWWW[[#This Row],['# Existing protected/fenced ponds ]]*250)/WWWW[[#This Row],[Total PoP ]]&gt;1,1,WWWW[[#This Row],['# Existing protected/fenced ponds ]]*250/WWWW[[#This Row],[Total PoP ]])</f>
        <v>1</v>
      </c>
      <c r="BE326" s="209">
        <f>WWWW[[#This Row],[Access to unimproved water points]]*WWWW[[#This Row],[Total PoP ]]</f>
        <v>339</v>
      </c>
      <c r="BF32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2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339</v>
      </c>
      <c r="BH326" s="209">
        <f>WWWW[[#This Row],['#people Equitable and continuous access to sufficient quantity of domestic water borehole n ponds_2]]/500</f>
        <v>0.67800000000000005</v>
      </c>
      <c r="BI326" s="208">
        <f>1-WWWW[[#This Row],[%Equitable and continuous access to sufficient quantity of domestic water borehole n ponds]]</f>
        <v>0</v>
      </c>
      <c r="BJ326" s="209">
        <f>WWWW[[#This Row],[%equitable and continuous access to sufficient quantity of safe drinking and domestic water''s GAP]]*WWWW[[#This Row],[Total PoP ]]</f>
        <v>0</v>
      </c>
      <c r="BK326" s="210">
        <f>IF(WWWW[[#This Row],[Total required water points]]-WWWW[[#This Row],['#Water points coverage]]&lt;0,0,WWWW[[#This Row],[Total required water points]]-WWWW[[#This Row],['#Water points coverage]])</f>
        <v>0.32199999999999995</v>
      </c>
      <c r="BL326" s="210">
        <f>ROUND(IF(WWWW[[#This Row],[Total PoP ]]&lt;500,1,WWWW[[#This Row],[Total PoP ]]/500),0)</f>
        <v>1</v>
      </c>
      <c r="BM326" s="210">
        <f>WWWW[[#This Row],['# Existing functional latrines]]+WWWW[[#This Row],['# Existing latrines dysfunctional]]</f>
        <v>28</v>
      </c>
      <c r="BN32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0.49557522123893805</v>
      </c>
      <c r="BO326" s="352">
        <f>WWWW[[#This Row],[% people access to functioning Latrine]]*WWWW[[#This Row],[Total PoP ]]</f>
        <v>168</v>
      </c>
      <c r="BP32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0.51327433628318586</v>
      </c>
      <c r="BQ326" s="209">
        <f>IF(WWWW[[#This Row],[Total required Latrines]]-WWWW[[#This Row],[Total '# of latrine]]&lt;0,0,WWWW[[#This Row],[Total required Latrines]]-WWWW[[#This Row],[Total '# of latrine]])</f>
        <v>29</v>
      </c>
      <c r="BR326" s="210">
        <f>ROUND(IF(WWWW[[#This Row],[Location Type 1]]="camp",WWWW[[#This Row],[Total PoP ]]/20,WWWW[[#This Row],[Total PoP ]]/6),0)</f>
        <v>57</v>
      </c>
      <c r="BS326" s="212">
        <f>IF(OR(WWWW[[#This Row],['# Existing latrines dysfunctional]]="",WWWW[[#This Row],['# Existing latrines dysfunctional]]=0),0,WWWW[[#This Row],['# Existing latrines dysfunctional]]/WWWW[[#This Row],[Total '# of latrine]])</f>
        <v>0</v>
      </c>
      <c r="BT32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6" s="209">
        <f>IF(500*WWWW[[#This Row],['# Hygiene Promoters ]]&gt;WWWW[[#This Row],[Total PoP ]],WWWW[[#This Row],[Total PoP ]],500*WWWW[[#This Row],['# Hygiene Promoters ]])</f>
        <v>339</v>
      </c>
      <c r="BV326" s="209">
        <f>IF(WWWW[[#This Row],[% of HH with access to Sanitary Pad]]&gt;=100%,1,0)</f>
        <v>0</v>
      </c>
      <c r="BW326" s="209">
        <f>IF(WWWW[[#This Row],[Total PoP ]]=0,0,IF(WWWW[[#This Row],['# Hygiene Promoters ]]=0,0,IF(WWWW[[#This Row],[Location Type 1]]="Village",IF(WWWW[[#This Row],[Total PoP ]]/WWWW[[#This Row],['# Hygiene Promoters ]]&lt;1000,1,0),IF(WWWW[[#This Row],[Total PoP ]]/WWWW[[#This Row],['# Hygiene Promoters ]]&lt;600,1,0))))</f>
        <v>1</v>
      </c>
      <c r="BX326" s="209">
        <f>IF(WWWW[[#This Row],[%HH with access to soap]]&gt;=100%,1,0)</f>
        <v>0</v>
      </c>
      <c r="BY326" s="209">
        <f>IF(WWWW[[#This Row],[% of HHs with access to Sanitary pad more than '#%]]+WWWW[[#This Row],[Ratio of Hyiene promoters to people less than '#]]+WWWW[[#This Row],[% of HHs with access to soap more than '#%]]&gt;=2,WWWW[[#This Row],[Total PoP ]],0)</f>
        <v>0</v>
      </c>
      <c r="BZ326" s="208">
        <f>WWWW[[#This Row],[People adopt basic personal and community hygiene practices]]/WWWW[[#This Row],[Total PoP ]]</f>
        <v>0</v>
      </c>
      <c r="CA326" s="212">
        <f>1-WWWW[[#This Row],[Hygiene Coverage%]]</f>
        <v>1</v>
      </c>
      <c r="CB326" s="211">
        <f>WWWW[[#This Row],['# people reached by regular dedicated hygiene promotion_5]]/WWWW[[#This Row],[Total PoP ]]</f>
        <v>1</v>
      </c>
      <c r="CC326" s="211">
        <f>IF(WWWW[[#This Row],['# HH received soaps]]/WWWW[[#This Row],[Total HH]]&gt;1,1,WWWW[[#This Row],['# HH received soaps]]/WWWW[[#This Row],[Total HH]])</f>
        <v>0</v>
      </c>
      <c r="CD326" s="211">
        <f>IF(WWWW[[#This Row],['# HH received Sanitary Pads]]/WWWW[[#This Row],[Total HH]]&gt;1,1,WWWW[[#This Row],['# HH received Sanitary Pads]]/WWWW[[#This Row],[Total HH]])</f>
        <v>0</v>
      </c>
      <c r="CE326" s="210">
        <f>WWWW[[#This Row],['# HH received soaps]]*5</f>
        <v>0</v>
      </c>
      <c r="CF326" s="210">
        <f>WWWW[[#This Row],['# HH received Sanitary Pads]]*5</f>
        <v>0</v>
      </c>
      <c r="CG326" s="210">
        <f>IF(WWWW[[#This Row],['# People with access to soap]]&gt;WWWW[[#This Row],['# People with access to Sanity Pads]],WWWW[[#This Row],['# People with access to soap]],WWWW[[#This Row],['# People with access to Sanity Pads]])</f>
        <v>0</v>
      </c>
      <c r="CH326" s="209">
        <f>WWWW[[#This Row],[Total HH]]*WWWW[[#This Row],[%HHs with access to functional hand washing stations]]</f>
        <v>0</v>
      </c>
      <c r="CI326" s="699">
        <f>VLOOKUP(WWWW[[#This Row],[Site Name]],SiteDB6[[Site Name]:[CCCM Management]],6,FALSE)</f>
        <v>0</v>
      </c>
      <c r="CJ326" s="699">
        <f>VLOOKUP(WWWW[[#This Row],[Site Name]],SiteDB6[[Site Name]:[CCCM Focal Agency]],7,FALSE)</f>
        <v>0</v>
      </c>
      <c r="CK326" s="699" t="str">
        <f>VLOOKUP(WWWW[[#This Row],[Site Name]],SiteDB6[[Site Name]:[Location Type]],8,FALSE)</f>
        <v>Village</v>
      </c>
      <c r="CL326" s="699" t="str">
        <f>VLOOKUP(WWWW[[#This Row],[Site Name]],SiteDB6[[Site Name]:[Location Type 1]],9,FALSE)</f>
        <v>Village</v>
      </c>
      <c r="CM326" s="699" t="str">
        <f>VLOOKUP(WWWW[[#This Row],[Site Name]],SiteDB6[[Site Name]:[Type of Accommodation]],10,FALSE)</f>
        <v>Village</v>
      </c>
      <c r="CN326" s="699" t="str">
        <f>VLOOKUP(WWWW[[#This Row],[Site Name]],SiteDB6[[Site Name]:[Ethnic or GCA/NGCA]],11,FALSE)</f>
        <v>Rakhine</v>
      </c>
      <c r="CO326" s="699">
        <f>VLOOKUP(WWWW[[#This Row],[Site Name]],SiteDB6[[Site Name]:[Lat]],12,FALSE)</f>
        <v>20.463909149169901</v>
      </c>
      <c r="CP326" s="699">
        <f>VLOOKUP(WWWW[[#This Row],[Site Name]],SiteDB6[[Site Name]:[Long]],13,FALSE)</f>
        <v>92.675468444824205</v>
      </c>
      <c r="CQ326" s="699">
        <f>VLOOKUP(WWWW[[#This Row],[Site Name]],SiteDB6[[Site Name]:[Pcode]],3,FALSE)</f>
        <v>197629</v>
      </c>
      <c r="CR326" s="660" t="str">
        <f t="shared" si="7"/>
        <v>Covered</v>
      </c>
      <c r="CS326" s="699"/>
      <c r="CT326" s="24"/>
      <c r="CU326" s="24"/>
      <c r="CV326" s="24"/>
    </row>
    <row r="327" spans="1:100" ht="15.75" customHeight="1" x14ac:dyDescent="0.25">
      <c r="A327" s="833" t="s">
        <v>3206</v>
      </c>
      <c r="B327" s="206" t="s">
        <v>530</v>
      </c>
      <c r="C327" s="206" t="s">
        <v>454</v>
      </c>
      <c r="D327" s="206" t="s">
        <v>498</v>
      </c>
      <c r="E327" s="206" t="s">
        <v>651</v>
      </c>
      <c r="F327" s="206">
        <v>70</v>
      </c>
      <c r="G327" s="209">
        <v>350</v>
      </c>
      <c r="H327" s="206"/>
      <c r="I327" s="206" t="s">
        <v>388</v>
      </c>
      <c r="J327" s="207">
        <v>43145</v>
      </c>
      <c r="K327" s="206"/>
      <c r="L327" s="206"/>
      <c r="M327" s="208"/>
      <c r="N327" s="208"/>
      <c r="O327" s="316">
        <v>0</v>
      </c>
      <c r="P327" s="317">
        <v>0</v>
      </c>
      <c r="Q327" s="317">
        <v>0</v>
      </c>
      <c r="R327" s="318">
        <v>1</v>
      </c>
      <c r="S327" s="318">
        <v>1</v>
      </c>
      <c r="T327" s="318"/>
      <c r="U327" s="318"/>
      <c r="V327" s="318"/>
      <c r="W327" s="318"/>
      <c r="X327" s="318"/>
      <c r="Y327" s="318"/>
      <c r="Z327" s="318"/>
      <c r="AA327" s="310">
        <v>16</v>
      </c>
      <c r="AB327" s="310">
        <v>0</v>
      </c>
      <c r="AC327" s="66"/>
      <c r="AD327" s="66"/>
      <c r="AE327" s="310">
        <v>16</v>
      </c>
      <c r="AF327" s="310" t="s">
        <v>332</v>
      </c>
      <c r="AG327" s="311" t="s">
        <v>332</v>
      </c>
      <c r="AH327" s="311"/>
      <c r="AI327" s="310"/>
      <c r="AJ327" s="310" t="s">
        <v>2462</v>
      </c>
      <c r="AK327" s="841">
        <v>0</v>
      </c>
      <c r="AL327" s="842" t="s">
        <v>284</v>
      </c>
      <c r="AM327" s="842">
        <v>0</v>
      </c>
      <c r="AN327" s="863">
        <v>0</v>
      </c>
      <c r="AO327" s="863">
        <v>9</v>
      </c>
      <c r="AP327" s="843"/>
      <c r="AQ327" s="843"/>
      <c r="AR327" s="843"/>
      <c r="AS327" s="843"/>
      <c r="AT327" s="843"/>
      <c r="AU327" s="843"/>
      <c r="AV327" s="844"/>
      <c r="AW327" s="208" t="str">
        <f>IFERROR(WWWW[[#This Row],['# of Water passed at source]]/WWWW[[#This Row],['# of Water tested at source]],"no test")</f>
        <v>no test</v>
      </c>
      <c r="AX327" s="211" t="str">
        <f>IFERROR(WWWW[[#This Row],['# of Water passed at HH]]/WWWW[[#This Row],['# of Water tested at HH]],"no test")</f>
        <v>no test</v>
      </c>
      <c r="AY327" s="210" t="str">
        <f>IF(AND(WWWW[[#This Row],[%of Water samples which passed at water source]]="no test",WWWW[[#This Row],[%Water samples which passed at HH]]="no test"),"No Test","Tested")</f>
        <v>No Test</v>
      </c>
      <c r="AZ32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2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27" s="211">
        <f>IF(WWWW[[#This Row],[Location Type 1]]="Village",WWWW[[#This Row],[Access to safe drinking water for Village]],WWWW[[#This Row],[Access to safe drinking water for Camp]])</f>
        <v>0</v>
      </c>
      <c r="BC327" s="209">
        <f>WWWW[[#This Row],[%Equitable and continuous access to sufficient quantity of safe drinking water]]*WWWW[[#This Row],[Total PoP ]]</f>
        <v>0</v>
      </c>
      <c r="BD327" s="211">
        <f>IF((WWWW[[#This Row],['# Existing protected/fenced ponds ]]*250)/WWWW[[#This Row],[Total PoP ]]&gt;1,1,WWWW[[#This Row],['# Existing protected/fenced ponds ]]*250/WWWW[[#This Row],[Total PoP ]])</f>
        <v>0.7142857142857143</v>
      </c>
      <c r="BE327" s="209">
        <f>WWWW[[#This Row],[Access to unimproved water points]]*WWWW[[#This Row],[Total PoP ]]</f>
        <v>250</v>
      </c>
      <c r="BF32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0.7142857142857143</v>
      </c>
      <c r="BG32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H327" s="209">
        <f>WWWW[[#This Row],['#people Equitable and continuous access to sufficient quantity of domestic water borehole n ponds_2]]/500</f>
        <v>0.5</v>
      </c>
      <c r="BI327" s="208">
        <f>1-WWWW[[#This Row],[%Equitable and continuous access to sufficient quantity of domestic water borehole n ponds]]</f>
        <v>0.2857142857142857</v>
      </c>
      <c r="BJ327" s="209">
        <f>WWWW[[#This Row],[%equitable and continuous access to sufficient quantity of safe drinking and domestic water''s GAP]]*WWWW[[#This Row],[Total PoP ]]</f>
        <v>100</v>
      </c>
      <c r="BK327" s="210">
        <f>IF(WWWW[[#This Row],[Total required water points]]-WWWW[[#This Row],['#Water points coverage]]&lt;0,0,WWWW[[#This Row],[Total required water points]]-WWWW[[#This Row],['#Water points coverage]])</f>
        <v>0.5</v>
      </c>
      <c r="BL327" s="210">
        <f>ROUND(IF(WWWW[[#This Row],[Total PoP ]]&lt;500,1,WWWW[[#This Row],[Total PoP ]]/500),0)</f>
        <v>1</v>
      </c>
      <c r="BM327" s="210">
        <f>WWWW[[#This Row],['# Existing functional latrines]]+WWWW[[#This Row],['# Existing latrines dysfunctional]]</f>
        <v>16</v>
      </c>
      <c r="BN32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0.2742857142857143</v>
      </c>
      <c r="BO327" s="352">
        <f>WWWW[[#This Row],[% people access to functioning Latrine]]*WWWW[[#This Row],[Total PoP ]]</f>
        <v>96</v>
      </c>
      <c r="BP32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0.72</v>
      </c>
      <c r="BQ327" s="209">
        <f>IF(WWWW[[#This Row],[Total required Latrines]]-WWWW[[#This Row],[Total '# of latrine]]&lt;0,0,WWWW[[#This Row],[Total required Latrines]]-WWWW[[#This Row],[Total '# of latrine]])</f>
        <v>42</v>
      </c>
      <c r="BR327" s="210">
        <f>ROUND(IF(WWWW[[#This Row],[Location Type 1]]="camp",WWWW[[#This Row],[Total PoP ]]/20,WWWW[[#This Row],[Total PoP ]]/6),0)</f>
        <v>58</v>
      </c>
      <c r="BS327" s="212">
        <f>IF(OR(WWWW[[#This Row],['# Existing latrines dysfunctional]]="",WWWW[[#This Row],['# Existing latrines dysfunctional]]=0),0,WWWW[[#This Row],['# Existing latrines dysfunctional]]/WWWW[[#This Row],[Total '# of latrine]])</f>
        <v>0</v>
      </c>
      <c r="BT32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7" s="209">
        <f>IF(500*WWWW[[#This Row],['# Hygiene Promoters ]]&gt;WWWW[[#This Row],[Total PoP ]],WWWW[[#This Row],[Total PoP ]],500*WWWW[[#This Row],['# Hygiene Promoters ]])</f>
        <v>350</v>
      </c>
      <c r="BV327" s="209">
        <f>IF(WWWW[[#This Row],[% of HH with access to Sanitary Pad]]&gt;=100%,1,0)</f>
        <v>0</v>
      </c>
      <c r="BW327" s="209">
        <f>IF(WWWW[[#This Row],[Total PoP ]]=0,0,IF(WWWW[[#This Row],['# Hygiene Promoters ]]=0,0,IF(WWWW[[#This Row],[Location Type 1]]="Village",IF(WWWW[[#This Row],[Total PoP ]]/WWWW[[#This Row],['# Hygiene Promoters ]]&lt;1000,1,0),IF(WWWW[[#This Row],[Total PoP ]]/WWWW[[#This Row],['# Hygiene Promoters ]]&lt;600,1,0))))</f>
        <v>1</v>
      </c>
      <c r="BX327" s="209">
        <f>IF(WWWW[[#This Row],[%HH with access to soap]]&gt;=100%,1,0)</f>
        <v>0</v>
      </c>
      <c r="BY327" s="209">
        <f>IF(WWWW[[#This Row],[% of HHs with access to Sanitary pad more than '#%]]+WWWW[[#This Row],[Ratio of Hyiene promoters to people less than '#]]+WWWW[[#This Row],[% of HHs with access to soap more than '#%]]&gt;=2,WWWW[[#This Row],[Total PoP ]],0)</f>
        <v>0</v>
      </c>
      <c r="BZ327" s="208">
        <f>WWWW[[#This Row],[People adopt basic personal and community hygiene practices]]/WWWW[[#This Row],[Total PoP ]]</f>
        <v>0</v>
      </c>
      <c r="CA327" s="212">
        <f>1-WWWW[[#This Row],[Hygiene Coverage%]]</f>
        <v>1</v>
      </c>
      <c r="CB327" s="211">
        <f>WWWW[[#This Row],['# people reached by regular dedicated hygiene promotion_5]]/WWWW[[#This Row],[Total PoP ]]</f>
        <v>1</v>
      </c>
      <c r="CC327" s="211">
        <f>IF(WWWW[[#This Row],['# HH received soaps]]/WWWW[[#This Row],[Total HH]]&gt;1,1,WWWW[[#This Row],['# HH received soaps]]/WWWW[[#This Row],[Total HH]])</f>
        <v>0</v>
      </c>
      <c r="CD327" s="211">
        <f>IF(WWWW[[#This Row],['# HH received Sanitary Pads]]/WWWW[[#This Row],[Total HH]]&gt;1,1,WWWW[[#This Row],['# HH received Sanitary Pads]]/WWWW[[#This Row],[Total HH]])</f>
        <v>0</v>
      </c>
      <c r="CE327" s="210">
        <f>WWWW[[#This Row],['# HH received soaps]]*5</f>
        <v>0</v>
      </c>
      <c r="CF327" s="210">
        <f>WWWW[[#This Row],['# HH received Sanitary Pads]]*5</f>
        <v>0</v>
      </c>
      <c r="CG327" s="210">
        <f>IF(WWWW[[#This Row],['# People with access to soap]]&gt;WWWW[[#This Row],['# People with access to Sanity Pads]],WWWW[[#This Row],['# People with access to soap]],WWWW[[#This Row],['# People with access to Sanity Pads]])</f>
        <v>0</v>
      </c>
      <c r="CH327" s="209">
        <f>WWWW[[#This Row],[Total HH]]*WWWW[[#This Row],[%HHs with access to functional hand washing stations]]</f>
        <v>0</v>
      </c>
      <c r="CI327" s="699">
        <f>VLOOKUP(WWWW[[#This Row],[Site Name]],SiteDB6[[Site Name]:[CCCM Management]],6,FALSE)</f>
        <v>0</v>
      </c>
      <c r="CJ327" s="699">
        <f>VLOOKUP(WWWW[[#This Row],[Site Name]],SiteDB6[[Site Name]:[CCCM Focal Agency]],7,FALSE)</f>
        <v>0</v>
      </c>
      <c r="CK327" s="699" t="str">
        <f>VLOOKUP(WWWW[[#This Row],[Site Name]],SiteDB6[[Site Name]:[Location Type]],8,FALSE)</f>
        <v>Village</v>
      </c>
      <c r="CL327" s="699" t="str">
        <f>VLOOKUP(WWWW[[#This Row],[Site Name]],SiteDB6[[Site Name]:[Location Type 1]],9,FALSE)</f>
        <v>Village</v>
      </c>
      <c r="CM327" s="699" t="str">
        <f>VLOOKUP(WWWW[[#This Row],[Site Name]],SiteDB6[[Site Name]:[Type of Accommodation]],10,FALSE)</f>
        <v>Village</v>
      </c>
      <c r="CN327" s="699" t="str">
        <f>VLOOKUP(WWWW[[#This Row],[Site Name]],SiteDB6[[Site Name]:[Ethnic or GCA/NGCA]],11,FALSE)</f>
        <v>Rakhine</v>
      </c>
      <c r="CO327" s="699">
        <f>VLOOKUP(WWWW[[#This Row],[Site Name]],SiteDB6[[Site Name]:[Lat]],12,FALSE)</f>
        <v>20.502599716186499</v>
      </c>
      <c r="CP327" s="699">
        <f>VLOOKUP(WWWW[[#This Row],[Site Name]],SiteDB6[[Site Name]:[Long]],13,FALSE)</f>
        <v>92.647476196289105</v>
      </c>
      <c r="CQ327" s="699">
        <f>VLOOKUP(WWWW[[#This Row],[Site Name]],SiteDB6[[Site Name]:[Pcode]],3,FALSE)</f>
        <v>197615</v>
      </c>
      <c r="CR327" s="660" t="str">
        <f t="shared" si="7"/>
        <v>Covered</v>
      </c>
      <c r="CS327" s="660"/>
      <c r="CT327" s="24"/>
      <c r="CU327" s="24"/>
      <c r="CV327" s="24"/>
    </row>
    <row r="328" spans="1:100" ht="15.75" customHeight="1" x14ac:dyDescent="0.25">
      <c r="A328" s="833" t="s">
        <v>3206</v>
      </c>
      <c r="B328" s="206" t="s">
        <v>530</v>
      </c>
      <c r="C328" s="206" t="s">
        <v>454</v>
      </c>
      <c r="D328" s="206" t="s">
        <v>498</v>
      </c>
      <c r="E328" s="206" t="s">
        <v>646</v>
      </c>
      <c r="F328" s="206">
        <v>89</v>
      </c>
      <c r="G328" s="209">
        <v>555</v>
      </c>
      <c r="H328" s="206"/>
      <c r="I328" s="206" t="s">
        <v>388</v>
      </c>
      <c r="J328" s="207">
        <v>43145</v>
      </c>
      <c r="K328" s="206"/>
      <c r="L328" s="206"/>
      <c r="M328" s="208"/>
      <c r="N328" s="208"/>
      <c r="O328" s="316">
        <v>0</v>
      </c>
      <c r="P328" s="317">
        <v>1</v>
      </c>
      <c r="Q328" s="317">
        <v>0</v>
      </c>
      <c r="R328" s="318">
        <v>3</v>
      </c>
      <c r="S328" s="318">
        <v>1</v>
      </c>
      <c r="T328" s="318"/>
      <c r="U328" s="318"/>
      <c r="V328" s="318"/>
      <c r="W328" s="318"/>
      <c r="X328" s="318"/>
      <c r="Y328" s="318"/>
      <c r="Z328" s="318"/>
      <c r="AA328" s="310">
        <v>42</v>
      </c>
      <c r="AB328" s="310">
        <v>0</v>
      </c>
      <c r="AC328" s="66"/>
      <c r="AD328" s="66"/>
      <c r="AE328" s="310">
        <v>42</v>
      </c>
      <c r="AF328" s="310" t="s">
        <v>332</v>
      </c>
      <c r="AG328" s="311" t="s">
        <v>332</v>
      </c>
      <c r="AH328" s="311"/>
      <c r="AI328" s="310"/>
      <c r="AJ328" s="310" t="s">
        <v>2462</v>
      </c>
      <c r="AK328" s="841">
        <v>0</v>
      </c>
      <c r="AL328" s="842" t="s">
        <v>284</v>
      </c>
      <c r="AM328" s="842">
        <v>0</v>
      </c>
      <c r="AN328" s="863">
        <v>0</v>
      </c>
      <c r="AO328" s="863">
        <v>9</v>
      </c>
      <c r="AP328" s="843"/>
      <c r="AQ328" s="843"/>
      <c r="AR328" s="843"/>
      <c r="AS328" s="843"/>
      <c r="AT328" s="843"/>
      <c r="AU328" s="843"/>
      <c r="AV328" s="844"/>
      <c r="AW328" s="208" t="str">
        <f>IFERROR(WWWW[[#This Row],['# of Water passed at source]]/WWWW[[#This Row],['# of Water tested at source]],"no test")</f>
        <v>no test</v>
      </c>
      <c r="AX328" s="211" t="str">
        <f>IFERROR(WWWW[[#This Row],['# of Water passed at HH]]/WWWW[[#This Row],['# of Water tested at HH]],"no test")</f>
        <v>no test</v>
      </c>
      <c r="AY328" s="210" t="str">
        <f>IF(AND(WWWW[[#This Row],[%of Water samples which passed at water source]]="no test",WWWW[[#This Row],[%Water samples which passed at HH]]="no test"),"No Test","Tested")</f>
        <v>No Test</v>
      </c>
      <c r="AZ32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2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0.45045045045045046</v>
      </c>
      <c r="BB328" s="211">
        <f>IF(WWWW[[#This Row],[Location Type 1]]="Village",WWWW[[#This Row],[Access to safe drinking water for Village]],WWWW[[#This Row],[Access to safe drinking water for Camp]])</f>
        <v>0.45045045045045046</v>
      </c>
      <c r="BC328" s="209">
        <f>WWWW[[#This Row],[%Equitable and continuous access to sufficient quantity of safe drinking water]]*WWWW[[#This Row],[Total PoP ]]</f>
        <v>250</v>
      </c>
      <c r="BD328" s="211">
        <f>IF((WWWW[[#This Row],['# Existing protected/fenced ponds ]]*250)/WWWW[[#This Row],[Total PoP ]]&gt;1,1,WWWW[[#This Row],['# Existing protected/fenced ponds ]]*250/WWWW[[#This Row],[Total PoP ]])</f>
        <v>1</v>
      </c>
      <c r="BE328" s="209">
        <f>WWWW[[#This Row],[Access to unimproved water points]]*WWWW[[#This Row],[Total PoP ]]</f>
        <v>555</v>
      </c>
      <c r="BF32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2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555</v>
      </c>
      <c r="BH328" s="209">
        <f>WWWW[[#This Row],['#people Equitable and continuous access to sufficient quantity of domestic water borehole n ponds_2]]/500</f>
        <v>1.1100000000000001</v>
      </c>
      <c r="BI328" s="208">
        <f>1-WWWW[[#This Row],[%Equitable and continuous access to sufficient quantity of domestic water borehole n ponds]]</f>
        <v>0</v>
      </c>
      <c r="BJ328" s="209">
        <f>WWWW[[#This Row],[%equitable and continuous access to sufficient quantity of safe drinking and domestic water''s GAP]]*WWWW[[#This Row],[Total PoP ]]</f>
        <v>0</v>
      </c>
      <c r="BK328" s="210">
        <f>IF(WWWW[[#This Row],[Total required water points]]-WWWW[[#This Row],['#Water points coverage]]&lt;0,0,WWWW[[#This Row],[Total required water points]]-WWWW[[#This Row],['#Water points coverage]])</f>
        <v>0</v>
      </c>
      <c r="BL328" s="210">
        <f>ROUND(IF(WWWW[[#This Row],[Total PoP ]]&lt;500,1,WWWW[[#This Row],[Total PoP ]]/500),0)</f>
        <v>1</v>
      </c>
      <c r="BM328" s="210">
        <f>WWWW[[#This Row],['# Existing functional latrines]]+WWWW[[#This Row],['# Existing latrines dysfunctional]]</f>
        <v>42</v>
      </c>
      <c r="BN32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0.45405405405405408</v>
      </c>
      <c r="BO328" s="352">
        <f>WWWW[[#This Row],[% people access to functioning Latrine]]*WWWW[[#This Row],[Total PoP ]]</f>
        <v>252</v>
      </c>
      <c r="BP32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0.55135135135135138</v>
      </c>
      <c r="BQ328" s="209">
        <f>IF(WWWW[[#This Row],[Total required Latrines]]-WWWW[[#This Row],[Total '# of latrine]]&lt;0,0,WWWW[[#This Row],[Total required Latrines]]-WWWW[[#This Row],[Total '# of latrine]])</f>
        <v>51</v>
      </c>
      <c r="BR328" s="210">
        <f>ROUND(IF(WWWW[[#This Row],[Location Type 1]]="camp",WWWW[[#This Row],[Total PoP ]]/20,WWWW[[#This Row],[Total PoP ]]/6),0)</f>
        <v>93</v>
      </c>
      <c r="BS328" s="212">
        <f>IF(OR(WWWW[[#This Row],['# Existing latrines dysfunctional]]="",WWWW[[#This Row],['# Existing latrines dysfunctional]]=0),0,WWWW[[#This Row],['# Existing latrines dysfunctional]]/WWWW[[#This Row],[Total '# of latrine]])</f>
        <v>0</v>
      </c>
      <c r="BT32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8" s="209">
        <f>IF(500*WWWW[[#This Row],['# Hygiene Promoters ]]&gt;WWWW[[#This Row],[Total PoP ]],WWWW[[#This Row],[Total PoP ]],500*WWWW[[#This Row],['# Hygiene Promoters ]])</f>
        <v>555</v>
      </c>
      <c r="BV328" s="209">
        <f>IF(WWWW[[#This Row],[% of HH with access to Sanitary Pad]]&gt;=100%,1,0)</f>
        <v>0</v>
      </c>
      <c r="BW328" s="209">
        <f>IF(WWWW[[#This Row],[Total PoP ]]=0,0,IF(WWWW[[#This Row],['# Hygiene Promoters ]]=0,0,IF(WWWW[[#This Row],[Location Type 1]]="Village",IF(WWWW[[#This Row],[Total PoP ]]/WWWW[[#This Row],['# Hygiene Promoters ]]&lt;1000,1,0),IF(WWWW[[#This Row],[Total PoP ]]/WWWW[[#This Row],['# Hygiene Promoters ]]&lt;600,1,0))))</f>
        <v>1</v>
      </c>
      <c r="BX328" s="209">
        <f>IF(WWWW[[#This Row],[%HH with access to soap]]&gt;=100%,1,0)</f>
        <v>0</v>
      </c>
      <c r="BY328" s="209">
        <f>IF(WWWW[[#This Row],[% of HHs with access to Sanitary pad more than '#%]]+WWWW[[#This Row],[Ratio of Hyiene promoters to people less than '#]]+WWWW[[#This Row],[% of HHs with access to soap more than '#%]]&gt;=2,WWWW[[#This Row],[Total PoP ]],0)</f>
        <v>0</v>
      </c>
      <c r="BZ328" s="208">
        <f>WWWW[[#This Row],[People adopt basic personal and community hygiene practices]]/WWWW[[#This Row],[Total PoP ]]</f>
        <v>0</v>
      </c>
      <c r="CA328" s="212">
        <f>1-WWWW[[#This Row],[Hygiene Coverage%]]</f>
        <v>1</v>
      </c>
      <c r="CB328" s="211">
        <f>WWWW[[#This Row],['# people reached by regular dedicated hygiene promotion_5]]/WWWW[[#This Row],[Total PoP ]]</f>
        <v>1</v>
      </c>
      <c r="CC328" s="211">
        <f>IF(WWWW[[#This Row],['# HH received soaps]]/WWWW[[#This Row],[Total HH]]&gt;1,1,WWWW[[#This Row],['# HH received soaps]]/WWWW[[#This Row],[Total HH]])</f>
        <v>0</v>
      </c>
      <c r="CD328" s="211">
        <f>IF(WWWW[[#This Row],['# HH received Sanitary Pads]]/WWWW[[#This Row],[Total HH]]&gt;1,1,WWWW[[#This Row],['# HH received Sanitary Pads]]/WWWW[[#This Row],[Total HH]])</f>
        <v>0</v>
      </c>
      <c r="CE328" s="210">
        <f>WWWW[[#This Row],['# HH received soaps]]*5</f>
        <v>0</v>
      </c>
      <c r="CF328" s="210">
        <f>WWWW[[#This Row],['# HH received Sanitary Pads]]*5</f>
        <v>0</v>
      </c>
      <c r="CG328" s="210">
        <f>IF(WWWW[[#This Row],['# People with access to soap]]&gt;WWWW[[#This Row],['# People with access to Sanity Pads]],WWWW[[#This Row],['# People with access to soap]],WWWW[[#This Row],['# People with access to Sanity Pads]])</f>
        <v>0</v>
      </c>
      <c r="CH328" s="209">
        <f>WWWW[[#This Row],[Total HH]]*WWWW[[#This Row],[%HHs with access to functional hand washing stations]]</f>
        <v>0</v>
      </c>
      <c r="CI328" s="699">
        <f>VLOOKUP(WWWW[[#This Row],[Site Name]],SiteDB6[[Site Name]:[CCCM Management]],6,FALSE)</f>
        <v>0</v>
      </c>
      <c r="CJ328" s="699">
        <f>VLOOKUP(WWWW[[#This Row],[Site Name]],SiteDB6[[Site Name]:[CCCM Focal Agency]],7,FALSE)</f>
        <v>0</v>
      </c>
      <c r="CK328" s="699" t="str">
        <f>VLOOKUP(WWWW[[#This Row],[Site Name]],SiteDB6[[Site Name]:[Location Type]],8,FALSE)</f>
        <v>Village</v>
      </c>
      <c r="CL328" s="699" t="str">
        <f>VLOOKUP(WWWW[[#This Row],[Site Name]],SiteDB6[[Site Name]:[Location Type 1]],9,FALSE)</f>
        <v>Village</v>
      </c>
      <c r="CM328" s="699" t="str">
        <f>VLOOKUP(WWWW[[#This Row],[Site Name]],SiteDB6[[Site Name]:[Type of Accommodation]],10,FALSE)</f>
        <v>Village</v>
      </c>
      <c r="CN328" s="699" t="str">
        <f>VLOOKUP(WWWW[[#This Row],[Site Name]],SiteDB6[[Site Name]:[Ethnic or GCA/NGCA]],11,FALSE)</f>
        <v>Rakhine</v>
      </c>
      <c r="CO328" s="699">
        <f>VLOOKUP(WWWW[[#This Row],[Site Name]],SiteDB6[[Site Name]:[Lat]],12,FALSE)</f>
        <v>20.480100631713899</v>
      </c>
      <c r="CP328" s="699">
        <f>VLOOKUP(WWWW[[#This Row],[Site Name]],SiteDB6[[Site Name]:[Long]],13,FALSE)</f>
        <v>92.704818725585895</v>
      </c>
      <c r="CQ328" s="699">
        <f>VLOOKUP(WWWW[[#This Row],[Site Name]],SiteDB6[[Site Name]:[Pcode]],3,FALSE)</f>
        <v>197618</v>
      </c>
      <c r="CR328" s="660" t="str">
        <f t="shared" si="7"/>
        <v>Covered</v>
      </c>
      <c r="CS328" s="660"/>
      <c r="CT328" s="24"/>
      <c r="CU328" s="24"/>
      <c r="CV328" s="24"/>
    </row>
    <row r="329" spans="1:100" ht="15.75" customHeight="1" x14ac:dyDescent="0.25">
      <c r="A329" s="833" t="s">
        <v>3206</v>
      </c>
      <c r="B329" s="206" t="s">
        <v>530</v>
      </c>
      <c r="C329" s="206" t="s">
        <v>454</v>
      </c>
      <c r="D329" s="206" t="s">
        <v>498</v>
      </c>
      <c r="E329" s="206" t="s">
        <v>643</v>
      </c>
      <c r="F329" s="206">
        <v>90</v>
      </c>
      <c r="G329" s="209">
        <v>475</v>
      </c>
      <c r="H329" s="206"/>
      <c r="I329" s="206" t="s">
        <v>388</v>
      </c>
      <c r="J329" s="207">
        <v>43145</v>
      </c>
      <c r="K329" s="206"/>
      <c r="L329" s="206"/>
      <c r="M329" s="208"/>
      <c r="N329" s="208"/>
      <c r="O329" s="323">
        <v>0</v>
      </c>
      <c r="P329" s="317">
        <v>0</v>
      </c>
      <c r="Q329" s="317">
        <v>0</v>
      </c>
      <c r="R329" s="318">
        <v>3</v>
      </c>
      <c r="S329" s="318">
        <v>1</v>
      </c>
      <c r="T329" s="318"/>
      <c r="U329" s="318"/>
      <c r="V329" s="318"/>
      <c r="W329" s="318"/>
      <c r="X329" s="318"/>
      <c r="Y329" s="318"/>
      <c r="Z329" s="318"/>
      <c r="AA329" s="310">
        <v>14</v>
      </c>
      <c r="AB329" s="311">
        <v>0</v>
      </c>
      <c r="AC329" s="66"/>
      <c r="AD329" s="66"/>
      <c r="AE329" s="310">
        <v>14</v>
      </c>
      <c r="AF329" s="310" t="s">
        <v>332</v>
      </c>
      <c r="AG329" s="311" t="s">
        <v>332</v>
      </c>
      <c r="AH329" s="66"/>
      <c r="AI329" s="66"/>
      <c r="AJ329" s="310" t="s">
        <v>2462</v>
      </c>
      <c r="AK329" s="841">
        <v>0</v>
      </c>
      <c r="AL329" s="842" t="s">
        <v>284</v>
      </c>
      <c r="AM329" s="842">
        <v>0</v>
      </c>
      <c r="AN329" s="863">
        <v>0</v>
      </c>
      <c r="AO329" s="863">
        <v>9</v>
      </c>
      <c r="AP329" s="843"/>
      <c r="AQ329" s="843"/>
      <c r="AR329" s="843"/>
      <c r="AS329" s="843"/>
      <c r="AT329" s="843"/>
      <c r="AU329" s="843"/>
      <c r="AV329" s="844"/>
      <c r="AW329" s="208" t="str">
        <f>IFERROR(WWWW[[#This Row],['# of Water passed at source]]/WWWW[[#This Row],['# of Water tested at source]],"no test")</f>
        <v>no test</v>
      </c>
      <c r="AX329" s="211" t="str">
        <f>IFERROR(WWWW[[#This Row],['# of Water passed at HH]]/WWWW[[#This Row],['# of Water tested at HH]],"no test")</f>
        <v>no test</v>
      </c>
      <c r="AY329" s="210" t="str">
        <f>IF(AND(WWWW[[#This Row],[%of Water samples which passed at water source]]="no test",WWWW[[#This Row],[%Water samples which passed at HH]]="no test"),"No Test","Tested")</f>
        <v>No Test</v>
      </c>
      <c r="AZ32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2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29" s="211">
        <f>IF(WWWW[[#This Row],[Location Type 1]]="Village",WWWW[[#This Row],[Access to safe drinking water for Village]],WWWW[[#This Row],[Access to safe drinking water for Camp]])</f>
        <v>0</v>
      </c>
      <c r="BC329" s="209">
        <f>WWWW[[#This Row],[%Equitable and continuous access to sufficient quantity of safe drinking water]]*WWWW[[#This Row],[Total PoP ]]</f>
        <v>0</v>
      </c>
      <c r="BD329" s="211">
        <f>IF((WWWW[[#This Row],['# Existing protected/fenced ponds ]]*250)/WWWW[[#This Row],[Total PoP ]]&gt;1,1,WWWW[[#This Row],['# Existing protected/fenced ponds ]]*250/WWWW[[#This Row],[Total PoP ]])</f>
        <v>1</v>
      </c>
      <c r="BE329" s="209">
        <f>WWWW[[#This Row],[Access to unimproved water points]]*WWWW[[#This Row],[Total PoP ]]</f>
        <v>475</v>
      </c>
      <c r="BF32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2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475</v>
      </c>
      <c r="BH329" s="209">
        <f>WWWW[[#This Row],['#people Equitable and continuous access to sufficient quantity of domestic water borehole n ponds_2]]/500</f>
        <v>0.95</v>
      </c>
      <c r="BI329" s="208">
        <f>1-WWWW[[#This Row],[%Equitable and continuous access to sufficient quantity of domestic water borehole n ponds]]</f>
        <v>0</v>
      </c>
      <c r="BJ329" s="209">
        <f>WWWW[[#This Row],[%equitable and continuous access to sufficient quantity of safe drinking and domestic water''s GAP]]*WWWW[[#This Row],[Total PoP ]]</f>
        <v>0</v>
      </c>
      <c r="BK329" s="210">
        <f>IF(WWWW[[#This Row],[Total required water points]]-WWWW[[#This Row],['#Water points coverage]]&lt;0,0,WWWW[[#This Row],[Total required water points]]-WWWW[[#This Row],['#Water points coverage]])</f>
        <v>5.0000000000000044E-2</v>
      </c>
      <c r="BL329" s="210">
        <f>ROUND(IF(WWWW[[#This Row],[Total PoP ]]&lt;500,1,WWWW[[#This Row],[Total PoP ]]/500),0)</f>
        <v>1</v>
      </c>
      <c r="BM329" s="210">
        <f>WWWW[[#This Row],['# Existing functional latrines]]+WWWW[[#This Row],['# Existing latrines dysfunctional]]</f>
        <v>14</v>
      </c>
      <c r="BN32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0.17684210526315788</v>
      </c>
      <c r="BO329" s="352">
        <f>WWWW[[#This Row],[% people access to functioning Latrine]]*WWWW[[#This Row],[Total PoP ]]</f>
        <v>84</v>
      </c>
      <c r="BP32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0.82105263157894737</v>
      </c>
      <c r="BQ329" s="209">
        <f>IF(WWWW[[#This Row],[Total required Latrines]]-WWWW[[#This Row],[Total '# of latrine]]&lt;0,0,WWWW[[#This Row],[Total required Latrines]]-WWWW[[#This Row],[Total '# of latrine]])</f>
        <v>65</v>
      </c>
      <c r="BR329" s="210">
        <f>ROUND(IF(WWWW[[#This Row],[Location Type 1]]="camp",WWWW[[#This Row],[Total PoP ]]/20,WWWW[[#This Row],[Total PoP ]]/6),0)</f>
        <v>79</v>
      </c>
      <c r="BS329" s="212">
        <f>IF(OR(WWWW[[#This Row],['# Existing latrines dysfunctional]]="",WWWW[[#This Row],['# Existing latrines dysfunctional]]=0),0,WWWW[[#This Row],['# Existing latrines dysfunctional]]/WWWW[[#This Row],[Total '# of latrine]])</f>
        <v>0</v>
      </c>
      <c r="BT32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29" s="209">
        <f>IF(500*WWWW[[#This Row],['# Hygiene Promoters ]]&gt;WWWW[[#This Row],[Total PoP ]],WWWW[[#This Row],[Total PoP ]],500*WWWW[[#This Row],['# Hygiene Promoters ]])</f>
        <v>475</v>
      </c>
      <c r="BV329" s="209">
        <f>IF(WWWW[[#This Row],[% of HH with access to Sanitary Pad]]&gt;=100%,1,0)</f>
        <v>0</v>
      </c>
      <c r="BW329" s="209">
        <f>IF(WWWW[[#This Row],[Total PoP ]]=0,0,IF(WWWW[[#This Row],['# Hygiene Promoters ]]=0,0,IF(WWWW[[#This Row],[Location Type 1]]="Village",IF(WWWW[[#This Row],[Total PoP ]]/WWWW[[#This Row],['# Hygiene Promoters ]]&lt;1000,1,0),IF(WWWW[[#This Row],[Total PoP ]]/WWWW[[#This Row],['# Hygiene Promoters ]]&lt;600,1,0))))</f>
        <v>1</v>
      </c>
      <c r="BX329" s="209">
        <f>IF(WWWW[[#This Row],[%HH with access to soap]]&gt;=100%,1,0)</f>
        <v>0</v>
      </c>
      <c r="BY329" s="209">
        <f>IF(WWWW[[#This Row],[% of HHs with access to Sanitary pad more than '#%]]+WWWW[[#This Row],[Ratio of Hyiene promoters to people less than '#]]+WWWW[[#This Row],[% of HHs with access to soap more than '#%]]&gt;=2,WWWW[[#This Row],[Total PoP ]],0)</f>
        <v>0</v>
      </c>
      <c r="BZ329" s="208">
        <f>WWWW[[#This Row],[People adopt basic personal and community hygiene practices]]/WWWW[[#This Row],[Total PoP ]]</f>
        <v>0</v>
      </c>
      <c r="CA329" s="212">
        <f>1-WWWW[[#This Row],[Hygiene Coverage%]]</f>
        <v>1</v>
      </c>
      <c r="CB329" s="211">
        <f>WWWW[[#This Row],['# people reached by regular dedicated hygiene promotion_5]]/WWWW[[#This Row],[Total PoP ]]</f>
        <v>1</v>
      </c>
      <c r="CC329" s="211">
        <f>IF(WWWW[[#This Row],['# HH received soaps]]/WWWW[[#This Row],[Total HH]]&gt;1,1,WWWW[[#This Row],['# HH received soaps]]/WWWW[[#This Row],[Total HH]])</f>
        <v>0</v>
      </c>
      <c r="CD329" s="211">
        <f>IF(WWWW[[#This Row],['# HH received Sanitary Pads]]/WWWW[[#This Row],[Total HH]]&gt;1,1,WWWW[[#This Row],['# HH received Sanitary Pads]]/WWWW[[#This Row],[Total HH]])</f>
        <v>0</v>
      </c>
      <c r="CE329" s="210">
        <f>WWWW[[#This Row],['# HH received soaps]]*5</f>
        <v>0</v>
      </c>
      <c r="CF329" s="210">
        <f>WWWW[[#This Row],['# HH received Sanitary Pads]]*5</f>
        <v>0</v>
      </c>
      <c r="CG329" s="210">
        <f>IF(WWWW[[#This Row],['# People with access to soap]]&gt;WWWW[[#This Row],['# People with access to Sanity Pads]],WWWW[[#This Row],['# People with access to soap]],WWWW[[#This Row],['# People with access to Sanity Pads]])</f>
        <v>0</v>
      </c>
      <c r="CH329" s="209">
        <f>WWWW[[#This Row],[Total HH]]*WWWW[[#This Row],[%HHs with access to functional hand washing stations]]</f>
        <v>0</v>
      </c>
      <c r="CI329" s="699">
        <f>VLOOKUP(WWWW[[#This Row],[Site Name]],SiteDB6[[Site Name]:[CCCM Management]],6,FALSE)</f>
        <v>0</v>
      </c>
      <c r="CJ329" s="699">
        <f>VLOOKUP(WWWW[[#This Row],[Site Name]],SiteDB6[[Site Name]:[CCCM Focal Agency]],7,FALSE)</f>
        <v>0</v>
      </c>
      <c r="CK329" s="699" t="str">
        <f>VLOOKUP(WWWW[[#This Row],[Site Name]],SiteDB6[[Site Name]:[Location Type]],8,FALSE)</f>
        <v>Village</v>
      </c>
      <c r="CL329" s="699" t="str">
        <f>VLOOKUP(WWWW[[#This Row],[Site Name]],SiteDB6[[Site Name]:[Location Type 1]],9,FALSE)</f>
        <v>Village</v>
      </c>
      <c r="CM329" s="699" t="str">
        <f>VLOOKUP(WWWW[[#This Row],[Site Name]],SiteDB6[[Site Name]:[Type of Accommodation]],10,FALSE)</f>
        <v>Village</v>
      </c>
      <c r="CN329" s="699" t="str">
        <f>VLOOKUP(WWWW[[#This Row],[Site Name]],SiteDB6[[Site Name]:[Ethnic or GCA/NGCA]],11,FALSE)</f>
        <v>Rakhine</v>
      </c>
      <c r="CO329" s="699">
        <f>VLOOKUP(WWWW[[#This Row],[Site Name]],SiteDB6[[Site Name]:[Lat]],12,FALSE)</f>
        <v>20.470119476318398</v>
      </c>
      <c r="CP329" s="699">
        <f>VLOOKUP(WWWW[[#This Row],[Site Name]],SiteDB6[[Site Name]:[Long]],13,FALSE)</f>
        <v>92.672653198242202</v>
      </c>
      <c r="CQ329" s="699">
        <f>VLOOKUP(WWWW[[#This Row],[Site Name]],SiteDB6[[Site Name]:[Pcode]],3,FALSE)</f>
        <v>197630</v>
      </c>
      <c r="CR329" s="660" t="str">
        <f t="shared" si="7"/>
        <v>Covered</v>
      </c>
      <c r="CS329" s="699"/>
      <c r="CT329" s="24"/>
      <c r="CU329" s="24"/>
      <c r="CV329" s="24"/>
    </row>
    <row r="330" spans="1:100" ht="15.75" customHeight="1" x14ac:dyDescent="0.25">
      <c r="A330" s="833" t="s">
        <v>3206</v>
      </c>
      <c r="B330" s="206" t="s">
        <v>530</v>
      </c>
      <c r="C330" s="206" t="s">
        <v>454</v>
      </c>
      <c r="D330" s="206" t="s">
        <v>498</v>
      </c>
      <c r="E330" s="206" t="s">
        <v>2519</v>
      </c>
      <c r="F330" s="206">
        <v>136</v>
      </c>
      <c r="G330" s="209">
        <v>710</v>
      </c>
      <c r="H330" s="206"/>
      <c r="I330" s="206" t="s">
        <v>388</v>
      </c>
      <c r="J330" s="207">
        <v>43343</v>
      </c>
      <c r="K330" s="206"/>
      <c r="L330" s="206"/>
      <c r="M330" s="208"/>
      <c r="N330" s="208"/>
      <c r="O330" s="316">
        <v>0</v>
      </c>
      <c r="P330" s="317">
        <v>0</v>
      </c>
      <c r="Q330" s="317">
        <v>0</v>
      </c>
      <c r="R330" s="318">
        <v>0</v>
      </c>
      <c r="S330" s="318">
        <v>1</v>
      </c>
      <c r="T330" s="318"/>
      <c r="U330" s="318"/>
      <c r="V330" s="318"/>
      <c r="W330" s="318"/>
      <c r="X330" s="318"/>
      <c r="Y330" s="318"/>
      <c r="Z330" s="318"/>
      <c r="AA330" s="310">
        <v>2</v>
      </c>
      <c r="AB330" s="311"/>
      <c r="AC330" s="66"/>
      <c r="AD330" s="66"/>
      <c r="AE330" s="310">
        <v>2</v>
      </c>
      <c r="AF330" s="310" t="s">
        <v>332</v>
      </c>
      <c r="AG330" s="311" t="s">
        <v>332</v>
      </c>
      <c r="AH330" s="66"/>
      <c r="AI330" s="66"/>
      <c r="AJ330" s="310" t="s">
        <v>2462</v>
      </c>
      <c r="AK330" s="841">
        <v>0</v>
      </c>
      <c r="AL330" s="842" t="s">
        <v>284</v>
      </c>
      <c r="AM330" s="842">
        <v>0</v>
      </c>
      <c r="AN330" s="863">
        <v>0</v>
      </c>
      <c r="AO330" s="863">
        <v>9</v>
      </c>
      <c r="AP330" s="843"/>
      <c r="AQ330" s="843"/>
      <c r="AR330" s="843"/>
      <c r="AS330" s="843"/>
      <c r="AT330" s="843"/>
      <c r="AU330" s="843"/>
      <c r="AV330" s="844"/>
      <c r="AW330" s="208" t="str">
        <f>IFERROR(WWWW[[#This Row],['# of Water passed at source]]/WWWW[[#This Row],['# of Water tested at source]],"no test")</f>
        <v>no test</v>
      </c>
      <c r="AX330" s="211" t="str">
        <f>IFERROR(WWWW[[#This Row],['# of Water passed at HH]]/WWWW[[#This Row],['# of Water tested at HH]],"no test")</f>
        <v>no test</v>
      </c>
      <c r="AY330" s="210" t="str">
        <f>IF(AND(WWWW[[#This Row],[%of Water samples which passed at water source]]="no test",WWWW[[#This Row],[%Water samples which passed at HH]]="no test"),"No Test","Tested")</f>
        <v>No Test</v>
      </c>
      <c r="AZ33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3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30" s="211">
        <f>IF(WWWW[[#This Row],[Location Type 1]]="Village",WWWW[[#This Row],[Access to safe drinking water for Village]],WWWW[[#This Row],[Access to safe drinking water for Camp]])</f>
        <v>0</v>
      </c>
      <c r="BC330" s="209">
        <f>WWWW[[#This Row],[%Equitable and continuous access to sufficient quantity of safe drinking water]]*WWWW[[#This Row],[Total PoP ]]</f>
        <v>0</v>
      </c>
      <c r="BD330" s="211">
        <f>IF((WWWW[[#This Row],['# Existing protected/fenced ponds ]]*250)/WWWW[[#This Row],[Total PoP ]]&gt;1,1,WWWW[[#This Row],['# Existing protected/fenced ponds ]]*250/WWWW[[#This Row],[Total PoP ]])</f>
        <v>0</v>
      </c>
      <c r="BE330" s="209">
        <f>WWWW[[#This Row],[Access to unimproved water points]]*WWWW[[#This Row],[Total PoP ]]</f>
        <v>0</v>
      </c>
      <c r="BF33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3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30" s="209">
        <f>WWWW[[#This Row],['#people Equitable and continuous access to sufficient quantity of domestic water borehole n ponds_2]]/500</f>
        <v>0</v>
      </c>
      <c r="BI330" s="208">
        <f>1-WWWW[[#This Row],[%Equitable and continuous access to sufficient quantity of domestic water borehole n ponds]]</f>
        <v>1</v>
      </c>
      <c r="BJ330" s="209">
        <f>WWWW[[#This Row],[%equitable and continuous access to sufficient quantity of safe drinking and domestic water''s GAP]]*WWWW[[#This Row],[Total PoP ]]</f>
        <v>710</v>
      </c>
      <c r="BK330" s="210">
        <f>IF(WWWW[[#This Row],[Total required water points]]-WWWW[[#This Row],['#Water points coverage]]&lt;0,0,WWWW[[#This Row],[Total required water points]]-WWWW[[#This Row],['#Water points coverage]])</f>
        <v>1</v>
      </c>
      <c r="BL330" s="210">
        <f>ROUND(IF(WWWW[[#This Row],[Total PoP ]]&lt;500,1,WWWW[[#This Row],[Total PoP ]]/500),0)</f>
        <v>1</v>
      </c>
      <c r="BM330" s="210">
        <f>WWWW[[#This Row],['# Existing functional latrines]]+WWWW[[#This Row],['# Existing latrines dysfunctional]]</f>
        <v>2</v>
      </c>
      <c r="BN33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1.6901408450704224E-2</v>
      </c>
      <c r="BO330" s="352">
        <f>WWWW[[#This Row],[% people access to functioning Latrine]]*WWWW[[#This Row],[Total PoP ]]</f>
        <v>11.999999999999998</v>
      </c>
      <c r="BP33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0.9802816901408451</v>
      </c>
      <c r="BQ330" s="209">
        <f>IF(WWWW[[#This Row],[Total required Latrines]]-WWWW[[#This Row],[Total '# of latrine]]&lt;0,0,WWWW[[#This Row],[Total required Latrines]]-WWWW[[#This Row],[Total '# of latrine]])</f>
        <v>116</v>
      </c>
      <c r="BR330" s="210">
        <f>ROUND(IF(WWWW[[#This Row],[Location Type 1]]="camp",WWWW[[#This Row],[Total PoP ]]/20,WWWW[[#This Row],[Total PoP ]]/6),0)</f>
        <v>118</v>
      </c>
      <c r="BS330" s="212">
        <f>IF(OR(WWWW[[#This Row],['# Existing latrines dysfunctional]]="",WWWW[[#This Row],['# Existing latrines dysfunctional]]=0),0,WWWW[[#This Row],['# Existing latrines dysfunctional]]/WWWW[[#This Row],[Total '# of latrine]])</f>
        <v>0</v>
      </c>
      <c r="BT33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0" s="209">
        <f>IF(500*WWWW[[#This Row],['# Hygiene Promoters ]]&gt;WWWW[[#This Row],[Total PoP ]],WWWW[[#This Row],[Total PoP ]],500*WWWW[[#This Row],['# Hygiene Promoters ]])</f>
        <v>710</v>
      </c>
      <c r="BV330" s="209">
        <f>IF(WWWW[[#This Row],[% of HH with access to Sanitary Pad]]&gt;=100%,1,0)</f>
        <v>0</v>
      </c>
      <c r="BW330" s="209">
        <f>IF(WWWW[[#This Row],[Total PoP ]]=0,0,IF(WWWW[[#This Row],['# Hygiene Promoters ]]=0,0,IF(WWWW[[#This Row],[Location Type 1]]="Village",IF(WWWW[[#This Row],[Total PoP ]]/WWWW[[#This Row],['# Hygiene Promoters ]]&lt;1000,1,0),IF(WWWW[[#This Row],[Total PoP ]]/WWWW[[#This Row],['# Hygiene Promoters ]]&lt;600,1,0))))</f>
        <v>1</v>
      </c>
      <c r="BX330" s="209">
        <f>IF(WWWW[[#This Row],[%HH with access to soap]]&gt;=100%,1,0)</f>
        <v>0</v>
      </c>
      <c r="BY330" s="209">
        <f>IF(WWWW[[#This Row],[% of HHs with access to Sanitary pad more than '#%]]+WWWW[[#This Row],[Ratio of Hyiene promoters to people less than '#]]+WWWW[[#This Row],[% of HHs with access to soap more than '#%]]&gt;=2,WWWW[[#This Row],[Total PoP ]],0)</f>
        <v>0</v>
      </c>
      <c r="BZ330" s="208">
        <f>WWWW[[#This Row],[People adopt basic personal and community hygiene practices]]/WWWW[[#This Row],[Total PoP ]]</f>
        <v>0</v>
      </c>
      <c r="CA330" s="212">
        <f>1-WWWW[[#This Row],[Hygiene Coverage%]]</f>
        <v>1</v>
      </c>
      <c r="CB330" s="211">
        <f>WWWW[[#This Row],['# people reached by regular dedicated hygiene promotion_5]]/WWWW[[#This Row],[Total PoP ]]</f>
        <v>1</v>
      </c>
      <c r="CC330" s="211">
        <f>IF(WWWW[[#This Row],['# HH received soaps]]/WWWW[[#This Row],[Total HH]]&gt;1,1,WWWW[[#This Row],['# HH received soaps]]/WWWW[[#This Row],[Total HH]])</f>
        <v>0</v>
      </c>
      <c r="CD330" s="211">
        <f>IF(WWWW[[#This Row],['# HH received Sanitary Pads]]/WWWW[[#This Row],[Total HH]]&gt;1,1,WWWW[[#This Row],['# HH received Sanitary Pads]]/WWWW[[#This Row],[Total HH]])</f>
        <v>0</v>
      </c>
      <c r="CE330" s="210">
        <f>WWWW[[#This Row],['# HH received soaps]]*5</f>
        <v>0</v>
      </c>
      <c r="CF330" s="210">
        <f>WWWW[[#This Row],['# HH received Sanitary Pads]]*5</f>
        <v>0</v>
      </c>
      <c r="CG330" s="210">
        <f>IF(WWWW[[#This Row],['# People with access to soap]]&gt;WWWW[[#This Row],['# People with access to Sanity Pads]],WWWW[[#This Row],['# People with access to soap]],WWWW[[#This Row],['# People with access to Sanity Pads]])</f>
        <v>0</v>
      </c>
      <c r="CH330" s="209">
        <f>WWWW[[#This Row],[Total HH]]*WWWW[[#This Row],[%HHs with access to functional hand washing stations]]</f>
        <v>0</v>
      </c>
      <c r="CI330" s="699">
        <f>VLOOKUP(WWWW[[#This Row],[Site Name]],SiteDB6[[Site Name]:[CCCM Management]],6,FALSE)</f>
        <v>0</v>
      </c>
      <c r="CJ330" s="699">
        <f>VLOOKUP(WWWW[[#This Row],[Site Name]],SiteDB6[[Site Name]:[CCCM Focal Agency]],7,FALSE)</f>
        <v>0</v>
      </c>
      <c r="CK330" s="699" t="str">
        <f>VLOOKUP(WWWW[[#This Row],[Site Name]],SiteDB6[[Site Name]:[Location Type]],8,FALSE)</f>
        <v>Village</v>
      </c>
      <c r="CL330" s="699" t="str">
        <f>VLOOKUP(WWWW[[#This Row],[Site Name]],SiteDB6[[Site Name]:[Location Type 1]],9,FALSE)</f>
        <v>Village</v>
      </c>
      <c r="CM330" s="699" t="str">
        <f>VLOOKUP(WWWW[[#This Row],[Site Name]],SiteDB6[[Site Name]:[Type of Accommodation]],10,FALSE)</f>
        <v>Village</v>
      </c>
      <c r="CN330" s="699" t="str">
        <f>VLOOKUP(WWWW[[#This Row],[Site Name]],SiteDB6[[Site Name]:[Ethnic or GCA/NGCA]],11,FALSE)</f>
        <v>Rakhine</v>
      </c>
      <c r="CO330" s="699">
        <f>VLOOKUP(WWWW[[#This Row],[Site Name]],SiteDB6[[Site Name]:[Lat]],12,FALSE)</f>
        <v>20.5047302246094</v>
      </c>
      <c r="CP330" s="699">
        <f>VLOOKUP(WWWW[[#This Row],[Site Name]],SiteDB6[[Site Name]:[Long]],13,FALSE)</f>
        <v>92.683113098144503</v>
      </c>
      <c r="CQ330" s="699">
        <f>VLOOKUP(WWWW[[#This Row],[Site Name]],SiteDB6[[Site Name]:[Pcode]],3,FALSE)</f>
        <v>197611</v>
      </c>
      <c r="CR330" s="660" t="str">
        <f t="shared" si="7"/>
        <v>Covered</v>
      </c>
      <c r="CS330" s="699"/>
      <c r="CT330" s="24"/>
      <c r="CU330" s="24"/>
      <c r="CV330" s="24"/>
    </row>
    <row r="331" spans="1:100" ht="15.75" customHeight="1" x14ac:dyDescent="0.25">
      <c r="A331" s="833" t="s">
        <v>3206</v>
      </c>
      <c r="B331" s="206" t="s">
        <v>530</v>
      </c>
      <c r="C331" s="206" t="s">
        <v>454</v>
      </c>
      <c r="D331" s="206" t="s">
        <v>498</v>
      </c>
      <c r="E331" s="206" t="s">
        <v>2520</v>
      </c>
      <c r="F331" s="206">
        <v>65</v>
      </c>
      <c r="G331" s="209">
        <v>304</v>
      </c>
      <c r="H331" s="206"/>
      <c r="I331" s="206" t="s">
        <v>388</v>
      </c>
      <c r="J331" s="207">
        <v>43343</v>
      </c>
      <c r="K331" s="206"/>
      <c r="L331" s="206"/>
      <c r="M331" s="208"/>
      <c r="N331" s="208"/>
      <c r="O331" s="316">
        <v>0</v>
      </c>
      <c r="P331" s="317">
        <v>0</v>
      </c>
      <c r="Q331" s="317">
        <v>0</v>
      </c>
      <c r="R331" s="318">
        <v>0</v>
      </c>
      <c r="S331" s="318">
        <v>1</v>
      </c>
      <c r="T331" s="318"/>
      <c r="U331" s="318"/>
      <c r="V331" s="318"/>
      <c r="W331" s="318"/>
      <c r="X331" s="318"/>
      <c r="Y331" s="318"/>
      <c r="Z331" s="318"/>
      <c r="AA331" s="310">
        <v>3</v>
      </c>
      <c r="AB331" s="311"/>
      <c r="AC331" s="66"/>
      <c r="AD331" s="66"/>
      <c r="AE331" s="310">
        <v>3</v>
      </c>
      <c r="AF331" s="310" t="s">
        <v>332</v>
      </c>
      <c r="AG331" s="311" t="s">
        <v>332</v>
      </c>
      <c r="AH331" s="66"/>
      <c r="AI331" s="66"/>
      <c r="AJ331" s="310" t="s">
        <v>2462</v>
      </c>
      <c r="AK331" s="841">
        <v>0</v>
      </c>
      <c r="AL331" s="842" t="s">
        <v>284</v>
      </c>
      <c r="AM331" s="842">
        <v>0</v>
      </c>
      <c r="AN331" s="863">
        <v>0</v>
      </c>
      <c r="AO331" s="863">
        <v>9</v>
      </c>
      <c r="AP331" s="843"/>
      <c r="AQ331" s="843"/>
      <c r="AR331" s="843"/>
      <c r="AS331" s="843"/>
      <c r="AT331" s="843"/>
      <c r="AU331" s="843"/>
      <c r="AV331" s="844"/>
      <c r="AW331" s="208" t="str">
        <f>IFERROR(WWWW[[#This Row],['# of Water passed at source]]/WWWW[[#This Row],['# of Water tested at source]],"no test")</f>
        <v>no test</v>
      </c>
      <c r="AX331" s="211" t="str">
        <f>IFERROR(WWWW[[#This Row],['# of Water passed at HH]]/WWWW[[#This Row],['# of Water tested at HH]],"no test")</f>
        <v>no test</v>
      </c>
      <c r="AY331" s="210" t="str">
        <f>IF(AND(WWWW[[#This Row],[%of Water samples which passed at water source]]="no test",WWWW[[#This Row],[%Water samples which passed at HH]]="no test"),"No Test","Tested")</f>
        <v>No Test</v>
      </c>
      <c r="AZ33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3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31" s="211">
        <f>IF(WWWW[[#This Row],[Location Type 1]]="Village",WWWW[[#This Row],[Access to safe drinking water for Village]],WWWW[[#This Row],[Access to safe drinking water for Camp]])</f>
        <v>0</v>
      </c>
      <c r="BC331" s="209">
        <f>WWWW[[#This Row],[%Equitable and continuous access to sufficient quantity of safe drinking water]]*WWWW[[#This Row],[Total PoP ]]</f>
        <v>0</v>
      </c>
      <c r="BD331" s="211">
        <f>IF((WWWW[[#This Row],['# Existing protected/fenced ponds ]]*250)/WWWW[[#This Row],[Total PoP ]]&gt;1,1,WWWW[[#This Row],['# Existing protected/fenced ponds ]]*250/WWWW[[#This Row],[Total PoP ]])</f>
        <v>0</v>
      </c>
      <c r="BE331" s="209">
        <f>WWWW[[#This Row],[Access to unimproved water points]]*WWWW[[#This Row],[Total PoP ]]</f>
        <v>0</v>
      </c>
      <c r="BF33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3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31" s="209">
        <f>WWWW[[#This Row],['#people Equitable and continuous access to sufficient quantity of domestic water borehole n ponds_2]]/500</f>
        <v>0</v>
      </c>
      <c r="BI331" s="208">
        <f>1-WWWW[[#This Row],[%Equitable and continuous access to sufficient quantity of domestic water borehole n ponds]]</f>
        <v>1</v>
      </c>
      <c r="BJ331" s="209">
        <f>WWWW[[#This Row],[%equitable and continuous access to sufficient quantity of safe drinking and domestic water''s GAP]]*WWWW[[#This Row],[Total PoP ]]</f>
        <v>304</v>
      </c>
      <c r="BK331" s="210">
        <f>IF(WWWW[[#This Row],[Total required water points]]-WWWW[[#This Row],['#Water points coverage]]&lt;0,0,WWWW[[#This Row],[Total required water points]]-WWWW[[#This Row],['#Water points coverage]])</f>
        <v>1</v>
      </c>
      <c r="BL331" s="210">
        <f>ROUND(IF(WWWW[[#This Row],[Total PoP ]]&lt;500,1,WWWW[[#This Row],[Total PoP ]]/500),0)</f>
        <v>1</v>
      </c>
      <c r="BM331" s="210">
        <f>WWWW[[#This Row],['# Existing functional latrines]]+WWWW[[#This Row],['# Existing latrines dysfunctional]]</f>
        <v>3</v>
      </c>
      <c r="BN33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5.921052631578947E-2</v>
      </c>
      <c r="BO331" s="352">
        <f>WWWW[[#This Row],[% people access to functioning Latrine]]*WWWW[[#This Row],[Total PoP ]]</f>
        <v>18</v>
      </c>
      <c r="BP33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0.94736842105263164</v>
      </c>
      <c r="BQ331" s="209">
        <f>IF(WWWW[[#This Row],[Total required Latrines]]-WWWW[[#This Row],[Total '# of latrine]]&lt;0,0,WWWW[[#This Row],[Total required Latrines]]-WWWW[[#This Row],[Total '# of latrine]])</f>
        <v>48</v>
      </c>
      <c r="BR331" s="210">
        <f>ROUND(IF(WWWW[[#This Row],[Location Type 1]]="camp",WWWW[[#This Row],[Total PoP ]]/20,WWWW[[#This Row],[Total PoP ]]/6),0)</f>
        <v>51</v>
      </c>
      <c r="BS331" s="212">
        <f>IF(OR(WWWW[[#This Row],['# Existing latrines dysfunctional]]="",WWWW[[#This Row],['# Existing latrines dysfunctional]]=0),0,WWWW[[#This Row],['# Existing latrines dysfunctional]]/WWWW[[#This Row],[Total '# of latrine]])</f>
        <v>0</v>
      </c>
      <c r="BT33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1" s="209">
        <f>IF(500*WWWW[[#This Row],['# Hygiene Promoters ]]&gt;WWWW[[#This Row],[Total PoP ]],WWWW[[#This Row],[Total PoP ]],500*WWWW[[#This Row],['# Hygiene Promoters ]])</f>
        <v>304</v>
      </c>
      <c r="BV331" s="209">
        <f>IF(WWWW[[#This Row],[% of HH with access to Sanitary Pad]]&gt;=100%,1,0)</f>
        <v>0</v>
      </c>
      <c r="BW331" s="209">
        <f>IF(WWWW[[#This Row],[Total PoP ]]=0,0,IF(WWWW[[#This Row],['# Hygiene Promoters ]]=0,0,IF(WWWW[[#This Row],[Location Type 1]]="Village",IF(WWWW[[#This Row],[Total PoP ]]/WWWW[[#This Row],['# Hygiene Promoters ]]&lt;1000,1,0),IF(WWWW[[#This Row],[Total PoP ]]/WWWW[[#This Row],['# Hygiene Promoters ]]&lt;600,1,0))))</f>
        <v>1</v>
      </c>
      <c r="BX331" s="209">
        <f>IF(WWWW[[#This Row],[%HH with access to soap]]&gt;=100%,1,0)</f>
        <v>0</v>
      </c>
      <c r="BY331" s="209">
        <f>IF(WWWW[[#This Row],[% of HHs with access to Sanitary pad more than '#%]]+WWWW[[#This Row],[Ratio of Hyiene promoters to people less than '#]]+WWWW[[#This Row],[% of HHs with access to soap more than '#%]]&gt;=2,WWWW[[#This Row],[Total PoP ]],0)</f>
        <v>0</v>
      </c>
      <c r="BZ331" s="208">
        <f>WWWW[[#This Row],[People adopt basic personal and community hygiene practices]]/WWWW[[#This Row],[Total PoP ]]</f>
        <v>0</v>
      </c>
      <c r="CA331" s="212">
        <f>1-WWWW[[#This Row],[Hygiene Coverage%]]</f>
        <v>1</v>
      </c>
      <c r="CB331" s="211">
        <f>WWWW[[#This Row],['# people reached by regular dedicated hygiene promotion_5]]/WWWW[[#This Row],[Total PoP ]]</f>
        <v>1</v>
      </c>
      <c r="CC331" s="211">
        <f>IF(WWWW[[#This Row],['# HH received soaps]]/WWWW[[#This Row],[Total HH]]&gt;1,1,WWWW[[#This Row],['# HH received soaps]]/WWWW[[#This Row],[Total HH]])</f>
        <v>0</v>
      </c>
      <c r="CD331" s="211">
        <f>IF(WWWW[[#This Row],['# HH received Sanitary Pads]]/WWWW[[#This Row],[Total HH]]&gt;1,1,WWWW[[#This Row],['# HH received Sanitary Pads]]/WWWW[[#This Row],[Total HH]])</f>
        <v>0</v>
      </c>
      <c r="CE331" s="210">
        <f>WWWW[[#This Row],['# HH received soaps]]*5</f>
        <v>0</v>
      </c>
      <c r="CF331" s="210">
        <f>WWWW[[#This Row],['# HH received Sanitary Pads]]*5</f>
        <v>0</v>
      </c>
      <c r="CG331" s="210">
        <f>IF(WWWW[[#This Row],['# People with access to soap]]&gt;WWWW[[#This Row],['# People with access to Sanity Pads]],WWWW[[#This Row],['# People with access to soap]],WWWW[[#This Row],['# People with access to Sanity Pads]])</f>
        <v>0</v>
      </c>
      <c r="CH331" s="209">
        <f>WWWW[[#This Row],[Total HH]]*WWWW[[#This Row],[%HHs with access to functional hand washing stations]]</f>
        <v>0</v>
      </c>
      <c r="CI331" s="699">
        <f>VLOOKUP(WWWW[[#This Row],[Site Name]],SiteDB6[[Site Name]:[CCCM Management]],6,FALSE)</f>
        <v>0</v>
      </c>
      <c r="CJ331" s="699">
        <f>VLOOKUP(WWWW[[#This Row],[Site Name]],SiteDB6[[Site Name]:[CCCM Focal Agency]],7,FALSE)</f>
        <v>0</v>
      </c>
      <c r="CK331" s="699" t="str">
        <f>VLOOKUP(WWWW[[#This Row],[Site Name]],SiteDB6[[Site Name]:[Location Type]],8,FALSE)</f>
        <v>Village</v>
      </c>
      <c r="CL331" s="699" t="str">
        <f>VLOOKUP(WWWW[[#This Row],[Site Name]],SiteDB6[[Site Name]:[Location Type 1]],9,FALSE)</f>
        <v>Village</v>
      </c>
      <c r="CM331" s="699" t="str">
        <f>VLOOKUP(WWWW[[#This Row],[Site Name]],SiteDB6[[Site Name]:[Type of Accommodation]],10,FALSE)</f>
        <v>Village</v>
      </c>
      <c r="CN331" s="699" t="str">
        <f>VLOOKUP(WWWW[[#This Row],[Site Name]],SiteDB6[[Site Name]:[Ethnic or GCA/NGCA]],11,FALSE)</f>
        <v>Rakhine</v>
      </c>
      <c r="CO331" s="699">
        <f>VLOOKUP(WWWW[[#This Row],[Site Name]],SiteDB6[[Site Name]:[Lat]],12,FALSE)</f>
        <v>20.497299194335898</v>
      </c>
      <c r="CP331" s="699">
        <f>VLOOKUP(WWWW[[#This Row],[Site Name]],SiteDB6[[Site Name]:[Long]],13,FALSE)</f>
        <v>92.683097839355497</v>
      </c>
      <c r="CQ331" s="699">
        <f>VLOOKUP(WWWW[[#This Row],[Site Name]],SiteDB6[[Site Name]:[Pcode]],3,FALSE)</f>
        <v>197613</v>
      </c>
      <c r="CR331" s="660" t="str">
        <f t="shared" si="7"/>
        <v>Covered</v>
      </c>
      <c r="CS331" s="699"/>
      <c r="CT331" s="24"/>
      <c r="CU331" s="24"/>
      <c r="CV331" s="24"/>
    </row>
    <row r="332" spans="1:100" ht="15.75" customHeight="1" x14ac:dyDescent="0.25">
      <c r="A332" s="833" t="s">
        <v>3206</v>
      </c>
      <c r="B332" s="206" t="s">
        <v>530</v>
      </c>
      <c r="C332" s="206" t="s">
        <v>454</v>
      </c>
      <c r="D332" s="206" t="s">
        <v>498</v>
      </c>
      <c r="E332" s="206" t="s">
        <v>636</v>
      </c>
      <c r="F332" s="206">
        <v>96</v>
      </c>
      <c r="G332" s="209">
        <v>543</v>
      </c>
      <c r="H332" s="206"/>
      <c r="I332" s="206" t="s">
        <v>388</v>
      </c>
      <c r="J332" s="207">
        <v>43145</v>
      </c>
      <c r="K332" s="206"/>
      <c r="L332" s="206"/>
      <c r="M332" s="208"/>
      <c r="N332" s="208"/>
      <c r="O332" s="316">
        <v>0</v>
      </c>
      <c r="P332" s="317">
        <v>0</v>
      </c>
      <c r="Q332" s="317">
        <v>0</v>
      </c>
      <c r="R332" s="318">
        <v>5</v>
      </c>
      <c r="S332" s="318">
        <v>1</v>
      </c>
      <c r="T332" s="318"/>
      <c r="U332" s="318"/>
      <c r="V332" s="318"/>
      <c r="W332" s="318"/>
      <c r="X332" s="318"/>
      <c r="Y332" s="318"/>
      <c r="Z332" s="318"/>
      <c r="AA332" s="310">
        <v>13</v>
      </c>
      <c r="AB332" s="310">
        <v>0</v>
      </c>
      <c r="AC332" s="66"/>
      <c r="AD332" s="66"/>
      <c r="AE332" s="310">
        <v>13</v>
      </c>
      <c r="AF332" s="310" t="s">
        <v>332</v>
      </c>
      <c r="AG332" s="311" t="s">
        <v>332</v>
      </c>
      <c r="AH332" s="311"/>
      <c r="AI332" s="310"/>
      <c r="AJ332" s="310" t="s">
        <v>2462</v>
      </c>
      <c r="AK332" s="841">
        <v>0</v>
      </c>
      <c r="AL332" s="842" t="s">
        <v>284</v>
      </c>
      <c r="AM332" s="842">
        <v>0</v>
      </c>
      <c r="AN332" s="863">
        <v>0</v>
      </c>
      <c r="AO332" s="863">
        <v>9</v>
      </c>
      <c r="AP332" s="843"/>
      <c r="AQ332" s="843"/>
      <c r="AR332" s="843"/>
      <c r="AS332" s="843"/>
      <c r="AT332" s="843"/>
      <c r="AU332" s="843"/>
      <c r="AV332" s="844"/>
      <c r="AW332" s="208" t="str">
        <f>IFERROR(WWWW[[#This Row],['# of Water passed at source]]/WWWW[[#This Row],['# of Water tested at source]],"no test")</f>
        <v>no test</v>
      </c>
      <c r="AX332" s="211" t="str">
        <f>IFERROR(WWWW[[#This Row],['# of Water passed at HH]]/WWWW[[#This Row],['# of Water tested at HH]],"no test")</f>
        <v>no test</v>
      </c>
      <c r="AY332" s="210" t="str">
        <f>IF(AND(WWWW[[#This Row],[%of Water samples which passed at water source]]="no test",WWWW[[#This Row],[%Water samples which passed at HH]]="no test"),"No Test","Tested")</f>
        <v>No Test</v>
      </c>
      <c r="AZ33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3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32" s="211">
        <f>IF(WWWW[[#This Row],[Location Type 1]]="Village",WWWW[[#This Row],[Access to safe drinking water for Village]],WWWW[[#This Row],[Access to safe drinking water for Camp]])</f>
        <v>0</v>
      </c>
      <c r="BC332" s="209">
        <f>WWWW[[#This Row],[%Equitable and continuous access to sufficient quantity of safe drinking water]]*WWWW[[#This Row],[Total PoP ]]</f>
        <v>0</v>
      </c>
      <c r="BD332" s="211">
        <f>IF((WWWW[[#This Row],['# Existing protected/fenced ponds ]]*250)/WWWW[[#This Row],[Total PoP ]]&gt;1,1,WWWW[[#This Row],['# Existing protected/fenced ponds ]]*250/WWWW[[#This Row],[Total PoP ]])</f>
        <v>1</v>
      </c>
      <c r="BE332" s="209">
        <f>WWWW[[#This Row],[Access to unimproved water points]]*WWWW[[#This Row],[Total PoP ]]</f>
        <v>543</v>
      </c>
      <c r="BF33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3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543</v>
      </c>
      <c r="BH332" s="209">
        <f>WWWW[[#This Row],['#people Equitable and continuous access to sufficient quantity of domestic water borehole n ponds_2]]/500</f>
        <v>1.0860000000000001</v>
      </c>
      <c r="BI332" s="208">
        <f>1-WWWW[[#This Row],[%Equitable and continuous access to sufficient quantity of domestic water borehole n ponds]]</f>
        <v>0</v>
      </c>
      <c r="BJ332" s="209">
        <f>WWWW[[#This Row],[%equitable and continuous access to sufficient quantity of safe drinking and domestic water''s GAP]]*WWWW[[#This Row],[Total PoP ]]</f>
        <v>0</v>
      </c>
      <c r="BK332" s="210">
        <f>IF(WWWW[[#This Row],[Total required water points]]-WWWW[[#This Row],['#Water points coverage]]&lt;0,0,WWWW[[#This Row],[Total required water points]]-WWWW[[#This Row],['#Water points coverage]])</f>
        <v>0</v>
      </c>
      <c r="BL332" s="210">
        <f>ROUND(IF(WWWW[[#This Row],[Total PoP ]]&lt;500,1,WWWW[[#This Row],[Total PoP ]]/500),0)</f>
        <v>1</v>
      </c>
      <c r="BM332" s="210">
        <f>WWWW[[#This Row],['# Existing functional latrines]]+WWWW[[#This Row],['# Existing latrines dysfunctional]]</f>
        <v>13</v>
      </c>
      <c r="BN33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0.143646408839779</v>
      </c>
      <c r="BO332" s="352">
        <f>WWWW[[#This Row],[% people access to functioning Latrine]]*WWWW[[#This Row],[Total PoP ]]</f>
        <v>78</v>
      </c>
      <c r="BP33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0.86187845303867405</v>
      </c>
      <c r="BQ332" s="209">
        <f>IF(WWWW[[#This Row],[Total required Latrines]]-WWWW[[#This Row],[Total '# of latrine]]&lt;0,0,WWWW[[#This Row],[Total required Latrines]]-WWWW[[#This Row],[Total '# of latrine]])</f>
        <v>78</v>
      </c>
      <c r="BR332" s="210">
        <f>ROUND(IF(WWWW[[#This Row],[Location Type 1]]="camp",WWWW[[#This Row],[Total PoP ]]/20,WWWW[[#This Row],[Total PoP ]]/6),0)</f>
        <v>91</v>
      </c>
      <c r="BS332" s="212">
        <f>IF(OR(WWWW[[#This Row],['# Existing latrines dysfunctional]]="",WWWW[[#This Row],['# Existing latrines dysfunctional]]=0),0,WWWW[[#This Row],['# Existing latrines dysfunctional]]/WWWW[[#This Row],[Total '# of latrine]])</f>
        <v>0</v>
      </c>
      <c r="BT33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2" s="209">
        <f>IF(500*WWWW[[#This Row],['# Hygiene Promoters ]]&gt;WWWW[[#This Row],[Total PoP ]],WWWW[[#This Row],[Total PoP ]],500*WWWW[[#This Row],['# Hygiene Promoters ]])</f>
        <v>543</v>
      </c>
      <c r="BV332" s="209">
        <f>IF(WWWW[[#This Row],[% of HH with access to Sanitary Pad]]&gt;=100%,1,0)</f>
        <v>0</v>
      </c>
      <c r="BW332" s="209">
        <f>IF(WWWW[[#This Row],[Total PoP ]]=0,0,IF(WWWW[[#This Row],['# Hygiene Promoters ]]=0,0,IF(WWWW[[#This Row],[Location Type 1]]="Village",IF(WWWW[[#This Row],[Total PoP ]]/WWWW[[#This Row],['# Hygiene Promoters ]]&lt;1000,1,0),IF(WWWW[[#This Row],[Total PoP ]]/WWWW[[#This Row],['# Hygiene Promoters ]]&lt;600,1,0))))</f>
        <v>1</v>
      </c>
      <c r="BX332" s="209">
        <f>IF(WWWW[[#This Row],[%HH with access to soap]]&gt;=100%,1,0)</f>
        <v>0</v>
      </c>
      <c r="BY332" s="209">
        <f>IF(WWWW[[#This Row],[% of HHs with access to Sanitary pad more than '#%]]+WWWW[[#This Row],[Ratio of Hyiene promoters to people less than '#]]+WWWW[[#This Row],[% of HHs with access to soap more than '#%]]&gt;=2,WWWW[[#This Row],[Total PoP ]],0)</f>
        <v>0</v>
      </c>
      <c r="BZ332" s="208">
        <f>WWWW[[#This Row],[People adopt basic personal and community hygiene practices]]/WWWW[[#This Row],[Total PoP ]]</f>
        <v>0</v>
      </c>
      <c r="CA332" s="212">
        <f>1-WWWW[[#This Row],[Hygiene Coverage%]]</f>
        <v>1</v>
      </c>
      <c r="CB332" s="211">
        <f>WWWW[[#This Row],['# people reached by regular dedicated hygiene promotion_5]]/WWWW[[#This Row],[Total PoP ]]</f>
        <v>1</v>
      </c>
      <c r="CC332" s="211">
        <f>IF(WWWW[[#This Row],['# HH received soaps]]/WWWW[[#This Row],[Total HH]]&gt;1,1,WWWW[[#This Row],['# HH received soaps]]/WWWW[[#This Row],[Total HH]])</f>
        <v>0</v>
      </c>
      <c r="CD332" s="211">
        <f>IF(WWWW[[#This Row],['# HH received Sanitary Pads]]/WWWW[[#This Row],[Total HH]]&gt;1,1,WWWW[[#This Row],['# HH received Sanitary Pads]]/WWWW[[#This Row],[Total HH]])</f>
        <v>0</v>
      </c>
      <c r="CE332" s="210">
        <f>WWWW[[#This Row],['# HH received soaps]]*5</f>
        <v>0</v>
      </c>
      <c r="CF332" s="210">
        <f>WWWW[[#This Row],['# HH received Sanitary Pads]]*5</f>
        <v>0</v>
      </c>
      <c r="CG332" s="210">
        <f>IF(WWWW[[#This Row],['# People with access to soap]]&gt;WWWW[[#This Row],['# People with access to Sanity Pads]],WWWW[[#This Row],['# People with access to soap]],WWWW[[#This Row],['# People with access to Sanity Pads]])</f>
        <v>0</v>
      </c>
      <c r="CH332" s="209">
        <f>WWWW[[#This Row],[Total HH]]*WWWW[[#This Row],[%HHs with access to functional hand washing stations]]</f>
        <v>0</v>
      </c>
      <c r="CI332" s="699">
        <f>VLOOKUP(WWWW[[#This Row],[Site Name]],SiteDB6[[Site Name]:[CCCM Management]],6,FALSE)</f>
        <v>0</v>
      </c>
      <c r="CJ332" s="699">
        <f>VLOOKUP(WWWW[[#This Row],[Site Name]],SiteDB6[[Site Name]:[CCCM Focal Agency]],7,FALSE)</f>
        <v>0</v>
      </c>
      <c r="CK332" s="699" t="str">
        <f>VLOOKUP(WWWW[[#This Row],[Site Name]],SiteDB6[[Site Name]:[Location Type]],8,FALSE)</f>
        <v>Village</v>
      </c>
      <c r="CL332" s="699" t="str">
        <f>VLOOKUP(WWWW[[#This Row],[Site Name]],SiteDB6[[Site Name]:[Location Type 1]],9,FALSE)</f>
        <v>Village</v>
      </c>
      <c r="CM332" s="699" t="str">
        <f>VLOOKUP(WWWW[[#This Row],[Site Name]],SiteDB6[[Site Name]:[Type of Accommodation]],10,FALSE)</f>
        <v>Village</v>
      </c>
      <c r="CN332" s="699" t="str">
        <f>VLOOKUP(WWWW[[#This Row],[Site Name]],SiteDB6[[Site Name]:[Ethnic or GCA/NGCA]],11,FALSE)</f>
        <v>Rakhine</v>
      </c>
      <c r="CO332" s="699">
        <f>VLOOKUP(WWWW[[#This Row],[Site Name]],SiteDB6[[Site Name]:[Lat]],12,FALSE)</f>
        <v>20.453830718994102</v>
      </c>
      <c r="CP332" s="699">
        <f>VLOOKUP(WWWW[[#This Row],[Site Name]],SiteDB6[[Site Name]:[Long]],13,FALSE)</f>
        <v>92.683090209960895</v>
      </c>
      <c r="CQ332" s="699">
        <f>VLOOKUP(WWWW[[#This Row],[Site Name]],SiteDB6[[Site Name]:[Pcode]],3,FALSE)</f>
        <v>197621</v>
      </c>
      <c r="CR332" s="660" t="str">
        <f t="shared" si="7"/>
        <v>Covered</v>
      </c>
      <c r="CS332" s="660"/>
      <c r="CT332" s="24"/>
      <c r="CU332" s="24"/>
      <c r="CV332" s="24"/>
    </row>
    <row r="333" spans="1:100" ht="15.75" customHeight="1" x14ac:dyDescent="0.25">
      <c r="A333" s="833" t="s">
        <v>3206</v>
      </c>
      <c r="B333" s="206" t="s">
        <v>460</v>
      </c>
      <c r="C333" s="206" t="s">
        <v>454</v>
      </c>
      <c r="D333" s="206" t="s">
        <v>498</v>
      </c>
      <c r="E333" s="206" t="s">
        <v>623</v>
      </c>
      <c r="F333" s="206">
        <v>292</v>
      </c>
      <c r="G333" s="209">
        <v>1751</v>
      </c>
      <c r="H333" s="206"/>
      <c r="I333" s="206" t="s">
        <v>391</v>
      </c>
      <c r="J333" s="207">
        <v>43220</v>
      </c>
      <c r="K333" s="206">
        <v>0</v>
      </c>
      <c r="L333" s="206" t="s">
        <v>48</v>
      </c>
      <c r="M333" s="208">
        <v>0.5</v>
      </c>
      <c r="N333" s="208">
        <v>0</v>
      </c>
      <c r="O333" s="316">
        <v>11</v>
      </c>
      <c r="P333" s="317">
        <v>0</v>
      </c>
      <c r="Q333" s="317">
        <v>0</v>
      </c>
      <c r="R333" s="318">
        <v>0</v>
      </c>
      <c r="S333" s="318">
        <v>11</v>
      </c>
      <c r="T333" s="318"/>
      <c r="U333" s="318"/>
      <c r="V333" s="318"/>
      <c r="W333" s="318"/>
      <c r="X333" s="318"/>
      <c r="Y333" s="318"/>
      <c r="Z333" s="318" t="s">
        <v>2458</v>
      </c>
      <c r="AA333" s="310">
        <v>192</v>
      </c>
      <c r="AB333" s="310">
        <v>70</v>
      </c>
      <c r="AC333" s="66"/>
      <c r="AD333" s="66"/>
      <c r="AE333" s="310">
        <v>0</v>
      </c>
      <c r="AF333" s="310" t="s">
        <v>286</v>
      </c>
      <c r="AG333" s="311" t="s">
        <v>286</v>
      </c>
      <c r="AH333" s="311"/>
      <c r="AI333" s="310"/>
      <c r="AJ333" s="310"/>
      <c r="AK333" s="841">
        <v>0</v>
      </c>
      <c r="AL333" s="842"/>
      <c r="AM333" s="842">
        <v>341</v>
      </c>
      <c r="AN333" s="863">
        <v>0</v>
      </c>
      <c r="AO333" s="863">
        <v>0</v>
      </c>
      <c r="AP333" s="843"/>
      <c r="AQ333" s="843"/>
      <c r="AR333" s="843"/>
      <c r="AS333" s="843"/>
      <c r="AT333" s="843"/>
      <c r="AU333" s="843"/>
      <c r="AV333" s="844"/>
      <c r="AW333" s="208" t="str">
        <f>IFERROR(WWWW[[#This Row],['# of Water passed at source]]/WWWW[[#This Row],['# of Water tested at source]],"no test")</f>
        <v>no test</v>
      </c>
      <c r="AX333" s="211" t="str">
        <f>IFERROR(WWWW[[#This Row],['# of Water passed at HH]]/WWWW[[#This Row],['# of Water tested at HH]],"no test")</f>
        <v>no test</v>
      </c>
      <c r="AY333" s="210" t="str">
        <f>IF(AND(WWWW[[#This Row],[%of Water samples which passed at water source]]="no test",WWWW[[#This Row],[%Water samples which passed at HH]]="no test"),"No Test","Tested")</f>
        <v>No Test</v>
      </c>
      <c r="AZ33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3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33" s="211">
        <f>IF(WWWW[[#This Row],[Location Type 1]]="Village",WWWW[[#This Row],[Access to safe drinking water for Village]],WWWW[[#This Row],[Access to safe drinking water for Camp]])</f>
        <v>1</v>
      </c>
      <c r="BC333" s="209">
        <f>WWWW[[#This Row],[%Equitable and continuous access to sufficient quantity of safe drinking water]]*WWWW[[#This Row],[Total PoP ]]</f>
        <v>1751</v>
      </c>
      <c r="BD333" s="211">
        <f>IF((WWWW[[#This Row],['# Existing protected/fenced ponds ]]*250)/WWWW[[#This Row],[Total PoP ]]&gt;1,1,WWWW[[#This Row],['# Existing protected/fenced ponds ]]*250/WWWW[[#This Row],[Total PoP ]])</f>
        <v>0</v>
      </c>
      <c r="BE333" s="209">
        <f>WWWW[[#This Row],[Access to unimproved water points]]*WWWW[[#This Row],[Total PoP ]]</f>
        <v>0</v>
      </c>
      <c r="BF33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3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1751</v>
      </c>
      <c r="BH333" s="209">
        <f>WWWW[[#This Row],['#people Equitable and continuous access to sufficient quantity of domestic water borehole n ponds_2]]/500</f>
        <v>3.5019999999999998</v>
      </c>
      <c r="BI333" s="208">
        <f>1-WWWW[[#This Row],[%Equitable and continuous access to sufficient quantity of domestic water borehole n ponds]]</f>
        <v>0</v>
      </c>
      <c r="BJ333" s="209">
        <f>WWWW[[#This Row],[%equitable and continuous access to sufficient quantity of safe drinking and domestic water''s GAP]]*WWWW[[#This Row],[Total PoP ]]</f>
        <v>0</v>
      </c>
      <c r="BK333" s="210">
        <f>IF(WWWW[[#This Row],[Total required water points]]-WWWW[[#This Row],['#Water points coverage]]&lt;0,0,WWWW[[#This Row],[Total required water points]]-WWWW[[#This Row],['#Water points coverage]])</f>
        <v>0.49800000000000022</v>
      </c>
      <c r="BL333" s="210">
        <f>ROUND(IF(WWWW[[#This Row],[Total PoP ]]&lt;500,1,WWWW[[#This Row],[Total PoP ]]/500),0)</f>
        <v>4</v>
      </c>
      <c r="BM333" s="210">
        <f>WWWW[[#This Row],['# Existing functional latrines]]+WWWW[[#This Row],['# Existing latrines dysfunctional]]</f>
        <v>262</v>
      </c>
      <c r="BN33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0.6579097658480868</v>
      </c>
      <c r="BO333" s="352">
        <f>WWWW[[#This Row],[% people access to functioning Latrine]]*WWWW[[#This Row],[Total PoP ]]</f>
        <v>1152</v>
      </c>
      <c r="BP33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0.10279840091376358</v>
      </c>
      <c r="BQ333" s="209">
        <f>IF(WWWW[[#This Row],[Total required Latrines]]-WWWW[[#This Row],[Total '# of latrine]]&lt;0,0,WWWW[[#This Row],[Total required Latrines]]-WWWW[[#This Row],[Total '# of latrine]])</f>
        <v>30</v>
      </c>
      <c r="BR333" s="210">
        <f>ROUND(IF(WWWW[[#This Row],[Location Type 1]]="camp",WWWW[[#This Row],[Total PoP ]]/20,WWWW[[#This Row],[Total PoP ]]/6),0)</f>
        <v>292</v>
      </c>
      <c r="BS333" s="212">
        <f>IF(OR(WWWW[[#This Row],['# Existing latrines dysfunctional]]="",WWWW[[#This Row],['# Existing latrines dysfunctional]]=0),0,WWWW[[#This Row],['# Existing latrines dysfunctional]]/WWWW[[#This Row],[Total '# of latrine]])</f>
        <v>0.26717557251908397</v>
      </c>
      <c r="BT33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3" s="209">
        <f>IF(500*WWWW[[#This Row],['# Hygiene Promoters ]]&gt;WWWW[[#This Row],[Total PoP ]],WWWW[[#This Row],[Total PoP ]],500*WWWW[[#This Row],['# Hygiene Promoters ]])</f>
        <v>0</v>
      </c>
      <c r="BV333" s="209">
        <f>IF(WWWW[[#This Row],[% of HH with access to Sanitary Pad]]&gt;=100%,1,0)</f>
        <v>0</v>
      </c>
      <c r="BW333" s="209">
        <f>IF(WWWW[[#This Row],[Total PoP ]]=0,0,IF(WWWW[[#This Row],['# Hygiene Promoters ]]=0,0,IF(WWWW[[#This Row],[Location Type 1]]="Village",IF(WWWW[[#This Row],[Total PoP ]]/WWWW[[#This Row],['# Hygiene Promoters ]]&lt;1000,1,0),IF(WWWW[[#This Row],[Total PoP ]]/WWWW[[#This Row],['# Hygiene Promoters ]]&lt;600,1,0))))</f>
        <v>0</v>
      </c>
      <c r="BX333" s="209">
        <f>IF(WWWW[[#This Row],[%HH with access to soap]]&gt;=100%,1,0)</f>
        <v>0</v>
      </c>
      <c r="BY333" s="209">
        <f>IF(WWWW[[#This Row],[% of HHs with access to Sanitary pad more than '#%]]+WWWW[[#This Row],[Ratio of Hyiene promoters to people less than '#]]+WWWW[[#This Row],[% of HHs with access to soap more than '#%]]&gt;=2,WWWW[[#This Row],[Total PoP ]],0)</f>
        <v>0</v>
      </c>
      <c r="BZ333" s="208">
        <f>WWWW[[#This Row],[People adopt basic personal and community hygiene practices]]/WWWW[[#This Row],[Total PoP ]]</f>
        <v>0</v>
      </c>
      <c r="CA333" s="212">
        <f>1-WWWW[[#This Row],[Hygiene Coverage%]]</f>
        <v>1</v>
      </c>
      <c r="CB333" s="211">
        <f>WWWW[[#This Row],['# people reached by regular dedicated hygiene promotion_5]]/WWWW[[#This Row],[Total PoP ]]</f>
        <v>0</v>
      </c>
      <c r="CC333" s="211">
        <f>IF(WWWW[[#This Row],['# HH received soaps]]/WWWW[[#This Row],[Total HH]]&gt;1,1,WWWW[[#This Row],['# HH received soaps]]/WWWW[[#This Row],[Total HH]])</f>
        <v>0</v>
      </c>
      <c r="CD333" s="211">
        <f>IF(WWWW[[#This Row],['# HH received Sanitary Pads]]/WWWW[[#This Row],[Total HH]]&gt;1,1,WWWW[[#This Row],['# HH received Sanitary Pads]]/WWWW[[#This Row],[Total HH]])</f>
        <v>0</v>
      </c>
      <c r="CE333" s="210">
        <f>WWWW[[#This Row],['# HH received soaps]]*5</f>
        <v>0</v>
      </c>
      <c r="CF333" s="210">
        <f>WWWW[[#This Row],['# HH received Sanitary Pads]]*5</f>
        <v>0</v>
      </c>
      <c r="CG333" s="210">
        <f>IF(WWWW[[#This Row],['# People with access to soap]]&gt;WWWW[[#This Row],['# People with access to Sanity Pads]],WWWW[[#This Row],['# People with access to soap]],WWWW[[#This Row],['# People with access to Sanity Pads]])</f>
        <v>0</v>
      </c>
      <c r="CH333" s="209">
        <f>WWWW[[#This Row],[Total HH]]*WWWW[[#This Row],[%HHs with access to functional hand washing stations]]</f>
        <v>0</v>
      </c>
      <c r="CI333" s="699">
        <f>VLOOKUP(WWWW[[#This Row],[Site Name]],SiteDB6[[Site Name]:[CCCM Management]],6,FALSE)</f>
        <v>0</v>
      </c>
      <c r="CJ333" s="699">
        <f>VLOOKUP(WWWW[[#This Row],[Site Name]],SiteDB6[[Site Name]:[CCCM Focal Agency]],7,FALSE)</f>
        <v>0</v>
      </c>
      <c r="CK333" s="699" t="str">
        <f>VLOOKUP(WWWW[[#This Row],[Site Name]],SiteDB6[[Site Name]:[Location Type]],8,FALSE)</f>
        <v>Village</v>
      </c>
      <c r="CL333" s="699" t="str">
        <f>VLOOKUP(WWWW[[#This Row],[Site Name]],SiteDB6[[Site Name]:[Location Type 1]],9,FALSE)</f>
        <v>Village</v>
      </c>
      <c r="CM333" s="699" t="str">
        <f>VLOOKUP(WWWW[[#This Row],[Site Name]],SiteDB6[[Site Name]:[Type of Accommodation]],10,FALSE)</f>
        <v>Returned</v>
      </c>
      <c r="CN333" s="699" t="str">
        <f>VLOOKUP(WWWW[[#This Row],[Site Name]],SiteDB6[[Site Name]:[Ethnic or GCA/NGCA]],11,FALSE)</f>
        <v>Muslim</v>
      </c>
      <c r="CO333" s="699">
        <f>VLOOKUP(WWWW[[#This Row],[Site Name]],SiteDB6[[Site Name]:[Lat]],12,FALSE)</f>
        <v>20.335864000000001</v>
      </c>
      <c r="CP333" s="699">
        <f>VLOOKUP(WWWW[[#This Row],[Site Name]],SiteDB6[[Site Name]:[Long]],13,FALSE)</f>
        <v>92.785706000000005</v>
      </c>
      <c r="CQ333" s="699" t="str">
        <f>VLOOKUP(WWWW[[#This Row],[Site Name]],SiteDB6[[Site Name]:[Pcode]],3,FALSE)</f>
        <v>MMR012CMP031</v>
      </c>
      <c r="CR333" s="660" t="str">
        <f t="shared" si="7"/>
        <v>Notcovered</v>
      </c>
      <c r="CS333" s="660"/>
      <c r="CT333" s="24"/>
      <c r="CU333" s="24"/>
      <c r="CV333" s="24"/>
    </row>
    <row r="334" spans="1:100" ht="15.75" customHeight="1" x14ac:dyDescent="0.25">
      <c r="A334" s="833" t="s">
        <v>3206</v>
      </c>
      <c r="B334" s="206" t="s">
        <v>460</v>
      </c>
      <c r="C334" s="206" t="s">
        <v>454</v>
      </c>
      <c r="D334" s="206" t="s">
        <v>498</v>
      </c>
      <c r="E334" s="206" t="s">
        <v>624</v>
      </c>
      <c r="F334" s="206">
        <v>46</v>
      </c>
      <c r="G334" s="209">
        <v>227</v>
      </c>
      <c r="H334" s="206"/>
      <c r="I334" s="206" t="s">
        <v>391</v>
      </c>
      <c r="J334" s="207">
        <v>43220</v>
      </c>
      <c r="K334" s="206">
        <v>0</v>
      </c>
      <c r="L334" s="206" t="s">
        <v>282</v>
      </c>
      <c r="M334" s="208">
        <v>0</v>
      </c>
      <c r="N334" s="208">
        <v>0</v>
      </c>
      <c r="O334" s="323">
        <v>3</v>
      </c>
      <c r="P334" s="317">
        <v>0</v>
      </c>
      <c r="Q334" s="317">
        <v>0</v>
      </c>
      <c r="R334" s="318">
        <v>0</v>
      </c>
      <c r="S334" s="318">
        <v>3</v>
      </c>
      <c r="T334" s="318"/>
      <c r="U334" s="318"/>
      <c r="V334" s="318"/>
      <c r="W334" s="318"/>
      <c r="X334" s="318"/>
      <c r="Y334" s="318"/>
      <c r="Z334" s="318" t="s">
        <v>2458</v>
      </c>
      <c r="AA334" s="310">
        <v>51</v>
      </c>
      <c r="AB334" s="310">
        <v>23</v>
      </c>
      <c r="AC334" s="66"/>
      <c r="AD334" s="66"/>
      <c r="AE334" s="310">
        <v>0</v>
      </c>
      <c r="AF334" s="310" t="s">
        <v>286</v>
      </c>
      <c r="AG334" s="311" t="s">
        <v>286</v>
      </c>
      <c r="AH334" s="311"/>
      <c r="AI334" s="310"/>
      <c r="AJ334" s="310"/>
      <c r="AK334" s="841">
        <v>0</v>
      </c>
      <c r="AL334" s="842"/>
      <c r="AM334" s="842">
        <v>46</v>
      </c>
      <c r="AN334" s="863">
        <v>0</v>
      </c>
      <c r="AO334" s="863">
        <v>0</v>
      </c>
      <c r="AP334" s="843"/>
      <c r="AQ334" s="843"/>
      <c r="AR334" s="843"/>
      <c r="AS334" s="843"/>
      <c r="AT334" s="843"/>
      <c r="AU334" s="843"/>
      <c r="AV334" s="844"/>
      <c r="AW334" s="208" t="str">
        <f>IFERROR(WWWW[[#This Row],['# of Water passed at source]]/WWWW[[#This Row],['# of Water tested at source]],"no test")</f>
        <v>no test</v>
      </c>
      <c r="AX334" s="211" t="str">
        <f>IFERROR(WWWW[[#This Row],['# of Water passed at HH]]/WWWW[[#This Row],['# of Water tested at HH]],"no test")</f>
        <v>no test</v>
      </c>
      <c r="AY334" s="210" t="str">
        <f>IF(AND(WWWW[[#This Row],[%of Water samples which passed at water source]]="no test",WWWW[[#This Row],[%Water samples which passed at HH]]="no test"),"No Test","Tested")</f>
        <v>No Test</v>
      </c>
      <c r="AZ33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3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34" s="211">
        <f>IF(WWWW[[#This Row],[Location Type 1]]="Village",WWWW[[#This Row],[Access to safe drinking water for Village]],WWWW[[#This Row],[Access to safe drinking water for Camp]])</f>
        <v>1</v>
      </c>
      <c r="BC334" s="209">
        <f>WWWW[[#This Row],[%Equitable and continuous access to sufficient quantity of safe drinking water]]*WWWW[[#This Row],[Total PoP ]]</f>
        <v>227</v>
      </c>
      <c r="BD334" s="211">
        <f>IF((WWWW[[#This Row],['# Existing protected/fenced ponds ]]*250)/WWWW[[#This Row],[Total PoP ]]&gt;1,1,WWWW[[#This Row],['# Existing protected/fenced ponds ]]*250/WWWW[[#This Row],[Total PoP ]])</f>
        <v>0</v>
      </c>
      <c r="BE334" s="209">
        <f>WWWW[[#This Row],[Access to unimproved water points]]*WWWW[[#This Row],[Total PoP ]]</f>
        <v>0</v>
      </c>
      <c r="BF33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3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227</v>
      </c>
      <c r="BH334" s="209">
        <f>WWWW[[#This Row],['#people Equitable and continuous access to sufficient quantity of domestic water borehole n ponds_2]]/500</f>
        <v>0.45400000000000001</v>
      </c>
      <c r="BI334" s="208">
        <f>1-WWWW[[#This Row],[%Equitable and continuous access to sufficient quantity of domestic water borehole n ponds]]</f>
        <v>0</v>
      </c>
      <c r="BJ334" s="209">
        <f>WWWW[[#This Row],[%equitable and continuous access to sufficient quantity of safe drinking and domestic water''s GAP]]*WWWW[[#This Row],[Total PoP ]]</f>
        <v>0</v>
      </c>
      <c r="BK334" s="210">
        <f>IF(WWWW[[#This Row],[Total required water points]]-WWWW[[#This Row],['#Water points coverage]]&lt;0,0,WWWW[[#This Row],[Total required water points]]-WWWW[[#This Row],['#Water points coverage]])</f>
        <v>0.54600000000000004</v>
      </c>
      <c r="BL334" s="210">
        <f>ROUND(IF(WWWW[[#This Row],[Total PoP ]]&lt;500,1,WWWW[[#This Row],[Total PoP ]]/500),0)</f>
        <v>1</v>
      </c>
      <c r="BM334" s="210">
        <f>WWWW[[#This Row],['# Existing functional latrines]]+WWWW[[#This Row],['# Existing latrines dysfunctional]]</f>
        <v>74</v>
      </c>
      <c r="BN33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34" s="352">
        <f>WWWW[[#This Row],[% people access to functioning Latrine]]*WWWW[[#This Row],[Total PoP ]]</f>
        <v>227</v>
      </c>
      <c r="BP33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34" s="209">
        <f>IF(WWWW[[#This Row],[Total required Latrines]]-WWWW[[#This Row],[Total '# of latrine]]&lt;0,0,WWWW[[#This Row],[Total required Latrines]]-WWWW[[#This Row],[Total '# of latrine]])</f>
        <v>0</v>
      </c>
      <c r="BR334" s="210">
        <f>ROUND(IF(WWWW[[#This Row],[Location Type 1]]="camp",WWWW[[#This Row],[Total PoP ]]/20,WWWW[[#This Row],[Total PoP ]]/6),0)</f>
        <v>38</v>
      </c>
      <c r="BS334" s="212">
        <f>IF(OR(WWWW[[#This Row],['# Existing latrines dysfunctional]]="",WWWW[[#This Row],['# Existing latrines dysfunctional]]=0),0,WWWW[[#This Row],['# Existing latrines dysfunctional]]/WWWW[[#This Row],[Total '# of latrine]])</f>
        <v>0.3108108108108108</v>
      </c>
      <c r="BT33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4" s="209">
        <f>IF(500*WWWW[[#This Row],['# Hygiene Promoters ]]&gt;WWWW[[#This Row],[Total PoP ]],WWWW[[#This Row],[Total PoP ]],500*WWWW[[#This Row],['# Hygiene Promoters ]])</f>
        <v>0</v>
      </c>
      <c r="BV334" s="209">
        <f>IF(WWWW[[#This Row],[% of HH with access to Sanitary Pad]]&gt;=100%,1,0)</f>
        <v>0</v>
      </c>
      <c r="BW334" s="209">
        <f>IF(WWWW[[#This Row],[Total PoP ]]=0,0,IF(WWWW[[#This Row],['# Hygiene Promoters ]]=0,0,IF(WWWW[[#This Row],[Location Type 1]]="Village",IF(WWWW[[#This Row],[Total PoP ]]/WWWW[[#This Row],['# Hygiene Promoters ]]&lt;1000,1,0),IF(WWWW[[#This Row],[Total PoP ]]/WWWW[[#This Row],['# Hygiene Promoters ]]&lt;600,1,0))))</f>
        <v>0</v>
      </c>
      <c r="BX334" s="209">
        <f>IF(WWWW[[#This Row],[%HH with access to soap]]&gt;=100%,1,0)</f>
        <v>0</v>
      </c>
      <c r="BY334" s="209">
        <f>IF(WWWW[[#This Row],[% of HHs with access to Sanitary pad more than '#%]]+WWWW[[#This Row],[Ratio of Hyiene promoters to people less than '#]]+WWWW[[#This Row],[% of HHs with access to soap more than '#%]]&gt;=2,WWWW[[#This Row],[Total PoP ]],0)</f>
        <v>0</v>
      </c>
      <c r="BZ334" s="208">
        <f>WWWW[[#This Row],[People adopt basic personal and community hygiene practices]]/WWWW[[#This Row],[Total PoP ]]</f>
        <v>0</v>
      </c>
      <c r="CA334" s="212">
        <f>1-WWWW[[#This Row],[Hygiene Coverage%]]</f>
        <v>1</v>
      </c>
      <c r="CB334" s="211">
        <f>WWWW[[#This Row],['# people reached by regular dedicated hygiene promotion_5]]/WWWW[[#This Row],[Total PoP ]]</f>
        <v>0</v>
      </c>
      <c r="CC334" s="211">
        <f>IF(WWWW[[#This Row],['# HH received soaps]]/WWWW[[#This Row],[Total HH]]&gt;1,1,WWWW[[#This Row],['# HH received soaps]]/WWWW[[#This Row],[Total HH]])</f>
        <v>0</v>
      </c>
      <c r="CD334" s="211">
        <f>IF(WWWW[[#This Row],['# HH received Sanitary Pads]]/WWWW[[#This Row],[Total HH]]&gt;1,1,WWWW[[#This Row],['# HH received Sanitary Pads]]/WWWW[[#This Row],[Total HH]])</f>
        <v>0</v>
      </c>
      <c r="CE334" s="210">
        <f>WWWW[[#This Row],['# HH received soaps]]*5</f>
        <v>0</v>
      </c>
      <c r="CF334" s="210">
        <f>WWWW[[#This Row],['# HH received Sanitary Pads]]*5</f>
        <v>0</v>
      </c>
      <c r="CG334" s="210">
        <f>IF(WWWW[[#This Row],['# People with access to soap]]&gt;WWWW[[#This Row],['# People with access to Sanity Pads]],WWWW[[#This Row],['# People with access to soap]],WWWW[[#This Row],['# People with access to Sanity Pads]])</f>
        <v>0</v>
      </c>
      <c r="CH334" s="209">
        <f>WWWW[[#This Row],[Total HH]]*WWWW[[#This Row],[%HHs with access to functional hand washing stations]]</f>
        <v>0</v>
      </c>
      <c r="CI334" s="699">
        <f>VLOOKUP(WWWW[[#This Row],[Site Name]],SiteDB6[[Site Name]:[CCCM Management]],6,FALSE)</f>
        <v>0</v>
      </c>
      <c r="CJ334" s="699">
        <f>VLOOKUP(WWWW[[#This Row],[Site Name]],SiteDB6[[Site Name]:[CCCM Focal Agency]],7,FALSE)</f>
        <v>0</v>
      </c>
      <c r="CK334" s="699" t="str">
        <f>VLOOKUP(WWWW[[#This Row],[Site Name]],SiteDB6[[Site Name]:[Location Type]],8,FALSE)</f>
        <v>Village</v>
      </c>
      <c r="CL334" s="699" t="str">
        <f>VLOOKUP(WWWW[[#This Row],[Site Name]],SiteDB6[[Site Name]:[Location Type 1]],9,FALSE)</f>
        <v>Village</v>
      </c>
      <c r="CM334" s="699" t="str">
        <f>VLOOKUP(WWWW[[#This Row],[Site Name]],SiteDB6[[Site Name]:[Type of Accommodation]],10,FALSE)</f>
        <v>Village</v>
      </c>
      <c r="CN334" s="699" t="str">
        <f>VLOOKUP(WWWW[[#This Row],[Site Name]],SiteDB6[[Site Name]:[Ethnic or GCA/NGCA]],11,FALSE)</f>
        <v>Rakhine</v>
      </c>
      <c r="CO334" s="699">
        <f>VLOOKUP(WWWW[[#This Row],[Site Name]],SiteDB6[[Site Name]:[Lat]],12,FALSE)</f>
        <v>20.339799880981399</v>
      </c>
      <c r="CP334" s="699">
        <f>VLOOKUP(WWWW[[#This Row],[Site Name]],SiteDB6[[Site Name]:[Long]],13,FALSE)</f>
        <v>92.782653808593807</v>
      </c>
      <c r="CQ334" s="699" t="str">
        <f>VLOOKUP(WWWW[[#This Row],[Site Name]],SiteDB6[[Site Name]:[Pcode]],3,FALSE)</f>
        <v>197779</v>
      </c>
      <c r="CR334" s="660" t="str">
        <f t="shared" si="7"/>
        <v>Notcovered</v>
      </c>
      <c r="CS334" s="660"/>
      <c r="CT334" s="24"/>
      <c r="CU334" s="24"/>
      <c r="CV334" s="24"/>
    </row>
    <row r="335" spans="1:100" ht="15.75" customHeight="1" x14ac:dyDescent="0.25">
      <c r="A335" s="833" t="s">
        <v>3206</v>
      </c>
      <c r="B335" s="206" t="s">
        <v>530</v>
      </c>
      <c r="C335" s="206" t="s">
        <v>454</v>
      </c>
      <c r="D335" s="206" t="s">
        <v>498</v>
      </c>
      <c r="E335" s="206" t="s">
        <v>641</v>
      </c>
      <c r="F335" s="206">
        <v>147</v>
      </c>
      <c r="G335" s="209">
        <v>817</v>
      </c>
      <c r="H335" s="206"/>
      <c r="I335" s="206" t="s">
        <v>388</v>
      </c>
      <c r="J335" s="207">
        <v>43343</v>
      </c>
      <c r="K335" s="206"/>
      <c r="L335" s="206"/>
      <c r="M335" s="208"/>
      <c r="N335" s="208"/>
      <c r="O335" s="316">
        <v>0</v>
      </c>
      <c r="P335" s="317">
        <v>0</v>
      </c>
      <c r="Q335" s="317">
        <v>0</v>
      </c>
      <c r="R335" s="318">
        <v>0</v>
      </c>
      <c r="S335" s="318">
        <v>1</v>
      </c>
      <c r="T335" s="318"/>
      <c r="U335" s="318"/>
      <c r="V335" s="318"/>
      <c r="W335" s="318"/>
      <c r="X335" s="318"/>
      <c r="Y335" s="318"/>
      <c r="Z335" s="318"/>
      <c r="AA335" s="310">
        <v>2</v>
      </c>
      <c r="AB335" s="310"/>
      <c r="AC335" s="66"/>
      <c r="AD335" s="66"/>
      <c r="AE335" s="310">
        <v>2</v>
      </c>
      <c r="AF335" s="310" t="s">
        <v>332</v>
      </c>
      <c r="AG335" s="311" t="s">
        <v>332</v>
      </c>
      <c r="AH335" s="311"/>
      <c r="AI335" s="310"/>
      <c r="AJ335" s="310" t="s">
        <v>2462</v>
      </c>
      <c r="AK335" s="841">
        <v>0</v>
      </c>
      <c r="AL335" s="842" t="s">
        <v>284</v>
      </c>
      <c r="AM335" s="842">
        <v>0</v>
      </c>
      <c r="AN335" s="863">
        <v>0</v>
      </c>
      <c r="AO335" s="863">
        <v>9</v>
      </c>
      <c r="AP335" s="843"/>
      <c r="AQ335" s="843"/>
      <c r="AR335" s="843"/>
      <c r="AS335" s="843"/>
      <c r="AT335" s="843"/>
      <c r="AU335" s="843"/>
      <c r="AV335" s="844"/>
      <c r="AW335" s="208" t="str">
        <f>IFERROR(WWWW[[#This Row],['# of Water passed at source]]/WWWW[[#This Row],['# of Water tested at source]],"no test")</f>
        <v>no test</v>
      </c>
      <c r="AX335" s="211" t="str">
        <f>IFERROR(WWWW[[#This Row],['# of Water passed at HH]]/WWWW[[#This Row],['# of Water tested at HH]],"no test")</f>
        <v>no test</v>
      </c>
      <c r="AY335" s="210" t="str">
        <f>IF(AND(WWWW[[#This Row],[%of Water samples which passed at water source]]="no test",WWWW[[#This Row],[%Water samples which passed at HH]]="no test"),"No Test","Tested")</f>
        <v>No Test</v>
      </c>
      <c r="AZ33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3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35" s="211">
        <f>IF(WWWW[[#This Row],[Location Type 1]]="Village",WWWW[[#This Row],[Access to safe drinking water for Village]],WWWW[[#This Row],[Access to safe drinking water for Camp]])</f>
        <v>0</v>
      </c>
      <c r="BC335" s="209">
        <f>WWWW[[#This Row],[%Equitable and continuous access to sufficient quantity of safe drinking water]]*WWWW[[#This Row],[Total PoP ]]</f>
        <v>0</v>
      </c>
      <c r="BD335" s="211">
        <f>IF((WWWW[[#This Row],['# Existing protected/fenced ponds ]]*250)/WWWW[[#This Row],[Total PoP ]]&gt;1,1,WWWW[[#This Row],['# Existing protected/fenced ponds ]]*250/WWWW[[#This Row],[Total PoP ]])</f>
        <v>0</v>
      </c>
      <c r="BE335" s="209">
        <f>WWWW[[#This Row],[Access to unimproved water points]]*WWWW[[#This Row],[Total PoP ]]</f>
        <v>0</v>
      </c>
      <c r="BF33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3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35" s="209">
        <f>WWWW[[#This Row],['#people Equitable and continuous access to sufficient quantity of domestic water borehole n ponds_2]]/500</f>
        <v>0</v>
      </c>
      <c r="BI335" s="208">
        <f>1-WWWW[[#This Row],[%Equitable and continuous access to sufficient quantity of domestic water borehole n ponds]]</f>
        <v>1</v>
      </c>
      <c r="BJ335" s="209">
        <f>WWWW[[#This Row],[%equitable and continuous access to sufficient quantity of safe drinking and domestic water''s GAP]]*WWWW[[#This Row],[Total PoP ]]</f>
        <v>817</v>
      </c>
      <c r="BK335" s="210">
        <f>IF(WWWW[[#This Row],[Total required water points]]-WWWW[[#This Row],['#Water points coverage]]&lt;0,0,WWWW[[#This Row],[Total required water points]]-WWWW[[#This Row],['#Water points coverage]])</f>
        <v>2</v>
      </c>
      <c r="BL335" s="210">
        <f>ROUND(IF(WWWW[[#This Row],[Total PoP ]]&lt;500,1,WWWW[[#This Row],[Total PoP ]]/500),0)</f>
        <v>2</v>
      </c>
      <c r="BM335" s="210">
        <f>WWWW[[#This Row],['# Existing functional latrines]]+WWWW[[#This Row],['# Existing latrines dysfunctional]]</f>
        <v>2</v>
      </c>
      <c r="BN33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1.4687882496940025E-2</v>
      </c>
      <c r="BO335" s="352">
        <f>WWWW[[#This Row],[% people access to functioning Latrine]]*WWWW[[#This Row],[Total PoP ]]</f>
        <v>12</v>
      </c>
      <c r="BP33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0.98408812729498174</v>
      </c>
      <c r="BQ335" s="209">
        <f>IF(WWWW[[#This Row],[Total required Latrines]]-WWWW[[#This Row],[Total '# of latrine]]&lt;0,0,WWWW[[#This Row],[Total required Latrines]]-WWWW[[#This Row],[Total '# of latrine]])</f>
        <v>134</v>
      </c>
      <c r="BR335" s="210">
        <f>ROUND(IF(WWWW[[#This Row],[Location Type 1]]="camp",WWWW[[#This Row],[Total PoP ]]/20,WWWW[[#This Row],[Total PoP ]]/6),0)</f>
        <v>136</v>
      </c>
      <c r="BS335" s="212">
        <f>IF(OR(WWWW[[#This Row],['# Existing latrines dysfunctional]]="",WWWW[[#This Row],['# Existing latrines dysfunctional]]=0),0,WWWW[[#This Row],['# Existing latrines dysfunctional]]/WWWW[[#This Row],[Total '# of latrine]])</f>
        <v>0</v>
      </c>
      <c r="BT33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5" s="209">
        <f>IF(500*WWWW[[#This Row],['# Hygiene Promoters ]]&gt;WWWW[[#This Row],[Total PoP ]],WWWW[[#This Row],[Total PoP ]],500*WWWW[[#This Row],['# Hygiene Promoters ]])</f>
        <v>817</v>
      </c>
      <c r="BV335" s="209">
        <f>IF(WWWW[[#This Row],[% of HH with access to Sanitary Pad]]&gt;=100%,1,0)</f>
        <v>0</v>
      </c>
      <c r="BW335" s="209">
        <f>IF(WWWW[[#This Row],[Total PoP ]]=0,0,IF(WWWW[[#This Row],['# Hygiene Promoters ]]=0,0,IF(WWWW[[#This Row],[Location Type 1]]="Village",IF(WWWW[[#This Row],[Total PoP ]]/WWWW[[#This Row],['# Hygiene Promoters ]]&lt;1000,1,0),IF(WWWW[[#This Row],[Total PoP ]]/WWWW[[#This Row],['# Hygiene Promoters ]]&lt;600,1,0))))</f>
        <v>1</v>
      </c>
      <c r="BX335" s="209">
        <f>IF(WWWW[[#This Row],[%HH with access to soap]]&gt;=100%,1,0)</f>
        <v>0</v>
      </c>
      <c r="BY335" s="209">
        <f>IF(WWWW[[#This Row],[% of HHs with access to Sanitary pad more than '#%]]+WWWW[[#This Row],[Ratio of Hyiene promoters to people less than '#]]+WWWW[[#This Row],[% of HHs with access to soap more than '#%]]&gt;=2,WWWW[[#This Row],[Total PoP ]],0)</f>
        <v>0</v>
      </c>
      <c r="BZ335" s="208">
        <f>WWWW[[#This Row],[People adopt basic personal and community hygiene practices]]/WWWW[[#This Row],[Total PoP ]]</f>
        <v>0</v>
      </c>
      <c r="CA335" s="212">
        <f>1-WWWW[[#This Row],[Hygiene Coverage%]]</f>
        <v>1</v>
      </c>
      <c r="CB335" s="211">
        <f>WWWW[[#This Row],['# people reached by regular dedicated hygiene promotion_5]]/WWWW[[#This Row],[Total PoP ]]</f>
        <v>1</v>
      </c>
      <c r="CC335" s="211">
        <f>IF(WWWW[[#This Row],['# HH received soaps]]/WWWW[[#This Row],[Total HH]]&gt;1,1,WWWW[[#This Row],['# HH received soaps]]/WWWW[[#This Row],[Total HH]])</f>
        <v>0</v>
      </c>
      <c r="CD335" s="211">
        <f>IF(WWWW[[#This Row],['# HH received Sanitary Pads]]/WWWW[[#This Row],[Total HH]]&gt;1,1,WWWW[[#This Row],['# HH received Sanitary Pads]]/WWWW[[#This Row],[Total HH]])</f>
        <v>0</v>
      </c>
      <c r="CE335" s="210">
        <f>WWWW[[#This Row],['# HH received soaps]]*5</f>
        <v>0</v>
      </c>
      <c r="CF335" s="210">
        <f>WWWW[[#This Row],['# HH received Sanitary Pads]]*5</f>
        <v>0</v>
      </c>
      <c r="CG335" s="210">
        <f>IF(WWWW[[#This Row],['# People with access to soap]]&gt;WWWW[[#This Row],['# People with access to Sanity Pads]],WWWW[[#This Row],['# People with access to soap]],WWWW[[#This Row],['# People with access to Sanity Pads]])</f>
        <v>0</v>
      </c>
      <c r="CH335" s="209">
        <f>WWWW[[#This Row],[Total HH]]*WWWW[[#This Row],[%HHs with access to functional hand washing stations]]</f>
        <v>0</v>
      </c>
      <c r="CI335" s="699" t="str">
        <f>VLOOKUP(WWWW[[#This Row],[Site Name]],SiteDB6[[Site Name]:[CCCM Management]],6,FALSE)</f>
        <v>Yes</v>
      </c>
      <c r="CJ335" s="699">
        <f>VLOOKUP(WWWW[[#This Row],[Site Name]],SiteDB6[[Site Name]:[CCCM Focal Agency]],7,FALSE)</f>
        <v>0</v>
      </c>
      <c r="CK335" s="699" t="str">
        <f>VLOOKUP(WWWW[[#This Row],[Site Name]],SiteDB6[[Site Name]:[Location Type]],8,FALSE)</f>
        <v>Village</v>
      </c>
      <c r="CL335" s="699" t="str">
        <f>VLOOKUP(WWWW[[#This Row],[Site Name]],SiteDB6[[Site Name]:[Location Type 1]],9,FALSE)</f>
        <v>Village</v>
      </c>
      <c r="CM335" s="699" t="str">
        <f>VLOOKUP(WWWW[[#This Row],[Site Name]],SiteDB6[[Site Name]:[Type of Accommodation]],10,FALSE)</f>
        <v>Returned</v>
      </c>
      <c r="CN335" s="699" t="str">
        <f>VLOOKUP(WWWW[[#This Row],[Site Name]],SiteDB6[[Site Name]:[Ethnic or GCA/NGCA]],11,FALSE)</f>
        <v>Rakhine</v>
      </c>
      <c r="CO335" s="699">
        <f>VLOOKUP(WWWW[[#This Row],[Site Name]],SiteDB6[[Site Name]:[Lat]],12,FALSE)</f>
        <v>20.824777999999998</v>
      </c>
      <c r="CP335" s="699">
        <f>VLOOKUP(WWWW[[#This Row],[Site Name]],SiteDB6[[Site Name]:[Long]],13,FALSE)</f>
        <v>92.362196999999995</v>
      </c>
      <c r="CQ335" s="699" t="str">
        <f>VLOOKUP(WWWW[[#This Row],[Site Name]],SiteDB6[[Site Name]:[Pcode]],3,FALSE)</f>
        <v>MMR012CMP082</v>
      </c>
      <c r="CR335" s="660" t="str">
        <f t="shared" si="7"/>
        <v>Covered</v>
      </c>
      <c r="CS335" s="660"/>
      <c r="CT335" s="24"/>
      <c r="CU335" s="24"/>
      <c r="CV335" s="24"/>
    </row>
    <row r="336" spans="1:100" ht="16.5" customHeight="1" x14ac:dyDescent="0.25">
      <c r="A336" s="833" t="s">
        <v>3206</v>
      </c>
      <c r="B336" s="206" t="s">
        <v>530</v>
      </c>
      <c r="C336" s="206" t="s">
        <v>454</v>
      </c>
      <c r="D336" s="206" t="s">
        <v>498</v>
      </c>
      <c r="E336" s="206" t="s">
        <v>648</v>
      </c>
      <c r="F336" s="206">
        <v>149</v>
      </c>
      <c r="G336" s="209">
        <v>895</v>
      </c>
      <c r="H336" s="206"/>
      <c r="I336" s="206" t="s">
        <v>388</v>
      </c>
      <c r="J336" s="207">
        <v>43145</v>
      </c>
      <c r="K336" s="206"/>
      <c r="L336" s="206"/>
      <c r="M336" s="208"/>
      <c r="N336" s="208"/>
      <c r="O336" s="316">
        <v>0</v>
      </c>
      <c r="P336" s="317">
        <v>0</v>
      </c>
      <c r="Q336" s="317">
        <v>0</v>
      </c>
      <c r="R336" s="318">
        <v>4</v>
      </c>
      <c r="S336" s="318">
        <v>1</v>
      </c>
      <c r="T336" s="318"/>
      <c r="U336" s="318"/>
      <c r="V336" s="318"/>
      <c r="W336" s="318"/>
      <c r="X336" s="318"/>
      <c r="Y336" s="318"/>
      <c r="Z336" s="318"/>
      <c r="AA336" s="310">
        <v>31</v>
      </c>
      <c r="AB336" s="310">
        <v>0</v>
      </c>
      <c r="AC336" s="66"/>
      <c r="AD336" s="66"/>
      <c r="AE336" s="310">
        <v>31</v>
      </c>
      <c r="AF336" s="310" t="s">
        <v>332</v>
      </c>
      <c r="AG336" s="311" t="s">
        <v>332</v>
      </c>
      <c r="AH336" s="311"/>
      <c r="AI336" s="310"/>
      <c r="AJ336" s="310" t="s">
        <v>2462</v>
      </c>
      <c r="AK336" s="841">
        <v>0</v>
      </c>
      <c r="AL336" s="842" t="s">
        <v>284</v>
      </c>
      <c r="AM336" s="842">
        <v>0</v>
      </c>
      <c r="AN336" s="863">
        <v>0</v>
      </c>
      <c r="AO336" s="863">
        <v>9</v>
      </c>
      <c r="AP336" s="843"/>
      <c r="AQ336" s="843"/>
      <c r="AR336" s="843"/>
      <c r="AS336" s="843"/>
      <c r="AT336" s="843"/>
      <c r="AU336" s="843"/>
      <c r="AV336" s="844"/>
      <c r="AW336" s="208" t="str">
        <f>IFERROR(WWWW[[#This Row],['# of Water passed at source]]/WWWW[[#This Row],['# of Water tested at source]],"no test")</f>
        <v>no test</v>
      </c>
      <c r="AX336" s="211" t="str">
        <f>IFERROR(WWWW[[#This Row],['# of Water passed at HH]]/WWWW[[#This Row],['# of Water tested at HH]],"no test")</f>
        <v>no test</v>
      </c>
      <c r="AY336" s="210" t="str">
        <f>IF(AND(WWWW[[#This Row],[%of Water samples which passed at water source]]="no test",WWWW[[#This Row],[%Water samples which passed at HH]]="no test"),"No Test","Tested")</f>
        <v>No Test</v>
      </c>
      <c r="AZ33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3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36" s="211">
        <f>IF(WWWW[[#This Row],[Location Type 1]]="Village",WWWW[[#This Row],[Access to safe drinking water for Village]],WWWW[[#This Row],[Access to safe drinking water for Camp]])</f>
        <v>0</v>
      </c>
      <c r="BC336" s="209">
        <f>WWWW[[#This Row],[%Equitable and continuous access to sufficient quantity of safe drinking water]]*WWWW[[#This Row],[Total PoP ]]</f>
        <v>0</v>
      </c>
      <c r="BD336" s="211">
        <f>IF((WWWW[[#This Row],['# Existing protected/fenced ponds ]]*250)/WWWW[[#This Row],[Total PoP ]]&gt;1,1,WWWW[[#This Row],['# Existing protected/fenced ponds ]]*250/WWWW[[#This Row],[Total PoP ]])</f>
        <v>1</v>
      </c>
      <c r="BE336" s="209">
        <f>WWWW[[#This Row],[Access to unimproved water points]]*WWWW[[#This Row],[Total PoP ]]</f>
        <v>895</v>
      </c>
      <c r="BF33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3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895</v>
      </c>
      <c r="BH336" s="209">
        <f>WWWW[[#This Row],['#people Equitable and continuous access to sufficient quantity of domestic water borehole n ponds_2]]/500</f>
        <v>1.79</v>
      </c>
      <c r="BI336" s="208">
        <f>1-WWWW[[#This Row],[%Equitable and continuous access to sufficient quantity of domestic water borehole n ponds]]</f>
        <v>0</v>
      </c>
      <c r="BJ336" s="209">
        <f>WWWW[[#This Row],[%equitable and continuous access to sufficient quantity of safe drinking and domestic water''s GAP]]*WWWW[[#This Row],[Total PoP ]]</f>
        <v>0</v>
      </c>
      <c r="BK336" s="210">
        <f>IF(WWWW[[#This Row],[Total required water points]]-WWWW[[#This Row],['#Water points coverage]]&lt;0,0,WWWW[[#This Row],[Total required water points]]-WWWW[[#This Row],['#Water points coverage]])</f>
        <v>0.20999999999999996</v>
      </c>
      <c r="BL336" s="210">
        <f>ROUND(IF(WWWW[[#This Row],[Total PoP ]]&lt;500,1,WWWW[[#This Row],[Total PoP ]]/500),0)</f>
        <v>2</v>
      </c>
      <c r="BM336" s="210">
        <f>WWWW[[#This Row],['# Existing functional latrines]]+WWWW[[#This Row],['# Existing latrines dysfunctional]]</f>
        <v>31</v>
      </c>
      <c r="BN33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0.20782122905027933</v>
      </c>
      <c r="BO336" s="352">
        <f>WWWW[[#This Row],[% people access to functioning Latrine]]*WWWW[[#This Row],[Total PoP ]]</f>
        <v>186</v>
      </c>
      <c r="BP33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0.79106145251396653</v>
      </c>
      <c r="BQ336" s="209">
        <f>IF(WWWW[[#This Row],[Total required Latrines]]-WWWW[[#This Row],[Total '# of latrine]]&lt;0,0,WWWW[[#This Row],[Total required Latrines]]-WWWW[[#This Row],[Total '# of latrine]])</f>
        <v>118</v>
      </c>
      <c r="BR336" s="210">
        <f>ROUND(IF(WWWW[[#This Row],[Location Type 1]]="camp",WWWW[[#This Row],[Total PoP ]]/20,WWWW[[#This Row],[Total PoP ]]/6),0)</f>
        <v>149</v>
      </c>
      <c r="BS336" s="212">
        <f>IF(OR(WWWW[[#This Row],['# Existing latrines dysfunctional]]="",WWWW[[#This Row],['# Existing latrines dysfunctional]]=0),0,WWWW[[#This Row],['# Existing latrines dysfunctional]]/WWWW[[#This Row],[Total '# of latrine]])</f>
        <v>0</v>
      </c>
      <c r="BT33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6" s="209">
        <f>IF(500*WWWW[[#This Row],['# Hygiene Promoters ]]&gt;WWWW[[#This Row],[Total PoP ]],WWWW[[#This Row],[Total PoP ]],500*WWWW[[#This Row],['# Hygiene Promoters ]])</f>
        <v>895</v>
      </c>
      <c r="BV336" s="209">
        <f>IF(WWWW[[#This Row],[% of HH with access to Sanitary Pad]]&gt;=100%,1,0)</f>
        <v>0</v>
      </c>
      <c r="BW336" s="209">
        <f>IF(WWWW[[#This Row],[Total PoP ]]=0,0,IF(WWWW[[#This Row],['# Hygiene Promoters ]]=0,0,IF(WWWW[[#This Row],[Location Type 1]]="Village",IF(WWWW[[#This Row],[Total PoP ]]/WWWW[[#This Row],['# Hygiene Promoters ]]&lt;1000,1,0),IF(WWWW[[#This Row],[Total PoP ]]/WWWW[[#This Row],['# Hygiene Promoters ]]&lt;600,1,0))))</f>
        <v>1</v>
      </c>
      <c r="BX336" s="209">
        <f>IF(WWWW[[#This Row],[%HH with access to soap]]&gt;=100%,1,0)</f>
        <v>0</v>
      </c>
      <c r="BY336" s="209">
        <f>IF(WWWW[[#This Row],[% of HHs with access to Sanitary pad more than '#%]]+WWWW[[#This Row],[Ratio of Hyiene promoters to people less than '#]]+WWWW[[#This Row],[% of HHs with access to soap more than '#%]]&gt;=2,WWWW[[#This Row],[Total PoP ]],0)</f>
        <v>0</v>
      </c>
      <c r="BZ336" s="208">
        <f>WWWW[[#This Row],[People adopt basic personal and community hygiene practices]]/WWWW[[#This Row],[Total PoP ]]</f>
        <v>0</v>
      </c>
      <c r="CA336" s="212">
        <f>1-WWWW[[#This Row],[Hygiene Coverage%]]</f>
        <v>1</v>
      </c>
      <c r="CB336" s="211">
        <f>WWWW[[#This Row],['# people reached by regular dedicated hygiene promotion_5]]/WWWW[[#This Row],[Total PoP ]]</f>
        <v>1</v>
      </c>
      <c r="CC336" s="211">
        <f>IF(WWWW[[#This Row],['# HH received soaps]]/WWWW[[#This Row],[Total HH]]&gt;1,1,WWWW[[#This Row],['# HH received soaps]]/WWWW[[#This Row],[Total HH]])</f>
        <v>0</v>
      </c>
      <c r="CD336" s="211">
        <f>IF(WWWW[[#This Row],['# HH received Sanitary Pads]]/WWWW[[#This Row],[Total HH]]&gt;1,1,WWWW[[#This Row],['# HH received Sanitary Pads]]/WWWW[[#This Row],[Total HH]])</f>
        <v>0</v>
      </c>
      <c r="CE336" s="210">
        <f>WWWW[[#This Row],['# HH received soaps]]*5</f>
        <v>0</v>
      </c>
      <c r="CF336" s="210">
        <f>WWWW[[#This Row],['# HH received Sanitary Pads]]*5</f>
        <v>0</v>
      </c>
      <c r="CG336" s="210">
        <f>IF(WWWW[[#This Row],['# People with access to soap]]&gt;WWWW[[#This Row],['# People with access to Sanity Pads]],WWWW[[#This Row],['# People with access to soap]],WWWW[[#This Row],['# People with access to Sanity Pads]])</f>
        <v>0</v>
      </c>
      <c r="CH336" s="209">
        <f>WWWW[[#This Row],[Total HH]]*WWWW[[#This Row],[%HHs with access to functional hand washing stations]]</f>
        <v>0</v>
      </c>
      <c r="CI336" s="699">
        <f>VLOOKUP(WWWW[[#This Row],[Site Name]],SiteDB6[[Site Name]:[CCCM Management]],6,FALSE)</f>
        <v>0</v>
      </c>
      <c r="CJ336" s="699">
        <f>VLOOKUP(WWWW[[#This Row],[Site Name]],SiteDB6[[Site Name]:[CCCM Focal Agency]],7,FALSE)</f>
        <v>0</v>
      </c>
      <c r="CK336" s="699" t="str">
        <f>VLOOKUP(WWWW[[#This Row],[Site Name]],SiteDB6[[Site Name]:[Location Type]],8,FALSE)</f>
        <v>Village</v>
      </c>
      <c r="CL336" s="699" t="str">
        <f>VLOOKUP(WWWW[[#This Row],[Site Name]],SiteDB6[[Site Name]:[Location Type 1]],9,FALSE)</f>
        <v>Village</v>
      </c>
      <c r="CM336" s="699" t="str">
        <f>VLOOKUP(WWWW[[#This Row],[Site Name]],SiteDB6[[Site Name]:[Type of Accommodation]],10,FALSE)</f>
        <v>Village</v>
      </c>
      <c r="CN336" s="699" t="str">
        <f>VLOOKUP(WWWW[[#This Row],[Site Name]],SiteDB6[[Site Name]:[Ethnic or GCA/NGCA]],11,FALSE)</f>
        <v>Rakhine</v>
      </c>
      <c r="CO336" s="699">
        <f>VLOOKUP(WWWW[[#This Row],[Site Name]],SiteDB6[[Site Name]:[Lat]],12,FALSE)</f>
        <v>20.486930847168001</v>
      </c>
      <c r="CP336" s="699">
        <f>VLOOKUP(WWWW[[#This Row],[Site Name]],SiteDB6[[Site Name]:[Long]],13,FALSE)</f>
        <v>92.662757873535199</v>
      </c>
      <c r="CQ336" s="699">
        <f>VLOOKUP(WWWW[[#This Row],[Site Name]],SiteDB6[[Site Name]:[Pcode]],3,FALSE)</f>
        <v>197614</v>
      </c>
      <c r="CR336" s="660" t="str">
        <f t="shared" si="7"/>
        <v>Covered</v>
      </c>
      <c r="CS336" s="660"/>
      <c r="CT336" s="24"/>
      <c r="CU336" s="24"/>
      <c r="CV336" s="24"/>
    </row>
    <row r="337" spans="1:100" ht="16.5" customHeight="1" x14ac:dyDescent="0.25">
      <c r="A337" s="833" t="s">
        <v>3206</v>
      </c>
      <c r="B337" s="206" t="s">
        <v>530</v>
      </c>
      <c r="C337" s="206" t="s">
        <v>454</v>
      </c>
      <c r="D337" s="206" t="s">
        <v>498</v>
      </c>
      <c r="E337" s="206" t="s">
        <v>645</v>
      </c>
      <c r="F337" s="206">
        <v>124</v>
      </c>
      <c r="G337" s="209">
        <v>704</v>
      </c>
      <c r="H337" s="206"/>
      <c r="I337" s="206" t="s">
        <v>388</v>
      </c>
      <c r="J337" s="207">
        <v>43145</v>
      </c>
      <c r="K337" s="206"/>
      <c r="L337" s="206"/>
      <c r="M337" s="208"/>
      <c r="N337" s="208"/>
      <c r="O337" s="316">
        <v>0</v>
      </c>
      <c r="P337" s="317">
        <v>1</v>
      </c>
      <c r="Q337" s="317">
        <v>0</v>
      </c>
      <c r="R337" s="318">
        <v>8</v>
      </c>
      <c r="S337" s="318">
        <v>1</v>
      </c>
      <c r="T337" s="318"/>
      <c r="U337" s="318"/>
      <c r="V337" s="318"/>
      <c r="W337" s="318"/>
      <c r="X337" s="318"/>
      <c r="Y337" s="318"/>
      <c r="Z337" s="318"/>
      <c r="AA337" s="310">
        <v>57</v>
      </c>
      <c r="AB337" s="310">
        <v>0</v>
      </c>
      <c r="AC337" s="66"/>
      <c r="AD337" s="66"/>
      <c r="AE337" s="310">
        <v>57</v>
      </c>
      <c r="AF337" s="310" t="s">
        <v>332</v>
      </c>
      <c r="AG337" s="311" t="s">
        <v>332</v>
      </c>
      <c r="AH337" s="311"/>
      <c r="AI337" s="310"/>
      <c r="AJ337" s="310" t="s">
        <v>2462</v>
      </c>
      <c r="AK337" s="841">
        <v>0</v>
      </c>
      <c r="AL337" s="842" t="s">
        <v>284</v>
      </c>
      <c r="AM337" s="842">
        <v>0</v>
      </c>
      <c r="AN337" s="863">
        <v>0</v>
      </c>
      <c r="AO337" s="863">
        <v>9</v>
      </c>
      <c r="AP337" s="843"/>
      <c r="AQ337" s="843"/>
      <c r="AR337" s="843"/>
      <c r="AS337" s="843"/>
      <c r="AT337" s="843"/>
      <c r="AU337" s="843"/>
      <c r="AV337" s="844"/>
      <c r="AW337" s="208" t="str">
        <f>IFERROR(WWWW[[#This Row],['# of Water passed at source]]/WWWW[[#This Row],['# of Water tested at source]],"no test")</f>
        <v>no test</v>
      </c>
      <c r="AX337" s="211" t="str">
        <f>IFERROR(WWWW[[#This Row],['# of Water passed at HH]]/WWWW[[#This Row],['# of Water tested at HH]],"no test")</f>
        <v>no test</v>
      </c>
      <c r="AY337" s="210" t="str">
        <f>IF(AND(WWWW[[#This Row],[%of Water samples which passed at water source]]="no test",WWWW[[#This Row],[%Water samples which passed at HH]]="no test"),"No Test","Tested")</f>
        <v>No Test</v>
      </c>
      <c r="AZ33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3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0.35511363636363635</v>
      </c>
      <c r="BB337" s="211">
        <f>IF(WWWW[[#This Row],[Location Type 1]]="Village",WWWW[[#This Row],[Access to safe drinking water for Village]],WWWW[[#This Row],[Access to safe drinking water for Camp]])</f>
        <v>0.35511363636363635</v>
      </c>
      <c r="BC337" s="209">
        <f>WWWW[[#This Row],[%Equitable and continuous access to sufficient quantity of safe drinking water]]*WWWW[[#This Row],[Total PoP ]]</f>
        <v>250</v>
      </c>
      <c r="BD337" s="211">
        <f>IF((WWWW[[#This Row],['# Existing protected/fenced ponds ]]*250)/WWWW[[#This Row],[Total PoP ]]&gt;1,1,WWWW[[#This Row],['# Existing protected/fenced ponds ]]*250/WWWW[[#This Row],[Total PoP ]])</f>
        <v>1</v>
      </c>
      <c r="BE337" s="209">
        <f>WWWW[[#This Row],[Access to unimproved water points]]*WWWW[[#This Row],[Total PoP ]]</f>
        <v>704</v>
      </c>
      <c r="BF33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3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704</v>
      </c>
      <c r="BH337" s="209">
        <f>WWWW[[#This Row],['#people Equitable and continuous access to sufficient quantity of domestic water borehole n ponds_2]]/500</f>
        <v>1.4079999999999999</v>
      </c>
      <c r="BI337" s="208">
        <f>1-WWWW[[#This Row],[%Equitable and continuous access to sufficient quantity of domestic water borehole n ponds]]</f>
        <v>0</v>
      </c>
      <c r="BJ337" s="209">
        <f>WWWW[[#This Row],[%equitable and continuous access to sufficient quantity of safe drinking and domestic water''s GAP]]*WWWW[[#This Row],[Total PoP ]]</f>
        <v>0</v>
      </c>
      <c r="BK337" s="210">
        <f>IF(WWWW[[#This Row],[Total required water points]]-WWWW[[#This Row],['#Water points coverage]]&lt;0,0,WWWW[[#This Row],[Total required water points]]-WWWW[[#This Row],['#Water points coverage]])</f>
        <v>0</v>
      </c>
      <c r="BL337" s="210">
        <f>ROUND(IF(WWWW[[#This Row],[Total PoP ]]&lt;500,1,WWWW[[#This Row],[Total PoP ]]/500),0)</f>
        <v>1</v>
      </c>
      <c r="BM337" s="210">
        <f>WWWW[[#This Row],['# Existing functional latrines]]+WWWW[[#This Row],['# Existing latrines dysfunctional]]</f>
        <v>57</v>
      </c>
      <c r="BN33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0.48579545454545453</v>
      </c>
      <c r="BO337" s="352">
        <f>WWWW[[#This Row],[% people access to functioning Latrine]]*WWWW[[#This Row],[Total PoP ]]</f>
        <v>342</v>
      </c>
      <c r="BP33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0.51136363636363635</v>
      </c>
      <c r="BQ337" s="209">
        <f>IF(WWWW[[#This Row],[Total required Latrines]]-WWWW[[#This Row],[Total '# of latrine]]&lt;0,0,WWWW[[#This Row],[Total required Latrines]]-WWWW[[#This Row],[Total '# of latrine]])</f>
        <v>60</v>
      </c>
      <c r="BR337" s="210">
        <f>ROUND(IF(WWWW[[#This Row],[Location Type 1]]="camp",WWWW[[#This Row],[Total PoP ]]/20,WWWW[[#This Row],[Total PoP ]]/6),0)</f>
        <v>117</v>
      </c>
      <c r="BS337" s="212">
        <f>IF(OR(WWWW[[#This Row],['# Existing latrines dysfunctional]]="",WWWW[[#This Row],['# Existing latrines dysfunctional]]=0),0,WWWW[[#This Row],['# Existing latrines dysfunctional]]/WWWW[[#This Row],[Total '# of latrine]])</f>
        <v>0</v>
      </c>
      <c r="BT33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7" s="209">
        <f>IF(500*WWWW[[#This Row],['# Hygiene Promoters ]]&gt;WWWW[[#This Row],[Total PoP ]],WWWW[[#This Row],[Total PoP ]],500*WWWW[[#This Row],['# Hygiene Promoters ]])</f>
        <v>704</v>
      </c>
      <c r="BV337" s="209">
        <f>IF(WWWW[[#This Row],[% of HH with access to Sanitary Pad]]&gt;=100%,1,0)</f>
        <v>0</v>
      </c>
      <c r="BW337" s="209">
        <f>IF(WWWW[[#This Row],[Total PoP ]]=0,0,IF(WWWW[[#This Row],['# Hygiene Promoters ]]=0,0,IF(WWWW[[#This Row],[Location Type 1]]="Village",IF(WWWW[[#This Row],[Total PoP ]]/WWWW[[#This Row],['# Hygiene Promoters ]]&lt;1000,1,0),IF(WWWW[[#This Row],[Total PoP ]]/WWWW[[#This Row],['# Hygiene Promoters ]]&lt;600,1,0))))</f>
        <v>1</v>
      </c>
      <c r="BX337" s="209">
        <f>IF(WWWW[[#This Row],[%HH with access to soap]]&gt;=100%,1,0)</f>
        <v>0</v>
      </c>
      <c r="BY337" s="209">
        <f>IF(WWWW[[#This Row],[% of HHs with access to Sanitary pad more than '#%]]+WWWW[[#This Row],[Ratio of Hyiene promoters to people less than '#]]+WWWW[[#This Row],[% of HHs with access to soap more than '#%]]&gt;=2,WWWW[[#This Row],[Total PoP ]],0)</f>
        <v>0</v>
      </c>
      <c r="BZ337" s="208">
        <f>WWWW[[#This Row],[People adopt basic personal and community hygiene practices]]/WWWW[[#This Row],[Total PoP ]]</f>
        <v>0</v>
      </c>
      <c r="CA337" s="212">
        <f>1-WWWW[[#This Row],[Hygiene Coverage%]]</f>
        <v>1</v>
      </c>
      <c r="CB337" s="211">
        <f>WWWW[[#This Row],['# people reached by regular dedicated hygiene promotion_5]]/WWWW[[#This Row],[Total PoP ]]</f>
        <v>1</v>
      </c>
      <c r="CC337" s="211">
        <f>IF(WWWW[[#This Row],['# HH received soaps]]/WWWW[[#This Row],[Total HH]]&gt;1,1,WWWW[[#This Row],['# HH received soaps]]/WWWW[[#This Row],[Total HH]])</f>
        <v>0</v>
      </c>
      <c r="CD337" s="211">
        <f>IF(WWWW[[#This Row],['# HH received Sanitary Pads]]/WWWW[[#This Row],[Total HH]]&gt;1,1,WWWW[[#This Row],['# HH received Sanitary Pads]]/WWWW[[#This Row],[Total HH]])</f>
        <v>0</v>
      </c>
      <c r="CE337" s="210">
        <f>WWWW[[#This Row],['# HH received soaps]]*5</f>
        <v>0</v>
      </c>
      <c r="CF337" s="210">
        <f>WWWW[[#This Row],['# HH received Sanitary Pads]]*5</f>
        <v>0</v>
      </c>
      <c r="CG337" s="210">
        <f>IF(WWWW[[#This Row],['# People with access to soap]]&gt;WWWW[[#This Row],['# People with access to Sanity Pads]],WWWW[[#This Row],['# People with access to soap]],WWWW[[#This Row],['# People with access to Sanity Pads]])</f>
        <v>0</v>
      </c>
      <c r="CH337" s="209">
        <f>WWWW[[#This Row],[Total HH]]*WWWW[[#This Row],[%HHs with access to functional hand washing stations]]</f>
        <v>0</v>
      </c>
      <c r="CI337" s="699">
        <f>VLOOKUP(WWWW[[#This Row],[Site Name]],SiteDB6[[Site Name]:[CCCM Management]],6,FALSE)</f>
        <v>0</v>
      </c>
      <c r="CJ337" s="699">
        <f>VLOOKUP(WWWW[[#This Row],[Site Name]],SiteDB6[[Site Name]:[CCCM Focal Agency]],7,FALSE)</f>
        <v>0</v>
      </c>
      <c r="CK337" s="699" t="str">
        <f>VLOOKUP(WWWW[[#This Row],[Site Name]],SiteDB6[[Site Name]:[Location Type]],8,FALSE)</f>
        <v>Village</v>
      </c>
      <c r="CL337" s="699" t="str">
        <f>VLOOKUP(WWWW[[#This Row],[Site Name]],SiteDB6[[Site Name]:[Location Type 1]],9,FALSE)</f>
        <v>Village</v>
      </c>
      <c r="CM337" s="699" t="str">
        <f>VLOOKUP(WWWW[[#This Row],[Site Name]],SiteDB6[[Site Name]:[Type of Accommodation]],10,FALSE)</f>
        <v>Village</v>
      </c>
      <c r="CN337" s="699" t="str">
        <f>VLOOKUP(WWWW[[#This Row],[Site Name]],SiteDB6[[Site Name]:[Ethnic or GCA/NGCA]],11,FALSE)</f>
        <v>Rakhine</v>
      </c>
      <c r="CO337" s="699">
        <f>VLOOKUP(WWWW[[#This Row],[Site Name]],SiteDB6[[Site Name]:[Lat]],12,FALSE)</f>
        <v>20.478969573974599</v>
      </c>
      <c r="CP337" s="699">
        <f>VLOOKUP(WWWW[[#This Row],[Site Name]],SiteDB6[[Site Name]:[Long]],13,FALSE)</f>
        <v>92.683746337890597</v>
      </c>
      <c r="CQ337" s="699">
        <f>VLOOKUP(WWWW[[#This Row],[Site Name]],SiteDB6[[Site Name]:[Pcode]],3,FALSE)</f>
        <v>197617</v>
      </c>
      <c r="CR337" s="660" t="str">
        <f t="shared" si="7"/>
        <v>Covered</v>
      </c>
      <c r="CS337" s="660"/>
      <c r="CT337" s="24"/>
      <c r="CU337" s="24"/>
      <c r="CV337" s="24"/>
    </row>
    <row r="338" spans="1:100" ht="16.5" customHeight="1" x14ac:dyDescent="0.25">
      <c r="A338" s="833" t="s">
        <v>3206</v>
      </c>
      <c r="B338" s="206" t="s">
        <v>530</v>
      </c>
      <c r="C338" s="206" t="s">
        <v>454</v>
      </c>
      <c r="D338" s="206" t="s">
        <v>498</v>
      </c>
      <c r="E338" s="206" t="s">
        <v>642</v>
      </c>
      <c r="F338" s="206">
        <v>20</v>
      </c>
      <c r="G338" s="209">
        <v>62</v>
      </c>
      <c r="H338" s="206"/>
      <c r="I338" s="206" t="s">
        <v>388</v>
      </c>
      <c r="J338" s="207">
        <v>43145</v>
      </c>
      <c r="K338" s="206"/>
      <c r="L338" s="206"/>
      <c r="M338" s="208"/>
      <c r="N338" s="208"/>
      <c r="O338" s="323">
        <v>0</v>
      </c>
      <c r="P338" s="317">
        <v>0</v>
      </c>
      <c r="Q338" s="317">
        <v>0</v>
      </c>
      <c r="R338" s="318">
        <v>2</v>
      </c>
      <c r="S338" s="318">
        <v>1</v>
      </c>
      <c r="T338" s="318"/>
      <c r="U338" s="318"/>
      <c r="V338" s="318"/>
      <c r="W338" s="318"/>
      <c r="X338" s="318"/>
      <c r="Y338" s="318"/>
      <c r="Z338" s="318"/>
      <c r="AA338" s="310">
        <v>10</v>
      </c>
      <c r="AB338" s="310">
        <v>0</v>
      </c>
      <c r="AC338" s="310"/>
      <c r="AD338" s="66"/>
      <c r="AE338" s="310">
        <v>10</v>
      </c>
      <c r="AF338" s="310" t="s">
        <v>332</v>
      </c>
      <c r="AG338" s="311" t="s">
        <v>332</v>
      </c>
      <c r="AH338" s="66"/>
      <c r="AI338" s="66"/>
      <c r="AJ338" s="310" t="s">
        <v>2462</v>
      </c>
      <c r="AK338" s="841">
        <v>0</v>
      </c>
      <c r="AL338" s="842" t="s">
        <v>284</v>
      </c>
      <c r="AM338" s="842">
        <v>0</v>
      </c>
      <c r="AN338" s="863">
        <v>0</v>
      </c>
      <c r="AO338" s="863">
        <v>9</v>
      </c>
      <c r="AP338" s="843"/>
      <c r="AQ338" s="843"/>
      <c r="AR338" s="843"/>
      <c r="AS338" s="843"/>
      <c r="AT338" s="843"/>
      <c r="AU338" s="843"/>
      <c r="AV338" s="844"/>
      <c r="AW338" s="208" t="str">
        <f>IFERROR(WWWW[[#This Row],['# of Water passed at source]]/WWWW[[#This Row],['# of Water tested at source]],"no test")</f>
        <v>no test</v>
      </c>
      <c r="AX338" s="211" t="str">
        <f>IFERROR(WWWW[[#This Row],['# of Water passed at HH]]/WWWW[[#This Row],['# of Water tested at HH]],"no test")</f>
        <v>no test</v>
      </c>
      <c r="AY338" s="210" t="str">
        <f>IF(AND(WWWW[[#This Row],[%of Water samples which passed at water source]]="no test",WWWW[[#This Row],[%Water samples which passed at HH]]="no test"),"No Test","Tested")</f>
        <v>No Test</v>
      </c>
      <c r="AZ33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3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38" s="211">
        <f>IF(WWWW[[#This Row],[Location Type 1]]="Village",WWWW[[#This Row],[Access to safe drinking water for Village]],WWWW[[#This Row],[Access to safe drinking water for Camp]])</f>
        <v>0</v>
      </c>
      <c r="BC338" s="209">
        <f>WWWW[[#This Row],[%Equitable and continuous access to sufficient quantity of safe drinking water]]*WWWW[[#This Row],[Total PoP ]]</f>
        <v>0</v>
      </c>
      <c r="BD338" s="211">
        <f>IF((WWWW[[#This Row],['# Existing protected/fenced ponds ]]*250)/WWWW[[#This Row],[Total PoP ]]&gt;1,1,WWWW[[#This Row],['# Existing protected/fenced ponds ]]*250/WWWW[[#This Row],[Total PoP ]])</f>
        <v>1</v>
      </c>
      <c r="BE338" s="209">
        <f>WWWW[[#This Row],[Access to unimproved water points]]*WWWW[[#This Row],[Total PoP ]]</f>
        <v>62</v>
      </c>
      <c r="BF33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3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62</v>
      </c>
      <c r="BH338" s="209">
        <f>WWWW[[#This Row],['#people Equitable and continuous access to sufficient quantity of domestic water borehole n ponds_2]]/500</f>
        <v>0.124</v>
      </c>
      <c r="BI338" s="208">
        <f>1-WWWW[[#This Row],[%Equitable and continuous access to sufficient quantity of domestic water borehole n ponds]]</f>
        <v>0</v>
      </c>
      <c r="BJ338" s="209">
        <f>WWWW[[#This Row],[%equitable and continuous access to sufficient quantity of safe drinking and domestic water''s GAP]]*WWWW[[#This Row],[Total PoP ]]</f>
        <v>0</v>
      </c>
      <c r="BK338" s="210">
        <f>IF(WWWW[[#This Row],[Total required water points]]-WWWW[[#This Row],['#Water points coverage]]&lt;0,0,WWWW[[#This Row],[Total required water points]]-WWWW[[#This Row],['#Water points coverage]])</f>
        <v>0.876</v>
      </c>
      <c r="BL338" s="210">
        <f>ROUND(IF(WWWW[[#This Row],[Total PoP ]]&lt;500,1,WWWW[[#This Row],[Total PoP ]]/500),0)</f>
        <v>1</v>
      </c>
      <c r="BM338" s="210">
        <f>WWWW[[#This Row],['# Existing functional latrines]]+WWWW[[#This Row],['# Existing latrines dysfunctional]]</f>
        <v>10</v>
      </c>
      <c r="BN33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0.967741935483871</v>
      </c>
      <c r="BO338" s="352">
        <f>WWWW[[#This Row],[% people access to functioning Latrine]]*WWWW[[#This Row],[Total PoP ]]</f>
        <v>60</v>
      </c>
      <c r="BP33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38" s="209">
        <f>IF(WWWW[[#This Row],[Total required Latrines]]-WWWW[[#This Row],[Total '# of latrine]]&lt;0,0,WWWW[[#This Row],[Total required Latrines]]-WWWW[[#This Row],[Total '# of latrine]])</f>
        <v>0</v>
      </c>
      <c r="BR338" s="210">
        <f>ROUND(IF(WWWW[[#This Row],[Location Type 1]]="camp",WWWW[[#This Row],[Total PoP ]]/20,WWWW[[#This Row],[Total PoP ]]/6),0)</f>
        <v>10</v>
      </c>
      <c r="BS338" s="212">
        <f>IF(OR(WWWW[[#This Row],['# Existing latrines dysfunctional]]="",WWWW[[#This Row],['# Existing latrines dysfunctional]]=0),0,WWWW[[#This Row],['# Existing latrines dysfunctional]]/WWWW[[#This Row],[Total '# of latrine]])</f>
        <v>0</v>
      </c>
      <c r="BT33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8" s="209">
        <f>IF(500*WWWW[[#This Row],['# Hygiene Promoters ]]&gt;WWWW[[#This Row],[Total PoP ]],WWWW[[#This Row],[Total PoP ]],500*WWWW[[#This Row],['# Hygiene Promoters ]])</f>
        <v>62</v>
      </c>
      <c r="BV338" s="209">
        <f>IF(WWWW[[#This Row],[% of HH with access to Sanitary Pad]]&gt;=100%,1,0)</f>
        <v>0</v>
      </c>
      <c r="BW338" s="209">
        <f>IF(WWWW[[#This Row],[Total PoP ]]=0,0,IF(WWWW[[#This Row],['# Hygiene Promoters ]]=0,0,IF(WWWW[[#This Row],[Location Type 1]]="Village",IF(WWWW[[#This Row],[Total PoP ]]/WWWW[[#This Row],['# Hygiene Promoters ]]&lt;1000,1,0),IF(WWWW[[#This Row],[Total PoP ]]/WWWW[[#This Row],['# Hygiene Promoters ]]&lt;600,1,0))))</f>
        <v>1</v>
      </c>
      <c r="BX338" s="209">
        <f>IF(WWWW[[#This Row],[%HH with access to soap]]&gt;=100%,1,0)</f>
        <v>0</v>
      </c>
      <c r="BY338" s="209">
        <f>IF(WWWW[[#This Row],[% of HHs with access to Sanitary pad more than '#%]]+WWWW[[#This Row],[Ratio of Hyiene promoters to people less than '#]]+WWWW[[#This Row],[% of HHs with access to soap more than '#%]]&gt;=2,WWWW[[#This Row],[Total PoP ]],0)</f>
        <v>0</v>
      </c>
      <c r="BZ338" s="208">
        <f>WWWW[[#This Row],[People adopt basic personal and community hygiene practices]]/WWWW[[#This Row],[Total PoP ]]</f>
        <v>0</v>
      </c>
      <c r="CA338" s="212">
        <f>1-WWWW[[#This Row],[Hygiene Coverage%]]</f>
        <v>1</v>
      </c>
      <c r="CB338" s="211">
        <f>WWWW[[#This Row],['# people reached by regular dedicated hygiene promotion_5]]/WWWW[[#This Row],[Total PoP ]]</f>
        <v>1</v>
      </c>
      <c r="CC338" s="211">
        <f>IF(WWWW[[#This Row],['# HH received soaps]]/WWWW[[#This Row],[Total HH]]&gt;1,1,WWWW[[#This Row],['# HH received soaps]]/WWWW[[#This Row],[Total HH]])</f>
        <v>0</v>
      </c>
      <c r="CD338" s="211">
        <f>IF(WWWW[[#This Row],['# HH received Sanitary Pads]]/WWWW[[#This Row],[Total HH]]&gt;1,1,WWWW[[#This Row],['# HH received Sanitary Pads]]/WWWW[[#This Row],[Total HH]])</f>
        <v>0</v>
      </c>
      <c r="CE338" s="210">
        <f>WWWW[[#This Row],['# HH received soaps]]*5</f>
        <v>0</v>
      </c>
      <c r="CF338" s="210">
        <f>WWWW[[#This Row],['# HH received Sanitary Pads]]*5</f>
        <v>0</v>
      </c>
      <c r="CG338" s="210">
        <f>IF(WWWW[[#This Row],['# People with access to soap]]&gt;WWWW[[#This Row],['# People with access to Sanity Pads]],WWWW[[#This Row],['# People with access to soap]],WWWW[[#This Row],['# People with access to Sanity Pads]])</f>
        <v>0</v>
      </c>
      <c r="CH338" s="209">
        <f>WWWW[[#This Row],[Total HH]]*WWWW[[#This Row],[%HHs with access to functional hand washing stations]]</f>
        <v>0</v>
      </c>
      <c r="CI338" s="699">
        <f>VLOOKUP(WWWW[[#This Row],[Site Name]],SiteDB6[[Site Name]:[CCCM Management]],6,FALSE)</f>
        <v>0</v>
      </c>
      <c r="CJ338" s="699">
        <f>VLOOKUP(WWWW[[#This Row],[Site Name]],SiteDB6[[Site Name]:[CCCM Focal Agency]],7,FALSE)</f>
        <v>0</v>
      </c>
      <c r="CK338" s="699" t="str">
        <f>VLOOKUP(WWWW[[#This Row],[Site Name]],SiteDB6[[Site Name]:[Location Type]],8,FALSE)</f>
        <v>Village</v>
      </c>
      <c r="CL338" s="699" t="str">
        <f>VLOOKUP(WWWW[[#This Row],[Site Name]],SiteDB6[[Site Name]:[Location Type 1]],9,FALSE)</f>
        <v>Village</v>
      </c>
      <c r="CM338" s="699" t="str">
        <f>VLOOKUP(WWWW[[#This Row],[Site Name]],SiteDB6[[Site Name]:[Type of Accommodation]],10,FALSE)</f>
        <v>Village</v>
      </c>
      <c r="CN338" s="699" t="str">
        <f>VLOOKUP(WWWW[[#This Row],[Site Name]],SiteDB6[[Site Name]:[Ethnic or GCA/NGCA]],11,FALSE)</f>
        <v>Rakhine</v>
      </c>
      <c r="CO338" s="699">
        <f>VLOOKUP(WWWW[[#This Row],[Site Name]],SiteDB6[[Site Name]:[Lat]],12,FALSE)</f>
        <v>20.46994972229</v>
      </c>
      <c r="CP338" s="699">
        <f>VLOOKUP(WWWW[[#This Row],[Site Name]],SiteDB6[[Site Name]:[Long]],13,FALSE)</f>
        <v>92.676437377929702</v>
      </c>
      <c r="CQ338" s="699">
        <f>VLOOKUP(WWWW[[#This Row],[Site Name]],SiteDB6[[Site Name]:[Pcode]],3,FALSE)</f>
        <v>197632</v>
      </c>
      <c r="CR338" s="660" t="str">
        <f t="shared" si="7"/>
        <v>Covered</v>
      </c>
      <c r="CS338" s="699"/>
      <c r="CT338" s="24"/>
      <c r="CU338" s="24"/>
      <c r="CV338" s="24"/>
    </row>
    <row r="339" spans="1:100" ht="16.5" customHeight="1" x14ac:dyDescent="0.25">
      <c r="A339" s="833" t="s">
        <v>3206</v>
      </c>
      <c r="B339" s="206" t="s">
        <v>447</v>
      </c>
      <c r="C339" s="206" t="s">
        <v>454</v>
      </c>
      <c r="D339" s="206" t="s">
        <v>455</v>
      </c>
      <c r="E339" s="206" t="s">
        <v>614</v>
      </c>
      <c r="F339" s="206">
        <v>292</v>
      </c>
      <c r="G339" s="209">
        <v>1414</v>
      </c>
      <c r="H339" s="206"/>
      <c r="I339" s="206" t="s">
        <v>449</v>
      </c>
      <c r="J339" s="207">
        <v>43356</v>
      </c>
      <c r="K339" s="206">
        <v>0</v>
      </c>
      <c r="L339" s="206" t="s">
        <v>282</v>
      </c>
      <c r="M339" s="208">
        <v>0</v>
      </c>
      <c r="N339" s="208">
        <v>0</v>
      </c>
      <c r="O339" s="316">
        <v>7</v>
      </c>
      <c r="P339" s="317">
        <v>48</v>
      </c>
      <c r="Q339" s="317">
        <v>0</v>
      </c>
      <c r="R339" s="318">
        <v>0</v>
      </c>
      <c r="S339" s="318">
        <v>2</v>
      </c>
      <c r="T339" s="318"/>
      <c r="U339" s="318">
        <v>0</v>
      </c>
      <c r="V339" s="318">
        <v>0</v>
      </c>
      <c r="W339" s="318">
        <v>0</v>
      </c>
      <c r="X339" s="318">
        <v>0</v>
      </c>
      <c r="Y339" s="318">
        <v>0</v>
      </c>
      <c r="Z339" s="318"/>
      <c r="AA339" s="310">
        <v>88</v>
      </c>
      <c r="AB339" s="310">
        <v>0</v>
      </c>
      <c r="AC339" s="66">
        <v>0</v>
      </c>
      <c r="AD339" s="66"/>
      <c r="AE339" s="310">
        <v>88</v>
      </c>
      <c r="AF339" s="310" t="s">
        <v>286</v>
      </c>
      <c r="AG339" s="311" t="s">
        <v>286</v>
      </c>
      <c r="AH339" s="311">
        <v>0</v>
      </c>
      <c r="AI339" s="310">
        <v>0</v>
      </c>
      <c r="AJ339" s="310"/>
      <c r="AK339" s="841">
        <v>0</v>
      </c>
      <c r="AL339" s="842" t="s">
        <v>284</v>
      </c>
      <c r="AM339" s="842">
        <v>0</v>
      </c>
      <c r="AN339" s="863">
        <v>0</v>
      </c>
      <c r="AO339" s="863">
        <v>1</v>
      </c>
      <c r="AP339" s="843">
        <v>0</v>
      </c>
      <c r="AQ339" s="843">
        <v>0</v>
      </c>
      <c r="AR339" s="843"/>
      <c r="AS339" s="843"/>
      <c r="AT339" s="843"/>
      <c r="AU339" s="843"/>
      <c r="AV339" s="844"/>
      <c r="AW339" s="208" t="str">
        <f>IFERROR(WWWW[[#This Row],['# of Water passed at source]]/WWWW[[#This Row],['# of Water tested at source]],"no test")</f>
        <v>no test</v>
      </c>
      <c r="AX339" s="211" t="str">
        <f>IFERROR(WWWW[[#This Row],['# of Water passed at HH]]/WWWW[[#This Row],['# of Water tested at HH]],"no test")</f>
        <v>no test</v>
      </c>
      <c r="AY339" s="210" t="str">
        <f>IF(AND(WWWW[[#This Row],[%of Water samples which passed at water source]]="no test",WWWW[[#This Row],[%Water samples which passed at HH]]="no test"),"No Test","Tested")</f>
        <v>No Test</v>
      </c>
      <c r="AZ33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3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39" s="211">
        <f>IF(WWWW[[#This Row],[Location Type 1]]="Village",WWWW[[#This Row],[Access to safe drinking water for Village]],WWWW[[#This Row],[Access to safe drinking water for Camp]])</f>
        <v>1</v>
      </c>
      <c r="BC339" s="209">
        <f>WWWW[[#This Row],[%Equitable and continuous access to sufficient quantity of safe drinking water]]*WWWW[[#This Row],[Total PoP ]]</f>
        <v>1414</v>
      </c>
      <c r="BD339" s="211">
        <f>IF((WWWW[[#This Row],['# Existing protected/fenced ponds ]]*250)/WWWW[[#This Row],[Total PoP ]]&gt;1,1,WWWW[[#This Row],['# Existing protected/fenced ponds ]]*250/WWWW[[#This Row],[Total PoP ]])</f>
        <v>0</v>
      </c>
      <c r="BE339" s="209">
        <f>WWWW[[#This Row],[Access to unimproved water points]]*WWWW[[#This Row],[Total PoP ]]</f>
        <v>0</v>
      </c>
      <c r="BF33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3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1414</v>
      </c>
      <c r="BH339" s="209">
        <f>WWWW[[#This Row],['#people Equitable and continuous access to sufficient quantity of domestic water borehole n ponds_2]]/500</f>
        <v>2.8279999999999998</v>
      </c>
      <c r="BI339" s="208">
        <f>1-WWWW[[#This Row],[%Equitable and continuous access to sufficient quantity of domestic water borehole n ponds]]</f>
        <v>0</v>
      </c>
      <c r="BJ339" s="209">
        <f>WWWW[[#This Row],[%equitable and continuous access to sufficient quantity of safe drinking and domestic water''s GAP]]*WWWW[[#This Row],[Total PoP ]]</f>
        <v>0</v>
      </c>
      <c r="BK339" s="210">
        <f>IF(WWWW[[#This Row],[Total required water points]]-WWWW[[#This Row],['#Water points coverage]]&lt;0,0,WWWW[[#This Row],[Total required water points]]-WWWW[[#This Row],['#Water points coverage]])</f>
        <v>0.17200000000000015</v>
      </c>
      <c r="BL339" s="210">
        <f>ROUND(IF(WWWW[[#This Row],[Total PoP ]]&lt;500,1,WWWW[[#This Row],[Total PoP ]]/500),0)</f>
        <v>3</v>
      </c>
      <c r="BM339" s="210">
        <f>WWWW[[#This Row],['# Existing functional latrines]]+WWWW[[#This Row],['# Existing latrines dysfunctional]]</f>
        <v>88</v>
      </c>
      <c r="BN33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0.37340876944837342</v>
      </c>
      <c r="BO339" s="352">
        <f>WWWW[[#This Row],[% people access to functioning Latrine]]*WWWW[[#This Row],[Total PoP ]]</f>
        <v>528</v>
      </c>
      <c r="BP33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0.62800565770862804</v>
      </c>
      <c r="BQ339" s="209">
        <f>IF(WWWW[[#This Row],[Total required Latrines]]-WWWW[[#This Row],[Total '# of latrine]]&lt;0,0,WWWW[[#This Row],[Total required Latrines]]-WWWW[[#This Row],[Total '# of latrine]])</f>
        <v>148</v>
      </c>
      <c r="BR339" s="210">
        <f>ROUND(IF(WWWW[[#This Row],[Location Type 1]]="camp",WWWW[[#This Row],[Total PoP ]]/20,WWWW[[#This Row],[Total PoP ]]/6),0)</f>
        <v>236</v>
      </c>
      <c r="BS339" s="212">
        <f>IF(OR(WWWW[[#This Row],['# Existing latrines dysfunctional]]="",WWWW[[#This Row],['# Existing latrines dysfunctional]]=0),0,WWWW[[#This Row],['# Existing latrines dysfunctional]]/WWWW[[#This Row],[Total '# of latrine]])</f>
        <v>0</v>
      </c>
      <c r="BT33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39" s="209">
        <f>IF(500*WWWW[[#This Row],['# Hygiene Promoters ]]&gt;WWWW[[#This Row],[Total PoP ]],WWWW[[#This Row],[Total PoP ]],500*WWWW[[#This Row],['# Hygiene Promoters ]])</f>
        <v>500</v>
      </c>
      <c r="BV339" s="209">
        <f>IF(WWWW[[#This Row],[% of HH with access to Sanitary Pad]]&gt;=100%,1,0)</f>
        <v>0</v>
      </c>
      <c r="BW339" s="209">
        <f>IF(WWWW[[#This Row],[Total PoP ]]=0,0,IF(WWWW[[#This Row],['# Hygiene Promoters ]]=0,0,IF(WWWW[[#This Row],[Location Type 1]]="Village",IF(WWWW[[#This Row],[Total PoP ]]/WWWW[[#This Row],['# Hygiene Promoters ]]&lt;1000,1,0),IF(WWWW[[#This Row],[Total PoP ]]/WWWW[[#This Row],['# Hygiene Promoters ]]&lt;600,1,0))))</f>
        <v>0</v>
      </c>
      <c r="BX339" s="209">
        <f>IF(WWWW[[#This Row],[%HH with access to soap]]&gt;=100%,1,0)</f>
        <v>0</v>
      </c>
      <c r="BY339" s="209">
        <f>IF(WWWW[[#This Row],[% of HHs with access to Sanitary pad more than '#%]]+WWWW[[#This Row],[Ratio of Hyiene promoters to people less than '#]]+WWWW[[#This Row],[% of HHs with access to soap more than '#%]]&gt;=2,WWWW[[#This Row],[Total PoP ]],0)</f>
        <v>0</v>
      </c>
      <c r="BZ339" s="208">
        <f>WWWW[[#This Row],[People adopt basic personal and community hygiene practices]]/WWWW[[#This Row],[Total PoP ]]</f>
        <v>0</v>
      </c>
      <c r="CA339" s="212">
        <f>1-WWWW[[#This Row],[Hygiene Coverage%]]</f>
        <v>1</v>
      </c>
      <c r="CB339" s="211">
        <f>WWWW[[#This Row],['# people reached by regular dedicated hygiene promotion_5]]/WWWW[[#This Row],[Total PoP ]]</f>
        <v>0.3536067892503536</v>
      </c>
      <c r="CC339" s="211">
        <f>IF(WWWW[[#This Row],['# HH received soaps]]/WWWW[[#This Row],[Total HH]]&gt;1,1,WWWW[[#This Row],['# HH received soaps]]/WWWW[[#This Row],[Total HH]])</f>
        <v>0</v>
      </c>
      <c r="CD339" s="211">
        <f>IF(WWWW[[#This Row],['# HH received Sanitary Pads]]/WWWW[[#This Row],[Total HH]]&gt;1,1,WWWW[[#This Row],['# HH received Sanitary Pads]]/WWWW[[#This Row],[Total HH]])</f>
        <v>0</v>
      </c>
      <c r="CE339" s="210">
        <f>WWWW[[#This Row],['# HH received soaps]]*5</f>
        <v>0</v>
      </c>
      <c r="CF339" s="210">
        <f>WWWW[[#This Row],['# HH received Sanitary Pads]]*5</f>
        <v>0</v>
      </c>
      <c r="CG339" s="210">
        <f>IF(WWWW[[#This Row],['# People with access to soap]]&gt;WWWW[[#This Row],['# People with access to Sanity Pads]],WWWW[[#This Row],['# People with access to soap]],WWWW[[#This Row],['# People with access to Sanity Pads]])</f>
        <v>0</v>
      </c>
      <c r="CH339" s="209">
        <f>WWWW[[#This Row],[Total HH]]*WWWW[[#This Row],[%HHs with access to functional hand washing stations]]</f>
        <v>0</v>
      </c>
      <c r="CI339" s="699">
        <f>VLOOKUP(WWWW[[#This Row],[Site Name]],SiteDB6[[Site Name]:[CCCM Management]],6,FALSE)</f>
        <v>0</v>
      </c>
      <c r="CJ339" s="699">
        <f>VLOOKUP(WWWW[[#This Row],[Site Name]],SiteDB6[[Site Name]:[CCCM Focal Agency]],7,FALSE)</f>
        <v>0</v>
      </c>
      <c r="CK339" s="699" t="str">
        <f>VLOOKUP(WWWW[[#This Row],[Site Name]],SiteDB6[[Site Name]:[Location Type]],8,FALSE)</f>
        <v>Village</v>
      </c>
      <c r="CL339" s="699" t="str">
        <f>VLOOKUP(WWWW[[#This Row],[Site Name]],SiteDB6[[Site Name]:[Location Type 1]],9,FALSE)</f>
        <v>Village</v>
      </c>
      <c r="CM339" s="699" t="str">
        <f>VLOOKUP(WWWW[[#This Row],[Site Name]],SiteDB6[[Site Name]:[Type of Accommodation]],10,FALSE)</f>
        <v>Village</v>
      </c>
      <c r="CN339" s="699" t="str">
        <f>VLOOKUP(WWWW[[#This Row],[Site Name]],SiteDB6[[Site Name]:[Ethnic or GCA/NGCA]],11,FALSE)</f>
        <v>Muslim</v>
      </c>
      <c r="CO339" s="699">
        <f>VLOOKUP(WWWW[[#This Row],[Site Name]],SiteDB6[[Site Name]:[Lat]],12,FALSE)</f>
        <v>20.235199999999999</v>
      </c>
      <c r="CP339" s="699">
        <f>VLOOKUP(WWWW[[#This Row],[Site Name]],SiteDB6[[Site Name]:[Long]],13,FALSE)</f>
        <v>92.805000000000007</v>
      </c>
      <c r="CQ339" s="699" t="str">
        <f>VLOOKUP(WWWW[[#This Row],[Site Name]],SiteDB6[[Site Name]:[Pcode]],3,FALSE)</f>
        <v>196143</v>
      </c>
      <c r="CR339" s="660" t="str">
        <f t="shared" si="7"/>
        <v>Covered</v>
      </c>
      <c r="CS339" s="660"/>
      <c r="CT339" s="24"/>
      <c r="CU339" s="24"/>
      <c r="CV339" s="24"/>
    </row>
    <row r="340" spans="1:100" ht="16.5" customHeight="1" x14ac:dyDescent="0.25">
      <c r="A340" s="833" t="s">
        <v>3206</v>
      </c>
      <c r="B340" s="206" t="s">
        <v>447</v>
      </c>
      <c r="C340" s="206" t="s">
        <v>454</v>
      </c>
      <c r="D340" s="206" t="s">
        <v>455</v>
      </c>
      <c r="E340" s="206" t="s">
        <v>615</v>
      </c>
      <c r="F340" s="206">
        <v>380</v>
      </c>
      <c r="G340" s="209">
        <v>1813</v>
      </c>
      <c r="H340" s="206"/>
      <c r="I340" s="206" t="s">
        <v>449</v>
      </c>
      <c r="J340" s="207">
        <v>43356</v>
      </c>
      <c r="K340" s="206">
        <v>0</v>
      </c>
      <c r="L340" s="206" t="s">
        <v>282</v>
      </c>
      <c r="M340" s="208">
        <v>0</v>
      </c>
      <c r="N340" s="208">
        <v>0</v>
      </c>
      <c r="O340" s="316">
        <v>8</v>
      </c>
      <c r="P340" s="317">
        <v>30</v>
      </c>
      <c r="Q340" s="317">
        <v>0</v>
      </c>
      <c r="R340" s="318">
        <v>0</v>
      </c>
      <c r="S340" s="318">
        <v>3</v>
      </c>
      <c r="T340" s="318"/>
      <c r="U340" s="318">
        <v>0</v>
      </c>
      <c r="V340" s="318">
        <v>0</v>
      </c>
      <c r="W340" s="318">
        <v>0</v>
      </c>
      <c r="X340" s="318">
        <v>0</v>
      </c>
      <c r="Y340" s="318">
        <v>0</v>
      </c>
      <c r="Z340" s="318"/>
      <c r="AA340" s="310">
        <v>114</v>
      </c>
      <c r="AB340" s="310">
        <v>0</v>
      </c>
      <c r="AC340" s="66">
        <v>0</v>
      </c>
      <c r="AD340" s="66"/>
      <c r="AE340" s="310">
        <v>114</v>
      </c>
      <c r="AF340" s="310" t="s">
        <v>286</v>
      </c>
      <c r="AG340" s="311" t="s">
        <v>286</v>
      </c>
      <c r="AH340" s="311">
        <v>0</v>
      </c>
      <c r="AI340" s="310">
        <v>0</v>
      </c>
      <c r="AJ340" s="310"/>
      <c r="AK340" s="841">
        <v>0</v>
      </c>
      <c r="AL340" s="842" t="s">
        <v>284</v>
      </c>
      <c r="AM340" s="842">
        <v>0</v>
      </c>
      <c r="AN340" s="863">
        <v>0</v>
      </c>
      <c r="AO340" s="863">
        <v>1</v>
      </c>
      <c r="AP340" s="843">
        <v>0</v>
      </c>
      <c r="AQ340" s="843">
        <v>0</v>
      </c>
      <c r="AR340" s="843"/>
      <c r="AS340" s="843"/>
      <c r="AT340" s="843"/>
      <c r="AU340" s="843"/>
      <c r="AV340" s="844"/>
      <c r="AW340" s="208" t="str">
        <f>IFERROR(WWWW[[#This Row],['# of Water passed at source]]/WWWW[[#This Row],['# of Water tested at source]],"no test")</f>
        <v>no test</v>
      </c>
      <c r="AX340" s="211" t="str">
        <f>IFERROR(WWWW[[#This Row],['# of Water passed at HH]]/WWWW[[#This Row],['# of Water tested at HH]],"no test")</f>
        <v>no test</v>
      </c>
      <c r="AY340" s="210" t="str">
        <f>IF(AND(WWWW[[#This Row],[%of Water samples which passed at water source]]="no test",WWWW[[#This Row],[%Water samples which passed at HH]]="no test"),"No Test","Tested")</f>
        <v>No Test</v>
      </c>
      <c r="AZ34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4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40" s="211">
        <f>IF(WWWW[[#This Row],[Location Type 1]]="Village",WWWW[[#This Row],[Access to safe drinking water for Village]],WWWW[[#This Row],[Access to safe drinking water for Camp]])</f>
        <v>1</v>
      </c>
      <c r="BC340" s="209">
        <f>WWWW[[#This Row],[%Equitable and continuous access to sufficient quantity of safe drinking water]]*WWWW[[#This Row],[Total PoP ]]</f>
        <v>1813</v>
      </c>
      <c r="BD340" s="211">
        <f>IF((WWWW[[#This Row],['# Existing protected/fenced ponds ]]*250)/WWWW[[#This Row],[Total PoP ]]&gt;1,1,WWWW[[#This Row],['# Existing protected/fenced ponds ]]*250/WWWW[[#This Row],[Total PoP ]])</f>
        <v>0</v>
      </c>
      <c r="BE340" s="209">
        <f>WWWW[[#This Row],[Access to unimproved water points]]*WWWW[[#This Row],[Total PoP ]]</f>
        <v>0</v>
      </c>
      <c r="BF34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4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1813</v>
      </c>
      <c r="BH340" s="209">
        <f>WWWW[[#This Row],['#people Equitable and continuous access to sufficient quantity of domestic water borehole n ponds_2]]/500</f>
        <v>3.6259999999999999</v>
      </c>
      <c r="BI340" s="208">
        <f>1-WWWW[[#This Row],[%Equitable and continuous access to sufficient quantity of domestic water borehole n ponds]]</f>
        <v>0</v>
      </c>
      <c r="BJ340" s="209">
        <f>WWWW[[#This Row],[%equitable and continuous access to sufficient quantity of safe drinking and domestic water''s GAP]]*WWWW[[#This Row],[Total PoP ]]</f>
        <v>0</v>
      </c>
      <c r="BK340" s="210">
        <f>IF(WWWW[[#This Row],[Total required water points]]-WWWW[[#This Row],['#Water points coverage]]&lt;0,0,WWWW[[#This Row],[Total required water points]]-WWWW[[#This Row],['#Water points coverage]])</f>
        <v>0.37400000000000011</v>
      </c>
      <c r="BL340" s="210">
        <f>ROUND(IF(WWWW[[#This Row],[Total PoP ]]&lt;500,1,WWWW[[#This Row],[Total PoP ]]/500),0)</f>
        <v>4</v>
      </c>
      <c r="BM340" s="210">
        <f>WWWW[[#This Row],['# Existing functional latrines]]+WWWW[[#This Row],['# Existing latrines dysfunctional]]</f>
        <v>114</v>
      </c>
      <c r="BN34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0.37727523441809158</v>
      </c>
      <c r="BO340" s="352">
        <f>WWWW[[#This Row],[% people access to functioning Latrine]]*WWWW[[#This Row],[Total PoP ]]</f>
        <v>684</v>
      </c>
      <c r="BP34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0.62217319360176504</v>
      </c>
      <c r="BQ340" s="209">
        <f>IF(WWWW[[#This Row],[Total required Latrines]]-WWWW[[#This Row],[Total '# of latrine]]&lt;0,0,WWWW[[#This Row],[Total required Latrines]]-WWWW[[#This Row],[Total '# of latrine]])</f>
        <v>188</v>
      </c>
      <c r="BR340" s="210">
        <f>ROUND(IF(WWWW[[#This Row],[Location Type 1]]="camp",WWWW[[#This Row],[Total PoP ]]/20,WWWW[[#This Row],[Total PoP ]]/6),0)</f>
        <v>302</v>
      </c>
      <c r="BS340" s="212">
        <f>IF(OR(WWWW[[#This Row],['# Existing latrines dysfunctional]]="",WWWW[[#This Row],['# Existing latrines dysfunctional]]=0),0,WWWW[[#This Row],['# Existing latrines dysfunctional]]/WWWW[[#This Row],[Total '# of latrine]])</f>
        <v>0</v>
      </c>
      <c r="BT34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40" s="209">
        <f>IF(500*WWWW[[#This Row],['# Hygiene Promoters ]]&gt;WWWW[[#This Row],[Total PoP ]],WWWW[[#This Row],[Total PoP ]],500*WWWW[[#This Row],['# Hygiene Promoters ]])</f>
        <v>500</v>
      </c>
      <c r="BV340" s="209">
        <f>IF(WWWW[[#This Row],[% of HH with access to Sanitary Pad]]&gt;=100%,1,0)</f>
        <v>0</v>
      </c>
      <c r="BW340" s="209">
        <f>IF(WWWW[[#This Row],[Total PoP ]]=0,0,IF(WWWW[[#This Row],['# Hygiene Promoters ]]=0,0,IF(WWWW[[#This Row],[Location Type 1]]="Village",IF(WWWW[[#This Row],[Total PoP ]]/WWWW[[#This Row],['# Hygiene Promoters ]]&lt;1000,1,0),IF(WWWW[[#This Row],[Total PoP ]]/WWWW[[#This Row],['# Hygiene Promoters ]]&lt;600,1,0))))</f>
        <v>0</v>
      </c>
      <c r="BX340" s="209">
        <f>IF(WWWW[[#This Row],[%HH with access to soap]]&gt;=100%,1,0)</f>
        <v>0</v>
      </c>
      <c r="BY340" s="209">
        <f>IF(WWWW[[#This Row],[% of HHs with access to Sanitary pad more than '#%]]+WWWW[[#This Row],[Ratio of Hyiene promoters to people less than '#]]+WWWW[[#This Row],[% of HHs with access to soap more than '#%]]&gt;=2,WWWW[[#This Row],[Total PoP ]],0)</f>
        <v>0</v>
      </c>
      <c r="BZ340" s="208">
        <f>WWWW[[#This Row],[People adopt basic personal and community hygiene practices]]/WWWW[[#This Row],[Total PoP ]]</f>
        <v>0</v>
      </c>
      <c r="CA340" s="212">
        <f>1-WWWW[[#This Row],[Hygiene Coverage%]]</f>
        <v>1</v>
      </c>
      <c r="CB340" s="211">
        <f>WWWW[[#This Row],['# people reached by regular dedicated hygiene promotion_5]]/WWWW[[#This Row],[Total PoP ]]</f>
        <v>0.27578599007170435</v>
      </c>
      <c r="CC340" s="211">
        <f>IF(WWWW[[#This Row],['# HH received soaps]]/WWWW[[#This Row],[Total HH]]&gt;1,1,WWWW[[#This Row],['# HH received soaps]]/WWWW[[#This Row],[Total HH]])</f>
        <v>0</v>
      </c>
      <c r="CD340" s="211">
        <f>IF(WWWW[[#This Row],['# HH received Sanitary Pads]]/WWWW[[#This Row],[Total HH]]&gt;1,1,WWWW[[#This Row],['# HH received Sanitary Pads]]/WWWW[[#This Row],[Total HH]])</f>
        <v>0</v>
      </c>
      <c r="CE340" s="210">
        <f>WWWW[[#This Row],['# HH received soaps]]*5</f>
        <v>0</v>
      </c>
      <c r="CF340" s="210">
        <f>WWWW[[#This Row],['# HH received Sanitary Pads]]*5</f>
        <v>0</v>
      </c>
      <c r="CG340" s="210">
        <f>IF(WWWW[[#This Row],['# People with access to soap]]&gt;WWWW[[#This Row],['# People with access to Sanity Pads]],WWWW[[#This Row],['# People with access to soap]],WWWW[[#This Row],['# People with access to Sanity Pads]])</f>
        <v>0</v>
      </c>
      <c r="CH340" s="209">
        <f>WWWW[[#This Row],[Total HH]]*WWWW[[#This Row],[%HHs with access to functional hand washing stations]]</f>
        <v>0</v>
      </c>
      <c r="CI340" s="699">
        <f>VLOOKUP(WWWW[[#This Row],[Site Name]],SiteDB6[[Site Name]:[CCCM Management]],6,FALSE)</f>
        <v>0</v>
      </c>
      <c r="CJ340" s="699">
        <f>VLOOKUP(WWWW[[#This Row],[Site Name]],SiteDB6[[Site Name]:[CCCM Focal Agency]],7,FALSE)</f>
        <v>0</v>
      </c>
      <c r="CK340" s="699" t="str">
        <f>VLOOKUP(WWWW[[#This Row],[Site Name]],SiteDB6[[Site Name]:[Location Type]],8,FALSE)</f>
        <v>Village</v>
      </c>
      <c r="CL340" s="699" t="str">
        <f>VLOOKUP(WWWW[[#This Row],[Site Name]],SiteDB6[[Site Name]:[Location Type 1]],9,FALSE)</f>
        <v>Village</v>
      </c>
      <c r="CM340" s="699" t="str">
        <f>VLOOKUP(WWWW[[#This Row],[Site Name]],SiteDB6[[Site Name]:[Type of Accommodation]],10,FALSE)</f>
        <v>Village</v>
      </c>
      <c r="CN340" s="699" t="str">
        <f>VLOOKUP(WWWW[[#This Row],[Site Name]],SiteDB6[[Site Name]:[Ethnic or GCA/NGCA]],11,FALSE)</f>
        <v>Rakhine</v>
      </c>
      <c r="CO340" s="699">
        <f>VLOOKUP(WWWW[[#This Row],[Site Name]],SiteDB6[[Site Name]:[Lat]],12,FALSE)</f>
        <v>20.235199999999999</v>
      </c>
      <c r="CP340" s="699">
        <f>VLOOKUP(WWWW[[#This Row],[Site Name]],SiteDB6[[Site Name]:[Long]],13,FALSE)</f>
        <v>92.790199999999999</v>
      </c>
      <c r="CQ340" s="699" t="str">
        <f>VLOOKUP(WWWW[[#This Row],[Site Name]],SiteDB6[[Site Name]:[Pcode]],3,FALSE)</f>
        <v>196138</v>
      </c>
      <c r="CR340" s="660" t="str">
        <f t="shared" ref="CR340:CR371" si="8">IF(B340="none","Notcovered","Covered")</f>
        <v>Covered</v>
      </c>
      <c r="CS340" s="660"/>
      <c r="CT340" s="24"/>
      <c r="CU340" s="24"/>
      <c r="CV340" s="24"/>
    </row>
    <row r="341" spans="1:100" ht="16.5" customHeight="1" x14ac:dyDescent="0.25">
      <c r="A341" s="833" t="s">
        <v>3206</v>
      </c>
      <c r="B341" s="206" t="s">
        <v>447</v>
      </c>
      <c r="C341" s="206" t="s">
        <v>454</v>
      </c>
      <c r="D341" s="206" t="s">
        <v>455</v>
      </c>
      <c r="E341" s="206" t="s">
        <v>575</v>
      </c>
      <c r="F341" s="206">
        <v>615</v>
      </c>
      <c r="G341" s="209">
        <v>2985</v>
      </c>
      <c r="H341" s="206"/>
      <c r="I341" s="206" t="s">
        <v>449</v>
      </c>
      <c r="J341" s="207">
        <v>43356</v>
      </c>
      <c r="K341" s="206">
        <v>0</v>
      </c>
      <c r="L341" s="206" t="s">
        <v>282</v>
      </c>
      <c r="M341" s="208">
        <v>0</v>
      </c>
      <c r="N341" s="208">
        <v>0</v>
      </c>
      <c r="O341" s="316">
        <v>9</v>
      </c>
      <c r="P341" s="317">
        <v>62</v>
      </c>
      <c r="Q341" s="317">
        <v>0</v>
      </c>
      <c r="R341" s="318">
        <v>0</v>
      </c>
      <c r="S341" s="318">
        <v>10</v>
      </c>
      <c r="T341" s="318"/>
      <c r="U341" s="318">
        <v>0</v>
      </c>
      <c r="V341" s="318">
        <v>0</v>
      </c>
      <c r="W341" s="318">
        <v>0</v>
      </c>
      <c r="X341" s="318">
        <v>0</v>
      </c>
      <c r="Y341" s="318">
        <v>0</v>
      </c>
      <c r="Z341" s="318"/>
      <c r="AA341" s="310">
        <v>2</v>
      </c>
      <c r="AB341" s="310">
        <v>0</v>
      </c>
      <c r="AC341" s="66">
        <v>0</v>
      </c>
      <c r="AD341" s="66"/>
      <c r="AE341" s="310">
        <v>150</v>
      </c>
      <c r="AF341" s="310" t="s">
        <v>286</v>
      </c>
      <c r="AG341" s="311" t="s">
        <v>286</v>
      </c>
      <c r="AH341" s="311">
        <v>0</v>
      </c>
      <c r="AI341" s="310">
        <v>0</v>
      </c>
      <c r="AJ341" s="310"/>
      <c r="AK341" s="841">
        <v>0</v>
      </c>
      <c r="AL341" s="842" t="s">
        <v>284</v>
      </c>
      <c r="AM341" s="842">
        <v>0</v>
      </c>
      <c r="AN341" s="863">
        <v>0</v>
      </c>
      <c r="AO341" s="863">
        <v>2</v>
      </c>
      <c r="AP341" s="843">
        <v>0</v>
      </c>
      <c r="AQ341" s="843">
        <v>0</v>
      </c>
      <c r="AR341" s="843"/>
      <c r="AS341" s="843"/>
      <c r="AT341" s="843"/>
      <c r="AU341" s="843"/>
      <c r="AV341" s="844"/>
      <c r="AW341" s="208" t="str">
        <f>IFERROR(WWWW[[#This Row],['# of Water passed at source]]/WWWW[[#This Row],['# of Water tested at source]],"no test")</f>
        <v>no test</v>
      </c>
      <c r="AX341" s="211" t="str">
        <f>IFERROR(WWWW[[#This Row],['# of Water passed at HH]]/WWWW[[#This Row],['# of Water tested at HH]],"no test")</f>
        <v>no test</v>
      </c>
      <c r="AY341" s="210" t="str">
        <f>IF(AND(WWWW[[#This Row],[%of Water samples which passed at water source]]="no test",WWWW[[#This Row],[%Water samples which passed at HH]]="no test"),"No Test","Tested")</f>
        <v>No Test</v>
      </c>
      <c r="AZ34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4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41" s="211">
        <f>IF(WWWW[[#This Row],[Location Type 1]]="Village",WWWW[[#This Row],[Access to safe drinking water for Village]],WWWW[[#This Row],[Access to safe drinking water for Camp]])</f>
        <v>1</v>
      </c>
      <c r="BC341" s="209">
        <f>WWWW[[#This Row],[%Equitable and continuous access to sufficient quantity of safe drinking water]]*WWWW[[#This Row],[Total PoP ]]</f>
        <v>2985</v>
      </c>
      <c r="BD341" s="211">
        <f>IF((WWWW[[#This Row],['# Existing protected/fenced ponds ]]*250)/WWWW[[#This Row],[Total PoP ]]&gt;1,1,WWWW[[#This Row],['# Existing protected/fenced ponds ]]*250/WWWW[[#This Row],[Total PoP ]])</f>
        <v>0</v>
      </c>
      <c r="BE341" s="209">
        <f>WWWW[[#This Row],[Access to unimproved water points]]*WWWW[[#This Row],[Total PoP ]]</f>
        <v>0</v>
      </c>
      <c r="BF34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4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2985</v>
      </c>
      <c r="BH341" s="209">
        <f>WWWW[[#This Row],['#people Equitable and continuous access to sufficient quantity of domestic water borehole n ponds_2]]/500</f>
        <v>5.97</v>
      </c>
      <c r="BI341" s="208">
        <f>1-WWWW[[#This Row],[%Equitable and continuous access to sufficient quantity of domestic water borehole n ponds]]</f>
        <v>0</v>
      </c>
      <c r="BJ341" s="209">
        <f>WWWW[[#This Row],[%equitable and continuous access to sufficient quantity of safe drinking and domestic water''s GAP]]*WWWW[[#This Row],[Total PoP ]]</f>
        <v>0</v>
      </c>
      <c r="BK341" s="210">
        <f>IF(WWWW[[#This Row],[Total required water points]]-WWWW[[#This Row],['#Water points coverage]]&lt;0,0,WWWW[[#This Row],[Total required water points]]-WWWW[[#This Row],['#Water points coverage]])</f>
        <v>3.0000000000000249E-2</v>
      </c>
      <c r="BL341" s="210">
        <f>ROUND(IF(WWWW[[#This Row],[Total PoP ]]&lt;500,1,WWWW[[#This Row],[Total PoP ]]/500),0)</f>
        <v>6</v>
      </c>
      <c r="BM341" s="210">
        <f>WWWW[[#This Row],['# Existing functional latrines]]+WWWW[[#This Row],['# Existing latrines dysfunctional]]</f>
        <v>2</v>
      </c>
      <c r="BN34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4.0201005025125632E-3</v>
      </c>
      <c r="BO341" s="352">
        <f>WWWW[[#This Row],[% people access to functioning Latrine]]*WWWW[[#This Row],[Total PoP ]]</f>
        <v>12.000000000000002</v>
      </c>
      <c r="BP34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0.99698492462311561</v>
      </c>
      <c r="BQ341" s="209">
        <f>IF(WWWW[[#This Row],[Total required Latrines]]-WWWW[[#This Row],[Total '# of latrine]]&lt;0,0,WWWW[[#This Row],[Total required Latrines]]-WWWW[[#This Row],[Total '# of latrine]])</f>
        <v>496</v>
      </c>
      <c r="BR341" s="210">
        <f>ROUND(IF(WWWW[[#This Row],[Location Type 1]]="camp",WWWW[[#This Row],[Total PoP ]]/20,WWWW[[#This Row],[Total PoP ]]/6),0)</f>
        <v>498</v>
      </c>
      <c r="BS341" s="212">
        <f>IF(OR(WWWW[[#This Row],['# Existing latrines dysfunctional]]="",WWWW[[#This Row],['# Existing latrines dysfunctional]]=0),0,WWWW[[#This Row],['# Existing latrines dysfunctional]]/WWWW[[#This Row],[Total '# of latrine]])</f>
        <v>0</v>
      </c>
      <c r="BT34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41" s="209">
        <f>IF(500*WWWW[[#This Row],['# Hygiene Promoters ]]&gt;WWWW[[#This Row],[Total PoP ]],WWWW[[#This Row],[Total PoP ]],500*WWWW[[#This Row],['# Hygiene Promoters ]])</f>
        <v>1000</v>
      </c>
      <c r="BV341" s="209">
        <f>IF(WWWW[[#This Row],[% of HH with access to Sanitary Pad]]&gt;=100%,1,0)</f>
        <v>0</v>
      </c>
      <c r="BW341" s="209">
        <f>IF(WWWW[[#This Row],[Total PoP ]]=0,0,IF(WWWW[[#This Row],['# Hygiene Promoters ]]=0,0,IF(WWWW[[#This Row],[Location Type 1]]="Village",IF(WWWW[[#This Row],[Total PoP ]]/WWWW[[#This Row],['# Hygiene Promoters ]]&lt;1000,1,0),IF(WWWW[[#This Row],[Total PoP ]]/WWWW[[#This Row],['# Hygiene Promoters ]]&lt;600,1,0))))</f>
        <v>0</v>
      </c>
      <c r="BX341" s="209">
        <f>IF(WWWW[[#This Row],[%HH with access to soap]]&gt;=100%,1,0)</f>
        <v>0</v>
      </c>
      <c r="BY341" s="209">
        <f>IF(WWWW[[#This Row],[% of HHs with access to Sanitary pad more than '#%]]+WWWW[[#This Row],[Ratio of Hyiene promoters to people less than '#]]+WWWW[[#This Row],[% of HHs with access to soap more than '#%]]&gt;=2,WWWW[[#This Row],[Total PoP ]],0)</f>
        <v>0</v>
      </c>
      <c r="BZ341" s="208">
        <f>WWWW[[#This Row],[People adopt basic personal and community hygiene practices]]/WWWW[[#This Row],[Total PoP ]]</f>
        <v>0</v>
      </c>
      <c r="CA341" s="212">
        <f>1-WWWW[[#This Row],[Hygiene Coverage%]]</f>
        <v>1</v>
      </c>
      <c r="CB341" s="211">
        <f>WWWW[[#This Row],['# people reached by regular dedicated hygiene promotion_5]]/WWWW[[#This Row],[Total PoP ]]</f>
        <v>0.33500837520938026</v>
      </c>
      <c r="CC341" s="211">
        <f>IF(WWWW[[#This Row],['# HH received soaps]]/WWWW[[#This Row],[Total HH]]&gt;1,1,WWWW[[#This Row],['# HH received soaps]]/WWWW[[#This Row],[Total HH]])</f>
        <v>0</v>
      </c>
      <c r="CD341" s="211">
        <f>IF(WWWW[[#This Row],['# HH received Sanitary Pads]]/WWWW[[#This Row],[Total HH]]&gt;1,1,WWWW[[#This Row],['# HH received Sanitary Pads]]/WWWW[[#This Row],[Total HH]])</f>
        <v>0</v>
      </c>
      <c r="CE341" s="210">
        <f>WWWW[[#This Row],['# HH received soaps]]*5</f>
        <v>0</v>
      </c>
      <c r="CF341" s="210">
        <f>WWWW[[#This Row],['# HH received Sanitary Pads]]*5</f>
        <v>0</v>
      </c>
      <c r="CG341" s="210">
        <f>IF(WWWW[[#This Row],['# People with access to soap]]&gt;WWWW[[#This Row],['# People with access to Sanity Pads]],WWWW[[#This Row],['# People with access to soap]],WWWW[[#This Row],['# People with access to Sanity Pads]])</f>
        <v>0</v>
      </c>
      <c r="CH341" s="209">
        <f>WWWW[[#This Row],[Total HH]]*WWWW[[#This Row],[%HHs with access to functional hand washing stations]]</f>
        <v>0</v>
      </c>
      <c r="CI341" s="699">
        <f>VLOOKUP(WWWW[[#This Row],[Site Name]],SiteDB6[[Site Name]:[CCCM Management]],6,FALSE)</f>
        <v>0</v>
      </c>
      <c r="CJ341" s="699">
        <f>VLOOKUP(WWWW[[#This Row],[Site Name]],SiteDB6[[Site Name]:[CCCM Focal Agency]],7,FALSE)</f>
        <v>0</v>
      </c>
      <c r="CK341" s="699" t="str">
        <f>VLOOKUP(WWWW[[#This Row],[Site Name]],SiteDB6[[Site Name]:[Location Type]],8,FALSE)</f>
        <v>Village</v>
      </c>
      <c r="CL341" s="699" t="str">
        <f>VLOOKUP(WWWW[[#This Row],[Site Name]],SiteDB6[[Site Name]:[Location Type 1]],9,FALSE)</f>
        <v>Village</v>
      </c>
      <c r="CM341" s="699" t="str">
        <f>VLOOKUP(WWWW[[#This Row],[Site Name]],SiteDB6[[Site Name]:[Type of Accommodation]],10,FALSE)</f>
        <v>Village</v>
      </c>
      <c r="CN341" s="699" t="str">
        <f>VLOOKUP(WWWW[[#This Row],[Site Name]],SiteDB6[[Site Name]:[Ethnic or GCA/NGCA]],11,FALSE)</f>
        <v>Muslim</v>
      </c>
      <c r="CO341" s="699">
        <f>VLOOKUP(WWWW[[#This Row],[Site Name]],SiteDB6[[Site Name]:[Lat]],12,FALSE)</f>
        <v>20.127127999999999</v>
      </c>
      <c r="CP341" s="699">
        <f>VLOOKUP(WWWW[[#This Row],[Site Name]],SiteDB6[[Site Name]:[Long]],13,FALSE)</f>
        <v>92.875450000000001</v>
      </c>
      <c r="CQ341" s="699" t="str">
        <f>VLOOKUP(WWWW[[#This Row],[Site Name]],SiteDB6[[Site Name]:[Pcode]],3,FALSE)</f>
        <v>196208</v>
      </c>
      <c r="CR341" s="660" t="str">
        <f t="shared" si="8"/>
        <v>Covered</v>
      </c>
      <c r="CS341" s="660"/>
      <c r="CT341" s="24"/>
      <c r="CU341" s="24"/>
      <c r="CV341" s="24"/>
    </row>
    <row r="342" spans="1:100" ht="16.5" customHeight="1" x14ac:dyDescent="0.25">
      <c r="A342" s="833" t="s">
        <v>3206</v>
      </c>
      <c r="B342" s="206" t="s">
        <v>527</v>
      </c>
      <c r="C342" s="206" t="s">
        <v>454</v>
      </c>
      <c r="D342" s="206" t="s">
        <v>518</v>
      </c>
      <c r="E342" s="206" t="s">
        <v>529</v>
      </c>
      <c r="F342" s="206">
        <v>354</v>
      </c>
      <c r="G342" s="209">
        <v>981</v>
      </c>
      <c r="H342" s="206" t="s">
        <v>286</v>
      </c>
      <c r="I342" s="206" t="s">
        <v>388</v>
      </c>
      <c r="J342" s="207">
        <v>43373</v>
      </c>
      <c r="K342" s="206"/>
      <c r="L342" s="206" t="s">
        <v>282</v>
      </c>
      <c r="M342" s="208"/>
      <c r="N342" s="208"/>
      <c r="O342" s="316">
        <v>4</v>
      </c>
      <c r="P342" s="317">
        <v>2</v>
      </c>
      <c r="Q342" s="317">
        <v>0</v>
      </c>
      <c r="R342" s="318">
        <v>0</v>
      </c>
      <c r="S342" s="318"/>
      <c r="T342" s="318"/>
      <c r="U342" s="318"/>
      <c r="V342" s="318"/>
      <c r="W342" s="318"/>
      <c r="X342" s="318"/>
      <c r="Y342" s="318">
        <v>17</v>
      </c>
      <c r="Z342" s="318" t="s">
        <v>2783</v>
      </c>
      <c r="AA342" s="310">
        <v>90</v>
      </c>
      <c r="AB342" s="310">
        <v>10</v>
      </c>
      <c r="AC342" s="66"/>
      <c r="AD342" s="66"/>
      <c r="AE342" s="310"/>
      <c r="AF342" s="311" t="s">
        <v>283</v>
      </c>
      <c r="AG342" s="311" t="s">
        <v>1358</v>
      </c>
      <c r="AH342" s="311"/>
      <c r="AI342" s="310"/>
      <c r="AJ342" s="310"/>
      <c r="AK342" s="841">
        <v>1</v>
      </c>
      <c r="AL342" s="842" t="s">
        <v>376</v>
      </c>
      <c r="AM342" s="842">
        <v>252</v>
      </c>
      <c r="AN342" s="863">
        <v>2</v>
      </c>
      <c r="AO342" s="863">
        <v>28</v>
      </c>
      <c r="AP342" s="843">
        <v>354</v>
      </c>
      <c r="AQ342" s="843">
        <v>263</v>
      </c>
      <c r="AR342" s="843"/>
      <c r="AS342" s="843"/>
      <c r="AT342" s="843"/>
      <c r="AU342" s="843"/>
      <c r="AV342" s="844"/>
      <c r="AW342" s="208" t="str">
        <f>IFERROR(WWWW[[#This Row],['# of Water passed at source]]/WWWW[[#This Row],['# of Water tested at source]],"no test")</f>
        <v>no test</v>
      </c>
      <c r="AX342" s="211" t="str">
        <f>IFERROR(WWWW[[#This Row],['# of Water passed at HH]]/WWWW[[#This Row],['# of Water tested at HH]],"no test")</f>
        <v>no test</v>
      </c>
      <c r="AY342" s="210" t="str">
        <f>IF(AND(WWWW[[#This Row],[%of Water samples which passed at water source]]="no test",WWWW[[#This Row],[%Water samples which passed at HH]]="no test"),"No Test","Tested")</f>
        <v>No Test</v>
      </c>
      <c r="AZ34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4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42" s="211">
        <f>IF(WWWW[[#This Row],[Location Type 1]]="Village",WWWW[[#This Row],[Access to safe drinking water for Village]],WWWW[[#This Row],[Access to safe drinking water for Camp]])</f>
        <v>1</v>
      </c>
      <c r="BC342" s="209">
        <f>WWWW[[#This Row],[%Equitable and continuous access to sufficient quantity of safe drinking water]]*WWWW[[#This Row],[Total PoP ]]</f>
        <v>981</v>
      </c>
      <c r="BD342" s="211">
        <f>IF((WWWW[[#This Row],['# Existing protected/fenced ponds ]]*250)/WWWW[[#This Row],[Total PoP ]]&gt;1,1,WWWW[[#This Row],['# Existing protected/fenced ponds ]]*250/WWWW[[#This Row],[Total PoP ]])</f>
        <v>0</v>
      </c>
      <c r="BE342" s="209">
        <f>WWWW[[#This Row],[Access to unimproved water points]]*WWWW[[#This Row],[Total PoP ]]</f>
        <v>0</v>
      </c>
      <c r="BF34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4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981</v>
      </c>
      <c r="BH342" s="209">
        <f>WWWW[[#This Row],['#people Equitable and continuous access to sufficient quantity of domestic water borehole n ponds_2]]/500</f>
        <v>1.962</v>
      </c>
      <c r="BI342" s="208">
        <f>1-WWWW[[#This Row],[%Equitable and continuous access to sufficient quantity of domestic water borehole n ponds]]</f>
        <v>0</v>
      </c>
      <c r="BJ342" s="209">
        <f>WWWW[[#This Row],[%equitable and continuous access to sufficient quantity of safe drinking and domestic water''s GAP]]*WWWW[[#This Row],[Total PoP ]]</f>
        <v>0</v>
      </c>
      <c r="BK342" s="210">
        <f>IF(WWWW[[#This Row],[Total required water points]]-WWWW[[#This Row],['#Water points coverage]]&lt;0,0,WWWW[[#This Row],[Total required water points]]-WWWW[[#This Row],['#Water points coverage]])</f>
        <v>3.8000000000000034E-2</v>
      </c>
      <c r="BL342" s="210">
        <f>ROUND(IF(WWWW[[#This Row],[Total PoP ]]&lt;500,1,WWWW[[#This Row],[Total PoP ]]/500),0)</f>
        <v>2</v>
      </c>
      <c r="BM342" s="210">
        <f>WWWW[[#This Row],['# Existing functional latrines]]+WWWW[[#This Row],['# Existing latrines dysfunctional]]</f>
        <v>100</v>
      </c>
      <c r="BN34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42" s="352">
        <f>WWWW[[#This Row],[% people access to functioning Latrine]]*WWWW[[#This Row],[Total PoP ]]</f>
        <v>981</v>
      </c>
      <c r="BP34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42" s="209">
        <f>IF(WWWW[[#This Row],[Total required Latrines]]-WWWW[[#This Row],[Total '# of latrine]]&lt;0,0,WWWW[[#This Row],[Total required Latrines]]-WWWW[[#This Row],[Total '# of latrine]])</f>
        <v>0</v>
      </c>
      <c r="BR342" s="210">
        <f>ROUND(IF(WWWW[[#This Row],[Location Type 1]]="camp",WWWW[[#This Row],[Total PoP ]]/20,WWWW[[#This Row],[Total PoP ]]/6),0)</f>
        <v>49</v>
      </c>
      <c r="BS342" s="212">
        <f>IF(OR(WWWW[[#This Row],['# Existing latrines dysfunctional]]="",WWWW[[#This Row],['# Existing latrines dysfunctional]]=0),0,WWWW[[#This Row],['# Existing latrines dysfunctional]]/WWWW[[#This Row],[Total '# of latrine]])</f>
        <v>0.1</v>
      </c>
      <c r="BT34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42" s="209">
        <f>IF(500*WWWW[[#This Row],['# Hygiene Promoters ]]&gt;WWWW[[#This Row],[Total PoP ]],WWWW[[#This Row],[Total PoP ]],500*WWWW[[#This Row],['# Hygiene Promoters ]])</f>
        <v>981</v>
      </c>
      <c r="BV342" s="209">
        <f>IF(WWWW[[#This Row],[% of HH with access to Sanitary Pad]]&gt;=100%,1,0)</f>
        <v>0</v>
      </c>
      <c r="BW342" s="209">
        <f>IF(WWWW[[#This Row],[Total PoP ]]=0,0,IF(WWWW[[#This Row],['# Hygiene Promoters ]]=0,0,IF(WWWW[[#This Row],[Location Type 1]]="Village",IF(WWWW[[#This Row],[Total PoP ]]/WWWW[[#This Row],['# Hygiene Promoters ]]&lt;1000,1,0),IF(WWWW[[#This Row],[Total PoP ]]/WWWW[[#This Row],['# Hygiene Promoters ]]&lt;600,1,0))))</f>
        <v>1</v>
      </c>
      <c r="BX342" s="209">
        <f>IF(WWWW[[#This Row],[%HH with access to soap]]&gt;=100%,1,0)</f>
        <v>1</v>
      </c>
      <c r="BY342" s="209">
        <f>IF(WWWW[[#This Row],[% of HHs with access to Sanitary pad more than '#%]]+WWWW[[#This Row],[Ratio of Hyiene promoters to people less than '#]]+WWWW[[#This Row],[% of HHs with access to soap more than '#%]]&gt;=2,WWWW[[#This Row],[Total PoP ]],0)</f>
        <v>981</v>
      </c>
      <c r="BZ342" s="208">
        <f>WWWW[[#This Row],[People adopt basic personal and community hygiene practices]]/WWWW[[#This Row],[Total PoP ]]</f>
        <v>1</v>
      </c>
      <c r="CA342" s="212">
        <f>1-WWWW[[#This Row],[Hygiene Coverage%]]</f>
        <v>0</v>
      </c>
      <c r="CB342" s="211">
        <f>WWWW[[#This Row],['# people reached by regular dedicated hygiene promotion_5]]/WWWW[[#This Row],[Total PoP ]]</f>
        <v>1</v>
      </c>
      <c r="CC342" s="211">
        <f>IF(WWWW[[#This Row],['# HH received soaps]]/WWWW[[#This Row],[Total HH]]&gt;1,1,WWWW[[#This Row],['# HH received soaps]]/WWWW[[#This Row],[Total HH]])</f>
        <v>1</v>
      </c>
      <c r="CD342" s="211">
        <f>IF(WWWW[[#This Row],['# HH received Sanitary Pads]]/WWWW[[#This Row],[Total HH]]&gt;1,1,WWWW[[#This Row],['# HH received Sanitary Pads]]/WWWW[[#This Row],[Total HH]])</f>
        <v>0.74293785310734461</v>
      </c>
      <c r="CE342" s="210">
        <f>WWWW[[#This Row],['# HH received soaps]]*5</f>
        <v>1770</v>
      </c>
      <c r="CF342" s="210">
        <f>WWWW[[#This Row],['# HH received Sanitary Pads]]*5</f>
        <v>1315</v>
      </c>
      <c r="CG342" s="210">
        <f>IF(WWWW[[#This Row],['# People with access to soap]]&gt;WWWW[[#This Row],['# People with access to Sanity Pads]],WWWW[[#This Row],['# People with access to soap]],WWWW[[#This Row],['# People with access to Sanity Pads]])</f>
        <v>1770</v>
      </c>
      <c r="CH342" s="209">
        <f>WWWW[[#This Row],[Total HH]]*WWWW[[#This Row],[%HHs with access to functional hand washing stations]]</f>
        <v>354</v>
      </c>
      <c r="CI342" s="699" t="str">
        <f>VLOOKUP(WWWW[[#This Row],[Site Name]],SiteDB6[[Site Name]:[CCCM Management]],6,FALSE)</f>
        <v>Yes</v>
      </c>
      <c r="CJ342" s="699">
        <f>VLOOKUP(WWWW[[#This Row],[Site Name]],SiteDB6[[Site Name]:[CCCM Focal Agency]],7,FALSE)</f>
        <v>0</v>
      </c>
      <c r="CK342" s="699" t="str">
        <f>VLOOKUP(WWWW[[#This Row],[Site Name]],SiteDB6[[Site Name]:[Location Type]],8,FALSE)</f>
        <v>Camp</v>
      </c>
      <c r="CL342" s="699" t="str">
        <f>VLOOKUP(WWWW[[#This Row],[Site Name]],SiteDB6[[Site Name]:[Location Type 1]],9,FALSE)</f>
        <v>Camp</v>
      </c>
      <c r="CM342" s="699" t="str">
        <f>VLOOKUP(WWWW[[#This Row],[Site Name]],SiteDB6[[Site Name]:[Type of Accommodation]],10,FALSE)</f>
        <v>Planned Camp</v>
      </c>
      <c r="CN342" s="699" t="str">
        <f>VLOOKUP(WWWW[[#This Row],[Site Name]],SiteDB6[[Site Name]:[Ethnic or GCA/NGCA]],11,FALSE)</f>
        <v>Muslim</v>
      </c>
      <c r="CO342" s="699">
        <f>VLOOKUP(WWWW[[#This Row],[Site Name]],SiteDB6[[Site Name]:[Lat]],12,FALSE)</f>
        <v>19.424576999999999</v>
      </c>
      <c r="CP342" s="699">
        <f>VLOOKUP(WWWW[[#This Row],[Site Name]],SiteDB6[[Site Name]:[Long]],13,FALSE)</f>
        <v>93.512326000000002</v>
      </c>
      <c r="CQ342" s="699" t="str">
        <f>VLOOKUP(WWWW[[#This Row],[Site Name]],SiteDB6[[Site Name]:[Pcode]],3,FALSE)</f>
        <v>MMR012CMP035</v>
      </c>
      <c r="CR342" s="660" t="str">
        <f t="shared" si="8"/>
        <v>Covered</v>
      </c>
      <c r="CS342" s="660"/>
      <c r="CT342" s="24"/>
      <c r="CU342" s="24"/>
      <c r="CV342" s="24"/>
    </row>
    <row r="343" spans="1:100" ht="16.5" customHeight="1" x14ac:dyDescent="0.25">
      <c r="A343" s="833" t="s">
        <v>3206</v>
      </c>
      <c r="B343" s="206" t="s">
        <v>460</v>
      </c>
      <c r="C343" s="206" t="s">
        <v>454</v>
      </c>
      <c r="D343" s="206" t="s">
        <v>455</v>
      </c>
      <c r="E343" s="206" t="s">
        <v>593</v>
      </c>
      <c r="F343" s="206">
        <v>22</v>
      </c>
      <c r="G343" s="209">
        <v>114</v>
      </c>
      <c r="H343" s="206"/>
      <c r="I343" s="206"/>
      <c r="J343" s="207"/>
      <c r="K343" s="206"/>
      <c r="L343" s="206" t="s">
        <v>282</v>
      </c>
      <c r="M343" s="208">
        <v>0</v>
      </c>
      <c r="N343" s="208">
        <v>0</v>
      </c>
      <c r="O343" s="316">
        <v>0</v>
      </c>
      <c r="P343" s="317">
        <v>0</v>
      </c>
      <c r="Q343" s="317">
        <v>0</v>
      </c>
      <c r="R343" s="318">
        <v>0</v>
      </c>
      <c r="S343" s="318">
        <v>0</v>
      </c>
      <c r="T343" s="318"/>
      <c r="U343" s="318"/>
      <c r="V343" s="318"/>
      <c r="W343" s="318"/>
      <c r="X343" s="318"/>
      <c r="Y343" s="318"/>
      <c r="Z343" s="318"/>
      <c r="AA343" s="310">
        <v>0</v>
      </c>
      <c r="AB343" s="311">
        <v>0</v>
      </c>
      <c r="AC343" s="66"/>
      <c r="AD343" s="66"/>
      <c r="AE343" s="310">
        <v>0</v>
      </c>
      <c r="AF343" s="310" t="s">
        <v>332</v>
      </c>
      <c r="AG343" s="311" t="s">
        <v>332</v>
      </c>
      <c r="AH343" s="66"/>
      <c r="AI343" s="66"/>
      <c r="AJ343" s="311"/>
      <c r="AK343" s="841">
        <v>0</v>
      </c>
      <c r="AL343" s="846" t="s">
        <v>284</v>
      </c>
      <c r="AM343" s="844">
        <v>0</v>
      </c>
      <c r="AN343" s="863">
        <v>0</v>
      </c>
      <c r="AO343" s="863">
        <v>2</v>
      </c>
      <c r="AP343" s="843"/>
      <c r="AQ343" s="843"/>
      <c r="AR343" s="843"/>
      <c r="AS343" s="843"/>
      <c r="AT343" s="843"/>
      <c r="AU343" s="843"/>
      <c r="AV343" s="844"/>
      <c r="AW343" s="208" t="str">
        <f>IFERROR(WWWW[[#This Row],['# of Water passed at source]]/WWWW[[#This Row],['# of Water tested at source]],"no test")</f>
        <v>no test</v>
      </c>
      <c r="AX343" s="211" t="str">
        <f>IFERROR(WWWW[[#This Row],['# of Water passed at HH]]/WWWW[[#This Row],['# of Water tested at HH]],"no test")</f>
        <v>no test</v>
      </c>
      <c r="AY343" s="210" t="str">
        <f>IF(AND(WWWW[[#This Row],[%of Water samples which passed at water source]]="no test",WWWW[[#This Row],[%Water samples which passed at HH]]="no test"),"No Test","Tested")</f>
        <v>No Test</v>
      </c>
      <c r="AZ34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4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43" s="211">
        <f>IF(WWWW[[#This Row],[Location Type 1]]="Village",WWWW[[#This Row],[Access to safe drinking water for Village]],WWWW[[#This Row],[Access to safe drinking water for Camp]])</f>
        <v>0</v>
      </c>
      <c r="BC343" s="209">
        <f>WWWW[[#This Row],[%Equitable and continuous access to sufficient quantity of safe drinking water]]*WWWW[[#This Row],[Total PoP ]]</f>
        <v>0</v>
      </c>
      <c r="BD343" s="211">
        <f>IF((WWWW[[#This Row],['# Existing protected/fenced ponds ]]*250)/WWWW[[#This Row],[Total PoP ]]&gt;1,1,WWWW[[#This Row],['# Existing protected/fenced ponds ]]*250/WWWW[[#This Row],[Total PoP ]])</f>
        <v>0</v>
      </c>
      <c r="BE343" s="209">
        <f>WWWW[[#This Row],[Access to unimproved water points]]*WWWW[[#This Row],[Total PoP ]]</f>
        <v>0</v>
      </c>
      <c r="BF34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4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43" s="209">
        <f>WWWW[[#This Row],['#people Equitable and continuous access to sufficient quantity of domestic water borehole n ponds_2]]/500</f>
        <v>0</v>
      </c>
      <c r="BI343" s="208">
        <f>1-WWWW[[#This Row],[%Equitable and continuous access to sufficient quantity of domestic water borehole n ponds]]</f>
        <v>1</v>
      </c>
      <c r="BJ343" s="209">
        <f>WWWW[[#This Row],[%equitable and continuous access to sufficient quantity of safe drinking and domestic water''s GAP]]*WWWW[[#This Row],[Total PoP ]]</f>
        <v>114</v>
      </c>
      <c r="BK343" s="210">
        <f>IF(WWWW[[#This Row],[Total required water points]]-WWWW[[#This Row],['#Water points coverage]]&lt;0,0,WWWW[[#This Row],[Total required water points]]-WWWW[[#This Row],['#Water points coverage]])</f>
        <v>1</v>
      </c>
      <c r="BL343" s="210">
        <f>ROUND(IF(WWWW[[#This Row],[Total PoP ]]&lt;500,1,WWWW[[#This Row],[Total PoP ]]/500),0)</f>
        <v>1</v>
      </c>
      <c r="BM343" s="210">
        <f>WWWW[[#This Row],['# Existing functional latrines]]+WWWW[[#This Row],['# Existing latrines dysfunctional]]</f>
        <v>0</v>
      </c>
      <c r="BN34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43" s="352">
        <f>WWWW[[#This Row],[% people access to functioning Latrine]]*WWWW[[#This Row],[Total PoP ]]</f>
        <v>0</v>
      </c>
      <c r="BP34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43" s="209">
        <f>IF(WWWW[[#This Row],[Total required Latrines]]-WWWW[[#This Row],[Total '# of latrine]]&lt;0,0,WWWW[[#This Row],[Total required Latrines]]-WWWW[[#This Row],[Total '# of latrine]])</f>
        <v>19</v>
      </c>
      <c r="BR343" s="210">
        <f>ROUND(IF(WWWW[[#This Row],[Location Type 1]]="camp",WWWW[[#This Row],[Total PoP ]]/20,WWWW[[#This Row],[Total PoP ]]/6),0)</f>
        <v>19</v>
      </c>
      <c r="BS343" s="212">
        <f>IF(OR(WWWW[[#This Row],['# Existing latrines dysfunctional]]="",WWWW[[#This Row],['# Existing latrines dysfunctional]]=0),0,WWWW[[#This Row],['# Existing latrines dysfunctional]]/WWWW[[#This Row],[Total '# of latrine]])</f>
        <v>0</v>
      </c>
      <c r="BT34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43" s="209">
        <f>IF(500*WWWW[[#This Row],['# Hygiene Promoters ]]&gt;WWWW[[#This Row],[Total PoP ]],WWWW[[#This Row],[Total PoP ]],500*WWWW[[#This Row],['# Hygiene Promoters ]])</f>
        <v>114</v>
      </c>
      <c r="BV343" s="209">
        <f>IF(WWWW[[#This Row],[% of HH with access to Sanitary Pad]]&gt;=100%,1,0)</f>
        <v>0</v>
      </c>
      <c r="BW343" s="209">
        <f>IF(WWWW[[#This Row],[Total PoP ]]=0,0,IF(WWWW[[#This Row],['# Hygiene Promoters ]]=0,0,IF(WWWW[[#This Row],[Location Type 1]]="Village",IF(WWWW[[#This Row],[Total PoP ]]/WWWW[[#This Row],['# Hygiene Promoters ]]&lt;1000,1,0),IF(WWWW[[#This Row],[Total PoP ]]/WWWW[[#This Row],['# Hygiene Promoters ]]&lt;600,1,0))))</f>
        <v>1</v>
      </c>
      <c r="BX343" s="209">
        <f>IF(WWWW[[#This Row],[%HH with access to soap]]&gt;=100%,1,0)</f>
        <v>0</v>
      </c>
      <c r="BY343" s="209">
        <f>IF(WWWW[[#This Row],[% of HHs with access to Sanitary pad more than '#%]]+WWWW[[#This Row],[Ratio of Hyiene promoters to people less than '#]]+WWWW[[#This Row],[% of HHs with access to soap more than '#%]]&gt;=2,WWWW[[#This Row],[Total PoP ]],0)</f>
        <v>0</v>
      </c>
      <c r="BZ343" s="208">
        <f>WWWW[[#This Row],[People adopt basic personal and community hygiene practices]]/WWWW[[#This Row],[Total PoP ]]</f>
        <v>0</v>
      </c>
      <c r="CA343" s="212">
        <f>1-WWWW[[#This Row],[Hygiene Coverage%]]</f>
        <v>1</v>
      </c>
      <c r="CB343" s="211">
        <f>WWWW[[#This Row],['# people reached by regular dedicated hygiene promotion_5]]/WWWW[[#This Row],[Total PoP ]]</f>
        <v>1</v>
      </c>
      <c r="CC343" s="211">
        <f>IF(WWWW[[#This Row],['# HH received soaps]]/WWWW[[#This Row],[Total HH]]&gt;1,1,WWWW[[#This Row],['# HH received soaps]]/WWWW[[#This Row],[Total HH]])</f>
        <v>0</v>
      </c>
      <c r="CD343" s="211">
        <f>IF(WWWW[[#This Row],['# HH received Sanitary Pads]]/WWWW[[#This Row],[Total HH]]&gt;1,1,WWWW[[#This Row],['# HH received Sanitary Pads]]/WWWW[[#This Row],[Total HH]])</f>
        <v>0</v>
      </c>
      <c r="CE343" s="210">
        <f>WWWW[[#This Row],['# HH received soaps]]*5</f>
        <v>0</v>
      </c>
      <c r="CF343" s="210">
        <f>WWWW[[#This Row],['# HH received Sanitary Pads]]*5</f>
        <v>0</v>
      </c>
      <c r="CG343" s="210">
        <f>IF(WWWW[[#This Row],['# People with access to soap]]&gt;WWWW[[#This Row],['# People with access to Sanity Pads]],WWWW[[#This Row],['# People with access to soap]],WWWW[[#This Row],['# People with access to Sanity Pads]])</f>
        <v>0</v>
      </c>
      <c r="CH343" s="209">
        <f>WWWW[[#This Row],[Total HH]]*WWWW[[#This Row],[%HHs with access to functional hand washing stations]]</f>
        <v>0</v>
      </c>
      <c r="CI343" s="699" t="str">
        <f>VLOOKUP(WWWW[[#This Row],[Site Name]],SiteDB6[[Site Name]:[CCCM Management]],6,FALSE)</f>
        <v>Yes</v>
      </c>
      <c r="CJ343" s="699">
        <f>VLOOKUP(WWWW[[#This Row],[Site Name]],SiteDB6[[Site Name]:[CCCM Focal Agency]],7,FALSE)</f>
        <v>0</v>
      </c>
      <c r="CK343" s="699" t="str">
        <f>VLOOKUP(WWWW[[#This Row],[Site Name]],SiteDB6[[Site Name]:[Location Type]],8,FALSE)</f>
        <v>Village</v>
      </c>
      <c r="CL343" s="699" t="str">
        <f>VLOOKUP(WWWW[[#This Row],[Site Name]],SiteDB6[[Site Name]:[Location Type 1]],9,FALSE)</f>
        <v>Village</v>
      </c>
      <c r="CM343" s="699" t="str">
        <f>VLOOKUP(WWWW[[#This Row],[Site Name]],SiteDB6[[Site Name]:[Type of Accommodation]],10,FALSE)</f>
        <v>Host Families</v>
      </c>
      <c r="CN343" s="699" t="str">
        <f>VLOOKUP(WWWW[[#This Row],[Site Name]],SiteDB6[[Site Name]:[Ethnic or GCA/NGCA]],11,FALSE)</f>
        <v>Muslim</v>
      </c>
      <c r="CO343" s="699">
        <f>VLOOKUP(WWWW[[#This Row],[Site Name]],SiteDB6[[Site Name]:[Lat]],12,FALSE)</f>
        <v>20.182987000000001</v>
      </c>
      <c r="CP343" s="699">
        <f>VLOOKUP(WWWW[[#This Row],[Site Name]],SiteDB6[[Site Name]:[Long]],13,FALSE)</f>
        <v>92.804803000000007</v>
      </c>
      <c r="CQ343" s="699" t="str">
        <f>VLOOKUP(WWWW[[#This Row],[Site Name]],SiteDB6[[Site Name]:[Pcode]],3,FALSE)</f>
        <v>MMR012CMP103</v>
      </c>
      <c r="CR343" s="660" t="str">
        <f t="shared" si="8"/>
        <v>Notcovered</v>
      </c>
      <c r="CS343" s="699"/>
      <c r="CT343" s="24"/>
      <c r="CU343" s="24"/>
      <c r="CV343" s="24"/>
    </row>
    <row r="344" spans="1:100" ht="16.5" customHeight="1" x14ac:dyDescent="0.25">
      <c r="A344" s="833" t="s">
        <v>3206</v>
      </c>
      <c r="B344" s="206" t="s">
        <v>571</v>
      </c>
      <c r="C344" s="206" t="s">
        <v>454</v>
      </c>
      <c r="D344" s="206" t="s">
        <v>563</v>
      </c>
      <c r="E344" s="206" t="s">
        <v>572</v>
      </c>
      <c r="F344" s="206">
        <v>1318</v>
      </c>
      <c r="G344" s="209">
        <v>5938</v>
      </c>
      <c r="H344" s="206"/>
      <c r="I344" s="206" t="s">
        <v>388</v>
      </c>
      <c r="J344" s="207">
        <v>43465</v>
      </c>
      <c r="K344" s="206">
        <v>0</v>
      </c>
      <c r="L344" s="206" t="s">
        <v>282</v>
      </c>
      <c r="M344" s="208">
        <v>0</v>
      </c>
      <c r="N344" s="208">
        <v>0</v>
      </c>
      <c r="O344" s="316">
        <v>0</v>
      </c>
      <c r="P344" s="317">
        <v>0</v>
      </c>
      <c r="Q344" s="317">
        <v>81000</v>
      </c>
      <c r="R344" s="318">
        <v>2</v>
      </c>
      <c r="S344" s="318">
        <v>0</v>
      </c>
      <c r="T344" s="318"/>
      <c r="U344" s="318">
        <v>0</v>
      </c>
      <c r="V344" s="318">
        <v>0</v>
      </c>
      <c r="W344" s="318">
        <v>0</v>
      </c>
      <c r="X344" s="318">
        <v>0</v>
      </c>
      <c r="Y344" s="318">
        <v>0</v>
      </c>
      <c r="Z344" s="318"/>
      <c r="AA344" s="310">
        <v>144</v>
      </c>
      <c r="AB344" s="310">
        <v>30</v>
      </c>
      <c r="AC344" s="66">
        <v>50</v>
      </c>
      <c r="AD344" s="66" t="s">
        <v>2918</v>
      </c>
      <c r="AE344" s="310">
        <v>0</v>
      </c>
      <c r="AF344" s="310" t="s">
        <v>283</v>
      </c>
      <c r="AG344" s="311" t="s">
        <v>1358</v>
      </c>
      <c r="AH344" s="311">
        <v>0</v>
      </c>
      <c r="AI344" s="310">
        <v>0</v>
      </c>
      <c r="AJ344" s="336" t="s">
        <v>3214</v>
      </c>
      <c r="AK344" s="841">
        <v>0</v>
      </c>
      <c r="AL344" s="842" t="s">
        <v>284</v>
      </c>
      <c r="AM344" s="842">
        <v>1318</v>
      </c>
      <c r="AN344" s="863">
        <v>0</v>
      </c>
      <c r="AO344" s="863">
        <v>20</v>
      </c>
      <c r="AP344" s="843">
        <v>1318</v>
      </c>
      <c r="AQ344" s="843">
        <v>1318</v>
      </c>
      <c r="AR344" s="843" t="s">
        <v>282</v>
      </c>
      <c r="AS344" s="843"/>
      <c r="AT344" s="843">
        <v>20</v>
      </c>
      <c r="AU344" s="843">
        <v>102</v>
      </c>
      <c r="AV344" s="844"/>
      <c r="AW344" s="208" t="str">
        <f>IFERROR(WWWW[[#This Row],['# of Water passed at source]]/WWWW[[#This Row],['# of Water tested at source]],"no test")</f>
        <v>no test</v>
      </c>
      <c r="AX344" s="211" t="str">
        <f>IFERROR(WWWW[[#This Row],['# of Water passed at HH]]/WWWW[[#This Row],['# of Water tested at HH]],"no test")</f>
        <v>no test</v>
      </c>
      <c r="AY344" s="210" t="str">
        <f>IF(AND(WWWW[[#This Row],[%of Water samples which passed at water source]]="no test",WWWW[[#This Row],[%Water samples which passed at HH]]="no test"),"No Test","Tested")</f>
        <v>No Test</v>
      </c>
      <c r="AZ34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0.90939710340181878</v>
      </c>
      <c r="BA34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0.90939710340181878</v>
      </c>
      <c r="BB344" s="211">
        <f>IF(WWWW[[#This Row],[Location Type 1]]="Village",WWWW[[#This Row],[Access to safe drinking water for Village]],WWWW[[#This Row],[Access to safe drinking water for Camp]])</f>
        <v>0.90939710340181878</v>
      </c>
      <c r="BC344" s="209">
        <f>WWWW[[#This Row],[%Equitable and continuous access to sufficient quantity of safe drinking water]]*WWWW[[#This Row],[Total PoP ]]</f>
        <v>5400</v>
      </c>
      <c r="BD344" s="211">
        <f>IF((WWWW[[#This Row],['# Existing protected/fenced ponds ]]*250)/WWWW[[#This Row],[Total PoP ]]&gt;1,1,WWWW[[#This Row],['# Existing protected/fenced ponds ]]*250/WWWW[[#This Row],[Total PoP ]])</f>
        <v>8.4203435500168414E-2</v>
      </c>
      <c r="BE344" s="209">
        <f>WWWW[[#This Row],[Access to unimproved water points]]*WWWW[[#This Row],[Total PoP ]]</f>
        <v>500.00000000000006</v>
      </c>
      <c r="BF34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0.99360053890198718</v>
      </c>
      <c r="BG34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5900</v>
      </c>
      <c r="BH344" s="209">
        <f>WWWW[[#This Row],['#people Equitable and continuous access to sufficient quantity of domestic water borehole n ponds_2]]/500</f>
        <v>11.8</v>
      </c>
      <c r="BI344" s="208">
        <f>1-WWWW[[#This Row],[%Equitable and continuous access to sufficient quantity of domestic water borehole n ponds]]</f>
        <v>6.3994610980128153E-3</v>
      </c>
      <c r="BJ344" s="209">
        <f>WWWW[[#This Row],[%equitable and continuous access to sufficient quantity of safe drinking and domestic water''s GAP]]*WWWW[[#This Row],[Total PoP ]]</f>
        <v>38.000000000000099</v>
      </c>
      <c r="BK344" s="210">
        <f>IF(WWWW[[#This Row],[Total required water points]]-WWWW[[#This Row],['#Water points coverage]]&lt;0,0,WWWW[[#This Row],[Total required water points]]-WWWW[[#This Row],['#Water points coverage]])</f>
        <v>0.19999999999999929</v>
      </c>
      <c r="BL344" s="210">
        <f>ROUND(IF(WWWW[[#This Row],[Total PoP ]]&lt;500,1,WWWW[[#This Row],[Total PoP ]]/500),0)</f>
        <v>12</v>
      </c>
      <c r="BM344" s="210">
        <f>WWWW[[#This Row],['# Existing functional latrines]]+WWWW[[#This Row],['# Existing latrines dysfunctional]]</f>
        <v>174</v>
      </c>
      <c r="BN34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0.48501178848097004</v>
      </c>
      <c r="BO344" s="352">
        <f>WWWW[[#This Row],[% people access to functioning Latrine]]*WWWW[[#This Row],[Total PoP ]]</f>
        <v>2880</v>
      </c>
      <c r="BP34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0.41428090266082862</v>
      </c>
      <c r="BQ344" s="209">
        <f>IF(WWWW[[#This Row],[Total required Latrines]]-WWWW[[#This Row],[Total '# of latrine]]&lt;0,0,WWWW[[#This Row],[Total required Latrines]]-WWWW[[#This Row],[Total '# of latrine]])</f>
        <v>123</v>
      </c>
      <c r="BR344" s="210">
        <f>ROUND(IF(WWWW[[#This Row],[Location Type 1]]="camp",WWWW[[#This Row],[Total PoP ]]/20,WWWW[[#This Row],[Total PoP ]]/6),0)</f>
        <v>297</v>
      </c>
      <c r="BS344" s="212">
        <f>IF(OR(WWWW[[#This Row],['# Existing latrines dysfunctional]]="",WWWW[[#This Row],['# Existing latrines dysfunctional]]=0),0,WWWW[[#This Row],['# Existing latrines dysfunctional]]/WWWW[[#This Row],[Total '# of latrine]])</f>
        <v>0.17241379310344829</v>
      </c>
      <c r="BT34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1000</v>
      </c>
      <c r="BU344" s="209">
        <f>IF(500*WWWW[[#This Row],['# Hygiene Promoters ]]&gt;WWWW[[#This Row],[Total PoP ]],WWWW[[#This Row],[Total PoP ]],500*WWWW[[#This Row],['# Hygiene Promoters ]])</f>
        <v>5938</v>
      </c>
      <c r="BV344" s="209">
        <f>IF(WWWW[[#This Row],[% of HH with access to Sanitary Pad]]&gt;=100%,1,0)</f>
        <v>1</v>
      </c>
      <c r="BW344" s="209">
        <f>IF(WWWW[[#This Row],[Total PoP ]]=0,0,IF(WWWW[[#This Row],['# Hygiene Promoters ]]=0,0,IF(WWWW[[#This Row],[Location Type 1]]="Village",IF(WWWW[[#This Row],[Total PoP ]]/WWWW[[#This Row],['# Hygiene Promoters ]]&lt;1000,1,0),IF(WWWW[[#This Row],[Total PoP ]]/WWWW[[#This Row],['# Hygiene Promoters ]]&lt;600,1,0))))</f>
        <v>1</v>
      </c>
      <c r="BX344" s="209">
        <f>IF(WWWW[[#This Row],[%HH with access to soap]]&gt;=100%,1,0)</f>
        <v>1</v>
      </c>
      <c r="BY344" s="209">
        <f>IF(WWWW[[#This Row],[% of HHs with access to Sanitary pad more than '#%]]+WWWW[[#This Row],[Ratio of Hyiene promoters to people less than '#]]+WWWW[[#This Row],[% of HHs with access to soap more than '#%]]&gt;=2,WWWW[[#This Row],[Total PoP ]],0)</f>
        <v>5938</v>
      </c>
      <c r="BZ344" s="208">
        <f>WWWW[[#This Row],[People adopt basic personal and community hygiene practices]]/WWWW[[#This Row],[Total PoP ]]</f>
        <v>1</v>
      </c>
      <c r="CA344" s="212">
        <f>1-WWWW[[#This Row],[Hygiene Coverage%]]</f>
        <v>0</v>
      </c>
      <c r="CB344" s="211">
        <f>WWWW[[#This Row],['# people reached by regular dedicated hygiene promotion_5]]/WWWW[[#This Row],[Total PoP ]]</f>
        <v>1</v>
      </c>
      <c r="CC344" s="211">
        <f>IF(WWWW[[#This Row],['# HH received soaps]]/WWWW[[#This Row],[Total HH]]&gt;1,1,WWWW[[#This Row],['# HH received soaps]]/WWWW[[#This Row],[Total HH]])</f>
        <v>1</v>
      </c>
      <c r="CD344" s="211">
        <f>IF(WWWW[[#This Row],['# HH received Sanitary Pads]]/WWWW[[#This Row],[Total HH]]&gt;1,1,WWWW[[#This Row],['# HH received Sanitary Pads]]/WWWW[[#This Row],[Total HH]])</f>
        <v>1</v>
      </c>
      <c r="CE344" s="210">
        <f>WWWW[[#This Row],['# HH received soaps]]*5</f>
        <v>6590</v>
      </c>
      <c r="CF344" s="210">
        <f>WWWW[[#This Row],['# HH received Sanitary Pads]]*5</f>
        <v>6590</v>
      </c>
      <c r="CG344" s="210">
        <f>IF(WWWW[[#This Row],['# People with access to soap]]&gt;WWWW[[#This Row],['# People with access to Sanity Pads]],WWWW[[#This Row],['# People with access to soap]],WWWW[[#This Row],['# People with access to Sanity Pads]])</f>
        <v>6590</v>
      </c>
      <c r="CH344" s="209">
        <f>WWWW[[#This Row],[Total HH]]*WWWW[[#This Row],[%HHs with access to functional hand washing stations]]</f>
        <v>0</v>
      </c>
      <c r="CI344" s="699" t="str">
        <f>VLOOKUP(WWWW[[#This Row],[Site Name]],SiteDB6[[Site Name]:[CCCM Management]],6,FALSE)</f>
        <v>Yes</v>
      </c>
      <c r="CJ344" s="699">
        <f>VLOOKUP(WWWW[[#This Row],[Site Name]],SiteDB6[[Site Name]:[CCCM Focal Agency]],7,FALSE)</f>
        <v>0</v>
      </c>
      <c r="CK344" s="699" t="str">
        <f>VLOOKUP(WWWW[[#This Row],[Site Name]],SiteDB6[[Site Name]:[Location Type]],8,FALSE)</f>
        <v>Camp</v>
      </c>
      <c r="CL344" s="699" t="str">
        <f>VLOOKUP(WWWW[[#This Row],[Site Name]],SiteDB6[[Site Name]:[Location Type 1]],9,FALSE)</f>
        <v>Camp</v>
      </c>
      <c r="CM344" s="699" t="str">
        <f>VLOOKUP(WWWW[[#This Row],[Site Name]],SiteDB6[[Site Name]:[Type of Accommodation]],10,FALSE)</f>
        <v>Planned Camp</v>
      </c>
      <c r="CN344" s="699" t="str">
        <f>VLOOKUP(WWWW[[#This Row],[Site Name]],SiteDB6[[Site Name]:[Ethnic or GCA/NGCA]],11,FALSE)</f>
        <v>Muslim</v>
      </c>
      <c r="CO344" s="699">
        <f>VLOOKUP(WWWW[[#This Row],[Site Name]],SiteDB6[[Site Name]:[Lat]],12,FALSE)</f>
        <v>20.090183</v>
      </c>
      <c r="CP344" s="699">
        <f>VLOOKUP(WWWW[[#This Row],[Site Name]],SiteDB6[[Site Name]:[Long]],13,FALSE)</f>
        <v>93.010368999999997</v>
      </c>
      <c r="CQ344" s="699" t="str">
        <f>VLOOKUP(WWWW[[#This Row],[Site Name]],SiteDB6[[Site Name]:[Pcode]],3,FALSE)</f>
        <v>MMR012CMP018</v>
      </c>
      <c r="CR344" s="660" t="str">
        <f t="shared" si="8"/>
        <v>Covered</v>
      </c>
      <c r="CS344" s="660"/>
      <c r="CT344" s="24"/>
      <c r="CU344" s="24"/>
      <c r="CV344" s="24"/>
    </row>
    <row r="345" spans="1:100" ht="16.5" customHeight="1" x14ac:dyDescent="0.25">
      <c r="A345" s="833" t="s">
        <v>3206</v>
      </c>
      <c r="B345" s="206" t="s">
        <v>527</v>
      </c>
      <c r="C345" s="206" t="s">
        <v>454</v>
      </c>
      <c r="D345" s="206" t="s">
        <v>455</v>
      </c>
      <c r="E345" s="206" t="s">
        <v>596</v>
      </c>
      <c r="F345" s="206">
        <v>656</v>
      </c>
      <c r="G345" s="209">
        <v>3486</v>
      </c>
      <c r="H345" s="206"/>
      <c r="I345" s="206" t="s">
        <v>47</v>
      </c>
      <c r="J345" s="207">
        <v>44104</v>
      </c>
      <c r="K345" s="206">
        <v>0</v>
      </c>
      <c r="L345" s="206" t="s">
        <v>282</v>
      </c>
      <c r="M345" s="208">
        <v>0</v>
      </c>
      <c r="N345" s="208">
        <v>0</v>
      </c>
      <c r="O345" s="316">
        <v>0</v>
      </c>
      <c r="P345" s="317">
        <v>46</v>
      </c>
      <c r="Q345" s="317"/>
      <c r="R345" s="318">
        <v>0</v>
      </c>
      <c r="S345" s="318">
        <v>46</v>
      </c>
      <c r="T345" s="318"/>
      <c r="U345" s="318"/>
      <c r="V345" s="318"/>
      <c r="W345" s="318"/>
      <c r="X345" s="318"/>
      <c r="Y345" s="318">
        <v>8</v>
      </c>
      <c r="Z345" s="318" t="s">
        <v>2783</v>
      </c>
      <c r="AA345" s="310">
        <v>243</v>
      </c>
      <c r="AB345" s="310">
        <v>58</v>
      </c>
      <c r="AC345" s="66">
        <v>84</v>
      </c>
      <c r="AD345" s="66"/>
      <c r="AE345" s="310">
        <v>297</v>
      </c>
      <c r="AF345" s="310" t="s">
        <v>283</v>
      </c>
      <c r="AG345" s="311" t="s">
        <v>1358</v>
      </c>
      <c r="AH345" s="311">
        <v>0</v>
      </c>
      <c r="AI345" s="310">
        <v>2</v>
      </c>
      <c r="AJ345" s="310"/>
      <c r="AK345" s="841">
        <v>1</v>
      </c>
      <c r="AL345" s="842" t="s">
        <v>284</v>
      </c>
      <c r="AM345" s="842">
        <v>656</v>
      </c>
      <c r="AN345" s="863">
        <v>0</v>
      </c>
      <c r="AO345" s="863">
        <v>5</v>
      </c>
      <c r="AP345" s="843">
        <v>656</v>
      </c>
      <c r="AQ345" s="843">
        <v>656</v>
      </c>
      <c r="AR345" s="843" t="s">
        <v>282</v>
      </c>
      <c r="AS345" s="843"/>
      <c r="AT345" s="843"/>
      <c r="AU345" s="843"/>
      <c r="AV345" s="844"/>
      <c r="AW345" s="208" t="str">
        <f>IFERROR(WWWW[[#This Row],['# of Water passed at source]]/WWWW[[#This Row],['# of Water tested at source]],"no test")</f>
        <v>no test</v>
      </c>
      <c r="AX345" s="211" t="str">
        <f>IFERROR(WWWW[[#This Row],['# of Water passed at HH]]/WWWW[[#This Row],['# of Water tested at HH]],"no test")</f>
        <v>no test</v>
      </c>
      <c r="AY345" s="210" t="str">
        <f>IF(AND(WWWW[[#This Row],[%of Water samples which passed at water source]]="no test",WWWW[[#This Row],[%Water samples which passed at HH]]="no test"),"No Test","Tested")</f>
        <v>No Test</v>
      </c>
      <c r="AZ34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4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45" s="211">
        <f>IF(WWWW[[#This Row],[Location Type 1]]="Village",WWWW[[#This Row],[Access to safe drinking water for Village]],WWWW[[#This Row],[Access to safe drinking water for Camp]])</f>
        <v>1</v>
      </c>
      <c r="BC345" s="209">
        <f>WWWW[[#This Row],[%Equitable and continuous access to sufficient quantity of safe drinking water]]*WWWW[[#This Row],[Total PoP ]]</f>
        <v>3486</v>
      </c>
      <c r="BD345" s="211">
        <f>IF((WWWW[[#This Row],['# Existing protected/fenced ponds ]]*250)/WWWW[[#This Row],[Total PoP ]]&gt;1,1,WWWW[[#This Row],['# Existing protected/fenced ponds ]]*250/WWWW[[#This Row],[Total PoP ]])</f>
        <v>0</v>
      </c>
      <c r="BE345" s="209">
        <f>WWWW[[#This Row],[Access to unimproved water points]]*WWWW[[#This Row],[Total PoP ]]</f>
        <v>0</v>
      </c>
      <c r="BF34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4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3486</v>
      </c>
      <c r="BH345" s="209">
        <f>WWWW[[#This Row],['#people Equitable and continuous access to sufficient quantity of domestic water borehole n ponds_2]]/500</f>
        <v>6.9720000000000004</v>
      </c>
      <c r="BI345" s="208">
        <f>1-WWWW[[#This Row],[%Equitable and continuous access to sufficient quantity of domestic water borehole n ponds]]</f>
        <v>0</v>
      </c>
      <c r="BJ345" s="209">
        <f>WWWW[[#This Row],[%equitable and continuous access to sufficient quantity of safe drinking and domestic water''s GAP]]*WWWW[[#This Row],[Total PoP ]]</f>
        <v>0</v>
      </c>
      <c r="BK345" s="210">
        <f>IF(WWWW[[#This Row],[Total required water points]]-WWWW[[#This Row],['#Water points coverage]]&lt;0,0,WWWW[[#This Row],[Total required water points]]-WWWW[[#This Row],['#Water points coverage]])</f>
        <v>2.7999999999999581E-2</v>
      </c>
      <c r="BL345" s="210">
        <f>ROUND(IF(WWWW[[#This Row],[Total PoP ]]&lt;500,1,WWWW[[#This Row],[Total PoP ]]/500),0)</f>
        <v>7</v>
      </c>
      <c r="BM345" s="210">
        <f>WWWW[[#This Row],['# Existing functional latrines]]+WWWW[[#This Row],['# Existing latrines dysfunctional]]</f>
        <v>301</v>
      </c>
      <c r="BN34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45" s="352">
        <f>WWWW[[#This Row],[% people access to functioning Latrine]]*WWWW[[#This Row],[Total PoP ]]</f>
        <v>3486</v>
      </c>
      <c r="BP34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45" s="209">
        <f>IF(WWWW[[#This Row],[Total required Latrines]]-WWWW[[#This Row],[Total '# of latrine]]&lt;0,0,WWWW[[#This Row],[Total required Latrines]]-WWWW[[#This Row],[Total '# of latrine]])</f>
        <v>0</v>
      </c>
      <c r="BR345" s="210">
        <f>ROUND(IF(WWWW[[#This Row],[Location Type 1]]="camp",WWWW[[#This Row],[Total PoP ]]/20,WWWW[[#This Row],[Total PoP ]]/6),0)</f>
        <v>174</v>
      </c>
      <c r="BS345" s="212">
        <f>IF(OR(WWWW[[#This Row],['# Existing latrines dysfunctional]]="",WWWW[[#This Row],['# Existing latrines dysfunctional]]=0),0,WWWW[[#This Row],['# Existing latrines dysfunctional]]/WWWW[[#This Row],[Total '# of latrine]])</f>
        <v>0.19269102990033224</v>
      </c>
      <c r="BT34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1680</v>
      </c>
      <c r="BU345" s="209">
        <f>IF(500*WWWW[[#This Row],['# Hygiene Promoters ]]&gt;WWWW[[#This Row],[Total PoP ]],WWWW[[#This Row],[Total PoP ]],500*WWWW[[#This Row],['# Hygiene Promoters ]])</f>
        <v>2500</v>
      </c>
      <c r="BV345" s="209">
        <f>IF(WWWW[[#This Row],[% of HH with access to Sanitary Pad]]&gt;=100%,1,0)</f>
        <v>1</v>
      </c>
      <c r="BW345" s="209">
        <f>IF(WWWW[[#This Row],[Total PoP ]]=0,0,IF(WWWW[[#This Row],['# Hygiene Promoters ]]=0,0,IF(WWWW[[#This Row],[Location Type 1]]="Village",IF(WWWW[[#This Row],[Total PoP ]]/WWWW[[#This Row],['# Hygiene Promoters ]]&lt;1000,1,0),IF(WWWW[[#This Row],[Total PoP ]]/WWWW[[#This Row],['# Hygiene Promoters ]]&lt;600,1,0))))</f>
        <v>0</v>
      </c>
      <c r="BX345" s="209">
        <f>IF(WWWW[[#This Row],[%HH with access to soap]]&gt;=100%,1,0)</f>
        <v>1</v>
      </c>
      <c r="BY345" s="209">
        <f>IF(WWWW[[#This Row],[% of HHs with access to Sanitary pad more than '#%]]+WWWW[[#This Row],[Ratio of Hyiene promoters to people less than '#]]+WWWW[[#This Row],[% of HHs with access to soap more than '#%]]&gt;=2,WWWW[[#This Row],[Total PoP ]],0)</f>
        <v>3486</v>
      </c>
      <c r="BZ345" s="208">
        <f>WWWW[[#This Row],[People adopt basic personal and community hygiene practices]]/WWWW[[#This Row],[Total PoP ]]</f>
        <v>1</v>
      </c>
      <c r="CA345" s="212">
        <f>1-WWWW[[#This Row],[Hygiene Coverage%]]</f>
        <v>0</v>
      </c>
      <c r="CB345" s="211">
        <f>WWWW[[#This Row],['# people reached by regular dedicated hygiene promotion_5]]/WWWW[[#This Row],[Total PoP ]]</f>
        <v>0.71715433161216291</v>
      </c>
      <c r="CC345" s="211">
        <f>IF(WWWW[[#This Row],['# HH received soaps]]/WWWW[[#This Row],[Total HH]]&gt;1,1,WWWW[[#This Row],['# HH received soaps]]/WWWW[[#This Row],[Total HH]])</f>
        <v>1</v>
      </c>
      <c r="CD345" s="211">
        <f>IF(WWWW[[#This Row],['# HH received Sanitary Pads]]/WWWW[[#This Row],[Total HH]]&gt;1,1,WWWW[[#This Row],['# HH received Sanitary Pads]]/WWWW[[#This Row],[Total HH]])</f>
        <v>1</v>
      </c>
      <c r="CE345" s="210">
        <f>WWWW[[#This Row],['# HH received soaps]]*5</f>
        <v>3280</v>
      </c>
      <c r="CF345" s="210">
        <f>WWWW[[#This Row],['# HH received Sanitary Pads]]*5</f>
        <v>3280</v>
      </c>
      <c r="CG345" s="210">
        <f>IF(WWWW[[#This Row],['# People with access to soap]]&gt;WWWW[[#This Row],['# People with access to Sanity Pads]],WWWW[[#This Row],['# People with access to soap]],WWWW[[#This Row],['# People with access to Sanity Pads]])</f>
        <v>3280</v>
      </c>
      <c r="CH345" s="209">
        <f>WWWW[[#This Row],[Total HH]]*WWWW[[#This Row],[%HHs with access to functional hand washing stations]]</f>
        <v>656</v>
      </c>
      <c r="CI345" s="699" t="str">
        <f>VLOOKUP(WWWW[[#This Row],[Site Name]],SiteDB6[[Site Name]:[CCCM Management]],6,FALSE)</f>
        <v>Yes</v>
      </c>
      <c r="CJ345" s="699">
        <f>VLOOKUP(WWWW[[#This Row],[Site Name]],SiteDB6[[Site Name]:[CCCM Focal Agency]],7,FALSE)</f>
        <v>0</v>
      </c>
      <c r="CK345" s="699" t="str">
        <f>VLOOKUP(WWWW[[#This Row],[Site Name]],SiteDB6[[Site Name]:[Location Type]],8,FALSE)</f>
        <v>Camp</v>
      </c>
      <c r="CL345" s="699" t="str">
        <f>VLOOKUP(WWWW[[#This Row],[Site Name]],SiteDB6[[Site Name]:[Location Type 1]],9,FALSE)</f>
        <v>Camp</v>
      </c>
      <c r="CM345" s="699" t="str">
        <f>VLOOKUP(WWWW[[#This Row],[Site Name]],SiteDB6[[Site Name]:[Type of Accommodation]],10,FALSE)</f>
        <v>Planned Camp</v>
      </c>
      <c r="CN345" s="699" t="str">
        <f>VLOOKUP(WWWW[[#This Row],[Site Name]],SiteDB6[[Site Name]:[Ethnic or GCA/NGCA]],11,FALSE)</f>
        <v>Muslim</v>
      </c>
      <c r="CO345" s="699">
        <f>VLOOKUP(WWWW[[#This Row],[Site Name]],SiteDB6[[Site Name]:[Lat]],12,FALSE)</f>
        <v>20.185917</v>
      </c>
      <c r="CP345" s="699">
        <f>VLOOKUP(WWWW[[#This Row],[Site Name]],SiteDB6[[Site Name]:[Long]],13,FALSE)</f>
        <v>92.831000000000003</v>
      </c>
      <c r="CQ345" s="699" t="str">
        <f>VLOOKUP(WWWW[[#This Row],[Site Name]],SiteDB6[[Site Name]:[Pcode]],3,FALSE)</f>
        <v>MMR012CMP092</v>
      </c>
      <c r="CR345" s="660" t="str">
        <f t="shared" si="8"/>
        <v>Covered</v>
      </c>
      <c r="CS345" s="660"/>
      <c r="CT345" s="24"/>
      <c r="CU345" s="24"/>
      <c r="CV345" s="24"/>
    </row>
    <row r="346" spans="1:100" ht="16.5" customHeight="1" x14ac:dyDescent="0.25">
      <c r="A346" s="833" t="s">
        <v>3206</v>
      </c>
      <c r="B346" s="206" t="s">
        <v>460</v>
      </c>
      <c r="C346" s="206" t="s">
        <v>454</v>
      </c>
      <c r="D346" s="206" t="s">
        <v>455</v>
      </c>
      <c r="E346" s="206" t="s">
        <v>2447</v>
      </c>
      <c r="F346" s="206">
        <v>14</v>
      </c>
      <c r="G346" s="209">
        <v>93</v>
      </c>
      <c r="H346" s="206"/>
      <c r="I346" s="206"/>
      <c r="J346" s="207"/>
      <c r="K346" s="206"/>
      <c r="L346" s="206" t="s">
        <v>282</v>
      </c>
      <c r="M346" s="208">
        <v>0</v>
      </c>
      <c r="N346" s="208">
        <v>0</v>
      </c>
      <c r="O346" s="316">
        <v>0</v>
      </c>
      <c r="P346" s="317">
        <v>0</v>
      </c>
      <c r="Q346" s="317">
        <v>0</v>
      </c>
      <c r="R346" s="318">
        <v>0</v>
      </c>
      <c r="S346" s="318">
        <v>0</v>
      </c>
      <c r="T346" s="318"/>
      <c r="U346" s="318"/>
      <c r="V346" s="318"/>
      <c r="W346" s="318"/>
      <c r="X346" s="318"/>
      <c r="Y346" s="318"/>
      <c r="Z346" s="318"/>
      <c r="AA346" s="310">
        <v>0</v>
      </c>
      <c r="AB346" s="310">
        <v>0</v>
      </c>
      <c r="AC346" s="66"/>
      <c r="AD346" s="66"/>
      <c r="AE346" s="310">
        <v>0</v>
      </c>
      <c r="AF346" s="310" t="s">
        <v>332</v>
      </c>
      <c r="AG346" s="311" t="s">
        <v>332</v>
      </c>
      <c r="AH346" s="311"/>
      <c r="AI346" s="310"/>
      <c r="AJ346" s="310"/>
      <c r="AK346" s="841">
        <v>0</v>
      </c>
      <c r="AL346" s="842" t="s">
        <v>284</v>
      </c>
      <c r="AM346" s="842">
        <v>0</v>
      </c>
      <c r="AN346" s="863">
        <v>0</v>
      </c>
      <c r="AO346" s="863">
        <v>0</v>
      </c>
      <c r="AP346" s="843"/>
      <c r="AQ346" s="843"/>
      <c r="AR346" s="843"/>
      <c r="AS346" s="843"/>
      <c r="AT346" s="843"/>
      <c r="AU346" s="843"/>
      <c r="AV346" s="844"/>
      <c r="AW346" s="208" t="str">
        <f>IFERROR(WWWW[[#This Row],['# of Water passed at source]]/WWWW[[#This Row],['# of Water tested at source]],"no test")</f>
        <v>no test</v>
      </c>
      <c r="AX346" s="211" t="str">
        <f>IFERROR(WWWW[[#This Row],['# of Water passed at HH]]/WWWW[[#This Row],['# of Water tested at HH]],"no test")</f>
        <v>no test</v>
      </c>
      <c r="AY346" s="210" t="str">
        <f>IF(AND(WWWW[[#This Row],[%of Water samples which passed at water source]]="no test",WWWW[[#This Row],[%Water samples which passed at HH]]="no test"),"No Test","Tested")</f>
        <v>No Test</v>
      </c>
      <c r="AZ34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4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46" s="211">
        <f>IF(WWWW[[#This Row],[Location Type 1]]="Village",WWWW[[#This Row],[Access to safe drinking water for Village]],WWWW[[#This Row],[Access to safe drinking water for Camp]])</f>
        <v>0</v>
      </c>
      <c r="BC346" s="209">
        <f>WWWW[[#This Row],[%Equitable and continuous access to sufficient quantity of safe drinking water]]*WWWW[[#This Row],[Total PoP ]]</f>
        <v>0</v>
      </c>
      <c r="BD346" s="211">
        <f>IF((WWWW[[#This Row],['# Existing protected/fenced ponds ]]*250)/WWWW[[#This Row],[Total PoP ]]&gt;1,1,WWWW[[#This Row],['# Existing protected/fenced ponds ]]*250/WWWW[[#This Row],[Total PoP ]])</f>
        <v>0</v>
      </c>
      <c r="BE346" s="209">
        <f>WWWW[[#This Row],[Access to unimproved water points]]*WWWW[[#This Row],[Total PoP ]]</f>
        <v>0</v>
      </c>
      <c r="BF34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4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46" s="209">
        <f>WWWW[[#This Row],['#people Equitable and continuous access to sufficient quantity of domestic water borehole n ponds_2]]/500</f>
        <v>0</v>
      </c>
      <c r="BI346" s="208">
        <f>1-WWWW[[#This Row],[%Equitable and continuous access to sufficient quantity of domestic water borehole n ponds]]</f>
        <v>1</v>
      </c>
      <c r="BJ346" s="209">
        <f>WWWW[[#This Row],[%equitable and continuous access to sufficient quantity of safe drinking and domestic water''s GAP]]*WWWW[[#This Row],[Total PoP ]]</f>
        <v>93</v>
      </c>
      <c r="BK346" s="210">
        <f>IF(WWWW[[#This Row],[Total required water points]]-WWWW[[#This Row],['#Water points coverage]]&lt;0,0,WWWW[[#This Row],[Total required water points]]-WWWW[[#This Row],['#Water points coverage]])</f>
        <v>1</v>
      </c>
      <c r="BL346" s="210">
        <f>ROUND(IF(WWWW[[#This Row],[Total PoP ]]&lt;500,1,WWWW[[#This Row],[Total PoP ]]/500),0)</f>
        <v>1</v>
      </c>
      <c r="BM346" s="210">
        <f>WWWW[[#This Row],['# Existing functional latrines]]+WWWW[[#This Row],['# Existing latrines dysfunctional]]</f>
        <v>0</v>
      </c>
      <c r="BN34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46" s="352">
        <f>WWWW[[#This Row],[% people access to functioning Latrine]]*WWWW[[#This Row],[Total PoP ]]</f>
        <v>0</v>
      </c>
      <c r="BP34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46" s="209">
        <f>IF(WWWW[[#This Row],[Total required Latrines]]-WWWW[[#This Row],[Total '# of latrine]]&lt;0,0,WWWW[[#This Row],[Total required Latrines]]-WWWW[[#This Row],[Total '# of latrine]])</f>
        <v>16</v>
      </c>
      <c r="BR346" s="210">
        <f>ROUND(IF(WWWW[[#This Row],[Location Type 1]]="camp",WWWW[[#This Row],[Total PoP ]]/20,WWWW[[#This Row],[Total PoP ]]/6),0)</f>
        <v>16</v>
      </c>
      <c r="BS346" s="212">
        <f>IF(OR(WWWW[[#This Row],['# Existing latrines dysfunctional]]="",WWWW[[#This Row],['# Existing latrines dysfunctional]]=0),0,WWWW[[#This Row],['# Existing latrines dysfunctional]]/WWWW[[#This Row],[Total '# of latrine]])</f>
        <v>0</v>
      </c>
      <c r="BT34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46" s="209">
        <f>IF(500*WWWW[[#This Row],['# Hygiene Promoters ]]&gt;WWWW[[#This Row],[Total PoP ]],WWWW[[#This Row],[Total PoP ]],500*WWWW[[#This Row],['# Hygiene Promoters ]])</f>
        <v>0</v>
      </c>
      <c r="BV346" s="209">
        <f>IF(WWWW[[#This Row],[% of HH with access to Sanitary Pad]]&gt;=100%,1,0)</f>
        <v>0</v>
      </c>
      <c r="BW346" s="209">
        <f>IF(WWWW[[#This Row],[Total PoP ]]=0,0,IF(WWWW[[#This Row],['# Hygiene Promoters ]]=0,0,IF(WWWW[[#This Row],[Location Type 1]]="Village",IF(WWWW[[#This Row],[Total PoP ]]/WWWW[[#This Row],['# Hygiene Promoters ]]&lt;1000,1,0),IF(WWWW[[#This Row],[Total PoP ]]/WWWW[[#This Row],['# Hygiene Promoters ]]&lt;600,1,0))))</f>
        <v>0</v>
      </c>
      <c r="BX346" s="209">
        <f>IF(WWWW[[#This Row],[%HH with access to soap]]&gt;=100%,1,0)</f>
        <v>0</v>
      </c>
      <c r="BY346" s="209">
        <f>IF(WWWW[[#This Row],[% of HHs with access to Sanitary pad more than '#%]]+WWWW[[#This Row],[Ratio of Hyiene promoters to people less than '#]]+WWWW[[#This Row],[% of HHs with access to soap more than '#%]]&gt;=2,WWWW[[#This Row],[Total PoP ]],0)</f>
        <v>0</v>
      </c>
      <c r="BZ346" s="208">
        <f>WWWW[[#This Row],[People adopt basic personal and community hygiene practices]]/WWWW[[#This Row],[Total PoP ]]</f>
        <v>0</v>
      </c>
      <c r="CA346" s="212">
        <f>1-WWWW[[#This Row],[Hygiene Coverage%]]</f>
        <v>1</v>
      </c>
      <c r="CB346" s="211">
        <f>WWWW[[#This Row],['# people reached by regular dedicated hygiene promotion_5]]/WWWW[[#This Row],[Total PoP ]]</f>
        <v>0</v>
      </c>
      <c r="CC346" s="211">
        <f>IF(WWWW[[#This Row],['# HH received soaps]]/WWWW[[#This Row],[Total HH]]&gt;1,1,WWWW[[#This Row],['# HH received soaps]]/WWWW[[#This Row],[Total HH]])</f>
        <v>0</v>
      </c>
      <c r="CD346" s="211">
        <f>IF(WWWW[[#This Row],['# HH received Sanitary Pads]]/WWWW[[#This Row],[Total HH]]&gt;1,1,WWWW[[#This Row],['# HH received Sanitary Pads]]/WWWW[[#This Row],[Total HH]])</f>
        <v>0</v>
      </c>
      <c r="CE346" s="210">
        <f>WWWW[[#This Row],['# HH received soaps]]*5</f>
        <v>0</v>
      </c>
      <c r="CF346" s="210">
        <f>WWWW[[#This Row],['# HH received Sanitary Pads]]*5</f>
        <v>0</v>
      </c>
      <c r="CG346" s="210">
        <f>IF(WWWW[[#This Row],['# People with access to soap]]&gt;WWWW[[#This Row],['# People with access to Sanity Pads]],WWWW[[#This Row],['# People with access to soap]],WWWW[[#This Row],['# People with access to Sanity Pads]])</f>
        <v>0</v>
      </c>
      <c r="CH346" s="209">
        <f>WWWW[[#This Row],[Total HH]]*WWWW[[#This Row],[%HHs with access to functional hand washing stations]]</f>
        <v>0</v>
      </c>
      <c r="CI346" s="699">
        <f>VLOOKUP(WWWW[[#This Row],[Site Name]],SiteDB6[[Site Name]:[CCCM Management]],6,FALSE)</f>
        <v>0</v>
      </c>
      <c r="CJ346" s="699">
        <f>VLOOKUP(WWWW[[#This Row],[Site Name]],SiteDB6[[Site Name]:[CCCM Focal Agency]],7,FALSE)</f>
        <v>0</v>
      </c>
      <c r="CK346" s="699" t="str">
        <f>VLOOKUP(WWWW[[#This Row],[Site Name]],SiteDB6[[Site Name]:[Location Type]],8,FALSE)</f>
        <v>Village</v>
      </c>
      <c r="CL346" s="699" t="str">
        <f>VLOOKUP(WWWW[[#This Row],[Site Name]],SiteDB6[[Site Name]:[Location Type 1]],9,FALSE)</f>
        <v>Village</v>
      </c>
      <c r="CM346" s="699" t="str">
        <f>VLOOKUP(WWWW[[#This Row],[Site Name]],SiteDB6[[Site Name]:[Type of Accommodation]],10,FALSE)</f>
        <v>Village</v>
      </c>
      <c r="CN346" s="699" t="str">
        <f>VLOOKUP(WWWW[[#This Row],[Site Name]],SiteDB6[[Site Name]:[Ethnic or GCA/NGCA]],11,FALSE)</f>
        <v>Muslim</v>
      </c>
      <c r="CO346" s="699">
        <f>VLOOKUP(WWWW[[#This Row],[Site Name]],SiteDB6[[Site Name]:[Lat]],12,FALSE)</f>
        <v>0</v>
      </c>
      <c r="CP346" s="699">
        <f>VLOOKUP(WWWW[[#This Row],[Site Name]],SiteDB6[[Site Name]:[Long]],13,FALSE)</f>
        <v>0</v>
      </c>
      <c r="CQ346" s="699">
        <f>VLOOKUP(WWWW[[#This Row],[Site Name]],SiteDB6[[Site Name]:[Pcode]],3,FALSE)</f>
        <v>0</v>
      </c>
      <c r="CR346" s="660" t="str">
        <f t="shared" si="8"/>
        <v>Notcovered</v>
      </c>
      <c r="CS346" s="660"/>
      <c r="CT346" s="24"/>
      <c r="CU346" s="24"/>
      <c r="CV346" s="24"/>
    </row>
    <row r="347" spans="1:100" ht="16.5" customHeight="1" x14ac:dyDescent="0.25">
      <c r="A347" s="833" t="s">
        <v>3206</v>
      </c>
      <c r="B347" s="206" t="s">
        <v>426</v>
      </c>
      <c r="C347" s="206" t="s">
        <v>454</v>
      </c>
      <c r="D347" s="206" t="s">
        <v>563</v>
      </c>
      <c r="E347" s="206" t="s">
        <v>568</v>
      </c>
      <c r="F347" s="206">
        <v>1010</v>
      </c>
      <c r="G347" s="209">
        <v>4588</v>
      </c>
      <c r="H347" s="206"/>
      <c r="I347" s="206" t="s">
        <v>2910</v>
      </c>
      <c r="J347" s="207" t="s">
        <v>2911</v>
      </c>
      <c r="K347" s="206">
        <v>7</v>
      </c>
      <c r="L347" s="206" t="s">
        <v>282</v>
      </c>
      <c r="M347" s="208">
        <v>0</v>
      </c>
      <c r="N347" s="208">
        <v>0</v>
      </c>
      <c r="O347" s="316">
        <v>0</v>
      </c>
      <c r="P347" s="317">
        <v>0</v>
      </c>
      <c r="Q347" s="317">
        <v>0</v>
      </c>
      <c r="R347" s="318">
        <v>1</v>
      </c>
      <c r="S347" s="318">
        <v>0</v>
      </c>
      <c r="T347" s="318">
        <v>0</v>
      </c>
      <c r="U347" s="318">
        <v>0</v>
      </c>
      <c r="V347" s="318"/>
      <c r="W347" s="318">
        <v>38</v>
      </c>
      <c r="X347" s="318">
        <v>21</v>
      </c>
      <c r="Y347" s="318">
        <v>0</v>
      </c>
      <c r="Z347" s="318" t="s">
        <v>2784</v>
      </c>
      <c r="AA347" s="310">
        <v>105</v>
      </c>
      <c r="AB347" s="310">
        <v>27</v>
      </c>
      <c r="AC347" s="66">
        <v>132</v>
      </c>
      <c r="AD347" s="66" t="s">
        <v>2785</v>
      </c>
      <c r="AE347" s="310">
        <v>0</v>
      </c>
      <c r="AF347" s="310" t="s">
        <v>1358</v>
      </c>
      <c r="AG347" s="311" t="s">
        <v>1358</v>
      </c>
      <c r="AH347" s="311">
        <v>18.876190476190477</v>
      </c>
      <c r="AI347" s="310">
        <v>0</v>
      </c>
      <c r="AJ347" s="310"/>
      <c r="AK347" s="841">
        <v>0</v>
      </c>
      <c r="AL347" s="842" t="s">
        <v>284</v>
      </c>
      <c r="AM347" s="842">
        <v>0</v>
      </c>
      <c r="AN347" s="863">
        <v>0</v>
      </c>
      <c r="AO347" s="863">
        <v>9</v>
      </c>
      <c r="AP347" s="843">
        <v>1010</v>
      </c>
      <c r="AQ347" s="843">
        <v>1010</v>
      </c>
      <c r="AR347" s="843"/>
      <c r="AS347" s="843"/>
      <c r="AT347" s="843"/>
      <c r="AU347" s="843"/>
      <c r="AV347" s="876" t="s">
        <v>3213</v>
      </c>
      <c r="AW347" s="208" t="str">
        <f>IFERROR(WWWW[[#This Row],['# of Water passed at source]]/WWWW[[#This Row],['# of Water tested at source]],"no test")</f>
        <v>no test</v>
      </c>
      <c r="AX347" s="211">
        <f>IFERROR(WWWW[[#This Row],['# of Water passed at HH]]/WWWW[[#This Row],['# of Water tested at HH]],"no test")</f>
        <v>0.55263157894736847</v>
      </c>
      <c r="AY347" s="210" t="str">
        <f>IF(AND(WWWW[[#This Row],[%of Water samples which passed at water source]]="no test",WWWW[[#This Row],[%Water samples which passed at HH]]="no test"),"No Test","Tested")</f>
        <v>Tested</v>
      </c>
      <c r="AZ34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4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47" s="211">
        <f>IF(WWWW[[#This Row],[Location Type 1]]="Village",WWWW[[#This Row],[Access to safe drinking water for Village]],WWWW[[#This Row],[Access to safe drinking water for Camp]])</f>
        <v>0</v>
      </c>
      <c r="BC347" s="209">
        <f>WWWW[[#This Row],[%Equitable and continuous access to sufficient quantity of safe drinking water]]*WWWW[[#This Row],[Total PoP ]]</f>
        <v>0</v>
      </c>
      <c r="BD347" s="211">
        <f>IF((WWWW[[#This Row],['# Existing protected/fenced ponds ]]*250)/WWWW[[#This Row],[Total PoP ]]&gt;1,1,WWWW[[#This Row],['# Existing protected/fenced ponds ]]*250/WWWW[[#This Row],[Total PoP ]])</f>
        <v>5.4489973844812557E-2</v>
      </c>
      <c r="BE347" s="209">
        <f>WWWW[[#This Row],[Access to unimproved water points]]*WWWW[[#This Row],[Total PoP ]]</f>
        <v>250</v>
      </c>
      <c r="BF34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5.4489973844812557E-2</v>
      </c>
      <c r="BG34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H347" s="209">
        <f>ROUND(WWWW[[#This Row],['#people Equitable and continuous access to sufficient quantity of domestic water borehole n ponds_2]]/500,0)</f>
        <v>1</v>
      </c>
      <c r="BI347" s="208">
        <f>1-WWWW[[#This Row],[%Equitable and continuous access to sufficient quantity of domestic water borehole n ponds]]</f>
        <v>0.94551002615518742</v>
      </c>
      <c r="BJ347" s="209">
        <f>WWWW[[#This Row],[%equitable and continuous access to sufficient quantity of safe drinking and domestic water''s GAP]]*WWWW[[#This Row],[Total PoP ]]</f>
        <v>4338</v>
      </c>
      <c r="BK347" s="210">
        <f>IF(WWWW[[#This Row],[Total required water points]]-WWWW[[#This Row],['#Water points coverage]]&lt;0,0,WWWW[[#This Row],[Total required water points]]-WWWW[[#This Row],['#Water points coverage]])</f>
        <v>8</v>
      </c>
      <c r="BL347" s="210">
        <f>ROUND(IF(WWWW[[#This Row],[Total PoP ]]&lt;500,1,WWWW[[#This Row],[Total PoP ]]/500),0)</f>
        <v>9</v>
      </c>
      <c r="BM347" s="210">
        <f>WWWW[[#This Row],['# Existing functional latrines]]+WWWW[[#This Row],['# Existing latrines dysfunctional]]</f>
        <v>132</v>
      </c>
      <c r="BN34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0.45771578029642546</v>
      </c>
      <c r="BO347" s="352">
        <f>WWWW[[#This Row],[% people access to functioning Latrine]]*WWWW[[#This Row],[Total PoP ]]</f>
        <v>2100</v>
      </c>
      <c r="BP34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0.42284219703574544</v>
      </c>
      <c r="BQ347" s="209">
        <f>IF(WWWW[[#This Row],[Total required Latrines]]-WWWW[[#This Row],[Total '# of latrine]]&lt;0,0,WWWW[[#This Row],[Total required Latrines]]-WWWW[[#This Row],[Total '# of latrine]])</f>
        <v>97</v>
      </c>
      <c r="BR347" s="210">
        <f>ROUND(IF(WWWW[[#This Row],[Location Type 1]]="camp",WWWW[[#This Row],[Total PoP ]]/20,WWWW[[#This Row],[Total PoP ]]/6),0)</f>
        <v>229</v>
      </c>
      <c r="BS347" s="212">
        <f>IF(OR(WWWW[[#This Row],['# Existing latrines dysfunctional]]="",WWWW[[#This Row],['# Existing latrines dysfunctional]]=0),0,WWWW[[#This Row],['# Existing latrines dysfunctional]]/WWWW[[#This Row],[Total '# of latrine]])</f>
        <v>0.20454545454545456</v>
      </c>
      <c r="BT34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2640</v>
      </c>
      <c r="BU347" s="209">
        <f>IF(500*WWWW[[#This Row],['# Hygiene Promoters ]]&gt;WWWW[[#This Row],[Total PoP ]],WWWW[[#This Row],[Total PoP ]],500*WWWW[[#This Row],['# Hygiene Promoters ]])</f>
        <v>4500</v>
      </c>
      <c r="BV347" s="209">
        <f>IF(WWWW[[#This Row],[% of HH with access to Sanitary Pad]]&gt;=100%,1,0)</f>
        <v>1</v>
      </c>
      <c r="BW347" s="209">
        <f>IF(WWWW[[#This Row],[Total PoP ]]=0,0,IF(WWWW[[#This Row],['# Hygiene Promoters ]]=0,0,IF(WWWW[[#This Row],[Location Type 1]]="Village",IF(WWWW[[#This Row],[Total PoP ]]/WWWW[[#This Row],['# Hygiene Promoters ]]&lt;1000,1,0),IF(WWWW[[#This Row],[Total PoP ]]/WWWW[[#This Row],['# Hygiene Promoters ]]&lt;600,1,0))))</f>
        <v>1</v>
      </c>
      <c r="BX347" s="209">
        <f>IF(WWWW[[#This Row],[%HH with access to soap]]&gt;=100%,1,0)</f>
        <v>1</v>
      </c>
      <c r="BY347" s="209">
        <f>IF(WWWW[[#This Row],[% of HHs with access to Sanitary pad more than '#%]]+WWWW[[#This Row],[Ratio of Hyiene promoters to people less than '#]]+WWWW[[#This Row],[% of HHs with access to soap more than '#%]]&gt;=2,WWWW[[#This Row],[Total PoP ]],0)</f>
        <v>4588</v>
      </c>
      <c r="BZ347" s="208">
        <f>WWWW[[#This Row],[People adopt basic personal and community hygiene practices]]/WWWW[[#This Row],[Total PoP ]]</f>
        <v>1</v>
      </c>
      <c r="CA347" s="212">
        <f>1-WWWW[[#This Row],[Hygiene Coverage%]]</f>
        <v>0</v>
      </c>
      <c r="CB347" s="211">
        <f>WWWW[[#This Row],['# people reached by regular dedicated hygiene promotion_5]]/WWWW[[#This Row],[Total PoP ]]</f>
        <v>0.98081952920662596</v>
      </c>
      <c r="CC347" s="211">
        <f>IF(WWWW[[#This Row],['# HH received soaps]]/WWWW[[#This Row],[Total HH]]&gt;1,1,WWWW[[#This Row],['# HH received soaps]]/WWWW[[#This Row],[Total HH]])</f>
        <v>1</v>
      </c>
      <c r="CD347" s="211">
        <f>IF(WWWW[[#This Row],['# HH received Sanitary Pads]]/WWWW[[#This Row],[Total HH]]&gt;1,1,WWWW[[#This Row],['# HH received Sanitary Pads]]/WWWW[[#This Row],[Total HH]])</f>
        <v>1</v>
      </c>
      <c r="CE347" s="210">
        <f>WWWW[[#This Row],['# HH received soaps]]*5</f>
        <v>5050</v>
      </c>
      <c r="CF347" s="210">
        <f>WWWW[[#This Row],['# HH received Sanitary Pads]]*5</f>
        <v>5050</v>
      </c>
      <c r="CG347" s="210">
        <f>IF(WWWW[[#This Row],['# People with access to soap]]&gt;WWWW[[#This Row],['# People with access to Sanity Pads]],WWWW[[#This Row],['# People with access to soap]],WWWW[[#This Row],['# People with access to Sanity Pads]])</f>
        <v>5050</v>
      </c>
      <c r="CH347" s="209">
        <f>WWWW[[#This Row],[Total HH]]*WWWW[[#This Row],[%HHs with access to functional hand washing stations]]</f>
        <v>0</v>
      </c>
      <c r="CI347" s="699" t="str">
        <f>VLOOKUP(WWWW[[#This Row],[Site Name]],SiteDB6[[Site Name]:[CCCM Management]],6,FALSE)</f>
        <v>Yes</v>
      </c>
      <c r="CJ347" s="699">
        <f>VLOOKUP(WWWW[[#This Row],[Site Name]],SiteDB6[[Site Name]:[CCCM Focal Agency]],7,FALSE)</f>
        <v>0</v>
      </c>
      <c r="CK347" s="699" t="str">
        <f>VLOOKUP(WWWW[[#This Row],[Site Name]],SiteDB6[[Site Name]:[Location Type]],8,FALSE)</f>
        <v>Camp</v>
      </c>
      <c r="CL347" s="699" t="str">
        <f>VLOOKUP(WWWW[[#This Row],[Site Name]],SiteDB6[[Site Name]:[Location Type 1]],9,FALSE)</f>
        <v>Camp</v>
      </c>
      <c r="CM347" s="699" t="str">
        <f>VLOOKUP(WWWW[[#This Row],[Site Name]],SiteDB6[[Site Name]:[Type of Accommodation]],10,FALSE)</f>
        <v>Individual House</v>
      </c>
      <c r="CN347" s="699" t="str">
        <f>VLOOKUP(WWWW[[#This Row],[Site Name]],SiteDB6[[Site Name]:[Ethnic or GCA/NGCA]],11,FALSE)</f>
        <v>Muslim</v>
      </c>
      <c r="CO347" s="699">
        <f>VLOOKUP(WWWW[[#This Row],[Site Name]],SiteDB6[[Site Name]:[Lat]],12,FALSE)</f>
        <v>20.073437999999999</v>
      </c>
      <c r="CP347" s="699">
        <f>VLOOKUP(WWWW[[#This Row],[Site Name]],SiteDB6[[Site Name]:[Long]],13,FALSE)</f>
        <v>93.154551999999995</v>
      </c>
      <c r="CQ347" s="699" t="str">
        <f>VLOOKUP(WWWW[[#This Row],[Site Name]],SiteDB6[[Site Name]:[Pcode]],3,FALSE)</f>
        <v>MMR012CMP017</v>
      </c>
      <c r="CR347" s="660" t="str">
        <f t="shared" si="8"/>
        <v>Covered</v>
      </c>
      <c r="CS347" s="660"/>
      <c r="CT347" s="24"/>
      <c r="CU347" s="24"/>
      <c r="CV347" s="24"/>
    </row>
    <row r="348" spans="1:100" ht="16.5" customHeight="1" x14ac:dyDescent="0.25">
      <c r="A348" s="833" t="s">
        <v>3206</v>
      </c>
      <c r="B348" s="206" t="s">
        <v>426</v>
      </c>
      <c r="C348" s="206" t="s">
        <v>454</v>
      </c>
      <c r="D348" s="206" t="s">
        <v>563</v>
      </c>
      <c r="E348" s="206" t="s">
        <v>569</v>
      </c>
      <c r="F348" s="206">
        <v>905</v>
      </c>
      <c r="G348" s="209">
        <v>4086</v>
      </c>
      <c r="H348" s="206"/>
      <c r="I348" s="206" t="s">
        <v>2910</v>
      </c>
      <c r="J348" s="207" t="s">
        <v>2911</v>
      </c>
      <c r="K348" s="206">
        <v>7</v>
      </c>
      <c r="L348" s="206" t="s">
        <v>282</v>
      </c>
      <c r="M348" s="208">
        <v>0</v>
      </c>
      <c r="N348" s="208">
        <v>0</v>
      </c>
      <c r="O348" s="316">
        <v>0</v>
      </c>
      <c r="P348" s="317">
        <v>0</v>
      </c>
      <c r="Q348" s="317">
        <v>17648.351648351647</v>
      </c>
      <c r="R348" s="318">
        <v>3</v>
      </c>
      <c r="S348" s="318">
        <v>0</v>
      </c>
      <c r="T348" s="318">
        <v>0</v>
      </c>
      <c r="U348" s="318">
        <v>142</v>
      </c>
      <c r="V348" s="318">
        <v>142</v>
      </c>
      <c r="W348" s="318">
        <v>39</v>
      </c>
      <c r="X348" s="318">
        <v>16</v>
      </c>
      <c r="Y348" s="318">
        <v>0</v>
      </c>
      <c r="Z348" s="318"/>
      <c r="AA348" s="310">
        <v>110</v>
      </c>
      <c r="AB348" s="310">
        <v>12</v>
      </c>
      <c r="AC348" s="66">
        <v>122</v>
      </c>
      <c r="AD348" s="66" t="s">
        <v>2785</v>
      </c>
      <c r="AE348" s="310">
        <v>0</v>
      </c>
      <c r="AF348" s="310" t="s">
        <v>1358</v>
      </c>
      <c r="AG348" s="311" t="s">
        <v>1358</v>
      </c>
      <c r="AH348" s="311">
        <v>14.672727272727272</v>
      </c>
      <c r="AI348" s="310">
        <v>0</v>
      </c>
      <c r="AJ348" s="310"/>
      <c r="AK348" s="841">
        <v>0</v>
      </c>
      <c r="AL348" s="842" t="s">
        <v>284</v>
      </c>
      <c r="AM348" s="842">
        <v>0</v>
      </c>
      <c r="AN348" s="863">
        <v>0</v>
      </c>
      <c r="AO348" s="863">
        <v>10</v>
      </c>
      <c r="AP348" s="843">
        <v>905</v>
      </c>
      <c r="AQ348" s="843">
        <v>905</v>
      </c>
      <c r="AR348" s="843"/>
      <c r="AS348" s="843"/>
      <c r="AT348" s="843"/>
      <c r="AU348" s="843"/>
      <c r="AV348" s="876" t="s">
        <v>3213</v>
      </c>
      <c r="AW348" s="208">
        <f>IFERROR(WWWW[[#This Row],['# of Water passed at source]]/WWWW[[#This Row],['# of Water tested at source]],"no test")</f>
        <v>1</v>
      </c>
      <c r="AX348" s="211">
        <f>IFERROR(WWWW[[#This Row],['# of Water passed at HH]]/WWWW[[#This Row],['# of Water tested at HH]],"no test")</f>
        <v>0.41025641025641024</v>
      </c>
      <c r="AY348" s="210" t="str">
        <f>IF(AND(WWWW[[#This Row],[%of Water samples which passed at water source]]="no test",WWWW[[#This Row],[%Water samples which passed at HH]]="no test"),"No Test","Tested")</f>
        <v>Tested</v>
      </c>
      <c r="AZ34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0.28794830556945089</v>
      </c>
      <c r="BA34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0.28794830556945089</v>
      </c>
      <c r="BB348" s="211">
        <f>IF(WWWW[[#This Row],[Location Type 1]]="Village",WWWW[[#This Row],[Access to safe drinking water for Village]],WWWW[[#This Row],[Access to safe drinking water for Camp]])</f>
        <v>0.28794830556945089</v>
      </c>
      <c r="BC348" s="209">
        <f>WWWW[[#This Row],[%Equitable and continuous access to sufficient quantity of safe drinking water]]*WWWW[[#This Row],[Total PoP ]]</f>
        <v>1176.5567765567764</v>
      </c>
      <c r="BD348" s="211">
        <f>IF((WWWW[[#This Row],['# Existing protected/fenced ponds ]]*250)/WWWW[[#This Row],[Total PoP ]]&gt;1,1,WWWW[[#This Row],['# Existing protected/fenced ponds ]]*250/WWWW[[#This Row],[Total PoP ]])</f>
        <v>0.18355359765051396</v>
      </c>
      <c r="BE348" s="209">
        <f>WWWW[[#This Row],[Access to unimproved water points]]*WWWW[[#This Row],[Total PoP ]]</f>
        <v>750</v>
      </c>
      <c r="BF34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0.47150190321996488</v>
      </c>
      <c r="BG34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1926.5567765567764</v>
      </c>
      <c r="BH348" s="209">
        <f>ROUND(WWWW[[#This Row],['#people Equitable and continuous access to sufficient quantity of domestic water borehole n ponds_2]]/500,0)</f>
        <v>4</v>
      </c>
      <c r="BI348" s="208">
        <f>1-WWWW[[#This Row],[%Equitable and continuous access to sufficient quantity of domestic water borehole n ponds]]</f>
        <v>0.52849809678003512</v>
      </c>
      <c r="BJ348" s="209">
        <f>WWWW[[#This Row],[%equitable and continuous access to sufficient quantity of safe drinking and domestic water''s GAP]]*WWWW[[#This Row],[Total PoP ]]</f>
        <v>2159.4432234432234</v>
      </c>
      <c r="BK348" s="210">
        <f>IF(WWWW[[#This Row],[Total required water points]]-WWWW[[#This Row],['#Water points coverage]]&lt;0,0,WWWW[[#This Row],[Total required water points]]-WWWW[[#This Row],['#Water points coverage]])</f>
        <v>4</v>
      </c>
      <c r="BL348" s="210">
        <f>ROUND(IF(WWWW[[#This Row],[Total PoP ]]&lt;500,1,WWWW[[#This Row],[Total PoP ]]/500),0)</f>
        <v>8</v>
      </c>
      <c r="BM348" s="210">
        <f>WWWW[[#This Row],['# Existing functional latrines]]+WWWW[[#This Row],['# Existing latrines dysfunctional]]</f>
        <v>122</v>
      </c>
      <c r="BN34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0.53842388644150763</v>
      </c>
      <c r="BO348" s="352">
        <f>WWWW[[#This Row],[% people access to functioning Latrine]]*WWWW[[#This Row],[Total PoP ]]</f>
        <v>2200</v>
      </c>
      <c r="BP34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0.40137053352912383</v>
      </c>
      <c r="BQ348" s="209">
        <f>IF(WWWW[[#This Row],[Total required Latrines]]-WWWW[[#This Row],[Total '# of latrine]]&lt;0,0,WWWW[[#This Row],[Total required Latrines]]-WWWW[[#This Row],[Total '# of latrine]])</f>
        <v>82</v>
      </c>
      <c r="BR348" s="210">
        <f>ROUND(IF(WWWW[[#This Row],[Location Type 1]]="camp",WWWW[[#This Row],[Total PoP ]]/20,WWWW[[#This Row],[Total PoP ]]/6),0)</f>
        <v>204</v>
      </c>
      <c r="BS348" s="212">
        <f>IF(OR(WWWW[[#This Row],['# Existing latrines dysfunctional]]="",WWWW[[#This Row],['# Existing latrines dysfunctional]]=0),0,WWWW[[#This Row],['# Existing latrines dysfunctional]]/WWWW[[#This Row],[Total '# of latrine]])</f>
        <v>9.8360655737704916E-2</v>
      </c>
      <c r="BT34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2440</v>
      </c>
      <c r="BU348" s="209">
        <f>IF(500*WWWW[[#This Row],['# Hygiene Promoters ]]&gt;WWWW[[#This Row],[Total PoP ]],WWWW[[#This Row],[Total PoP ]],500*WWWW[[#This Row],['# Hygiene Promoters ]])</f>
        <v>4086</v>
      </c>
      <c r="BV348" s="209">
        <f>IF(WWWW[[#This Row],[% of HH with access to Sanitary Pad]]&gt;=100%,1,0)</f>
        <v>1</v>
      </c>
      <c r="BW348" s="209">
        <f>IF(WWWW[[#This Row],[Total PoP ]]=0,0,IF(WWWW[[#This Row],['# Hygiene Promoters ]]=0,0,IF(WWWW[[#This Row],[Location Type 1]]="Village",IF(WWWW[[#This Row],[Total PoP ]]/WWWW[[#This Row],['# Hygiene Promoters ]]&lt;1000,1,0),IF(WWWW[[#This Row],[Total PoP ]]/WWWW[[#This Row],['# Hygiene Promoters ]]&lt;600,1,0))))</f>
        <v>1</v>
      </c>
      <c r="BX348" s="209">
        <f>IF(WWWW[[#This Row],[%HH with access to soap]]&gt;=100%,1,0)</f>
        <v>1</v>
      </c>
      <c r="BY348" s="209">
        <f>IF(WWWW[[#This Row],[% of HHs with access to Sanitary pad more than '#%]]+WWWW[[#This Row],[Ratio of Hyiene promoters to people less than '#]]+WWWW[[#This Row],[% of HHs with access to soap more than '#%]]&gt;=2,WWWW[[#This Row],[Total PoP ]],0)</f>
        <v>4086</v>
      </c>
      <c r="BZ348" s="208">
        <f>WWWW[[#This Row],[People adopt basic personal and community hygiene practices]]/WWWW[[#This Row],[Total PoP ]]</f>
        <v>1</v>
      </c>
      <c r="CA348" s="212">
        <f>1-WWWW[[#This Row],[Hygiene Coverage%]]</f>
        <v>0</v>
      </c>
      <c r="CB348" s="211">
        <f>WWWW[[#This Row],['# people reached by regular dedicated hygiene promotion_5]]/WWWW[[#This Row],[Total PoP ]]</f>
        <v>1</v>
      </c>
      <c r="CC348" s="211">
        <f>IF(WWWW[[#This Row],['# HH received soaps]]/WWWW[[#This Row],[Total HH]]&gt;1,1,WWWW[[#This Row],['# HH received soaps]]/WWWW[[#This Row],[Total HH]])</f>
        <v>1</v>
      </c>
      <c r="CD348" s="211">
        <f>IF(WWWW[[#This Row],['# HH received Sanitary Pads]]/WWWW[[#This Row],[Total HH]]&gt;1,1,WWWW[[#This Row],['# HH received Sanitary Pads]]/WWWW[[#This Row],[Total HH]])</f>
        <v>1</v>
      </c>
      <c r="CE348" s="210">
        <f>WWWW[[#This Row],['# HH received soaps]]*5</f>
        <v>4525</v>
      </c>
      <c r="CF348" s="210">
        <f>WWWW[[#This Row],['# HH received Sanitary Pads]]*5</f>
        <v>4525</v>
      </c>
      <c r="CG348" s="210">
        <f>IF(WWWW[[#This Row],['# People with access to soap]]&gt;WWWW[[#This Row],['# People with access to Sanity Pads]],WWWW[[#This Row],['# People with access to soap]],WWWW[[#This Row],['# People with access to Sanity Pads]])</f>
        <v>4525</v>
      </c>
      <c r="CH348" s="209">
        <f>WWWW[[#This Row],[Total HH]]*WWWW[[#This Row],[%HHs with access to functional hand washing stations]]</f>
        <v>0</v>
      </c>
      <c r="CI348" s="699" t="str">
        <f>VLOOKUP(WWWW[[#This Row],[Site Name]],SiteDB6[[Site Name]:[CCCM Management]],6,FALSE)</f>
        <v>Yes</v>
      </c>
      <c r="CJ348" s="699">
        <f>VLOOKUP(WWWW[[#This Row],[Site Name]],SiteDB6[[Site Name]:[CCCM Focal Agency]],7,FALSE)</f>
        <v>0</v>
      </c>
      <c r="CK348" s="699" t="str">
        <f>VLOOKUP(WWWW[[#This Row],[Site Name]],SiteDB6[[Site Name]:[Location Type]],8,FALSE)</f>
        <v>Camp</v>
      </c>
      <c r="CL348" s="699" t="str">
        <f>VLOOKUP(WWWW[[#This Row],[Site Name]],SiteDB6[[Site Name]:[Location Type 1]],9,FALSE)</f>
        <v>Camp</v>
      </c>
      <c r="CM348" s="699" t="str">
        <f>VLOOKUP(WWWW[[#This Row],[Site Name]],SiteDB6[[Site Name]:[Type of Accommodation]],10,FALSE)</f>
        <v>Planned Camp</v>
      </c>
      <c r="CN348" s="699" t="str">
        <f>VLOOKUP(WWWW[[#This Row],[Site Name]],SiteDB6[[Site Name]:[Ethnic or GCA/NGCA]],11,FALSE)</f>
        <v>Muslim</v>
      </c>
      <c r="CO348" s="699">
        <f>VLOOKUP(WWWW[[#This Row],[Site Name]],SiteDB6[[Site Name]:[Lat]],12,FALSE)</f>
        <v>20.073437999999999</v>
      </c>
      <c r="CP348" s="699">
        <f>VLOOKUP(WWWW[[#This Row],[Site Name]],SiteDB6[[Site Name]:[Long]],13,FALSE)</f>
        <v>93.154551999999995</v>
      </c>
      <c r="CQ348" s="699" t="str">
        <f>VLOOKUP(WWWW[[#This Row],[Site Name]],SiteDB6[[Site Name]:[Pcode]],3,FALSE)</f>
        <v>MMR012CMP017</v>
      </c>
      <c r="CR348" s="660" t="str">
        <f t="shared" si="8"/>
        <v>Covered</v>
      </c>
      <c r="CS348" s="660"/>
      <c r="CT348" s="24"/>
      <c r="CU348" s="24"/>
      <c r="CV348" s="24"/>
    </row>
    <row r="349" spans="1:100" ht="15.75" customHeight="1" x14ac:dyDescent="0.25">
      <c r="A349" s="833" t="s">
        <v>3206</v>
      </c>
      <c r="B349" s="206" t="s">
        <v>460</v>
      </c>
      <c r="C349" s="206" t="s">
        <v>454</v>
      </c>
      <c r="D349" s="206" t="s">
        <v>455</v>
      </c>
      <c r="E349" s="206" t="s">
        <v>459</v>
      </c>
      <c r="F349" s="206">
        <v>357</v>
      </c>
      <c r="G349" s="209">
        <v>2743</v>
      </c>
      <c r="H349" s="206"/>
      <c r="I349" s="206"/>
      <c r="J349" s="207"/>
      <c r="K349" s="206"/>
      <c r="L349" s="206" t="s">
        <v>282</v>
      </c>
      <c r="M349" s="208">
        <v>0</v>
      </c>
      <c r="N349" s="208">
        <v>0</v>
      </c>
      <c r="O349" s="316">
        <v>0</v>
      </c>
      <c r="P349" s="317">
        <v>20</v>
      </c>
      <c r="Q349" s="317">
        <v>0</v>
      </c>
      <c r="R349" s="318">
        <v>0</v>
      </c>
      <c r="S349" s="318">
        <v>0</v>
      </c>
      <c r="T349" s="318"/>
      <c r="U349" s="318"/>
      <c r="V349" s="318"/>
      <c r="W349" s="318"/>
      <c r="X349" s="318"/>
      <c r="Y349" s="318"/>
      <c r="Z349" s="318"/>
      <c r="AA349" s="310">
        <v>39</v>
      </c>
      <c r="AB349" s="310">
        <v>0</v>
      </c>
      <c r="AC349" s="66"/>
      <c r="AD349" s="66"/>
      <c r="AE349" s="310">
        <v>0</v>
      </c>
      <c r="AF349" s="310" t="s">
        <v>286</v>
      </c>
      <c r="AG349" s="311" t="s">
        <v>286</v>
      </c>
      <c r="AH349" s="311"/>
      <c r="AI349" s="310"/>
      <c r="AJ349" s="310"/>
      <c r="AK349" s="841">
        <v>0</v>
      </c>
      <c r="AL349" s="842" t="s">
        <v>284</v>
      </c>
      <c r="AM349" s="842">
        <v>0</v>
      </c>
      <c r="AN349" s="863">
        <v>0</v>
      </c>
      <c r="AO349" s="863">
        <v>2</v>
      </c>
      <c r="AP349" s="843"/>
      <c r="AQ349" s="843"/>
      <c r="AR349" s="843"/>
      <c r="AS349" s="843"/>
      <c r="AT349" s="843"/>
      <c r="AU349" s="843"/>
      <c r="AV349" s="844"/>
      <c r="AW349" s="208" t="str">
        <f>IFERROR(WWWW[[#This Row],['# of Water passed at source]]/WWWW[[#This Row],['# of Water tested at source]],"no test")</f>
        <v>no test</v>
      </c>
      <c r="AX349" s="211" t="str">
        <f>IFERROR(WWWW[[#This Row],['# of Water passed at HH]]/WWWW[[#This Row],['# of Water tested at HH]],"no test")</f>
        <v>no test</v>
      </c>
      <c r="AY349" s="210" t="str">
        <f>IF(AND(WWWW[[#This Row],[%of Water samples which passed at water source]]="no test",WWWW[[#This Row],[%Water samples which passed at HH]]="no test"),"No Test","Tested")</f>
        <v>No Test</v>
      </c>
      <c r="AZ34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4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49" s="211">
        <f>IF(WWWW[[#This Row],[Location Type 1]]="Village",WWWW[[#This Row],[Access to safe drinking water for Village]],WWWW[[#This Row],[Access to safe drinking water for Camp]])</f>
        <v>1</v>
      </c>
      <c r="BC349" s="209">
        <f>WWWW[[#This Row],[%Equitable and continuous access to sufficient quantity of safe drinking water]]*WWWW[[#This Row],[Total PoP ]]</f>
        <v>2743</v>
      </c>
      <c r="BD349" s="211">
        <f>IF((WWWW[[#This Row],['# Existing protected/fenced ponds ]]*250)/WWWW[[#This Row],[Total PoP ]]&gt;1,1,WWWW[[#This Row],['# Existing protected/fenced ponds ]]*250/WWWW[[#This Row],[Total PoP ]])</f>
        <v>0</v>
      </c>
      <c r="BE349" s="209">
        <f>WWWW[[#This Row],[Access to unimproved water points]]*WWWW[[#This Row],[Total PoP ]]</f>
        <v>0</v>
      </c>
      <c r="BF34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4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2743</v>
      </c>
      <c r="BH349" s="209">
        <f>WWWW[[#This Row],['#people Equitable and continuous access to sufficient quantity of domestic water borehole n ponds_2]]/500</f>
        <v>5.4859999999999998</v>
      </c>
      <c r="BI349" s="208">
        <f>1-WWWW[[#This Row],[%Equitable and continuous access to sufficient quantity of domestic water borehole n ponds]]</f>
        <v>0</v>
      </c>
      <c r="BJ349" s="209">
        <f>WWWW[[#This Row],[%equitable and continuous access to sufficient quantity of safe drinking and domestic water''s GAP]]*WWWW[[#This Row],[Total PoP ]]</f>
        <v>0</v>
      </c>
      <c r="BK349" s="210">
        <f>IF(WWWW[[#This Row],[Total required water points]]-WWWW[[#This Row],['#Water points coverage]]&lt;0,0,WWWW[[#This Row],[Total required water points]]-WWWW[[#This Row],['#Water points coverage]])</f>
        <v>0</v>
      </c>
      <c r="BL349" s="210">
        <f>ROUND(IF(WWWW[[#This Row],[Total PoP ]]&lt;500,1,WWWW[[#This Row],[Total PoP ]]/500),0)</f>
        <v>5</v>
      </c>
      <c r="BM349" s="210">
        <f>WWWW[[#This Row],['# Existing functional latrines]]+WWWW[[#This Row],['# Existing latrines dysfunctional]]</f>
        <v>39</v>
      </c>
      <c r="BN34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8.5308056872037921E-2</v>
      </c>
      <c r="BO349" s="352">
        <f>WWWW[[#This Row],[% people access to functioning Latrine]]*WWWW[[#This Row],[Total PoP ]]</f>
        <v>234.00000000000003</v>
      </c>
      <c r="BP34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0.91432737878235504</v>
      </c>
      <c r="BQ349" s="209">
        <f>IF(WWWW[[#This Row],[Total required Latrines]]-WWWW[[#This Row],[Total '# of latrine]]&lt;0,0,WWWW[[#This Row],[Total required Latrines]]-WWWW[[#This Row],[Total '# of latrine]])</f>
        <v>418</v>
      </c>
      <c r="BR349" s="210">
        <f>ROUND(IF(WWWW[[#This Row],[Location Type 1]]="camp",WWWW[[#This Row],[Total PoP ]]/20,WWWW[[#This Row],[Total PoP ]]/6),0)</f>
        <v>457</v>
      </c>
      <c r="BS349" s="212">
        <f>IF(OR(WWWW[[#This Row],['# Existing latrines dysfunctional]]="",WWWW[[#This Row],['# Existing latrines dysfunctional]]=0),0,WWWW[[#This Row],['# Existing latrines dysfunctional]]/WWWW[[#This Row],[Total '# of latrine]])</f>
        <v>0</v>
      </c>
      <c r="BT34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49" s="209">
        <f>IF(500*WWWW[[#This Row],['# Hygiene Promoters ]]&gt;WWWW[[#This Row],[Total PoP ]],WWWW[[#This Row],[Total PoP ]],500*WWWW[[#This Row],['# Hygiene Promoters ]])</f>
        <v>1000</v>
      </c>
      <c r="BV349" s="209">
        <f>IF(WWWW[[#This Row],[% of HH with access to Sanitary Pad]]&gt;=100%,1,0)</f>
        <v>0</v>
      </c>
      <c r="BW349" s="209">
        <f>IF(WWWW[[#This Row],[Total PoP ]]=0,0,IF(WWWW[[#This Row],['# Hygiene Promoters ]]=0,0,IF(WWWW[[#This Row],[Location Type 1]]="Village",IF(WWWW[[#This Row],[Total PoP ]]/WWWW[[#This Row],['# Hygiene Promoters ]]&lt;1000,1,0),IF(WWWW[[#This Row],[Total PoP ]]/WWWW[[#This Row],['# Hygiene Promoters ]]&lt;600,1,0))))</f>
        <v>0</v>
      </c>
      <c r="BX349" s="209">
        <f>IF(WWWW[[#This Row],[%HH with access to soap]]&gt;=100%,1,0)</f>
        <v>0</v>
      </c>
      <c r="BY349" s="209">
        <f>IF(WWWW[[#This Row],[% of HHs with access to Sanitary pad more than '#%]]+WWWW[[#This Row],[Ratio of Hyiene promoters to people less than '#]]+WWWW[[#This Row],[% of HHs with access to soap more than '#%]]&gt;=2,WWWW[[#This Row],[Total PoP ]],0)</f>
        <v>0</v>
      </c>
      <c r="BZ349" s="208">
        <f>WWWW[[#This Row],[People adopt basic personal and community hygiene practices]]/WWWW[[#This Row],[Total PoP ]]</f>
        <v>0</v>
      </c>
      <c r="CA349" s="212">
        <f>1-WWWW[[#This Row],[Hygiene Coverage%]]</f>
        <v>1</v>
      </c>
      <c r="CB349" s="211">
        <f>WWWW[[#This Row],['# people reached by regular dedicated hygiene promotion_5]]/WWWW[[#This Row],[Total PoP ]]</f>
        <v>0.36456434560699963</v>
      </c>
      <c r="CC349" s="211">
        <f>IF(WWWW[[#This Row],['# HH received soaps]]/WWWW[[#This Row],[Total HH]]&gt;1,1,WWWW[[#This Row],['# HH received soaps]]/WWWW[[#This Row],[Total HH]])</f>
        <v>0</v>
      </c>
      <c r="CD349" s="211">
        <f>IF(WWWW[[#This Row],['# HH received Sanitary Pads]]/WWWW[[#This Row],[Total HH]]&gt;1,1,WWWW[[#This Row],['# HH received Sanitary Pads]]/WWWW[[#This Row],[Total HH]])</f>
        <v>0</v>
      </c>
      <c r="CE349" s="210">
        <f>WWWW[[#This Row],['# HH received soaps]]*5</f>
        <v>0</v>
      </c>
      <c r="CF349" s="210">
        <f>WWWW[[#This Row],['# HH received Sanitary Pads]]*5</f>
        <v>0</v>
      </c>
      <c r="CG349" s="210">
        <f>IF(WWWW[[#This Row],['# People with access to soap]]&gt;WWWW[[#This Row],['# People with access to Sanity Pads]],WWWW[[#This Row],['# People with access to soap]],WWWW[[#This Row],['# People with access to Sanity Pads]])</f>
        <v>0</v>
      </c>
      <c r="CH349" s="209">
        <f>WWWW[[#This Row],[Total HH]]*WWWW[[#This Row],[%HHs with access to functional hand washing stations]]</f>
        <v>0</v>
      </c>
      <c r="CI349" s="699">
        <f>VLOOKUP(WWWW[[#This Row],[Site Name]],SiteDB6[[Site Name]:[CCCM Management]],6,FALSE)</f>
        <v>0</v>
      </c>
      <c r="CJ349" s="699">
        <f>VLOOKUP(WWWW[[#This Row],[Site Name]],SiteDB6[[Site Name]:[CCCM Focal Agency]],7,FALSE)</f>
        <v>0</v>
      </c>
      <c r="CK349" s="699" t="str">
        <f>VLOOKUP(WWWW[[#This Row],[Site Name]],SiteDB6[[Site Name]:[Location Type]],8,FALSE)</f>
        <v>Village</v>
      </c>
      <c r="CL349" s="699" t="str">
        <f>VLOOKUP(WWWW[[#This Row],[Site Name]],SiteDB6[[Site Name]:[Location Type 1]],9,FALSE)</f>
        <v>Village</v>
      </c>
      <c r="CM349" s="699" t="str">
        <f>VLOOKUP(WWWW[[#This Row],[Site Name]],SiteDB6[[Site Name]:[Type of Accommodation]],10,FALSE)</f>
        <v>Village</v>
      </c>
      <c r="CN349" s="699" t="str">
        <f>VLOOKUP(WWWW[[#This Row],[Site Name]],SiteDB6[[Site Name]:[Ethnic or GCA/NGCA]],11,FALSE)</f>
        <v>Muslim</v>
      </c>
      <c r="CO349" s="699">
        <f>VLOOKUP(WWWW[[#This Row],[Site Name]],SiteDB6[[Site Name]:[Lat]],12,FALSE)</f>
        <v>0</v>
      </c>
      <c r="CP349" s="699">
        <f>VLOOKUP(WWWW[[#This Row],[Site Name]],SiteDB6[[Site Name]:[Long]],13,FALSE)</f>
        <v>0</v>
      </c>
      <c r="CQ349" s="699">
        <f>VLOOKUP(WWWW[[#This Row],[Site Name]],SiteDB6[[Site Name]:[Pcode]],3,FALSE)</f>
        <v>0</v>
      </c>
      <c r="CR349" s="660" t="str">
        <f t="shared" si="8"/>
        <v>Notcovered</v>
      </c>
      <c r="CS349" s="660"/>
      <c r="CT349" s="24"/>
      <c r="CU349" s="24"/>
      <c r="CV349" s="24"/>
    </row>
    <row r="350" spans="1:100" ht="15.75" customHeight="1" x14ac:dyDescent="0.25">
      <c r="A350" s="833" t="s">
        <v>3206</v>
      </c>
      <c r="B350" s="206" t="s">
        <v>447</v>
      </c>
      <c r="C350" s="206" t="s">
        <v>454</v>
      </c>
      <c r="D350" s="206" t="s">
        <v>455</v>
      </c>
      <c r="E350" s="206" t="s">
        <v>609</v>
      </c>
      <c r="F350" s="206">
        <v>22</v>
      </c>
      <c r="G350" s="209">
        <v>113</v>
      </c>
      <c r="H350" s="206"/>
      <c r="I350" s="206" t="s">
        <v>449</v>
      </c>
      <c r="J350" s="207">
        <v>43356</v>
      </c>
      <c r="K350" s="206">
        <v>0</v>
      </c>
      <c r="L350" s="206" t="s">
        <v>282</v>
      </c>
      <c r="M350" s="208">
        <v>0</v>
      </c>
      <c r="N350" s="208">
        <v>0</v>
      </c>
      <c r="O350" s="316">
        <v>2</v>
      </c>
      <c r="P350" s="317">
        <v>1</v>
      </c>
      <c r="Q350" s="317">
        <v>0</v>
      </c>
      <c r="R350" s="318">
        <v>0</v>
      </c>
      <c r="S350" s="318">
        <v>3</v>
      </c>
      <c r="T350" s="318"/>
      <c r="U350" s="318">
        <v>0</v>
      </c>
      <c r="V350" s="318">
        <v>0</v>
      </c>
      <c r="W350" s="318">
        <v>0</v>
      </c>
      <c r="X350" s="318">
        <v>0</v>
      </c>
      <c r="Y350" s="318">
        <v>0</v>
      </c>
      <c r="Z350" s="318"/>
      <c r="AA350" s="310">
        <v>24</v>
      </c>
      <c r="AB350" s="310">
        <v>0</v>
      </c>
      <c r="AC350" s="66">
        <v>0</v>
      </c>
      <c r="AD350" s="66"/>
      <c r="AE350" s="310">
        <v>2</v>
      </c>
      <c r="AF350" s="310" t="s">
        <v>286</v>
      </c>
      <c r="AG350" s="311" t="s">
        <v>286</v>
      </c>
      <c r="AH350" s="311">
        <v>0</v>
      </c>
      <c r="AI350" s="310">
        <v>0</v>
      </c>
      <c r="AJ350" s="310"/>
      <c r="AK350" s="841">
        <v>0</v>
      </c>
      <c r="AL350" s="842" t="s">
        <v>284</v>
      </c>
      <c r="AM350" s="842">
        <v>0</v>
      </c>
      <c r="AN350" s="863">
        <v>0</v>
      </c>
      <c r="AO350" s="863">
        <v>1</v>
      </c>
      <c r="AP350" s="843">
        <v>0</v>
      </c>
      <c r="AQ350" s="843">
        <v>0</v>
      </c>
      <c r="AR350" s="843"/>
      <c r="AS350" s="843"/>
      <c r="AT350" s="843"/>
      <c r="AU350" s="843"/>
      <c r="AV350" s="844"/>
      <c r="AW350" s="208" t="str">
        <f>IFERROR(WWWW[[#This Row],['# of Water passed at source]]/WWWW[[#This Row],['# of Water tested at source]],"no test")</f>
        <v>no test</v>
      </c>
      <c r="AX350" s="211" t="str">
        <f>IFERROR(WWWW[[#This Row],['# of Water passed at HH]]/WWWW[[#This Row],['# of Water tested at HH]],"no test")</f>
        <v>no test</v>
      </c>
      <c r="AY350" s="210" t="str">
        <f>IF(AND(WWWW[[#This Row],[%of Water samples which passed at water source]]="no test",WWWW[[#This Row],[%Water samples which passed at HH]]="no test"),"No Test","Tested")</f>
        <v>No Test</v>
      </c>
      <c r="AZ35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5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50" s="211">
        <f>IF(WWWW[[#This Row],[Location Type 1]]="Village",WWWW[[#This Row],[Access to safe drinking water for Village]],WWWW[[#This Row],[Access to safe drinking water for Camp]])</f>
        <v>1</v>
      </c>
      <c r="BC350" s="209">
        <f>WWWW[[#This Row],[%Equitable and continuous access to sufficient quantity of safe drinking water]]*WWWW[[#This Row],[Total PoP ]]</f>
        <v>113</v>
      </c>
      <c r="BD350" s="211">
        <f>IF((WWWW[[#This Row],['# Existing protected/fenced ponds ]]*250)/WWWW[[#This Row],[Total PoP ]]&gt;1,1,WWWW[[#This Row],['# Existing protected/fenced ponds ]]*250/WWWW[[#This Row],[Total PoP ]])</f>
        <v>0</v>
      </c>
      <c r="BE350" s="209">
        <f>WWWW[[#This Row],[Access to unimproved water points]]*WWWW[[#This Row],[Total PoP ]]</f>
        <v>0</v>
      </c>
      <c r="BF35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5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113</v>
      </c>
      <c r="BH350" s="209">
        <f>WWWW[[#This Row],['#people Equitable and continuous access to sufficient quantity of domestic water borehole n ponds_2]]/500</f>
        <v>0.22600000000000001</v>
      </c>
      <c r="BI350" s="208">
        <f>1-WWWW[[#This Row],[%Equitable and continuous access to sufficient quantity of domestic water borehole n ponds]]</f>
        <v>0</v>
      </c>
      <c r="BJ350" s="209">
        <f>WWWW[[#This Row],[%equitable and continuous access to sufficient quantity of safe drinking and domestic water''s GAP]]*WWWW[[#This Row],[Total PoP ]]</f>
        <v>0</v>
      </c>
      <c r="BK350" s="210">
        <f>IF(WWWW[[#This Row],[Total required water points]]-WWWW[[#This Row],['#Water points coverage]]&lt;0,0,WWWW[[#This Row],[Total required water points]]-WWWW[[#This Row],['#Water points coverage]])</f>
        <v>0.77400000000000002</v>
      </c>
      <c r="BL350" s="210">
        <f>ROUND(IF(WWWW[[#This Row],[Total PoP ]]&lt;500,1,WWWW[[#This Row],[Total PoP ]]/500),0)</f>
        <v>1</v>
      </c>
      <c r="BM350" s="210">
        <f>WWWW[[#This Row],['# Existing functional latrines]]+WWWW[[#This Row],['# Existing latrines dysfunctional]]</f>
        <v>24</v>
      </c>
      <c r="BN35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50" s="352">
        <f>WWWW[[#This Row],[% people access to functioning Latrine]]*WWWW[[#This Row],[Total PoP ]]</f>
        <v>113</v>
      </c>
      <c r="BP35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50" s="209">
        <f>IF(WWWW[[#This Row],[Total required Latrines]]-WWWW[[#This Row],[Total '# of latrine]]&lt;0,0,WWWW[[#This Row],[Total required Latrines]]-WWWW[[#This Row],[Total '# of latrine]])</f>
        <v>0</v>
      </c>
      <c r="BR350" s="210">
        <f>ROUND(IF(WWWW[[#This Row],[Location Type 1]]="camp",WWWW[[#This Row],[Total PoP ]]/20,WWWW[[#This Row],[Total PoP ]]/6),0)</f>
        <v>19</v>
      </c>
      <c r="BS350" s="212">
        <f>IF(OR(WWWW[[#This Row],['# Existing latrines dysfunctional]]="",WWWW[[#This Row],['# Existing latrines dysfunctional]]=0),0,WWWW[[#This Row],['# Existing latrines dysfunctional]]/WWWW[[#This Row],[Total '# of latrine]])</f>
        <v>0</v>
      </c>
      <c r="BT35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50" s="209">
        <f>IF(500*WWWW[[#This Row],['# Hygiene Promoters ]]&gt;WWWW[[#This Row],[Total PoP ]],WWWW[[#This Row],[Total PoP ]],500*WWWW[[#This Row],['# Hygiene Promoters ]])</f>
        <v>113</v>
      </c>
      <c r="BV350" s="209">
        <f>IF(WWWW[[#This Row],[% of HH with access to Sanitary Pad]]&gt;=100%,1,0)</f>
        <v>0</v>
      </c>
      <c r="BW350" s="209">
        <f>IF(WWWW[[#This Row],[Total PoP ]]=0,0,IF(WWWW[[#This Row],['# Hygiene Promoters ]]=0,0,IF(WWWW[[#This Row],[Location Type 1]]="Village",IF(WWWW[[#This Row],[Total PoP ]]/WWWW[[#This Row],['# Hygiene Promoters ]]&lt;1000,1,0),IF(WWWW[[#This Row],[Total PoP ]]/WWWW[[#This Row],['# Hygiene Promoters ]]&lt;600,1,0))))</f>
        <v>1</v>
      </c>
      <c r="BX350" s="209">
        <f>IF(WWWW[[#This Row],[%HH with access to soap]]&gt;=100%,1,0)</f>
        <v>0</v>
      </c>
      <c r="BY350" s="209">
        <f>IF(WWWW[[#This Row],[% of HHs with access to Sanitary pad more than '#%]]+WWWW[[#This Row],[Ratio of Hyiene promoters to people less than '#]]+WWWW[[#This Row],[% of HHs with access to soap more than '#%]]&gt;=2,WWWW[[#This Row],[Total PoP ]],0)</f>
        <v>0</v>
      </c>
      <c r="BZ350" s="208">
        <f>WWWW[[#This Row],[People adopt basic personal and community hygiene practices]]/WWWW[[#This Row],[Total PoP ]]</f>
        <v>0</v>
      </c>
      <c r="CA350" s="212">
        <f>1-WWWW[[#This Row],[Hygiene Coverage%]]</f>
        <v>1</v>
      </c>
      <c r="CB350" s="211">
        <f>WWWW[[#This Row],['# people reached by regular dedicated hygiene promotion_5]]/WWWW[[#This Row],[Total PoP ]]</f>
        <v>1</v>
      </c>
      <c r="CC350" s="211">
        <f>IF(WWWW[[#This Row],['# HH received soaps]]/WWWW[[#This Row],[Total HH]]&gt;1,1,WWWW[[#This Row],['# HH received soaps]]/WWWW[[#This Row],[Total HH]])</f>
        <v>0</v>
      </c>
      <c r="CD350" s="211">
        <f>IF(WWWW[[#This Row],['# HH received Sanitary Pads]]/WWWW[[#This Row],[Total HH]]&gt;1,1,WWWW[[#This Row],['# HH received Sanitary Pads]]/WWWW[[#This Row],[Total HH]])</f>
        <v>0</v>
      </c>
      <c r="CE350" s="210">
        <f>WWWW[[#This Row],['# HH received soaps]]*5</f>
        <v>0</v>
      </c>
      <c r="CF350" s="210">
        <f>WWWW[[#This Row],['# HH received Sanitary Pads]]*5</f>
        <v>0</v>
      </c>
      <c r="CG350" s="210">
        <f>IF(WWWW[[#This Row],['# People with access to soap]]&gt;WWWW[[#This Row],['# People with access to Sanity Pads]],WWWW[[#This Row],['# People with access to soap]],WWWW[[#This Row],['# People with access to Sanity Pads]])</f>
        <v>0</v>
      </c>
      <c r="CH350" s="209">
        <f>WWWW[[#This Row],[Total HH]]*WWWW[[#This Row],[%HHs with access to functional hand washing stations]]</f>
        <v>0</v>
      </c>
      <c r="CI350" s="699">
        <f>VLOOKUP(WWWW[[#This Row],[Site Name]],SiteDB6[[Site Name]:[CCCM Management]],6,FALSE)</f>
        <v>0</v>
      </c>
      <c r="CJ350" s="699">
        <f>VLOOKUP(WWWW[[#This Row],[Site Name]],SiteDB6[[Site Name]:[CCCM Focal Agency]],7,FALSE)</f>
        <v>0</v>
      </c>
      <c r="CK350" s="699" t="str">
        <f>VLOOKUP(WWWW[[#This Row],[Site Name]],SiteDB6[[Site Name]:[Location Type]],8,FALSE)</f>
        <v>Village</v>
      </c>
      <c r="CL350" s="699" t="str">
        <f>VLOOKUP(WWWW[[#This Row],[Site Name]],SiteDB6[[Site Name]:[Location Type 1]],9,FALSE)</f>
        <v>Village</v>
      </c>
      <c r="CM350" s="699" t="str">
        <f>VLOOKUP(WWWW[[#This Row],[Site Name]],SiteDB6[[Site Name]:[Type of Accommodation]],10,FALSE)</f>
        <v>Village</v>
      </c>
      <c r="CN350" s="699" t="str">
        <f>VLOOKUP(WWWW[[#This Row],[Site Name]],SiteDB6[[Site Name]:[Ethnic or GCA/NGCA]],11,FALSE)</f>
        <v>Rakhine</v>
      </c>
      <c r="CO350" s="699">
        <f>VLOOKUP(WWWW[[#This Row],[Site Name]],SiteDB6[[Site Name]:[Lat]],12,FALSE)</f>
        <v>20.218299999999999</v>
      </c>
      <c r="CP350" s="699">
        <f>VLOOKUP(WWWW[[#This Row],[Site Name]],SiteDB6[[Site Name]:[Long]],13,FALSE)</f>
        <v>92.805999999999997</v>
      </c>
      <c r="CQ350" s="699" t="str">
        <f>VLOOKUP(WWWW[[#This Row],[Site Name]],SiteDB6[[Site Name]:[Pcode]],3,FALSE)</f>
        <v>196140</v>
      </c>
      <c r="CR350" s="660" t="str">
        <f t="shared" si="8"/>
        <v>Covered</v>
      </c>
      <c r="CS350" s="660"/>
      <c r="CT350" s="24"/>
      <c r="CU350" s="24"/>
      <c r="CV350" s="24"/>
    </row>
    <row r="351" spans="1:100" ht="15.75" customHeight="1" x14ac:dyDescent="0.25">
      <c r="A351" s="833" t="s">
        <v>3206</v>
      </c>
      <c r="B351" s="206" t="s">
        <v>453</v>
      </c>
      <c r="C351" s="206" t="s">
        <v>454</v>
      </c>
      <c r="D351" s="206" t="s">
        <v>463</v>
      </c>
      <c r="E351" s="206" t="s">
        <v>2445</v>
      </c>
      <c r="F351" s="206">
        <v>91</v>
      </c>
      <c r="G351" s="209">
        <v>581</v>
      </c>
      <c r="H351" s="206">
        <v>211</v>
      </c>
      <c r="I351" s="206" t="s">
        <v>2770</v>
      </c>
      <c r="J351" s="207">
        <v>43554</v>
      </c>
      <c r="K351" s="206"/>
      <c r="L351" s="206"/>
      <c r="M351" s="208"/>
      <c r="N351" s="208"/>
      <c r="O351" s="323">
        <v>0</v>
      </c>
      <c r="P351" s="317">
        <v>0</v>
      </c>
      <c r="Q351" s="317"/>
      <c r="R351" s="318">
        <v>3</v>
      </c>
      <c r="S351" s="318">
        <v>0</v>
      </c>
      <c r="T351" s="318"/>
      <c r="U351" s="318"/>
      <c r="V351" s="318"/>
      <c r="W351" s="318"/>
      <c r="X351" s="318"/>
      <c r="Y351" s="318"/>
      <c r="Z351" s="318"/>
      <c r="AA351" s="310">
        <v>13</v>
      </c>
      <c r="AB351" s="311"/>
      <c r="AC351" s="66"/>
      <c r="AD351" s="66"/>
      <c r="AE351" s="310">
        <v>0</v>
      </c>
      <c r="AF351" s="310" t="s">
        <v>286</v>
      </c>
      <c r="AG351" s="311" t="s">
        <v>286</v>
      </c>
      <c r="AH351" s="66"/>
      <c r="AI351" s="66"/>
      <c r="AJ351" s="311"/>
      <c r="AK351" s="841">
        <v>0</v>
      </c>
      <c r="AL351" s="846"/>
      <c r="AM351" s="844">
        <v>0</v>
      </c>
      <c r="AN351" s="863"/>
      <c r="AO351" s="863">
        <v>0</v>
      </c>
      <c r="AP351" s="843"/>
      <c r="AQ351" s="843"/>
      <c r="AR351" s="843"/>
      <c r="AS351" s="843"/>
      <c r="AT351" s="843"/>
      <c r="AU351" s="843"/>
      <c r="AV351" s="844"/>
      <c r="AW351" s="208" t="str">
        <f>IFERROR(WWWW[[#This Row],['# of Water passed at source]]/WWWW[[#This Row],['# of Water tested at source]],"no test")</f>
        <v>no test</v>
      </c>
      <c r="AX351" s="211" t="str">
        <f>IFERROR(WWWW[[#This Row],['# of Water passed at HH]]/WWWW[[#This Row],['# of Water tested at HH]],"no test")</f>
        <v>no test</v>
      </c>
      <c r="AY351" s="210" t="str">
        <f>IF(AND(WWWW[[#This Row],[%of Water samples which passed at water source]]="no test",WWWW[[#This Row],[%Water samples which passed at HH]]="no test"),"No Test","Tested")</f>
        <v>No Test</v>
      </c>
      <c r="AZ35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5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51" s="211">
        <f>IF(WWWW[[#This Row],[Location Type 1]]="Village",WWWW[[#This Row],[Access to safe drinking water for Village]],WWWW[[#This Row],[Access to safe drinking water for Camp]])</f>
        <v>0</v>
      </c>
      <c r="BC351" s="209">
        <f>WWWW[[#This Row],[%Equitable and continuous access to sufficient quantity of safe drinking water]]*WWWW[[#This Row],[Total PoP ]]</f>
        <v>0</v>
      </c>
      <c r="BD351" s="211">
        <f>IF((WWWW[[#This Row],['# Existing protected/fenced ponds ]]*250)/WWWW[[#This Row],[Total PoP ]]&gt;1,1,WWWW[[#This Row],['# Existing protected/fenced ponds ]]*250/WWWW[[#This Row],[Total PoP ]])</f>
        <v>1</v>
      </c>
      <c r="BE351" s="209">
        <f>WWWW[[#This Row],[Access to unimproved water points]]*WWWW[[#This Row],[Total PoP ]]</f>
        <v>581</v>
      </c>
      <c r="BF35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5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581</v>
      </c>
      <c r="BH351" s="209">
        <f>ROUND(WWWW[[#This Row],['#people Equitable and continuous access to sufficient quantity of domestic water borehole n ponds_2]]/500,0)</f>
        <v>1</v>
      </c>
      <c r="BI351" s="208">
        <f>1-WWWW[[#This Row],[%Equitable and continuous access to sufficient quantity of domestic water borehole n ponds]]</f>
        <v>0</v>
      </c>
      <c r="BJ351" s="209">
        <f>WWWW[[#This Row],[%equitable and continuous access to sufficient quantity of safe drinking and domestic water''s GAP]]*WWWW[[#This Row],[Total PoP ]]</f>
        <v>0</v>
      </c>
      <c r="BK351" s="210">
        <f>IF(WWWW[[#This Row],[Total required water points]]-WWWW[[#This Row],['#Water points coverage]]&lt;0,0,WWWW[[#This Row],[Total required water points]]-WWWW[[#This Row],['#Water points coverage]])</f>
        <v>0</v>
      </c>
      <c r="BL351" s="210">
        <f>ROUND(IF(WWWW[[#This Row],[Total PoP ]]&lt;500,1,WWWW[[#This Row],[Total PoP ]]/500),0)</f>
        <v>1</v>
      </c>
      <c r="BM351" s="210">
        <f>WWWW[[#This Row],['# Existing functional latrines]]+WWWW[[#This Row],['# Existing latrines dysfunctional]]</f>
        <v>13</v>
      </c>
      <c r="BN35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0.44750430292598969</v>
      </c>
      <c r="BO351" s="352">
        <f>WWWW[[#This Row],[% people access to functioning Latrine]]*WWWW[[#This Row],[Total PoP ]]</f>
        <v>260</v>
      </c>
      <c r="BP35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0.55077452667814109</v>
      </c>
      <c r="BQ351" s="209">
        <f>IF(WWWW[[#This Row],[Total required Latrines]]-WWWW[[#This Row],[Total '# of latrine]]&lt;0,0,WWWW[[#This Row],[Total required Latrines]]-WWWW[[#This Row],[Total '# of latrine]])</f>
        <v>16</v>
      </c>
      <c r="BR351" s="210">
        <f>ROUND(IF(WWWW[[#This Row],[Location Type 1]]="camp",WWWW[[#This Row],[Total PoP ]]/20,WWWW[[#This Row],[Total PoP ]]/6),0)</f>
        <v>29</v>
      </c>
      <c r="BS351" s="212">
        <f>IF(OR(WWWW[[#This Row],['# Existing latrines dysfunctional]]="",WWWW[[#This Row],['# Existing latrines dysfunctional]]=0),0,WWWW[[#This Row],['# Existing latrines dysfunctional]]/WWWW[[#This Row],[Total '# of latrine]])</f>
        <v>0</v>
      </c>
      <c r="BT35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51" s="209">
        <f>IF(500*WWWW[[#This Row],['# Hygiene Promoters ]]&gt;WWWW[[#This Row],[Total PoP ]],WWWW[[#This Row],[Total PoP ]],500*WWWW[[#This Row],['# Hygiene Promoters ]])</f>
        <v>0</v>
      </c>
      <c r="BV351" s="209">
        <f>IF(WWWW[[#This Row],[% of HH with access to Sanitary Pad]]&gt;=100%,1,0)</f>
        <v>0</v>
      </c>
      <c r="BW351" s="209">
        <f>IF(WWWW[[#This Row],[Total PoP ]]=0,0,IF(WWWW[[#This Row],['# Hygiene Promoters ]]=0,0,IF(WWWW[[#This Row],[Location Type 1]]="Village",IF(WWWW[[#This Row],[Total PoP ]]/WWWW[[#This Row],['# Hygiene Promoters ]]&lt;1000,1,0),IF(WWWW[[#This Row],[Total PoP ]]/WWWW[[#This Row],['# Hygiene Promoters ]]&lt;600,1,0))))</f>
        <v>0</v>
      </c>
      <c r="BX351" s="209">
        <f>IF(WWWW[[#This Row],[%HH with access to soap]]&gt;=100%,1,0)</f>
        <v>0</v>
      </c>
      <c r="BY351" s="209">
        <f>IF(WWWW[[#This Row],[% of HHs with access to Sanitary pad more than '#%]]+WWWW[[#This Row],[Ratio of Hyiene promoters to people less than '#]]+WWWW[[#This Row],[% of HHs with access to soap more than '#%]]&gt;=2,WWWW[[#This Row],[Total PoP ]],0)</f>
        <v>0</v>
      </c>
      <c r="BZ351" s="208">
        <f>WWWW[[#This Row],[People adopt basic personal and community hygiene practices]]/WWWW[[#This Row],[Total PoP ]]</f>
        <v>0</v>
      </c>
      <c r="CA351" s="212">
        <f>1-WWWW[[#This Row],[Hygiene Coverage%]]</f>
        <v>1</v>
      </c>
      <c r="CB351" s="211">
        <f>WWWW[[#This Row],['# people reached by regular dedicated hygiene promotion_5]]/WWWW[[#This Row],[Total PoP ]]</f>
        <v>0</v>
      </c>
      <c r="CC351" s="211">
        <f>IF(WWWW[[#This Row],['# HH received soaps]]/WWWW[[#This Row],[Total HH]]&gt;1,1,WWWW[[#This Row],['# HH received soaps]]/WWWW[[#This Row],[Total HH]])</f>
        <v>0</v>
      </c>
      <c r="CD351" s="211">
        <f>IF(WWWW[[#This Row],['# HH received Sanitary Pads]]/WWWW[[#This Row],[Total HH]]&gt;1,1,WWWW[[#This Row],['# HH received Sanitary Pads]]/WWWW[[#This Row],[Total HH]])</f>
        <v>0</v>
      </c>
      <c r="CE351" s="210">
        <f>WWWW[[#This Row],['# HH received soaps]]*5</f>
        <v>0</v>
      </c>
      <c r="CF351" s="210">
        <f>WWWW[[#This Row],['# HH received Sanitary Pads]]*5</f>
        <v>0</v>
      </c>
      <c r="CG351" s="210">
        <f>IF(WWWW[[#This Row],['# People with access to soap]]&gt;WWWW[[#This Row],['# People with access to Sanity Pads]],WWWW[[#This Row],['# People with access to soap]],WWWW[[#This Row],['# People with access to Sanity Pads]])</f>
        <v>0</v>
      </c>
      <c r="CH351" s="209">
        <f>WWWW[[#This Row],[Total HH]]*WWWW[[#This Row],[%HHs with access to functional hand washing stations]]</f>
        <v>0</v>
      </c>
      <c r="CI351" s="699" t="str">
        <f>VLOOKUP(WWWW[[#This Row],[Site Name]],SiteDB6[[Site Name]:[CCCM Management]],6,FALSE)</f>
        <v>Yes</v>
      </c>
      <c r="CJ351" s="699">
        <f>VLOOKUP(WWWW[[#This Row],[Site Name]],SiteDB6[[Site Name]:[CCCM Focal Agency]],7,FALSE)</f>
        <v>0</v>
      </c>
      <c r="CK351" s="699" t="str">
        <f>VLOOKUP(WWWW[[#This Row],[Site Name]],SiteDB6[[Site Name]:[Location Type]],8,FALSE)</f>
        <v>Camp</v>
      </c>
      <c r="CL351" s="699" t="str">
        <f>VLOOKUP(WWWW[[#This Row],[Site Name]],SiteDB6[[Site Name]:[Location Type 1]],9,FALSE)</f>
        <v>Camp</v>
      </c>
      <c r="CM351" s="699" t="str">
        <f>VLOOKUP(WWWW[[#This Row],[Site Name]],SiteDB6[[Site Name]:[Type of Accommodation]],10,FALSE)</f>
        <v>Self Settled Camp</v>
      </c>
      <c r="CN351" s="699" t="str">
        <f>VLOOKUP(WWWW[[#This Row],[Site Name]],SiteDB6[[Site Name]:[Ethnic or GCA/NGCA]],11,FALSE)</f>
        <v>Muslim</v>
      </c>
      <c r="CO351" s="699">
        <f>VLOOKUP(WWWW[[#This Row],[Site Name]],SiteDB6[[Site Name]:[Lat]],12,FALSE)</f>
        <v>20.865687000000001</v>
      </c>
      <c r="CP351" s="699">
        <f>VLOOKUP(WWWW[[#This Row],[Site Name]],SiteDB6[[Site Name]:[Long]],13,FALSE)</f>
        <v>92.965980999999999</v>
      </c>
      <c r="CQ351" s="699" t="str">
        <f>VLOOKUP(WWWW[[#This Row],[Site Name]],SiteDB6[[Site Name]:[Pcode]],3,FALSE)</f>
        <v>MMR012CMP023</v>
      </c>
      <c r="CR351" s="660" t="str">
        <f t="shared" si="8"/>
        <v>Covered</v>
      </c>
      <c r="CS351" s="699"/>
      <c r="CT351" s="24"/>
      <c r="CU351" s="24"/>
      <c r="CV351" s="24"/>
    </row>
    <row r="352" spans="1:100" ht="15.75" customHeight="1" x14ac:dyDescent="0.25">
      <c r="A352" s="833" t="s">
        <v>3206</v>
      </c>
      <c r="B352" s="206" t="s">
        <v>479</v>
      </c>
      <c r="C352" s="206" t="s">
        <v>454</v>
      </c>
      <c r="D352" s="206" t="s">
        <v>455</v>
      </c>
      <c r="E352" s="206" t="s">
        <v>606</v>
      </c>
      <c r="F352" s="206">
        <v>673</v>
      </c>
      <c r="G352" s="209">
        <v>3095</v>
      </c>
      <c r="H352" s="206"/>
      <c r="I352" s="206" t="s">
        <v>388</v>
      </c>
      <c r="J352" s="207">
        <v>43434</v>
      </c>
      <c r="K352" s="206">
        <v>0</v>
      </c>
      <c r="L352" s="206" t="s">
        <v>48</v>
      </c>
      <c r="M352" s="208">
        <v>0</v>
      </c>
      <c r="N352" s="208">
        <v>0</v>
      </c>
      <c r="O352" s="316">
        <v>0</v>
      </c>
      <c r="P352" s="317">
        <v>40</v>
      </c>
      <c r="Q352" s="317">
        <v>0</v>
      </c>
      <c r="R352" s="318">
        <v>0</v>
      </c>
      <c r="S352" s="318"/>
      <c r="T352" s="877">
        <v>1</v>
      </c>
      <c r="U352" s="877">
        <v>15</v>
      </c>
      <c r="V352" s="877">
        <v>8</v>
      </c>
      <c r="W352" s="877">
        <v>23</v>
      </c>
      <c r="X352" s="877">
        <v>16</v>
      </c>
      <c r="Y352" s="318"/>
      <c r="Z352" s="318"/>
      <c r="AA352" s="310">
        <v>203</v>
      </c>
      <c r="AB352" s="310">
        <v>0</v>
      </c>
      <c r="AC352" s="66">
        <v>15</v>
      </c>
      <c r="AD352" s="66"/>
      <c r="AE352" s="310">
        <v>203</v>
      </c>
      <c r="AF352" s="310" t="s">
        <v>283</v>
      </c>
      <c r="AG352" s="311" t="s">
        <v>283</v>
      </c>
      <c r="AH352" s="311"/>
      <c r="AI352" s="310"/>
      <c r="AJ352" s="310"/>
      <c r="AK352" s="841">
        <v>0</v>
      </c>
      <c r="AL352" s="842" t="s">
        <v>291</v>
      </c>
      <c r="AM352" s="842">
        <v>592</v>
      </c>
      <c r="AN352" s="863">
        <v>0</v>
      </c>
      <c r="AO352" s="863">
        <v>10</v>
      </c>
      <c r="AP352" s="843">
        <v>673</v>
      </c>
      <c r="AQ352" s="843">
        <v>673</v>
      </c>
      <c r="AR352" s="843"/>
      <c r="AS352" s="843">
        <v>1</v>
      </c>
      <c r="AT352" s="843">
        <v>1</v>
      </c>
      <c r="AU352" s="843">
        <v>11</v>
      </c>
      <c r="AV352" s="844"/>
      <c r="AW352" s="208">
        <f>IFERROR(WWWW[[#This Row],['# of Water passed at source]]/WWWW[[#This Row],['# of Water tested at source]],"no test")</f>
        <v>0.53333333333333333</v>
      </c>
      <c r="AX352" s="211">
        <f>IFERROR(WWWW[[#This Row],['# of Water passed at HH]]/WWWW[[#This Row],['# of Water tested at HH]],"no test")</f>
        <v>0.69565217391304346</v>
      </c>
      <c r="AY352" s="210" t="str">
        <f>IF(AND(WWWW[[#This Row],[%of Water samples which passed at water source]]="no test",WWWW[[#This Row],[%Water samples which passed at HH]]="no test"),"No Test","Tested")</f>
        <v>Tested</v>
      </c>
      <c r="AZ35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5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52" s="211">
        <f>IF(WWWW[[#This Row],[Location Type 1]]="Village",WWWW[[#This Row],[Access to safe drinking water for Village]],WWWW[[#This Row],[Access to safe drinking water for Camp]])</f>
        <v>1</v>
      </c>
      <c r="BC352" s="209">
        <f>WWWW[[#This Row],[%Equitable and continuous access to sufficient quantity of safe drinking water]]*WWWW[[#This Row],[Total PoP ]]</f>
        <v>3095</v>
      </c>
      <c r="BD352" s="211">
        <f>IF((WWWW[[#This Row],['# Existing protected/fenced ponds ]]*250)/WWWW[[#This Row],[Total PoP ]]&gt;1,1,WWWW[[#This Row],['# Existing protected/fenced ponds ]]*250/WWWW[[#This Row],[Total PoP ]])</f>
        <v>0</v>
      </c>
      <c r="BE352" s="209">
        <f>WWWW[[#This Row],[Access to unimproved water points]]*WWWW[[#This Row],[Total PoP ]]</f>
        <v>0</v>
      </c>
      <c r="BF35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5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3095</v>
      </c>
      <c r="BH352" s="209">
        <f>WWWW[[#This Row],['#people Equitable and continuous access to sufficient quantity of domestic water borehole n ponds_2]]/500</f>
        <v>6.19</v>
      </c>
      <c r="BI352" s="208">
        <f>1-WWWW[[#This Row],[%Equitable and continuous access to sufficient quantity of domestic water borehole n ponds]]</f>
        <v>0</v>
      </c>
      <c r="BJ352" s="209">
        <f>WWWW[[#This Row],[%equitable and continuous access to sufficient quantity of safe drinking and domestic water''s GAP]]*WWWW[[#This Row],[Total PoP ]]</f>
        <v>0</v>
      </c>
      <c r="BK352" s="210">
        <f>IF(WWWW[[#This Row],[Total required water points]]-WWWW[[#This Row],['#Water points coverage]]&lt;0,0,WWWW[[#This Row],[Total required water points]]-WWWW[[#This Row],['#Water points coverage]])</f>
        <v>0</v>
      </c>
      <c r="BL352" s="210">
        <f>ROUND(IF(WWWW[[#This Row],[Total PoP ]]&lt;500,1,WWWW[[#This Row],[Total PoP ]]/500),0)</f>
        <v>6</v>
      </c>
      <c r="BM352" s="210">
        <f>WWWW[[#This Row],['# Existing functional latrines]]+WWWW[[#This Row],['# Existing latrines dysfunctional]]</f>
        <v>203</v>
      </c>
      <c r="BN35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52" s="352">
        <f>WWWW[[#This Row],[% people access to functioning Latrine]]*WWWW[[#This Row],[Total PoP ]]</f>
        <v>3095</v>
      </c>
      <c r="BP35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52" s="209">
        <f>IF(WWWW[[#This Row],[Total required Latrines]]-WWWW[[#This Row],[Total '# of latrine]]&lt;0,0,WWWW[[#This Row],[Total required Latrines]]-WWWW[[#This Row],[Total '# of latrine]])</f>
        <v>0</v>
      </c>
      <c r="BR352" s="210">
        <f>ROUND(IF(WWWW[[#This Row],[Location Type 1]]="camp",WWWW[[#This Row],[Total PoP ]]/20,WWWW[[#This Row],[Total PoP ]]/6),0)</f>
        <v>155</v>
      </c>
      <c r="BS352" s="212">
        <f>IF(OR(WWWW[[#This Row],['# Existing latrines dysfunctional]]="",WWWW[[#This Row],['# Existing latrines dysfunctional]]=0),0,WWWW[[#This Row],['# Existing latrines dysfunctional]]/WWWW[[#This Row],[Total '# of latrine]])</f>
        <v>0</v>
      </c>
      <c r="BT35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300</v>
      </c>
      <c r="BU352" s="209">
        <f>IF(500*WWWW[[#This Row],['# Hygiene Promoters ]]&gt;WWWW[[#This Row],[Total PoP ]],WWWW[[#This Row],[Total PoP ]],500*WWWW[[#This Row],['# Hygiene Promoters ]])</f>
        <v>3095</v>
      </c>
      <c r="BV352" s="209">
        <f>IF(WWWW[[#This Row],[% of HH with access to Sanitary Pad]]&gt;=100%,1,0)</f>
        <v>1</v>
      </c>
      <c r="BW352" s="209">
        <f>IF(WWWW[[#This Row],[Total PoP ]]=0,0,IF(WWWW[[#This Row],['# Hygiene Promoters ]]=0,0,IF(WWWW[[#This Row],[Location Type 1]]="Village",IF(WWWW[[#This Row],[Total PoP ]]/WWWW[[#This Row],['# Hygiene Promoters ]]&lt;1000,1,0),IF(WWWW[[#This Row],[Total PoP ]]/WWWW[[#This Row],['# Hygiene Promoters ]]&lt;600,1,0))))</f>
        <v>1</v>
      </c>
      <c r="BX352" s="209">
        <f>IF(WWWW[[#This Row],[%HH with access to soap]]&gt;=100%,1,0)</f>
        <v>1</v>
      </c>
      <c r="BY352" s="209">
        <f>IF(WWWW[[#This Row],[% of HHs with access to Sanitary pad more than '#%]]+WWWW[[#This Row],[Ratio of Hyiene promoters to people less than '#]]+WWWW[[#This Row],[% of HHs with access to soap more than '#%]]&gt;=2,WWWW[[#This Row],[Total PoP ]],0)</f>
        <v>3095</v>
      </c>
      <c r="BZ352" s="208">
        <f>WWWW[[#This Row],[People adopt basic personal and community hygiene practices]]/WWWW[[#This Row],[Total PoP ]]</f>
        <v>1</v>
      </c>
      <c r="CA352" s="212">
        <f>1-WWWW[[#This Row],[Hygiene Coverage%]]</f>
        <v>0</v>
      </c>
      <c r="CB352" s="211">
        <f>WWWW[[#This Row],['# people reached by regular dedicated hygiene promotion_5]]/WWWW[[#This Row],[Total PoP ]]</f>
        <v>1</v>
      </c>
      <c r="CC352" s="211">
        <f>IF(WWWW[[#This Row],['# HH received soaps]]/WWWW[[#This Row],[Total HH]]&gt;1,1,WWWW[[#This Row],['# HH received soaps]]/WWWW[[#This Row],[Total HH]])</f>
        <v>1</v>
      </c>
      <c r="CD352" s="211">
        <f>IF(WWWW[[#This Row],['# HH received Sanitary Pads]]/WWWW[[#This Row],[Total HH]]&gt;1,1,WWWW[[#This Row],['# HH received Sanitary Pads]]/WWWW[[#This Row],[Total HH]])</f>
        <v>1</v>
      </c>
      <c r="CE352" s="210">
        <f>WWWW[[#This Row],['# HH received soaps]]*5</f>
        <v>3365</v>
      </c>
      <c r="CF352" s="210">
        <f>WWWW[[#This Row],['# HH received Sanitary Pads]]*5</f>
        <v>3365</v>
      </c>
      <c r="CG352" s="210">
        <f>IF(WWWW[[#This Row],['# People with access to soap]]&gt;WWWW[[#This Row],['# People with access to Sanity Pads]],WWWW[[#This Row],['# People with access to soap]],WWWW[[#This Row],['# People with access to Sanity Pads]])</f>
        <v>3365</v>
      </c>
      <c r="CH352" s="209">
        <f>WWWW[[#This Row],[Total HH]]*WWWW[[#This Row],[%HHs with access to functional hand washing stations]]</f>
        <v>0</v>
      </c>
      <c r="CI352" s="699" t="str">
        <f>VLOOKUP(WWWW[[#This Row],[Site Name]],SiteDB6[[Site Name]:[CCCM Management]],6,FALSE)</f>
        <v>Yes</v>
      </c>
      <c r="CJ352" s="699">
        <f>VLOOKUP(WWWW[[#This Row],[Site Name]],SiteDB6[[Site Name]:[CCCM Focal Agency]],7,FALSE)</f>
        <v>0</v>
      </c>
      <c r="CK352" s="699" t="str">
        <f>VLOOKUP(WWWW[[#This Row],[Site Name]],SiteDB6[[Site Name]:[Location Type]],8,FALSE)</f>
        <v>Camp</v>
      </c>
      <c r="CL352" s="699" t="str">
        <f>VLOOKUP(WWWW[[#This Row],[Site Name]],SiteDB6[[Site Name]:[Location Type 1]],9,FALSE)</f>
        <v>Camp</v>
      </c>
      <c r="CM352" s="699" t="str">
        <f>VLOOKUP(WWWW[[#This Row],[Site Name]],SiteDB6[[Site Name]:[Type of Accommodation]],10,FALSE)</f>
        <v>Planned Camp</v>
      </c>
      <c r="CN352" s="699" t="str">
        <f>VLOOKUP(WWWW[[#This Row],[Site Name]],SiteDB6[[Site Name]:[Ethnic or GCA/NGCA]],11,FALSE)</f>
        <v>Muslim</v>
      </c>
      <c r="CO352" s="699">
        <f>VLOOKUP(WWWW[[#This Row],[Site Name]],SiteDB6[[Site Name]:[Lat]],12,FALSE)</f>
        <v>20.206778</v>
      </c>
      <c r="CP352" s="699">
        <f>VLOOKUP(WWWW[[#This Row],[Site Name]],SiteDB6[[Site Name]:[Long]],13,FALSE)</f>
        <v>92.774193999999994</v>
      </c>
      <c r="CQ352" s="699" t="str">
        <f>VLOOKUP(WWWW[[#This Row],[Site Name]],SiteDB6[[Site Name]:[Pcode]],3,FALSE)</f>
        <v>MMR012CMP098</v>
      </c>
      <c r="CR352" s="660" t="str">
        <f t="shared" si="8"/>
        <v>Covered</v>
      </c>
      <c r="CS352" s="660"/>
      <c r="CT352" s="24"/>
      <c r="CU352" s="24"/>
      <c r="CV352" s="24"/>
    </row>
    <row r="353" spans="1:100" ht="15.75" customHeight="1" x14ac:dyDescent="0.25">
      <c r="A353" s="833" t="s">
        <v>3206</v>
      </c>
      <c r="B353" s="206" t="s">
        <v>447</v>
      </c>
      <c r="C353" s="206" t="s">
        <v>454</v>
      </c>
      <c r="D353" s="206" t="s">
        <v>455</v>
      </c>
      <c r="E353" s="206" t="s">
        <v>2761</v>
      </c>
      <c r="F353" s="206">
        <v>126</v>
      </c>
      <c r="G353" s="209">
        <v>600</v>
      </c>
      <c r="H353" s="206"/>
      <c r="I353" s="206" t="s">
        <v>449</v>
      </c>
      <c r="J353" s="207">
        <v>43356</v>
      </c>
      <c r="K353" s="206">
        <v>0</v>
      </c>
      <c r="L353" s="206" t="s">
        <v>282</v>
      </c>
      <c r="M353" s="208">
        <v>0</v>
      </c>
      <c r="N353" s="208">
        <v>0</v>
      </c>
      <c r="O353" s="316">
        <v>4</v>
      </c>
      <c r="P353" s="317">
        <v>23</v>
      </c>
      <c r="Q353" s="317">
        <v>0</v>
      </c>
      <c r="R353" s="318">
        <v>2</v>
      </c>
      <c r="S353" s="318">
        <v>0</v>
      </c>
      <c r="T353" s="318"/>
      <c r="U353" s="318">
        <v>0</v>
      </c>
      <c r="V353" s="318">
        <v>0</v>
      </c>
      <c r="W353" s="318">
        <v>0</v>
      </c>
      <c r="X353" s="318">
        <v>0</v>
      </c>
      <c r="Y353" s="318">
        <v>0</v>
      </c>
      <c r="Z353" s="318"/>
      <c r="AA353" s="310">
        <v>54</v>
      </c>
      <c r="AB353" s="310">
        <v>0</v>
      </c>
      <c r="AC353" s="66">
        <v>0</v>
      </c>
      <c r="AD353" s="66"/>
      <c r="AE353" s="310">
        <v>54</v>
      </c>
      <c r="AF353" s="310" t="s">
        <v>286</v>
      </c>
      <c r="AG353" s="311" t="s">
        <v>286</v>
      </c>
      <c r="AH353" s="311">
        <v>0</v>
      </c>
      <c r="AI353" s="310">
        <v>0</v>
      </c>
      <c r="AJ353" s="310"/>
      <c r="AK353" s="841">
        <v>0</v>
      </c>
      <c r="AL353" s="842" t="s">
        <v>284</v>
      </c>
      <c r="AM353" s="842">
        <v>0</v>
      </c>
      <c r="AN353" s="863">
        <v>0</v>
      </c>
      <c r="AO353" s="863">
        <v>1</v>
      </c>
      <c r="AP353" s="843">
        <v>0</v>
      </c>
      <c r="AQ353" s="843">
        <v>0</v>
      </c>
      <c r="AR353" s="843"/>
      <c r="AS353" s="843"/>
      <c r="AT353" s="843"/>
      <c r="AU353" s="843"/>
      <c r="AV353" s="844"/>
      <c r="AW353" s="208" t="str">
        <f>IFERROR(WWWW[[#This Row],['# of Water passed at source]]/WWWW[[#This Row],['# of Water tested at source]],"no test")</f>
        <v>no test</v>
      </c>
      <c r="AX353" s="211" t="str">
        <f>IFERROR(WWWW[[#This Row],['# of Water passed at HH]]/WWWW[[#This Row],['# of Water tested at HH]],"no test")</f>
        <v>no test</v>
      </c>
      <c r="AY353" s="210" t="str">
        <f>IF(AND(WWWW[[#This Row],[%of Water samples which passed at water source]]="no test",WWWW[[#This Row],[%Water samples which passed at HH]]="no test"),"No Test","Tested")</f>
        <v>No Test</v>
      </c>
      <c r="AZ35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5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53" s="211">
        <f>IF(WWWW[[#This Row],[Location Type 1]]="Village",WWWW[[#This Row],[Access to safe drinking water for Village]],WWWW[[#This Row],[Access to safe drinking water for Camp]])</f>
        <v>1</v>
      </c>
      <c r="BC353" s="209">
        <f>WWWW[[#This Row],[%Equitable and continuous access to sufficient quantity of safe drinking water]]*WWWW[[#This Row],[Total PoP ]]</f>
        <v>600</v>
      </c>
      <c r="BD353" s="211">
        <f>IF((WWWW[[#This Row],['# Existing protected/fenced ponds ]]*250)/WWWW[[#This Row],[Total PoP ]]&gt;1,1,WWWW[[#This Row],['# Existing protected/fenced ponds ]]*250/WWWW[[#This Row],[Total PoP ]])</f>
        <v>0.83333333333333337</v>
      </c>
      <c r="BE353" s="209">
        <f>WWWW[[#This Row],[Access to unimproved water points]]*WWWW[[#This Row],[Total PoP ]]</f>
        <v>500</v>
      </c>
      <c r="BF35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5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600</v>
      </c>
      <c r="BH353" s="209">
        <f>WWWW[[#This Row],['#people Equitable and continuous access to sufficient quantity of domestic water borehole n ponds_2]]/500</f>
        <v>1.2</v>
      </c>
      <c r="BI353" s="208">
        <f>1-WWWW[[#This Row],[%Equitable and continuous access to sufficient quantity of domestic water borehole n ponds]]</f>
        <v>0</v>
      </c>
      <c r="BJ353" s="209">
        <f>WWWW[[#This Row],[%equitable and continuous access to sufficient quantity of safe drinking and domestic water''s GAP]]*WWWW[[#This Row],[Total PoP ]]</f>
        <v>0</v>
      </c>
      <c r="BK353" s="210">
        <f>IF(WWWW[[#This Row],[Total required water points]]-WWWW[[#This Row],['#Water points coverage]]&lt;0,0,WWWW[[#This Row],[Total required water points]]-WWWW[[#This Row],['#Water points coverage]])</f>
        <v>0</v>
      </c>
      <c r="BL353" s="210">
        <f>ROUND(IF(WWWW[[#This Row],[Total PoP ]]&lt;500,1,WWWW[[#This Row],[Total PoP ]]/500),0)</f>
        <v>1</v>
      </c>
      <c r="BM353" s="210">
        <f>WWWW[[#This Row],['# Existing functional latrines]]+WWWW[[#This Row],['# Existing latrines dysfunctional]]</f>
        <v>54</v>
      </c>
      <c r="BN35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0.54</v>
      </c>
      <c r="BO353" s="352">
        <f>WWWW[[#This Row],[% people access to functioning Latrine]]*WWWW[[#This Row],[Total PoP ]]</f>
        <v>324</v>
      </c>
      <c r="BP35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0.46</v>
      </c>
      <c r="BQ353" s="209">
        <f>IF(WWWW[[#This Row],[Total required Latrines]]-WWWW[[#This Row],[Total '# of latrine]]&lt;0,0,WWWW[[#This Row],[Total required Latrines]]-WWWW[[#This Row],[Total '# of latrine]])</f>
        <v>46</v>
      </c>
      <c r="BR353" s="210">
        <f>ROUND(IF(WWWW[[#This Row],[Location Type 1]]="camp",WWWW[[#This Row],[Total PoP ]]/20,WWWW[[#This Row],[Total PoP ]]/6),0)</f>
        <v>100</v>
      </c>
      <c r="BS353" s="212">
        <f>IF(OR(WWWW[[#This Row],['# Existing latrines dysfunctional]]="",WWWW[[#This Row],['# Existing latrines dysfunctional]]=0),0,WWWW[[#This Row],['# Existing latrines dysfunctional]]/WWWW[[#This Row],[Total '# of latrine]])</f>
        <v>0</v>
      </c>
      <c r="BT35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53" s="209">
        <f>IF(500*WWWW[[#This Row],['# Hygiene Promoters ]]&gt;WWWW[[#This Row],[Total PoP ]],WWWW[[#This Row],[Total PoP ]],500*WWWW[[#This Row],['# Hygiene Promoters ]])</f>
        <v>500</v>
      </c>
      <c r="BV353" s="209">
        <f>IF(WWWW[[#This Row],[% of HH with access to Sanitary Pad]]&gt;=100%,1,0)</f>
        <v>0</v>
      </c>
      <c r="BW353" s="209">
        <f>IF(WWWW[[#This Row],[Total PoP ]]=0,0,IF(WWWW[[#This Row],['# Hygiene Promoters ]]=0,0,IF(WWWW[[#This Row],[Location Type 1]]="Village",IF(WWWW[[#This Row],[Total PoP ]]/WWWW[[#This Row],['# Hygiene Promoters ]]&lt;1000,1,0),IF(WWWW[[#This Row],[Total PoP ]]/WWWW[[#This Row],['# Hygiene Promoters ]]&lt;600,1,0))))</f>
        <v>1</v>
      </c>
      <c r="BX353" s="209">
        <f>IF(WWWW[[#This Row],[%HH with access to soap]]&gt;=100%,1,0)</f>
        <v>0</v>
      </c>
      <c r="BY353" s="209">
        <f>IF(WWWW[[#This Row],[% of HHs with access to Sanitary pad more than '#%]]+WWWW[[#This Row],[Ratio of Hyiene promoters to people less than '#]]+WWWW[[#This Row],[% of HHs with access to soap more than '#%]]&gt;=2,WWWW[[#This Row],[Total PoP ]],0)</f>
        <v>0</v>
      </c>
      <c r="BZ353" s="208">
        <f>WWWW[[#This Row],[People adopt basic personal and community hygiene practices]]/WWWW[[#This Row],[Total PoP ]]</f>
        <v>0</v>
      </c>
      <c r="CA353" s="212">
        <f>1-WWWW[[#This Row],[Hygiene Coverage%]]</f>
        <v>1</v>
      </c>
      <c r="CB353" s="211">
        <f>WWWW[[#This Row],['# people reached by regular dedicated hygiene promotion_5]]/WWWW[[#This Row],[Total PoP ]]</f>
        <v>0.83333333333333337</v>
      </c>
      <c r="CC353" s="211">
        <f>IF(WWWW[[#This Row],['# HH received soaps]]/WWWW[[#This Row],[Total HH]]&gt;1,1,WWWW[[#This Row],['# HH received soaps]]/WWWW[[#This Row],[Total HH]])</f>
        <v>0</v>
      </c>
      <c r="CD353" s="211">
        <f>IF(WWWW[[#This Row],['# HH received Sanitary Pads]]/WWWW[[#This Row],[Total HH]]&gt;1,1,WWWW[[#This Row],['# HH received Sanitary Pads]]/WWWW[[#This Row],[Total HH]])</f>
        <v>0</v>
      </c>
      <c r="CE353" s="210">
        <f>WWWW[[#This Row],['# HH received soaps]]*5</f>
        <v>0</v>
      </c>
      <c r="CF353" s="210">
        <f>WWWW[[#This Row],['# HH received Sanitary Pads]]*5</f>
        <v>0</v>
      </c>
      <c r="CG353" s="210">
        <f>IF(WWWW[[#This Row],['# People with access to soap]]&gt;WWWW[[#This Row],['# People with access to Sanity Pads]],WWWW[[#This Row],['# People with access to soap]],WWWW[[#This Row],['# People with access to Sanity Pads]])</f>
        <v>0</v>
      </c>
      <c r="CH353" s="209">
        <f>WWWW[[#This Row],[Total HH]]*WWWW[[#This Row],[%HHs with access to functional hand washing stations]]</f>
        <v>0</v>
      </c>
      <c r="CI353" s="699">
        <f>VLOOKUP(WWWW[[#This Row],[Site Name]],SiteDB6[[Site Name]:[CCCM Management]],6,FALSE)</f>
        <v>0</v>
      </c>
      <c r="CJ353" s="699">
        <f>VLOOKUP(WWWW[[#This Row],[Site Name]],SiteDB6[[Site Name]:[CCCM Focal Agency]],7,FALSE)</f>
        <v>0</v>
      </c>
      <c r="CK353" s="699" t="str">
        <f>VLOOKUP(WWWW[[#This Row],[Site Name]],SiteDB6[[Site Name]:[Location Type]],8,FALSE)</f>
        <v>Village</v>
      </c>
      <c r="CL353" s="699" t="str">
        <f>VLOOKUP(WWWW[[#This Row],[Site Name]],SiteDB6[[Site Name]:[Location Type 1]],9,FALSE)</f>
        <v>Village</v>
      </c>
      <c r="CM353" s="699" t="str">
        <f>VLOOKUP(WWWW[[#This Row],[Site Name]],SiteDB6[[Site Name]:[Type of Accommodation]],10,FALSE)</f>
        <v>Village</v>
      </c>
      <c r="CN353" s="699" t="str">
        <f>VLOOKUP(WWWW[[#This Row],[Site Name]],SiteDB6[[Site Name]:[Ethnic or GCA/NGCA]],11,FALSE)</f>
        <v>rakhine</v>
      </c>
      <c r="CO353" s="699">
        <f>VLOOKUP(WWWW[[#This Row],[Site Name]],SiteDB6[[Site Name]:[Lat]],12,FALSE)</f>
        <v>20.231519699096701</v>
      </c>
      <c r="CP353" s="699">
        <f>VLOOKUP(WWWW[[#This Row],[Site Name]],SiteDB6[[Site Name]:[Long]],13,FALSE)</f>
        <v>92.876129150390597</v>
      </c>
      <c r="CQ353" s="699">
        <f>VLOOKUP(WWWW[[#This Row],[Site Name]],SiteDB6[[Site Name]:[Pcode]],3,FALSE)</f>
        <v>196180</v>
      </c>
      <c r="CR353" s="660" t="str">
        <f t="shared" si="8"/>
        <v>Covered</v>
      </c>
      <c r="CS353" s="660"/>
      <c r="CT353" s="24"/>
      <c r="CU353" s="24"/>
      <c r="CV353" s="24"/>
    </row>
    <row r="354" spans="1:100" ht="15.75" customHeight="1" x14ac:dyDescent="0.25">
      <c r="A354" s="833" t="s">
        <v>3206</v>
      </c>
      <c r="B354" s="206" t="s">
        <v>460</v>
      </c>
      <c r="C354" s="206" t="s">
        <v>454</v>
      </c>
      <c r="D354" s="206" t="s">
        <v>455</v>
      </c>
      <c r="E354" s="206" t="s">
        <v>616</v>
      </c>
      <c r="F354" s="206">
        <v>197</v>
      </c>
      <c r="G354" s="209">
        <v>488</v>
      </c>
      <c r="H354" s="206"/>
      <c r="I354" s="206"/>
      <c r="J354" s="207"/>
      <c r="K354" s="206"/>
      <c r="L354" s="206" t="s">
        <v>282</v>
      </c>
      <c r="M354" s="208">
        <v>0</v>
      </c>
      <c r="N354" s="208">
        <v>0</v>
      </c>
      <c r="O354" s="323">
        <v>9</v>
      </c>
      <c r="P354" s="317">
        <v>4</v>
      </c>
      <c r="Q354" s="317">
        <v>0</v>
      </c>
      <c r="R354" s="318">
        <v>0</v>
      </c>
      <c r="S354" s="318">
        <v>0</v>
      </c>
      <c r="T354" s="318"/>
      <c r="U354" s="318"/>
      <c r="V354" s="318"/>
      <c r="W354" s="318"/>
      <c r="X354" s="318"/>
      <c r="Y354" s="318"/>
      <c r="Z354" s="318" t="s">
        <v>2459</v>
      </c>
      <c r="AA354" s="310">
        <v>146</v>
      </c>
      <c r="AB354" s="310">
        <v>0</v>
      </c>
      <c r="AC354" s="310"/>
      <c r="AD354" s="66"/>
      <c r="AE354" s="310">
        <v>0</v>
      </c>
      <c r="AF354" s="310" t="s">
        <v>1358</v>
      </c>
      <c r="AG354" s="311" t="s">
        <v>1358</v>
      </c>
      <c r="AH354" s="66"/>
      <c r="AI354" s="66"/>
      <c r="AJ354" s="310"/>
      <c r="AK354" s="841">
        <v>0</v>
      </c>
      <c r="AL354" s="842"/>
      <c r="AM354" s="842">
        <v>0</v>
      </c>
      <c r="AN354" s="863">
        <v>0</v>
      </c>
      <c r="AO354" s="863">
        <v>0</v>
      </c>
      <c r="AP354" s="843"/>
      <c r="AQ354" s="843"/>
      <c r="AR354" s="843"/>
      <c r="AS354" s="843"/>
      <c r="AT354" s="843"/>
      <c r="AU354" s="843"/>
      <c r="AV354" s="844"/>
      <c r="AW354" s="208" t="str">
        <f>IFERROR(WWWW[[#This Row],['# of Water passed at source]]/WWWW[[#This Row],['# of Water tested at source]],"no test")</f>
        <v>no test</v>
      </c>
      <c r="AX354" s="211" t="str">
        <f>IFERROR(WWWW[[#This Row],['# of Water passed at HH]]/WWWW[[#This Row],['# of Water tested at HH]],"no test")</f>
        <v>no test</v>
      </c>
      <c r="AY354" s="210" t="str">
        <f>IF(AND(WWWW[[#This Row],[%of Water samples which passed at water source]]="no test",WWWW[[#This Row],[%Water samples which passed at HH]]="no test"),"No Test","Tested")</f>
        <v>No Test</v>
      </c>
      <c r="AZ35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5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54" s="211">
        <f>IF(WWWW[[#This Row],[Location Type 1]]="Village",WWWW[[#This Row],[Access to safe drinking water for Village]],WWWW[[#This Row],[Access to safe drinking water for Camp]])</f>
        <v>1</v>
      </c>
      <c r="BC354" s="209">
        <f>WWWW[[#This Row],[%Equitable and continuous access to sufficient quantity of safe drinking water]]*WWWW[[#This Row],[Total PoP ]]</f>
        <v>488</v>
      </c>
      <c r="BD354" s="211">
        <f>IF((WWWW[[#This Row],['# Existing protected/fenced ponds ]]*250)/WWWW[[#This Row],[Total PoP ]]&gt;1,1,WWWW[[#This Row],['# Existing protected/fenced ponds ]]*250/WWWW[[#This Row],[Total PoP ]])</f>
        <v>0</v>
      </c>
      <c r="BE354" s="209">
        <f>WWWW[[#This Row],[Access to unimproved water points]]*WWWW[[#This Row],[Total PoP ]]</f>
        <v>0</v>
      </c>
      <c r="BF35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5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488</v>
      </c>
      <c r="BH354" s="209">
        <f>WWWW[[#This Row],['#people Equitable and continuous access to sufficient quantity of domestic water borehole n ponds_2]]/500</f>
        <v>0.97599999999999998</v>
      </c>
      <c r="BI354" s="208">
        <f>1-WWWW[[#This Row],[%Equitable and continuous access to sufficient quantity of domestic water borehole n ponds]]</f>
        <v>0</v>
      </c>
      <c r="BJ354" s="209">
        <f>WWWW[[#This Row],[%equitable and continuous access to sufficient quantity of safe drinking and domestic water''s GAP]]*WWWW[[#This Row],[Total PoP ]]</f>
        <v>0</v>
      </c>
      <c r="BK354" s="210">
        <f>IF(WWWW[[#This Row],[Total required water points]]-WWWW[[#This Row],['#Water points coverage]]&lt;0,0,WWWW[[#This Row],[Total required water points]]-WWWW[[#This Row],['#Water points coverage]])</f>
        <v>2.4000000000000021E-2</v>
      </c>
      <c r="BL354" s="210">
        <f>ROUND(IF(WWWW[[#This Row],[Total PoP ]]&lt;500,1,WWWW[[#This Row],[Total PoP ]]/500),0)</f>
        <v>1</v>
      </c>
      <c r="BM354" s="210">
        <f>WWWW[[#This Row],['# Existing functional latrines]]+WWWW[[#This Row],['# Existing latrines dysfunctional]]</f>
        <v>146</v>
      </c>
      <c r="BN35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54" s="352">
        <f>WWWW[[#This Row],[% people access to functioning Latrine]]*WWWW[[#This Row],[Total PoP ]]</f>
        <v>488</v>
      </c>
      <c r="BP35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54" s="209">
        <f>IF(WWWW[[#This Row],[Total required Latrines]]-WWWW[[#This Row],[Total '# of latrine]]&lt;0,0,WWWW[[#This Row],[Total required Latrines]]-WWWW[[#This Row],[Total '# of latrine]])</f>
        <v>0</v>
      </c>
      <c r="BR354" s="210">
        <f>ROUND(IF(WWWW[[#This Row],[Location Type 1]]="camp",WWWW[[#This Row],[Total PoP ]]/20,WWWW[[#This Row],[Total PoP ]]/6),0)</f>
        <v>81</v>
      </c>
      <c r="BS354" s="212">
        <f>IF(OR(WWWW[[#This Row],['# Existing latrines dysfunctional]]="",WWWW[[#This Row],['# Existing latrines dysfunctional]]=0),0,WWWW[[#This Row],['# Existing latrines dysfunctional]]/WWWW[[#This Row],[Total '# of latrine]])</f>
        <v>0</v>
      </c>
      <c r="BT35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54" s="209">
        <f>IF(500*WWWW[[#This Row],['# Hygiene Promoters ]]&gt;WWWW[[#This Row],[Total PoP ]],WWWW[[#This Row],[Total PoP ]],500*WWWW[[#This Row],['# Hygiene Promoters ]])</f>
        <v>0</v>
      </c>
      <c r="BV354" s="209">
        <f>IF(WWWW[[#This Row],[% of HH with access to Sanitary Pad]]&gt;=100%,1,0)</f>
        <v>0</v>
      </c>
      <c r="BW354" s="209">
        <f>IF(WWWW[[#This Row],[Total PoP ]]=0,0,IF(WWWW[[#This Row],['# Hygiene Promoters ]]=0,0,IF(WWWW[[#This Row],[Location Type 1]]="Village",IF(WWWW[[#This Row],[Total PoP ]]/WWWW[[#This Row],['# Hygiene Promoters ]]&lt;1000,1,0),IF(WWWW[[#This Row],[Total PoP ]]/WWWW[[#This Row],['# Hygiene Promoters ]]&lt;600,1,0))))</f>
        <v>0</v>
      </c>
      <c r="BX354" s="209">
        <f>IF(WWWW[[#This Row],[%HH with access to soap]]&gt;=100%,1,0)</f>
        <v>0</v>
      </c>
      <c r="BY354" s="209">
        <f>IF(WWWW[[#This Row],[% of HHs with access to Sanitary pad more than '#%]]+WWWW[[#This Row],[Ratio of Hyiene promoters to people less than '#]]+WWWW[[#This Row],[% of HHs with access to soap more than '#%]]&gt;=2,WWWW[[#This Row],[Total PoP ]],0)</f>
        <v>0</v>
      </c>
      <c r="BZ354" s="208">
        <f>WWWW[[#This Row],[People adopt basic personal and community hygiene practices]]/WWWW[[#This Row],[Total PoP ]]</f>
        <v>0</v>
      </c>
      <c r="CA354" s="212">
        <f>1-WWWW[[#This Row],[Hygiene Coverage%]]</f>
        <v>1</v>
      </c>
      <c r="CB354" s="211">
        <f>WWWW[[#This Row],['# people reached by regular dedicated hygiene promotion_5]]/WWWW[[#This Row],[Total PoP ]]</f>
        <v>0</v>
      </c>
      <c r="CC354" s="211">
        <f>IF(WWWW[[#This Row],['# HH received soaps]]/WWWW[[#This Row],[Total HH]]&gt;1,1,WWWW[[#This Row],['# HH received soaps]]/WWWW[[#This Row],[Total HH]])</f>
        <v>0</v>
      </c>
      <c r="CD354" s="211">
        <f>IF(WWWW[[#This Row],['# HH received Sanitary Pads]]/WWWW[[#This Row],[Total HH]]&gt;1,1,WWWW[[#This Row],['# HH received Sanitary Pads]]/WWWW[[#This Row],[Total HH]])</f>
        <v>0</v>
      </c>
      <c r="CE354" s="210">
        <f>WWWW[[#This Row],['# HH received soaps]]*5</f>
        <v>0</v>
      </c>
      <c r="CF354" s="210">
        <f>WWWW[[#This Row],['# HH received Sanitary Pads]]*5</f>
        <v>0</v>
      </c>
      <c r="CG354" s="210">
        <f>IF(WWWW[[#This Row],['# People with access to soap]]&gt;WWWW[[#This Row],['# People with access to Sanity Pads]],WWWW[[#This Row],['# People with access to soap]],WWWW[[#This Row],['# People with access to Sanity Pads]])</f>
        <v>0</v>
      </c>
      <c r="CH354" s="209">
        <f>WWWW[[#This Row],[Total HH]]*WWWW[[#This Row],[%HHs with access to functional hand washing stations]]</f>
        <v>0</v>
      </c>
      <c r="CI354" s="699">
        <f>VLOOKUP(WWWW[[#This Row],[Site Name]],SiteDB6[[Site Name]:[CCCM Management]],6,FALSE)</f>
        <v>0</v>
      </c>
      <c r="CJ354" s="699">
        <f>VLOOKUP(WWWW[[#This Row],[Site Name]],SiteDB6[[Site Name]:[CCCM Focal Agency]],7,FALSE)</f>
        <v>0</v>
      </c>
      <c r="CK354" s="699" t="str">
        <f>VLOOKUP(WWWW[[#This Row],[Site Name]],SiteDB6[[Site Name]:[Location Type]],8,FALSE)</f>
        <v>Village</v>
      </c>
      <c r="CL354" s="699" t="str">
        <f>VLOOKUP(WWWW[[#This Row],[Site Name]],SiteDB6[[Site Name]:[Location Type 1]],9,FALSE)</f>
        <v>Village</v>
      </c>
      <c r="CM354" s="699" t="str">
        <f>VLOOKUP(WWWW[[#This Row],[Site Name]],SiteDB6[[Site Name]:[Type of Accommodation]],10,FALSE)</f>
        <v>Village</v>
      </c>
      <c r="CN354" s="699" t="str">
        <f>VLOOKUP(WWWW[[#This Row],[Site Name]],SiteDB6[[Site Name]:[Ethnic or GCA/NGCA]],11,FALSE)</f>
        <v>Rakhine</v>
      </c>
      <c r="CO354" s="699">
        <f>VLOOKUP(WWWW[[#This Row],[Site Name]],SiteDB6[[Site Name]:[Lat]],12,FALSE)</f>
        <v>20.245159149169901</v>
      </c>
      <c r="CP354" s="699">
        <f>VLOOKUP(WWWW[[#This Row],[Site Name]],SiteDB6[[Site Name]:[Long]],13,FALSE)</f>
        <v>92.807418823242202</v>
      </c>
      <c r="CQ354" s="699" t="str">
        <f>VLOOKUP(WWWW[[#This Row],[Site Name]],SiteDB6[[Site Name]:[Pcode]],3,FALSE)</f>
        <v>196137</v>
      </c>
      <c r="CR354" s="660" t="str">
        <f t="shared" si="8"/>
        <v>Notcovered</v>
      </c>
      <c r="CS354" s="699"/>
      <c r="CT354" s="24"/>
      <c r="CU354" s="24"/>
      <c r="CV354" s="24"/>
    </row>
    <row r="355" spans="1:100" ht="15.75" customHeight="1" x14ac:dyDescent="0.25">
      <c r="A355" s="833" t="s">
        <v>3206</v>
      </c>
      <c r="B355" s="206" t="s">
        <v>527</v>
      </c>
      <c r="C355" s="206" t="s">
        <v>454</v>
      </c>
      <c r="D355" s="206" t="s">
        <v>455</v>
      </c>
      <c r="E355" s="206" t="s">
        <v>597</v>
      </c>
      <c r="F355" s="206">
        <v>2428</v>
      </c>
      <c r="G355" s="209">
        <v>13302</v>
      </c>
      <c r="H355" s="206"/>
      <c r="I355" s="206" t="s">
        <v>47</v>
      </c>
      <c r="J355" s="207">
        <v>44104</v>
      </c>
      <c r="K355" s="206">
        <v>0</v>
      </c>
      <c r="L355" s="206" t="s">
        <v>282</v>
      </c>
      <c r="M355" s="208">
        <v>0</v>
      </c>
      <c r="N355" s="208">
        <v>0</v>
      </c>
      <c r="O355" s="316">
        <v>0</v>
      </c>
      <c r="P355" s="317">
        <v>185</v>
      </c>
      <c r="Q355" s="317"/>
      <c r="R355" s="318">
        <v>0</v>
      </c>
      <c r="S355" s="318">
        <v>234</v>
      </c>
      <c r="T355" s="318"/>
      <c r="U355" s="318">
        <v>7</v>
      </c>
      <c r="V355" s="318">
        <v>6</v>
      </c>
      <c r="W355" s="318">
        <v>12</v>
      </c>
      <c r="X355" s="318">
        <v>2</v>
      </c>
      <c r="Y355" s="318">
        <v>9</v>
      </c>
      <c r="Z355" s="318" t="s">
        <v>2783</v>
      </c>
      <c r="AA355" s="310">
        <v>493</v>
      </c>
      <c r="AB355" s="310">
        <v>289</v>
      </c>
      <c r="AC355" s="66">
        <v>326</v>
      </c>
      <c r="AD355" s="66"/>
      <c r="AE355" s="310">
        <v>788</v>
      </c>
      <c r="AF355" s="310" t="s">
        <v>283</v>
      </c>
      <c r="AG355" s="311" t="s">
        <v>1358</v>
      </c>
      <c r="AH355" s="311">
        <v>0</v>
      </c>
      <c r="AI355" s="310">
        <v>18</v>
      </c>
      <c r="AJ355" s="310"/>
      <c r="AK355" s="841">
        <v>1</v>
      </c>
      <c r="AL355" s="842" t="s">
        <v>284</v>
      </c>
      <c r="AM355" s="842">
        <v>2428</v>
      </c>
      <c r="AN355" s="863">
        <v>0</v>
      </c>
      <c r="AO355" s="863">
        <v>24</v>
      </c>
      <c r="AP355" s="843">
        <v>2428</v>
      </c>
      <c r="AQ355" s="843">
        <v>2428</v>
      </c>
      <c r="AR355" s="843" t="s">
        <v>282</v>
      </c>
      <c r="AS355" s="843"/>
      <c r="AT355" s="843"/>
      <c r="AU355" s="843"/>
      <c r="AV355" s="844"/>
      <c r="AW355" s="208">
        <f>IFERROR(WWWW[[#This Row],['# of Water passed at source]]/WWWW[[#This Row],['# of Water tested at source]],"no test")</f>
        <v>0.8571428571428571</v>
      </c>
      <c r="AX355" s="211">
        <f>IFERROR(WWWW[[#This Row],['# of Water passed at HH]]/WWWW[[#This Row],['# of Water tested at HH]],"no test")</f>
        <v>0.16666666666666666</v>
      </c>
      <c r="AY355" s="210" t="str">
        <f>IF(AND(WWWW[[#This Row],[%of Water samples which passed at water source]]="no test",WWWW[[#This Row],[%Water samples which passed at HH]]="no test"),"No Test","Tested")</f>
        <v>Tested</v>
      </c>
      <c r="AZ35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5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55" s="211">
        <f>IF(WWWW[[#This Row],[Location Type 1]]="Village",WWWW[[#This Row],[Access to safe drinking water for Village]],WWWW[[#This Row],[Access to safe drinking water for Camp]])</f>
        <v>1</v>
      </c>
      <c r="BC355" s="209">
        <f>WWWW[[#This Row],[%Equitable and continuous access to sufficient quantity of safe drinking water]]*WWWW[[#This Row],[Total PoP ]]</f>
        <v>13302</v>
      </c>
      <c r="BD355" s="211">
        <f>IF((WWWW[[#This Row],['# Existing protected/fenced ponds ]]*250)/WWWW[[#This Row],[Total PoP ]]&gt;1,1,WWWW[[#This Row],['# Existing protected/fenced ponds ]]*250/WWWW[[#This Row],[Total PoP ]])</f>
        <v>0</v>
      </c>
      <c r="BE355" s="209">
        <f>WWWW[[#This Row],[Access to unimproved water points]]*WWWW[[#This Row],[Total PoP ]]</f>
        <v>0</v>
      </c>
      <c r="BF35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5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13302</v>
      </c>
      <c r="BH355" s="209">
        <f>WWWW[[#This Row],['#people Equitable and continuous access to sufficient quantity of domestic water borehole n ponds_2]]/500</f>
        <v>26.603999999999999</v>
      </c>
      <c r="BI355" s="208">
        <f>1-WWWW[[#This Row],[%Equitable and continuous access to sufficient quantity of domestic water borehole n ponds]]</f>
        <v>0</v>
      </c>
      <c r="BJ355" s="209">
        <f>WWWW[[#This Row],[%equitable and continuous access to sufficient quantity of safe drinking and domestic water''s GAP]]*WWWW[[#This Row],[Total PoP ]]</f>
        <v>0</v>
      </c>
      <c r="BK355" s="210">
        <f>IF(WWWW[[#This Row],[Total required water points]]-WWWW[[#This Row],['#Water points coverage]]&lt;0,0,WWWW[[#This Row],[Total required water points]]-WWWW[[#This Row],['#Water points coverage]])</f>
        <v>0.3960000000000008</v>
      </c>
      <c r="BL355" s="210">
        <f>ROUND(IF(WWWW[[#This Row],[Total PoP ]]&lt;500,1,WWWW[[#This Row],[Total PoP ]]/500),0)</f>
        <v>27</v>
      </c>
      <c r="BM355" s="210">
        <f>WWWW[[#This Row],['# Existing functional latrines]]+WWWW[[#This Row],['# Existing latrines dysfunctional]]</f>
        <v>782</v>
      </c>
      <c r="BN35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0.74124191850849497</v>
      </c>
      <c r="BO355" s="352">
        <f>WWWW[[#This Row],[% people access to functioning Latrine]]*WWWW[[#This Row],[Total PoP ]]</f>
        <v>9860</v>
      </c>
      <c r="BP35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55" s="209">
        <f>IF(WWWW[[#This Row],[Total required Latrines]]-WWWW[[#This Row],[Total '# of latrine]]&lt;0,0,WWWW[[#This Row],[Total required Latrines]]-WWWW[[#This Row],[Total '# of latrine]])</f>
        <v>0</v>
      </c>
      <c r="BR355" s="210">
        <f>ROUND(IF(WWWW[[#This Row],[Location Type 1]]="camp",WWWW[[#This Row],[Total PoP ]]/20,WWWW[[#This Row],[Total PoP ]]/6),0)</f>
        <v>665</v>
      </c>
      <c r="BS355" s="212">
        <f>IF(OR(WWWW[[#This Row],['# Existing latrines dysfunctional]]="",WWWW[[#This Row],['# Existing latrines dysfunctional]]=0),0,WWWW[[#This Row],['# Existing latrines dysfunctional]]/WWWW[[#This Row],[Total '# of latrine]])</f>
        <v>0.36956521739130432</v>
      </c>
      <c r="BT35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6520</v>
      </c>
      <c r="BU355" s="209">
        <f>IF(500*WWWW[[#This Row],['# Hygiene Promoters ]]&gt;WWWW[[#This Row],[Total PoP ]],WWWW[[#This Row],[Total PoP ]],500*WWWW[[#This Row],['# Hygiene Promoters ]])</f>
        <v>12000</v>
      </c>
      <c r="BV355" s="209">
        <f>IF(WWWW[[#This Row],[% of HH with access to Sanitary Pad]]&gt;=100%,1,0)</f>
        <v>1</v>
      </c>
      <c r="BW355" s="209">
        <f>IF(WWWW[[#This Row],[Total PoP ]]=0,0,IF(WWWW[[#This Row],['# Hygiene Promoters ]]=0,0,IF(WWWW[[#This Row],[Location Type 1]]="Village",IF(WWWW[[#This Row],[Total PoP ]]/WWWW[[#This Row],['# Hygiene Promoters ]]&lt;1000,1,0),IF(WWWW[[#This Row],[Total PoP ]]/WWWW[[#This Row],['# Hygiene Promoters ]]&lt;600,1,0))))</f>
        <v>1</v>
      </c>
      <c r="BX355" s="209">
        <f>IF(WWWW[[#This Row],[%HH with access to soap]]&gt;=100%,1,0)</f>
        <v>1</v>
      </c>
      <c r="BY355" s="209">
        <f>IF(WWWW[[#This Row],[% of HHs with access to Sanitary pad more than '#%]]+WWWW[[#This Row],[Ratio of Hyiene promoters to people less than '#]]+WWWW[[#This Row],[% of HHs with access to soap more than '#%]]&gt;=2,WWWW[[#This Row],[Total PoP ]],0)</f>
        <v>13302</v>
      </c>
      <c r="BZ355" s="208">
        <f>WWWW[[#This Row],[People adopt basic personal and community hygiene practices]]/WWWW[[#This Row],[Total PoP ]]</f>
        <v>1</v>
      </c>
      <c r="CA355" s="212">
        <f>1-WWWW[[#This Row],[Hygiene Coverage%]]</f>
        <v>0</v>
      </c>
      <c r="CB355" s="211">
        <f>WWWW[[#This Row],['# people reached by regular dedicated hygiene promotion_5]]/WWWW[[#This Row],[Total PoP ]]</f>
        <v>0.90211998195760035</v>
      </c>
      <c r="CC355" s="211">
        <f>IF(WWWW[[#This Row],['# HH received soaps]]/WWWW[[#This Row],[Total HH]]&gt;1,1,WWWW[[#This Row],['# HH received soaps]]/WWWW[[#This Row],[Total HH]])</f>
        <v>1</v>
      </c>
      <c r="CD355" s="211">
        <f>IF(WWWW[[#This Row],['# HH received Sanitary Pads]]/WWWW[[#This Row],[Total HH]]&gt;1,1,WWWW[[#This Row],['# HH received Sanitary Pads]]/WWWW[[#This Row],[Total HH]])</f>
        <v>1</v>
      </c>
      <c r="CE355" s="210">
        <f>WWWW[[#This Row],['# HH received soaps]]*5</f>
        <v>12140</v>
      </c>
      <c r="CF355" s="210">
        <f>WWWW[[#This Row],['# HH received Sanitary Pads]]*5</f>
        <v>12140</v>
      </c>
      <c r="CG355" s="210">
        <f>IF(WWWW[[#This Row],['# People with access to soap]]&gt;WWWW[[#This Row],['# People with access to Sanity Pads]],WWWW[[#This Row],['# People with access to soap]],WWWW[[#This Row],['# People with access to Sanity Pads]])</f>
        <v>12140</v>
      </c>
      <c r="CH355" s="209">
        <f>WWWW[[#This Row],[Total HH]]*WWWW[[#This Row],[%HHs with access to functional hand washing stations]]</f>
        <v>2428</v>
      </c>
      <c r="CI355" s="699" t="str">
        <f>VLOOKUP(WWWW[[#This Row],[Site Name]],SiteDB6[[Site Name]:[CCCM Management]],6,FALSE)</f>
        <v>Yes</v>
      </c>
      <c r="CJ355" s="699">
        <f>VLOOKUP(WWWW[[#This Row],[Site Name]],SiteDB6[[Site Name]:[CCCM Focal Agency]],7,FALSE)</f>
        <v>0</v>
      </c>
      <c r="CK355" s="699" t="str">
        <f>VLOOKUP(WWWW[[#This Row],[Site Name]],SiteDB6[[Site Name]:[Location Type]],8,FALSE)</f>
        <v>Camp</v>
      </c>
      <c r="CL355" s="699" t="str">
        <f>VLOOKUP(WWWW[[#This Row],[Site Name]],SiteDB6[[Site Name]:[Location Type 1]],9,FALSE)</f>
        <v>Camp</v>
      </c>
      <c r="CM355" s="699" t="str">
        <f>VLOOKUP(WWWW[[#This Row],[Site Name]],SiteDB6[[Site Name]:[Type of Accommodation]],10,FALSE)</f>
        <v>Planned Camp</v>
      </c>
      <c r="CN355" s="699" t="str">
        <f>VLOOKUP(WWWW[[#This Row],[Site Name]],SiteDB6[[Site Name]:[Ethnic or GCA/NGCA]],11,FALSE)</f>
        <v>Muslim</v>
      </c>
      <c r="CO355" s="699">
        <f>VLOOKUP(WWWW[[#This Row],[Site Name]],SiteDB6[[Site Name]:[Lat]],12,FALSE)</f>
        <v>20.18994</v>
      </c>
      <c r="CP355" s="699">
        <f>VLOOKUP(WWWW[[#This Row],[Site Name]],SiteDB6[[Site Name]:[Long]],13,FALSE)</f>
        <v>92.798880999999994</v>
      </c>
      <c r="CQ355" s="699" t="str">
        <f>VLOOKUP(WWWW[[#This Row],[Site Name]],SiteDB6[[Site Name]:[Pcode]],3,FALSE)</f>
        <v>MMR012CMP115</v>
      </c>
      <c r="CR355" s="660" t="str">
        <f t="shared" si="8"/>
        <v>Covered</v>
      </c>
      <c r="CS355" s="660"/>
      <c r="CT355" s="24"/>
      <c r="CU355" s="24"/>
      <c r="CV355" s="24"/>
    </row>
    <row r="356" spans="1:100" ht="15.75" customHeight="1" x14ac:dyDescent="0.25">
      <c r="A356" s="833" t="s">
        <v>3206</v>
      </c>
      <c r="B356" s="206" t="s">
        <v>2779</v>
      </c>
      <c r="C356" s="206" t="s">
        <v>454</v>
      </c>
      <c r="D356" s="206" t="s">
        <v>455</v>
      </c>
      <c r="E356" s="206" t="s">
        <v>613</v>
      </c>
      <c r="F356" s="206">
        <v>250</v>
      </c>
      <c r="G356" s="209">
        <v>1183</v>
      </c>
      <c r="H356" s="206">
        <v>290</v>
      </c>
      <c r="I356" s="206" t="s">
        <v>2780</v>
      </c>
      <c r="J356" s="207" t="s">
        <v>2781</v>
      </c>
      <c r="K356" s="206">
        <v>0</v>
      </c>
      <c r="L356" s="206" t="s">
        <v>282</v>
      </c>
      <c r="M356" s="208">
        <v>0</v>
      </c>
      <c r="N356" s="208">
        <v>0</v>
      </c>
      <c r="O356" s="316">
        <v>11</v>
      </c>
      <c r="P356" s="317">
        <v>21</v>
      </c>
      <c r="Q356" s="317">
        <v>0</v>
      </c>
      <c r="R356" s="318">
        <v>0</v>
      </c>
      <c r="S356" s="318">
        <v>1</v>
      </c>
      <c r="T356" s="318"/>
      <c r="U356" s="318">
        <v>0</v>
      </c>
      <c r="V356" s="318">
        <v>0</v>
      </c>
      <c r="W356" s="318">
        <v>0</v>
      </c>
      <c r="X356" s="318">
        <v>0</v>
      </c>
      <c r="Y356" s="318">
        <v>0</v>
      </c>
      <c r="Z356" s="318"/>
      <c r="AA356" s="310">
        <v>14</v>
      </c>
      <c r="AB356" s="310">
        <v>0</v>
      </c>
      <c r="AC356" s="66">
        <v>0</v>
      </c>
      <c r="AD356" s="66"/>
      <c r="AE356" s="310">
        <v>75</v>
      </c>
      <c r="AF356" s="310" t="s">
        <v>286</v>
      </c>
      <c r="AG356" s="311" t="s">
        <v>286</v>
      </c>
      <c r="AH356" s="311">
        <v>0</v>
      </c>
      <c r="AI356" s="310">
        <v>0</v>
      </c>
      <c r="AJ356" s="310"/>
      <c r="AK356" s="841">
        <v>0</v>
      </c>
      <c r="AL356" s="842" t="s">
        <v>284</v>
      </c>
      <c r="AM356" s="842">
        <v>0</v>
      </c>
      <c r="AN356" s="863">
        <v>0</v>
      </c>
      <c r="AO356" s="863">
        <v>1</v>
      </c>
      <c r="AP356" s="843">
        <v>0</v>
      </c>
      <c r="AQ356" s="843">
        <v>0</v>
      </c>
      <c r="AR356" s="843"/>
      <c r="AS356" s="843"/>
      <c r="AT356" s="843"/>
      <c r="AU356" s="843"/>
      <c r="AV356" s="844"/>
      <c r="AW356" s="208" t="str">
        <f>IFERROR(WWWW[[#This Row],['# of Water passed at source]]/WWWW[[#This Row],['# of Water tested at source]],"no test")</f>
        <v>no test</v>
      </c>
      <c r="AX356" s="211" t="str">
        <f>IFERROR(WWWW[[#This Row],['# of Water passed at HH]]/WWWW[[#This Row],['# of Water tested at HH]],"no test")</f>
        <v>no test</v>
      </c>
      <c r="AY356" s="210" t="str">
        <f>IF(AND(WWWW[[#This Row],[%of Water samples which passed at water source]]="no test",WWWW[[#This Row],[%Water samples which passed at HH]]="no test"),"No Test","Tested")</f>
        <v>No Test</v>
      </c>
      <c r="AZ35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5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56" s="211">
        <f>IF(WWWW[[#This Row],[Location Type 1]]="Village",WWWW[[#This Row],[Access to safe drinking water for Village]],WWWW[[#This Row],[Access to safe drinking water for Camp]])</f>
        <v>1</v>
      </c>
      <c r="BC356" s="209">
        <f>WWWW[[#This Row],[%Equitable and continuous access to sufficient quantity of safe drinking water]]*WWWW[[#This Row],[Total PoP ]]</f>
        <v>1183</v>
      </c>
      <c r="BD356" s="211">
        <f>IF((WWWW[[#This Row],['# Existing protected/fenced ponds ]]*250)/WWWW[[#This Row],[Total PoP ]]&gt;1,1,WWWW[[#This Row],['# Existing protected/fenced ponds ]]*250/WWWW[[#This Row],[Total PoP ]])</f>
        <v>0</v>
      </c>
      <c r="BE356" s="209">
        <f>WWWW[[#This Row],[Access to unimproved water points]]*WWWW[[#This Row],[Total PoP ]]</f>
        <v>0</v>
      </c>
      <c r="BF35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5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1183</v>
      </c>
      <c r="BH356" s="209">
        <f>WWWW[[#This Row],['#people Equitable and continuous access to sufficient quantity of domestic water borehole n ponds_2]]/500</f>
        <v>2.3660000000000001</v>
      </c>
      <c r="BI356" s="208">
        <f>1-WWWW[[#This Row],[%Equitable and continuous access to sufficient quantity of domestic water borehole n ponds]]</f>
        <v>0</v>
      </c>
      <c r="BJ356" s="209">
        <f>WWWW[[#This Row],[%equitable and continuous access to sufficient quantity of safe drinking and domestic water''s GAP]]*WWWW[[#This Row],[Total PoP ]]</f>
        <v>0</v>
      </c>
      <c r="BK356" s="210">
        <f>IF(WWWW[[#This Row],[Total required water points]]-WWWW[[#This Row],['#Water points coverage]]&lt;0,0,WWWW[[#This Row],[Total required water points]]-WWWW[[#This Row],['#Water points coverage]])</f>
        <v>0</v>
      </c>
      <c r="BL356" s="210">
        <f>ROUND(IF(WWWW[[#This Row],[Total PoP ]]&lt;500,1,WWWW[[#This Row],[Total PoP ]]/500),0)</f>
        <v>2</v>
      </c>
      <c r="BM356" s="210">
        <f>WWWW[[#This Row],['# Existing functional latrines]]+WWWW[[#This Row],['# Existing latrines dysfunctional]]</f>
        <v>14</v>
      </c>
      <c r="BN35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7.1005917159763315E-2</v>
      </c>
      <c r="BO356" s="352">
        <f>WWWW[[#This Row],[% people access to functioning Latrine]]*WWWW[[#This Row],[Total PoP ]]</f>
        <v>84</v>
      </c>
      <c r="BP35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0.92814877430262055</v>
      </c>
      <c r="BQ356" s="209">
        <f>IF(WWWW[[#This Row],[Total required Latrines]]-WWWW[[#This Row],[Total '# of latrine]]&lt;0,0,WWWW[[#This Row],[Total required Latrines]]-WWWW[[#This Row],[Total '# of latrine]])</f>
        <v>183</v>
      </c>
      <c r="BR356" s="210">
        <f>ROUND(IF(WWWW[[#This Row],[Location Type 1]]="camp",WWWW[[#This Row],[Total PoP ]]/20,WWWW[[#This Row],[Total PoP ]]/6),0)</f>
        <v>197</v>
      </c>
      <c r="BS356" s="212">
        <f>IF(OR(WWWW[[#This Row],['# Existing latrines dysfunctional]]="",WWWW[[#This Row],['# Existing latrines dysfunctional]]=0),0,WWWW[[#This Row],['# Existing latrines dysfunctional]]/WWWW[[#This Row],[Total '# of latrine]])</f>
        <v>0</v>
      </c>
      <c r="BT35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56" s="209">
        <f>IF(500*WWWW[[#This Row],['# Hygiene Promoters ]]&gt;WWWW[[#This Row],[Total PoP ]],WWWW[[#This Row],[Total PoP ]],500*WWWW[[#This Row],['# Hygiene Promoters ]])</f>
        <v>500</v>
      </c>
      <c r="BV356" s="209">
        <f>IF(WWWW[[#This Row],[% of HH with access to Sanitary Pad]]&gt;=100%,1,0)</f>
        <v>0</v>
      </c>
      <c r="BW356" s="209">
        <f>IF(WWWW[[#This Row],[Total PoP ]]=0,0,IF(WWWW[[#This Row],['# Hygiene Promoters ]]=0,0,IF(WWWW[[#This Row],[Location Type 1]]="Village",IF(WWWW[[#This Row],[Total PoP ]]/WWWW[[#This Row],['# Hygiene Promoters ]]&lt;1000,1,0),IF(WWWW[[#This Row],[Total PoP ]]/WWWW[[#This Row],['# Hygiene Promoters ]]&lt;600,1,0))))</f>
        <v>0</v>
      </c>
      <c r="BX356" s="209">
        <f>IF(WWWW[[#This Row],[%HH with access to soap]]&gt;=100%,1,0)</f>
        <v>0</v>
      </c>
      <c r="BY356" s="209">
        <f>IF(WWWW[[#This Row],[% of HHs with access to Sanitary pad more than '#%]]+WWWW[[#This Row],[Ratio of Hyiene promoters to people less than '#]]+WWWW[[#This Row],[% of HHs with access to soap more than '#%]]&gt;=2,WWWW[[#This Row],[Total PoP ]],0)</f>
        <v>0</v>
      </c>
      <c r="BZ356" s="208">
        <f>WWWW[[#This Row],[People adopt basic personal and community hygiene practices]]/WWWW[[#This Row],[Total PoP ]]</f>
        <v>0</v>
      </c>
      <c r="CA356" s="212">
        <f>1-WWWW[[#This Row],[Hygiene Coverage%]]</f>
        <v>1</v>
      </c>
      <c r="CB356" s="211">
        <f>WWWW[[#This Row],['# people reached by regular dedicated hygiene promotion_5]]/WWWW[[#This Row],[Total PoP ]]</f>
        <v>0.42265426880811496</v>
      </c>
      <c r="CC356" s="211">
        <f>IF(WWWW[[#This Row],['# HH received soaps]]/WWWW[[#This Row],[Total HH]]&gt;1,1,WWWW[[#This Row],['# HH received soaps]]/WWWW[[#This Row],[Total HH]])</f>
        <v>0</v>
      </c>
      <c r="CD356" s="211">
        <f>IF(WWWW[[#This Row],['# HH received Sanitary Pads]]/WWWW[[#This Row],[Total HH]]&gt;1,1,WWWW[[#This Row],['# HH received Sanitary Pads]]/WWWW[[#This Row],[Total HH]])</f>
        <v>0</v>
      </c>
      <c r="CE356" s="210">
        <f>WWWW[[#This Row],['# HH received soaps]]*5</f>
        <v>0</v>
      </c>
      <c r="CF356" s="210">
        <f>WWWW[[#This Row],['# HH received Sanitary Pads]]*5</f>
        <v>0</v>
      </c>
      <c r="CG356" s="210">
        <f>IF(WWWW[[#This Row],['# People with access to soap]]&gt;WWWW[[#This Row],['# People with access to Sanity Pads]],WWWW[[#This Row],['# People with access to soap]],WWWW[[#This Row],['# People with access to Sanity Pads]])</f>
        <v>0</v>
      </c>
      <c r="CH356" s="209">
        <f>WWWW[[#This Row],[Total HH]]*WWWW[[#This Row],[%HHs with access to functional hand washing stations]]</f>
        <v>0</v>
      </c>
      <c r="CI356" s="699">
        <f>VLOOKUP(WWWW[[#This Row],[Site Name]],SiteDB6[[Site Name]:[CCCM Management]],6,FALSE)</f>
        <v>0</v>
      </c>
      <c r="CJ356" s="699">
        <f>VLOOKUP(WWWW[[#This Row],[Site Name]],SiteDB6[[Site Name]:[CCCM Focal Agency]],7,FALSE)</f>
        <v>0</v>
      </c>
      <c r="CK356" s="699" t="str">
        <f>VLOOKUP(WWWW[[#This Row],[Site Name]],SiteDB6[[Site Name]:[Location Type]],8,FALSE)</f>
        <v>Village</v>
      </c>
      <c r="CL356" s="699" t="str">
        <f>VLOOKUP(WWWW[[#This Row],[Site Name]],SiteDB6[[Site Name]:[Location Type 1]],9,FALSE)</f>
        <v>Village</v>
      </c>
      <c r="CM356" s="699" t="str">
        <f>VLOOKUP(WWWW[[#This Row],[Site Name]],SiteDB6[[Site Name]:[Type of Accommodation]],10,FALSE)</f>
        <v>Village</v>
      </c>
      <c r="CN356" s="699" t="str">
        <f>VLOOKUP(WWWW[[#This Row],[Site Name]],SiteDB6[[Site Name]:[Ethnic or GCA/NGCA]],11,FALSE)</f>
        <v>Muslim</v>
      </c>
      <c r="CO356" s="699">
        <f>VLOOKUP(WWWW[[#This Row],[Site Name]],SiteDB6[[Site Name]:[Lat]],12,FALSE)</f>
        <v>20.2302</v>
      </c>
      <c r="CP356" s="699">
        <f>VLOOKUP(WWWW[[#This Row],[Site Name]],SiteDB6[[Site Name]:[Long]],13,FALSE)</f>
        <v>92.817999999999998</v>
      </c>
      <c r="CQ356" s="699" t="str">
        <f>VLOOKUP(WWWW[[#This Row],[Site Name]],SiteDB6[[Site Name]:[Pcode]],3,FALSE)</f>
        <v>196139</v>
      </c>
      <c r="CR356" s="660" t="str">
        <f t="shared" si="8"/>
        <v>Covered</v>
      </c>
      <c r="CS356" s="660"/>
      <c r="CT356" s="24"/>
      <c r="CU356" s="24"/>
      <c r="CV356" s="24"/>
    </row>
    <row r="357" spans="1:100" ht="15.75" customHeight="1" x14ac:dyDescent="0.25">
      <c r="A357" s="833" t="s">
        <v>3206</v>
      </c>
      <c r="B357" s="206" t="s">
        <v>453</v>
      </c>
      <c r="C357" s="206" t="s">
        <v>454</v>
      </c>
      <c r="D357" s="206" t="s">
        <v>455</v>
      </c>
      <c r="E357" s="206" t="s">
        <v>2768</v>
      </c>
      <c r="F357" s="206">
        <v>366</v>
      </c>
      <c r="G357" s="209">
        <v>2182</v>
      </c>
      <c r="H357" s="206">
        <v>261</v>
      </c>
      <c r="I357" s="206" t="s">
        <v>2773</v>
      </c>
      <c r="J357" s="207">
        <v>43464</v>
      </c>
      <c r="K357" s="206">
        <v>0</v>
      </c>
      <c r="L357" s="206" t="s">
        <v>282</v>
      </c>
      <c r="M357" s="208">
        <v>0</v>
      </c>
      <c r="N357" s="208">
        <v>0</v>
      </c>
      <c r="O357" s="316">
        <v>0</v>
      </c>
      <c r="P357" s="317"/>
      <c r="Q357" s="317"/>
      <c r="R357" s="318"/>
      <c r="S357" s="318"/>
      <c r="T357" s="318"/>
      <c r="U357" s="318"/>
      <c r="V357" s="318"/>
      <c r="W357" s="318"/>
      <c r="X357" s="318"/>
      <c r="Y357" s="318"/>
      <c r="Z357" s="318"/>
      <c r="AA357" s="310">
        <v>0</v>
      </c>
      <c r="AB357" s="310"/>
      <c r="AC357" s="66"/>
      <c r="AD357" s="66"/>
      <c r="AE357" s="310"/>
      <c r="AF357" s="310" t="s">
        <v>286</v>
      </c>
      <c r="AG357" s="311" t="s">
        <v>286</v>
      </c>
      <c r="AH357" s="311"/>
      <c r="AI357" s="310"/>
      <c r="AJ357" s="310"/>
      <c r="AK357" s="841"/>
      <c r="AL357" s="842" t="s">
        <v>284</v>
      </c>
      <c r="AM357" s="842"/>
      <c r="AN357" s="863"/>
      <c r="AO357" s="863"/>
      <c r="AP357" s="843"/>
      <c r="AQ357" s="843"/>
      <c r="AR357" s="843"/>
      <c r="AS357" s="843"/>
      <c r="AT357" s="843"/>
      <c r="AU357" s="843"/>
      <c r="AV357" s="844"/>
      <c r="AW357" s="208" t="str">
        <f>IFERROR(WWWW[[#This Row],['# of Water passed at source]]/WWWW[[#This Row],['# of Water tested at source]],"no test")</f>
        <v>no test</v>
      </c>
      <c r="AX357" s="211" t="str">
        <f>IFERROR(WWWW[[#This Row],['# of Water passed at HH]]/WWWW[[#This Row],['# of Water tested at HH]],"no test")</f>
        <v>no test</v>
      </c>
      <c r="AY357" s="210" t="str">
        <f>IF(AND(WWWW[[#This Row],[%of Water samples which passed at water source]]="no test",WWWW[[#This Row],[%Water samples which passed at HH]]="no test"),"No Test","Tested")</f>
        <v>No Test</v>
      </c>
      <c r="AZ35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5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57" s="211">
        <f>IF(WWWW[[#This Row],[Location Type 1]]="Village",WWWW[[#This Row],[Access to safe drinking water for Village]],WWWW[[#This Row],[Access to safe drinking water for Camp]])</f>
        <v>0</v>
      </c>
      <c r="BC357" s="209">
        <f>WWWW[[#This Row],[%Equitable and continuous access to sufficient quantity of safe drinking water]]*WWWW[[#This Row],[Total PoP ]]</f>
        <v>0</v>
      </c>
      <c r="BD357" s="211">
        <f>IF((WWWW[[#This Row],['# Existing protected/fenced ponds ]]*250)/WWWW[[#This Row],[Total PoP ]]&gt;1,1,WWWW[[#This Row],['# Existing protected/fenced ponds ]]*250/WWWW[[#This Row],[Total PoP ]])</f>
        <v>0</v>
      </c>
      <c r="BE357" s="209">
        <f>WWWW[[#This Row],[Access to unimproved water points]]*WWWW[[#This Row],[Total PoP ]]</f>
        <v>0</v>
      </c>
      <c r="BF35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5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57" s="209">
        <f>WWWW[[#This Row],['#people Equitable and continuous access to sufficient quantity of domestic water borehole n ponds_2]]/500</f>
        <v>0</v>
      </c>
      <c r="BI357" s="208">
        <f>1-WWWW[[#This Row],[%Equitable and continuous access to sufficient quantity of domestic water borehole n ponds]]</f>
        <v>1</v>
      </c>
      <c r="BJ357" s="209">
        <f>WWWW[[#This Row],[%equitable and continuous access to sufficient quantity of safe drinking and domestic water''s GAP]]*WWWW[[#This Row],[Total PoP ]]</f>
        <v>2182</v>
      </c>
      <c r="BK357" s="210">
        <f>IF(WWWW[[#This Row],[Total required water points]]-WWWW[[#This Row],['#Water points coverage]]&lt;0,0,WWWW[[#This Row],[Total required water points]]-WWWW[[#This Row],['#Water points coverage]])</f>
        <v>4</v>
      </c>
      <c r="BL357" s="210">
        <f>ROUND(IF(WWWW[[#This Row],[Total PoP ]]&lt;500,1,WWWW[[#This Row],[Total PoP ]]/500),0)</f>
        <v>4</v>
      </c>
      <c r="BM357" s="210">
        <f>WWWW[[#This Row],['# Existing functional latrines]]+WWWW[[#This Row],['# Existing latrines dysfunctional]]</f>
        <v>0</v>
      </c>
      <c r="BN35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57" s="352">
        <f>WWWW[[#This Row],[% people access to functioning Latrine]]*WWWW[[#This Row],[Total PoP ]]</f>
        <v>0</v>
      </c>
      <c r="BP35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57" s="209">
        <f>IF(WWWW[[#This Row],[Total required Latrines]]-WWWW[[#This Row],[Total '# of latrine]]&lt;0,0,WWWW[[#This Row],[Total required Latrines]]-WWWW[[#This Row],[Total '# of latrine]])</f>
        <v>364</v>
      </c>
      <c r="BR357" s="210">
        <f>ROUND(IF(WWWW[[#This Row],[Location Type 1]]="camp",WWWW[[#This Row],[Total PoP ]]/20,WWWW[[#This Row],[Total PoP ]]/6),0)</f>
        <v>364</v>
      </c>
      <c r="BS357" s="212">
        <f>IF(OR(WWWW[[#This Row],['# Existing latrines dysfunctional]]="",WWWW[[#This Row],['# Existing latrines dysfunctional]]=0),0,WWWW[[#This Row],['# Existing latrines dysfunctional]]/WWWW[[#This Row],[Total '# of latrine]])</f>
        <v>0</v>
      </c>
      <c r="BT35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57" s="209">
        <f>IF(500*WWWW[[#This Row],['# Hygiene Promoters ]]&gt;WWWW[[#This Row],[Total PoP ]],WWWW[[#This Row],[Total PoP ]],500*WWWW[[#This Row],['# Hygiene Promoters ]])</f>
        <v>0</v>
      </c>
      <c r="BV357" s="209">
        <f>IF(WWWW[[#This Row],[% of HH with access to Sanitary Pad]]&gt;=100%,1,0)</f>
        <v>0</v>
      </c>
      <c r="BW357" s="209">
        <f>IF(WWWW[[#This Row],[Total PoP ]]=0,0,IF(WWWW[[#This Row],['# Hygiene Promoters ]]=0,0,IF(WWWW[[#This Row],[Location Type 1]]="Village",IF(WWWW[[#This Row],[Total PoP ]]/WWWW[[#This Row],['# Hygiene Promoters ]]&lt;1000,1,0),IF(WWWW[[#This Row],[Total PoP ]]/WWWW[[#This Row],['# Hygiene Promoters ]]&lt;600,1,0))))</f>
        <v>0</v>
      </c>
      <c r="BX357" s="209">
        <f>IF(WWWW[[#This Row],[%HH with access to soap]]&gt;=100%,1,0)</f>
        <v>0</v>
      </c>
      <c r="BY357" s="209">
        <f>IF(WWWW[[#This Row],[% of HHs with access to Sanitary pad more than '#%]]+WWWW[[#This Row],[Ratio of Hyiene promoters to people less than '#]]+WWWW[[#This Row],[% of HHs with access to soap more than '#%]]&gt;=2,WWWW[[#This Row],[Total PoP ]],0)</f>
        <v>0</v>
      </c>
      <c r="BZ357" s="208">
        <f>WWWW[[#This Row],[People adopt basic personal and community hygiene practices]]/WWWW[[#This Row],[Total PoP ]]</f>
        <v>0</v>
      </c>
      <c r="CA357" s="212">
        <f>1-WWWW[[#This Row],[Hygiene Coverage%]]</f>
        <v>1</v>
      </c>
      <c r="CB357" s="211">
        <f>WWWW[[#This Row],['# people reached by regular dedicated hygiene promotion_5]]/WWWW[[#This Row],[Total PoP ]]</f>
        <v>0</v>
      </c>
      <c r="CC357" s="211">
        <f>IF(WWWW[[#This Row],['# HH received soaps]]/WWWW[[#This Row],[Total HH]]&gt;1,1,WWWW[[#This Row],['# HH received soaps]]/WWWW[[#This Row],[Total HH]])</f>
        <v>0</v>
      </c>
      <c r="CD357" s="211">
        <f>IF(WWWW[[#This Row],['# HH received Sanitary Pads]]/WWWW[[#This Row],[Total HH]]&gt;1,1,WWWW[[#This Row],['# HH received Sanitary Pads]]/WWWW[[#This Row],[Total HH]])</f>
        <v>0</v>
      </c>
      <c r="CE357" s="210">
        <f>WWWW[[#This Row],['# HH received soaps]]*5</f>
        <v>0</v>
      </c>
      <c r="CF357" s="210">
        <f>WWWW[[#This Row],['# HH received Sanitary Pads]]*5</f>
        <v>0</v>
      </c>
      <c r="CG357" s="210">
        <f>IF(WWWW[[#This Row],['# People with access to soap]]&gt;WWWW[[#This Row],['# People with access to Sanity Pads]],WWWW[[#This Row],['# People with access to soap]],WWWW[[#This Row],['# People with access to Sanity Pads]])</f>
        <v>0</v>
      </c>
      <c r="CH357" s="209">
        <f>WWWW[[#This Row],[Total HH]]*WWWW[[#This Row],[%HHs with access to functional hand washing stations]]</f>
        <v>0</v>
      </c>
      <c r="CI357" s="699">
        <f>VLOOKUP(WWWW[[#This Row],[Site Name]],SiteDB6[[Site Name]:[CCCM Management]],6,FALSE)</f>
        <v>0</v>
      </c>
      <c r="CJ357" s="699">
        <f>VLOOKUP(WWWW[[#This Row],[Site Name]],SiteDB6[[Site Name]:[CCCM Focal Agency]],7,FALSE)</f>
        <v>0</v>
      </c>
      <c r="CK357" s="699" t="str">
        <f>VLOOKUP(WWWW[[#This Row],[Site Name]],SiteDB6[[Site Name]:[Location Type]],8,FALSE)</f>
        <v>Village</v>
      </c>
      <c r="CL357" s="699" t="str">
        <f>VLOOKUP(WWWW[[#This Row],[Site Name]],SiteDB6[[Site Name]:[Location Type 1]],9,FALSE)</f>
        <v>Village</v>
      </c>
      <c r="CM357" s="699" t="str">
        <f>VLOOKUP(WWWW[[#This Row],[Site Name]],SiteDB6[[Site Name]:[Type of Accommodation]],10,FALSE)</f>
        <v>Village</v>
      </c>
      <c r="CN357" s="699">
        <f>VLOOKUP(WWWW[[#This Row],[Site Name]],SiteDB6[[Site Name]:[Ethnic or GCA/NGCA]],11,FALSE)</f>
        <v>0</v>
      </c>
      <c r="CO357" s="699">
        <f>VLOOKUP(WWWW[[#This Row],[Site Name]],SiteDB6[[Site Name]:[Lat]],12,FALSE)</f>
        <v>0</v>
      </c>
      <c r="CP357" s="699">
        <f>VLOOKUP(WWWW[[#This Row],[Site Name]],SiteDB6[[Site Name]:[Long]],13,FALSE)</f>
        <v>0</v>
      </c>
      <c r="CQ357" s="699">
        <f>VLOOKUP(WWWW[[#This Row],[Site Name]],SiteDB6[[Site Name]:[Pcode]],3,FALSE)</f>
        <v>0</v>
      </c>
      <c r="CR357" s="660" t="str">
        <f t="shared" si="8"/>
        <v>Covered</v>
      </c>
      <c r="CS357" s="660"/>
      <c r="CT357" s="24"/>
      <c r="CU357" s="24"/>
      <c r="CV357" s="24"/>
    </row>
    <row r="358" spans="1:100" ht="15.75" customHeight="1" x14ac:dyDescent="0.25">
      <c r="A358" s="833" t="s">
        <v>3206</v>
      </c>
      <c r="B358" s="206" t="s">
        <v>447</v>
      </c>
      <c r="C358" s="206" t="s">
        <v>454</v>
      </c>
      <c r="D358" s="206" t="s">
        <v>455</v>
      </c>
      <c r="E358" s="206" t="s">
        <v>608</v>
      </c>
      <c r="F358" s="206">
        <v>164</v>
      </c>
      <c r="G358" s="209">
        <v>908</v>
      </c>
      <c r="H358" s="206"/>
      <c r="I358" s="206" t="s">
        <v>449</v>
      </c>
      <c r="J358" s="207">
        <v>43356</v>
      </c>
      <c r="K358" s="206">
        <v>0</v>
      </c>
      <c r="L358" s="206" t="s">
        <v>282</v>
      </c>
      <c r="M358" s="208">
        <v>0</v>
      </c>
      <c r="N358" s="208">
        <v>0</v>
      </c>
      <c r="O358" s="316">
        <v>20</v>
      </c>
      <c r="P358" s="317">
        <v>35</v>
      </c>
      <c r="Q358" s="317">
        <v>0</v>
      </c>
      <c r="R358" s="318">
        <v>0</v>
      </c>
      <c r="S358" s="318">
        <v>1</v>
      </c>
      <c r="T358" s="318"/>
      <c r="U358" s="318">
        <v>0</v>
      </c>
      <c r="V358" s="318">
        <v>0</v>
      </c>
      <c r="W358" s="318">
        <v>0</v>
      </c>
      <c r="X358" s="318">
        <v>0</v>
      </c>
      <c r="Y358" s="318">
        <v>0</v>
      </c>
      <c r="Z358" s="318"/>
      <c r="AA358" s="310">
        <v>103</v>
      </c>
      <c r="AB358" s="310">
        <v>0</v>
      </c>
      <c r="AC358" s="66">
        <v>0</v>
      </c>
      <c r="AD358" s="66"/>
      <c r="AE358" s="310">
        <v>55</v>
      </c>
      <c r="AF358" s="310" t="s">
        <v>286</v>
      </c>
      <c r="AG358" s="311" t="s">
        <v>286</v>
      </c>
      <c r="AH358" s="311">
        <v>0</v>
      </c>
      <c r="AI358" s="310">
        <v>0</v>
      </c>
      <c r="AJ358" s="310"/>
      <c r="AK358" s="841">
        <v>0</v>
      </c>
      <c r="AL358" s="842" t="s">
        <v>284</v>
      </c>
      <c r="AM358" s="842">
        <v>0</v>
      </c>
      <c r="AN358" s="863">
        <v>0</v>
      </c>
      <c r="AO358" s="863">
        <v>1</v>
      </c>
      <c r="AP358" s="843">
        <v>0</v>
      </c>
      <c r="AQ358" s="843">
        <v>0</v>
      </c>
      <c r="AR358" s="843"/>
      <c r="AS358" s="843"/>
      <c r="AT358" s="843"/>
      <c r="AU358" s="843"/>
      <c r="AV358" s="844"/>
      <c r="AW358" s="208" t="str">
        <f>IFERROR(WWWW[[#This Row],['# of Water passed at source]]/WWWW[[#This Row],['# of Water tested at source]],"no test")</f>
        <v>no test</v>
      </c>
      <c r="AX358" s="211" t="str">
        <f>IFERROR(WWWW[[#This Row],['# of Water passed at HH]]/WWWW[[#This Row],['# of Water tested at HH]],"no test")</f>
        <v>no test</v>
      </c>
      <c r="AY358" s="210" t="str">
        <f>IF(AND(WWWW[[#This Row],[%of Water samples which passed at water source]]="no test",WWWW[[#This Row],[%Water samples which passed at HH]]="no test"),"No Test","Tested")</f>
        <v>No Test</v>
      </c>
      <c r="AZ35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5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58" s="211">
        <f>IF(WWWW[[#This Row],[Location Type 1]]="Village",WWWW[[#This Row],[Access to safe drinking water for Village]],WWWW[[#This Row],[Access to safe drinking water for Camp]])</f>
        <v>1</v>
      </c>
      <c r="BC358" s="209">
        <f>WWWW[[#This Row],[%Equitable and continuous access to sufficient quantity of safe drinking water]]*WWWW[[#This Row],[Total PoP ]]</f>
        <v>908</v>
      </c>
      <c r="BD358" s="211">
        <f>IF((WWWW[[#This Row],['# Existing protected/fenced ponds ]]*250)/WWWW[[#This Row],[Total PoP ]]&gt;1,1,WWWW[[#This Row],['# Existing protected/fenced ponds ]]*250/WWWW[[#This Row],[Total PoP ]])</f>
        <v>0</v>
      </c>
      <c r="BE358" s="209">
        <f>WWWW[[#This Row],[Access to unimproved water points]]*WWWW[[#This Row],[Total PoP ]]</f>
        <v>0</v>
      </c>
      <c r="BF35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5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908</v>
      </c>
      <c r="BH358" s="209">
        <f>WWWW[[#This Row],['#people Equitable and continuous access to sufficient quantity of domestic water borehole n ponds_2]]/500</f>
        <v>1.8160000000000001</v>
      </c>
      <c r="BI358" s="208">
        <f>1-WWWW[[#This Row],[%Equitable and continuous access to sufficient quantity of domestic water borehole n ponds]]</f>
        <v>0</v>
      </c>
      <c r="BJ358" s="209">
        <f>WWWW[[#This Row],[%equitable and continuous access to sufficient quantity of safe drinking and domestic water''s GAP]]*WWWW[[#This Row],[Total PoP ]]</f>
        <v>0</v>
      </c>
      <c r="BK358" s="210">
        <f>IF(WWWW[[#This Row],[Total required water points]]-WWWW[[#This Row],['#Water points coverage]]&lt;0,0,WWWW[[#This Row],[Total required water points]]-WWWW[[#This Row],['#Water points coverage]])</f>
        <v>0.18399999999999994</v>
      </c>
      <c r="BL358" s="210">
        <f>ROUND(IF(WWWW[[#This Row],[Total PoP ]]&lt;500,1,WWWW[[#This Row],[Total PoP ]]/500),0)</f>
        <v>2</v>
      </c>
      <c r="BM358" s="210">
        <f>WWWW[[#This Row],['# Existing functional latrines]]+WWWW[[#This Row],['# Existing latrines dysfunctional]]</f>
        <v>103</v>
      </c>
      <c r="BN35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0.68061674008810569</v>
      </c>
      <c r="BO358" s="352">
        <f>WWWW[[#This Row],[% people access to functioning Latrine]]*WWWW[[#This Row],[Total PoP ]]</f>
        <v>618</v>
      </c>
      <c r="BP35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0.31718061674008807</v>
      </c>
      <c r="BQ358" s="209">
        <f>IF(WWWW[[#This Row],[Total required Latrines]]-WWWW[[#This Row],[Total '# of latrine]]&lt;0,0,WWWW[[#This Row],[Total required Latrines]]-WWWW[[#This Row],[Total '# of latrine]])</f>
        <v>48</v>
      </c>
      <c r="BR358" s="210">
        <f>ROUND(IF(WWWW[[#This Row],[Location Type 1]]="camp",WWWW[[#This Row],[Total PoP ]]/20,WWWW[[#This Row],[Total PoP ]]/6),0)</f>
        <v>151</v>
      </c>
      <c r="BS358" s="212">
        <f>IF(OR(WWWW[[#This Row],['# Existing latrines dysfunctional]]="",WWWW[[#This Row],['# Existing latrines dysfunctional]]=0),0,WWWW[[#This Row],['# Existing latrines dysfunctional]]/WWWW[[#This Row],[Total '# of latrine]])</f>
        <v>0</v>
      </c>
      <c r="BT35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58" s="209">
        <f>IF(500*WWWW[[#This Row],['# Hygiene Promoters ]]&gt;WWWW[[#This Row],[Total PoP ]],WWWW[[#This Row],[Total PoP ]],500*WWWW[[#This Row],['# Hygiene Promoters ]])</f>
        <v>500</v>
      </c>
      <c r="BV358" s="209">
        <f>IF(WWWW[[#This Row],[% of HH with access to Sanitary Pad]]&gt;=100%,1,0)</f>
        <v>0</v>
      </c>
      <c r="BW358" s="209">
        <f>IF(WWWW[[#This Row],[Total PoP ]]=0,0,IF(WWWW[[#This Row],['# Hygiene Promoters ]]=0,0,IF(WWWW[[#This Row],[Location Type 1]]="Village",IF(WWWW[[#This Row],[Total PoP ]]/WWWW[[#This Row],['# Hygiene Promoters ]]&lt;1000,1,0),IF(WWWW[[#This Row],[Total PoP ]]/WWWW[[#This Row],['# Hygiene Promoters ]]&lt;600,1,0))))</f>
        <v>1</v>
      </c>
      <c r="BX358" s="209">
        <f>IF(WWWW[[#This Row],[%HH with access to soap]]&gt;=100%,1,0)</f>
        <v>0</v>
      </c>
      <c r="BY358" s="209">
        <f>IF(WWWW[[#This Row],[% of HHs with access to Sanitary pad more than '#%]]+WWWW[[#This Row],[Ratio of Hyiene promoters to people less than '#]]+WWWW[[#This Row],[% of HHs with access to soap more than '#%]]&gt;=2,WWWW[[#This Row],[Total PoP ]],0)</f>
        <v>0</v>
      </c>
      <c r="BZ358" s="208">
        <f>WWWW[[#This Row],[People adopt basic personal and community hygiene practices]]/WWWW[[#This Row],[Total PoP ]]</f>
        <v>0</v>
      </c>
      <c r="CA358" s="212">
        <f>1-WWWW[[#This Row],[Hygiene Coverage%]]</f>
        <v>1</v>
      </c>
      <c r="CB358" s="211">
        <f>WWWW[[#This Row],['# people reached by regular dedicated hygiene promotion_5]]/WWWW[[#This Row],[Total PoP ]]</f>
        <v>0.5506607929515418</v>
      </c>
      <c r="CC358" s="211">
        <f>IF(WWWW[[#This Row],['# HH received soaps]]/WWWW[[#This Row],[Total HH]]&gt;1,1,WWWW[[#This Row],['# HH received soaps]]/WWWW[[#This Row],[Total HH]])</f>
        <v>0</v>
      </c>
      <c r="CD358" s="211">
        <f>IF(WWWW[[#This Row],['# HH received Sanitary Pads]]/WWWW[[#This Row],[Total HH]]&gt;1,1,WWWW[[#This Row],['# HH received Sanitary Pads]]/WWWW[[#This Row],[Total HH]])</f>
        <v>0</v>
      </c>
      <c r="CE358" s="210">
        <f>WWWW[[#This Row],['# HH received soaps]]*5</f>
        <v>0</v>
      </c>
      <c r="CF358" s="210">
        <f>WWWW[[#This Row],['# HH received Sanitary Pads]]*5</f>
        <v>0</v>
      </c>
      <c r="CG358" s="210">
        <f>IF(WWWW[[#This Row],['# People with access to soap]]&gt;WWWW[[#This Row],['# People with access to Sanity Pads]],WWWW[[#This Row],['# People with access to soap]],WWWW[[#This Row],['# People with access to Sanity Pads]])</f>
        <v>0</v>
      </c>
      <c r="CH358" s="209">
        <f>WWWW[[#This Row],[Total HH]]*WWWW[[#This Row],[%HHs with access to functional hand washing stations]]</f>
        <v>0</v>
      </c>
      <c r="CI358" s="699">
        <f>VLOOKUP(WWWW[[#This Row],[Site Name]],SiteDB6[[Site Name]:[CCCM Management]],6,FALSE)</f>
        <v>0</v>
      </c>
      <c r="CJ358" s="699">
        <f>VLOOKUP(WWWW[[#This Row],[Site Name]],SiteDB6[[Site Name]:[CCCM Focal Agency]],7,FALSE)</f>
        <v>0</v>
      </c>
      <c r="CK358" s="699" t="str">
        <f>VLOOKUP(WWWW[[#This Row],[Site Name]],SiteDB6[[Site Name]:[Location Type]],8,FALSE)</f>
        <v>Village</v>
      </c>
      <c r="CL358" s="699" t="str">
        <f>VLOOKUP(WWWW[[#This Row],[Site Name]],SiteDB6[[Site Name]:[Location Type 1]],9,FALSE)</f>
        <v>Village</v>
      </c>
      <c r="CM358" s="699" t="str">
        <f>VLOOKUP(WWWW[[#This Row],[Site Name]],SiteDB6[[Site Name]:[Type of Accommodation]],10,FALSE)</f>
        <v>Village</v>
      </c>
      <c r="CN358" s="699" t="str">
        <f>VLOOKUP(WWWW[[#This Row],[Site Name]],SiteDB6[[Site Name]:[Ethnic or GCA/NGCA]],11,FALSE)</f>
        <v>Muslim</v>
      </c>
      <c r="CO358" s="699">
        <f>VLOOKUP(WWWW[[#This Row],[Site Name]],SiteDB6[[Site Name]:[Lat]],12,FALSE)</f>
        <v>20.212700000000002</v>
      </c>
      <c r="CP358" s="699">
        <f>VLOOKUP(WWWW[[#This Row],[Site Name]],SiteDB6[[Site Name]:[Long]],13,FALSE)</f>
        <v>92.820800000000006</v>
      </c>
      <c r="CQ358" s="699" t="str">
        <f>VLOOKUP(WWWW[[#This Row],[Site Name]],SiteDB6[[Site Name]:[Pcode]],3,FALSE)</f>
        <v>196144</v>
      </c>
      <c r="CR358" s="660" t="str">
        <f t="shared" si="8"/>
        <v>Covered</v>
      </c>
      <c r="CS358" s="660"/>
      <c r="CT358" s="24"/>
      <c r="CU358" s="24"/>
      <c r="CV358" s="24"/>
    </row>
    <row r="359" spans="1:100" ht="15.75" customHeight="1" x14ac:dyDescent="0.25">
      <c r="A359" s="833" t="s">
        <v>3206</v>
      </c>
      <c r="B359" s="206" t="s">
        <v>447</v>
      </c>
      <c r="C359" s="206" t="s">
        <v>454</v>
      </c>
      <c r="D359" s="206" t="s">
        <v>455</v>
      </c>
      <c r="E359" s="206" t="s">
        <v>1046</v>
      </c>
      <c r="F359" s="206">
        <v>325</v>
      </c>
      <c r="G359" s="209">
        <v>1857</v>
      </c>
      <c r="H359" s="206"/>
      <c r="I359" s="206" t="s">
        <v>449</v>
      </c>
      <c r="J359" s="207">
        <v>43356</v>
      </c>
      <c r="K359" s="206">
        <v>0</v>
      </c>
      <c r="L359" s="206" t="s">
        <v>282</v>
      </c>
      <c r="M359" s="208">
        <v>0</v>
      </c>
      <c r="N359" s="208">
        <v>0</v>
      </c>
      <c r="O359" s="316">
        <v>20</v>
      </c>
      <c r="P359" s="317">
        <v>30</v>
      </c>
      <c r="Q359" s="317">
        <v>0</v>
      </c>
      <c r="R359" s="318">
        <v>0</v>
      </c>
      <c r="S359" s="318">
        <v>0</v>
      </c>
      <c r="T359" s="318"/>
      <c r="U359" s="318">
        <v>0</v>
      </c>
      <c r="V359" s="318">
        <v>0</v>
      </c>
      <c r="W359" s="318">
        <v>0</v>
      </c>
      <c r="X359" s="318">
        <v>0</v>
      </c>
      <c r="Y359" s="318">
        <v>0</v>
      </c>
      <c r="Z359" s="318"/>
      <c r="AA359" s="310">
        <v>126</v>
      </c>
      <c r="AB359" s="310">
        <v>0</v>
      </c>
      <c r="AC359" s="66">
        <v>0</v>
      </c>
      <c r="AD359" s="66"/>
      <c r="AE359" s="310">
        <v>100</v>
      </c>
      <c r="AF359" s="310" t="s">
        <v>286</v>
      </c>
      <c r="AG359" s="311" t="s">
        <v>286</v>
      </c>
      <c r="AH359" s="311">
        <v>0</v>
      </c>
      <c r="AI359" s="310">
        <v>0</v>
      </c>
      <c r="AJ359" s="310"/>
      <c r="AK359" s="841">
        <v>0</v>
      </c>
      <c r="AL359" s="842" t="s">
        <v>284</v>
      </c>
      <c r="AM359" s="842">
        <v>0</v>
      </c>
      <c r="AN359" s="863">
        <v>0</v>
      </c>
      <c r="AO359" s="863">
        <v>1</v>
      </c>
      <c r="AP359" s="843">
        <v>0</v>
      </c>
      <c r="AQ359" s="843">
        <v>0</v>
      </c>
      <c r="AR359" s="843"/>
      <c r="AS359" s="843"/>
      <c r="AT359" s="843"/>
      <c r="AU359" s="843"/>
      <c r="AV359" s="844"/>
      <c r="AW359" s="208" t="str">
        <f>IFERROR(WWWW[[#This Row],['# of Water passed at source]]/WWWW[[#This Row],['# of Water tested at source]],"no test")</f>
        <v>no test</v>
      </c>
      <c r="AX359" s="211" t="str">
        <f>IFERROR(WWWW[[#This Row],['# of Water passed at HH]]/WWWW[[#This Row],['# of Water tested at HH]],"no test")</f>
        <v>no test</v>
      </c>
      <c r="AY359" s="210" t="str">
        <f>IF(AND(WWWW[[#This Row],[%of Water samples which passed at water source]]="no test",WWWW[[#This Row],[%Water samples which passed at HH]]="no test"),"No Test","Tested")</f>
        <v>No Test</v>
      </c>
      <c r="AZ35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5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59" s="211">
        <f>IF(WWWW[[#This Row],[Location Type 1]]="Village",WWWW[[#This Row],[Access to safe drinking water for Village]],WWWW[[#This Row],[Access to safe drinking water for Camp]])</f>
        <v>1</v>
      </c>
      <c r="BC359" s="209">
        <f>WWWW[[#This Row],[%Equitable and continuous access to sufficient quantity of safe drinking water]]*WWWW[[#This Row],[Total PoP ]]</f>
        <v>1857</v>
      </c>
      <c r="BD359" s="211">
        <f>IF((WWWW[[#This Row],['# Existing protected/fenced ponds ]]*250)/WWWW[[#This Row],[Total PoP ]]&gt;1,1,WWWW[[#This Row],['# Existing protected/fenced ponds ]]*250/WWWW[[#This Row],[Total PoP ]])</f>
        <v>0</v>
      </c>
      <c r="BE359" s="209">
        <f>WWWW[[#This Row],[Access to unimproved water points]]*WWWW[[#This Row],[Total PoP ]]</f>
        <v>0</v>
      </c>
      <c r="BF35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5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1857</v>
      </c>
      <c r="BH359" s="209">
        <f>WWWW[[#This Row],['#people Equitable and continuous access to sufficient quantity of domestic water borehole n ponds_2]]/500</f>
        <v>3.714</v>
      </c>
      <c r="BI359" s="208">
        <f>1-WWWW[[#This Row],[%Equitable and continuous access to sufficient quantity of domestic water borehole n ponds]]</f>
        <v>0</v>
      </c>
      <c r="BJ359" s="209">
        <f>WWWW[[#This Row],[%equitable and continuous access to sufficient quantity of safe drinking and domestic water''s GAP]]*WWWW[[#This Row],[Total PoP ]]</f>
        <v>0</v>
      </c>
      <c r="BK359" s="210">
        <f>IF(WWWW[[#This Row],[Total required water points]]-WWWW[[#This Row],['#Water points coverage]]&lt;0,0,WWWW[[#This Row],[Total required water points]]-WWWW[[#This Row],['#Water points coverage]])</f>
        <v>0.28600000000000003</v>
      </c>
      <c r="BL359" s="210">
        <f>ROUND(IF(WWWW[[#This Row],[Total PoP ]]&lt;500,1,WWWW[[#This Row],[Total PoP ]]/500),0)</f>
        <v>4</v>
      </c>
      <c r="BM359" s="210">
        <f>WWWW[[#This Row],['# Existing functional latrines]]+WWWW[[#This Row],['# Existing latrines dysfunctional]]</f>
        <v>126</v>
      </c>
      <c r="BN35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0.40710823909531502</v>
      </c>
      <c r="BO359" s="352">
        <f>WWWW[[#This Row],[% people access to functioning Latrine]]*WWWW[[#This Row],[Total PoP ]]</f>
        <v>756</v>
      </c>
      <c r="BP35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0.59450726978998381</v>
      </c>
      <c r="BQ359" s="209">
        <f>IF(WWWW[[#This Row],[Total required Latrines]]-WWWW[[#This Row],[Total '# of latrine]]&lt;0,0,WWWW[[#This Row],[Total required Latrines]]-WWWW[[#This Row],[Total '# of latrine]])</f>
        <v>184</v>
      </c>
      <c r="BR359" s="210">
        <f>ROUND(IF(WWWW[[#This Row],[Location Type 1]]="camp",WWWW[[#This Row],[Total PoP ]]/20,WWWW[[#This Row],[Total PoP ]]/6),0)</f>
        <v>310</v>
      </c>
      <c r="BS359" s="212">
        <f>IF(OR(WWWW[[#This Row],['# Existing latrines dysfunctional]]="",WWWW[[#This Row],['# Existing latrines dysfunctional]]=0),0,WWWW[[#This Row],['# Existing latrines dysfunctional]]/WWWW[[#This Row],[Total '# of latrine]])</f>
        <v>0</v>
      </c>
      <c r="BT35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59" s="209">
        <f>IF(500*WWWW[[#This Row],['# Hygiene Promoters ]]&gt;WWWW[[#This Row],[Total PoP ]],WWWW[[#This Row],[Total PoP ]],500*WWWW[[#This Row],['# Hygiene Promoters ]])</f>
        <v>500</v>
      </c>
      <c r="BV359" s="209">
        <f>IF(WWWW[[#This Row],[% of HH with access to Sanitary Pad]]&gt;=100%,1,0)</f>
        <v>0</v>
      </c>
      <c r="BW359" s="209">
        <f>IF(WWWW[[#This Row],[Total PoP ]]=0,0,IF(WWWW[[#This Row],['# Hygiene Promoters ]]=0,0,IF(WWWW[[#This Row],[Location Type 1]]="Village",IF(WWWW[[#This Row],[Total PoP ]]/WWWW[[#This Row],['# Hygiene Promoters ]]&lt;1000,1,0),IF(WWWW[[#This Row],[Total PoP ]]/WWWW[[#This Row],['# Hygiene Promoters ]]&lt;600,1,0))))</f>
        <v>0</v>
      </c>
      <c r="BX359" s="209">
        <f>IF(WWWW[[#This Row],[%HH with access to soap]]&gt;=100%,1,0)</f>
        <v>0</v>
      </c>
      <c r="BY359" s="209">
        <f>IF(WWWW[[#This Row],[% of HHs with access to Sanitary pad more than '#%]]+WWWW[[#This Row],[Ratio of Hyiene promoters to people less than '#]]+WWWW[[#This Row],[% of HHs with access to soap more than '#%]]&gt;=2,WWWW[[#This Row],[Total PoP ]],0)</f>
        <v>0</v>
      </c>
      <c r="BZ359" s="208">
        <f>WWWW[[#This Row],[People adopt basic personal and community hygiene practices]]/WWWW[[#This Row],[Total PoP ]]</f>
        <v>0</v>
      </c>
      <c r="CA359" s="212">
        <f>1-WWWW[[#This Row],[Hygiene Coverage%]]</f>
        <v>1</v>
      </c>
      <c r="CB359" s="211">
        <f>WWWW[[#This Row],['# people reached by regular dedicated hygiene promotion_5]]/WWWW[[#This Row],[Total PoP ]]</f>
        <v>0.26925148088314488</v>
      </c>
      <c r="CC359" s="211">
        <f>IF(WWWW[[#This Row],['# HH received soaps]]/WWWW[[#This Row],[Total HH]]&gt;1,1,WWWW[[#This Row],['# HH received soaps]]/WWWW[[#This Row],[Total HH]])</f>
        <v>0</v>
      </c>
      <c r="CD359" s="211">
        <f>IF(WWWW[[#This Row],['# HH received Sanitary Pads]]/WWWW[[#This Row],[Total HH]]&gt;1,1,WWWW[[#This Row],['# HH received Sanitary Pads]]/WWWW[[#This Row],[Total HH]])</f>
        <v>0</v>
      </c>
      <c r="CE359" s="210">
        <f>WWWW[[#This Row],['# HH received soaps]]*5</f>
        <v>0</v>
      </c>
      <c r="CF359" s="210">
        <f>WWWW[[#This Row],['# HH received Sanitary Pads]]*5</f>
        <v>0</v>
      </c>
      <c r="CG359" s="210">
        <f>IF(WWWW[[#This Row],['# People with access to soap]]&gt;WWWW[[#This Row],['# People with access to Sanity Pads]],WWWW[[#This Row],['# People with access to soap]],WWWW[[#This Row],['# People with access to Sanity Pads]])</f>
        <v>0</v>
      </c>
      <c r="CH359" s="209">
        <f>WWWW[[#This Row],[Total HH]]*WWWW[[#This Row],[%HHs with access to functional hand washing stations]]</f>
        <v>0</v>
      </c>
      <c r="CI359" s="699">
        <f>VLOOKUP(WWWW[[#This Row],[Site Name]],SiteDB6[[Site Name]:[CCCM Management]],6,FALSE)</f>
        <v>0</v>
      </c>
      <c r="CJ359" s="699">
        <f>VLOOKUP(WWWW[[#This Row],[Site Name]],SiteDB6[[Site Name]:[CCCM Focal Agency]],7,FALSE)</f>
        <v>0</v>
      </c>
      <c r="CK359" s="699" t="str">
        <f>VLOOKUP(WWWW[[#This Row],[Site Name]],SiteDB6[[Site Name]:[Location Type]],8,FALSE)</f>
        <v>Village</v>
      </c>
      <c r="CL359" s="699" t="str">
        <f>VLOOKUP(WWWW[[#This Row],[Site Name]],SiteDB6[[Site Name]:[Location Type 1]],9,FALSE)</f>
        <v>Village</v>
      </c>
      <c r="CM359" s="699" t="str">
        <f>VLOOKUP(WWWW[[#This Row],[Site Name]],SiteDB6[[Site Name]:[Type of Accommodation]],10,FALSE)</f>
        <v>Village</v>
      </c>
      <c r="CN359" s="699" t="str">
        <f>VLOOKUP(WWWW[[#This Row],[Site Name]],SiteDB6[[Site Name]:[Ethnic or GCA/NGCA]],11,FALSE)</f>
        <v>Muslim</v>
      </c>
      <c r="CO359" s="699">
        <f>VLOOKUP(WWWW[[#This Row],[Site Name]],SiteDB6[[Site Name]:[Lat]],12,FALSE)</f>
        <v>20.219509124755898</v>
      </c>
      <c r="CP359" s="699">
        <f>VLOOKUP(WWWW[[#This Row],[Site Name]],SiteDB6[[Site Name]:[Long]],13,FALSE)</f>
        <v>92.811332702636705</v>
      </c>
      <c r="CQ359" s="699">
        <f>VLOOKUP(WWWW[[#This Row],[Site Name]],SiteDB6[[Site Name]:[Pcode]],3,FALSE)</f>
        <v>196145</v>
      </c>
      <c r="CR359" s="660" t="str">
        <f t="shared" si="8"/>
        <v>Covered</v>
      </c>
      <c r="CS359" s="660"/>
      <c r="CT359" s="24"/>
      <c r="CU359" s="24"/>
      <c r="CV359" s="24"/>
    </row>
    <row r="360" spans="1:100" ht="15.75" customHeight="1" x14ac:dyDescent="0.25">
      <c r="A360" s="833" t="s">
        <v>3206</v>
      </c>
      <c r="B360" s="206" t="s">
        <v>571</v>
      </c>
      <c r="C360" s="206" t="s">
        <v>454</v>
      </c>
      <c r="D360" s="206" t="s">
        <v>455</v>
      </c>
      <c r="E360" s="206" t="s">
        <v>595</v>
      </c>
      <c r="F360" s="206">
        <v>2259</v>
      </c>
      <c r="G360" s="209">
        <v>12121</v>
      </c>
      <c r="H360" s="206"/>
      <c r="I360" s="206" t="s">
        <v>442</v>
      </c>
      <c r="J360" s="207">
        <v>43465</v>
      </c>
      <c r="K360" s="206">
        <v>0</v>
      </c>
      <c r="L360" s="206" t="s">
        <v>282</v>
      </c>
      <c r="M360" s="208">
        <v>0</v>
      </c>
      <c r="N360" s="208">
        <v>0</v>
      </c>
      <c r="O360" s="316">
        <v>0</v>
      </c>
      <c r="P360" s="317">
        <v>78</v>
      </c>
      <c r="Q360" s="317">
        <v>0</v>
      </c>
      <c r="R360" s="318">
        <v>0</v>
      </c>
      <c r="S360" s="318">
        <v>73</v>
      </c>
      <c r="T360" s="318"/>
      <c r="U360" s="318">
        <v>0</v>
      </c>
      <c r="V360" s="318">
        <v>0</v>
      </c>
      <c r="W360" s="318">
        <v>0</v>
      </c>
      <c r="X360" s="318">
        <v>0</v>
      </c>
      <c r="Y360" s="318">
        <v>0</v>
      </c>
      <c r="Z360" s="318"/>
      <c r="AA360" s="336">
        <v>608</v>
      </c>
      <c r="AB360" s="310">
        <v>50</v>
      </c>
      <c r="AC360" s="66">
        <v>250</v>
      </c>
      <c r="AD360" s="66" t="s">
        <v>2918</v>
      </c>
      <c r="AE360" s="310">
        <v>0</v>
      </c>
      <c r="AF360" s="310" t="s">
        <v>283</v>
      </c>
      <c r="AG360" s="311" t="s">
        <v>283</v>
      </c>
      <c r="AH360" s="311">
        <v>32</v>
      </c>
      <c r="AI360" s="310">
        <v>0</v>
      </c>
      <c r="AJ360" s="336" t="s">
        <v>3214</v>
      </c>
      <c r="AK360" s="841">
        <v>0</v>
      </c>
      <c r="AL360" s="842" t="s">
        <v>284</v>
      </c>
      <c r="AM360" s="842">
        <v>2259</v>
      </c>
      <c r="AN360" s="863">
        <v>0</v>
      </c>
      <c r="AO360" s="863">
        <v>29</v>
      </c>
      <c r="AP360" s="843">
        <v>2259</v>
      </c>
      <c r="AQ360" s="843">
        <v>2259</v>
      </c>
      <c r="AR360" s="843" t="s">
        <v>282</v>
      </c>
      <c r="AS360" s="843"/>
      <c r="AT360" s="843">
        <v>32</v>
      </c>
      <c r="AU360" s="843">
        <v>150</v>
      </c>
      <c r="AV360" s="844"/>
      <c r="AW360" s="208" t="str">
        <f>IFERROR(WWWW[[#This Row],['# of Water passed at source]]/WWWW[[#This Row],['# of Water tested at source]],"no test")</f>
        <v>no test</v>
      </c>
      <c r="AX360" s="211" t="str">
        <f>IFERROR(WWWW[[#This Row],['# of Water passed at HH]]/WWWW[[#This Row],['# of Water tested at HH]],"no test")</f>
        <v>no test</v>
      </c>
      <c r="AY360" s="210" t="str">
        <f>IF(AND(WWWW[[#This Row],[%of Water samples which passed at water source]]="no test",WWWW[[#This Row],[%Water samples which passed at HH]]="no test"),"No Test","Tested")</f>
        <v>No Test</v>
      </c>
      <c r="AZ36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6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60" s="211">
        <f>IF(WWWW[[#This Row],[Location Type 1]]="Village",WWWW[[#This Row],[Access to safe drinking water for Village]],WWWW[[#This Row],[Access to safe drinking water for Camp]])</f>
        <v>1</v>
      </c>
      <c r="BC360" s="209">
        <f>WWWW[[#This Row],[%Equitable and continuous access to sufficient quantity of safe drinking water]]*WWWW[[#This Row],[Total PoP ]]</f>
        <v>12121</v>
      </c>
      <c r="BD360" s="211">
        <f>IF((WWWW[[#This Row],['# Existing protected/fenced ponds ]]*250)/WWWW[[#This Row],[Total PoP ]]&gt;1,1,WWWW[[#This Row],['# Existing protected/fenced ponds ]]*250/WWWW[[#This Row],[Total PoP ]])</f>
        <v>0</v>
      </c>
      <c r="BE360" s="209">
        <f>WWWW[[#This Row],[Access to unimproved water points]]*WWWW[[#This Row],[Total PoP ]]</f>
        <v>0</v>
      </c>
      <c r="BF36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6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12121</v>
      </c>
      <c r="BH360" s="209">
        <f>WWWW[[#This Row],['#people Equitable and continuous access to sufficient quantity of domestic water borehole n ponds_2]]/500</f>
        <v>24.242000000000001</v>
      </c>
      <c r="BI360" s="208">
        <f>1-WWWW[[#This Row],[%Equitable and continuous access to sufficient quantity of domestic water borehole n ponds]]</f>
        <v>0</v>
      </c>
      <c r="BJ360" s="209">
        <f>WWWW[[#This Row],[%equitable and continuous access to sufficient quantity of safe drinking and domestic water''s GAP]]*WWWW[[#This Row],[Total PoP ]]</f>
        <v>0</v>
      </c>
      <c r="BK360" s="210">
        <f>IF(WWWW[[#This Row],[Total required water points]]-WWWW[[#This Row],['#Water points coverage]]&lt;0,0,WWWW[[#This Row],[Total required water points]]-WWWW[[#This Row],['#Water points coverage]])</f>
        <v>0</v>
      </c>
      <c r="BL360" s="210">
        <f>ROUND(IF(WWWW[[#This Row],[Total PoP ]]&lt;500,1,WWWW[[#This Row],[Total PoP ]]/500),0)</f>
        <v>24</v>
      </c>
      <c r="BM360" s="210">
        <f>WWWW[[#This Row],['# Existing functional latrines]]+WWWW[[#This Row],['# Existing latrines dysfunctional]]</f>
        <v>658</v>
      </c>
      <c r="BN36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60" s="352">
        <f>WWWW[[#This Row],[% people access to functioning Latrine]]*WWWW[[#This Row],[Total PoP ]]</f>
        <v>12121</v>
      </c>
      <c r="BP36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60" s="209">
        <f>IF(WWWW[[#This Row],[Total required Latrines]]-WWWW[[#This Row],[Total '# of latrine]]&lt;0,0,WWWW[[#This Row],[Total required Latrines]]-WWWW[[#This Row],[Total '# of latrine]])</f>
        <v>0</v>
      </c>
      <c r="BR360" s="210">
        <f>ROUND(IF(WWWW[[#This Row],[Location Type 1]]="camp",WWWW[[#This Row],[Total PoP ]]/20,WWWW[[#This Row],[Total PoP ]]/6),0)</f>
        <v>606</v>
      </c>
      <c r="BS360" s="212">
        <f>IF(OR(WWWW[[#This Row],['# Existing latrines dysfunctional]]="",WWWW[[#This Row],['# Existing latrines dysfunctional]]=0),0,WWWW[[#This Row],['# Existing latrines dysfunctional]]/WWWW[[#This Row],[Total '# of latrine]])</f>
        <v>7.598784194528875E-2</v>
      </c>
      <c r="BT36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5000</v>
      </c>
      <c r="BU360" s="209">
        <f>IF(500*WWWW[[#This Row],['# Hygiene Promoters ]]&gt;WWWW[[#This Row],[Total PoP ]],WWWW[[#This Row],[Total PoP ]],500*WWWW[[#This Row],['# Hygiene Promoters ]])</f>
        <v>12121</v>
      </c>
      <c r="BV360" s="209">
        <f>IF(WWWW[[#This Row],[% of HH with access to Sanitary Pad]]&gt;=100%,1,0)</f>
        <v>1</v>
      </c>
      <c r="BW360" s="209">
        <f>IF(WWWW[[#This Row],[Total PoP ]]=0,0,IF(WWWW[[#This Row],['# Hygiene Promoters ]]=0,0,IF(WWWW[[#This Row],[Location Type 1]]="Village",IF(WWWW[[#This Row],[Total PoP ]]/WWWW[[#This Row],['# Hygiene Promoters ]]&lt;1000,1,0),IF(WWWW[[#This Row],[Total PoP ]]/WWWW[[#This Row],['# Hygiene Promoters ]]&lt;600,1,0))))</f>
        <v>1</v>
      </c>
      <c r="BX360" s="209">
        <f>IF(WWWW[[#This Row],[%HH with access to soap]]&gt;=100%,1,0)</f>
        <v>1</v>
      </c>
      <c r="BY360" s="209">
        <f>IF(WWWW[[#This Row],[% of HHs with access to Sanitary pad more than '#%]]+WWWW[[#This Row],[Ratio of Hyiene promoters to people less than '#]]+WWWW[[#This Row],[% of HHs with access to soap more than '#%]]&gt;=2,WWWW[[#This Row],[Total PoP ]],0)</f>
        <v>12121</v>
      </c>
      <c r="BZ360" s="208">
        <f>WWWW[[#This Row],[People adopt basic personal and community hygiene practices]]/WWWW[[#This Row],[Total PoP ]]</f>
        <v>1</v>
      </c>
      <c r="CA360" s="212">
        <f>1-WWWW[[#This Row],[Hygiene Coverage%]]</f>
        <v>0</v>
      </c>
      <c r="CB360" s="211">
        <f>WWWW[[#This Row],['# people reached by regular dedicated hygiene promotion_5]]/WWWW[[#This Row],[Total PoP ]]</f>
        <v>1</v>
      </c>
      <c r="CC360" s="211">
        <f>IF(WWWW[[#This Row],['# HH received soaps]]/WWWW[[#This Row],[Total HH]]&gt;1,1,WWWW[[#This Row],['# HH received soaps]]/WWWW[[#This Row],[Total HH]])</f>
        <v>1</v>
      </c>
      <c r="CD360" s="211">
        <f>IF(WWWW[[#This Row],['# HH received Sanitary Pads]]/WWWW[[#This Row],[Total HH]]&gt;1,1,WWWW[[#This Row],['# HH received Sanitary Pads]]/WWWW[[#This Row],[Total HH]])</f>
        <v>1</v>
      </c>
      <c r="CE360" s="210">
        <f>WWWW[[#This Row],['# HH received soaps]]*5</f>
        <v>11295</v>
      </c>
      <c r="CF360" s="210">
        <f>WWWW[[#This Row],['# HH received Sanitary Pads]]*5</f>
        <v>11295</v>
      </c>
      <c r="CG360" s="210">
        <f>IF(WWWW[[#This Row],['# People with access to soap]]&gt;WWWW[[#This Row],['# People with access to Sanity Pads]],WWWW[[#This Row],['# People with access to soap]],WWWW[[#This Row],['# People with access to Sanity Pads]])</f>
        <v>11295</v>
      </c>
      <c r="CH360" s="209">
        <f>WWWW[[#This Row],[Total HH]]*WWWW[[#This Row],[%HHs with access to functional hand washing stations]]</f>
        <v>0</v>
      </c>
      <c r="CI360" s="699" t="str">
        <f>VLOOKUP(WWWW[[#This Row],[Site Name]],SiteDB6[[Site Name]:[CCCM Management]],6,FALSE)</f>
        <v>Yes</v>
      </c>
      <c r="CJ360" s="699">
        <f>VLOOKUP(WWWW[[#This Row],[Site Name]],SiteDB6[[Site Name]:[CCCM Focal Agency]],7,FALSE)</f>
        <v>0</v>
      </c>
      <c r="CK360" s="699" t="str">
        <f>VLOOKUP(WWWW[[#This Row],[Site Name]],SiteDB6[[Site Name]:[Location Type]],8,FALSE)</f>
        <v>Camp</v>
      </c>
      <c r="CL360" s="699" t="str">
        <f>VLOOKUP(WWWW[[#This Row],[Site Name]],SiteDB6[[Site Name]:[Location Type 1]],9,FALSE)</f>
        <v>Camp</v>
      </c>
      <c r="CM360" s="699" t="str">
        <f>VLOOKUP(WWWW[[#This Row],[Site Name]],SiteDB6[[Site Name]:[Type of Accommodation]],10,FALSE)</f>
        <v>Planned Camp</v>
      </c>
      <c r="CN360" s="699" t="str">
        <f>VLOOKUP(WWWW[[#This Row],[Site Name]],SiteDB6[[Site Name]:[Ethnic or GCA/NGCA]],11,FALSE)</f>
        <v>Muslim</v>
      </c>
      <c r="CO360" s="699">
        <f>VLOOKUP(WWWW[[#This Row],[Site Name]],SiteDB6[[Site Name]:[Lat]],12,FALSE)</f>
        <v>20.185092000000001</v>
      </c>
      <c r="CP360" s="699">
        <f>VLOOKUP(WWWW[[#This Row],[Site Name]],SiteDB6[[Site Name]:[Long]],13,FALSE)</f>
        <v>92.802295999999998</v>
      </c>
      <c r="CQ360" s="699" t="str">
        <f>VLOOKUP(WWWW[[#This Row],[Site Name]],SiteDB6[[Site Name]:[Pcode]],3,FALSE)</f>
        <v>MMR012CMP116</v>
      </c>
      <c r="CR360" s="660" t="str">
        <f t="shared" si="8"/>
        <v>Covered</v>
      </c>
      <c r="CS360" s="660"/>
      <c r="CT360" s="24"/>
      <c r="CU360" s="24"/>
      <c r="CV360" s="24"/>
    </row>
    <row r="361" spans="1:100" ht="15.75" customHeight="1" x14ac:dyDescent="0.25">
      <c r="A361" s="833" t="s">
        <v>3206</v>
      </c>
      <c r="B361" s="206" t="s">
        <v>527</v>
      </c>
      <c r="C361" s="206" t="s">
        <v>454</v>
      </c>
      <c r="D361" s="206" t="s">
        <v>455</v>
      </c>
      <c r="E361" s="206" t="s">
        <v>601</v>
      </c>
      <c r="F361" s="206">
        <v>200</v>
      </c>
      <c r="G361" s="209">
        <v>1065</v>
      </c>
      <c r="H361" s="206" t="s">
        <v>286</v>
      </c>
      <c r="I361" s="206" t="s">
        <v>47</v>
      </c>
      <c r="J361" s="207">
        <v>44104</v>
      </c>
      <c r="K361" s="206">
        <v>0</v>
      </c>
      <c r="L361" s="206" t="s">
        <v>282</v>
      </c>
      <c r="M361" s="208">
        <v>0</v>
      </c>
      <c r="N361" s="208">
        <v>0</v>
      </c>
      <c r="O361" s="316">
        <v>0</v>
      </c>
      <c r="P361" s="317">
        <v>0</v>
      </c>
      <c r="Q361" s="317">
        <v>0</v>
      </c>
      <c r="R361" s="318">
        <v>2</v>
      </c>
      <c r="S361" s="318">
        <v>0</v>
      </c>
      <c r="T361" s="318"/>
      <c r="U361" s="318">
        <v>1</v>
      </c>
      <c r="V361" s="318">
        <v>0</v>
      </c>
      <c r="W361" s="318">
        <v>0</v>
      </c>
      <c r="X361" s="318">
        <v>0</v>
      </c>
      <c r="Y361" s="318"/>
      <c r="Z361" s="318" t="s">
        <v>2783</v>
      </c>
      <c r="AA361" s="310">
        <v>0</v>
      </c>
      <c r="AB361" s="310">
        <v>0</v>
      </c>
      <c r="AC361" s="66">
        <v>0</v>
      </c>
      <c r="AD361" s="66"/>
      <c r="AE361" s="310"/>
      <c r="AF361" s="310" t="s">
        <v>283</v>
      </c>
      <c r="AG361" s="311" t="s">
        <v>1358</v>
      </c>
      <c r="AH361" s="311">
        <v>0</v>
      </c>
      <c r="AI361" s="310">
        <v>0</v>
      </c>
      <c r="AJ361" s="310"/>
      <c r="AK361" s="841">
        <v>1</v>
      </c>
      <c r="AL361" s="842" t="s">
        <v>284</v>
      </c>
      <c r="AM361" s="842">
        <v>0</v>
      </c>
      <c r="AN361" s="863">
        <v>0</v>
      </c>
      <c r="AO361" s="863">
        <v>0</v>
      </c>
      <c r="AP361" s="843"/>
      <c r="AQ361" s="843"/>
      <c r="AR361" s="843"/>
      <c r="AS361" s="843"/>
      <c r="AT361" s="843"/>
      <c r="AU361" s="843"/>
      <c r="AV361" s="844"/>
      <c r="AW361" s="208">
        <f>IFERROR(WWWW[[#This Row],['# of Water passed at source]]/WWWW[[#This Row],['# of Water tested at source]],"no test")</f>
        <v>0</v>
      </c>
      <c r="AX361" s="211" t="str">
        <f>IFERROR(WWWW[[#This Row],['# of Water passed at HH]]/WWWW[[#This Row],['# of Water tested at HH]],"no test")</f>
        <v>no test</v>
      </c>
      <c r="AY361" s="210" t="str">
        <f>IF(AND(WWWW[[#This Row],[%of Water samples which passed at water source]]="no test",WWWW[[#This Row],[%Water samples which passed at HH]]="no test"),"No Test","Tested")</f>
        <v>Tested</v>
      </c>
      <c r="AZ36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6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61" s="211">
        <f>IF(WWWW[[#This Row],[Location Type 1]]="Village",WWWW[[#This Row],[Access to safe drinking water for Village]],WWWW[[#This Row],[Access to safe drinking water for Camp]])</f>
        <v>0</v>
      </c>
      <c r="BC361" s="209">
        <f>WWWW[[#This Row],[%Equitable and continuous access to sufficient quantity of safe drinking water]]*WWWW[[#This Row],[Total PoP ]]</f>
        <v>0</v>
      </c>
      <c r="BD361" s="211">
        <f>IF((WWWW[[#This Row],['# Existing protected/fenced ponds ]]*250)/WWWW[[#This Row],[Total PoP ]]&gt;1,1,WWWW[[#This Row],['# Existing protected/fenced ponds ]]*250/WWWW[[#This Row],[Total PoP ]])</f>
        <v>0.46948356807511737</v>
      </c>
      <c r="BE361" s="209">
        <f>WWWW[[#This Row],[Access to unimproved water points]]*WWWW[[#This Row],[Total PoP ]]</f>
        <v>500</v>
      </c>
      <c r="BF36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0.46948356807511737</v>
      </c>
      <c r="BG36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H361" s="209">
        <f>WWWW[[#This Row],['#people Equitable and continuous access to sufficient quantity of domestic water borehole n ponds_2]]/500</f>
        <v>1</v>
      </c>
      <c r="BI361" s="208">
        <f>1-WWWW[[#This Row],[%Equitable and continuous access to sufficient quantity of domestic water borehole n ponds]]</f>
        <v>0.53051643192488263</v>
      </c>
      <c r="BJ361" s="209">
        <f>WWWW[[#This Row],[%equitable and continuous access to sufficient quantity of safe drinking and domestic water''s GAP]]*WWWW[[#This Row],[Total PoP ]]</f>
        <v>565</v>
      </c>
      <c r="BK361" s="210">
        <f>IF(WWWW[[#This Row],[Total required water points]]-WWWW[[#This Row],['#Water points coverage]]&lt;0,0,WWWW[[#This Row],[Total required water points]]-WWWW[[#This Row],['#Water points coverage]])</f>
        <v>1</v>
      </c>
      <c r="BL361" s="210">
        <f>ROUND(IF(WWWW[[#This Row],[Total PoP ]]&lt;500,1,WWWW[[#This Row],[Total PoP ]]/500),0)</f>
        <v>2</v>
      </c>
      <c r="BM361" s="210">
        <f>WWWW[[#This Row],['# Existing functional latrines]]+WWWW[[#This Row],['# Existing latrines dysfunctional]]</f>
        <v>0</v>
      </c>
      <c r="BN36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61" s="352">
        <f>WWWW[[#This Row],[% people access to functioning Latrine]]*WWWW[[#This Row],[Total PoP ]]</f>
        <v>0</v>
      </c>
      <c r="BP36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61" s="209">
        <f>IF(WWWW[[#This Row],[Total required Latrines]]-WWWW[[#This Row],[Total '# of latrine]]&lt;0,0,WWWW[[#This Row],[Total required Latrines]]-WWWW[[#This Row],[Total '# of latrine]])</f>
        <v>178</v>
      </c>
      <c r="BR361" s="210">
        <f>ROUND(IF(WWWW[[#This Row],[Location Type 1]]="camp",WWWW[[#This Row],[Total PoP ]]/20,WWWW[[#This Row],[Total PoP ]]/6),0)</f>
        <v>178</v>
      </c>
      <c r="BS361" s="212">
        <f>IF(OR(WWWW[[#This Row],['# Existing latrines dysfunctional]]="",WWWW[[#This Row],['# Existing latrines dysfunctional]]=0),0,WWWW[[#This Row],['# Existing latrines dysfunctional]]/WWWW[[#This Row],[Total '# of latrine]])</f>
        <v>0</v>
      </c>
      <c r="BT36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61" s="209">
        <f>IF(500*WWWW[[#This Row],['# Hygiene Promoters ]]&gt;WWWW[[#This Row],[Total PoP ]],WWWW[[#This Row],[Total PoP ]],500*WWWW[[#This Row],['# Hygiene Promoters ]])</f>
        <v>0</v>
      </c>
      <c r="BV361" s="209">
        <f>IF(WWWW[[#This Row],[% of HH with access to Sanitary Pad]]&gt;=100%,1,0)</f>
        <v>0</v>
      </c>
      <c r="BW361" s="209">
        <f>IF(WWWW[[#This Row],[Total PoP ]]=0,0,IF(WWWW[[#This Row],['# Hygiene Promoters ]]=0,0,IF(WWWW[[#This Row],[Location Type 1]]="Village",IF(WWWW[[#This Row],[Total PoP ]]/WWWW[[#This Row],['# Hygiene Promoters ]]&lt;1000,1,0),IF(WWWW[[#This Row],[Total PoP ]]/WWWW[[#This Row],['# Hygiene Promoters ]]&lt;600,1,0))))</f>
        <v>0</v>
      </c>
      <c r="BX361" s="209">
        <f>IF(WWWW[[#This Row],[%HH with access to soap]]&gt;=100%,1,0)</f>
        <v>0</v>
      </c>
      <c r="BY361" s="209">
        <f>IF(WWWW[[#This Row],[% of HHs with access to Sanitary pad more than '#%]]+WWWW[[#This Row],[Ratio of Hyiene promoters to people less than '#]]+WWWW[[#This Row],[% of HHs with access to soap more than '#%]]&gt;=2,WWWW[[#This Row],[Total PoP ]],0)</f>
        <v>0</v>
      </c>
      <c r="BZ361" s="208">
        <f>WWWW[[#This Row],[People adopt basic personal and community hygiene practices]]/WWWW[[#This Row],[Total PoP ]]</f>
        <v>0</v>
      </c>
      <c r="CA361" s="212">
        <f>1-WWWW[[#This Row],[Hygiene Coverage%]]</f>
        <v>1</v>
      </c>
      <c r="CB361" s="211">
        <f>WWWW[[#This Row],['# people reached by regular dedicated hygiene promotion_5]]/WWWW[[#This Row],[Total PoP ]]</f>
        <v>0</v>
      </c>
      <c r="CC361" s="211">
        <f>IF(WWWW[[#This Row],['# HH received soaps]]/WWWW[[#This Row],[Total HH]]&gt;1,1,WWWW[[#This Row],['# HH received soaps]]/WWWW[[#This Row],[Total HH]])</f>
        <v>0</v>
      </c>
      <c r="CD361" s="211">
        <f>IF(WWWW[[#This Row],['# HH received Sanitary Pads]]/WWWW[[#This Row],[Total HH]]&gt;1,1,WWWW[[#This Row],['# HH received Sanitary Pads]]/WWWW[[#This Row],[Total HH]])</f>
        <v>0</v>
      </c>
      <c r="CE361" s="210">
        <f>WWWW[[#This Row],['# HH received soaps]]*5</f>
        <v>0</v>
      </c>
      <c r="CF361" s="210">
        <f>WWWW[[#This Row],['# HH received Sanitary Pads]]*5</f>
        <v>0</v>
      </c>
      <c r="CG361" s="210">
        <f>IF(WWWW[[#This Row],['# People with access to soap]]&gt;WWWW[[#This Row],['# People with access to Sanity Pads]],WWWW[[#This Row],['# People with access to soap]],WWWW[[#This Row],['# People with access to Sanity Pads]])</f>
        <v>0</v>
      </c>
      <c r="CH361" s="209">
        <f>WWWW[[#This Row],[Total HH]]*WWWW[[#This Row],[%HHs with access to functional hand washing stations]]</f>
        <v>200</v>
      </c>
      <c r="CI361" s="699">
        <f>VLOOKUP(WWWW[[#This Row],[Site Name]],SiteDB6[[Site Name]:[CCCM Management]],6,FALSE)</f>
        <v>0</v>
      </c>
      <c r="CJ361" s="699">
        <f>VLOOKUP(WWWW[[#This Row],[Site Name]],SiteDB6[[Site Name]:[CCCM Focal Agency]],7,FALSE)</f>
        <v>0</v>
      </c>
      <c r="CK361" s="699" t="str">
        <f>VLOOKUP(WWWW[[#This Row],[Site Name]],SiteDB6[[Site Name]:[Location Type]],8,FALSE)</f>
        <v>Village</v>
      </c>
      <c r="CL361" s="699" t="str">
        <f>VLOOKUP(WWWW[[#This Row],[Site Name]],SiteDB6[[Site Name]:[Location Type 1]],9,FALSE)</f>
        <v>Village</v>
      </c>
      <c r="CM361" s="699" t="str">
        <f>VLOOKUP(WWWW[[#This Row],[Site Name]],SiteDB6[[Site Name]:[Type of Accommodation]],10,FALSE)</f>
        <v>Village</v>
      </c>
      <c r="CN361" s="699" t="str">
        <f>VLOOKUP(WWWW[[#This Row],[Site Name]],SiteDB6[[Site Name]:[Ethnic or GCA/NGCA]],11,FALSE)</f>
        <v>Muslim</v>
      </c>
      <c r="CO361" s="699">
        <f>VLOOKUP(WWWW[[#This Row],[Site Name]],SiteDB6[[Site Name]:[Lat]],12,FALSE)</f>
        <v>20.1975498199463</v>
      </c>
      <c r="CP361" s="699">
        <f>VLOOKUP(WWWW[[#This Row],[Site Name]],SiteDB6[[Site Name]:[Long]],13,FALSE)</f>
        <v>92.785682678222699</v>
      </c>
      <c r="CQ361" s="699" t="str">
        <f>VLOOKUP(WWWW[[#This Row],[Site Name]],SiteDB6[[Site Name]:[Pcode]],3,FALSE)</f>
        <v>196156</v>
      </c>
      <c r="CR361" s="660" t="str">
        <f t="shared" si="8"/>
        <v>Covered</v>
      </c>
      <c r="CS361" s="660"/>
      <c r="CT361" s="24"/>
      <c r="CU361" s="24"/>
      <c r="CV361" s="24"/>
    </row>
    <row r="362" spans="1:100" ht="15.75" customHeight="1" x14ac:dyDescent="0.25">
      <c r="A362" s="833" t="s">
        <v>3206</v>
      </c>
      <c r="B362" s="206" t="s">
        <v>571</v>
      </c>
      <c r="C362" s="206" t="s">
        <v>454</v>
      </c>
      <c r="D362" s="206" t="s">
        <v>455</v>
      </c>
      <c r="E362" s="206" t="s">
        <v>607</v>
      </c>
      <c r="F362" s="206">
        <v>400</v>
      </c>
      <c r="G362" s="209">
        <v>2187</v>
      </c>
      <c r="H362" s="206"/>
      <c r="I362" s="206" t="s">
        <v>442</v>
      </c>
      <c r="J362" s="207">
        <v>43465</v>
      </c>
      <c r="K362" s="206">
        <v>0</v>
      </c>
      <c r="L362" s="206" t="s">
        <v>282</v>
      </c>
      <c r="M362" s="208">
        <v>0</v>
      </c>
      <c r="N362" s="208">
        <v>0</v>
      </c>
      <c r="O362" s="316">
        <v>0</v>
      </c>
      <c r="P362" s="317">
        <v>30</v>
      </c>
      <c r="Q362" s="317">
        <v>0</v>
      </c>
      <c r="R362" s="318">
        <v>0</v>
      </c>
      <c r="S362" s="318">
        <v>0</v>
      </c>
      <c r="T362" s="318"/>
      <c r="U362" s="318">
        <v>0</v>
      </c>
      <c r="V362" s="318">
        <v>0</v>
      </c>
      <c r="W362" s="318">
        <v>0</v>
      </c>
      <c r="X362" s="318">
        <v>0</v>
      </c>
      <c r="Y362" s="318">
        <v>0</v>
      </c>
      <c r="Z362" s="318"/>
      <c r="AA362" s="310">
        <v>98</v>
      </c>
      <c r="AB362" s="310">
        <v>10</v>
      </c>
      <c r="AC362" s="66">
        <v>100</v>
      </c>
      <c r="AD362" s="66" t="s">
        <v>2785</v>
      </c>
      <c r="AE362" s="310">
        <v>0</v>
      </c>
      <c r="AF362" s="310" t="s">
        <v>283</v>
      </c>
      <c r="AG362" s="311" t="s">
        <v>283</v>
      </c>
      <c r="AH362" s="311"/>
      <c r="AI362" s="310"/>
      <c r="AJ362" s="336" t="s">
        <v>3214</v>
      </c>
      <c r="AK362" s="841">
        <v>0</v>
      </c>
      <c r="AL362" s="842" t="s">
        <v>284</v>
      </c>
      <c r="AM362" s="842">
        <v>400</v>
      </c>
      <c r="AN362" s="863">
        <v>0</v>
      </c>
      <c r="AO362" s="863">
        <v>9</v>
      </c>
      <c r="AP362" s="846">
        <v>400</v>
      </c>
      <c r="AQ362" s="846">
        <v>400</v>
      </c>
      <c r="AR362" s="846" t="s">
        <v>282</v>
      </c>
      <c r="AS362" s="846"/>
      <c r="AT362" s="846">
        <v>11</v>
      </c>
      <c r="AU362" s="846">
        <v>39</v>
      </c>
      <c r="AV362" s="844"/>
      <c r="AW362" s="208" t="str">
        <f>IFERROR(WWWW[[#This Row],['# of Water passed at source]]/WWWW[[#This Row],['# of Water tested at source]],"no test")</f>
        <v>no test</v>
      </c>
      <c r="AX362" s="211" t="str">
        <f>IFERROR(WWWW[[#This Row],['# of Water passed at HH]]/WWWW[[#This Row],['# of Water tested at HH]],"no test")</f>
        <v>no test</v>
      </c>
      <c r="AY362" s="210" t="str">
        <f>IF(AND(WWWW[[#This Row],[%of Water samples which passed at water source]]="no test",WWWW[[#This Row],[%Water samples which passed at HH]]="no test"),"No Test","Tested")</f>
        <v>No Test</v>
      </c>
      <c r="AZ36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6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62" s="211">
        <f>IF(WWWW[[#This Row],[Location Type 1]]="Village",WWWW[[#This Row],[Access to safe drinking water for Village]],WWWW[[#This Row],[Access to safe drinking water for Camp]])</f>
        <v>1</v>
      </c>
      <c r="BC362" s="209">
        <f>WWWW[[#This Row],[%Equitable and continuous access to sufficient quantity of safe drinking water]]*WWWW[[#This Row],[Total PoP ]]</f>
        <v>2187</v>
      </c>
      <c r="BD362" s="211">
        <f>IF((WWWW[[#This Row],['# Existing protected/fenced ponds ]]*250)/WWWW[[#This Row],[Total PoP ]]&gt;1,1,WWWW[[#This Row],['# Existing protected/fenced ponds ]]*250/WWWW[[#This Row],[Total PoP ]])</f>
        <v>0</v>
      </c>
      <c r="BE362" s="209">
        <f>WWWW[[#This Row],[Access to unimproved water points]]*WWWW[[#This Row],[Total PoP ]]</f>
        <v>0</v>
      </c>
      <c r="BF36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6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2187</v>
      </c>
      <c r="BH362" s="209">
        <f>WWWW[[#This Row],['#people Equitable and continuous access to sufficient quantity of domestic water borehole n ponds_2]]/500</f>
        <v>4.3739999999999997</v>
      </c>
      <c r="BI362" s="208">
        <f>1-WWWW[[#This Row],[%Equitable and continuous access to sufficient quantity of domestic water borehole n ponds]]</f>
        <v>0</v>
      </c>
      <c r="BJ362" s="209">
        <f>WWWW[[#This Row],[%equitable and continuous access to sufficient quantity of safe drinking and domestic water''s GAP]]*WWWW[[#This Row],[Total PoP ]]</f>
        <v>0</v>
      </c>
      <c r="BK362" s="210">
        <f>IF(WWWW[[#This Row],[Total required water points]]-WWWW[[#This Row],['#Water points coverage]]&lt;0,0,WWWW[[#This Row],[Total required water points]]-WWWW[[#This Row],['#Water points coverage]])</f>
        <v>0</v>
      </c>
      <c r="BL362" s="210">
        <f>ROUND(IF(WWWW[[#This Row],[Total PoP ]]&lt;500,1,WWWW[[#This Row],[Total PoP ]]/500),0)</f>
        <v>4</v>
      </c>
      <c r="BM362" s="210">
        <f>WWWW[[#This Row],['# Existing functional latrines]]+WWWW[[#This Row],['# Existing latrines dysfunctional]]</f>
        <v>108</v>
      </c>
      <c r="BN36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0.89620484682213075</v>
      </c>
      <c r="BO362" s="352">
        <f>WWWW[[#This Row],[% people access to functioning Latrine]]*WWWW[[#This Row],[Total PoP ]]</f>
        <v>1960</v>
      </c>
      <c r="BP36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9.1449474165523556E-3</v>
      </c>
      <c r="BQ362" s="209">
        <f>IF(WWWW[[#This Row],[Total required Latrines]]-WWWW[[#This Row],[Total '# of latrine]]&lt;0,0,WWWW[[#This Row],[Total required Latrines]]-WWWW[[#This Row],[Total '# of latrine]])</f>
        <v>1</v>
      </c>
      <c r="BR362" s="210">
        <f>ROUND(IF(WWWW[[#This Row],[Location Type 1]]="camp",WWWW[[#This Row],[Total PoP ]]/20,WWWW[[#This Row],[Total PoP ]]/6),0)</f>
        <v>109</v>
      </c>
      <c r="BS362" s="212">
        <f>IF(OR(WWWW[[#This Row],['# Existing latrines dysfunctional]]="",WWWW[[#This Row],['# Existing latrines dysfunctional]]=0),0,WWWW[[#This Row],['# Existing latrines dysfunctional]]/WWWW[[#This Row],[Total '# of latrine]])</f>
        <v>9.2592592592592587E-2</v>
      </c>
      <c r="BT36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2000</v>
      </c>
      <c r="BU362" s="209">
        <f>IF(500*WWWW[[#This Row],['# Hygiene Promoters ]]&gt;WWWW[[#This Row],[Total PoP ]],WWWW[[#This Row],[Total PoP ]],500*WWWW[[#This Row],['# Hygiene Promoters ]])</f>
        <v>2187</v>
      </c>
      <c r="BV362" s="209">
        <f>IF(WWWW[[#This Row],[% of HH with access to Sanitary Pad]]&gt;=100%,1,0)</f>
        <v>1</v>
      </c>
      <c r="BW362" s="209">
        <f>IF(WWWW[[#This Row],[Total PoP ]]=0,0,IF(WWWW[[#This Row],['# Hygiene Promoters ]]=0,0,IF(WWWW[[#This Row],[Location Type 1]]="Village",IF(WWWW[[#This Row],[Total PoP ]]/WWWW[[#This Row],['# Hygiene Promoters ]]&lt;1000,1,0),IF(WWWW[[#This Row],[Total PoP ]]/WWWW[[#This Row],['# Hygiene Promoters ]]&lt;600,1,0))))</f>
        <v>1</v>
      </c>
      <c r="BX362" s="209">
        <f>IF(WWWW[[#This Row],[%HH with access to soap]]&gt;=100%,1,0)</f>
        <v>1</v>
      </c>
      <c r="BY362" s="209">
        <f>IF(WWWW[[#This Row],[% of HHs with access to Sanitary pad more than '#%]]+WWWW[[#This Row],[Ratio of Hyiene promoters to people less than '#]]+WWWW[[#This Row],[% of HHs with access to soap more than '#%]]&gt;=2,WWWW[[#This Row],[Total PoP ]],0)</f>
        <v>2187</v>
      </c>
      <c r="BZ362" s="208">
        <f>WWWW[[#This Row],[People adopt basic personal and community hygiene practices]]/WWWW[[#This Row],[Total PoP ]]</f>
        <v>1</v>
      </c>
      <c r="CA362" s="212">
        <f>1-WWWW[[#This Row],[Hygiene Coverage%]]</f>
        <v>0</v>
      </c>
      <c r="CB362" s="211">
        <f>WWWW[[#This Row],['# people reached by regular dedicated hygiene promotion_5]]/WWWW[[#This Row],[Total PoP ]]</f>
        <v>1</v>
      </c>
      <c r="CC362" s="211">
        <f>IF(WWWW[[#This Row],['# HH received soaps]]/WWWW[[#This Row],[Total HH]]&gt;1,1,WWWW[[#This Row],['# HH received soaps]]/WWWW[[#This Row],[Total HH]])</f>
        <v>1</v>
      </c>
      <c r="CD362" s="211">
        <f>IF(WWWW[[#This Row],['# HH received Sanitary Pads]]/WWWW[[#This Row],[Total HH]]&gt;1,1,WWWW[[#This Row],['# HH received Sanitary Pads]]/WWWW[[#This Row],[Total HH]])</f>
        <v>1</v>
      </c>
      <c r="CE362" s="210">
        <f>WWWW[[#This Row],['# HH received soaps]]*5</f>
        <v>2000</v>
      </c>
      <c r="CF362" s="210">
        <f>WWWW[[#This Row],['# HH received Sanitary Pads]]*5</f>
        <v>2000</v>
      </c>
      <c r="CG362" s="210">
        <f>IF(WWWW[[#This Row],['# People with access to soap]]&gt;WWWW[[#This Row],['# People with access to Sanity Pads]],WWWW[[#This Row],['# People with access to soap]],WWWW[[#This Row],['# People with access to Sanity Pads]])</f>
        <v>2000</v>
      </c>
      <c r="CH362" s="209">
        <f>WWWW[[#This Row],[Total HH]]*WWWW[[#This Row],[%HHs with access to functional hand washing stations]]</f>
        <v>0</v>
      </c>
      <c r="CI362" s="699">
        <f>VLOOKUP(WWWW[[#This Row],[Site Name]],SiteDB6[[Site Name]:[CCCM Management]],6,FALSE)</f>
        <v>0</v>
      </c>
      <c r="CJ362" s="699">
        <f>VLOOKUP(WWWW[[#This Row],[Site Name]],SiteDB6[[Site Name]:[CCCM Focal Agency]],7,FALSE)</f>
        <v>0</v>
      </c>
      <c r="CK362" s="699" t="str">
        <f>VLOOKUP(WWWW[[#This Row],[Site Name]],SiteDB6[[Site Name]:[Location Type]],8,FALSE)</f>
        <v>Camp</v>
      </c>
      <c r="CL362" s="699" t="str">
        <f>VLOOKUP(WWWW[[#This Row],[Site Name]],SiteDB6[[Site Name]:[Location Type 1]],9,FALSE)</f>
        <v>Camp</v>
      </c>
      <c r="CM362" s="699" t="str">
        <f>VLOOKUP(WWWW[[#This Row],[Site Name]],SiteDB6[[Site Name]:[Type of Accommodation]],10,FALSE)</f>
        <v>Closed Camp</v>
      </c>
      <c r="CN362" s="699" t="str">
        <f>VLOOKUP(WWWW[[#This Row],[Site Name]],SiteDB6[[Site Name]:[Ethnic or GCA/NGCA]],11,FALSE)</f>
        <v>Muslim</v>
      </c>
      <c r="CO362" s="699">
        <f>VLOOKUP(WWWW[[#This Row],[Site Name]],SiteDB6[[Site Name]:[Lat]],12,FALSE)</f>
        <v>20.207284999999999</v>
      </c>
      <c r="CP362" s="699">
        <f>VLOOKUP(WWWW[[#This Row],[Site Name]],SiteDB6[[Site Name]:[Long]],13,FALSE)</f>
        <v>92.788177000000005</v>
      </c>
      <c r="CQ362" s="699" t="str">
        <f>VLOOKUP(WWWW[[#This Row],[Site Name]],SiteDB6[[Site Name]:[Pcode]],3,FALSE)</f>
        <v>MMR012CMP044</v>
      </c>
      <c r="CR362" s="660" t="str">
        <f t="shared" si="8"/>
        <v>Covered</v>
      </c>
      <c r="CS362" s="660"/>
      <c r="CT362" s="24"/>
      <c r="CU362" s="24"/>
      <c r="CV362" s="24"/>
    </row>
    <row r="363" spans="1:100" ht="15.75" customHeight="1" x14ac:dyDescent="0.25">
      <c r="A363" s="833" t="s">
        <v>3206</v>
      </c>
      <c r="B363" s="206" t="s">
        <v>527</v>
      </c>
      <c r="C363" s="206" t="s">
        <v>454</v>
      </c>
      <c r="D363" s="206" t="s">
        <v>455</v>
      </c>
      <c r="E363" s="206" t="s">
        <v>604</v>
      </c>
      <c r="F363" s="206">
        <v>2280</v>
      </c>
      <c r="G363" s="209">
        <v>11564</v>
      </c>
      <c r="H363" s="206"/>
      <c r="I363" s="206" t="s">
        <v>3252</v>
      </c>
      <c r="J363" s="207" t="s">
        <v>3251</v>
      </c>
      <c r="K363" s="206">
        <v>0</v>
      </c>
      <c r="L363" s="206" t="s">
        <v>282</v>
      </c>
      <c r="M363" s="208">
        <v>0</v>
      </c>
      <c r="N363" s="208">
        <v>0</v>
      </c>
      <c r="O363" s="316">
        <v>0</v>
      </c>
      <c r="P363" s="317">
        <v>181</v>
      </c>
      <c r="Q363" s="317">
        <v>0</v>
      </c>
      <c r="R363" s="318">
        <v>0</v>
      </c>
      <c r="S363" s="318">
        <v>196</v>
      </c>
      <c r="T363" s="318"/>
      <c r="U363" s="318"/>
      <c r="V363" s="318"/>
      <c r="W363" s="318"/>
      <c r="X363" s="318"/>
      <c r="Y363" s="318">
        <v>13</v>
      </c>
      <c r="Z363" s="318" t="s">
        <v>2783</v>
      </c>
      <c r="AA363" s="310">
        <v>520</v>
      </c>
      <c r="AB363" s="310">
        <v>34</v>
      </c>
      <c r="AC363" s="66">
        <v>172</v>
      </c>
      <c r="AD363" s="66"/>
      <c r="AE363" s="310">
        <v>516</v>
      </c>
      <c r="AF363" s="310" t="s">
        <v>283</v>
      </c>
      <c r="AG363" s="311" t="s">
        <v>1358</v>
      </c>
      <c r="AH363" s="311">
        <v>0</v>
      </c>
      <c r="AI363" s="310">
        <v>26</v>
      </c>
      <c r="AJ363" s="310"/>
      <c r="AK363" s="841">
        <v>1</v>
      </c>
      <c r="AL363" s="842" t="s">
        <v>284</v>
      </c>
      <c r="AM363" s="842">
        <v>2280</v>
      </c>
      <c r="AN363" s="863">
        <v>0</v>
      </c>
      <c r="AO363" s="863">
        <v>26</v>
      </c>
      <c r="AP363" s="843">
        <v>2280</v>
      </c>
      <c r="AQ363" s="843">
        <v>2280</v>
      </c>
      <c r="AR363" s="843" t="s">
        <v>282</v>
      </c>
      <c r="AS363" s="843"/>
      <c r="AT363" s="843"/>
      <c r="AU363" s="843"/>
      <c r="AV363" s="844"/>
      <c r="AW363" s="208" t="str">
        <f>IFERROR(WWWW[[#This Row],['# of Water passed at source]]/WWWW[[#This Row],['# of Water tested at source]],"no test")</f>
        <v>no test</v>
      </c>
      <c r="AX363" s="211" t="str">
        <f>IFERROR(WWWW[[#This Row],['# of Water passed at HH]]/WWWW[[#This Row],['# of Water tested at HH]],"no test")</f>
        <v>no test</v>
      </c>
      <c r="AY363" s="210" t="str">
        <f>IF(AND(WWWW[[#This Row],[%of Water samples which passed at water source]]="no test",WWWW[[#This Row],[%Water samples which passed at HH]]="no test"),"No Test","Tested")</f>
        <v>No Test</v>
      </c>
      <c r="AZ36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6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63" s="211">
        <f>IF(WWWW[[#This Row],[Location Type 1]]="Village",WWWW[[#This Row],[Access to safe drinking water for Village]],WWWW[[#This Row],[Access to safe drinking water for Camp]])</f>
        <v>1</v>
      </c>
      <c r="BC363" s="209">
        <f>WWWW[[#This Row],[%Equitable and continuous access to sufficient quantity of safe drinking water]]*WWWW[[#This Row],[Total PoP ]]</f>
        <v>11564</v>
      </c>
      <c r="BD363" s="211">
        <f>IF((WWWW[[#This Row],['# Existing protected/fenced ponds ]]*250)/WWWW[[#This Row],[Total PoP ]]&gt;1,1,WWWW[[#This Row],['# Existing protected/fenced ponds ]]*250/WWWW[[#This Row],[Total PoP ]])</f>
        <v>0</v>
      </c>
      <c r="BE363" s="209">
        <f>WWWW[[#This Row],[Access to unimproved water points]]*WWWW[[#This Row],[Total PoP ]]</f>
        <v>0</v>
      </c>
      <c r="BF36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6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11564</v>
      </c>
      <c r="BH363" s="209">
        <f>WWWW[[#This Row],['#people Equitable and continuous access to sufficient quantity of domestic water borehole n ponds_2]]/500</f>
        <v>23.128</v>
      </c>
      <c r="BI363" s="208">
        <f>1-WWWW[[#This Row],[%Equitable and continuous access to sufficient quantity of domestic water borehole n ponds]]</f>
        <v>0</v>
      </c>
      <c r="BJ363" s="209">
        <f>WWWW[[#This Row],[%equitable and continuous access to sufficient quantity of safe drinking and domestic water''s GAP]]*WWWW[[#This Row],[Total PoP ]]</f>
        <v>0</v>
      </c>
      <c r="BK363" s="210">
        <f>IF(WWWW[[#This Row],[Total required water points]]-WWWW[[#This Row],['#Water points coverage]]&lt;0,0,WWWW[[#This Row],[Total required water points]]-WWWW[[#This Row],['#Water points coverage]])</f>
        <v>0</v>
      </c>
      <c r="BL363" s="210">
        <f>ROUND(IF(WWWW[[#This Row],[Total PoP ]]&lt;500,1,WWWW[[#This Row],[Total PoP ]]/500),0)</f>
        <v>23</v>
      </c>
      <c r="BM363" s="210">
        <f>WWWW[[#This Row],['# Existing functional latrines]]+WWWW[[#This Row],['# Existing latrines dysfunctional]]</f>
        <v>554</v>
      </c>
      <c r="BN36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0.89934278796264266</v>
      </c>
      <c r="BO363" s="352">
        <f>WWWW[[#This Row],[% people access to functioning Latrine]]*WWWW[[#This Row],[Total PoP ]]</f>
        <v>10400</v>
      </c>
      <c r="BP36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4.1508128675198888E-2</v>
      </c>
      <c r="BQ363" s="209">
        <f>IF(WWWW[[#This Row],[Total required Latrines]]-WWWW[[#This Row],[Total '# of latrine]]&lt;0,0,WWWW[[#This Row],[Total required Latrines]]-WWWW[[#This Row],[Total '# of latrine]])</f>
        <v>24</v>
      </c>
      <c r="BR363" s="210">
        <f>ROUND(IF(WWWW[[#This Row],[Location Type 1]]="camp",WWWW[[#This Row],[Total PoP ]]/20,WWWW[[#This Row],[Total PoP ]]/6),0)</f>
        <v>578</v>
      </c>
      <c r="BS363" s="212">
        <f>IF(OR(WWWW[[#This Row],['# Existing latrines dysfunctional]]="",WWWW[[#This Row],['# Existing latrines dysfunctional]]=0),0,WWWW[[#This Row],['# Existing latrines dysfunctional]]/WWWW[[#This Row],[Total '# of latrine]])</f>
        <v>6.1371841155234655E-2</v>
      </c>
      <c r="BT36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3440</v>
      </c>
      <c r="BU363" s="209">
        <f>IF(500*WWWW[[#This Row],['# Hygiene Promoters ]]&gt;WWWW[[#This Row],[Total PoP ]],WWWW[[#This Row],[Total PoP ]],500*WWWW[[#This Row],['# Hygiene Promoters ]])</f>
        <v>11564</v>
      </c>
      <c r="BV363" s="209">
        <f>IF(WWWW[[#This Row],[% of HH with access to Sanitary Pad]]&gt;=100%,1,0)</f>
        <v>1</v>
      </c>
      <c r="BW363" s="209">
        <f>IF(WWWW[[#This Row],[Total PoP ]]=0,0,IF(WWWW[[#This Row],['# Hygiene Promoters ]]=0,0,IF(WWWW[[#This Row],[Location Type 1]]="Village",IF(WWWW[[#This Row],[Total PoP ]]/WWWW[[#This Row],['# Hygiene Promoters ]]&lt;1000,1,0),IF(WWWW[[#This Row],[Total PoP ]]/WWWW[[#This Row],['# Hygiene Promoters ]]&lt;600,1,0))))</f>
        <v>1</v>
      </c>
      <c r="BX363" s="209">
        <f>IF(WWWW[[#This Row],[%HH with access to soap]]&gt;=100%,1,0)</f>
        <v>1</v>
      </c>
      <c r="BY363" s="209">
        <f>IF(WWWW[[#This Row],[% of HHs with access to Sanitary pad more than '#%]]+WWWW[[#This Row],[Ratio of Hyiene promoters to people less than '#]]+WWWW[[#This Row],[% of HHs with access to soap more than '#%]]&gt;=2,WWWW[[#This Row],[Total PoP ]],0)</f>
        <v>11564</v>
      </c>
      <c r="BZ363" s="208">
        <f>WWWW[[#This Row],[People adopt basic personal and community hygiene practices]]/WWWW[[#This Row],[Total PoP ]]</f>
        <v>1</v>
      </c>
      <c r="CA363" s="212">
        <f>1-WWWW[[#This Row],[Hygiene Coverage%]]</f>
        <v>0</v>
      </c>
      <c r="CB363" s="211">
        <f>WWWW[[#This Row],['# people reached by regular dedicated hygiene promotion_5]]/WWWW[[#This Row],[Total PoP ]]</f>
        <v>1</v>
      </c>
      <c r="CC363" s="211">
        <f>IF(WWWW[[#This Row],['# HH received soaps]]/WWWW[[#This Row],[Total HH]]&gt;1,1,WWWW[[#This Row],['# HH received soaps]]/WWWW[[#This Row],[Total HH]])</f>
        <v>1</v>
      </c>
      <c r="CD363" s="211">
        <f>IF(WWWW[[#This Row],['# HH received Sanitary Pads]]/WWWW[[#This Row],[Total HH]]&gt;1,1,WWWW[[#This Row],['# HH received Sanitary Pads]]/WWWW[[#This Row],[Total HH]])</f>
        <v>1</v>
      </c>
      <c r="CE363" s="210">
        <f>WWWW[[#This Row],['# HH received soaps]]*5</f>
        <v>11400</v>
      </c>
      <c r="CF363" s="210">
        <f>WWWW[[#This Row],['# HH received Sanitary Pads]]*5</f>
        <v>11400</v>
      </c>
      <c r="CG363" s="210">
        <f>IF(WWWW[[#This Row],['# People with access to soap]]&gt;WWWW[[#This Row],['# People with access to Sanity Pads]],WWWW[[#This Row],['# People with access to soap]],WWWW[[#This Row],['# People with access to Sanity Pads]])</f>
        <v>11400</v>
      </c>
      <c r="CH363" s="209">
        <f>WWWW[[#This Row],[Total HH]]*WWWW[[#This Row],[%HHs with access to functional hand washing stations]]</f>
        <v>2280</v>
      </c>
      <c r="CI363" s="699" t="str">
        <f>VLOOKUP(WWWW[[#This Row],[Site Name]],SiteDB6[[Site Name]:[CCCM Management]],6,FALSE)</f>
        <v>Yes</v>
      </c>
      <c r="CJ363" s="699">
        <f>VLOOKUP(WWWW[[#This Row],[Site Name]],SiteDB6[[Site Name]:[CCCM Focal Agency]],7,FALSE)</f>
        <v>0</v>
      </c>
      <c r="CK363" s="699" t="str">
        <f>VLOOKUP(WWWW[[#This Row],[Site Name]],SiteDB6[[Site Name]:[Location Type]],8,FALSE)</f>
        <v>Camp</v>
      </c>
      <c r="CL363" s="699" t="str">
        <f>VLOOKUP(WWWW[[#This Row],[Site Name]],SiteDB6[[Site Name]:[Location Type 1]],9,FALSE)</f>
        <v>Camp</v>
      </c>
      <c r="CM363" s="699" t="str">
        <f>VLOOKUP(WWWW[[#This Row],[Site Name]],SiteDB6[[Site Name]:[Type of Accommodation]],10,FALSE)</f>
        <v>Planned Camp</v>
      </c>
      <c r="CN363" s="699" t="str">
        <f>VLOOKUP(WWWW[[#This Row],[Site Name]],SiteDB6[[Site Name]:[Ethnic or GCA/NGCA]],11,FALSE)</f>
        <v>Muslim</v>
      </c>
      <c r="CO363" s="699">
        <f>VLOOKUP(WWWW[[#This Row],[Site Name]],SiteDB6[[Site Name]:[Lat]],12,FALSE)</f>
        <v>20.202525000000001</v>
      </c>
      <c r="CP363" s="699">
        <f>VLOOKUP(WWWW[[#This Row],[Site Name]],SiteDB6[[Site Name]:[Long]],13,FALSE)</f>
        <v>92.792479999999998</v>
      </c>
      <c r="CQ363" s="699" t="str">
        <f>VLOOKUP(WWWW[[#This Row],[Site Name]],SiteDB6[[Site Name]:[Pcode]],3,FALSE)</f>
        <v>MMR012CMP045</v>
      </c>
      <c r="CR363" s="660" t="str">
        <f t="shared" si="8"/>
        <v>Covered</v>
      </c>
      <c r="CS363" s="660"/>
      <c r="CT363" s="24"/>
      <c r="CU363" s="24"/>
      <c r="CV363" s="24"/>
    </row>
    <row r="364" spans="1:100" ht="15.75" customHeight="1" x14ac:dyDescent="0.25">
      <c r="A364" s="833" t="s">
        <v>3206</v>
      </c>
      <c r="B364" s="206" t="s">
        <v>460</v>
      </c>
      <c r="C364" s="206" t="s">
        <v>454</v>
      </c>
      <c r="D364" s="206" t="s">
        <v>455</v>
      </c>
      <c r="E364" s="206" t="s">
        <v>461</v>
      </c>
      <c r="F364" s="206">
        <v>87</v>
      </c>
      <c r="G364" s="209">
        <v>447</v>
      </c>
      <c r="H364" s="206"/>
      <c r="I364" s="206"/>
      <c r="J364" s="207"/>
      <c r="K364" s="206"/>
      <c r="L364" s="206" t="s">
        <v>282</v>
      </c>
      <c r="M364" s="208">
        <v>0</v>
      </c>
      <c r="N364" s="208">
        <v>0</v>
      </c>
      <c r="O364" s="316">
        <v>2</v>
      </c>
      <c r="P364" s="317">
        <v>4</v>
      </c>
      <c r="Q364" s="317">
        <v>0</v>
      </c>
      <c r="R364" s="318">
        <v>0</v>
      </c>
      <c r="S364" s="318">
        <v>0</v>
      </c>
      <c r="T364" s="318"/>
      <c r="U364" s="318"/>
      <c r="V364" s="318"/>
      <c r="W364" s="318"/>
      <c r="X364" s="318"/>
      <c r="Y364" s="318"/>
      <c r="Z364" s="318" t="s">
        <v>2459</v>
      </c>
      <c r="AA364" s="310">
        <v>72</v>
      </c>
      <c r="AB364" s="310">
        <v>0</v>
      </c>
      <c r="AC364" s="66"/>
      <c r="AD364" s="66"/>
      <c r="AE364" s="310">
        <v>0</v>
      </c>
      <c r="AF364" s="310" t="s">
        <v>1358</v>
      </c>
      <c r="AG364" s="311" t="s">
        <v>1358</v>
      </c>
      <c r="AH364" s="311"/>
      <c r="AI364" s="310"/>
      <c r="AJ364" s="310"/>
      <c r="AK364" s="841">
        <v>0</v>
      </c>
      <c r="AL364" s="842"/>
      <c r="AM364" s="842">
        <v>0</v>
      </c>
      <c r="AN364" s="863">
        <v>0</v>
      </c>
      <c r="AO364" s="863">
        <v>0</v>
      </c>
      <c r="AP364" s="843"/>
      <c r="AQ364" s="843"/>
      <c r="AR364" s="843"/>
      <c r="AS364" s="843"/>
      <c r="AT364" s="843"/>
      <c r="AU364" s="843"/>
      <c r="AV364" s="844"/>
      <c r="AW364" s="208" t="str">
        <f>IFERROR(WWWW[[#This Row],['# of Water passed at source]]/WWWW[[#This Row],['# of Water tested at source]],"no test")</f>
        <v>no test</v>
      </c>
      <c r="AX364" s="211" t="str">
        <f>IFERROR(WWWW[[#This Row],['# of Water passed at HH]]/WWWW[[#This Row],['# of Water tested at HH]],"no test")</f>
        <v>no test</v>
      </c>
      <c r="AY364" s="210" t="str">
        <f>IF(AND(WWWW[[#This Row],[%of Water samples which passed at water source]]="no test",WWWW[[#This Row],[%Water samples which passed at HH]]="no test"),"No Test","Tested")</f>
        <v>No Test</v>
      </c>
      <c r="AZ36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6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64" s="211">
        <f>IF(WWWW[[#This Row],[Location Type 1]]="Village",WWWW[[#This Row],[Access to safe drinking water for Village]],WWWW[[#This Row],[Access to safe drinking water for Camp]])</f>
        <v>1</v>
      </c>
      <c r="BC364" s="209">
        <f>WWWW[[#This Row],[%Equitable and continuous access to sufficient quantity of safe drinking water]]*WWWW[[#This Row],[Total PoP ]]</f>
        <v>447</v>
      </c>
      <c r="BD364" s="211">
        <f>IF((WWWW[[#This Row],['# Existing protected/fenced ponds ]]*250)/WWWW[[#This Row],[Total PoP ]]&gt;1,1,WWWW[[#This Row],['# Existing protected/fenced ponds ]]*250/WWWW[[#This Row],[Total PoP ]])</f>
        <v>0</v>
      </c>
      <c r="BE364" s="209">
        <f>WWWW[[#This Row],[Access to unimproved water points]]*WWWW[[#This Row],[Total PoP ]]</f>
        <v>0</v>
      </c>
      <c r="BF36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6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447</v>
      </c>
      <c r="BH364" s="209">
        <f>WWWW[[#This Row],['#people Equitable and continuous access to sufficient quantity of domestic water borehole n ponds_2]]/500</f>
        <v>0.89400000000000002</v>
      </c>
      <c r="BI364" s="208">
        <f>1-WWWW[[#This Row],[%Equitable and continuous access to sufficient quantity of domestic water borehole n ponds]]</f>
        <v>0</v>
      </c>
      <c r="BJ364" s="209">
        <f>WWWW[[#This Row],[%equitable and continuous access to sufficient quantity of safe drinking and domestic water''s GAP]]*WWWW[[#This Row],[Total PoP ]]</f>
        <v>0</v>
      </c>
      <c r="BK364" s="210">
        <f>IF(WWWW[[#This Row],[Total required water points]]-WWWW[[#This Row],['#Water points coverage]]&lt;0,0,WWWW[[#This Row],[Total required water points]]-WWWW[[#This Row],['#Water points coverage]])</f>
        <v>0.10599999999999998</v>
      </c>
      <c r="BL364" s="210">
        <f>ROUND(IF(WWWW[[#This Row],[Total PoP ]]&lt;500,1,WWWW[[#This Row],[Total PoP ]]/500),0)</f>
        <v>1</v>
      </c>
      <c r="BM364" s="210">
        <f>WWWW[[#This Row],['# Existing functional latrines]]+WWWW[[#This Row],['# Existing latrines dysfunctional]]</f>
        <v>72</v>
      </c>
      <c r="BN36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0.96644295302013428</v>
      </c>
      <c r="BO364" s="352">
        <f>WWWW[[#This Row],[% people access to functioning Latrine]]*WWWW[[#This Row],[Total PoP ]]</f>
        <v>432</v>
      </c>
      <c r="BP36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4.0268456375838924E-2</v>
      </c>
      <c r="BQ364" s="209">
        <f>IF(WWWW[[#This Row],[Total required Latrines]]-WWWW[[#This Row],[Total '# of latrine]]&lt;0,0,WWWW[[#This Row],[Total required Latrines]]-WWWW[[#This Row],[Total '# of latrine]])</f>
        <v>3</v>
      </c>
      <c r="BR364" s="210">
        <f>ROUND(IF(WWWW[[#This Row],[Location Type 1]]="camp",WWWW[[#This Row],[Total PoP ]]/20,WWWW[[#This Row],[Total PoP ]]/6),0)</f>
        <v>75</v>
      </c>
      <c r="BS364" s="212">
        <f>IF(OR(WWWW[[#This Row],['# Existing latrines dysfunctional]]="",WWWW[[#This Row],['# Existing latrines dysfunctional]]=0),0,WWWW[[#This Row],['# Existing latrines dysfunctional]]/WWWW[[#This Row],[Total '# of latrine]])</f>
        <v>0</v>
      </c>
      <c r="BT36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64" s="209">
        <f>IF(500*WWWW[[#This Row],['# Hygiene Promoters ]]&gt;WWWW[[#This Row],[Total PoP ]],WWWW[[#This Row],[Total PoP ]],500*WWWW[[#This Row],['# Hygiene Promoters ]])</f>
        <v>0</v>
      </c>
      <c r="BV364" s="209">
        <f>IF(WWWW[[#This Row],[% of HH with access to Sanitary Pad]]&gt;=100%,1,0)</f>
        <v>0</v>
      </c>
      <c r="BW364" s="209">
        <f>IF(WWWW[[#This Row],[Total PoP ]]=0,0,IF(WWWW[[#This Row],['# Hygiene Promoters ]]=0,0,IF(WWWW[[#This Row],[Location Type 1]]="Village",IF(WWWW[[#This Row],[Total PoP ]]/WWWW[[#This Row],['# Hygiene Promoters ]]&lt;1000,1,0),IF(WWWW[[#This Row],[Total PoP ]]/WWWW[[#This Row],['# Hygiene Promoters ]]&lt;600,1,0))))</f>
        <v>0</v>
      </c>
      <c r="BX364" s="209">
        <f>IF(WWWW[[#This Row],[%HH with access to soap]]&gt;=100%,1,0)</f>
        <v>0</v>
      </c>
      <c r="BY364" s="209">
        <f>IF(WWWW[[#This Row],[% of HHs with access to Sanitary pad more than '#%]]+WWWW[[#This Row],[Ratio of Hyiene promoters to people less than '#]]+WWWW[[#This Row],[% of HHs with access to soap more than '#%]]&gt;=2,WWWW[[#This Row],[Total PoP ]],0)</f>
        <v>0</v>
      </c>
      <c r="BZ364" s="208">
        <f>WWWW[[#This Row],[People adopt basic personal and community hygiene practices]]/WWWW[[#This Row],[Total PoP ]]</f>
        <v>0</v>
      </c>
      <c r="CA364" s="212">
        <f>1-WWWW[[#This Row],[Hygiene Coverage%]]</f>
        <v>1</v>
      </c>
      <c r="CB364" s="211">
        <f>WWWW[[#This Row],['# people reached by regular dedicated hygiene promotion_5]]/WWWW[[#This Row],[Total PoP ]]</f>
        <v>0</v>
      </c>
      <c r="CC364" s="211">
        <f>IF(WWWW[[#This Row],['# HH received soaps]]/WWWW[[#This Row],[Total HH]]&gt;1,1,WWWW[[#This Row],['# HH received soaps]]/WWWW[[#This Row],[Total HH]])</f>
        <v>0</v>
      </c>
      <c r="CD364" s="211">
        <f>IF(WWWW[[#This Row],['# HH received Sanitary Pads]]/WWWW[[#This Row],[Total HH]]&gt;1,1,WWWW[[#This Row],['# HH received Sanitary Pads]]/WWWW[[#This Row],[Total HH]])</f>
        <v>0</v>
      </c>
      <c r="CE364" s="210">
        <f>WWWW[[#This Row],['# HH received soaps]]*5</f>
        <v>0</v>
      </c>
      <c r="CF364" s="210">
        <f>WWWW[[#This Row],['# HH received Sanitary Pads]]*5</f>
        <v>0</v>
      </c>
      <c r="CG364" s="210">
        <f>IF(WWWW[[#This Row],['# People with access to soap]]&gt;WWWW[[#This Row],['# People with access to Sanity Pads]],WWWW[[#This Row],['# People with access to soap]],WWWW[[#This Row],['# People with access to Sanity Pads]])</f>
        <v>0</v>
      </c>
      <c r="CH364" s="209">
        <f>WWWW[[#This Row],[Total HH]]*WWWW[[#This Row],[%HHs with access to functional hand washing stations]]</f>
        <v>0</v>
      </c>
      <c r="CI364" s="699">
        <f>VLOOKUP(WWWW[[#This Row],[Site Name]],SiteDB6[[Site Name]:[CCCM Management]],6,FALSE)</f>
        <v>0</v>
      </c>
      <c r="CJ364" s="699">
        <f>VLOOKUP(WWWW[[#This Row],[Site Name]],SiteDB6[[Site Name]:[CCCM Focal Agency]],7,FALSE)</f>
        <v>0</v>
      </c>
      <c r="CK364" s="699" t="str">
        <f>VLOOKUP(WWWW[[#This Row],[Site Name]],SiteDB6[[Site Name]:[Location Type]],8,FALSE)</f>
        <v>Village</v>
      </c>
      <c r="CL364" s="699" t="str">
        <f>VLOOKUP(WWWW[[#This Row],[Site Name]],SiteDB6[[Site Name]:[Location Type 1]],9,FALSE)</f>
        <v>Village</v>
      </c>
      <c r="CM364" s="699" t="str">
        <f>VLOOKUP(WWWW[[#This Row],[Site Name]],SiteDB6[[Site Name]:[Type of Accommodation]],10,FALSE)</f>
        <v>Village</v>
      </c>
      <c r="CN364" s="699" t="str">
        <f>VLOOKUP(WWWW[[#This Row],[Site Name]],SiteDB6[[Site Name]:[Ethnic or GCA/NGCA]],11,FALSE)</f>
        <v>Muslim</v>
      </c>
      <c r="CO364" s="699">
        <f>VLOOKUP(WWWW[[#This Row],[Site Name]],SiteDB6[[Site Name]:[Lat]],12,FALSE)</f>
        <v>0</v>
      </c>
      <c r="CP364" s="699">
        <f>VLOOKUP(WWWW[[#This Row],[Site Name]],SiteDB6[[Site Name]:[Long]],13,FALSE)</f>
        <v>0</v>
      </c>
      <c r="CQ364" s="699">
        <f>VLOOKUP(WWWW[[#This Row],[Site Name]],SiteDB6[[Site Name]:[Pcode]],3,FALSE)</f>
        <v>0</v>
      </c>
      <c r="CR364" s="660" t="str">
        <f t="shared" si="8"/>
        <v>Notcovered</v>
      </c>
      <c r="CS364" s="660"/>
      <c r="CT364" s="24"/>
      <c r="CU364" s="24"/>
      <c r="CV364" s="24"/>
    </row>
    <row r="365" spans="1:100" ht="15.75" customHeight="1" x14ac:dyDescent="0.25">
      <c r="A365" s="833" t="s">
        <v>3206</v>
      </c>
      <c r="B365" s="206" t="s">
        <v>447</v>
      </c>
      <c r="C365" s="206" t="s">
        <v>454</v>
      </c>
      <c r="D365" s="206" t="s">
        <v>563</v>
      </c>
      <c r="E365" s="206" t="s">
        <v>567</v>
      </c>
      <c r="F365" s="206">
        <v>744</v>
      </c>
      <c r="G365" s="214">
        <v>2810</v>
      </c>
      <c r="H365" s="206"/>
      <c r="I365" s="206" t="s">
        <v>391</v>
      </c>
      <c r="J365" s="207">
        <v>43555</v>
      </c>
      <c r="K365" s="206">
        <v>0</v>
      </c>
      <c r="L365" s="206" t="s">
        <v>282</v>
      </c>
      <c r="M365" s="208">
        <v>0</v>
      </c>
      <c r="N365" s="208">
        <v>0</v>
      </c>
      <c r="O365" s="316">
        <v>14</v>
      </c>
      <c r="P365" s="317">
        <v>0</v>
      </c>
      <c r="Q365" s="317">
        <v>63589</v>
      </c>
      <c r="R365" s="318">
        <v>0</v>
      </c>
      <c r="S365" s="318">
        <v>8</v>
      </c>
      <c r="T365" s="318">
        <v>8</v>
      </c>
      <c r="U365" s="318">
        <v>0</v>
      </c>
      <c r="V365" s="318">
        <v>0</v>
      </c>
      <c r="W365" s="318">
        <v>0</v>
      </c>
      <c r="X365" s="318">
        <v>0</v>
      </c>
      <c r="Y365" s="318">
        <v>14</v>
      </c>
      <c r="Z365" s="318"/>
      <c r="AA365" s="310">
        <v>350</v>
      </c>
      <c r="AB365" s="310">
        <v>16</v>
      </c>
      <c r="AC365" s="66">
        <v>40</v>
      </c>
      <c r="AD365" s="66"/>
      <c r="AE365" s="310">
        <v>366</v>
      </c>
      <c r="AF365" s="310" t="s">
        <v>283</v>
      </c>
      <c r="AG365" s="311" t="s">
        <v>283</v>
      </c>
      <c r="AH365" s="311">
        <v>0</v>
      </c>
      <c r="AI365" s="310">
        <v>6</v>
      </c>
      <c r="AJ365" s="310"/>
      <c r="AK365" s="841">
        <v>0.55000000000000004</v>
      </c>
      <c r="AL365" s="842" t="s">
        <v>291</v>
      </c>
      <c r="AM365" s="842">
        <v>60</v>
      </c>
      <c r="AN365" s="863">
        <v>0</v>
      </c>
      <c r="AO365" s="863">
        <v>7</v>
      </c>
      <c r="AP365" s="843">
        <v>720</v>
      </c>
      <c r="AQ365" s="843">
        <v>720</v>
      </c>
      <c r="AR365" s="843"/>
      <c r="AS365" s="843"/>
      <c r="AT365" s="843"/>
      <c r="AU365" s="843"/>
      <c r="AV365" s="844"/>
      <c r="AW365" s="208" t="str">
        <f>IFERROR(WWWW[[#This Row],['# of Water passed at source]]/WWWW[[#This Row],['# of Water tested at source]],"no test")</f>
        <v>no test</v>
      </c>
      <c r="AX365" s="211" t="str">
        <f>IFERROR(WWWW[[#This Row],['# of Water passed at HH]]/WWWW[[#This Row],['# of Water tested at HH]],"no test")</f>
        <v>no test</v>
      </c>
      <c r="AY365" s="210" t="str">
        <f>IF(AND(WWWW[[#This Row],[%of Water samples which passed at water source]]="no test",WWWW[[#This Row],[%Water samples which passed at HH]]="no test"),"No Test","Tested")</f>
        <v>No Test</v>
      </c>
      <c r="AZ36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6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65" s="211">
        <f>IF(WWWW[[#This Row],[Location Type 1]]="Village",WWWW[[#This Row],[Access to safe drinking water for Village]],WWWW[[#This Row],[Access to safe drinking water for Camp]])</f>
        <v>1</v>
      </c>
      <c r="BC365" s="209">
        <f>WWWW[[#This Row],[%Equitable and continuous access to sufficient quantity of safe drinking water]]*WWWW[[#This Row],[Total PoP ]]</f>
        <v>2810</v>
      </c>
      <c r="BD365" s="211">
        <f>IF((WWWW[[#This Row],['# Existing protected/fenced ponds ]]*250)/WWWW[[#This Row],[Total PoP ]]&gt;1,1,WWWW[[#This Row],['# Existing protected/fenced ponds ]]*250/WWWW[[#This Row],[Total PoP ]])</f>
        <v>0</v>
      </c>
      <c r="BE365" s="209">
        <f>WWWW[[#This Row],[Access to unimproved water points]]*WWWW[[#This Row],[Total PoP ]]</f>
        <v>0</v>
      </c>
      <c r="BF36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6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2810</v>
      </c>
      <c r="BH365" s="209">
        <f>WWWW[[#This Row],['#people Equitable and continuous access to sufficient quantity of domestic water borehole n ponds_2]]/500</f>
        <v>5.62</v>
      </c>
      <c r="BI365" s="208">
        <f>1-WWWW[[#This Row],[%Equitable and continuous access to sufficient quantity of domestic water borehole n ponds]]</f>
        <v>0</v>
      </c>
      <c r="BJ365" s="209">
        <f>WWWW[[#This Row],[%equitable and continuous access to sufficient quantity of safe drinking and domestic water''s GAP]]*WWWW[[#This Row],[Total PoP ]]</f>
        <v>0</v>
      </c>
      <c r="BK365" s="210">
        <f>IF(WWWW[[#This Row],[Total required water points]]-WWWW[[#This Row],['#Water points coverage]]&lt;0,0,WWWW[[#This Row],[Total required water points]]-WWWW[[#This Row],['#Water points coverage]])</f>
        <v>0.37999999999999989</v>
      </c>
      <c r="BL365" s="210">
        <f>ROUND(IF(WWWW[[#This Row],[Total PoP ]]&lt;500,1,WWWW[[#This Row],[Total PoP ]]/500),0)</f>
        <v>6</v>
      </c>
      <c r="BM365" s="210">
        <f>WWWW[[#This Row],['# Existing functional latrines]]+WWWW[[#This Row],['# Existing latrines dysfunctional]]</f>
        <v>366</v>
      </c>
      <c r="BN36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65" s="352">
        <f>WWWW[[#This Row],[% people access to functioning Latrine]]*WWWW[[#This Row],[Total PoP ]]</f>
        <v>2810</v>
      </c>
      <c r="BP36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65" s="209">
        <f>IF(WWWW[[#This Row],[Total required Latrines]]-WWWW[[#This Row],[Total '# of latrine]]&lt;0,0,WWWW[[#This Row],[Total required Latrines]]-WWWW[[#This Row],[Total '# of latrine]])</f>
        <v>0</v>
      </c>
      <c r="BR365" s="210">
        <f>ROUND(IF(WWWW[[#This Row],[Location Type 1]]="camp",WWWW[[#This Row],[Total PoP ]]/20,WWWW[[#This Row],[Total PoP ]]/6),0)</f>
        <v>141</v>
      </c>
      <c r="BS365" s="212">
        <f>IF(OR(WWWW[[#This Row],['# Existing latrines dysfunctional]]="",WWWW[[#This Row],['# Existing latrines dysfunctional]]=0),0,WWWW[[#This Row],['# Existing latrines dysfunctional]]/WWWW[[#This Row],[Total '# of latrine]])</f>
        <v>4.3715846994535519E-2</v>
      </c>
      <c r="BT36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800</v>
      </c>
      <c r="BU365" s="209">
        <f>IF(500*WWWW[[#This Row],['# Hygiene Promoters ]]&gt;WWWW[[#This Row],[Total PoP ]],WWWW[[#This Row],[Total PoP ]],500*WWWW[[#This Row],['# Hygiene Promoters ]])</f>
        <v>2810</v>
      </c>
      <c r="BV365" s="209">
        <f>IF(WWWW[[#This Row],[% of HH with access to Sanitary Pad]]&gt;=100%,1,0)</f>
        <v>0</v>
      </c>
      <c r="BW365" s="209">
        <f>IF(WWWW[[#This Row],[Total PoP ]]=0,0,IF(WWWW[[#This Row],['# Hygiene Promoters ]]=0,0,IF(WWWW[[#This Row],[Location Type 1]]="Village",IF(WWWW[[#This Row],[Total PoP ]]/WWWW[[#This Row],['# Hygiene Promoters ]]&lt;1000,1,0),IF(WWWW[[#This Row],[Total PoP ]]/WWWW[[#This Row],['# Hygiene Promoters ]]&lt;600,1,0))))</f>
        <v>1</v>
      </c>
      <c r="BX365" s="209">
        <f>IF(WWWW[[#This Row],[%HH with access to soap]]&gt;=100%,1,0)</f>
        <v>0</v>
      </c>
      <c r="BY365" s="209">
        <f>IF(WWWW[[#This Row],[% of HHs with access to Sanitary pad more than '#%]]+WWWW[[#This Row],[Ratio of Hyiene promoters to people less than '#]]+WWWW[[#This Row],[% of HHs with access to soap more than '#%]]&gt;=2,WWWW[[#This Row],[Total PoP ]],0)</f>
        <v>0</v>
      </c>
      <c r="BZ365" s="208">
        <f>WWWW[[#This Row],[People adopt basic personal and community hygiene practices]]/WWWW[[#This Row],[Total PoP ]]</f>
        <v>0</v>
      </c>
      <c r="CA365" s="212">
        <f>1-WWWW[[#This Row],[Hygiene Coverage%]]</f>
        <v>1</v>
      </c>
      <c r="CB365" s="211">
        <f>WWWW[[#This Row],['# people reached by regular dedicated hygiene promotion_5]]/WWWW[[#This Row],[Total PoP ]]</f>
        <v>1</v>
      </c>
      <c r="CC365" s="211">
        <f>IF(WWWW[[#This Row],['# HH received soaps]]/WWWW[[#This Row],[Total HH]]&gt;1,1,WWWW[[#This Row],['# HH received soaps]]/WWWW[[#This Row],[Total HH]])</f>
        <v>0.967741935483871</v>
      </c>
      <c r="CD365" s="211">
        <f>IF(WWWW[[#This Row],['# HH received Sanitary Pads]]/WWWW[[#This Row],[Total HH]]&gt;1,1,WWWW[[#This Row],['# HH received Sanitary Pads]]/WWWW[[#This Row],[Total HH]])</f>
        <v>0.967741935483871</v>
      </c>
      <c r="CE365" s="210">
        <f>WWWW[[#This Row],['# HH received soaps]]*5</f>
        <v>3600</v>
      </c>
      <c r="CF365" s="210">
        <f>WWWW[[#This Row],['# HH received Sanitary Pads]]*5</f>
        <v>3600</v>
      </c>
      <c r="CG365" s="210">
        <f>IF(WWWW[[#This Row],['# People with access to soap]]&gt;WWWW[[#This Row],['# People with access to Sanity Pads]],WWWW[[#This Row],['# People with access to soap]],WWWW[[#This Row],['# People with access to Sanity Pads]])</f>
        <v>3600</v>
      </c>
      <c r="CH365" s="209">
        <f>WWWW[[#This Row],[Total HH]]*WWWW[[#This Row],[%HHs with access to functional hand washing stations]]</f>
        <v>409.20000000000005</v>
      </c>
      <c r="CI365" s="699" t="str">
        <f>VLOOKUP(WWWW[[#This Row],[Site Name]],SiteDB6[[Site Name]:[CCCM Management]],6,FALSE)</f>
        <v>Yes</v>
      </c>
      <c r="CJ365" s="699">
        <f>VLOOKUP(WWWW[[#This Row],[Site Name]],SiteDB6[[Site Name]:[CCCM Focal Agency]],7,FALSE)</f>
        <v>0</v>
      </c>
      <c r="CK365" s="699" t="str">
        <f>VLOOKUP(WWWW[[#This Row],[Site Name]],SiteDB6[[Site Name]:[Location Type]],8,FALSE)</f>
        <v>Camp</v>
      </c>
      <c r="CL365" s="699" t="str">
        <f>VLOOKUP(WWWW[[#This Row],[Site Name]],SiteDB6[[Site Name]:[Location Type 1]],9,FALSE)</f>
        <v>Camp</v>
      </c>
      <c r="CM365" s="699" t="str">
        <f>VLOOKUP(WWWW[[#This Row],[Site Name]],SiteDB6[[Site Name]:[Type of Accommodation]],10,FALSE)</f>
        <v>Planned Camp</v>
      </c>
      <c r="CN365" s="699" t="str">
        <f>VLOOKUP(WWWW[[#This Row],[Site Name]],SiteDB6[[Site Name]:[Ethnic or GCA/NGCA]],11,FALSE)</f>
        <v>Muslim</v>
      </c>
      <c r="CO365" s="699">
        <f>VLOOKUP(WWWW[[#This Row],[Site Name]],SiteDB6[[Site Name]:[Lat]],12,FALSE)</f>
        <v>20.064226000000001</v>
      </c>
      <c r="CP365" s="699">
        <f>VLOOKUP(WWWW[[#This Row],[Site Name]],SiteDB6[[Site Name]:[Long]],13,FALSE)</f>
        <v>92.993758999999997</v>
      </c>
      <c r="CQ365" s="699" t="str">
        <f>VLOOKUP(WWWW[[#This Row],[Site Name]],SiteDB6[[Site Name]:[Pcode]],3,FALSE)</f>
        <v>MMR012CMP019</v>
      </c>
      <c r="CR365" s="660" t="str">
        <f t="shared" si="8"/>
        <v>Covered</v>
      </c>
      <c r="CS365" s="660"/>
      <c r="CT365" s="24"/>
      <c r="CU365" s="24"/>
      <c r="CV365" s="24"/>
    </row>
    <row r="366" spans="1:100" ht="15.75" customHeight="1" x14ac:dyDescent="0.25">
      <c r="A366" s="833" t="s">
        <v>3206</v>
      </c>
      <c r="B366" s="206" t="s">
        <v>447</v>
      </c>
      <c r="C366" s="206" t="s">
        <v>454</v>
      </c>
      <c r="D366" s="206" t="s">
        <v>455</v>
      </c>
      <c r="E366" s="206" t="s">
        <v>2766</v>
      </c>
      <c r="F366" s="206">
        <v>297</v>
      </c>
      <c r="G366" s="209">
        <v>1724</v>
      </c>
      <c r="H366" s="206"/>
      <c r="I366" s="206" t="s">
        <v>449</v>
      </c>
      <c r="J366" s="207">
        <v>43356</v>
      </c>
      <c r="K366" s="206">
        <v>0</v>
      </c>
      <c r="L366" s="206" t="s">
        <v>282</v>
      </c>
      <c r="M366" s="208">
        <v>0</v>
      </c>
      <c r="N366" s="208">
        <v>0</v>
      </c>
      <c r="O366" s="316">
        <v>5</v>
      </c>
      <c r="P366" s="317">
        <v>30</v>
      </c>
      <c r="Q366" s="317">
        <v>0</v>
      </c>
      <c r="R366" s="318">
        <v>0</v>
      </c>
      <c r="S366" s="318">
        <v>5</v>
      </c>
      <c r="T366" s="318"/>
      <c r="U366" s="318">
        <v>0</v>
      </c>
      <c r="V366" s="318">
        <v>0</v>
      </c>
      <c r="W366" s="318">
        <v>0</v>
      </c>
      <c r="X366" s="318">
        <v>0</v>
      </c>
      <c r="Y366" s="318">
        <v>0</v>
      </c>
      <c r="Z366" s="318"/>
      <c r="AA366" s="310">
        <v>133</v>
      </c>
      <c r="AB366" s="310">
        <v>0</v>
      </c>
      <c r="AC366" s="66">
        <v>0</v>
      </c>
      <c r="AD366" s="66"/>
      <c r="AE366" s="310">
        <v>133</v>
      </c>
      <c r="AF366" s="310" t="s">
        <v>286</v>
      </c>
      <c r="AG366" s="311" t="s">
        <v>286</v>
      </c>
      <c r="AH366" s="311">
        <v>0</v>
      </c>
      <c r="AI366" s="310">
        <v>0</v>
      </c>
      <c r="AJ366" s="310"/>
      <c r="AK366" s="841">
        <v>0</v>
      </c>
      <c r="AL366" s="842" t="s">
        <v>284</v>
      </c>
      <c r="AM366" s="842">
        <v>0</v>
      </c>
      <c r="AN366" s="863">
        <v>0</v>
      </c>
      <c r="AO366" s="863">
        <v>2</v>
      </c>
      <c r="AP366" s="843">
        <v>0</v>
      </c>
      <c r="AQ366" s="843">
        <v>0</v>
      </c>
      <c r="AR366" s="843"/>
      <c r="AS366" s="843"/>
      <c r="AT366" s="843"/>
      <c r="AU366" s="843"/>
      <c r="AV366" s="844"/>
      <c r="AW366" s="208" t="str">
        <f>IFERROR(WWWW[[#This Row],['# of Water passed at source]]/WWWW[[#This Row],['# of Water tested at source]],"no test")</f>
        <v>no test</v>
      </c>
      <c r="AX366" s="211" t="str">
        <f>IFERROR(WWWW[[#This Row],['# of Water passed at HH]]/WWWW[[#This Row],['# of Water tested at HH]],"no test")</f>
        <v>no test</v>
      </c>
      <c r="AY366" s="210" t="str">
        <f>IF(AND(WWWW[[#This Row],[%of Water samples which passed at water source]]="no test",WWWW[[#This Row],[%Water samples which passed at HH]]="no test"),"No Test","Tested")</f>
        <v>No Test</v>
      </c>
      <c r="AZ36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6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66" s="211">
        <f>IF(WWWW[[#This Row],[Location Type 1]]="Village",WWWW[[#This Row],[Access to safe drinking water for Village]],WWWW[[#This Row],[Access to safe drinking water for Camp]])</f>
        <v>1</v>
      </c>
      <c r="BC366" s="209">
        <f>WWWW[[#This Row],[%Equitable and continuous access to sufficient quantity of safe drinking water]]*WWWW[[#This Row],[Total PoP ]]</f>
        <v>1724</v>
      </c>
      <c r="BD366" s="211">
        <f>IF((WWWW[[#This Row],['# Existing protected/fenced ponds ]]*250)/WWWW[[#This Row],[Total PoP ]]&gt;1,1,WWWW[[#This Row],['# Existing protected/fenced ponds ]]*250/WWWW[[#This Row],[Total PoP ]])</f>
        <v>0</v>
      </c>
      <c r="BE366" s="209">
        <f>WWWW[[#This Row],[Access to unimproved water points]]*WWWW[[#This Row],[Total PoP ]]</f>
        <v>0</v>
      </c>
      <c r="BF36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6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1724</v>
      </c>
      <c r="BH366" s="209">
        <f>WWWW[[#This Row],['#people Equitable and continuous access to sufficient quantity of domestic water borehole n ponds_2]]/500</f>
        <v>3.448</v>
      </c>
      <c r="BI366" s="208">
        <f>1-WWWW[[#This Row],[%Equitable and continuous access to sufficient quantity of domestic water borehole n ponds]]</f>
        <v>0</v>
      </c>
      <c r="BJ366" s="209">
        <f>WWWW[[#This Row],[%equitable and continuous access to sufficient quantity of safe drinking and domestic water''s GAP]]*WWWW[[#This Row],[Total PoP ]]</f>
        <v>0</v>
      </c>
      <c r="BK366" s="210">
        <f>IF(WWWW[[#This Row],[Total required water points]]-WWWW[[#This Row],['#Water points coverage]]&lt;0,0,WWWW[[#This Row],[Total required water points]]-WWWW[[#This Row],['#Water points coverage]])</f>
        <v>0</v>
      </c>
      <c r="BL366" s="210">
        <f>ROUND(IF(WWWW[[#This Row],[Total PoP ]]&lt;500,1,WWWW[[#This Row],[Total PoP ]]/500),0)</f>
        <v>3</v>
      </c>
      <c r="BM366" s="210">
        <f>WWWW[[#This Row],['# Existing functional latrines]]+WWWW[[#This Row],['# Existing latrines dysfunctional]]</f>
        <v>133</v>
      </c>
      <c r="BN36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0.46287703016241299</v>
      </c>
      <c r="BO366" s="352">
        <f>WWWW[[#This Row],[% people access to functioning Latrine]]*WWWW[[#This Row],[Total PoP ]]</f>
        <v>798</v>
      </c>
      <c r="BP36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0.53596287703016243</v>
      </c>
      <c r="BQ366" s="209">
        <f>IF(WWWW[[#This Row],[Total required Latrines]]-WWWW[[#This Row],[Total '# of latrine]]&lt;0,0,WWWW[[#This Row],[Total required Latrines]]-WWWW[[#This Row],[Total '# of latrine]])</f>
        <v>154</v>
      </c>
      <c r="BR366" s="210">
        <f>ROUND(IF(WWWW[[#This Row],[Location Type 1]]="camp",WWWW[[#This Row],[Total PoP ]]/20,WWWW[[#This Row],[Total PoP ]]/6),0)</f>
        <v>287</v>
      </c>
      <c r="BS366" s="212">
        <f>IF(OR(WWWW[[#This Row],['# Existing latrines dysfunctional]]="",WWWW[[#This Row],['# Existing latrines dysfunctional]]=0),0,WWWW[[#This Row],['# Existing latrines dysfunctional]]/WWWW[[#This Row],[Total '# of latrine]])</f>
        <v>0</v>
      </c>
      <c r="BT36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66" s="209">
        <f>IF(500*WWWW[[#This Row],['# Hygiene Promoters ]]&gt;WWWW[[#This Row],[Total PoP ]],WWWW[[#This Row],[Total PoP ]],500*WWWW[[#This Row],['# Hygiene Promoters ]])</f>
        <v>1000</v>
      </c>
      <c r="BV366" s="209">
        <f>IF(WWWW[[#This Row],[% of HH with access to Sanitary Pad]]&gt;=100%,1,0)</f>
        <v>0</v>
      </c>
      <c r="BW366" s="209">
        <f>IF(WWWW[[#This Row],[Total PoP ]]=0,0,IF(WWWW[[#This Row],['# Hygiene Promoters ]]=0,0,IF(WWWW[[#This Row],[Location Type 1]]="Village",IF(WWWW[[#This Row],[Total PoP ]]/WWWW[[#This Row],['# Hygiene Promoters ]]&lt;1000,1,0),IF(WWWW[[#This Row],[Total PoP ]]/WWWW[[#This Row],['# Hygiene Promoters ]]&lt;600,1,0))))</f>
        <v>1</v>
      </c>
      <c r="BX366" s="209">
        <f>IF(WWWW[[#This Row],[%HH with access to soap]]&gt;=100%,1,0)</f>
        <v>0</v>
      </c>
      <c r="BY366" s="209">
        <f>IF(WWWW[[#This Row],[% of HHs with access to Sanitary pad more than '#%]]+WWWW[[#This Row],[Ratio of Hyiene promoters to people less than '#]]+WWWW[[#This Row],[% of HHs with access to soap more than '#%]]&gt;=2,WWWW[[#This Row],[Total PoP ]],0)</f>
        <v>0</v>
      </c>
      <c r="BZ366" s="208">
        <f>WWWW[[#This Row],[People adopt basic personal and community hygiene practices]]/WWWW[[#This Row],[Total PoP ]]</f>
        <v>0</v>
      </c>
      <c r="CA366" s="212">
        <f>1-WWWW[[#This Row],[Hygiene Coverage%]]</f>
        <v>1</v>
      </c>
      <c r="CB366" s="211">
        <f>WWWW[[#This Row],['# people reached by regular dedicated hygiene promotion_5]]/WWWW[[#This Row],[Total PoP ]]</f>
        <v>0.58004640371229699</v>
      </c>
      <c r="CC366" s="211">
        <f>IF(WWWW[[#This Row],['# HH received soaps]]/WWWW[[#This Row],[Total HH]]&gt;1,1,WWWW[[#This Row],['# HH received soaps]]/WWWW[[#This Row],[Total HH]])</f>
        <v>0</v>
      </c>
      <c r="CD366" s="211">
        <f>IF(WWWW[[#This Row],['# HH received Sanitary Pads]]/WWWW[[#This Row],[Total HH]]&gt;1,1,WWWW[[#This Row],['# HH received Sanitary Pads]]/WWWW[[#This Row],[Total HH]])</f>
        <v>0</v>
      </c>
      <c r="CE366" s="210">
        <f>WWWW[[#This Row],['# HH received soaps]]*5</f>
        <v>0</v>
      </c>
      <c r="CF366" s="210">
        <f>WWWW[[#This Row],['# HH received Sanitary Pads]]*5</f>
        <v>0</v>
      </c>
      <c r="CG366" s="210">
        <f>IF(WWWW[[#This Row],['# People with access to soap]]&gt;WWWW[[#This Row],['# People with access to Sanity Pads]],WWWW[[#This Row],['# People with access to soap]],WWWW[[#This Row],['# People with access to Sanity Pads]])</f>
        <v>0</v>
      </c>
      <c r="CH366" s="209">
        <f>WWWW[[#This Row],[Total HH]]*WWWW[[#This Row],[%HHs with access to functional hand washing stations]]</f>
        <v>0</v>
      </c>
      <c r="CI366" s="699">
        <f>VLOOKUP(WWWW[[#This Row],[Site Name]],SiteDB6[[Site Name]:[CCCM Management]],6,FALSE)</f>
        <v>0</v>
      </c>
      <c r="CJ366" s="699">
        <f>VLOOKUP(WWWW[[#This Row],[Site Name]],SiteDB6[[Site Name]:[CCCM Focal Agency]],7,FALSE)</f>
        <v>0</v>
      </c>
      <c r="CK366" s="699" t="str">
        <f>VLOOKUP(WWWW[[#This Row],[Site Name]],SiteDB6[[Site Name]:[Location Type]],8,FALSE)</f>
        <v>Village</v>
      </c>
      <c r="CL366" s="699" t="str">
        <f>VLOOKUP(WWWW[[#This Row],[Site Name]],SiteDB6[[Site Name]:[Location Type 1]],9,FALSE)</f>
        <v>Village</v>
      </c>
      <c r="CM366" s="699" t="str">
        <f>VLOOKUP(WWWW[[#This Row],[Site Name]],SiteDB6[[Site Name]:[Type of Accommodation]],10,FALSE)</f>
        <v>Village</v>
      </c>
      <c r="CN366" s="699" t="str">
        <f>VLOOKUP(WWWW[[#This Row],[Site Name]],SiteDB6[[Site Name]:[Ethnic or GCA/NGCA]],11,FALSE)</f>
        <v>Muslim</v>
      </c>
      <c r="CO366" s="699">
        <f>VLOOKUP(WWWW[[#This Row],[Site Name]],SiteDB6[[Site Name]:[Lat]],12,FALSE)</f>
        <v>20.2399291992188</v>
      </c>
      <c r="CP366" s="699">
        <f>VLOOKUP(WWWW[[#This Row],[Site Name]],SiteDB6[[Site Name]:[Long]],13,FALSE)</f>
        <v>92.827529907226605</v>
      </c>
      <c r="CQ366" s="699">
        <f>VLOOKUP(WWWW[[#This Row],[Site Name]],SiteDB6[[Site Name]:[Pcode]],3,FALSE)</f>
        <v>196162</v>
      </c>
      <c r="CR366" s="660" t="str">
        <f t="shared" si="8"/>
        <v>Covered</v>
      </c>
      <c r="CS366" s="660"/>
      <c r="CT366" s="24"/>
      <c r="CU366" s="24"/>
      <c r="CV366" s="24"/>
    </row>
    <row r="367" spans="1:100" ht="15.75" customHeight="1" x14ac:dyDescent="0.25">
      <c r="A367" s="833" t="s">
        <v>3206</v>
      </c>
      <c r="B367" s="206" t="s">
        <v>479</v>
      </c>
      <c r="C367" s="206" t="s">
        <v>454</v>
      </c>
      <c r="D367" s="206" t="s">
        <v>455</v>
      </c>
      <c r="E367" s="206" t="s">
        <v>580</v>
      </c>
      <c r="F367" s="206">
        <v>249</v>
      </c>
      <c r="G367" s="214">
        <v>1362</v>
      </c>
      <c r="H367" s="206"/>
      <c r="I367" s="206" t="s">
        <v>388</v>
      </c>
      <c r="J367" s="207">
        <v>43434</v>
      </c>
      <c r="K367" s="206">
        <v>0</v>
      </c>
      <c r="L367" s="206" t="s">
        <v>48</v>
      </c>
      <c r="M367" s="208">
        <v>0</v>
      </c>
      <c r="N367" s="208">
        <v>0</v>
      </c>
      <c r="O367" s="316">
        <v>0</v>
      </c>
      <c r="P367" s="317">
        <v>15</v>
      </c>
      <c r="Q367" s="317">
        <v>0</v>
      </c>
      <c r="R367" s="318">
        <v>1</v>
      </c>
      <c r="S367" s="318">
        <v>17</v>
      </c>
      <c r="T367" s="318">
        <v>1</v>
      </c>
      <c r="U367" s="318">
        <v>6</v>
      </c>
      <c r="V367" s="318">
        <v>6</v>
      </c>
      <c r="W367" s="318">
        <v>12</v>
      </c>
      <c r="X367" s="318">
        <v>9</v>
      </c>
      <c r="Y367" s="318"/>
      <c r="Z367" s="318"/>
      <c r="AA367" s="310">
        <v>249</v>
      </c>
      <c r="AB367" s="310">
        <v>0</v>
      </c>
      <c r="AC367" s="66">
        <v>0</v>
      </c>
      <c r="AD367" s="66"/>
      <c r="AE367" s="310">
        <v>249</v>
      </c>
      <c r="AF367" s="310" t="s">
        <v>332</v>
      </c>
      <c r="AG367" s="311" t="s">
        <v>283</v>
      </c>
      <c r="AH367" s="311"/>
      <c r="AI367" s="310"/>
      <c r="AJ367" s="310"/>
      <c r="AK367" s="841">
        <v>0</v>
      </c>
      <c r="AL367" s="842" t="s">
        <v>284</v>
      </c>
      <c r="AM367" s="842">
        <v>0</v>
      </c>
      <c r="AN367" s="863">
        <v>0</v>
      </c>
      <c r="AO367" s="863">
        <v>4</v>
      </c>
      <c r="AP367" s="843">
        <v>0</v>
      </c>
      <c r="AQ367" s="843">
        <v>0</v>
      </c>
      <c r="AR367" s="843"/>
      <c r="AS367" s="843"/>
      <c r="AT367" s="843"/>
      <c r="AU367" s="843">
        <v>4</v>
      </c>
      <c r="AV367" s="844"/>
      <c r="AW367" s="208">
        <f>IFERROR(WWWW[[#This Row],['# of Water passed at source]]/WWWW[[#This Row],['# of Water tested at source]],"no test")</f>
        <v>1</v>
      </c>
      <c r="AX367" s="211">
        <f>IFERROR(WWWW[[#This Row],['# of Water passed at HH]]/WWWW[[#This Row],['# of Water tested at HH]],"no test")</f>
        <v>0.75</v>
      </c>
      <c r="AY367" s="210" t="str">
        <f>IF(AND(WWWW[[#This Row],[%of Water samples which passed at water source]]="no test",WWWW[[#This Row],[%Water samples which passed at HH]]="no test"),"No Test","Tested")</f>
        <v>Tested</v>
      </c>
      <c r="AZ36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6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67" s="211">
        <f>IF(WWWW[[#This Row],[Location Type 1]]="Village",WWWW[[#This Row],[Access to safe drinking water for Village]],WWWW[[#This Row],[Access to safe drinking water for Camp]])</f>
        <v>1</v>
      </c>
      <c r="BC367" s="209">
        <f>WWWW[[#This Row],[%Equitable and continuous access to sufficient quantity of safe drinking water]]*WWWW[[#This Row],[Total PoP ]]</f>
        <v>1362</v>
      </c>
      <c r="BD367" s="211">
        <f>IF((WWWW[[#This Row],['# Existing protected/fenced ponds ]]*250)/WWWW[[#This Row],[Total PoP ]]&gt;1,1,WWWW[[#This Row],['# Existing protected/fenced ponds ]]*250/WWWW[[#This Row],[Total PoP ]])</f>
        <v>0.18355359765051396</v>
      </c>
      <c r="BE367" s="209">
        <f>WWWW[[#This Row],[Access to unimproved water points]]*WWWW[[#This Row],[Total PoP ]]</f>
        <v>250.00000000000003</v>
      </c>
      <c r="BF36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6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1362</v>
      </c>
      <c r="BH367" s="209">
        <f>WWWW[[#This Row],['#people Equitable and continuous access to sufficient quantity of domestic water borehole n ponds_2]]/500</f>
        <v>2.7240000000000002</v>
      </c>
      <c r="BI367" s="208">
        <f>1-WWWW[[#This Row],[%Equitable and continuous access to sufficient quantity of domestic water borehole n ponds]]</f>
        <v>0</v>
      </c>
      <c r="BJ367" s="209">
        <f>WWWW[[#This Row],[%equitable and continuous access to sufficient quantity of safe drinking and domestic water''s GAP]]*WWWW[[#This Row],[Total PoP ]]</f>
        <v>0</v>
      </c>
      <c r="BK367" s="210">
        <f>IF(WWWW[[#This Row],[Total required water points]]-WWWW[[#This Row],['#Water points coverage]]&lt;0,0,WWWW[[#This Row],[Total required water points]]-WWWW[[#This Row],['#Water points coverage]])</f>
        <v>0.2759999999999998</v>
      </c>
      <c r="BL367" s="210">
        <f>ROUND(IF(WWWW[[#This Row],[Total PoP ]]&lt;500,1,WWWW[[#This Row],[Total PoP ]]/500),0)</f>
        <v>3</v>
      </c>
      <c r="BM367" s="210">
        <f>WWWW[[#This Row],['# Existing functional latrines]]+WWWW[[#This Row],['# Existing latrines dysfunctional]]</f>
        <v>249</v>
      </c>
      <c r="BN36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67" s="352">
        <f>WWWW[[#This Row],[% people access to functioning Latrine]]*WWWW[[#This Row],[Total PoP ]]</f>
        <v>1362</v>
      </c>
      <c r="BP36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67" s="209">
        <f>IF(WWWW[[#This Row],[Total required Latrines]]-WWWW[[#This Row],[Total '# of latrine]]&lt;0,0,WWWW[[#This Row],[Total required Latrines]]-WWWW[[#This Row],[Total '# of latrine]])</f>
        <v>0</v>
      </c>
      <c r="BR367" s="210">
        <f>ROUND(IF(WWWW[[#This Row],[Location Type 1]]="camp",WWWW[[#This Row],[Total PoP ]]/20,WWWW[[#This Row],[Total PoP ]]/6),0)</f>
        <v>227</v>
      </c>
      <c r="BS367" s="212">
        <f>IF(OR(WWWW[[#This Row],['# Existing latrines dysfunctional]]="",WWWW[[#This Row],['# Existing latrines dysfunctional]]=0),0,WWWW[[#This Row],['# Existing latrines dysfunctional]]/WWWW[[#This Row],[Total '# of latrine]])</f>
        <v>0</v>
      </c>
      <c r="BT36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67" s="209">
        <f>IF(500*WWWW[[#This Row],['# Hygiene Promoters ]]&gt;WWWW[[#This Row],[Total PoP ]],WWWW[[#This Row],[Total PoP ]],500*WWWW[[#This Row],['# Hygiene Promoters ]])</f>
        <v>1362</v>
      </c>
      <c r="BV367" s="209">
        <f>IF(WWWW[[#This Row],[% of HH with access to Sanitary Pad]]&gt;=100%,1,0)</f>
        <v>0</v>
      </c>
      <c r="BW367" s="209">
        <f>IF(WWWW[[#This Row],[Total PoP ]]=0,0,IF(WWWW[[#This Row],['# Hygiene Promoters ]]=0,0,IF(WWWW[[#This Row],[Location Type 1]]="Village",IF(WWWW[[#This Row],[Total PoP ]]/WWWW[[#This Row],['# Hygiene Promoters ]]&lt;1000,1,0),IF(WWWW[[#This Row],[Total PoP ]]/WWWW[[#This Row],['# Hygiene Promoters ]]&lt;600,1,0))))</f>
        <v>1</v>
      </c>
      <c r="BX367" s="209">
        <f>IF(WWWW[[#This Row],[%HH with access to soap]]&gt;=100%,1,0)</f>
        <v>0</v>
      </c>
      <c r="BY367" s="209">
        <f>IF(WWWW[[#This Row],[% of HHs with access to Sanitary pad more than '#%]]+WWWW[[#This Row],[Ratio of Hyiene promoters to people less than '#]]+WWWW[[#This Row],[% of HHs with access to soap more than '#%]]&gt;=2,WWWW[[#This Row],[Total PoP ]],0)</f>
        <v>0</v>
      </c>
      <c r="BZ367" s="208">
        <f>WWWW[[#This Row],[People adopt basic personal and community hygiene practices]]/WWWW[[#This Row],[Total PoP ]]</f>
        <v>0</v>
      </c>
      <c r="CA367" s="212">
        <f>1-WWWW[[#This Row],[Hygiene Coverage%]]</f>
        <v>1</v>
      </c>
      <c r="CB367" s="211">
        <f>WWWW[[#This Row],['# people reached by regular dedicated hygiene promotion_5]]/WWWW[[#This Row],[Total PoP ]]</f>
        <v>1</v>
      </c>
      <c r="CC367" s="211">
        <f>IF(WWWW[[#This Row],['# HH received soaps]]/WWWW[[#This Row],[Total HH]]&gt;1,1,WWWW[[#This Row],['# HH received soaps]]/WWWW[[#This Row],[Total HH]])</f>
        <v>0</v>
      </c>
      <c r="CD367" s="211">
        <f>IF(WWWW[[#This Row],['# HH received Sanitary Pads]]/WWWW[[#This Row],[Total HH]]&gt;1,1,WWWW[[#This Row],['# HH received Sanitary Pads]]/WWWW[[#This Row],[Total HH]])</f>
        <v>0</v>
      </c>
      <c r="CE367" s="210">
        <f>WWWW[[#This Row],['# HH received soaps]]*5</f>
        <v>0</v>
      </c>
      <c r="CF367" s="210">
        <f>WWWW[[#This Row],['# HH received Sanitary Pads]]*5</f>
        <v>0</v>
      </c>
      <c r="CG367" s="210">
        <f>IF(WWWW[[#This Row],['# People with access to soap]]&gt;WWWW[[#This Row],['# People with access to Sanity Pads]],WWWW[[#This Row],['# People with access to soap]],WWWW[[#This Row],['# People with access to Sanity Pads]])</f>
        <v>0</v>
      </c>
      <c r="CH367" s="209">
        <f>WWWW[[#This Row],[Total HH]]*WWWW[[#This Row],[%HHs with access to functional hand washing stations]]</f>
        <v>0</v>
      </c>
      <c r="CI367" s="699">
        <f>VLOOKUP(WWWW[[#This Row],[Site Name]],SiteDB6[[Site Name]:[CCCM Management]],6,FALSE)</f>
        <v>0</v>
      </c>
      <c r="CJ367" s="699">
        <f>VLOOKUP(WWWW[[#This Row],[Site Name]],SiteDB6[[Site Name]:[CCCM Focal Agency]],7,FALSE)</f>
        <v>0</v>
      </c>
      <c r="CK367" s="699" t="str">
        <f>VLOOKUP(WWWW[[#This Row],[Site Name]],SiteDB6[[Site Name]:[Location Type]],8,FALSE)</f>
        <v>Village</v>
      </c>
      <c r="CL367" s="699" t="str">
        <f>VLOOKUP(WWWW[[#This Row],[Site Name]],SiteDB6[[Site Name]:[Location Type 1]],9,FALSE)</f>
        <v>Village</v>
      </c>
      <c r="CM367" s="699" t="str">
        <f>VLOOKUP(WWWW[[#This Row],[Site Name]],SiteDB6[[Site Name]:[Type of Accommodation]],10,FALSE)</f>
        <v>Relocated</v>
      </c>
      <c r="CN367" s="699" t="str">
        <f>VLOOKUP(WWWW[[#This Row],[Site Name]],SiteDB6[[Site Name]:[Ethnic or GCA/NGCA]],11,FALSE)</f>
        <v>Rakhine</v>
      </c>
      <c r="CO367" s="699">
        <f>VLOOKUP(WWWW[[#This Row],[Site Name]],SiteDB6[[Site Name]:[Lat]],12,FALSE)</f>
        <v>20.151471999999998</v>
      </c>
      <c r="CP367" s="699">
        <f>VLOOKUP(WWWW[[#This Row],[Site Name]],SiteDB6[[Site Name]:[Long]],13,FALSE)</f>
        <v>92.887277999999995</v>
      </c>
      <c r="CQ367" s="699" t="str">
        <f>VLOOKUP(WWWW[[#This Row],[Site Name]],SiteDB6[[Site Name]:[Pcode]],3,FALSE)</f>
        <v>MMR012CMP111</v>
      </c>
      <c r="CR367" s="660" t="str">
        <f t="shared" si="8"/>
        <v>Covered</v>
      </c>
      <c r="CS367" s="660"/>
      <c r="CT367" s="24"/>
      <c r="CU367" s="24"/>
      <c r="CV367" s="24"/>
    </row>
    <row r="368" spans="1:100" ht="15.75" customHeight="1" x14ac:dyDescent="0.25">
      <c r="A368" s="833" t="s">
        <v>3206</v>
      </c>
      <c r="B368" s="206" t="s">
        <v>527</v>
      </c>
      <c r="C368" s="206" t="s">
        <v>454</v>
      </c>
      <c r="D368" s="206" t="s">
        <v>455</v>
      </c>
      <c r="E368" s="206" t="s">
        <v>581</v>
      </c>
      <c r="F368" s="206">
        <v>420</v>
      </c>
      <c r="G368" s="209">
        <v>1984</v>
      </c>
      <c r="H368" s="206" t="s">
        <v>286</v>
      </c>
      <c r="I368" s="206" t="s">
        <v>47</v>
      </c>
      <c r="J368" s="207">
        <v>44104</v>
      </c>
      <c r="K368" s="206">
        <v>0</v>
      </c>
      <c r="L368" s="206" t="s">
        <v>282</v>
      </c>
      <c r="M368" s="208">
        <v>0</v>
      </c>
      <c r="N368" s="208">
        <v>0</v>
      </c>
      <c r="O368" s="316">
        <v>0</v>
      </c>
      <c r="P368" s="317">
        <v>0</v>
      </c>
      <c r="Q368" s="317">
        <v>0</v>
      </c>
      <c r="R368" s="318">
        <v>1</v>
      </c>
      <c r="S368" s="318">
        <v>0</v>
      </c>
      <c r="T368" s="318"/>
      <c r="U368" s="318"/>
      <c r="V368" s="318"/>
      <c r="W368" s="318"/>
      <c r="X368" s="318"/>
      <c r="Y368" s="318">
        <v>0</v>
      </c>
      <c r="Z368" s="318" t="s">
        <v>2783</v>
      </c>
      <c r="AA368" s="310">
        <v>420</v>
      </c>
      <c r="AB368" s="310">
        <v>0</v>
      </c>
      <c r="AC368" s="66">
        <v>0</v>
      </c>
      <c r="AD368" s="66"/>
      <c r="AE368" s="310"/>
      <c r="AF368" s="310" t="s">
        <v>283</v>
      </c>
      <c r="AG368" s="311" t="s">
        <v>1358</v>
      </c>
      <c r="AH368" s="311">
        <v>0</v>
      </c>
      <c r="AI368" s="310">
        <v>0</v>
      </c>
      <c r="AJ368" s="310"/>
      <c r="AK368" s="841">
        <v>1</v>
      </c>
      <c r="AL368" s="842" t="s">
        <v>284</v>
      </c>
      <c r="AM368" s="842">
        <v>420</v>
      </c>
      <c r="AN368" s="863">
        <v>0</v>
      </c>
      <c r="AO368" s="863">
        <v>1</v>
      </c>
      <c r="AP368" s="843"/>
      <c r="AQ368" s="843"/>
      <c r="AR368" s="843"/>
      <c r="AS368" s="843"/>
      <c r="AT368" s="843"/>
      <c r="AU368" s="843"/>
      <c r="AV368" s="844"/>
      <c r="AW368" s="208" t="str">
        <f>IFERROR(WWWW[[#This Row],['# of Water passed at source]]/WWWW[[#This Row],['# of Water tested at source]],"no test")</f>
        <v>no test</v>
      </c>
      <c r="AX368" s="211" t="str">
        <f>IFERROR(WWWW[[#This Row],['# of Water passed at HH]]/WWWW[[#This Row],['# of Water tested at HH]],"no test")</f>
        <v>no test</v>
      </c>
      <c r="AY368" s="210" t="str">
        <f>IF(AND(WWWW[[#This Row],[%of Water samples which passed at water source]]="no test",WWWW[[#This Row],[%Water samples which passed at HH]]="no test"),"No Test","Tested")</f>
        <v>No Test</v>
      </c>
      <c r="AZ36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6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68" s="211">
        <f>IF(WWWW[[#This Row],[Location Type 1]]="Village",WWWW[[#This Row],[Access to safe drinking water for Village]],WWWW[[#This Row],[Access to safe drinking water for Camp]])</f>
        <v>0</v>
      </c>
      <c r="BC368" s="209">
        <f>WWWW[[#This Row],[%Equitable and continuous access to sufficient quantity of safe drinking water]]*WWWW[[#This Row],[Total PoP ]]</f>
        <v>0</v>
      </c>
      <c r="BD368" s="211">
        <f>IF((WWWW[[#This Row],['# Existing protected/fenced ponds ]]*250)/WWWW[[#This Row],[Total PoP ]]&gt;1,1,WWWW[[#This Row],['# Existing protected/fenced ponds ]]*250/WWWW[[#This Row],[Total PoP ]])</f>
        <v>0.12600806451612903</v>
      </c>
      <c r="BE368" s="209">
        <f>WWWW[[#This Row],[Access to unimproved water points]]*WWWW[[#This Row],[Total PoP ]]</f>
        <v>250</v>
      </c>
      <c r="BF36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0.12600806451612903</v>
      </c>
      <c r="BG36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H368" s="209">
        <f>WWWW[[#This Row],['#people Equitable and continuous access to sufficient quantity of domestic water borehole n ponds_2]]/500</f>
        <v>0.5</v>
      </c>
      <c r="BI368" s="208">
        <f>1-WWWW[[#This Row],[%Equitable and continuous access to sufficient quantity of domestic water borehole n ponds]]</f>
        <v>0.873991935483871</v>
      </c>
      <c r="BJ368" s="209">
        <f>WWWW[[#This Row],[%equitable and continuous access to sufficient quantity of safe drinking and domestic water''s GAP]]*WWWW[[#This Row],[Total PoP ]]</f>
        <v>1734</v>
      </c>
      <c r="BK368" s="210">
        <f>IF(WWWW[[#This Row],[Total required water points]]-WWWW[[#This Row],['#Water points coverage]]&lt;0,0,WWWW[[#This Row],[Total required water points]]-WWWW[[#This Row],['#Water points coverage]])</f>
        <v>3.5</v>
      </c>
      <c r="BL368" s="210">
        <f>ROUND(IF(WWWW[[#This Row],[Total PoP ]]&lt;500,1,WWWW[[#This Row],[Total PoP ]]/500),0)</f>
        <v>4</v>
      </c>
      <c r="BM368" s="210">
        <f>WWWW[[#This Row],['# Existing functional latrines]]+WWWW[[#This Row],['# Existing latrines dysfunctional]]</f>
        <v>420</v>
      </c>
      <c r="BN36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68" s="352">
        <f>WWWW[[#This Row],[% people access to functioning Latrine]]*WWWW[[#This Row],[Total PoP ]]</f>
        <v>1984</v>
      </c>
      <c r="BP36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68" s="209">
        <f>IF(WWWW[[#This Row],[Total required Latrines]]-WWWW[[#This Row],[Total '# of latrine]]&lt;0,0,WWWW[[#This Row],[Total required Latrines]]-WWWW[[#This Row],[Total '# of latrine]])</f>
        <v>0</v>
      </c>
      <c r="BR368" s="210">
        <f>ROUND(IF(WWWW[[#This Row],[Location Type 1]]="camp",WWWW[[#This Row],[Total PoP ]]/20,WWWW[[#This Row],[Total PoP ]]/6),0)</f>
        <v>331</v>
      </c>
      <c r="BS368" s="212">
        <f>IF(OR(WWWW[[#This Row],['# Existing latrines dysfunctional]]="",WWWW[[#This Row],['# Existing latrines dysfunctional]]=0),0,WWWW[[#This Row],['# Existing latrines dysfunctional]]/WWWW[[#This Row],[Total '# of latrine]])</f>
        <v>0</v>
      </c>
      <c r="BT36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68" s="209">
        <f>IF(500*WWWW[[#This Row],['# Hygiene Promoters ]]&gt;WWWW[[#This Row],[Total PoP ]],WWWW[[#This Row],[Total PoP ]],500*WWWW[[#This Row],['# Hygiene Promoters ]])</f>
        <v>500</v>
      </c>
      <c r="BV368" s="209">
        <f>IF(WWWW[[#This Row],[% of HH with access to Sanitary Pad]]&gt;=100%,1,0)</f>
        <v>0</v>
      </c>
      <c r="BW368" s="209">
        <f>IF(WWWW[[#This Row],[Total PoP ]]=0,0,IF(WWWW[[#This Row],['# Hygiene Promoters ]]=0,0,IF(WWWW[[#This Row],[Location Type 1]]="Village",IF(WWWW[[#This Row],[Total PoP ]]/WWWW[[#This Row],['# Hygiene Promoters ]]&lt;1000,1,0),IF(WWWW[[#This Row],[Total PoP ]]/WWWW[[#This Row],['# Hygiene Promoters ]]&lt;600,1,0))))</f>
        <v>0</v>
      </c>
      <c r="BX368" s="209">
        <f>IF(WWWW[[#This Row],[%HH with access to soap]]&gt;=100%,1,0)</f>
        <v>0</v>
      </c>
      <c r="BY368" s="209">
        <f>IF(WWWW[[#This Row],[% of HHs with access to Sanitary pad more than '#%]]+WWWW[[#This Row],[Ratio of Hyiene promoters to people less than '#]]+WWWW[[#This Row],[% of HHs with access to soap more than '#%]]&gt;=2,WWWW[[#This Row],[Total PoP ]],0)</f>
        <v>0</v>
      </c>
      <c r="BZ368" s="208">
        <f>WWWW[[#This Row],[People adopt basic personal and community hygiene practices]]/WWWW[[#This Row],[Total PoP ]]</f>
        <v>0</v>
      </c>
      <c r="CA368" s="212">
        <f>1-WWWW[[#This Row],[Hygiene Coverage%]]</f>
        <v>1</v>
      </c>
      <c r="CB368" s="211">
        <f>WWWW[[#This Row],['# people reached by regular dedicated hygiene promotion_5]]/WWWW[[#This Row],[Total PoP ]]</f>
        <v>0.25201612903225806</v>
      </c>
      <c r="CC368" s="211">
        <f>IF(WWWW[[#This Row],['# HH received soaps]]/WWWW[[#This Row],[Total HH]]&gt;1,1,WWWW[[#This Row],['# HH received soaps]]/WWWW[[#This Row],[Total HH]])</f>
        <v>0</v>
      </c>
      <c r="CD368" s="211">
        <f>IF(WWWW[[#This Row],['# HH received Sanitary Pads]]/WWWW[[#This Row],[Total HH]]&gt;1,1,WWWW[[#This Row],['# HH received Sanitary Pads]]/WWWW[[#This Row],[Total HH]])</f>
        <v>0</v>
      </c>
      <c r="CE368" s="210">
        <f>WWWW[[#This Row],['# HH received soaps]]*5</f>
        <v>0</v>
      </c>
      <c r="CF368" s="210">
        <f>WWWW[[#This Row],['# HH received Sanitary Pads]]*5</f>
        <v>0</v>
      </c>
      <c r="CG368" s="210">
        <f>IF(WWWW[[#This Row],['# People with access to soap]]&gt;WWWW[[#This Row],['# People with access to Sanity Pads]],WWWW[[#This Row],['# People with access to soap]],WWWW[[#This Row],['# People with access to Sanity Pads]])</f>
        <v>0</v>
      </c>
      <c r="CH368" s="209">
        <f>WWWW[[#This Row],[Total HH]]*WWWW[[#This Row],[%HHs with access to functional hand washing stations]]</f>
        <v>420</v>
      </c>
      <c r="CI368" s="699">
        <f>VLOOKUP(WWWW[[#This Row],[Site Name]],SiteDB6[[Site Name]:[CCCM Management]],6,FALSE)</f>
        <v>0</v>
      </c>
      <c r="CJ368" s="699">
        <f>VLOOKUP(WWWW[[#This Row],[Site Name]],SiteDB6[[Site Name]:[CCCM Focal Agency]],7,FALSE)</f>
        <v>0</v>
      </c>
      <c r="CK368" s="699" t="str">
        <f>VLOOKUP(WWWW[[#This Row],[Site Name]],SiteDB6[[Site Name]:[Location Type]],8,FALSE)</f>
        <v>Village</v>
      </c>
      <c r="CL368" s="699" t="str">
        <f>VLOOKUP(WWWW[[#This Row],[Site Name]],SiteDB6[[Site Name]:[Location Type 1]],9,FALSE)</f>
        <v>Village</v>
      </c>
      <c r="CM368" s="699" t="str">
        <f>VLOOKUP(WWWW[[#This Row],[Site Name]],SiteDB6[[Site Name]:[Type of Accommodation]],10,FALSE)</f>
        <v>Relocated</v>
      </c>
      <c r="CN368" s="699" t="str">
        <f>VLOOKUP(WWWW[[#This Row],[Site Name]],SiteDB6[[Site Name]:[Ethnic or GCA/NGCA]],11,FALSE)</f>
        <v>Rakhine</v>
      </c>
      <c r="CO368" s="699">
        <f>VLOOKUP(WWWW[[#This Row],[Site Name]],SiteDB6[[Site Name]:[Lat]],12,FALSE)</f>
        <v>20.151471999999998</v>
      </c>
      <c r="CP368" s="699">
        <f>VLOOKUP(WWWW[[#This Row],[Site Name]],SiteDB6[[Site Name]:[Long]],13,FALSE)</f>
        <v>92.887277999999995</v>
      </c>
      <c r="CQ368" s="699" t="str">
        <f>VLOOKUP(WWWW[[#This Row],[Site Name]],SiteDB6[[Site Name]:[Pcode]],3,FALSE)</f>
        <v>MMR012CMP112</v>
      </c>
      <c r="CR368" s="660" t="str">
        <f t="shared" si="8"/>
        <v>Covered</v>
      </c>
      <c r="CS368" s="660"/>
      <c r="CT368" s="24"/>
      <c r="CU368" s="24"/>
      <c r="CV368" s="24"/>
    </row>
    <row r="369" spans="1:100" ht="15.75" customHeight="1" x14ac:dyDescent="0.25">
      <c r="A369" s="833" t="s">
        <v>3206</v>
      </c>
      <c r="B369" s="206" t="s">
        <v>559</v>
      </c>
      <c r="C369" s="206" t="s">
        <v>454</v>
      </c>
      <c r="D369" s="206" t="s">
        <v>560</v>
      </c>
      <c r="E369" s="206" t="s">
        <v>561</v>
      </c>
      <c r="F369" s="206">
        <v>713</v>
      </c>
      <c r="G369" s="209">
        <v>2835</v>
      </c>
      <c r="H369" s="206"/>
      <c r="I369" s="206" t="s">
        <v>388</v>
      </c>
      <c r="J369" s="207">
        <v>43465</v>
      </c>
      <c r="K369" s="206">
        <v>0</v>
      </c>
      <c r="L369" s="206" t="s">
        <v>48</v>
      </c>
      <c r="M369" s="208">
        <v>0.47</v>
      </c>
      <c r="N369" s="208">
        <v>0.105</v>
      </c>
      <c r="O369" s="316">
        <v>0</v>
      </c>
      <c r="P369" s="317">
        <v>0</v>
      </c>
      <c r="Q369" s="317">
        <f>20*WWWW[[#This Row],[Total PoP ]]</f>
        <v>56700</v>
      </c>
      <c r="R369" s="318">
        <v>6</v>
      </c>
      <c r="S369" s="318">
        <v>0</v>
      </c>
      <c r="T369" s="318"/>
      <c r="U369" s="877">
        <v>85</v>
      </c>
      <c r="V369" s="877">
        <v>48</v>
      </c>
      <c r="W369" s="877">
        <v>90</v>
      </c>
      <c r="X369" s="877">
        <v>69</v>
      </c>
      <c r="Y369" s="318"/>
      <c r="Z369" s="318"/>
      <c r="AA369" s="310">
        <v>197</v>
      </c>
      <c r="AB369" s="310">
        <v>0</v>
      </c>
      <c r="AC369" s="66"/>
      <c r="AD369" s="66" t="s">
        <v>2782</v>
      </c>
      <c r="AE369" s="310">
        <v>0</v>
      </c>
      <c r="AF369" s="310" t="s">
        <v>283</v>
      </c>
      <c r="AG369" s="311" t="s">
        <v>283</v>
      </c>
      <c r="AH369" s="311">
        <v>30</v>
      </c>
      <c r="AI369" s="310"/>
      <c r="AJ369" s="310"/>
      <c r="AK369" s="841">
        <v>1</v>
      </c>
      <c r="AL369" s="842" t="s">
        <v>376</v>
      </c>
      <c r="AM369" s="842">
        <v>0</v>
      </c>
      <c r="AN369" s="863">
        <v>4</v>
      </c>
      <c r="AO369" s="863">
        <v>8</v>
      </c>
      <c r="AP369" s="843">
        <v>713</v>
      </c>
      <c r="AQ369" s="843">
        <v>713</v>
      </c>
      <c r="AR369" s="843"/>
      <c r="AS369" s="843"/>
      <c r="AT369" s="843">
        <v>0</v>
      </c>
      <c r="AU369" s="843">
        <v>28</v>
      </c>
      <c r="AV369" s="844"/>
      <c r="AW369" s="208">
        <f>IFERROR(WWWW[[#This Row],['# of Water passed at source]]/WWWW[[#This Row],['# of Water tested at source]],"no test")</f>
        <v>0.56470588235294117</v>
      </c>
      <c r="AX369" s="211">
        <f>IFERROR(WWWW[[#This Row],['# of Water passed at HH]]/WWWW[[#This Row],['# of Water tested at HH]],"no test")</f>
        <v>0.76666666666666672</v>
      </c>
      <c r="AY369" s="210" t="str">
        <f>IF(AND(WWWW[[#This Row],[%of Water samples which passed at water source]]="no test",WWWW[[#This Row],[%Water samples which passed at HH]]="no test"),"No Test","Tested")</f>
        <v>Tested</v>
      </c>
      <c r="AZ36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6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69" s="211">
        <f>IF(WWWW[[#This Row],[Location Type 1]]="Village",WWWW[[#This Row],[Access to safe drinking water for Village]],WWWW[[#This Row],[Access to safe drinking water for Camp]])</f>
        <v>1</v>
      </c>
      <c r="BC369" s="209">
        <f>WWWW[[#This Row],[%Equitable and continuous access to sufficient quantity of safe drinking water]]*WWWW[[#This Row],[Total PoP ]]</f>
        <v>2835</v>
      </c>
      <c r="BD369" s="211">
        <f>IF((WWWW[[#This Row],['# Existing protected/fenced ponds ]]*250)/WWWW[[#This Row],[Total PoP ]]&gt;1,1,WWWW[[#This Row],['# Existing protected/fenced ponds ]]*250/WWWW[[#This Row],[Total PoP ]])</f>
        <v>0.52910052910052907</v>
      </c>
      <c r="BE369" s="209">
        <f>WWWW[[#This Row],[Access to unimproved water points]]*WWWW[[#This Row],[Total PoP ]]</f>
        <v>1500</v>
      </c>
      <c r="BF36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6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2835</v>
      </c>
      <c r="BH369" s="209">
        <f>ROUND(WWWW[[#This Row],['#people Equitable and continuous access to sufficient quantity of domestic water borehole n ponds_2]]/500,0)</f>
        <v>6</v>
      </c>
      <c r="BI369" s="208">
        <f>1-WWWW[[#This Row],[%Equitable and continuous access to sufficient quantity of domestic water borehole n ponds]]</f>
        <v>0</v>
      </c>
      <c r="BJ369" s="209">
        <f>WWWW[[#This Row],[%equitable and continuous access to sufficient quantity of safe drinking and domestic water''s GAP]]*WWWW[[#This Row],[Total PoP ]]</f>
        <v>0</v>
      </c>
      <c r="BK369" s="210">
        <f>IF(WWWW[[#This Row],[Total required water points]]-WWWW[[#This Row],['#Water points coverage]]&lt;0,0,WWWW[[#This Row],[Total required water points]]-WWWW[[#This Row],['#Water points coverage]])</f>
        <v>0</v>
      </c>
      <c r="BL369" s="210">
        <f>ROUND(IF(WWWW[[#This Row],[Total PoP ]]&lt;500,1,WWWW[[#This Row],[Total PoP ]]/500),0)</f>
        <v>6</v>
      </c>
      <c r="BM369" s="210">
        <f>WWWW[[#This Row],['# Existing functional latrines]]+WWWW[[#This Row],['# Existing latrines dysfunctional]]</f>
        <v>197</v>
      </c>
      <c r="BN36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69" s="352">
        <f>WWWW[[#This Row],[% people access to functioning Latrine]]*WWWW[[#This Row],[Total PoP ]]</f>
        <v>2835</v>
      </c>
      <c r="BP36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69" s="209">
        <f>IF(WWWW[[#This Row],[Total required Latrines]]-WWWW[[#This Row],[Total '# of latrine]]&lt;0,0,WWWW[[#This Row],[Total required Latrines]]-WWWW[[#This Row],[Total '# of latrine]])</f>
        <v>0</v>
      </c>
      <c r="BR369" s="210">
        <f>ROUND(IF(WWWW[[#This Row],[Location Type 1]]="camp",WWWW[[#This Row],[Total PoP ]]/20,WWWW[[#This Row],[Total PoP ]]/6),0)</f>
        <v>142</v>
      </c>
      <c r="BS369" s="212">
        <f>IF(OR(WWWW[[#This Row],['# Existing latrines dysfunctional]]="",WWWW[[#This Row],['# Existing latrines dysfunctional]]=0),0,WWWW[[#This Row],['# Existing latrines dysfunctional]]/WWWW[[#This Row],[Total '# of latrine]])</f>
        <v>0</v>
      </c>
      <c r="BT36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69" s="209">
        <f>IF(500*WWWW[[#This Row],['# Hygiene Promoters ]]&gt;WWWW[[#This Row],[Total PoP ]],WWWW[[#This Row],[Total PoP ]],500*WWWW[[#This Row],['# Hygiene Promoters ]])</f>
        <v>2835</v>
      </c>
      <c r="BV369" s="209">
        <f>IF(WWWW[[#This Row],[% of HH with access to Sanitary Pad]]&gt;=100%,1,0)</f>
        <v>1</v>
      </c>
      <c r="BW369" s="209">
        <f>IF(WWWW[[#This Row],[Total PoP ]]=0,0,IF(WWWW[[#This Row],['# Hygiene Promoters ]]=0,0,IF(WWWW[[#This Row],[Location Type 1]]="Village",IF(WWWW[[#This Row],[Total PoP ]]/WWWW[[#This Row],['# Hygiene Promoters ]]&lt;1000,1,0),IF(WWWW[[#This Row],[Total PoP ]]/WWWW[[#This Row],['# Hygiene Promoters ]]&lt;600,1,0))))</f>
        <v>1</v>
      </c>
      <c r="BX369" s="209">
        <f>IF(WWWW[[#This Row],[%HH with access to soap]]&gt;=100%,1,0)</f>
        <v>1</v>
      </c>
      <c r="BY369" s="209">
        <f>IF(WWWW[[#This Row],[% of HHs with access to Sanitary pad more than '#%]]+WWWW[[#This Row],[Ratio of Hyiene promoters to people less than '#]]+WWWW[[#This Row],[% of HHs with access to soap more than '#%]]&gt;=2,WWWW[[#This Row],[Total PoP ]],0)</f>
        <v>2835</v>
      </c>
      <c r="BZ369" s="208">
        <f>WWWW[[#This Row],[People adopt basic personal and community hygiene practices]]/WWWW[[#This Row],[Total PoP ]]</f>
        <v>1</v>
      </c>
      <c r="CA369" s="212">
        <f>1-WWWW[[#This Row],[Hygiene Coverage%]]</f>
        <v>0</v>
      </c>
      <c r="CB369" s="211">
        <f>WWWW[[#This Row],['# people reached by regular dedicated hygiene promotion_5]]/WWWW[[#This Row],[Total PoP ]]</f>
        <v>1</v>
      </c>
      <c r="CC369" s="211">
        <f>IF(WWWW[[#This Row],['# HH received soaps]]/WWWW[[#This Row],[Total HH]]&gt;1,1,WWWW[[#This Row],['# HH received soaps]]/WWWW[[#This Row],[Total HH]])</f>
        <v>1</v>
      </c>
      <c r="CD369" s="211">
        <f>IF(WWWW[[#This Row],['# HH received Sanitary Pads]]/WWWW[[#This Row],[Total HH]]&gt;1,1,WWWW[[#This Row],['# HH received Sanitary Pads]]/WWWW[[#This Row],[Total HH]])</f>
        <v>1</v>
      </c>
      <c r="CE369" s="210">
        <f>WWWW[[#This Row],['# HH received soaps]]*5</f>
        <v>3565</v>
      </c>
      <c r="CF369" s="210">
        <f>WWWW[[#This Row],['# HH received Sanitary Pads]]*5</f>
        <v>3565</v>
      </c>
      <c r="CG369" s="210">
        <f>IF(WWWW[[#This Row],['# People with access to soap]]&gt;WWWW[[#This Row],['# People with access to Sanity Pads]],WWWW[[#This Row],['# People with access to soap]],WWWW[[#This Row],['# People with access to Sanity Pads]])</f>
        <v>3565</v>
      </c>
      <c r="CH369" s="209">
        <f>WWWW[[#This Row],[Total HH]]*WWWW[[#This Row],[%HHs with access to functional hand washing stations]]</f>
        <v>713</v>
      </c>
      <c r="CI369" s="699" t="str">
        <f>VLOOKUP(WWWW[[#This Row],[Site Name]],SiteDB6[[Site Name]:[CCCM Management]],6,FALSE)</f>
        <v>Yes</v>
      </c>
      <c r="CJ369" s="699">
        <f>VLOOKUP(WWWW[[#This Row],[Site Name]],SiteDB6[[Site Name]:[CCCM Focal Agency]],7,FALSE)</f>
        <v>0</v>
      </c>
      <c r="CK369" s="699" t="str">
        <f>VLOOKUP(WWWW[[#This Row],[Site Name]],SiteDB6[[Site Name]:[Location Type]],8,FALSE)</f>
        <v>Camp</v>
      </c>
      <c r="CL369" s="699" t="str">
        <f>VLOOKUP(WWWW[[#This Row],[Site Name]],SiteDB6[[Site Name]:[Location Type 1]],9,FALSE)</f>
        <v>Camp</v>
      </c>
      <c r="CM369" s="699" t="str">
        <f>VLOOKUP(WWWW[[#This Row],[Site Name]],SiteDB6[[Site Name]:[Type of Accommodation]],10,FALSE)</f>
        <v>Planned Camp</v>
      </c>
      <c r="CN369" s="699" t="str">
        <f>VLOOKUP(WWWW[[#This Row],[Site Name]],SiteDB6[[Site Name]:[Ethnic or GCA/NGCA]],11,FALSE)</f>
        <v>Muslim</v>
      </c>
      <c r="CO369" s="699">
        <f>VLOOKUP(WWWW[[#This Row],[Site Name]],SiteDB6[[Site Name]:[Lat]],12,FALSE)</f>
        <v>20.037655000000001</v>
      </c>
      <c r="CP369" s="699">
        <f>VLOOKUP(WWWW[[#This Row],[Site Name]],SiteDB6[[Site Name]:[Long]],13,FALSE)</f>
        <v>93.370037999999994</v>
      </c>
      <c r="CQ369" s="699" t="str">
        <f>VLOOKUP(WWWW[[#This Row],[Site Name]],SiteDB6[[Site Name]:[Pcode]],3,FALSE)</f>
        <v>MMR012CMP014</v>
      </c>
      <c r="CR369" s="660" t="str">
        <f t="shared" si="8"/>
        <v>Covered</v>
      </c>
      <c r="CS369" s="660"/>
      <c r="CT369" s="24"/>
      <c r="CU369" s="24"/>
      <c r="CV369" s="24"/>
    </row>
    <row r="370" spans="1:100" ht="15.75" customHeight="1" x14ac:dyDescent="0.25">
      <c r="A370" s="833" t="s">
        <v>3206</v>
      </c>
      <c r="B370" s="206" t="s">
        <v>527</v>
      </c>
      <c r="C370" s="206" t="s">
        <v>454</v>
      </c>
      <c r="D370" s="206" t="s">
        <v>455</v>
      </c>
      <c r="E370" s="206" t="s">
        <v>602</v>
      </c>
      <c r="F370" s="206">
        <v>235</v>
      </c>
      <c r="G370" s="209">
        <v>1390</v>
      </c>
      <c r="H370" s="206" t="s">
        <v>286</v>
      </c>
      <c r="I370" s="206" t="s">
        <v>47</v>
      </c>
      <c r="J370" s="207">
        <v>44104</v>
      </c>
      <c r="K370" s="206">
        <v>0</v>
      </c>
      <c r="L370" s="206" t="s">
        <v>282</v>
      </c>
      <c r="M370" s="208">
        <v>0</v>
      </c>
      <c r="N370" s="208">
        <v>0</v>
      </c>
      <c r="O370" s="316">
        <v>0</v>
      </c>
      <c r="P370" s="317">
        <v>10</v>
      </c>
      <c r="Q370" s="317">
        <v>0</v>
      </c>
      <c r="R370" s="318">
        <v>0</v>
      </c>
      <c r="S370" s="318">
        <v>0</v>
      </c>
      <c r="T370" s="318"/>
      <c r="U370" s="318">
        <v>7</v>
      </c>
      <c r="V370" s="318">
        <v>4</v>
      </c>
      <c r="W370" s="318">
        <v>16</v>
      </c>
      <c r="X370" s="318">
        <v>1</v>
      </c>
      <c r="Y370" s="318">
        <v>0</v>
      </c>
      <c r="Z370" s="318" t="s">
        <v>2783</v>
      </c>
      <c r="AA370" s="310">
        <v>0</v>
      </c>
      <c r="AB370" s="310">
        <v>0</v>
      </c>
      <c r="AC370" s="66">
        <v>0</v>
      </c>
      <c r="AD370" s="66"/>
      <c r="AE370" s="310"/>
      <c r="AF370" s="310" t="s">
        <v>283</v>
      </c>
      <c r="AG370" s="311" t="s">
        <v>1358</v>
      </c>
      <c r="AH370" s="311">
        <v>0</v>
      </c>
      <c r="AI370" s="310">
        <v>0</v>
      </c>
      <c r="AJ370" s="310"/>
      <c r="AK370" s="841">
        <v>1</v>
      </c>
      <c r="AL370" s="842" t="s">
        <v>284</v>
      </c>
      <c r="AM370" s="842">
        <v>235</v>
      </c>
      <c r="AN370" s="863">
        <v>0</v>
      </c>
      <c r="AO370" s="863">
        <v>1</v>
      </c>
      <c r="AP370" s="843"/>
      <c r="AQ370" s="843"/>
      <c r="AR370" s="843"/>
      <c r="AS370" s="843"/>
      <c r="AT370" s="843"/>
      <c r="AU370" s="843"/>
      <c r="AV370" s="844"/>
      <c r="AW370" s="208">
        <f>IFERROR(WWWW[[#This Row],['# of Water passed at source]]/WWWW[[#This Row],['# of Water tested at source]],"no test")</f>
        <v>0.5714285714285714</v>
      </c>
      <c r="AX370" s="211">
        <f>IFERROR(WWWW[[#This Row],['# of Water passed at HH]]/WWWW[[#This Row],['# of Water tested at HH]],"no test")</f>
        <v>6.25E-2</v>
      </c>
      <c r="AY370" s="210" t="str">
        <f>IF(AND(WWWW[[#This Row],[%of Water samples which passed at water source]]="no test",WWWW[[#This Row],[%Water samples which passed at HH]]="no test"),"No Test","Tested")</f>
        <v>Tested</v>
      </c>
      <c r="AZ37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7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70" s="211">
        <f>IF(WWWW[[#This Row],[Location Type 1]]="Village",WWWW[[#This Row],[Access to safe drinking water for Village]],WWWW[[#This Row],[Access to safe drinking water for Camp]])</f>
        <v>1</v>
      </c>
      <c r="BC370" s="209">
        <f>WWWW[[#This Row],[%Equitable and continuous access to sufficient quantity of safe drinking water]]*WWWW[[#This Row],[Total PoP ]]</f>
        <v>1390</v>
      </c>
      <c r="BD370" s="211">
        <f>IF((WWWW[[#This Row],['# Existing protected/fenced ponds ]]*250)/WWWW[[#This Row],[Total PoP ]]&gt;1,1,WWWW[[#This Row],['# Existing protected/fenced ponds ]]*250/WWWW[[#This Row],[Total PoP ]])</f>
        <v>0</v>
      </c>
      <c r="BE370" s="209">
        <f>WWWW[[#This Row],[Access to unimproved water points]]*WWWW[[#This Row],[Total PoP ]]</f>
        <v>0</v>
      </c>
      <c r="BF37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7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1390</v>
      </c>
      <c r="BH370" s="209">
        <f>WWWW[[#This Row],['#people Equitable and continuous access to sufficient quantity of domestic water borehole n ponds_2]]/500</f>
        <v>2.78</v>
      </c>
      <c r="BI370" s="208">
        <f>1-WWWW[[#This Row],[%Equitable and continuous access to sufficient quantity of domestic water borehole n ponds]]</f>
        <v>0</v>
      </c>
      <c r="BJ370" s="209">
        <f>WWWW[[#This Row],[%equitable and continuous access to sufficient quantity of safe drinking and domestic water''s GAP]]*WWWW[[#This Row],[Total PoP ]]</f>
        <v>0</v>
      </c>
      <c r="BK370" s="210">
        <f>IF(WWWW[[#This Row],[Total required water points]]-WWWW[[#This Row],['#Water points coverage]]&lt;0,0,WWWW[[#This Row],[Total required water points]]-WWWW[[#This Row],['#Water points coverage]])</f>
        <v>0.2200000000000002</v>
      </c>
      <c r="BL370" s="210">
        <f>ROUND(IF(WWWW[[#This Row],[Total PoP ]]&lt;500,1,WWWW[[#This Row],[Total PoP ]]/500),0)</f>
        <v>3</v>
      </c>
      <c r="BM370" s="210">
        <f>WWWW[[#This Row],['# Existing functional latrines]]+WWWW[[#This Row],['# Existing latrines dysfunctional]]</f>
        <v>0</v>
      </c>
      <c r="BN37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70" s="352">
        <f>WWWW[[#This Row],[% people access to functioning Latrine]]*WWWW[[#This Row],[Total PoP ]]</f>
        <v>0</v>
      </c>
      <c r="BP37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70" s="209">
        <f>IF(WWWW[[#This Row],[Total required Latrines]]-WWWW[[#This Row],[Total '# of latrine]]&lt;0,0,WWWW[[#This Row],[Total required Latrines]]-WWWW[[#This Row],[Total '# of latrine]])</f>
        <v>232</v>
      </c>
      <c r="BR370" s="210">
        <f>ROUND(IF(WWWW[[#This Row],[Location Type 1]]="camp",WWWW[[#This Row],[Total PoP ]]/20,WWWW[[#This Row],[Total PoP ]]/6),0)</f>
        <v>232</v>
      </c>
      <c r="BS370" s="212">
        <f>IF(OR(WWWW[[#This Row],['# Existing latrines dysfunctional]]="",WWWW[[#This Row],['# Existing latrines dysfunctional]]=0),0,WWWW[[#This Row],['# Existing latrines dysfunctional]]/WWWW[[#This Row],[Total '# of latrine]])</f>
        <v>0</v>
      </c>
      <c r="BT37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70" s="209">
        <f>IF(500*WWWW[[#This Row],['# Hygiene Promoters ]]&gt;WWWW[[#This Row],[Total PoP ]],WWWW[[#This Row],[Total PoP ]],500*WWWW[[#This Row],['# Hygiene Promoters ]])</f>
        <v>500</v>
      </c>
      <c r="BV370" s="209">
        <f>IF(WWWW[[#This Row],[% of HH with access to Sanitary Pad]]&gt;=100%,1,0)</f>
        <v>0</v>
      </c>
      <c r="BW370" s="209">
        <f>IF(WWWW[[#This Row],[Total PoP ]]=0,0,IF(WWWW[[#This Row],['# Hygiene Promoters ]]=0,0,IF(WWWW[[#This Row],[Location Type 1]]="Village",IF(WWWW[[#This Row],[Total PoP ]]/WWWW[[#This Row],['# Hygiene Promoters ]]&lt;1000,1,0),IF(WWWW[[#This Row],[Total PoP ]]/WWWW[[#This Row],['# Hygiene Promoters ]]&lt;600,1,0))))</f>
        <v>0</v>
      </c>
      <c r="BX370" s="209">
        <f>IF(WWWW[[#This Row],[%HH with access to soap]]&gt;=100%,1,0)</f>
        <v>0</v>
      </c>
      <c r="BY370" s="209">
        <f>IF(WWWW[[#This Row],[% of HHs with access to Sanitary pad more than '#%]]+WWWW[[#This Row],[Ratio of Hyiene promoters to people less than '#]]+WWWW[[#This Row],[% of HHs with access to soap more than '#%]]&gt;=2,WWWW[[#This Row],[Total PoP ]],0)</f>
        <v>0</v>
      </c>
      <c r="BZ370" s="208">
        <f>WWWW[[#This Row],[People adopt basic personal and community hygiene practices]]/WWWW[[#This Row],[Total PoP ]]</f>
        <v>0</v>
      </c>
      <c r="CA370" s="212">
        <f>1-WWWW[[#This Row],[Hygiene Coverage%]]</f>
        <v>1</v>
      </c>
      <c r="CB370" s="211">
        <f>WWWW[[#This Row],['# people reached by regular dedicated hygiene promotion_5]]/WWWW[[#This Row],[Total PoP ]]</f>
        <v>0.35971223021582732</v>
      </c>
      <c r="CC370" s="211">
        <f>IF(WWWW[[#This Row],['# HH received soaps]]/WWWW[[#This Row],[Total HH]]&gt;1,1,WWWW[[#This Row],['# HH received soaps]]/WWWW[[#This Row],[Total HH]])</f>
        <v>0</v>
      </c>
      <c r="CD370" s="211">
        <f>IF(WWWW[[#This Row],['# HH received Sanitary Pads]]/WWWW[[#This Row],[Total HH]]&gt;1,1,WWWW[[#This Row],['# HH received Sanitary Pads]]/WWWW[[#This Row],[Total HH]])</f>
        <v>0</v>
      </c>
      <c r="CE370" s="210">
        <f>WWWW[[#This Row],['# HH received soaps]]*5</f>
        <v>0</v>
      </c>
      <c r="CF370" s="210">
        <f>WWWW[[#This Row],['# HH received Sanitary Pads]]*5</f>
        <v>0</v>
      </c>
      <c r="CG370" s="210">
        <f>IF(WWWW[[#This Row],['# People with access to soap]]&gt;WWWW[[#This Row],['# People with access to Sanity Pads]],WWWW[[#This Row],['# People with access to soap]],WWWW[[#This Row],['# People with access to Sanity Pads]])</f>
        <v>0</v>
      </c>
      <c r="CH370" s="209">
        <f>WWWW[[#This Row],[Total HH]]*WWWW[[#This Row],[%HHs with access to functional hand washing stations]]</f>
        <v>235</v>
      </c>
      <c r="CI370" s="699">
        <f>VLOOKUP(WWWW[[#This Row],[Site Name]],SiteDB6[[Site Name]:[CCCM Management]],6,FALSE)</f>
        <v>0</v>
      </c>
      <c r="CJ370" s="699">
        <f>VLOOKUP(WWWW[[#This Row],[Site Name]],SiteDB6[[Site Name]:[CCCM Focal Agency]],7,FALSE)</f>
        <v>0</v>
      </c>
      <c r="CK370" s="699" t="str">
        <f>VLOOKUP(WWWW[[#This Row],[Site Name]],SiteDB6[[Site Name]:[Location Type]],8,FALSE)</f>
        <v>Village</v>
      </c>
      <c r="CL370" s="699" t="str">
        <f>VLOOKUP(WWWW[[#This Row],[Site Name]],SiteDB6[[Site Name]:[Location Type 1]],9,FALSE)</f>
        <v>Village</v>
      </c>
      <c r="CM370" s="699" t="str">
        <f>VLOOKUP(WWWW[[#This Row],[Site Name]],SiteDB6[[Site Name]:[Type of Accommodation]],10,FALSE)</f>
        <v>Village</v>
      </c>
      <c r="CN370" s="699" t="str">
        <f>VLOOKUP(WWWW[[#This Row],[Site Name]],SiteDB6[[Site Name]:[Ethnic or GCA/NGCA]],11,FALSE)</f>
        <v>Muslim</v>
      </c>
      <c r="CO370" s="699">
        <f>VLOOKUP(WWWW[[#This Row],[Site Name]],SiteDB6[[Site Name]:[Lat]],12,FALSE)</f>
        <v>20.201499999999999</v>
      </c>
      <c r="CP370" s="699">
        <f>VLOOKUP(WWWW[[#This Row],[Site Name]],SiteDB6[[Site Name]:[Long]],13,FALSE)</f>
        <v>92.796599999999998</v>
      </c>
      <c r="CQ370" s="699">
        <f>VLOOKUP(WWWW[[#This Row],[Site Name]],SiteDB6[[Site Name]:[Pcode]],3,FALSE)</f>
        <v>196154</v>
      </c>
      <c r="CR370" s="660" t="str">
        <f t="shared" si="8"/>
        <v>Covered</v>
      </c>
      <c r="CS370" s="660"/>
      <c r="CT370" s="24"/>
      <c r="CU370" s="24"/>
      <c r="CV370" s="24"/>
    </row>
    <row r="371" spans="1:100" ht="15.75" customHeight="1" x14ac:dyDescent="0.25">
      <c r="A371" s="833" t="s">
        <v>3206</v>
      </c>
      <c r="B371" s="206" t="s">
        <v>527</v>
      </c>
      <c r="C371" s="206" t="s">
        <v>454</v>
      </c>
      <c r="D371" s="206" t="s">
        <v>455</v>
      </c>
      <c r="E371" s="206" t="s">
        <v>598</v>
      </c>
      <c r="F371" s="206">
        <v>92</v>
      </c>
      <c r="G371" s="209">
        <v>469</v>
      </c>
      <c r="H371" s="206" t="s">
        <v>286</v>
      </c>
      <c r="I371" s="206" t="s">
        <v>47</v>
      </c>
      <c r="J371" s="207">
        <v>44104</v>
      </c>
      <c r="K371" s="206">
        <v>0</v>
      </c>
      <c r="L371" s="206" t="s">
        <v>282</v>
      </c>
      <c r="M371" s="208">
        <v>0</v>
      </c>
      <c r="N371" s="208">
        <v>0</v>
      </c>
      <c r="O371" s="316">
        <v>12</v>
      </c>
      <c r="P371" s="317">
        <v>7</v>
      </c>
      <c r="Q371" s="317">
        <v>0</v>
      </c>
      <c r="R371" s="318">
        <v>0</v>
      </c>
      <c r="S371" s="318">
        <v>0</v>
      </c>
      <c r="T371" s="318"/>
      <c r="U371" s="318">
        <v>6</v>
      </c>
      <c r="V371" s="318">
        <v>2</v>
      </c>
      <c r="W371" s="318">
        <v>7</v>
      </c>
      <c r="X371" s="318">
        <v>2</v>
      </c>
      <c r="Y371" s="318">
        <v>0</v>
      </c>
      <c r="Z371" s="318" t="s">
        <v>2783</v>
      </c>
      <c r="AA371" s="310">
        <v>0</v>
      </c>
      <c r="AB371" s="310">
        <v>0</v>
      </c>
      <c r="AC371" s="66">
        <v>0</v>
      </c>
      <c r="AD371" s="66"/>
      <c r="AE371" s="310"/>
      <c r="AF371" s="310" t="s">
        <v>283</v>
      </c>
      <c r="AG371" s="311" t="s">
        <v>1358</v>
      </c>
      <c r="AH371" s="311">
        <v>0</v>
      </c>
      <c r="AI371" s="310">
        <v>0</v>
      </c>
      <c r="AJ371" s="310"/>
      <c r="AK371" s="841">
        <v>1</v>
      </c>
      <c r="AL371" s="842" t="s">
        <v>284</v>
      </c>
      <c r="AM371" s="842">
        <v>92</v>
      </c>
      <c r="AN371" s="863">
        <v>0</v>
      </c>
      <c r="AO371" s="863">
        <v>1</v>
      </c>
      <c r="AP371" s="843"/>
      <c r="AQ371" s="843"/>
      <c r="AR371" s="843"/>
      <c r="AS371" s="843"/>
      <c r="AT371" s="843"/>
      <c r="AU371" s="843"/>
      <c r="AV371" s="844"/>
      <c r="AW371" s="208">
        <f>IFERROR(WWWW[[#This Row],['# of Water passed at source]]/WWWW[[#This Row],['# of Water tested at source]],"no test")</f>
        <v>0.33333333333333331</v>
      </c>
      <c r="AX371" s="211">
        <f>IFERROR(WWWW[[#This Row],['# of Water passed at HH]]/WWWW[[#This Row],['# of Water tested at HH]],"no test")</f>
        <v>0.2857142857142857</v>
      </c>
      <c r="AY371" s="210" t="str">
        <f>IF(AND(WWWW[[#This Row],[%of Water samples which passed at water source]]="no test",WWWW[[#This Row],[%Water samples which passed at HH]]="no test"),"No Test","Tested")</f>
        <v>Tested</v>
      </c>
      <c r="AZ37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7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71" s="211">
        <f>IF(WWWW[[#This Row],[Location Type 1]]="Village",WWWW[[#This Row],[Access to safe drinking water for Village]],WWWW[[#This Row],[Access to safe drinking water for Camp]])</f>
        <v>1</v>
      </c>
      <c r="BC371" s="209">
        <f>WWWW[[#This Row],[%Equitable and continuous access to sufficient quantity of safe drinking water]]*WWWW[[#This Row],[Total PoP ]]</f>
        <v>469</v>
      </c>
      <c r="BD371" s="211">
        <f>IF((WWWW[[#This Row],['# Existing protected/fenced ponds ]]*250)/WWWW[[#This Row],[Total PoP ]]&gt;1,1,WWWW[[#This Row],['# Existing protected/fenced ponds ]]*250/WWWW[[#This Row],[Total PoP ]])</f>
        <v>0</v>
      </c>
      <c r="BE371" s="209">
        <f>WWWW[[#This Row],[Access to unimproved water points]]*WWWW[[#This Row],[Total PoP ]]</f>
        <v>0</v>
      </c>
      <c r="BF37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7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469</v>
      </c>
      <c r="BH371" s="209">
        <f>WWWW[[#This Row],['#people Equitable and continuous access to sufficient quantity of domestic water borehole n ponds_2]]/500</f>
        <v>0.93799999999999994</v>
      </c>
      <c r="BI371" s="208">
        <f>1-WWWW[[#This Row],[%Equitable and continuous access to sufficient quantity of domestic water borehole n ponds]]</f>
        <v>0</v>
      </c>
      <c r="BJ371" s="209">
        <f>WWWW[[#This Row],[%equitable and continuous access to sufficient quantity of safe drinking and domestic water''s GAP]]*WWWW[[#This Row],[Total PoP ]]</f>
        <v>0</v>
      </c>
      <c r="BK371" s="210">
        <f>IF(WWWW[[#This Row],[Total required water points]]-WWWW[[#This Row],['#Water points coverage]]&lt;0,0,WWWW[[#This Row],[Total required water points]]-WWWW[[#This Row],['#Water points coverage]])</f>
        <v>6.2000000000000055E-2</v>
      </c>
      <c r="BL371" s="210">
        <f>ROUND(IF(WWWW[[#This Row],[Total PoP ]]&lt;500,1,WWWW[[#This Row],[Total PoP ]]/500),0)</f>
        <v>1</v>
      </c>
      <c r="BM371" s="210">
        <f>WWWW[[#This Row],['# Existing functional latrines]]+WWWW[[#This Row],['# Existing latrines dysfunctional]]</f>
        <v>0</v>
      </c>
      <c r="BN37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71" s="352">
        <f>WWWW[[#This Row],[% people access to functioning Latrine]]*WWWW[[#This Row],[Total PoP ]]</f>
        <v>0</v>
      </c>
      <c r="BP37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0.99786780383795304</v>
      </c>
      <c r="BQ371" s="209">
        <f>IF(WWWW[[#This Row],[Total required Latrines]]-WWWW[[#This Row],[Total '# of latrine]]&lt;0,0,WWWW[[#This Row],[Total required Latrines]]-WWWW[[#This Row],[Total '# of latrine]])</f>
        <v>78</v>
      </c>
      <c r="BR371" s="210">
        <f>ROUND(IF(WWWW[[#This Row],[Location Type 1]]="camp",WWWW[[#This Row],[Total PoP ]]/20,WWWW[[#This Row],[Total PoP ]]/6),0)</f>
        <v>78</v>
      </c>
      <c r="BS371" s="212">
        <f>IF(OR(WWWW[[#This Row],['# Existing latrines dysfunctional]]="",WWWW[[#This Row],['# Existing latrines dysfunctional]]=0),0,WWWW[[#This Row],['# Existing latrines dysfunctional]]/WWWW[[#This Row],[Total '# of latrine]])</f>
        <v>0</v>
      </c>
      <c r="BT371"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71" s="209">
        <f>IF(500*WWWW[[#This Row],['# Hygiene Promoters ]]&gt;WWWW[[#This Row],[Total PoP ]],WWWW[[#This Row],[Total PoP ]],500*WWWW[[#This Row],['# Hygiene Promoters ]])</f>
        <v>469</v>
      </c>
      <c r="BV371" s="209">
        <f>IF(WWWW[[#This Row],[% of HH with access to Sanitary Pad]]&gt;=100%,1,0)</f>
        <v>0</v>
      </c>
      <c r="BW371" s="209">
        <f>IF(WWWW[[#This Row],[Total PoP ]]=0,0,IF(WWWW[[#This Row],['# Hygiene Promoters ]]=0,0,IF(WWWW[[#This Row],[Location Type 1]]="Village",IF(WWWW[[#This Row],[Total PoP ]]/WWWW[[#This Row],['# Hygiene Promoters ]]&lt;1000,1,0),IF(WWWW[[#This Row],[Total PoP ]]/WWWW[[#This Row],['# Hygiene Promoters ]]&lt;600,1,0))))</f>
        <v>1</v>
      </c>
      <c r="BX371" s="209">
        <f>IF(WWWW[[#This Row],[%HH with access to soap]]&gt;=100%,1,0)</f>
        <v>0</v>
      </c>
      <c r="BY371" s="209">
        <f>IF(WWWW[[#This Row],[% of HHs with access to Sanitary pad more than '#%]]+WWWW[[#This Row],[Ratio of Hyiene promoters to people less than '#]]+WWWW[[#This Row],[% of HHs with access to soap more than '#%]]&gt;=2,WWWW[[#This Row],[Total PoP ]],0)</f>
        <v>0</v>
      </c>
      <c r="BZ371" s="208">
        <f>WWWW[[#This Row],[People adopt basic personal and community hygiene practices]]/WWWW[[#This Row],[Total PoP ]]</f>
        <v>0</v>
      </c>
      <c r="CA371" s="212">
        <f>1-WWWW[[#This Row],[Hygiene Coverage%]]</f>
        <v>1</v>
      </c>
      <c r="CB371" s="211">
        <f>WWWW[[#This Row],['# people reached by regular dedicated hygiene promotion_5]]/WWWW[[#This Row],[Total PoP ]]</f>
        <v>1</v>
      </c>
      <c r="CC371" s="211">
        <f>IF(WWWW[[#This Row],['# HH received soaps]]/WWWW[[#This Row],[Total HH]]&gt;1,1,WWWW[[#This Row],['# HH received soaps]]/WWWW[[#This Row],[Total HH]])</f>
        <v>0</v>
      </c>
      <c r="CD371" s="211">
        <f>IF(WWWW[[#This Row],['# HH received Sanitary Pads]]/WWWW[[#This Row],[Total HH]]&gt;1,1,WWWW[[#This Row],['# HH received Sanitary Pads]]/WWWW[[#This Row],[Total HH]])</f>
        <v>0</v>
      </c>
      <c r="CE371" s="210">
        <f>WWWW[[#This Row],['# HH received soaps]]*5</f>
        <v>0</v>
      </c>
      <c r="CF371" s="210">
        <f>WWWW[[#This Row],['# HH received Sanitary Pads]]*5</f>
        <v>0</v>
      </c>
      <c r="CG371" s="210">
        <f>IF(WWWW[[#This Row],['# People with access to soap]]&gt;WWWW[[#This Row],['# People with access to Sanity Pads]],WWWW[[#This Row],['# People with access to soap]],WWWW[[#This Row],['# People with access to Sanity Pads]])</f>
        <v>0</v>
      </c>
      <c r="CH371" s="209">
        <f>WWWW[[#This Row],[Total HH]]*WWWW[[#This Row],[%HHs with access to functional hand washing stations]]</f>
        <v>92</v>
      </c>
      <c r="CI371" s="699">
        <f>VLOOKUP(WWWW[[#This Row],[Site Name]],SiteDB6[[Site Name]:[CCCM Management]],6,FALSE)</f>
        <v>0</v>
      </c>
      <c r="CJ371" s="699">
        <f>VLOOKUP(WWWW[[#This Row],[Site Name]],SiteDB6[[Site Name]:[CCCM Focal Agency]],7,FALSE)</f>
        <v>0</v>
      </c>
      <c r="CK371" s="699" t="str">
        <f>VLOOKUP(WWWW[[#This Row],[Site Name]],SiteDB6[[Site Name]:[Location Type]],8,FALSE)</f>
        <v>Village</v>
      </c>
      <c r="CL371" s="699" t="str">
        <f>VLOOKUP(WWWW[[#This Row],[Site Name]],SiteDB6[[Site Name]:[Location Type 1]],9,FALSE)</f>
        <v>Village</v>
      </c>
      <c r="CM371" s="699" t="str">
        <f>VLOOKUP(WWWW[[#This Row],[Site Name]],SiteDB6[[Site Name]:[Type of Accommodation]],10,FALSE)</f>
        <v>Village</v>
      </c>
      <c r="CN371" s="699" t="str">
        <f>VLOOKUP(WWWW[[#This Row],[Site Name]],SiteDB6[[Site Name]:[Ethnic or GCA/NGCA]],11,FALSE)</f>
        <v>Muslim</v>
      </c>
      <c r="CO371" s="699">
        <f>VLOOKUP(WWWW[[#This Row],[Site Name]],SiteDB6[[Site Name]:[Lat]],12,FALSE)</f>
        <v>20.191719055175799</v>
      </c>
      <c r="CP371" s="699">
        <f>VLOOKUP(WWWW[[#This Row],[Site Name]],SiteDB6[[Site Name]:[Long]],13,FALSE)</f>
        <v>92.808166503906307</v>
      </c>
      <c r="CQ371" s="699" t="str">
        <f>VLOOKUP(WWWW[[#This Row],[Site Name]],SiteDB6[[Site Name]:[Pcode]],3,FALSE)</f>
        <v>196155</v>
      </c>
      <c r="CR371" s="660" t="str">
        <f t="shared" si="8"/>
        <v>Covered</v>
      </c>
      <c r="CS371" s="660"/>
      <c r="CT371" s="24"/>
      <c r="CU371" s="24"/>
      <c r="CV371" s="24"/>
    </row>
    <row r="372" spans="1:100" ht="15.75" customHeight="1" x14ac:dyDescent="0.25">
      <c r="A372" s="833" t="s">
        <v>3206</v>
      </c>
      <c r="B372" s="206" t="s">
        <v>527</v>
      </c>
      <c r="C372" s="206" t="s">
        <v>454</v>
      </c>
      <c r="D372" s="206" t="s">
        <v>455</v>
      </c>
      <c r="E372" s="206" t="s">
        <v>578</v>
      </c>
      <c r="F372" s="206">
        <v>72</v>
      </c>
      <c r="G372" s="209">
        <v>447</v>
      </c>
      <c r="H372" s="206" t="s">
        <v>286</v>
      </c>
      <c r="I372" s="206" t="s">
        <v>47</v>
      </c>
      <c r="J372" s="207">
        <v>44104</v>
      </c>
      <c r="K372" s="206">
        <v>0</v>
      </c>
      <c r="L372" s="206" t="s">
        <v>282</v>
      </c>
      <c r="M372" s="208">
        <v>0</v>
      </c>
      <c r="N372" s="208">
        <v>0</v>
      </c>
      <c r="O372" s="316">
        <v>0</v>
      </c>
      <c r="P372" s="317">
        <v>0</v>
      </c>
      <c r="Q372" s="317">
        <v>0</v>
      </c>
      <c r="R372" s="318">
        <v>1</v>
      </c>
      <c r="S372" s="318">
        <v>0</v>
      </c>
      <c r="T372" s="318"/>
      <c r="U372" s="318"/>
      <c r="V372" s="318"/>
      <c r="W372" s="318"/>
      <c r="X372" s="318"/>
      <c r="Y372" s="318">
        <v>0</v>
      </c>
      <c r="Z372" s="318" t="s">
        <v>2783</v>
      </c>
      <c r="AA372" s="310">
        <v>72</v>
      </c>
      <c r="AB372" s="310">
        <v>0</v>
      </c>
      <c r="AC372" s="66">
        <v>0</v>
      </c>
      <c r="AD372" s="66"/>
      <c r="AE372" s="310"/>
      <c r="AF372" s="310" t="s">
        <v>283</v>
      </c>
      <c r="AG372" s="311" t="s">
        <v>1358</v>
      </c>
      <c r="AH372" s="311">
        <v>0</v>
      </c>
      <c r="AI372" s="310">
        <v>0</v>
      </c>
      <c r="AJ372" s="310"/>
      <c r="AK372" s="841">
        <v>1</v>
      </c>
      <c r="AL372" s="842" t="s">
        <v>284</v>
      </c>
      <c r="AM372" s="842">
        <v>72</v>
      </c>
      <c r="AN372" s="863">
        <v>0</v>
      </c>
      <c r="AO372" s="863">
        <v>1</v>
      </c>
      <c r="AP372" s="843"/>
      <c r="AQ372" s="843"/>
      <c r="AR372" s="843"/>
      <c r="AS372" s="843"/>
      <c r="AT372" s="843"/>
      <c r="AU372" s="843"/>
      <c r="AV372" s="844"/>
      <c r="AW372" s="208" t="str">
        <f>IFERROR(WWWW[[#This Row],['# of Water passed at source]]/WWWW[[#This Row],['# of Water tested at source]],"no test")</f>
        <v>no test</v>
      </c>
      <c r="AX372" s="211" t="str">
        <f>IFERROR(WWWW[[#This Row],['# of Water passed at HH]]/WWWW[[#This Row],['# of Water tested at HH]],"no test")</f>
        <v>no test</v>
      </c>
      <c r="AY372" s="210" t="str">
        <f>IF(AND(WWWW[[#This Row],[%of Water samples which passed at water source]]="no test",WWWW[[#This Row],[%Water samples which passed at HH]]="no test"),"No Test","Tested")</f>
        <v>No Test</v>
      </c>
      <c r="AZ37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7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72" s="211">
        <f>IF(WWWW[[#This Row],[Location Type 1]]="Village",WWWW[[#This Row],[Access to safe drinking water for Village]],WWWW[[#This Row],[Access to safe drinking water for Camp]])</f>
        <v>0</v>
      </c>
      <c r="BC372" s="209">
        <f>WWWW[[#This Row],[%Equitable and continuous access to sufficient quantity of safe drinking water]]*WWWW[[#This Row],[Total PoP ]]</f>
        <v>0</v>
      </c>
      <c r="BD372" s="211">
        <f>IF((WWWW[[#This Row],['# Existing protected/fenced ponds ]]*250)/WWWW[[#This Row],[Total PoP ]]&gt;1,1,WWWW[[#This Row],['# Existing protected/fenced ponds ]]*250/WWWW[[#This Row],[Total PoP ]])</f>
        <v>0.5592841163310962</v>
      </c>
      <c r="BE372" s="209">
        <f>WWWW[[#This Row],[Access to unimproved water points]]*WWWW[[#This Row],[Total PoP ]]</f>
        <v>250</v>
      </c>
      <c r="BF37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0.5592841163310962</v>
      </c>
      <c r="BG37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H372" s="209">
        <f>WWWW[[#This Row],['#people Equitable and continuous access to sufficient quantity of domestic water borehole n ponds_2]]/500</f>
        <v>0.5</v>
      </c>
      <c r="BI372" s="208">
        <f>1-WWWW[[#This Row],[%Equitable and continuous access to sufficient quantity of domestic water borehole n ponds]]</f>
        <v>0.4407158836689038</v>
      </c>
      <c r="BJ372" s="209">
        <f>WWWW[[#This Row],[%equitable and continuous access to sufficient quantity of safe drinking and domestic water''s GAP]]*WWWW[[#This Row],[Total PoP ]]</f>
        <v>197</v>
      </c>
      <c r="BK372" s="210">
        <f>IF(WWWW[[#This Row],[Total required water points]]-WWWW[[#This Row],['#Water points coverage]]&lt;0,0,WWWW[[#This Row],[Total required water points]]-WWWW[[#This Row],['#Water points coverage]])</f>
        <v>0.5</v>
      </c>
      <c r="BL372" s="210">
        <f>ROUND(IF(WWWW[[#This Row],[Total PoP ]]&lt;500,1,WWWW[[#This Row],[Total PoP ]]/500),0)</f>
        <v>1</v>
      </c>
      <c r="BM372" s="210">
        <f>WWWW[[#This Row],['# Existing functional latrines]]+WWWW[[#This Row],['# Existing latrines dysfunctional]]</f>
        <v>72</v>
      </c>
      <c r="BN37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0.96644295302013428</v>
      </c>
      <c r="BO372" s="352">
        <f>WWWW[[#This Row],[% people access to functioning Latrine]]*WWWW[[#This Row],[Total PoP ]]</f>
        <v>432</v>
      </c>
      <c r="BP37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4.0268456375838924E-2</v>
      </c>
      <c r="BQ372" s="209">
        <f>IF(WWWW[[#This Row],[Total required Latrines]]-WWWW[[#This Row],[Total '# of latrine]]&lt;0,0,WWWW[[#This Row],[Total required Latrines]]-WWWW[[#This Row],[Total '# of latrine]])</f>
        <v>3</v>
      </c>
      <c r="BR372" s="210">
        <f>ROUND(IF(WWWW[[#This Row],[Location Type 1]]="camp",WWWW[[#This Row],[Total PoP ]]/20,WWWW[[#This Row],[Total PoP ]]/6),0)</f>
        <v>75</v>
      </c>
      <c r="BS372" s="212">
        <f>IF(OR(WWWW[[#This Row],['# Existing latrines dysfunctional]]="",WWWW[[#This Row],['# Existing latrines dysfunctional]]=0),0,WWWW[[#This Row],['# Existing latrines dysfunctional]]/WWWW[[#This Row],[Total '# of latrine]])</f>
        <v>0</v>
      </c>
      <c r="BT372"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72" s="209">
        <f>IF(500*WWWW[[#This Row],['# Hygiene Promoters ]]&gt;WWWW[[#This Row],[Total PoP ]],WWWW[[#This Row],[Total PoP ]],500*WWWW[[#This Row],['# Hygiene Promoters ]])</f>
        <v>447</v>
      </c>
      <c r="BV372" s="209">
        <f>IF(WWWW[[#This Row],[% of HH with access to Sanitary Pad]]&gt;=100%,1,0)</f>
        <v>0</v>
      </c>
      <c r="BW372" s="209">
        <f>IF(WWWW[[#This Row],[Total PoP ]]=0,0,IF(WWWW[[#This Row],['# Hygiene Promoters ]]=0,0,IF(WWWW[[#This Row],[Location Type 1]]="Village",IF(WWWW[[#This Row],[Total PoP ]]/WWWW[[#This Row],['# Hygiene Promoters ]]&lt;1000,1,0),IF(WWWW[[#This Row],[Total PoP ]]/WWWW[[#This Row],['# Hygiene Promoters ]]&lt;600,1,0))))</f>
        <v>1</v>
      </c>
      <c r="BX372" s="209">
        <f>IF(WWWW[[#This Row],[%HH with access to soap]]&gt;=100%,1,0)</f>
        <v>0</v>
      </c>
      <c r="BY372" s="209">
        <f>IF(WWWW[[#This Row],[% of HHs with access to Sanitary pad more than '#%]]+WWWW[[#This Row],[Ratio of Hyiene promoters to people less than '#]]+WWWW[[#This Row],[% of HHs with access to soap more than '#%]]&gt;=2,WWWW[[#This Row],[Total PoP ]],0)</f>
        <v>0</v>
      </c>
      <c r="BZ372" s="208">
        <f>WWWW[[#This Row],[People adopt basic personal and community hygiene practices]]/WWWW[[#This Row],[Total PoP ]]</f>
        <v>0</v>
      </c>
      <c r="CA372" s="212">
        <f>1-WWWW[[#This Row],[Hygiene Coverage%]]</f>
        <v>1</v>
      </c>
      <c r="CB372" s="211">
        <f>WWWW[[#This Row],['# people reached by regular dedicated hygiene promotion_5]]/WWWW[[#This Row],[Total PoP ]]</f>
        <v>1</v>
      </c>
      <c r="CC372" s="211">
        <f>IF(WWWW[[#This Row],['# HH received soaps]]/WWWW[[#This Row],[Total HH]]&gt;1,1,WWWW[[#This Row],['# HH received soaps]]/WWWW[[#This Row],[Total HH]])</f>
        <v>0</v>
      </c>
      <c r="CD372" s="211">
        <f>IF(WWWW[[#This Row],['# HH received Sanitary Pads]]/WWWW[[#This Row],[Total HH]]&gt;1,1,WWWW[[#This Row],['# HH received Sanitary Pads]]/WWWW[[#This Row],[Total HH]])</f>
        <v>0</v>
      </c>
      <c r="CE372" s="210">
        <f>WWWW[[#This Row],['# HH received soaps]]*5</f>
        <v>0</v>
      </c>
      <c r="CF372" s="210">
        <f>WWWW[[#This Row],['# HH received Sanitary Pads]]*5</f>
        <v>0</v>
      </c>
      <c r="CG372" s="210">
        <f>IF(WWWW[[#This Row],['# People with access to soap]]&gt;WWWW[[#This Row],['# People with access to Sanity Pads]],WWWW[[#This Row],['# People with access to soap]],WWWW[[#This Row],['# People with access to Sanity Pads]])</f>
        <v>0</v>
      </c>
      <c r="CH372" s="209">
        <f>WWWW[[#This Row],[Total HH]]*WWWW[[#This Row],[%HHs with access to functional hand washing stations]]</f>
        <v>72</v>
      </c>
      <c r="CI372" s="699">
        <f>VLOOKUP(WWWW[[#This Row],[Site Name]],SiteDB6[[Site Name]:[CCCM Management]],6,FALSE)</f>
        <v>0</v>
      </c>
      <c r="CJ372" s="699">
        <f>VLOOKUP(WWWW[[#This Row],[Site Name]],SiteDB6[[Site Name]:[CCCM Focal Agency]],7,FALSE)</f>
        <v>0</v>
      </c>
      <c r="CK372" s="699" t="str">
        <f>VLOOKUP(WWWW[[#This Row],[Site Name]],SiteDB6[[Site Name]:[Location Type]],8,FALSE)</f>
        <v>Village</v>
      </c>
      <c r="CL372" s="699" t="str">
        <f>VLOOKUP(WWWW[[#This Row],[Site Name]],SiteDB6[[Site Name]:[Location Type 1]],9,FALSE)</f>
        <v>Village</v>
      </c>
      <c r="CM372" s="699" t="str">
        <f>VLOOKUP(WWWW[[#This Row],[Site Name]],SiteDB6[[Site Name]:[Type of Accommodation]],10,FALSE)</f>
        <v>Relocated</v>
      </c>
      <c r="CN372" s="699" t="str">
        <f>VLOOKUP(WWWW[[#This Row],[Site Name]],SiteDB6[[Site Name]:[Ethnic or GCA/NGCA]],11,FALSE)</f>
        <v>Maramargyi</v>
      </c>
      <c r="CO372" s="699">
        <f>VLOOKUP(WWWW[[#This Row],[Site Name]],SiteDB6[[Site Name]:[Lat]],12,FALSE)</f>
        <v>20.148584</v>
      </c>
      <c r="CP372" s="699">
        <f>VLOOKUP(WWWW[[#This Row],[Site Name]],SiteDB6[[Site Name]:[Long]],13,FALSE)</f>
        <v>92.880319999999998</v>
      </c>
      <c r="CQ372" s="699" t="str">
        <f>VLOOKUP(WWWW[[#This Row],[Site Name]],SiteDB6[[Site Name]:[Pcode]],3,FALSE)</f>
        <v>MMR012CMP056</v>
      </c>
      <c r="CR372" s="660" t="str">
        <f t="shared" ref="CR372:CR382" si="9">IF(B372="none","Notcovered","Covered")</f>
        <v>Covered</v>
      </c>
      <c r="CS372" s="660"/>
      <c r="CT372" s="24"/>
      <c r="CU372" s="24"/>
      <c r="CV372" s="24"/>
    </row>
    <row r="373" spans="1:100" ht="15.75" customHeight="1" x14ac:dyDescent="0.25">
      <c r="A373" s="833" t="s">
        <v>3206</v>
      </c>
      <c r="B373" s="206" t="s">
        <v>527</v>
      </c>
      <c r="C373" s="206" t="s">
        <v>454</v>
      </c>
      <c r="D373" s="206" t="s">
        <v>455</v>
      </c>
      <c r="E373" s="206" t="s">
        <v>2510</v>
      </c>
      <c r="F373" s="206">
        <v>152</v>
      </c>
      <c r="G373" s="209">
        <v>614</v>
      </c>
      <c r="H373" s="206" t="s">
        <v>286</v>
      </c>
      <c r="I373" s="206" t="s">
        <v>3252</v>
      </c>
      <c r="J373" s="207" t="s">
        <v>3251</v>
      </c>
      <c r="K373" s="206">
        <v>0</v>
      </c>
      <c r="L373" s="206" t="s">
        <v>282</v>
      </c>
      <c r="M373" s="208">
        <v>0</v>
      </c>
      <c r="N373" s="208">
        <v>0</v>
      </c>
      <c r="O373" s="316">
        <v>0</v>
      </c>
      <c r="P373" s="317">
        <v>12</v>
      </c>
      <c r="Q373" s="317">
        <v>0</v>
      </c>
      <c r="R373" s="318">
        <v>0</v>
      </c>
      <c r="S373" s="318">
        <v>0</v>
      </c>
      <c r="T373" s="318"/>
      <c r="U373" s="318">
        <v>4</v>
      </c>
      <c r="V373" s="318">
        <v>3</v>
      </c>
      <c r="W373" s="318">
        <v>1</v>
      </c>
      <c r="X373" s="318">
        <v>0</v>
      </c>
      <c r="Y373" s="318">
        <v>0</v>
      </c>
      <c r="Z373" s="318" t="s">
        <v>2783</v>
      </c>
      <c r="AA373" s="310">
        <v>152</v>
      </c>
      <c r="AB373" s="310">
        <v>0</v>
      </c>
      <c r="AC373" s="66">
        <v>0</v>
      </c>
      <c r="AD373" s="66"/>
      <c r="AE373" s="310"/>
      <c r="AF373" s="310" t="s">
        <v>283</v>
      </c>
      <c r="AG373" s="311" t="s">
        <v>1358</v>
      </c>
      <c r="AH373" s="311">
        <v>0</v>
      </c>
      <c r="AI373" s="310">
        <v>0</v>
      </c>
      <c r="AJ373" s="310"/>
      <c r="AK373" s="841">
        <v>1</v>
      </c>
      <c r="AL373" s="842" t="s">
        <v>284</v>
      </c>
      <c r="AM373" s="842">
        <v>152</v>
      </c>
      <c r="AN373" s="863">
        <v>0</v>
      </c>
      <c r="AO373" s="863">
        <v>1</v>
      </c>
      <c r="AP373" s="843"/>
      <c r="AQ373" s="843"/>
      <c r="AR373" s="843"/>
      <c r="AS373" s="843"/>
      <c r="AT373" s="843"/>
      <c r="AU373" s="843"/>
      <c r="AV373" s="844"/>
      <c r="AW373" s="208">
        <f>IFERROR(WWWW[[#This Row],['# of Water passed at source]]/WWWW[[#This Row],['# of Water tested at source]],"no test")</f>
        <v>0.75</v>
      </c>
      <c r="AX373" s="211">
        <f>IFERROR(WWWW[[#This Row],['# of Water passed at HH]]/WWWW[[#This Row],['# of Water tested at HH]],"no test")</f>
        <v>0</v>
      </c>
      <c r="AY373" s="210" t="str">
        <f>IF(AND(WWWW[[#This Row],[%of Water samples which passed at water source]]="no test",WWWW[[#This Row],[%Water samples which passed at HH]]="no test"),"No Test","Tested")</f>
        <v>Tested</v>
      </c>
      <c r="AZ37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7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73" s="211">
        <f>IF(WWWW[[#This Row],[Location Type 1]]="Village",WWWW[[#This Row],[Access to safe drinking water for Village]],WWWW[[#This Row],[Access to safe drinking water for Camp]])</f>
        <v>1</v>
      </c>
      <c r="BC373" s="209">
        <f>WWWW[[#This Row],[%Equitable and continuous access to sufficient quantity of safe drinking water]]*WWWW[[#This Row],[Total PoP ]]</f>
        <v>614</v>
      </c>
      <c r="BD373" s="211">
        <f>IF((WWWW[[#This Row],['# Existing protected/fenced ponds ]]*250)/WWWW[[#This Row],[Total PoP ]]&gt;1,1,WWWW[[#This Row],['# Existing protected/fenced ponds ]]*250/WWWW[[#This Row],[Total PoP ]])</f>
        <v>0</v>
      </c>
      <c r="BE373" s="209">
        <f>WWWW[[#This Row],[Access to unimproved water points]]*WWWW[[#This Row],[Total PoP ]]</f>
        <v>0</v>
      </c>
      <c r="BF37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7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614</v>
      </c>
      <c r="BH373" s="209">
        <f>WWWW[[#This Row],['#people Equitable and continuous access to sufficient quantity of domestic water borehole n ponds_2]]/500</f>
        <v>1.228</v>
      </c>
      <c r="BI373" s="208">
        <f>1-WWWW[[#This Row],[%Equitable and continuous access to sufficient quantity of domestic water borehole n ponds]]</f>
        <v>0</v>
      </c>
      <c r="BJ373" s="209">
        <f>WWWW[[#This Row],[%equitable and continuous access to sufficient quantity of safe drinking and domestic water''s GAP]]*WWWW[[#This Row],[Total PoP ]]</f>
        <v>0</v>
      </c>
      <c r="BK373" s="210">
        <f>IF(WWWW[[#This Row],[Total required water points]]-WWWW[[#This Row],['#Water points coverage]]&lt;0,0,WWWW[[#This Row],[Total required water points]]-WWWW[[#This Row],['#Water points coverage]])</f>
        <v>0</v>
      </c>
      <c r="BL373" s="210">
        <f>ROUND(IF(WWWW[[#This Row],[Total PoP ]]&lt;500,1,WWWW[[#This Row],[Total PoP ]]/500),0)</f>
        <v>1</v>
      </c>
      <c r="BM373" s="210">
        <f>WWWW[[#This Row],['# Existing functional latrines]]+WWWW[[#This Row],['# Existing latrines dysfunctional]]</f>
        <v>152</v>
      </c>
      <c r="BN37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73" s="352">
        <f>WWWW[[#This Row],[% people access to functioning Latrine]]*WWWW[[#This Row],[Total PoP ]]</f>
        <v>614</v>
      </c>
      <c r="BP37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73" s="209">
        <f>IF(WWWW[[#This Row],[Total required Latrines]]-WWWW[[#This Row],[Total '# of latrine]]&lt;0,0,WWWW[[#This Row],[Total required Latrines]]-WWWW[[#This Row],[Total '# of latrine]])</f>
        <v>0</v>
      </c>
      <c r="BR373" s="210">
        <f>ROUND(IF(WWWW[[#This Row],[Location Type 1]]="camp",WWWW[[#This Row],[Total PoP ]]/20,WWWW[[#This Row],[Total PoP ]]/6),0)</f>
        <v>102</v>
      </c>
      <c r="BS373" s="212">
        <f>IF(OR(WWWW[[#This Row],['# Existing latrines dysfunctional]]="",WWWW[[#This Row],['# Existing latrines dysfunctional]]=0),0,WWWW[[#This Row],['# Existing latrines dysfunctional]]/WWWW[[#This Row],[Total '# of latrine]])</f>
        <v>0</v>
      </c>
      <c r="BT37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73" s="209">
        <f>IF(500*WWWW[[#This Row],['# Hygiene Promoters ]]&gt;WWWW[[#This Row],[Total PoP ]],WWWW[[#This Row],[Total PoP ]],500*WWWW[[#This Row],['# Hygiene Promoters ]])</f>
        <v>500</v>
      </c>
      <c r="BV373" s="209">
        <f>IF(WWWW[[#This Row],[% of HH with access to Sanitary Pad]]&gt;=100%,1,0)</f>
        <v>0</v>
      </c>
      <c r="BW373" s="209">
        <f>IF(WWWW[[#This Row],[Total PoP ]]=0,0,IF(WWWW[[#This Row],['# Hygiene Promoters ]]=0,0,IF(WWWW[[#This Row],[Location Type 1]]="Village",IF(WWWW[[#This Row],[Total PoP ]]/WWWW[[#This Row],['# Hygiene Promoters ]]&lt;1000,1,0),IF(WWWW[[#This Row],[Total PoP ]]/WWWW[[#This Row],['# Hygiene Promoters ]]&lt;600,1,0))))</f>
        <v>1</v>
      </c>
      <c r="BX373" s="209">
        <f>IF(WWWW[[#This Row],[%HH with access to soap]]&gt;=100%,1,0)</f>
        <v>0</v>
      </c>
      <c r="BY373" s="209">
        <f>IF(WWWW[[#This Row],[% of HHs with access to Sanitary pad more than '#%]]+WWWW[[#This Row],[Ratio of Hyiene promoters to people less than '#]]+WWWW[[#This Row],[% of HHs with access to soap more than '#%]]&gt;=2,WWWW[[#This Row],[Total PoP ]],0)</f>
        <v>0</v>
      </c>
      <c r="BZ373" s="208">
        <f>WWWW[[#This Row],[People adopt basic personal and community hygiene practices]]/WWWW[[#This Row],[Total PoP ]]</f>
        <v>0</v>
      </c>
      <c r="CA373" s="212">
        <f>1-WWWW[[#This Row],[Hygiene Coverage%]]</f>
        <v>1</v>
      </c>
      <c r="CB373" s="211">
        <f>WWWW[[#This Row],['# people reached by regular dedicated hygiene promotion_5]]/WWWW[[#This Row],[Total PoP ]]</f>
        <v>0.81433224755700329</v>
      </c>
      <c r="CC373" s="211">
        <f>IF(WWWW[[#This Row],['# HH received soaps]]/WWWW[[#This Row],[Total HH]]&gt;1,1,WWWW[[#This Row],['# HH received soaps]]/WWWW[[#This Row],[Total HH]])</f>
        <v>0</v>
      </c>
      <c r="CD373" s="211">
        <f>IF(WWWW[[#This Row],['# HH received Sanitary Pads]]/WWWW[[#This Row],[Total HH]]&gt;1,1,WWWW[[#This Row],['# HH received Sanitary Pads]]/WWWW[[#This Row],[Total HH]])</f>
        <v>0</v>
      </c>
      <c r="CE373" s="210">
        <f>WWWW[[#This Row],['# HH received soaps]]*5</f>
        <v>0</v>
      </c>
      <c r="CF373" s="210">
        <f>WWWW[[#This Row],['# HH received Sanitary Pads]]*5</f>
        <v>0</v>
      </c>
      <c r="CG373" s="210">
        <f>IF(WWWW[[#This Row],['# People with access to soap]]&gt;WWWW[[#This Row],['# People with access to Sanity Pads]],WWWW[[#This Row],['# People with access to soap]],WWWW[[#This Row],['# People with access to Sanity Pads]])</f>
        <v>0</v>
      </c>
      <c r="CH373" s="209">
        <f>WWWW[[#This Row],[Total HH]]*WWWW[[#This Row],[%HHs with access to functional hand washing stations]]</f>
        <v>152</v>
      </c>
      <c r="CI373" s="699">
        <f>VLOOKUP(WWWW[[#This Row],[Site Name]],SiteDB6[[Site Name]:[CCCM Management]],6,FALSE)</f>
        <v>0</v>
      </c>
      <c r="CJ373" s="699">
        <f>VLOOKUP(WWWW[[#This Row],[Site Name]],SiteDB6[[Site Name]:[CCCM Focal Agency]],7,FALSE)</f>
        <v>0</v>
      </c>
      <c r="CK373" s="699" t="str">
        <f>VLOOKUP(WWWW[[#This Row],[Site Name]],SiteDB6[[Site Name]:[Location Type]],8,FALSE)</f>
        <v>Village</v>
      </c>
      <c r="CL373" s="699" t="str">
        <f>VLOOKUP(WWWW[[#This Row],[Site Name]],SiteDB6[[Site Name]:[Location Type 1]],9,FALSE)</f>
        <v>Village</v>
      </c>
      <c r="CM373" s="699" t="str">
        <f>VLOOKUP(WWWW[[#This Row],[Site Name]],SiteDB6[[Site Name]:[Type of Accommodation]],10,FALSE)</f>
        <v>Relocated</v>
      </c>
      <c r="CN373" s="699" t="str">
        <f>VLOOKUP(WWWW[[#This Row],[Site Name]],SiteDB6[[Site Name]:[Ethnic or GCA/NGCA]],11,FALSE)</f>
        <v>Rakhine</v>
      </c>
      <c r="CO373" s="699">
        <f>VLOOKUP(WWWW[[#This Row],[Site Name]],SiteDB6[[Site Name]:[Lat]],12,FALSE)</f>
        <v>20.155805999999998</v>
      </c>
      <c r="CP373" s="699">
        <f>VLOOKUP(WWWW[[#This Row],[Site Name]],SiteDB6[[Site Name]:[Long]],13,FALSE)</f>
        <v>92.879138999999995</v>
      </c>
      <c r="CQ373" s="699" t="str">
        <f>VLOOKUP(WWWW[[#This Row],[Site Name]],SiteDB6[[Site Name]:[Pcode]],3,FALSE)</f>
        <v>MMR012CMP093</v>
      </c>
      <c r="CR373" s="660" t="str">
        <f t="shared" si="9"/>
        <v>Covered</v>
      </c>
      <c r="CS373" s="660"/>
      <c r="CT373" s="24"/>
      <c r="CU373" s="24"/>
      <c r="CV373" s="24"/>
    </row>
    <row r="374" spans="1:100" ht="15.75" customHeight="1" x14ac:dyDescent="0.25">
      <c r="A374" s="833" t="s">
        <v>3206</v>
      </c>
      <c r="B374" s="206" t="s">
        <v>447</v>
      </c>
      <c r="C374" s="206" t="s">
        <v>454</v>
      </c>
      <c r="D374" s="206" t="s">
        <v>455</v>
      </c>
      <c r="E374" s="206" t="s">
        <v>2762</v>
      </c>
      <c r="F374" s="206">
        <v>186</v>
      </c>
      <c r="G374" s="209">
        <v>289</v>
      </c>
      <c r="H374" s="206"/>
      <c r="I374" s="206" t="s">
        <v>449</v>
      </c>
      <c r="J374" s="207">
        <v>43356</v>
      </c>
      <c r="K374" s="206">
        <v>0</v>
      </c>
      <c r="L374" s="206" t="s">
        <v>282</v>
      </c>
      <c r="M374" s="208">
        <v>0</v>
      </c>
      <c r="N374" s="208">
        <v>0</v>
      </c>
      <c r="O374" s="316">
        <v>6</v>
      </c>
      <c r="P374" s="317">
        <v>35</v>
      </c>
      <c r="Q374" s="317">
        <v>0</v>
      </c>
      <c r="R374" s="318">
        <v>0</v>
      </c>
      <c r="S374" s="318">
        <v>7</v>
      </c>
      <c r="T374" s="318"/>
      <c r="U374" s="318">
        <v>0</v>
      </c>
      <c r="V374" s="318">
        <v>0</v>
      </c>
      <c r="W374" s="318">
        <v>0</v>
      </c>
      <c r="X374" s="318">
        <v>0</v>
      </c>
      <c r="Y374" s="318">
        <v>0</v>
      </c>
      <c r="Z374" s="318"/>
      <c r="AA374" s="310">
        <v>60</v>
      </c>
      <c r="AB374" s="310">
        <v>0</v>
      </c>
      <c r="AC374" s="66">
        <v>0</v>
      </c>
      <c r="AD374" s="66"/>
      <c r="AE374" s="310">
        <v>60</v>
      </c>
      <c r="AF374" s="310" t="s">
        <v>286</v>
      </c>
      <c r="AG374" s="311" t="s">
        <v>286</v>
      </c>
      <c r="AH374" s="311">
        <v>0</v>
      </c>
      <c r="AI374" s="310">
        <v>0</v>
      </c>
      <c r="AJ374" s="310"/>
      <c r="AK374" s="841">
        <v>0</v>
      </c>
      <c r="AL374" s="842" t="s">
        <v>284</v>
      </c>
      <c r="AM374" s="842">
        <v>0</v>
      </c>
      <c r="AN374" s="863">
        <v>0</v>
      </c>
      <c r="AO374" s="863">
        <v>1</v>
      </c>
      <c r="AP374" s="843">
        <v>0</v>
      </c>
      <c r="AQ374" s="843">
        <v>0</v>
      </c>
      <c r="AR374" s="843"/>
      <c r="AS374" s="843"/>
      <c r="AT374" s="843"/>
      <c r="AU374" s="843"/>
      <c r="AV374" s="844"/>
      <c r="AW374" s="208" t="str">
        <f>IFERROR(WWWW[[#This Row],['# of Water passed at source]]/WWWW[[#This Row],['# of Water tested at source]],"no test")</f>
        <v>no test</v>
      </c>
      <c r="AX374" s="211" t="str">
        <f>IFERROR(WWWW[[#This Row],['# of Water passed at HH]]/WWWW[[#This Row],['# of Water tested at HH]],"no test")</f>
        <v>no test</v>
      </c>
      <c r="AY374" s="210" t="str">
        <f>IF(AND(WWWW[[#This Row],[%of Water samples which passed at water source]]="no test",WWWW[[#This Row],[%Water samples which passed at HH]]="no test"),"No Test","Tested")</f>
        <v>No Test</v>
      </c>
      <c r="AZ37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7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74" s="211">
        <f>IF(WWWW[[#This Row],[Location Type 1]]="Village",WWWW[[#This Row],[Access to safe drinking water for Village]],WWWW[[#This Row],[Access to safe drinking water for Camp]])</f>
        <v>1</v>
      </c>
      <c r="BC374" s="209">
        <f>WWWW[[#This Row],[%Equitable and continuous access to sufficient quantity of safe drinking water]]*WWWW[[#This Row],[Total PoP ]]</f>
        <v>289</v>
      </c>
      <c r="BD374" s="211">
        <f>IF((WWWW[[#This Row],['# Existing protected/fenced ponds ]]*250)/WWWW[[#This Row],[Total PoP ]]&gt;1,1,WWWW[[#This Row],['# Existing protected/fenced ponds ]]*250/WWWW[[#This Row],[Total PoP ]])</f>
        <v>0</v>
      </c>
      <c r="BE374" s="209">
        <f>WWWW[[#This Row],[Access to unimproved water points]]*WWWW[[#This Row],[Total PoP ]]</f>
        <v>0</v>
      </c>
      <c r="BF37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7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289</v>
      </c>
      <c r="BH374" s="209">
        <f>WWWW[[#This Row],['#people Equitable and continuous access to sufficient quantity of domestic water borehole n ponds_2]]/500</f>
        <v>0.57799999999999996</v>
      </c>
      <c r="BI374" s="208">
        <f>1-WWWW[[#This Row],[%Equitable and continuous access to sufficient quantity of domestic water borehole n ponds]]</f>
        <v>0</v>
      </c>
      <c r="BJ374" s="209">
        <f>WWWW[[#This Row],[%equitable and continuous access to sufficient quantity of safe drinking and domestic water''s GAP]]*WWWW[[#This Row],[Total PoP ]]</f>
        <v>0</v>
      </c>
      <c r="BK374" s="210">
        <f>IF(WWWW[[#This Row],[Total required water points]]-WWWW[[#This Row],['#Water points coverage]]&lt;0,0,WWWW[[#This Row],[Total required water points]]-WWWW[[#This Row],['#Water points coverage]])</f>
        <v>0.42200000000000004</v>
      </c>
      <c r="BL374" s="210">
        <f>ROUND(IF(WWWW[[#This Row],[Total PoP ]]&lt;500,1,WWWW[[#This Row],[Total PoP ]]/500),0)</f>
        <v>1</v>
      </c>
      <c r="BM374" s="210">
        <f>WWWW[[#This Row],['# Existing functional latrines]]+WWWW[[#This Row],['# Existing latrines dysfunctional]]</f>
        <v>60</v>
      </c>
      <c r="BN37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74" s="352">
        <f>WWWW[[#This Row],[% people access to functioning Latrine]]*WWWW[[#This Row],[Total PoP ]]</f>
        <v>289</v>
      </c>
      <c r="BP37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74" s="209">
        <f>IF(WWWW[[#This Row],[Total required Latrines]]-WWWW[[#This Row],[Total '# of latrine]]&lt;0,0,WWWW[[#This Row],[Total required Latrines]]-WWWW[[#This Row],[Total '# of latrine]])</f>
        <v>0</v>
      </c>
      <c r="BR374" s="210">
        <f>ROUND(IF(WWWW[[#This Row],[Location Type 1]]="camp",WWWW[[#This Row],[Total PoP ]]/20,WWWW[[#This Row],[Total PoP ]]/6),0)</f>
        <v>48</v>
      </c>
      <c r="BS374" s="212">
        <f>IF(OR(WWWW[[#This Row],['# Existing latrines dysfunctional]]="",WWWW[[#This Row],['# Existing latrines dysfunctional]]=0),0,WWWW[[#This Row],['# Existing latrines dysfunctional]]/WWWW[[#This Row],[Total '# of latrine]])</f>
        <v>0</v>
      </c>
      <c r="BT37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74" s="209">
        <f>IF(500*WWWW[[#This Row],['# Hygiene Promoters ]]&gt;WWWW[[#This Row],[Total PoP ]],WWWW[[#This Row],[Total PoP ]],500*WWWW[[#This Row],['# Hygiene Promoters ]])</f>
        <v>289</v>
      </c>
      <c r="BV374" s="209">
        <f>IF(WWWW[[#This Row],[% of HH with access to Sanitary Pad]]&gt;=100%,1,0)</f>
        <v>0</v>
      </c>
      <c r="BW374" s="209">
        <f>IF(WWWW[[#This Row],[Total PoP ]]=0,0,IF(WWWW[[#This Row],['# Hygiene Promoters ]]=0,0,IF(WWWW[[#This Row],[Location Type 1]]="Village",IF(WWWW[[#This Row],[Total PoP ]]/WWWW[[#This Row],['# Hygiene Promoters ]]&lt;1000,1,0),IF(WWWW[[#This Row],[Total PoP ]]/WWWW[[#This Row],['# Hygiene Promoters ]]&lt;600,1,0))))</f>
        <v>1</v>
      </c>
      <c r="BX374" s="209">
        <f>IF(WWWW[[#This Row],[%HH with access to soap]]&gt;=100%,1,0)</f>
        <v>0</v>
      </c>
      <c r="BY374" s="209">
        <f>IF(WWWW[[#This Row],[% of HHs with access to Sanitary pad more than '#%]]+WWWW[[#This Row],[Ratio of Hyiene promoters to people less than '#]]+WWWW[[#This Row],[% of HHs with access to soap more than '#%]]&gt;=2,WWWW[[#This Row],[Total PoP ]],0)</f>
        <v>0</v>
      </c>
      <c r="BZ374" s="208">
        <f>WWWW[[#This Row],[People adopt basic personal and community hygiene practices]]/WWWW[[#This Row],[Total PoP ]]</f>
        <v>0</v>
      </c>
      <c r="CA374" s="212">
        <f>1-WWWW[[#This Row],[Hygiene Coverage%]]</f>
        <v>1</v>
      </c>
      <c r="CB374" s="211">
        <f>WWWW[[#This Row],['# people reached by regular dedicated hygiene promotion_5]]/WWWW[[#This Row],[Total PoP ]]</f>
        <v>1</v>
      </c>
      <c r="CC374" s="211">
        <f>IF(WWWW[[#This Row],['# HH received soaps]]/WWWW[[#This Row],[Total HH]]&gt;1,1,WWWW[[#This Row],['# HH received soaps]]/WWWW[[#This Row],[Total HH]])</f>
        <v>0</v>
      </c>
      <c r="CD374" s="211">
        <f>IF(WWWW[[#This Row],['# HH received Sanitary Pads]]/WWWW[[#This Row],[Total HH]]&gt;1,1,WWWW[[#This Row],['# HH received Sanitary Pads]]/WWWW[[#This Row],[Total HH]])</f>
        <v>0</v>
      </c>
      <c r="CE374" s="210">
        <f>WWWW[[#This Row],['# HH received soaps]]*5</f>
        <v>0</v>
      </c>
      <c r="CF374" s="210">
        <f>WWWW[[#This Row],['# HH received Sanitary Pads]]*5</f>
        <v>0</v>
      </c>
      <c r="CG374" s="210">
        <f>IF(WWWW[[#This Row],['# People with access to soap]]&gt;WWWW[[#This Row],['# People with access to Sanity Pads]],WWWW[[#This Row],['# People with access to soap]],WWWW[[#This Row],['# People with access to Sanity Pads]])</f>
        <v>0</v>
      </c>
      <c r="CH374" s="209">
        <f>WWWW[[#This Row],[Total HH]]*WWWW[[#This Row],[%HHs with access to functional hand washing stations]]</f>
        <v>0</v>
      </c>
      <c r="CI374" s="699">
        <f>VLOOKUP(WWWW[[#This Row],[Site Name]],SiteDB6[[Site Name]:[CCCM Management]],6,FALSE)</f>
        <v>0</v>
      </c>
      <c r="CJ374" s="699">
        <f>VLOOKUP(WWWW[[#This Row],[Site Name]],SiteDB6[[Site Name]:[CCCM Focal Agency]],7,FALSE)</f>
        <v>0</v>
      </c>
      <c r="CK374" s="699" t="str">
        <f>VLOOKUP(WWWW[[#This Row],[Site Name]],SiteDB6[[Site Name]:[Location Type]],8,FALSE)</f>
        <v>Village</v>
      </c>
      <c r="CL374" s="699" t="str">
        <f>VLOOKUP(WWWW[[#This Row],[Site Name]],SiteDB6[[Site Name]:[Location Type 1]],9,FALSE)</f>
        <v>Village</v>
      </c>
      <c r="CM374" s="699" t="str">
        <f>VLOOKUP(WWWW[[#This Row],[Site Name]],SiteDB6[[Site Name]:[Type of Accommodation]],10,FALSE)</f>
        <v>Village</v>
      </c>
      <c r="CN374" s="699" t="str">
        <f>VLOOKUP(WWWW[[#This Row],[Site Name]],SiteDB6[[Site Name]:[Ethnic or GCA/NGCA]],11,FALSE)</f>
        <v>rakhine</v>
      </c>
      <c r="CO374" s="699">
        <f>VLOOKUP(WWWW[[#This Row],[Site Name]],SiteDB6[[Site Name]:[Lat]],12,FALSE)</f>
        <v>20.2369709014893</v>
      </c>
      <c r="CP374" s="699">
        <f>VLOOKUP(WWWW[[#This Row],[Site Name]],SiteDB6[[Site Name]:[Long]],13,FALSE)</f>
        <v>92.877876281738295</v>
      </c>
      <c r="CQ374" s="699">
        <f>VLOOKUP(WWWW[[#This Row],[Site Name]],SiteDB6[[Site Name]:[Pcode]],3,FALSE)</f>
        <v>196179</v>
      </c>
      <c r="CR374" s="660" t="str">
        <f t="shared" si="9"/>
        <v>Covered</v>
      </c>
      <c r="CS374" s="660"/>
      <c r="CT374" s="24"/>
      <c r="CU374" s="24"/>
      <c r="CV374" s="24"/>
    </row>
    <row r="375" spans="1:100" ht="15.75" customHeight="1" x14ac:dyDescent="0.25">
      <c r="A375" s="833" t="s">
        <v>3206</v>
      </c>
      <c r="B375" s="206" t="s">
        <v>426</v>
      </c>
      <c r="C375" s="206" t="s">
        <v>454</v>
      </c>
      <c r="D375" s="206" t="s">
        <v>455</v>
      </c>
      <c r="E375" s="206" t="s">
        <v>584</v>
      </c>
      <c r="F375" s="206">
        <v>1897</v>
      </c>
      <c r="G375" s="209">
        <v>9775</v>
      </c>
      <c r="H375" s="206"/>
      <c r="I375" s="206" t="s">
        <v>47</v>
      </c>
      <c r="J375" s="207">
        <v>44104</v>
      </c>
      <c r="K375" s="206">
        <v>0</v>
      </c>
      <c r="L375" s="206" t="s">
        <v>282</v>
      </c>
      <c r="M375" s="208">
        <v>0</v>
      </c>
      <c r="N375" s="208">
        <v>0</v>
      </c>
      <c r="O375" s="316">
        <v>0</v>
      </c>
      <c r="P375" s="872">
        <v>37</v>
      </c>
      <c r="Q375" s="317">
        <v>0</v>
      </c>
      <c r="R375" s="318">
        <v>0</v>
      </c>
      <c r="S375" s="872">
        <v>64</v>
      </c>
      <c r="T375" s="318"/>
      <c r="U375" s="318">
        <v>69</v>
      </c>
      <c r="V375" s="318">
        <v>34</v>
      </c>
      <c r="W375" s="318">
        <v>96</v>
      </c>
      <c r="X375" s="318">
        <v>13</v>
      </c>
      <c r="Y375" s="318">
        <v>0</v>
      </c>
      <c r="Z375" s="318" t="s">
        <v>2783</v>
      </c>
      <c r="AA375" s="336">
        <v>199</v>
      </c>
      <c r="AB375" s="866">
        <v>48</v>
      </c>
      <c r="AC375" s="866">
        <v>213</v>
      </c>
      <c r="AD375" s="66"/>
      <c r="AE375" s="310">
        <v>240</v>
      </c>
      <c r="AF375" s="310" t="s">
        <v>283</v>
      </c>
      <c r="AG375" s="311" t="s">
        <v>283</v>
      </c>
      <c r="AH375" s="311">
        <v>0</v>
      </c>
      <c r="AI375" s="310">
        <v>0</v>
      </c>
      <c r="AJ375" s="310"/>
      <c r="AK375" s="841">
        <v>1</v>
      </c>
      <c r="AL375" s="842" t="s">
        <v>284</v>
      </c>
      <c r="AM375" s="842">
        <v>0</v>
      </c>
      <c r="AN375" s="863">
        <v>0</v>
      </c>
      <c r="AO375" s="863">
        <v>4</v>
      </c>
      <c r="AP375" s="874">
        <v>1893</v>
      </c>
      <c r="AQ375" s="875">
        <v>1893</v>
      </c>
      <c r="AR375" s="843" t="s">
        <v>282</v>
      </c>
      <c r="AS375" s="843"/>
      <c r="AT375" s="843"/>
      <c r="AU375" s="843"/>
      <c r="AV375" s="844"/>
      <c r="AW375" s="208">
        <f>IFERROR(WWWW[[#This Row],['# of Water passed at source]]/WWWW[[#This Row],['# of Water tested at source]],"no test")</f>
        <v>0.49275362318840582</v>
      </c>
      <c r="AX375" s="211">
        <f>IFERROR(WWWW[[#This Row],['# of Water passed at HH]]/WWWW[[#This Row],['# of Water tested at HH]],"no test")</f>
        <v>0.13541666666666666</v>
      </c>
      <c r="AY375" s="210" t="str">
        <f>IF(AND(WWWW[[#This Row],[%of Water samples which passed at water source]]="no test",WWWW[[#This Row],[%Water samples which passed at HH]]="no test"),"No Test","Tested")</f>
        <v>Tested</v>
      </c>
      <c r="AZ37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7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0.94629156010230175</v>
      </c>
      <c r="BB375" s="211">
        <f>IF(WWWW[[#This Row],[Location Type 1]]="Village",WWWW[[#This Row],[Access to safe drinking water for Village]],WWWW[[#This Row],[Access to safe drinking water for Camp]])</f>
        <v>1</v>
      </c>
      <c r="BC375" s="209">
        <f>WWWW[[#This Row],[%Equitable and continuous access to sufficient quantity of safe drinking water]]*WWWW[[#This Row],[Total PoP ]]</f>
        <v>9775</v>
      </c>
      <c r="BD375" s="211">
        <f>IF((WWWW[[#This Row],['# Existing protected/fenced ponds ]]*250)/WWWW[[#This Row],[Total PoP ]]&gt;1,1,WWWW[[#This Row],['# Existing protected/fenced ponds ]]*250/WWWW[[#This Row],[Total PoP ]])</f>
        <v>0</v>
      </c>
      <c r="BE375" s="209">
        <f>WWWW[[#This Row],[Access to unimproved water points]]*WWWW[[#This Row],[Total PoP ]]</f>
        <v>0</v>
      </c>
      <c r="BF37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7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9775</v>
      </c>
      <c r="BH375" s="209">
        <f>WWWW[[#This Row],['#people Equitable and continuous access to sufficient quantity of domestic water borehole n ponds_2]]/500</f>
        <v>19.55</v>
      </c>
      <c r="BI375" s="208">
        <f>1-WWWW[[#This Row],[%Equitable and continuous access to sufficient quantity of domestic water borehole n ponds]]</f>
        <v>0</v>
      </c>
      <c r="BJ375" s="209">
        <f>WWWW[[#This Row],[%equitable and continuous access to sufficient quantity of safe drinking and domestic water''s GAP]]*WWWW[[#This Row],[Total PoP ]]</f>
        <v>0</v>
      </c>
      <c r="BK375" s="210">
        <f>IF(WWWW[[#This Row],[Total required water points]]-WWWW[[#This Row],['#Water points coverage]]&lt;0,0,WWWW[[#This Row],[Total required water points]]-WWWW[[#This Row],['#Water points coverage]])</f>
        <v>0.44999999999999929</v>
      </c>
      <c r="BL375" s="210">
        <f>ROUND(IF(WWWW[[#This Row],[Total PoP ]]&lt;500,1,WWWW[[#This Row],[Total PoP ]]/500),0)</f>
        <v>20</v>
      </c>
      <c r="BM375" s="210">
        <f>WWWW[[#This Row],['# Existing functional latrines]]+WWWW[[#This Row],['# Existing latrines dysfunctional]]</f>
        <v>247</v>
      </c>
      <c r="BN37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0.40716112531969312</v>
      </c>
      <c r="BO375" s="352">
        <f>WWWW[[#This Row],[% people access to functioning Latrine]]*WWWW[[#This Row],[Total PoP ]]</f>
        <v>3980.0000000000005</v>
      </c>
      <c r="BP37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0.49514066496163683</v>
      </c>
      <c r="BQ375" s="209">
        <f>IF(WWWW[[#This Row],[Total required Latrines]]-WWWW[[#This Row],[Total '# of latrine]]&lt;0,0,WWWW[[#This Row],[Total required Latrines]]-WWWW[[#This Row],[Total '# of latrine]])</f>
        <v>242</v>
      </c>
      <c r="BR375" s="210">
        <f>ROUND(IF(WWWW[[#This Row],[Location Type 1]]="camp",WWWW[[#This Row],[Total PoP ]]/20,WWWW[[#This Row],[Total PoP ]]/6),0)</f>
        <v>489</v>
      </c>
      <c r="BS375" s="212">
        <f>IF(OR(WWWW[[#This Row],['# Existing latrines dysfunctional]]="",WWWW[[#This Row],['# Existing latrines dysfunctional]]=0),0,WWWW[[#This Row],['# Existing latrines dysfunctional]]/WWWW[[#This Row],[Total '# of latrine]])</f>
        <v>0.19433198380566802</v>
      </c>
      <c r="BT37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4260</v>
      </c>
      <c r="BU375" s="209">
        <f>IF(500*WWWW[[#This Row],['# Hygiene Promoters ]]&gt;WWWW[[#This Row],[Total PoP ]],WWWW[[#This Row],[Total PoP ]],500*WWWW[[#This Row],['# Hygiene Promoters ]])</f>
        <v>2000</v>
      </c>
      <c r="BV375" s="209">
        <f>IF(WWWW[[#This Row],[% of HH with access to Sanitary Pad]]&gt;=100%,1,0)</f>
        <v>0</v>
      </c>
      <c r="BW375" s="209">
        <f>IF(WWWW[[#This Row],[Total PoP ]]=0,0,IF(WWWW[[#This Row],['# Hygiene Promoters ]]=0,0,IF(WWWW[[#This Row],[Location Type 1]]="Village",IF(WWWW[[#This Row],[Total PoP ]]/WWWW[[#This Row],['# Hygiene Promoters ]]&lt;1000,1,0),IF(WWWW[[#This Row],[Total PoP ]]/WWWW[[#This Row],['# Hygiene Promoters ]]&lt;600,1,0))))</f>
        <v>0</v>
      </c>
      <c r="BX375" s="209">
        <f>IF(WWWW[[#This Row],[%HH with access to soap]]&gt;=100%,1,0)</f>
        <v>0</v>
      </c>
      <c r="BY375" s="209">
        <f>IF(WWWW[[#This Row],[% of HHs with access to Sanitary pad more than '#%]]+WWWW[[#This Row],[Ratio of Hyiene promoters to people less than '#]]+WWWW[[#This Row],[% of HHs with access to soap more than '#%]]&gt;=2,WWWW[[#This Row],[Total PoP ]],0)</f>
        <v>0</v>
      </c>
      <c r="BZ375" s="208">
        <f>WWWW[[#This Row],[People adopt basic personal and community hygiene practices]]/WWWW[[#This Row],[Total PoP ]]</f>
        <v>0</v>
      </c>
      <c r="CA375" s="212">
        <f>1-WWWW[[#This Row],[Hygiene Coverage%]]</f>
        <v>1</v>
      </c>
      <c r="CB375" s="211">
        <f>WWWW[[#This Row],['# people reached by regular dedicated hygiene promotion_5]]/WWWW[[#This Row],[Total PoP ]]</f>
        <v>0.20460358056265984</v>
      </c>
      <c r="CC375" s="211">
        <f>IF(WWWW[[#This Row],['# HH received soaps]]/WWWW[[#This Row],[Total HH]]&gt;1,1,WWWW[[#This Row],['# HH received soaps]]/WWWW[[#This Row],[Total HH]])</f>
        <v>0.99789140748550342</v>
      </c>
      <c r="CD375" s="211">
        <f>IF(WWWW[[#This Row],['# HH received Sanitary Pads]]/WWWW[[#This Row],[Total HH]]&gt;1,1,WWWW[[#This Row],['# HH received Sanitary Pads]]/WWWW[[#This Row],[Total HH]])</f>
        <v>0.99789140748550342</v>
      </c>
      <c r="CE375" s="210">
        <f>WWWW[[#This Row],['# HH received soaps]]*5</f>
        <v>9465</v>
      </c>
      <c r="CF375" s="210">
        <f>WWWW[[#This Row],['# HH received Sanitary Pads]]*5</f>
        <v>9465</v>
      </c>
      <c r="CG375" s="210">
        <f>IF(WWWW[[#This Row],['# People with access to soap]]&gt;WWWW[[#This Row],['# People with access to Sanity Pads]],WWWW[[#This Row],['# People with access to soap]],WWWW[[#This Row],['# People with access to Sanity Pads]])</f>
        <v>9465</v>
      </c>
      <c r="CH375" s="209">
        <f>WWWW[[#This Row],[Total HH]]*WWWW[[#This Row],[%HHs with access to functional hand washing stations]]</f>
        <v>1897</v>
      </c>
      <c r="CI375" s="699" t="str">
        <f>VLOOKUP(WWWW[[#This Row],[Site Name]],SiteDB6[[Site Name]:[CCCM Management]],6,FALSE)</f>
        <v>Yes</v>
      </c>
      <c r="CJ375" s="699">
        <f>VLOOKUP(WWWW[[#This Row],[Site Name]],SiteDB6[[Site Name]:[CCCM Focal Agency]],7,FALSE)</f>
        <v>0</v>
      </c>
      <c r="CK375" s="699" t="str">
        <f>VLOOKUP(WWWW[[#This Row],[Site Name]],SiteDB6[[Site Name]:[Location Type]],8,FALSE)</f>
        <v>Camp</v>
      </c>
      <c r="CL375" s="699" t="str">
        <f>VLOOKUP(WWWW[[#This Row],[Site Name]],SiteDB6[[Site Name]:[Location Type 1]],9,FALSE)</f>
        <v>Camp</v>
      </c>
      <c r="CM375" s="699" t="str">
        <f>VLOOKUP(WWWW[[#This Row],[Site Name]],SiteDB6[[Site Name]:[Type of Accommodation]],10,FALSE)</f>
        <v>Self Settled Camp</v>
      </c>
      <c r="CN375" s="699" t="str">
        <f>VLOOKUP(WWWW[[#This Row],[Site Name]],SiteDB6[[Site Name]:[Ethnic or GCA/NGCA]],11,FALSE)</f>
        <v>Muslim</v>
      </c>
      <c r="CO375" s="699">
        <f>VLOOKUP(WWWW[[#This Row],[Site Name]],SiteDB6[[Site Name]:[Lat]],12,FALSE)</f>
        <v>20.1585</v>
      </c>
      <c r="CP375" s="699">
        <f>VLOOKUP(WWWW[[#This Row],[Site Name]],SiteDB6[[Site Name]:[Long]],13,FALSE)</f>
        <v>92.839416999999997</v>
      </c>
      <c r="CQ375" s="699" t="str">
        <f>VLOOKUP(WWWW[[#This Row],[Site Name]],SiteDB6[[Site Name]:[Pcode]],3,FALSE)</f>
        <v>MMR012CMP046</v>
      </c>
      <c r="CR375" s="660" t="str">
        <f t="shared" si="9"/>
        <v>Covered</v>
      </c>
      <c r="CS375" s="660"/>
      <c r="CT375" s="24"/>
      <c r="CU375" s="24"/>
      <c r="CV375" s="24"/>
    </row>
    <row r="376" spans="1:100" ht="15.75" customHeight="1" x14ac:dyDescent="0.25">
      <c r="A376" s="833" t="s">
        <v>3206</v>
      </c>
      <c r="B376" s="206" t="s">
        <v>426</v>
      </c>
      <c r="C376" s="206" t="s">
        <v>454</v>
      </c>
      <c r="D376" s="206" t="s">
        <v>455</v>
      </c>
      <c r="E376" s="206" t="s">
        <v>857</v>
      </c>
      <c r="F376" s="206">
        <v>155</v>
      </c>
      <c r="G376" s="209">
        <v>745</v>
      </c>
      <c r="H376" s="206"/>
      <c r="I376" s="206" t="s">
        <v>47</v>
      </c>
      <c r="J376" s="207">
        <v>44104</v>
      </c>
      <c r="K376" s="206">
        <v>0</v>
      </c>
      <c r="L376" s="206" t="s">
        <v>282</v>
      </c>
      <c r="M376" s="208">
        <v>0</v>
      </c>
      <c r="N376" s="208">
        <v>0</v>
      </c>
      <c r="O376" s="316">
        <v>0</v>
      </c>
      <c r="P376" s="873">
        <v>10</v>
      </c>
      <c r="Q376" s="317">
        <v>0</v>
      </c>
      <c r="R376" s="318">
        <v>0</v>
      </c>
      <c r="S376" s="318">
        <v>10</v>
      </c>
      <c r="T376" s="318"/>
      <c r="U376" s="318">
        <v>16</v>
      </c>
      <c r="V376" s="318">
        <v>3</v>
      </c>
      <c r="W376" s="318">
        <v>13</v>
      </c>
      <c r="X376" s="318">
        <v>10</v>
      </c>
      <c r="Y376" s="318">
        <v>0</v>
      </c>
      <c r="Z376" s="318" t="s">
        <v>2783</v>
      </c>
      <c r="AA376" s="310">
        <v>0</v>
      </c>
      <c r="AB376" s="310">
        <v>0</v>
      </c>
      <c r="AC376" s="66"/>
      <c r="AD376" s="66"/>
      <c r="AE376" s="310">
        <v>0</v>
      </c>
      <c r="AF376" s="310" t="s">
        <v>332</v>
      </c>
      <c r="AG376" s="311" t="s">
        <v>332</v>
      </c>
      <c r="AH376" s="311">
        <v>0</v>
      </c>
      <c r="AI376" s="310">
        <v>0</v>
      </c>
      <c r="AJ376" s="310"/>
      <c r="AK376" s="841">
        <v>1</v>
      </c>
      <c r="AL376" s="842" t="s">
        <v>284</v>
      </c>
      <c r="AM376" s="842">
        <v>0</v>
      </c>
      <c r="AN376" s="863">
        <v>0</v>
      </c>
      <c r="AO376" s="863">
        <v>1</v>
      </c>
      <c r="AP376" s="843">
        <v>0</v>
      </c>
      <c r="AQ376" s="843">
        <v>0</v>
      </c>
      <c r="AR376" s="843" t="s">
        <v>282</v>
      </c>
      <c r="AS376" s="843"/>
      <c r="AT376" s="843"/>
      <c r="AU376" s="843"/>
      <c r="AV376" s="844"/>
      <c r="AW376" s="208">
        <f>IFERROR(WWWW[[#This Row],['# of Water passed at source]]/WWWW[[#This Row],['# of Water tested at source]],"no test")</f>
        <v>0.1875</v>
      </c>
      <c r="AX376" s="211">
        <f>IFERROR(WWWW[[#This Row],['# of Water passed at HH]]/WWWW[[#This Row],['# of Water tested at HH]],"no test")</f>
        <v>0.76923076923076927</v>
      </c>
      <c r="AY376" s="210" t="str">
        <f>IF(AND(WWWW[[#This Row],[%of Water samples which passed at water source]]="no test",WWWW[[#This Row],[%Water samples which passed at HH]]="no test"),"No Test","Tested")</f>
        <v>Tested</v>
      </c>
      <c r="AZ37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7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76" s="211">
        <f>IF(WWWW[[#This Row],[Location Type 1]]="Village",WWWW[[#This Row],[Access to safe drinking water for Village]],WWWW[[#This Row],[Access to safe drinking water for Camp]])</f>
        <v>1</v>
      </c>
      <c r="BC376" s="209">
        <f>WWWW[[#This Row],[%Equitable and continuous access to sufficient quantity of safe drinking water]]*WWWW[[#This Row],[Total PoP ]]</f>
        <v>745</v>
      </c>
      <c r="BD376" s="211">
        <f>IF((WWWW[[#This Row],['# Existing protected/fenced ponds ]]*250)/WWWW[[#This Row],[Total PoP ]]&gt;1,1,WWWW[[#This Row],['# Existing protected/fenced ponds ]]*250/WWWW[[#This Row],[Total PoP ]])</f>
        <v>0</v>
      </c>
      <c r="BE376" s="209">
        <f>WWWW[[#This Row],[Access to unimproved water points]]*WWWW[[#This Row],[Total PoP ]]</f>
        <v>0</v>
      </c>
      <c r="BF37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7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745</v>
      </c>
      <c r="BH376" s="209">
        <f>WWWW[[#This Row],['#people Equitable and continuous access to sufficient quantity of domestic water borehole n ponds_2]]/500</f>
        <v>1.49</v>
      </c>
      <c r="BI376" s="208">
        <f>1-WWWW[[#This Row],[%Equitable and continuous access to sufficient quantity of domestic water borehole n ponds]]</f>
        <v>0</v>
      </c>
      <c r="BJ376" s="209">
        <f>WWWW[[#This Row],[%equitable and continuous access to sufficient quantity of safe drinking and domestic water''s GAP]]*WWWW[[#This Row],[Total PoP ]]</f>
        <v>0</v>
      </c>
      <c r="BK376" s="210">
        <f>IF(WWWW[[#This Row],[Total required water points]]-WWWW[[#This Row],['#Water points coverage]]&lt;0,0,WWWW[[#This Row],[Total required water points]]-WWWW[[#This Row],['#Water points coverage]])</f>
        <v>0</v>
      </c>
      <c r="BL376" s="210">
        <f>ROUND(IF(WWWW[[#This Row],[Total PoP ]]&lt;500,1,WWWW[[#This Row],[Total PoP ]]/500),0)</f>
        <v>1</v>
      </c>
      <c r="BM376" s="210">
        <f>WWWW[[#This Row],['# Existing functional latrines]]+WWWW[[#This Row],['# Existing latrines dysfunctional]]</f>
        <v>0</v>
      </c>
      <c r="BN37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76" s="352">
        <f>WWWW[[#This Row],[% people access to functioning Latrine]]*WWWW[[#This Row],[Total PoP ]]</f>
        <v>0</v>
      </c>
      <c r="BP37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0.99865771812080528</v>
      </c>
      <c r="BQ376" s="209">
        <f>IF(WWWW[[#This Row],[Total required Latrines]]-WWWW[[#This Row],[Total '# of latrine]]&lt;0,0,WWWW[[#This Row],[Total required Latrines]]-WWWW[[#This Row],[Total '# of latrine]])</f>
        <v>124</v>
      </c>
      <c r="BR376" s="210">
        <f>ROUND(IF(WWWW[[#This Row],[Location Type 1]]="camp",WWWW[[#This Row],[Total PoP ]]/20,WWWW[[#This Row],[Total PoP ]]/6),0)</f>
        <v>124</v>
      </c>
      <c r="BS376" s="212">
        <f>IF(OR(WWWW[[#This Row],['# Existing latrines dysfunctional]]="",WWWW[[#This Row],['# Existing latrines dysfunctional]]=0),0,WWWW[[#This Row],['# Existing latrines dysfunctional]]/WWWW[[#This Row],[Total '# of latrine]])</f>
        <v>0</v>
      </c>
      <c r="BT37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76" s="209">
        <f>IF(500*WWWW[[#This Row],['# Hygiene Promoters ]]&gt;WWWW[[#This Row],[Total PoP ]],WWWW[[#This Row],[Total PoP ]],500*WWWW[[#This Row],['# Hygiene Promoters ]])</f>
        <v>500</v>
      </c>
      <c r="BV376" s="209">
        <f>IF(WWWW[[#This Row],[% of HH with access to Sanitary Pad]]&gt;=100%,1,0)</f>
        <v>0</v>
      </c>
      <c r="BW376" s="209">
        <f>IF(WWWW[[#This Row],[Total PoP ]]=0,0,IF(WWWW[[#This Row],['# Hygiene Promoters ]]=0,0,IF(WWWW[[#This Row],[Location Type 1]]="Village",IF(WWWW[[#This Row],[Total PoP ]]/WWWW[[#This Row],['# Hygiene Promoters ]]&lt;1000,1,0),IF(WWWW[[#This Row],[Total PoP ]]/WWWW[[#This Row],['# Hygiene Promoters ]]&lt;600,1,0))))</f>
        <v>1</v>
      </c>
      <c r="BX376" s="209">
        <f>IF(WWWW[[#This Row],[%HH with access to soap]]&gt;=100%,1,0)</f>
        <v>0</v>
      </c>
      <c r="BY376" s="209">
        <f>IF(WWWW[[#This Row],[% of HHs with access to Sanitary pad more than '#%]]+WWWW[[#This Row],[Ratio of Hyiene promoters to people less than '#]]+WWWW[[#This Row],[% of HHs with access to soap more than '#%]]&gt;=2,WWWW[[#This Row],[Total PoP ]],0)</f>
        <v>0</v>
      </c>
      <c r="BZ376" s="208">
        <f>WWWW[[#This Row],[People adopt basic personal and community hygiene practices]]/WWWW[[#This Row],[Total PoP ]]</f>
        <v>0</v>
      </c>
      <c r="CA376" s="212">
        <f>1-WWWW[[#This Row],[Hygiene Coverage%]]</f>
        <v>1</v>
      </c>
      <c r="CB376" s="211">
        <f>WWWW[[#This Row],['# people reached by regular dedicated hygiene promotion_5]]/WWWW[[#This Row],[Total PoP ]]</f>
        <v>0.67114093959731547</v>
      </c>
      <c r="CC376" s="211">
        <f>IF(WWWW[[#This Row],['# HH received soaps]]/WWWW[[#This Row],[Total HH]]&gt;1,1,WWWW[[#This Row],['# HH received soaps]]/WWWW[[#This Row],[Total HH]])</f>
        <v>0</v>
      </c>
      <c r="CD376" s="211">
        <f>IF(WWWW[[#This Row],['# HH received Sanitary Pads]]/WWWW[[#This Row],[Total HH]]&gt;1,1,WWWW[[#This Row],['# HH received Sanitary Pads]]/WWWW[[#This Row],[Total HH]])</f>
        <v>0</v>
      </c>
      <c r="CE376" s="210">
        <f>WWWW[[#This Row],['# HH received soaps]]*5</f>
        <v>0</v>
      </c>
      <c r="CF376" s="210">
        <f>WWWW[[#This Row],['# HH received Sanitary Pads]]*5</f>
        <v>0</v>
      </c>
      <c r="CG376" s="210">
        <f>IF(WWWW[[#This Row],['# People with access to soap]]&gt;WWWW[[#This Row],['# People with access to Sanity Pads]],WWWW[[#This Row],['# People with access to soap]],WWWW[[#This Row],['# People with access to Sanity Pads]])</f>
        <v>0</v>
      </c>
      <c r="CH376" s="209">
        <f>WWWW[[#This Row],[Total HH]]*WWWW[[#This Row],[%HHs with access to functional hand washing stations]]</f>
        <v>155</v>
      </c>
      <c r="CI376" s="699">
        <f>VLOOKUP(WWWW[[#This Row],[Site Name]],SiteDB6[[Site Name]:[CCCM Management]],6,FALSE)</f>
        <v>0</v>
      </c>
      <c r="CJ376" s="699">
        <f>VLOOKUP(WWWW[[#This Row],[Site Name]],SiteDB6[[Site Name]:[CCCM Focal Agency]],7,FALSE)</f>
        <v>0</v>
      </c>
      <c r="CK376" s="699" t="str">
        <f>VLOOKUP(WWWW[[#This Row],[Site Name]],SiteDB6[[Site Name]:[Location Type]],8,FALSE)</f>
        <v>Village</v>
      </c>
      <c r="CL376" s="699" t="str">
        <f>VLOOKUP(WWWW[[#This Row],[Site Name]],SiteDB6[[Site Name]:[Location Type 1]],9,FALSE)</f>
        <v>Village</v>
      </c>
      <c r="CM376" s="699" t="str">
        <f>VLOOKUP(WWWW[[#This Row],[Site Name]],SiteDB6[[Site Name]:[Type of Accommodation]],10,FALSE)</f>
        <v>Village</v>
      </c>
      <c r="CN376" s="699" t="str">
        <f>VLOOKUP(WWWW[[#This Row],[Site Name]],SiteDB6[[Site Name]:[Ethnic or GCA/NGCA]],11,FALSE)</f>
        <v>Rakhine</v>
      </c>
      <c r="CO376" s="699">
        <f>VLOOKUP(WWWW[[#This Row],[Site Name]],SiteDB6[[Site Name]:[Lat]],12,FALSE)</f>
        <v>20.162599563598601</v>
      </c>
      <c r="CP376" s="699">
        <f>VLOOKUP(WWWW[[#This Row],[Site Name]],SiteDB6[[Site Name]:[Long]],13,FALSE)</f>
        <v>92.834457397460895</v>
      </c>
      <c r="CQ376" s="699" t="str">
        <f>VLOOKUP(WWWW[[#This Row],[Site Name]],SiteDB6[[Site Name]:[Pcode]],3,FALSE)</f>
        <v>196210</v>
      </c>
      <c r="CR376" s="660" t="str">
        <f t="shared" si="9"/>
        <v>Covered</v>
      </c>
      <c r="CS376" s="660"/>
      <c r="CT376" s="24"/>
      <c r="CU376" s="24"/>
      <c r="CV376" s="24"/>
    </row>
    <row r="377" spans="1:100" ht="15.75" customHeight="1" x14ac:dyDescent="0.25">
      <c r="A377" s="833" t="s">
        <v>3206</v>
      </c>
      <c r="B377" s="206" t="s">
        <v>453</v>
      </c>
      <c r="C377" s="206" t="s">
        <v>454</v>
      </c>
      <c r="D377" s="206" t="s">
        <v>455</v>
      </c>
      <c r="E377" s="206" t="s">
        <v>462</v>
      </c>
      <c r="F377" s="206">
        <v>155</v>
      </c>
      <c r="G377" s="209">
        <v>581</v>
      </c>
      <c r="H377" s="206">
        <v>139</v>
      </c>
      <c r="I377" s="206" t="s">
        <v>2772</v>
      </c>
      <c r="J377" s="207">
        <v>43464</v>
      </c>
      <c r="K377" s="206">
        <v>0</v>
      </c>
      <c r="L377" s="206" t="s">
        <v>282</v>
      </c>
      <c r="M377" s="208">
        <v>0</v>
      </c>
      <c r="N377" s="208">
        <v>0</v>
      </c>
      <c r="O377" s="316">
        <v>0</v>
      </c>
      <c r="P377" s="317"/>
      <c r="Q377" s="317"/>
      <c r="R377" s="318"/>
      <c r="S377" s="318"/>
      <c r="T377" s="318"/>
      <c r="U377" s="318"/>
      <c r="V377" s="318"/>
      <c r="W377" s="318"/>
      <c r="X377" s="318"/>
      <c r="Y377" s="318">
        <v>7</v>
      </c>
      <c r="Z377" s="318"/>
      <c r="AA377" s="310">
        <v>8</v>
      </c>
      <c r="AB377" s="311">
        <v>9</v>
      </c>
      <c r="AC377" s="66"/>
      <c r="AD377" s="66"/>
      <c r="AE377" s="310">
        <v>12</v>
      </c>
      <c r="AF377" s="310"/>
      <c r="AG377" s="311"/>
      <c r="AH377" s="66"/>
      <c r="AI377" s="66"/>
      <c r="AJ377" s="311"/>
      <c r="AK377" s="841">
        <v>15</v>
      </c>
      <c r="AL377" s="846" t="s">
        <v>284</v>
      </c>
      <c r="AM377" s="844"/>
      <c r="AN377" s="863"/>
      <c r="AO377" s="863"/>
      <c r="AP377" s="843"/>
      <c r="AQ377" s="843"/>
      <c r="AR377" s="843"/>
      <c r="AS377" s="843"/>
      <c r="AT377" s="843"/>
      <c r="AU377" s="843"/>
      <c r="AV377" s="844"/>
      <c r="AW377" s="208" t="str">
        <f>IFERROR(WWWW[[#This Row],['# of Water passed at source]]/WWWW[[#This Row],['# of Water tested at source]],"no test")</f>
        <v>no test</v>
      </c>
      <c r="AX377" s="211" t="str">
        <f>IFERROR(WWWW[[#This Row],['# of Water passed at HH]]/WWWW[[#This Row],['# of Water tested at HH]],"no test")</f>
        <v>no test</v>
      </c>
      <c r="AY377" s="210" t="str">
        <f>IF(AND(WWWW[[#This Row],[%of Water samples which passed at water source]]="no test",WWWW[[#This Row],[%Water samples which passed at HH]]="no test"),"No Test","Tested")</f>
        <v>No Test</v>
      </c>
      <c r="AZ37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7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77" s="211">
        <f>IF(WWWW[[#This Row],[Location Type 1]]="Village",WWWW[[#This Row],[Access to safe drinking water for Village]],WWWW[[#This Row],[Access to safe drinking water for Camp]])</f>
        <v>0</v>
      </c>
      <c r="BC377" s="209">
        <f>WWWW[[#This Row],[%Equitable and continuous access to sufficient quantity of safe drinking water]]*WWWW[[#This Row],[Total PoP ]]</f>
        <v>0</v>
      </c>
      <c r="BD377" s="211">
        <f>IF((WWWW[[#This Row],['# Existing protected/fenced ponds ]]*250)/WWWW[[#This Row],[Total PoP ]]&gt;1,1,WWWW[[#This Row],['# Existing protected/fenced ponds ]]*250/WWWW[[#This Row],[Total PoP ]])</f>
        <v>0</v>
      </c>
      <c r="BE377" s="209">
        <f>WWWW[[#This Row],[Access to unimproved water points]]*WWWW[[#This Row],[Total PoP ]]</f>
        <v>0</v>
      </c>
      <c r="BF37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7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77" s="209">
        <f>WWWW[[#This Row],['#people Equitable and continuous access to sufficient quantity of domestic water borehole n ponds_2]]/500</f>
        <v>0</v>
      </c>
      <c r="BI377" s="208">
        <f>1-WWWW[[#This Row],[%Equitable and continuous access to sufficient quantity of domestic water borehole n ponds]]</f>
        <v>1</v>
      </c>
      <c r="BJ377" s="209">
        <f>WWWW[[#This Row],[%equitable and continuous access to sufficient quantity of safe drinking and domestic water''s GAP]]*WWWW[[#This Row],[Total PoP ]]</f>
        <v>581</v>
      </c>
      <c r="BK377" s="210">
        <f>IF(WWWW[[#This Row],[Total required water points]]-WWWW[[#This Row],['#Water points coverage]]&lt;0,0,WWWW[[#This Row],[Total required water points]]-WWWW[[#This Row],['#Water points coverage]])</f>
        <v>1</v>
      </c>
      <c r="BL377" s="210">
        <f>ROUND(IF(WWWW[[#This Row],[Total PoP ]]&lt;500,1,WWWW[[#This Row],[Total PoP ]]/500),0)</f>
        <v>1</v>
      </c>
      <c r="BM377" s="210">
        <f>WWWW[[#This Row],['# Existing functional latrines]]+WWWW[[#This Row],['# Existing latrines dysfunctional]]</f>
        <v>17</v>
      </c>
      <c r="BN37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8.2616179001721177E-2</v>
      </c>
      <c r="BO377" s="352">
        <f>WWWW[[#This Row],[% people access to functioning Latrine]]*WWWW[[#This Row],[Total PoP ]]</f>
        <v>48.000000000000007</v>
      </c>
      <c r="BP37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0.82616179001721179</v>
      </c>
      <c r="BQ377" s="209">
        <f>IF(WWWW[[#This Row],[Total required Latrines]]-WWWW[[#This Row],[Total '# of latrine]]&lt;0,0,WWWW[[#This Row],[Total required Latrines]]-WWWW[[#This Row],[Total '# of latrine]])</f>
        <v>80</v>
      </c>
      <c r="BR377" s="210">
        <f>ROUND(IF(WWWW[[#This Row],[Location Type 1]]="camp",WWWW[[#This Row],[Total PoP ]]/20,WWWW[[#This Row],[Total PoP ]]/6),0)</f>
        <v>97</v>
      </c>
      <c r="BS377" s="212">
        <f>IF(OR(WWWW[[#This Row],['# Existing latrines dysfunctional]]="",WWWW[[#This Row],['# Existing latrines dysfunctional]]=0),0,WWWW[[#This Row],['# Existing latrines dysfunctional]]/WWWW[[#This Row],[Total '# of latrine]])</f>
        <v>0.52941176470588236</v>
      </c>
      <c r="BT37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77" s="209">
        <f>IF(500*WWWW[[#This Row],['# Hygiene Promoters ]]&gt;WWWW[[#This Row],[Total PoP ]],WWWW[[#This Row],[Total PoP ]],500*WWWW[[#This Row],['# Hygiene Promoters ]])</f>
        <v>0</v>
      </c>
      <c r="BV377" s="209">
        <f>IF(WWWW[[#This Row],[% of HH with access to Sanitary Pad]]&gt;=100%,1,0)</f>
        <v>0</v>
      </c>
      <c r="BW377" s="209">
        <f>IF(WWWW[[#This Row],[Total PoP ]]=0,0,IF(WWWW[[#This Row],['# Hygiene Promoters ]]=0,0,IF(WWWW[[#This Row],[Location Type 1]]="Village",IF(WWWW[[#This Row],[Total PoP ]]/WWWW[[#This Row],['# Hygiene Promoters ]]&lt;1000,1,0),IF(WWWW[[#This Row],[Total PoP ]]/WWWW[[#This Row],['# Hygiene Promoters ]]&lt;600,1,0))))</f>
        <v>0</v>
      </c>
      <c r="BX377" s="209">
        <f>IF(WWWW[[#This Row],[%HH with access to soap]]&gt;=100%,1,0)</f>
        <v>0</v>
      </c>
      <c r="BY377" s="209">
        <f>IF(WWWW[[#This Row],[% of HHs with access to Sanitary pad more than '#%]]+WWWW[[#This Row],[Ratio of Hyiene promoters to people less than '#]]+WWWW[[#This Row],[% of HHs with access to soap more than '#%]]&gt;=2,WWWW[[#This Row],[Total PoP ]],0)</f>
        <v>0</v>
      </c>
      <c r="BZ377" s="208">
        <f>WWWW[[#This Row],[People adopt basic personal and community hygiene practices]]/WWWW[[#This Row],[Total PoP ]]</f>
        <v>0</v>
      </c>
      <c r="CA377" s="212">
        <f>1-WWWW[[#This Row],[Hygiene Coverage%]]</f>
        <v>1</v>
      </c>
      <c r="CB377" s="211">
        <f>WWWW[[#This Row],['# people reached by regular dedicated hygiene promotion_5]]/WWWW[[#This Row],[Total PoP ]]</f>
        <v>0</v>
      </c>
      <c r="CC377" s="211">
        <f>IF(WWWW[[#This Row],['# HH received soaps]]/WWWW[[#This Row],[Total HH]]&gt;1,1,WWWW[[#This Row],['# HH received soaps]]/WWWW[[#This Row],[Total HH]])</f>
        <v>0</v>
      </c>
      <c r="CD377" s="211">
        <f>IF(WWWW[[#This Row],['# HH received Sanitary Pads]]/WWWW[[#This Row],[Total HH]]&gt;1,1,WWWW[[#This Row],['# HH received Sanitary Pads]]/WWWW[[#This Row],[Total HH]])</f>
        <v>0</v>
      </c>
      <c r="CE377" s="210">
        <f>WWWW[[#This Row],['# HH received soaps]]*5</f>
        <v>0</v>
      </c>
      <c r="CF377" s="210">
        <f>WWWW[[#This Row],['# HH received Sanitary Pads]]*5</f>
        <v>0</v>
      </c>
      <c r="CG377" s="210">
        <f>IF(WWWW[[#This Row],['# People with access to soap]]&gt;WWWW[[#This Row],['# People with access to Sanity Pads]],WWWW[[#This Row],['# People with access to soap]],WWWW[[#This Row],['# People with access to Sanity Pads]])</f>
        <v>0</v>
      </c>
      <c r="CH377" s="209">
        <f>WWWW[[#This Row],[Total HH]]*WWWW[[#This Row],[%HHs with access to functional hand washing stations]]</f>
        <v>2325</v>
      </c>
      <c r="CI377" s="699">
        <f>VLOOKUP(WWWW[[#This Row],[Site Name]],SiteDB6[[Site Name]:[CCCM Management]],6,FALSE)</f>
        <v>0</v>
      </c>
      <c r="CJ377" s="699">
        <f>VLOOKUP(WWWW[[#This Row],[Site Name]],SiteDB6[[Site Name]:[CCCM Focal Agency]],7,FALSE)</f>
        <v>0</v>
      </c>
      <c r="CK377" s="699" t="str">
        <f>VLOOKUP(WWWW[[#This Row],[Site Name]],SiteDB6[[Site Name]:[Location Type]],8,FALSE)</f>
        <v>Village</v>
      </c>
      <c r="CL377" s="699" t="str">
        <f>VLOOKUP(WWWW[[#This Row],[Site Name]],SiteDB6[[Site Name]:[Location Type 1]],9,FALSE)</f>
        <v>Village</v>
      </c>
      <c r="CM377" s="699" t="str">
        <f>VLOOKUP(WWWW[[#This Row],[Site Name]],SiteDB6[[Site Name]:[Type of Accommodation]],10,FALSE)</f>
        <v>Village</v>
      </c>
      <c r="CN377" s="699" t="str">
        <f>VLOOKUP(WWWW[[#This Row],[Site Name]],SiteDB6[[Site Name]:[Ethnic or GCA/NGCA]],11,FALSE)</f>
        <v>Muslim</v>
      </c>
      <c r="CO377" s="699">
        <f>VLOOKUP(WWWW[[#This Row],[Site Name]],SiteDB6[[Site Name]:[Lat]],12,FALSE)</f>
        <v>0</v>
      </c>
      <c r="CP377" s="699">
        <f>VLOOKUP(WWWW[[#This Row],[Site Name]],SiteDB6[[Site Name]:[Long]],13,FALSE)</f>
        <v>0</v>
      </c>
      <c r="CQ377" s="699">
        <f>VLOOKUP(WWWW[[#This Row],[Site Name]],SiteDB6[[Site Name]:[Pcode]],3,FALSE)</f>
        <v>0</v>
      </c>
      <c r="CR377" s="660" t="str">
        <f t="shared" si="9"/>
        <v>Covered</v>
      </c>
      <c r="CS377" s="699"/>
      <c r="CT377" s="24"/>
      <c r="CU377" s="24"/>
      <c r="CV377" s="24"/>
    </row>
    <row r="378" spans="1:100" ht="15.75" customHeight="1" x14ac:dyDescent="0.25">
      <c r="A378" s="833" t="s">
        <v>3206</v>
      </c>
      <c r="B378" s="206" t="s">
        <v>460</v>
      </c>
      <c r="C378" s="206" t="s">
        <v>454</v>
      </c>
      <c r="D378" s="206" t="s">
        <v>455</v>
      </c>
      <c r="E378" s="206" t="s">
        <v>583</v>
      </c>
      <c r="F378" s="206">
        <v>251</v>
      </c>
      <c r="G378" s="209">
        <v>1820</v>
      </c>
      <c r="H378" s="206"/>
      <c r="I378" s="206"/>
      <c r="J378" s="207"/>
      <c r="K378" s="206"/>
      <c r="L378" s="206" t="s">
        <v>282</v>
      </c>
      <c r="M378" s="208">
        <v>0</v>
      </c>
      <c r="N378" s="208">
        <v>0</v>
      </c>
      <c r="O378" s="316">
        <v>0</v>
      </c>
      <c r="P378" s="317">
        <v>33</v>
      </c>
      <c r="Q378" s="317">
        <v>0</v>
      </c>
      <c r="R378" s="318">
        <v>0</v>
      </c>
      <c r="S378" s="318">
        <v>0</v>
      </c>
      <c r="T378" s="318"/>
      <c r="U378" s="318"/>
      <c r="V378" s="318"/>
      <c r="W378" s="318"/>
      <c r="X378" s="318"/>
      <c r="Y378" s="318"/>
      <c r="Z378" s="318"/>
      <c r="AA378" s="310">
        <v>0</v>
      </c>
      <c r="AB378" s="310">
        <v>0</v>
      </c>
      <c r="AC378" s="66"/>
      <c r="AD378" s="66"/>
      <c r="AE378" s="310">
        <v>0</v>
      </c>
      <c r="AF378" s="310" t="s">
        <v>286</v>
      </c>
      <c r="AG378" s="311" t="s">
        <v>286</v>
      </c>
      <c r="AH378" s="311"/>
      <c r="AI378" s="310"/>
      <c r="AJ378" s="310"/>
      <c r="AK378" s="841">
        <v>0</v>
      </c>
      <c r="AL378" s="842" t="s">
        <v>284</v>
      </c>
      <c r="AM378" s="842">
        <v>0</v>
      </c>
      <c r="AN378" s="863">
        <v>0</v>
      </c>
      <c r="AO378" s="863">
        <v>1</v>
      </c>
      <c r="AP378" s="843"/>
      <c r="AQ378" s="843"/>
      <c r="AR378" s="843"/>
      <c r="AS378" s="843"/>
      <c r="AT378" s="843"/>
      <c r="AU378" s="843"/>
      <c r="AV378" s="844"/>
      <c r="AW378" s="208" t="str">
        <f>IFERROR(WWWW[[#This Row],['# of Water passed at source]]/WWWW[[#This Row],['# of Water tested at source]],"no test")</f>
        <v>no test</v>
      </c>
      <c r="AX378" s="211" t="str">
        <f>IFERROR(WWWW[[#This Row],['# of Water passed at HH]]/WWWW[[#This Row],['# of Water tested at HH]],"no test")</f>
        <v>no test</v>
      </c>
      <c r="AY378" s="210" t="str">
        <f>IF(AND(WWWW[[#This Row],[%of Water samples which passed at water source]]="no test",WWWW[[#This Row],[%Water samples which passed at HH]]="no test"),"No Test","Tested")</f>
        <v>No Test</v>
      </c>
      <c r="AZ37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7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78" s="211">
        <f>IF(WWWW[[#This Row],[Location Type 1]]="Village",WWWW[[#This Row],[Access to safe drinking water for Village]],WWWW[[#This Row],[Access to safe drinking water for Camp]])</f>
        <v>1</v>
      </c>
      <c r="BC378" s="209">
        <f>WWWW[[#This Row],[%Equitable and continuous access to sufficient quantity of safe drinking water]]*WWWW[[#This Row],[Total PoP ]]</f>
        <v>1820</v>
      </c>
      <c r="BD378" s="211">
        <f>IF((WWWW[[#This Row],['# Existing protected/fenced ponds ]]*250)/WWWW[[#This Row],[Total PoP ]]&gt;1,1,WWWW[[#This Row],['# Existing protected/fenced ponds ]]*250/WWWW[[#This Row],[Total PoP ]])</f>
        <v>0</v>
      </c>
      <c r="BE378" s="209">
        <f>WWWW[[#This Row],[Access to unimproved water points]]*WWWW[[#This Row],[Total PoP ]]</f>
        <v>0</v>
      </c>
      <c r="BF37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7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1820</v>
      </c>
      <c r="BH378" s="209">
        <f>WWWW[[#This Row],['#people Equitable and continuous access to sufficient quantity of domestic water borehole n ponds_2]]/500</f>
        <v>3.64</v>
      </c>
      <c r="BI378" s="208">
        <f>1-WWWW[[#This Row],[%Equitable and continuous access to sufficient quantity of domestic water borehole n ponds]]</f>
        <v>0</v>
      </c>
      <c r="BJ378" s="209">
        <f>WWWW[[#This Row],[%equitable and continuous access to sufficient quantity of safe drinking and domestic water''s GAP]]*WWWW[[#This Row],[Total PoP ]]</f>
        <v>0</v>
      </c>
      <c r="BK378" s="210">
        <f>IF(WWWW[[#This Row],[Total required water points]]-WWWW[[#This Row],['#Water points coverage]]&lt;0,0,WWWW[[#This Row],[Total required water points]]-WWWW[[#This Row],['#Water points coverage]])</f>
        <v>0.35999999999999988</v>
      </c>
      <c r="BL378" s="210">
        <f>ROUND(IF(WWWW[[#This Row],[Total PoP ]]&lt;500,1,WWWW[[#This Row],[Total PoP ]]/500),0)</f>
        <v>4</v>
      </c>
      <c r="BM378" s="210">
        <f>WWWW[[#This Row],['# Existing functional latrines]]+WWWW[[#This Row],['# Existing latrines dysfunctional]]</f>
        <v>0</v>
      </c>
      <c r="BN37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78" s="352">
        <f>WWWW[[#This Row],[% people access to functioning Latrine]]*WWWW[[#This Row],[Total PoP ]]</f>
        <v>0</v>
      </c>
      <c r="BP37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0.99890109890109902</v>
      </c>
      <c r="BQ378" s="209">
        <f>IF(WWWW[[#This Row],[Total required Latrines]]-WWWW[[#This Row],[Total '# of latrine]]&lt;0,0,WWWW[[#This Row],[Total required Latrines]]-WWWW[[#This Row],[Total '# of latrine]])</f>
        <v>303</v>
      </c>
      <c r="BR378" s="210">
        <f>ROUND(IF(WWWW[[#This Row],[Location Type 1]]="camp",WWWW[[#This Row],[Total PoP ]]/20,WWWW[[#This Row],[Total PoP ]]/6),0)</f>
        <v>303</v>
      </c>
      <c r="BS378" s="212">
        <f>IF(OR(WWWW[[#This Row],['# Existing latrines dysfunctional]]="",WWWW[[#This Row],['# Existing latrines dysfunctional]]=0),0,WWWW[[#This Row],['# Existing latrines dysfunctional]]/WWWW[[#This Row],[Total '# of latrine]])</f>
        <v>0</v>
      </c>
      <c r="BT378"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78" s="209">
        <f>IF(500*WWWW[[#This Row],['# Hygiene Promoters ]]&gt;WWWW[[#This Row],[Total PoP ]],WWWW[[#This Row],[Total PoP ]],500*WWWW[[#This Row],['# Hygiene Promoters ]])</f>
        <v>500</v>
      </c>
      <c r="BV378" s="209">
        <f>IF(WWWW[[#This Row],[% of HH with access to Sanitary Pad]]&gt;=100%,1,0)</f>
        <v>0</v>
      </c>
      <c r="BW378" s="209">
        <f>IF(WWWW[[#This Row],[Total PoP ]]=0,0,IF(WWWW[[#This Row],['# Hygiene Promoters ]]=0,0,IF(WWWW[[#This Row],[Location Type 1]]="Village",IF(WWWW[[#This Row],[Total PoP ]]/WWWW[[#This Row],['# Hygiene Promoters ]]&lt;1000,1,0),IF(WWWW[[#This Row],[Total PoP ]]/WWWW[[#This Row],['# Hygiene Promoters ]]&lt;600,1,0))))</f>
        <v>0</v>
      </c>
      <c r="BX378" s="209">
        <f>IF(WWWW[[#This Row],[%HH with access to soap]]&gt;=100%,1,0)</f>
        <v>0</v>
      </c>
      <c r="BY378" s="209">
        <f>IF(WWWW[[#This Row],[% of HHs with access to Sanitary pad more than '#%]]+WWWW[[#This Row],[Ratio of Hyiene promoters to people less than '#]]+WWWW[[#This Row],[% of HHs with access to soap more than '#%]]&gt;=2,WWWW[[#This Row],[Total PoP ]],0)</f>
        <v>0</v>
      </c>
      <c r="BZ378" s="208">
        <f>WWWW[[#This Row],[People adopt basic personal and community hygiene practices]]/WWWW[[#This Row],[Total PoP ]]</f>
        <v>0</v>
      </c>
      <c r="CA378" s="212">
        <f>1-WWWW[[#This Row],[Hygiene Coverage%]]</f>
        <v>1</v>
      </c>
      <c r="CB378" s="211">
        <f>WWWW[[#This Row],['# people reached by regular dedicated hygiene promotion_5]]/WWWW[[#This Row],[Total PoP ]]</f>
        <v>0.27472527472527475</v>
      </c>
      <c r="CC378" s="211">
        <f>IF(WWWW[[#This Row],['# HH received soaps]]/WWWW[[#This Row],[Total HH]]&gt;1,1,WWWW[[#This Row],['# HH received soaps]]/WWWW[[#This Row],[Total HH]])</f>
        <v>0</v>
      </c>
      <c r="CD378" s="211">
        <f>IF(WWWW[[#This Row],['# HH received Sanitary Pads]]/WWWW[[#This Row],[Total HH]]&gt;1,1,WWWW[[#This Row],['# HH received Sanitary Pads]]/WWWW[[#This Row],[Total HH]])</f>
        <v>0</v>
      </c>
      <c r="CE378" s="210">
        <f>WWWW[[#This Row],['# HH received soaps]]*5</f>
        <v>0</v>
      </c>
      <c r="CF378" s="210">
        <f>WWWW[[#This Row],['# HH received Sanitary Pads]]*5</f>
        <v>0</v>
      </c>
      <c r="CG378" s="210">
        <f>IF(WWWW[[#This Row],['# People with access to soap]]&gt;WWWW[[#This Row],['# People with access to Sanity Pads]],WWWW[[#This Row],['# People with access to soap]],WWWW[[#This Row],['# People with access to Sanity Pads]])</f>
        <v>0</v>
      </c>
      <c r="CH378" s="209">
        <f>WWWW[[#This Row],[Total HH]]*WWWW[[#This Row],[%HHs with access to functional hand washing stations]]</f>
        <v>0</v>
      </c>
      <c r="CI378" s="699">
        <f>VLOOKUP(WWWW[[#This Row],[Site Name]],SiteDB6[[Site Name]:[CCCM Management]],6,FALSE)</f>
        <v>0</v>
      </c>
      <c r="CJ378" s="699">
        <f>VLOOKUP(WWWW[[#This Row],[Site Name]],SiteDB6[[Site Name]:[CCCM Focal Agency]],7,FALSE)</f>
        <v>0</v>
      </c>
      <c r="CK378" s="699" t="str">
        <f>VLOOKUP(WWWW[[#This Row],[Site Name]],SiteDB6[[Site Name]:[Location Type]],8,FALSE)</f>
        <v>Village</v>
      </c>
      <c r="CL378" s="699" t="str">
        <f>VLOOKUP(WWWW[[#This Row],[Site Name]],SiteDB6[[Site Name]:[Location Type 1]],9,FALSE)</f>
        <v>Village</v>
      </c>
      <c r="CM378" s="699" t="str">
        <f>VLOOKUP(WWWW[[#This Row],[Site Name]],SiteDB6[[Site Name]:[Type of Accommodation]],10,FALSE)</f>
        <v>Village</v>
      </c>
      <c r="CN378" s="699" t="str">
        <f>VLOOKUP(WWWW[[#This Row],[Site Name]],SiteDB6[[Site Name]:[Ethnic or GCA/NGCA]],11,FALSE)</f>
        <v>Muslim</v>
      </c>
      <c r="CO378" s="699">
        <f>VLOOKUP(WWWW[[#This Row],[Site Name]],SiteDB6[[Site Name]:[Lat]],12,FALSE)</f>
        <v>20.1573600769043</v>
      </c>
      <c r="CP378" s="699">
        <f>VLOOKUP(WWWW[[#This Row],[Site Name]],SiteDB6[[Site Name]:[Long]],13,FALSE)</f>
        <v>92.838653564453097</v>
      </c>
      <c r="CQ378" s="699">
        <f>VLOOKUP(WWWW[[#This Row],[Site Name]],SiteDB6[[Site Name]:[Pcode]],3,FALSE)</f>
        <v>196211</v>
      </c>
      <c r="CR378" s="660" t="str">
        <f t="shared" si="9"/>
        <v>Notcovered</v>
      </c>
      <c r="CS378" s="660"/>
      <c r="CT378" s="24"/>
      <c r="CU378" s="24"/>
      <c r="CV378" s="24"/>
    </row>
    <row r="379" spans="1:100" ht="15.75" customHeight="1" x14ac:dyDescent="0.25">
      <c r="A379" s="833" t="s">
        <v>3206</v>
      </c>
      <c r="B379" s="206" t="s">
        <v>426</v>
      </c>
      <c r="C379" s="206" t="s">
        <v>454</v>
      </c>
      <c r="D379" s="206" t="s">
        <v>455</v>
      </c>
      <c r="E379" s="206" t="s">
        <v>579</v>
      </c>
      <c r="F379" s="206">
        <v>423</v>
      </c>
      <c r="G379" s="209">
        <v>2427</v>
      </c>
      <c r="H379" s="206"/>
      <c r="I379" s="206" t="s">
        <v>47</v>
      </c>
      <c r="J379" s="207">
        <v>44104</v>
      </c>
      <c r="K379" s="206">
        <v>0</v>
      </c>
      <c r="L379" s="206" t="s">
        <v>282</v>
      </c>
      <c r="M379" s="208">
        <v>0</v>
      </c>
      <c r="N379" s="208">
        <v>0</v>
      </c>
      <c r="O379" s="316">
        <v>0</v>
      </c>
      <c r="P379" s="873">
        <v>16</v>
      </c>
      <c r="Q379" s="317">
        <v>0</v>
      </c>
      <c r="R379" s="318">
        <v>0</v>
      </c>
      <c r="S379" s="318">
        <v>18</v>
      </c>
      <c r="T379" s="318"/>
      <c r="U379" s="318">
        <v>20</v>
      </c>
      <c r="V379" s="318">
        <v>10</v>
      </c>
      <c r="W379" s="318">
        <v>23</v>
      </c>
      <c r="X379" s="318">
        <v>2</v>
      </c>
      <c r="Y379" s="318">
        <v>0</v>
      </c>
      <c r="Z379" s="318" t="s">
        <v>2783</v>
      </c>
      <c r="AA379" s="310">
        <v>0</v>
      </c>
      <c r="AB379" s="310">
        <v>0</v>
      </c>
      <c r="AC379" s="66"/>
      <c r="AD379" s="66"/>
      <c r="AE379" s="310">
        <v>0</v>
      </c>
      <c r="AF379" s="310" t="s">
        <v>332</v>
      </c>
      <c r="AG379" s="311" t="s">
        <v>332</v>
      </c>
      <c r="AH379" s="311">
        <v>0</v>
      </c>
      <c r="AI379" s="310">
        <v>0</v>
      </c>
      <c r="AJ379" s="310"/>
      <c r="AK379" s="841">
        <v>1</v>
      </c>
      <c r="AL379" s="842" t="s">
        <v>284</v>
      </c>
      <c r="AM379" s="842">
        <v>0</v>
      </c>
      <c r="AN379" s="863">
        <v>0</v>
      </c>
      <c r="AO379" s="888">
        <v>2</v>
      </c>
      <c r="AP379" s="874">
        <v>421</v>
      </c>
      <c r="AQ379" s="874">
        <v>421</v>
      </c>
      <c r="AR379" s="843" t="s">
        <v>282</v>
      </c>
      <c r="AS379" s="843"/>
      <c r="AT379" s="843"/>
      <c r="AU379" s="843"/>
      <c r="AV379" s="844"/>
      <c r="AW379" s="208">
        <f>IFERROR(WWWW[[#This Row],['# of Water passed at source]]/WWWW[[#This Row],['# of Water tested at source]],"no test")</f>
        <v>0.5</v>
      </c>
      <c r="AX379" s="211">
        <f>IFERROR(WWWW[[#This Row],['# of Water passed at HH]]/WWWW[[#This Row],['# of Water tested at HH]],"no test")</f>
        <v>8.6956521739130432E-2</v>
      </c>
      <c r="AY379" s="210" t="str">
        <f>IF(AND(WWWW[[#This Row],[%of Water samples which passed at water source]]="no test",WWWW[[#This Row],[%Water samples which passed at HH]]="no test"),"No Test","Tested")</f>
        <v>Tested</v>
      </c>
      <c r="AZ37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7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79" s="211">
        <f>IF(WWWW[[#This Row],[Location Type 1]]="Village",WWWW[[#This Row],[Access to safe drinking water for Village]],WWWW[[#This Row],[Access to safe drinking water for Camp]])</f>
        <v>1</v>
      </c>
      <c r="BC379" s="209">
        <f>WWWW[[#This Row],[%Equitable and continuous access to sufficient quantity of safe drinking water]]*WWWW[[#This Row],[Total PoP ]]</f>
        <v>2427</v>
      </c>
      <c r="BD379" s="211">
        <f>IF((WWWW[[#This Row],['# Existing protected/fenced ponds ]]*250)/WWWW[[#This Row],[Total PoP ]]&gt;1,1,WWWW[[#This Row],['# Existing protected/fenced ponds ]]*250/WWWW[[#This Row],[Total PoP ]])</f>
        <v>0</v>
      </c>
      <c r="BE379" s="209">
        <f>WWWW[[#This Row],[Access to unimproved water points]]*WWWW[[#This Row],[Total PoP ]]</f>
        <v>0</v>
      </c>
      <c r="BF37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7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2427</v>
      </c>
      <c r="BH379" s="209">
        <f>WWWW[[#This Row],['#people Equitable and continuous access to sufficient quantity of domestic water borehole n ponds_2]]/500</f>
        <v>4.8540000000000001</v>
      </c>
      <c r="BI379" s="208">
        <f>1-WWWW[[#This Row],[%Equitable and continuous access to sufficient quantity of domestic water borehole n ponds]]</f>
        <v>0</v>
      </c>
      <c r="BJ379" s="209">
        <f>WWWW[[#This Row],[%equitable and continuous access to sufficient quantity of safe drinking and domestic water''s GAP]]*WWWW[[#This Row],[Total PoP ]]</f>
        <v>0</v>
      </c>
      <c r="BK379" s="210">
        <f>IF(WWWW[[#This Row],[Total required water points]]-WWWW[[#This Row],['#Water points coverage]]&lt;0,0,WWWW[[#This Row],[Total required water points]]-WWWW[[#This Row],['#Water points coverage]])</f>
        <v>0.14599999999999991</v>
      </c>
      <c r="BL379" s="210">
        <f>ROUND(IF(WWWW[[#This Row],[Total PoP ]]&lt;500,1,WWWW[[#This Row],[Total PoP ]]/500),0)</f>
        <v>5</v>
      </c>
      <c r="BM379" s="210">
        <f>WWWW[[#This Row],['# Existing functional latrines]]+WWWW[[#This Row],['# Existing latrines dysfunctional]]</f>
        <v>0</v>
      </c>
      <c r="BN37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79" s="352">
        <f>WWWW[[#This Row],[% people access to functioning Latrine]]*WWWW[[#This Row],[Total PoP ]]</f>
        <v>0</v>
      </c>
      <c r="BP37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79" s="209">
        <f>IF(WWWW[[#This Row],[Total required Latrines]]-WWWW[[#This Row],[Total '# of latrine]]&lt;0,0,WWWW[[#This Row],[Total required Latrines]]-WWWW[[#This Row],[Total '# of latrine]])</f>
        <v>405</v>
      </c>
      <c r="BR379" s="210">
        <f>ROUND(IF(WWWW[[#This Row],[Location Type 1]]="camp",WWWW[[#This Row],[Total PoP ]]/20,WWWW[[#This Row],[Total PoP ]]/6),0)</f>
        <v>405</v>
      </c>
      <c r="BS379" s="212">
        <f>IF(OR(WWWW[[#This Row],['# Existing latrines dysfunctional]]="",WWWW[[#This Row],['# Existing latrines dysfunctional]]=0),0,WWWW[[#This Row],['# Existing latrines dysfunctional]]/WWWW[[#This Row],[Total '# of latrine]])</f>
        <v>0</v>
      </c>
      <c r="BT379"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79" s="209">
        <f>IF(500*WWWW[[#This Row],['# Hygiene Promoters ]]&gt;WWWW[[#This Row],[Total PoP ]],WWWW[[#This Row],[Total PoP ]],500*WWWW[[#This Row],['# Hygiene Promoters ]])</f>
        <v>1000</v>
      </c>
      <c r="BV379" s="209">
        <f>IF(WWWW[[#This Row],[% of HH with access to Sanitary Pad]]&gt;=100%,1,0)</f>
        <v>0</v>
      </c>
      <c r="BW379" s="209">
        <f>IF(WWWW[[#This Row],[Total PoP ]]=0,0,IF(WWWW[[#This Row],['# Hygiene Promoters ]]=0,0,IF(WWWW[[#This Row],[Location Type 1]]="Village",IF(WWWW[[#This Row],[Total PoP ]]/WWWW[[#This Row],['# Hygiene Promoters ]]&lt;1000,1,0),IF(WWWW[[#This Row],[Total PoP ]]/WWWW[[#This Row],['# Hygiene Promoters ]]&lt;600,1,0))))</f>
        <v>0</v>
      </c>
      <c r="BX379" s="209">
        <f>IF(WWWW[[#This Row],[%HH with access to soap]]&gt;=100%,1,0)</f>
        <v>0</v>
      </c>
      <c r="BY379" s="209">
        <f>IF(WWWW[[#This Row],[% of HHs with access to Sanitary pad more than '#%]]+WWWW[[#This Row],[Ratio of Hyiene promoters to people less than '#]]+WWWW[[#This Row],[% of HHs with access to soap more than '#%]]&gt;=2,WWWW[[#This Row],[Total PoP ]],0)</f>
        <v>0</v>
      </c>
      <c r="BZ379" s="208">
        <f>WWWW[[#This Row],[People adopt basic personal and community hygiene practices]]/WWWW[[#This Row],[Total PoP ]]</f>
        <v>0</v>
      </c>
      <c r="CA379" s="212">
        <f>1-WWWW[[#This Row],[Hygiene Coverage%]]</f>
        <v>1</v>
      </c>
      <c r="CB379" s="211">
        <f>WWWW[[#This Row],['# people reached by regular dedicated hygiene promotion_5]]/WWWW[[#This Row],[Total PoP ]]</f>
        <v>0.41203131437989288</v>
      </c>
      <c r="CC379" s="211">
        <f>IF(WWWW[[#This Row],['# HH received soaps]]/WWWW[[#This Row],[Total HH]]&gt;1,1,WWWW[[#This Row],['# HH received soaps]]/WWWW[[#This Row],[Total HH]])</f>
        <v>0.99527186761229314</v>
      </c>
      <c r="CD379" s="211">
        <f>IF(WWWW[[#This Row],['# HH received Sanitary Pads]]/WWWW[[#This Row],[Total HH]]&gt;1,1,WWWW[[#This Row],['# HH received Sanitary Pads]]/WWWW[[#This Row],[Total HH]])</f>
        <v>0.99527186761229314</v>
      </c>
      <c r="CE379" s="210">
        <f>WWWW[[#This Row],['# HH received soaps]]*5</f>
        <v>2105</v>
      </c>
      <c r="CF379" s="210">
        <f>WWWW[[#This Row],['# HH received Sanitary Pads]]*5</f>
        <v>2105</v>
      </c>
      <c r="CG379" s="210">
        <f>IF(WWWW[[#This Row],['# People with access to soap]]&gt;WWWW[[#This Row],['# People with access to Sanity Pads]],WWWW[[#This Row],['# People with access to soap]],WWWW[[#This Row],['# People with access to Sanity Pads]])</f>
        <v>2105</v>
      </c>
      <c r="CH379" s="209">
        <f>WWWW[[#This Row],[Total HH]]*WWWW[[#This Row],[%HHs with access to functional hand washing stations]]</f>
        <v>423</v>
      </c>
      <c r="CI379" s="699">
        <f>VLOOKUP(WWWW[[#This Row],[Site Name]],SiteDB6[[Site Name]:[CCCM Management]],6,FALSE)</f>
        <v>0</v>
      </c>
      <c r="CJ379" s="699">
        <f>VLOOKUP(WWWW[[#This Row],[Site Name]],SiteDB6[[Site Name]:[CCCM Focal Agency]],7,FALSE)</f>
        <v>0</v>
      </c>
      <c r="CK379" s="699" t="str">
        <f>VLOOKUP(WWWW[[#This Row],[Site Name]],SiteDB6[[Site Name]:[Location Type]],8,FALSE)</f>
        <v>Village</v>
      </c>
      <c r="CL379" s="699" t="str">
        <f>VLOOKUP(WWWW[[#This Row],[Site Name]],SiteDB6[[Site Name]:[Location Type 1]],9,FALSE)</f>
        <v>Village</v>
      </c>
      <c r="CM379" s="699" t="str">
        <f>VLOOKUP(WWWW[[#This Row],[Site Name]],SiteDB6[[Site Name]:[Type of Accommodation]],10,FALSE)</f>
        <v>Village</v>
      </c>
      <c r="CN379" s="699" t="str">
        <f>VLOOKUP(WWWW[[#This Row],[Site Name]],SiteDB6[[Site Name]:[Ethnic or GCA/NGCA]],11,FALSE)</f>
        <v>Muslim</v>
      </c>
      <c r="CO379" s="699">
        <f>VLOOKUP(WWWW[[#This Row],[Site Name]],SiteDB6[[Site Name]:[Lat]],12,FALSE)</f>
        <v>20.148910522460898</v>
      </c>
      <c r="CP379" s="699">
        <f>VLOOKUP(WWWW[[#This Row],[Site Name]],SiteDB6[[Site Name]:[Long]],13,FALSE)</f>
        <v>92.846160888671903</v>
      </c>
      <c r="CQ379" s="699" t="str">
        <f>VLOOKUP(WWWW[[#This Row],[Site Name]],SiteDB6[[Site Name]:[Pcode]],3,FALSE)</f>
        <v>196209</v>
      </c>
      <c r="CR379" s="660" t="str">
        <f t="shared" si="9"/>
        <v>Covered</v>
      </c>
      <c r="CS379" s="660"/>
      <c r="CT379" s="24"/>
      <c r="CU379" s="24"/>
      <c r="CV379" s="24"/>
    </row>
    <row r="380" spans="1:100" ht="15.75" customHeight="1" x14ac:dyDescent="0.25">
      <c r="A380" s="833" t="s">
        <v>3206</v>
      </c>
      <c r="B380" s="206" t="s">
        <v>447</v>
      </c>
      <c r="C380" s="206" t="s">
        <v>454</v>
      </c>
      <c r="D380" s="206" t="s">
        <v>455</v>
      </c>
      <c r="E380" s="206" t="s">
        <v>612</v>
      </c>
      <c r="F380" s="206">
        <v>153</v>
      </c>
      <c r="G380" s="209">
        <v>680</v>
      </c>
      <c r="H380" s="206"/>
      <c r="I380" s="206" t="s">
        <v>449</v>
      </c>
      <c r="J380" s="207">
        <v>43356</v>
      </c>
      <c r="K380" s="206">
        <v>0</v>
      </c>
      <c r="L380" s="206" t="s">
        <v>282</v>
      </c>
      <c r="M380" s="208">
        <v>0</v>
      </c>
      <c r="N380" s="208">
        <v>0</v>
      </c>
      <c r="O380" s="316">
        <v>5</v>
      </c>
      <c r="P380" s="317">
        <v>50</v>
      </c>
      <c r="Q380" s="317">
        <v>0</v>
      </c>
      <c r="R380" s="318">
        <v>0</v>
      </c>
      <c r="S380" s="318">
        <v>20</v>
      </c>
      <c r="T380" s="318"/>
      <c r="U380" s="318">
        <v>0</v>
      </c>
      <c r="V380" s="318">
        <v>0</v>
      </c>
      <c r="W380" s="318">
        <v>0</v>
      </c>
      <c r="X380" s="318">
        <v>0</v>
      </c>
      <c r="Y380" s="318">
        <v>0</v>
      </c>
      <c r="Z380" s="318"/>
      <c r="AA380" s="310">
        <v>54</v>
      </c>
      <c r="AB380" s="310">
        <v>0</v>
      </c>
      <c r="AC380" s="66">
        <v>0</v>
      </c>
      <c r="AD380" s="66"/>
      <c r="AE380" s="310">
        <v>54</v>
      </c>
      <c r="AF380" s="310" t="s">
        <v>286</v>
      </c>
      <c r="AG380" s="311" t="s">
        <v>286</v>
      </c>
      <c r="AH380" s="311">
        <v>0</v>
      </c>
      <c r="AI380" s="310">
        <v>0</v>
      </c>
      <c r="AJ380" s="310"/>
      <c r="AK380" s="841">
        <v>0</v>
      </c>
      <c r="AL380" s="842" t="s">
        <v>284</v>
      </c>
      <c r="AM380" s="842">
        <v>0</v>
      </c>
      <c r="AN380" s="863">
        <v>0</v>
      </c>
      <c r="AO380" s="863">
        <v>1</v>
      </c>
      <c r="AP380" s="843">
        <v>0</v>
      </c>
      <c r="AQ380" s="843">
        <v>0</v>
      </c>
      <c r="AR380" s="843"/>
      <c r="AS380" s="843"/>
      <c r="AT380" s="843"/>
      <c r="AU380" s="843"/>
      <c r="AV380" s="844"/>
      <c r="AW380" s="208" t="str">
        <f>IFERROR(WWWW[[#This Row],['# of Water passed at source]]/WWWW[[#This Row],['# of Water tested at source]],"no test")</f>
        <v>no test</v>
      </c>
      <c r="AX380" s="211" t="str">
        <f>IFERROR(WWWW[[#This Row],['# of Water passed at HH]]/WWWW[[#This Row],['# of Water tested at HH]],"no test")</f>
        <v>no test</v>
      </c>
      <c r="AY380" s="210" t="str">
        <f>IF(AND(WWWW[[#This Row],[%of Water samples which passed at water source]]="no test",WWWW[[#This Row],[%Water samples which passed at HH]]="no test"),"No Test","Tested")</f>
        <v>No Test</v>
      </c>
      <c r="AZ38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8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80" s="211">
        <f>IF(WWWW[[#This Row],[Location Type 1]]="Village",WWWW[[#This Row],[Access to safe drinking water for Village]],WWWW[[#This Row],[Access to safe drinking water for Camp]])</f>
        <v>1</v>
      </c>
      <c r="BC380" s="209">
        <f>WWWW[[#This Row],[%Equitable and continuous access to sufficient quantity of safe drinking water]]*WWWW[[#This Row],[Total PoP ]]</f>
        <v>680</v>
      </c>
      <c r="BD380" s="211">
        <f>IF((WWWW[[#This Row],['# Existing protected/fenced ponds ]]*250)/WWWW[[#This Row],[Total PoP ]]&gt;1,1,WWWW[[#This Row],['# Existing protected/fenced ponds ]]*250/WWWW[[#This Row],[Total PoP ]])</f>
        <v>0</v>
      </c>
      <c r="BE380" s="209">
        <f>WWWW[[#This Row],[Access to unimproved water points]]*WWWW[[#This Row],[Total PoP ]]</f>
        <v>0</v>
      </c>
      <c r="BF38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8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680</v>
      </c>
      <c r="BH380" s="209">
        <f>WWWW[[#This Row],['#people Equitable and continuous access to sufficient quantity of domestic water borehole n ponds_2]]/500</f>
        <v>1.36</v>
      </c>
      <c r="BI380" s="208">
        <f>1-WWWW[[#This Row],[%Equitable and continuous access to sufficient quantity of domestic water borehole n ponds]]</f>
        <v>0</v>
      </c>
      <c r="BJ380" s="209">
        <f>WWWW[[#This Row],[%equitable and continuous access to sufficient quantity of safe drinking and domestic water''s GAP]]*WWWW[[#This Row],[Total PoP ]]</f>
        <v>0</v>
      </c>
      <c r="BK380" s="210">
        <f>IF(WWWW[[#This Row],[Total required water points]]-WWWW[[#This Row],['#Water points coverage]]&lt;0,0,WWWW[[#This Row],[Total required water points]]-WWWW[[#This Row],['#Water points coverage]])</f>
        <v>0</v>
      </c>
      <c r="BL380" s="210">
        <f>ROUND(IF(WWWW[[#This Row],[Total PoP ]]&lt;500,1,WWWW[[#This Row],[Total PoP ]]/500),0)</f>
        <v>1</v>
      </c>
      <c r="BM380" s="210">
        <f>WWWW[[#This Row],['# Existing functional latrines]]+WWWW[[#This Row],['# Existing latrines dysfunctional]]</f>
        <v>54</v>
      </c>
      <c r="BN38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0.47647058823529409</v>
      </c>
      <c r="BO380" s="352">
        <f>WWWW[[#This Row],[% people access to functioning Latrine]]*WWWW[[#This Row],[Total PoP ]]</f>
        <v>324</v>
      </c>
      <c r="BP38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0.52058823529411768</v>
      </c>
      <c r="BQ380" s="209">
        <f>IF(WWWW[[#This Row],[Total required Latrines]]-WWWW[[#This Row],[Total '# of latrine]]&lt;0,0,WWWW[[#This Row],[Total required Latrines]]-WWWW[[#This Row],[Total '# of latrine]])</f>
        <v>59</v>
      </c>
      <c r="BR380" s="210">
        <f>ROUND(IF(WWWW[[#This Row],[Location Type 1]]="camp",WWWW[[#This Row],[Total PoP ]]/20,WWWW[[#This Row],[Total PoP ]]/6),0)</f>
        <v>113</v>
      </c>
      <c r="BS380" s="212">
        <f>IF(OR(WWWW[[#This Row],['# Existing latrines dysfunctional]]="",WWWW[[#This Row],['# Existing latrines dysfunctional]]=0),0,WWWW[[#This Row],['# Existing latrines dysfunctional]]/WWWW[[#This Row],[Total '# of latrine]])</f>
        <v>0</v>
      </c>
      <c r="BT380"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80" s="209">
        <f>IF(500*WWWW[[#This Row],['# Hygiene Promoters ]]&gt;WWWW[[#This Row],[Total PoP ]],WWWW[[#This Row],[Total PoP ]],500*WWWW[[#This Row],['# Hygiene Promoters ]])</f>
        <v>500</v>
      </c>
      <c r="BV380" s="209">
        <f>IF(WWWW[[#This Row],[% of HH with access to Sanitary Pad]]&gt;=100%,1,0)</f>
        <v>0</v>
      </c>
      <c r="BW380" s="209">
        <f>IF(WWWW[[#This Row],[Total PoP ]]=0,0,IF(WWWW[[#This Row],['# Hygiene Promoters ]]=0,0,IF(WWWW[[#This Row],[Location Type 1]]="Village",IF(WWWW[[#This Row],[Total PoP ]]/WWWW[[#This Row],['# Hygiene Promoters ]]&lt;1000,1,0),IF(WWWW[[#This Row],[Total PoP ]]/WWWW[[#This Row],['# Hygiene Promoters ]]&lt;600,1,0))))</f>
        <v>1</v>
      </c>
      <c r="BX380" s="209">
        <f>IF(WWWW[[#This Row],[%HH with access to soap]]&gt;=100%,1,0)</f>
        <v>0</v>
      </c>
      <c r="BY380" s="209">
        <f>IF(WWWW[[#This Row],[% of HHs with access to Sanitary pad more than '#%]]+WWWW[[#This Row],[Ratio of Hyiene promoters to people less than '#]]+WWWW[[#This Row],[% of HHs with access to soap more than '#%]]&gt;=2,WWWW[[#This Row],[Total PoP ]],0)</f>
        <v>0</v>
      </c>
      <c r="BZ380" s="208">
        <f>WWWW[[#This Row],[People adopt basic personal and community hygiene practices]]/WWWW[[#This Row],[Total PoP ]]</f>
        <v>0</v>
      </c>
      <c r="CA380" s="212">
        <f>1-WWWW[[#This Row],[Hygiene Coverage%]]</f>
        <v>1</v>
      </c>
      <c r="CB380" s="211">
        <f>WWWW[[#This Row],['# people reached by regular dedicated hygiene promotion_5]]/WWWW[[#This Row],[Total PoP ]]</f>
        <v>0.73529411764705888</v>
      </c>
      <c r="CC380" s="211">
        <f>IF(WWWW[[#This Row],['# HH received soaps]]/WWWW[[#This Row],[Total HH]]&gt;1,1,WWWW[[#This Row],['# HH received soaps]]/WWWW[[#This Row],[Total HH]])</f>
        <v>0</v>
      </c>
      <c r="CD380" s="211">
        <f>IF(WWWW[[#This Row],['# HH received Sanitary Pads]]/WWWW[[#This Row],[Total HH]]&gt;1,1,WWWW[[#This Row],['# HH received Sanitary Pads]]/WWWW[[#This Row],[Total HH]])</f>
        <v>0</v>
      </c>
      <c r="CE380" s="210">
        <f>WWWW[[#This Row],['# HH received soaps]]*5</f>
        <v>0</v>
      </c>
      <c r="CF380" s="210">
        <f>WWWW[[#This Row],['# HH received Sanitary Pads]]*5</f>
        <v>0</v>
      </c>
      <c r="CG380" s="210">
        <f>IF(WWWW[[#This Row],['# People with access to soap]]&gt;WWWW[[#This Row],['# People with access to Sanity Pads]],WWWW[[#This Row],['# People with access to soap]],WWWW[[#This Row],['# People with access to Sanity Pads]])</f>
        <v>0</v>
      </c>
      <c r="CH380" s="209">
        <f>WWWW[[#This Row],[Total HH]]*WWWW[[#This Row],[%HHs with access to functional hand washing stations]]</f>
        <v>0</v>
      </c>
      <c r="CI380" s="699">
        <f>VLOOKUP(WWWW[[#This Row],[Site Name]],SiteDB6[[Site Name]:[CCCM Management]],6,FALSE)</f>
        <v>0</v>
      </c>
      <c r="CJ380" s="699">
        <f>VLOOKUP(WWWW[[#This Row],[Site Name]],SiteDB6[[Site Name]:[CCCM Focal Agency]],7,FALSE)</f>
        <v>0</v>
      </c>
      <c r="CK380" s="699" t="str">
        <f>VLOOKUP(WWWW[[#This Row],[Site Name]],SiteDB6[[Site Name]:[Location Type]],8,FALSE)</f>
        <v>Village</v>
      </c>
      <c r="CL380" s="699" t="str">
        <f>VLOOKUP(WWWW[[#This Row],[Site Name]],SiteDB6[[Site Name]:[Location Type 1]],9,FALSE)</f>
        <v>Village</v>
      </c>
      <c r="CM380" s="699" t="str">
        <f>VLOOKUP(WWWW[[#This Row],[Site Name]],SiteDB6[[Site Name]:[Type of Accommodation]],10,FALSE)</f>
        <v>Village</v>
      </c>
      <c r="CN380" s="699" t="str">
        <f>VLOOKUP(WWWW[[#This Row],[Site Name]],SiteDB6[[Site Name]:[Ethnic or GCA/NGCA]],11,FALSE)</f>
        <v>Rakhine</v>
      </c>
      <c r="CO380" s="699">
        <f>VLOOKUP(WWWW[[#This Row],[Site Name]],SiteDB6[[Site Name]:[Lat]],12,FALSE)</f>
        <v>20.229290008544901</v>
      </c>
      <c r="CP380" s="699">
        <f>VLOOKUP(WWWW[[#This Row],[Site Name]],SiteDB6[[Site Name]:[Long]],13,FALSE)</f>
        <v>92.864669799804702</v>
      </c>
      <c r="CQ380" s="699">
        <f>VLOOKUP(WWWW[[#This Row],[Site Name]],SiteDB6[[Site Name]:[Pcode]],3,FALSE)</f>
        <v>196167</v>
      </c>
      <c r="CR380" s="660" t="str">
        <f t="shared" si="9"/>
        <v>Covered</v>
      </c>
      <c r="CS380" s="660"/>
      <c r="CT380" s="24"/>
      <c r="CU380" s="24"/>
      <c r="CV380" s="24"/>
    </row>
    <row r="381" spans="1:100" ht="15.75" customHeight="1" x14ac:dyDescent="0.25">
      <c r="A381" s="833" t="s">
        <v>3206</v>
      </c>
      <c r="B381" s="206" t="s">
        <v>2774</v>
      </c>
      <c r="C381" s="206" t="s">
        <v>454</v>
      </c>
      <c r="D381" s="206" t="s">
        <v>455</v>
      </c>
      <c r="E381" s="206" t="s">
        <v>588</v>
      </c>
      <c r="F381" s="206">
        <v>1013</v>
      </c>
      <c r="G381" s="209">
        <v>5950</v>
      </c>
      <c r="H381" s="206">
        <v>203</v>
      </c>
      <c r="I381" s="206" t="s">
        <v>2775</v>
      </c>
      <c r="J381" s="207" t="s">
        <v>2776</v>
      </c>
      <c r="K381" s="206">
        <v>0</v>
      </c>
      <c r="L381" s="206" t="s">
        <v>282</v>
      </c>
      <c r="M381" s="208">
        <v>0</v>
      </c>
      <c r="N381" s="208">
        <v>0</v>
      </c>
      <c r="O381" s="316">
        <v>0</v>
      </c>
      <c r="P381" s="317">
        <v>71</v>
      </c>
      <c r="Q381" s="317"/>
      <c r="R381" s="318">
        <v>0</v>
      </c>
      <c r="S381" s="318">
        <v>93</v>
      </c>
      <c r="T381" s="318"/>
      <c r="U381" s="318"/>
      <c r="V381" s="318"/>
      <c r="W381" s="318"/>
      <c r="X381" s="318"/>
      <c r="Y381" s="318">
        <v>4</v>
      </c>
      <c r="Z381" s="318" t="s">
        <v>2783</v>
      </c>
      <c r="AA381" s="310">
        <v>196</v>
      </c>
      <c r="AB381" s="310">
        <v>158</v>
      </c>
      <c r="AC381" s="66">
        <v>182</v>
      </c>
      <c r="AD381" s="66"/>
      <c r="AE381" s="310">
        <v>372</v>
      </c>
      <c r="AF381" s="310" t="s">
        <v>283</v>
      </c>
      <c r="AG381" s="311" t="s">
        <v>1358</v>
      </c>
      <c r="AH381" s="311">
        <v>0</v>
      </c>
      <c r="AI381" s="310">
        <v>17</v>
      </c>
      <c r="AJ381" s="310"/>
      <c r="AK381" s="841">
        <v>1</v>
      </c>
      <c r="AL381" s="842" t="s">
        <v>284</v>
      </c>
      <c r="AM381" s="842">
        <v>1013</v>
      </c>
      <c r="AN381" s="863">
        <v>0</v>
      </c>
      <c r="AO381" s="863">
        <v>10</v>
      </c>
      <c r="AP381" s="843">
        <v>1013</v>
      </c>
      <c r="AQ381" s="843">
        <v>1013</v>
      </c>
      <c r="AR381" s="843" t="s">
        <v>282</v>
      </c>
      <c r="AS381" s="843"/>
      <c r="AT381" s="843"/>
      <c r="AU381" s="843"/>
      <c r="AV381" s="844"/>
      <c r="AW381" s="208" t="str">
        <f>IFERROR(WWWW[[#This Row],['# of Water passed at source]]/WWWW[[#This Row],['# of Water tested at source]],"no test")</f>
        <v>no test</v>
      </c>
      <c r="AX381" s="211" t="str">
        <f>IFERROR(WWWW[[#This Row],['# of Water passed at HH]]/WWWW[[#This Row],['# of Water tested at HH]],"no test")</f>
        <v>no test</v>
      </c>
      <c r="AY381" s="210" t="str">
        <f>IF(AND(WWWW[[#This Row],[%of Water samples which passed at water source]]="no test",WWWW[[#This Row],[%Water samples which passed at HH]]="no test"),"No Test","Tested")</f>
        <v>No Test</v>
      </c>
      <c r="AZ38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8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81" s="211">
        <f>IF(WWWW[[#This Row],[Location Type 1]]="Village",WWWW[[#This Row],[Access to safe drinking water for Village]],WWWW[[#This Row],[Access to safe drinking water for Camp]])</f>
        <v>1</v>
      </c>
      <c r="BC381" s="209">
        <f>WWWW[[#This Row],[%Equitable and continuous access to sufficient quantity of safe drinking water]]*WWWW[[#This Row],[Total PoP ]]</f>
        <v>5950</v>
      </c>
      <c r="BD381" s="211">
        <f>IF((WWWW[[#This Row],['# Existing protected/fenced ponds ]]*250)/WWWW[[#This Row],[Total PoP ]]&gt;1,1,WWWW[[#This Row],['# Existing protected/fenced ponds ]]*250/WWWW[[#This Row],[Total PoP ]])</f>
        <v>0</v>
      </c>
      <c r="BE381" s="209">
        <f>WWWW[[#This Row],[Access to unimproved water points]]*WWWW[[#This Row],[Total PoP ]]</f>
        <v>0</v>
      </c>
      <c r="BF38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8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5950</v>
      </c>
      <c r="BH381" s="209">
        <f>WWWW[[#This Row],['#people Equitable and continuous access to sufficient quantity of domestic water borehole n ponds_2]]/500</f>
        <v>11.9</v>
      </c>
      <c r="BI381" s="208">
        <f>1-WWWW[[#This Row],[%Equitable and continuous access to sufficient quantity of domestic water borehole n ponds]]</f>
        <v>0</v>
      </c>
      <c r="BJ381" s="209">
        <f>WWWW[[#This Row],[%equitable and continuous access to sufficient quantity of safe drinking and domestic water''s GAP]]*WWWW[[#This Row],[Total PoP ]]</f>
        <v>0</v>
      </c>
      <c r="BK381" s="210">
        <f>IF(WWWW[[#This Row],[Total required water points]]-WWWW[[#This Row],['#Water points coverage]]&lt;0,0,WWWW[[#This Row],[Total required water points]]-WWWW[[#This Row],['#Water points coverage]])</f>
        <v>9.9999999999999645E-2</v>
      </c>
      <c r="BL381" s="210">
        <f>ROUND(IF(WWWW[[#This Row],[Total PoP ]]&lt;500,1,WWWW[[#This Row],[Total PoP ]]/500),0)</f>
        <v>12</v>
      </c>
      <c r="BM381" s="210">
        <f>WWWW[[#This Row],['# Existing functional latrines]]+WWWW[[#This Row],['# Existing latrines dysfunctional]]</f>
        <v>354</v>
      </c>
      <c r="BN38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0.6588235294117647</v>
      </c>
      <c r="BO381" s="352">
        <f>WWWW[[#This Row],[% people access to functioning Latrine]]*WWWW[[#This Row],[Total PoP ]]</f>
        <v>3920</v>
      </c>
      <c r="BP38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81" s="209">
        <f>IF(WWWW[[#This Row],[Total required Latrines]]-WWWW[[#This Row],[Total '# of latrine]]&lt;0,0,WWWW[[#This Row],[Total required Latrines]]-WWWW[[#This Row],[Total '# of latrine]])</f>
        <v>0</v>
      </c>
      <c r="BR381" s="210">
        <f>ROUND(IF(WWWW[[#This Row],[Location Type 1]]="camp",WWWW[[#This Row],[Total PoP ]]/20,WWWW[[#This Row],[Total PoP ]]/6),0)</f>
        <v>298</v>
      </c>
      <c r="BS381" s="212">
        <f>IF(OR(WWWW[[#This Row],['# Existing latrines dysfunctional]]="",WWWW[[#This Row],['# Existing latrines dysfunctional]]=0),0,WWWW[[#This Row],['# Existing latrines dysfunctional]]/WWWW[[#This Row],[Total '# of latrine]])</f>
        <v>0.4463276836158192</v>
      </c>
      <c r="BT38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3640</v>
      </c>
      <c r="BU381" s="209">
        <f>IF(500*WWWW[[#This Row],['# Hygiene Promoters ]]&gt;WWWW[[#This Row],[Total PoP ]],WWWW[[#This Row],[Total PoP ]],500*WWWW[[#This Row],['# Hygiene Promoters ]])</f>
        <v>5000</v>
      </c>
      <c r="BV381" s="209">
        <f>IF(WWWW[[#This Row],[% of HH with access to Sanitary Pad]]&gt;=100%,1,0)</f>
        <v>1</v>
      </c>
      <c r="BW381" s="209">
        <f>IF(WWWW[[#This Row],[Total PoP ]]=0,0,IF(WWWW[[#This Row],['# Hygiene Promoters ]]=0,0,IF(WWWW[[#This Row],[Location Type 1]]="Village",IF(WWWW[[#This Row],[Total PoP ]]/WWWW[[#This Row],['# Hygiene Promoters ]]&lt;1000,1,0),IF(WWWW[[#This Row],[Total PoP ]]/WWWW[[#This Row],['# Hygiene Promoters ]]&lt;600,1,0))))</f>
        <v>1</v>
      </c>
      <c r="BX381" s="209">
        <f>IF(WWWW[[#This Row],[%HH with access to soap]]&gt;=100%,1,0)</f>
        <v>1</v>
      </c>
      <c r="BY381" s="209">
        <f>IF(WWWW[[#This Row],[% of HHs with access to Sanitary pad more than '#%]]+WWWW[[#This Row],[Ratio of Hyiene promoters to people less than '#]]+WWWW[[#This Row],[% of HHs with access to soap more than '#%]]&gt;=2,WWWW[[#This Row],[Total PoP ]],0)</f>
        <v>5950</v>
      </c>
      <c r="BZ381" s="208">
        <f>WWWW[[#This Row],[People adopt basic personal and community hygiene practices]]/WWWW[[#This Row],[Total PoP ]]</f>
        <v>1</v>
      </c>
      <c r="CA381" s="212">
        <f>1-WWWW[[#This Row],[Hygiene Coverage%]]</f>
        <v>0</v>
      </c>
      <c r="CB381" s="211">
        <f>WWWW[[#This Row],['# people reached by regular dedicated hygiene promotion_5]]/WWWW[[#This Row],[Total PoP ]]</f>
        <v>0.84033613445378152</v>
      </c>
      <c r="CC381" s="211">
        <f>IF(WWWW[[#This Row],['# HH received soaps]]/WWWW[[#This Row],[Total HH]]&gt;1,1,WWWW[[#This Row],['# HH received soaps]]/WWWW[[#This Row],[Total HH]])</f>
        <v>1</v>
      </c>
      <c r="CD381" s="211">
        <f>IF(WWWW[[#This Row],['# HH received Sanitary Pads]]/WWWW[[#This Row],[Total HH]]&gt;1,1,WWWW[[#This Row],['# HH received Sanitary Pads]]/WWWW[[#This Row],[Total HH]])</f>
        <v>1</v>
      </c>
      <c r="CE381" s="210">
        <f>WWWW[[#This Row],['# HH received soaps]]*5</f>
        <v>5065</v>
      </c>
      <c r="CF381" s="210">
        <f>WWWW[[#This Row],['# HH received Sanitary Pads]]*5</f>
        <v>5065</v>
      </c>
      <c r="CG381" s="210">
        <f>IF(WWWW[[#This Row],['# People with access to soap]]&gt;WWWW[[#This Row],['# People with access to Sanity Pads]],WWWW[[#This Row],['# People with access to soap]],WWWW[[#This Row],['# People with access to Sanity Pads]])</f>
        <v>5065</v>
      </c>
      <c r="CH381" s="209">
        <f>WWWW[[#This Row],[Total HH]]*WWWW[[#This Row],[%HHs with access to functional hand washing stations]]</f>
        <v>1013</v>
      </c>
      <c r="CI381" s="699" t="str">
        <f>VLOOKUP(WWWW[[#This Row],[Site Name]],SiteDB6[[Site Name]:[CCCM Management]],6,FALSE)</f>
        <v>Yes</v>
      </c>
      <c r="CJ381" s="699">
        <f>VLOOKUP(WWWW[[#This Row],[Site Name]],SiteDB6[[Site Name]:[CCCM Focal Agency]],7,FALSE)</f>
        <v>0</v>
      </c>
      <c r="CK381" s="699" t="str">
        <f>VLOOKUP(WWWW[[#This Row],[Site Name]],SiteDB6[[Site Name]:[Location Type]],8,FALSE)</f>
        <v>Camp</v>
      </c>
      <c r="CL381" s="699" t="str">
        <f>VLOOKUP(WWWW[[#This Row],[Site Name]],SiteDB6[[Site Name]:[Location Type 1]],9,FALSE)</f>
        <v>Camp</v>
      </c>
      <c r="CM381" s="699" t="str">
        <f>VLOOKUP(WWWW[[#This Row],[Site Name]],SiteDB6[[Site Name]:[Type of Accommodation]],10,FALSE)</f>
        <v>Planned Camp</v>
      </c>
      <c r="CN381" s="699" t="str">
        <f>VLOOKUP(WWWW[[#This Row],[Site Name]],SiteDB6[[Site Name]:[Ethnic or GCA/NGCA]],11,FALSE)</f>
        <v>Muslim</v>
      </c>
      <c r="CO381" s="699">
        <f>VLOOKUP(WWWW[[#This Row],[Site Name]],SiteDB6[[Site Name]:[Lat]],12,FALSE)</f>
        <v>20.179939999999998</v>
      </c>
      <c r="CP381" s="699">
        <f>VLOOKUP(WWWW[[#This Row],[Site Name]],SiteDB6[[Site Name]:[Long]],13,FALSE)</f>
        <v>92.831879000000001</v>
      </c>
      <c r="CQ381" s="699" t="str">
        <f>VLOOKUP(WWWW[[#This Row],[Site Name]],SiteDB6[[Site Name]:[Pcode]],3,FALSE)</f>
        <v>MMR012CMP048</v>
      </c>
      <c r="CR381" s="660" t="str">
        <f t="shared" si="9"/>
        <v>Covered</v>
      </c>
      <c r="CS381" s="660"/>
      <c r="CT381" s="24"/>
      <c r="CU381" s="24"/>
      <c r="CV381" s="24"/>
    </row>
    <row r="382" spans="1:100" ht="15.75" customHeight="1" x14ac:dyDescent="0.25">
      <c r="A382" s="833" t="s">
        <v>3206</v>
      </c>
      <c r="B382" s="206" t="s">
        <v>527</v>
      </c>
      <c r="C382" s="206" t="s">
        <v>454</v>
      </c>
      <c r="D382" s="206" t="s">
        <v>455</v>
      </c>
      <c r="E382" s="206" t="s">
        <v>591</v>
      </c>
      <c r="F382" s="206">
        <v>299</v>
      </c>
      <c r="G382" s="209">
        <v>1670</v>
      </c>
      <c r="H382" s="206"/>
      <c r="I382" s="206" t="s">
        <v>47</v>
      </c>
      <c r="J382" s="207">
        <v>44104</v>
      </c>
      <c r="K382" s="206">
        <v>0</v>
      </c>
      <c r="L382" s="206" t="s">
        <v>282</v>
      </c>
      <c r="M382" s="208">
        <v>0</v>
      </c>
      <c r="N382" s="208">
        <v>0</v>
      </c>
      <c r="O382" s="316">
        <v>0</v>
      </c>
      <c r="P382" s="317">
        <v>0</v>
      </c>
      <c r="Q382" s="317"/>
      <c r="R382" s="318">
        <v>0</v>
      </c>
      <c r="S382" s="318">
        <v>79</v>
      </c>
      <c r="T382" s="318"/>
      <c r="U382" s="318"/>
      <c r="V382" s="318"/>
      <c r="W382" s="318"/>
      <c r="X382" s="318"/>
      <c r="Y382" s="318">
        <v>7</v>
      </c>
      <c r="Z382" s="318" t="s">
        <v>2783</v>
      </c>
      <c r="AA382" s="310">
        <v>192</v>
      </c>
      <c r="AB382" s="310">
        <v>0</v>
      </c>
      <c r="AC382" s="66">
        <v>0</v>
      </c>
      <c r="AD382" s="66"/>
      <c r="AE382" s="310">
        <v>192</v>
      </c>
      <c r="AF382" s="310" t="s">
        <v>283</v>
      </c>
      <c r="AG382" s="311" t="s">
        <v>1358</v>
      </c>
      <c r="AH382" s="311">
        <v>0</v>
      </c>
      <c r="AI382" s="310">
        <v>11</v>
      </c>
      <c r="AJ382" s="310"/>
      <c r="AK382" s="841">
        <v>1</v>
      </c>
      <c r="AL382" s="842" t="s">
        <v>284</v>
      </c>
      <c r="AM382" s="842">
        <v>299</v>
      </c>
      <c r="AN382" s="863">
        <v>0</v>
      </c>
      <c r="AO382" s="863">
        <v>15</v>
      </c>
      <c r="AP382" s="843">
        <v>299</v>
      </c>
      <c r="AQ382" s="843">
        <v>299</v>
      </c>
      <c r="AR382" s="843" t="s">
        <v>282</v>
      </c>
      <c r="AS382" s="843"/>
      <c r="AT382" s="843"/>
      <c r="AU382" s="843"/>
      <c r="AV382" s="844"/>
      <c r="AW382" s="208" t="str">
        <f>IFERROR(WWWW[[#This Row],['# of Water passed at source]]/WWWW[[#This Row],['# of Water tested at source]],"no test")</f>
        <v>no test</v>
      </c>
      <c r="AX382" s="211" t="str">
        <f>IFERROR(WWWW[[#This Row],['# of Water passed at HH]]/WWWW[[#This Row],['# of Water tested at HH]],"no test")</f>
        <v>no test</v>
      </c>
      <c r="AY382" s="210" t="str">
        <f>IF(AND(WWWW[[#This Row],[%of Water samples which passed at water source]]="no test",WWWW[[#This Row],[%Water samples which passed at HH]]="no test"),"No Test","Tested")</f>
        <v>No Test</v>
      </c>
      <c r="AZ38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8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82" s="211">
        <f>IF(WWWW[[#This Row],[Location Type 1]]="Village",WWWW[[#This Row],[Access to safe drinking water for Village]],WWWW[[#This Row],[Access to safe drinking water for Camp]])</f>
        <v>0</v>
      </c>
      <c r="BC382" s="209">
        <f>WWWW[[#This Row],[%Equitable and continuous access to sufficient quantity of safe drinking water]]*WWWW[[#This Row],[Total PoP ]]</f>
        <v>0</v>
      </c>
      <c r="BD382" s="211">
        <f>IF((WWWW[[#This Row],['# Existing protected/fenced ponds ]]*250)/WWWW[[#This Row],[Total PoP ]]&gt;1,1,WWWW[[#This Row],['# Existing protected/fenced ponds ]]*250/WWWW[[#This Row],[Total PoP ]])</f>
        <v>0</v>
      </c>
      <c r="BE382" s="209">
        <f>WWWW[[#This Row],[Access to unimproved water points]]*WWWW[[#This Row],[Total PoP ]]</f>
        <v>0</v>
      </c>
      <c r="BF38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8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82" s="209">
        <f>WWWW[[#This Row],['#people Equitable and continuous access to sufficient quantity of domestic water borehole n ponds_2]]/500</f>
        <v>0</v>
      </c>
      <c r="BI382" s="208">
        <f>1-WWWW[[#This Row],[%Equitable and continuous access to sufficient quantity of domestic water borehole n ponds]]</f>
        <v>1</v>
      </c>
      <c r="BJ382" s="209">
        <f>WWWW[[#This Row],[%equitable and continuous access to sufficient quantity of safe drinking and domestic water''s GAP]]*WWWW[[#This Row],[Total PoP ]]</f>
        <v>1670</v>
      </c>
      <c r="BK382" s="210">
        <f>IF(WWWW[[#This Row],[Total required water points]]-WWWW[[#This Row],['#Water points coverage]]&lt;0,0,WWWW[[#This Row],[Total required water points]]-WWWW[[#This Row],['#Water points coverage]])</f>
        <v>3</v>
      </c>
      <c r="BL382" s="210">
        <f>ROUND(IF(WWWW[[#This Row],[Total PoP ]]&lt;500,1,WWWW[[#This Row],[Total PoP ]]/500),0)</f>
        <v>3</v>
      </c>
      <c r="BM382" s="210">
        <f>WWWW[[#This Row],['# Existing functional latrines]]+WWWW[[#This Row],['# Existing latrines dysfunctional]]</f>
        <v>192</v>
      </c>
      <c r="BN38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82" s="352">
        <f>WWWW[[#This Row],[% people access to functioning Latrine]]*WWWW[[#This Row],[Total PoP ]]</f>
        <v>1670</v>
      </c>
      <c r="BP38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82" s="209">
        <f>IF(WWWW[[#This Row],[Total required Latrines]]-WWWW[[#This Row],[Total '# of latrine]]&lt;0,0,WWWW[[#This Row],[Total required Latrines]]-WWWW[[#This Row],[Total '# of latrine]])</f>
        <v>0</v>
      </c>
      <c r="BR382" s="210">
        <f>ROUND(IF(WWWW[[#This Row],[Location Type 1]]="camp",WWWW[[#This Row],[Total PoP ]]/20,WWWW[[#This Row],[Total PoP ]]/6),0)</f>
        <v>84</v>
      </c>
      <c r="BS382" s="212">
        <f>IF(OR(WWWW[[#This Row],['# Existing latrines dysfunctional]]="",WWWW[[#This Row],['# Existing latrines dysfunctional]]=0),0,WWWW[[#This Row],['# Existing latrines dysfunctional]]/WWWW[[#This Row],[Total '# of latrine]])</f>
        <v>0</v>
      </c>
      <c r="BT38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82" s="209">
        <f>IF(500*WWWW[[#This Row],['# Hygiene Promoters ]]&gt;WWWW[[#This Row],[Total PoP ]],WWWW[[#This Row],[Total PoP ]],500*WWWW[[#This Row],['# Hygiene Promoters ]])</f>
        <v>1670</v>
      </c>
      <c r="BV382" s="209">
        <f>IF(WWWW[[#This Row],[% of HH with access to Sanitary Pad]]&gt;=100%,1,0)</f>
        <v>1</v>
      </c>
      <c r="BW382" s="209">
        <f>IF(WWWW[[#This Row],[Total PoP ]]=0,0,IF(WWWW[[#This Row],['# Hygiene Promoters ]]=0,0,IF(WWWW[[#This Row],[Location Type 1]]="Village",IF(WWWW[[#This Row],[Total PoP ]]/WWWW[[#This Row],['# Hygiene Promoters ]]&lt;1000,1,0),IF(WWWW[[#This Row],[Total PoP ]]/WWWW[[#This Row],['# Hygiene Promoters ]]&lt;600,1,0))))</f>
        <v>1</v>
      </c>
      <c r="BX382" s="209">
        <f>IF(WWWW[[#This Row],[%HH with access to soap]]&gt;=100%,1,0)</f>
        <v>1</v>
      </c>
      <c r="BY382" s="209">
        <f>IF(WWWW[[#This Row],[% of HHs with access to Sanitary pad more than '#%]]+WWWW[[#This Row],[Ratio of Hyiene promoters to people less than '#]]+WWWW[[#This Row],[% of HHs with access to soap more than '#%]]&gt;=2,WWWW[[#This Row],[Total PoP ]],0)</f>
        <v>1670</v>
      </c>
      <c r="BZ382" s="208">
        <f>WWWW[[#This Row],[People adopt basic personal and community hygiene practices]]/WWWW[[#This Row],[Total PoP ]]</f>
        <v>1</v>
      </c>
      <c r="CA382" s="212">
        <f>1-WWWW[[#This Row],[Hygiene Coverage%]]</f>
        <v>0</v>
      </c>
      <c r="CB382" s="211">
        <f>WWWW[[#This Row],['# people reached by regular dedicated hygiene promotion_5]]/WWWW[[#This Row],[Total PoP ]]</f>
        <v>1</v>
      </c>
      <c r="CC382" s="211">
        <f>IF(WWWW[[#This Row],['# HH received soaps]]/WWWW[[#This Row],[Total HH]]&gt;1,1,WWWW[[#This Row],['# HH received soaps]]/WWWW[[#This Row],[Total HH]])</f>
        <v>1</v>
      </c>
      <c r="CD382" s="211">
        <f>IF(WWWW[[#This Row],['# HH received Sanitary Pads]]/WWWW[[#This Row],[Total HH]]&gt;1,1,WWWW[[#This Row],['# HH received Sanitary Pads]]/WWWW[[#This Row],[Total HH]])</f>
        <v>1</v>
      </c>
      <c r="CE382" s="210">
        <f>WWWW[[#This Row],['# HH received soaps]]*5</f>
        <v>1495</v>
      </c>
      <c r="CF382" s="210">
        <f>WWWW[[#This Row],['# HH received Sanitary Pads]]*5</f>
        <v>1495</v>
      </c>
      <c r="CG382" s="210">
        <f>IF(WWWW[[#This Row],['# People with access to soap]]&gt;WWWW[[#This Row],['# People with access to Sanity Pads]],WWWW[[#This Row],['# People with access to soap]],WWWW[[#This Row],['# People with access to Sanity Pads]])</f>
        <v>1495</v>
      </c>
      <c r="CH382" s="209">
        <f>WWWW[[#This Row],[Total HH]]*WWWW[[#This Row],[%HHs with access to functional hand washing stations]]</f>
        <v>299</v>
      </c>
      <c r="CI382" s="699" t="str">
        <f>VLOOKUP(WWWW[[#This Row],[Site Name]],SiteDB6[[Site Name]:[CCCM Management]],6,FALSE)</f>
        <v>Yes</v>
      </c>
      <c r="CJ382" s="699">
        <f>VLOOKUP(WWWW[[#This Row],[Site Name]],SiteDB6[[Site Name]:[CCCM Focal Agency]],7,FALSE)</f>
        <v>0</v>
      </c>
      <c r="CK382" s="699" t="str">
        <f>VLOOKUP(WWWW[[#This Row],[Site Name]],SiteDB6[[Site Name]:[Location Type]],8,FALSE)</f>
        <v>Camp</v>
      </c>
      <c r="CL382" s="699" t="str">
        <f>VLOOKUP(WWWW[[#This Row],[Site Name]],SiteDB6[[Site Name]:[Location Type 1]],9,FALSE)</f>
        <v>Camp</v>
      </c>
      <c r="CM382" s="699" t="str">
        <f>VLOOKUP(WWWW[[#This Row],[Site Name]],SiteDB6[[Site Name]:[Type of Accommodation]],10,FALSE)</f>
        <v>Host Families</v>
      </c>
      <c r="CN382" s="699" t="str">
        <f>VLOOKUP(WWWW[[#This Row],[Site Name]],SiteDB6[[Site Name]:[Ethnic or GCA/NGCA]],11,FALSE)</f>
        <v>Muslim</v>
      </c>
      <c r="CO382" s="699">
        <f>VLOOKUP(WWWW[[#This Row],[Site Name]],SiteDB6[[Site Name]:[Lat]],12,FALSE)</f>
        <v>20.181742</v>
      </c>
      <c r="CP382" s="699">
        <f>VLOOKUP(WWWW[[#This Row],[Site Name]],SiteDB6[[Site Name]:[Long]],13,FALSE)</f>
        <v>92.842230000000001</v>
      </c>
      <c r="CQ382" s="699" t="str">
        <f>VLOOKUP(WWWW[[#This Row],[Site Name]],SiteDB6[[Site Name]:[Pcode]],3,FALSE)</f>
        <v>MMR012CMP091</v>
      </c>
      <c r="CR382" s="660" t="str">
        <f t="shared" si="9"/>
        <v>Covered</v>
      </c>
      <c r="CS382" s="660"/>
      <c r="CT382" s="24"/>
      <c r="CU382" s="24"/>
      <c r="CV382" s="24"/>
    </row>
    <row r="383" spans="1:100" ht="15.75" customHeight="1" x14ac:dyDescent="0.25">
      <c r="A383" s="833" t="s">
        <v>3206</v>
      </c>
      <c r="B383" s="206" t="s">
        <v>527</v>
      </c>
      <c r="C383" s="206" t="s">
        <v>454</v>
      </c>
      <c r="D383" s="206" t="s">
        <v>455</v>
      </c>
      <c r="E383" s="206" t="s">
        <v>599</v>
      </c>
      <c r="F383" s="206">
        <v>17</v>
      </c>
      <c r="G383" s="209">
        <v>74</v>
      </c>
      <c r="H383" s="206"/>
      <c r="I383" s="206" t="s">
        <v>47</v>
      </c>
      <c r="J383" s="207">
        <v>44104</v>
      </c>
      <c r="K383" s="206"/>
      <c r="L383" s="206"/>
      <c r="M383" s="208"/>
      <c r="N383" s="208"/>
      <c r="O383" s="316">
        <v>0</v>
      </c>
      <c r="P383" s="317">
        <v>93</v>
      </c>
      <c r="Q383" s="317"/>
      <c r="R383" s="318"/>
      <c r="S383" s="318"/>
      <c r="T383" s="318"/>
      <c r="U383" s="318">
        <v>44</v>
      </c>
      <c r="V383" s="318">
        <v>26</v>
      </c>
      <c r="W383" s="318">
        <v>61</v>
      </c>
      <c r="X383" s="318">
        <v>13</v>
      </c>
      <c r="Y383" s="318"/>
      <c r="Z383" s="318"/>
      <c r="AA383" s="310">
        <v>358</v>
      </c>
      <c r="AB383" s="310"/>
      <c r="AC383" s="66"/>
      <c r="AD383" s="66"/>
      <c r="AE383" s="310"/>
      <c r="AF383" s="310" t="s">
        <v>286</v>
      </c>
      <c r="AG383" s="311" t="s">
        <v>286</v>
      </c>
      <c r="AH383" s="311"/>
      <c r="AI383" s="310"/>
      <c r="AJ383" s="310"/>
      <c r="AK383" s="841"/>
      <c r="AL383" s="842"/>
      <c r="AM383" s="842"/>
      <c r="AN383" s="841"/>
      <c r="AO383" s="863"/>
      <c r="AP383" s="843"/>
      <c r="AQ383" s="843"/>
      <c r="AR383" s="843"/>
      <c r="AS383" s="843"/>
      <c r="AT383" s="843"/>
      <c r="AU383" s="843"/>
      <c r="AV383" s="844"/>
      <c r="AW383" s="208">
        <f>IFERROR(WWWW[[#This Row],['# of Water passed at source]]/WWWW[[#This Row],['# of Water tested at source]],"no test")</f>
        <v>0.59090909090909094</v>
      </c>
      <c r="AX383" s="211">
        <f>IFERROR(WWWW[[#This Row],['# of Water passed at HH]]/WWWW[[#This Row],['# of Water tested at HH]],"no test")</f>
        <v>0.21311475409836064</v>
      </c>
      <c r="AY383" s="210" t="str">
        <f>IF(AND(WWWW[[#This Row],[%of Water samples which passed at water source]]="no test",WWWW[[#This Row],[%Water samples which passed at HH]]="no test"),"No Test","Tested")</f>
        <v>Tested</v>
      </c>
      <c r="AZ38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8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83" s="211">
        <f>IF(WWWW[[#This Row],[Location Type 1]]="Village",WWWW[[#This Row],[Access to safe drinking water for Village]],WWWW[[#This Row],[Access to safe drinking water for Camp]])</f>
        <v>1</v>
      </c>
      <c r="BC383" s="209">
        <f>WWWW[[#This Row],[%Equitable and continuous access to sufficient quantity of safe drinking water]]*WWWW[[#This Row],[Total PoP ]]</f>
        <v>74</v>
      </c>
      <c r="BD383" s="211">
        <f>IF((WWWW[[#This Row],['# Existing protected/fenced ponds ]]*250)/WWWW[[#This Row],[Total PoP ]]&gt;1,1,WWWW[[#This Row],['# Existing protected/fenced ponds ]]*250/WWWW[[#This Row],[Total PoP ]])</f>
        <v>0</v>
      </c>
      <c r="BE383" s="209">
        <f>WWWW[[#This Row],[Access to unimproved water points]]*WWWW[[#This Row],[Total PoP ]]</f>
        <v>0</v>
      </c>
      <c r="BF38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8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74</v>
      </c>
      <c r="BH383" s="209">
        <f>WWWW[[#This Row],['#people Equitable and continuous access to sufficient quantity of domestic water borehole n ponds_2]]/500</f>
        <v>0.14799999999999999</v>
      </c>
      <c r="BI383" s="208">
        <f>1-WWWW[[#This Row],[%Equitable and continuous access to sufficient quantity of domestic water borehole n ponds]]</f>
        <v>0</v>
      </c>
      <c r="BJ383" s="209">
        <f>WWWW[[#This Row],[%equitable and continuous access to sufficient quantity of safe drinking and domestic water''s GAP]]*WWWW[[#This Row],[Total PoP ]]</f>
        <v>0</v>
      </c>
      <c r="BK383" s="210">
        <f>IF(WWWW[[#This Row],[Total required water points]]-WWWW[[#This Row],['#Water points coverage]]&lt;0,0,WWWW[[#This Row],[Total required water points]]-WWWW[[#This Row],['#Water points coverage]])</f>
        <v>0.85199999999999998</v>
      </c>
      <c r="BL383" s="210">
        <f>ROUND(IF(WWWW[[#This Row],[Total PoP ]]&lt;500,1,WWWW[[#This Row],[Total PoP ]]/500),0)</f>
        <v>1</v>
      </c>
      <c r="BM383" s="210">
        <f>WWWW[[#This Row],['# Existing functional latrines]]+WWWW[[#This Row],['# Existing latrines dysfunctional]]</f>
        <v>358</v>
      </c>
      <c r="BN38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83" s="352">
        <f>WWWW[[#This Row],[% people access to functioning Latrine]]*WWWW[[#This Row],[Total PoP ]]</f>
        <v>74</v>
      </c>
      <c r="BP38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83" s="209">
        <f>IF(WWWW[[#This Row],[Total required Latrines]]-WWWW[[#This Row],[Total '# of latrine]]&lt;0,0,WWWW[[#This Row],[Total required Latrines]]-WWWW[[#This Row],[Total '# of latrine]])</f>
        <v>0</v>
      </c>
      <c r="BR383" s="210">
        <f>ROUND(IF(WWWW[[#This Row],[Location Type 1]]="camp",WWWW[[#This Row],[Total PoP ]]/20,WWWW[[#This Row],[Total PoP ]]/6),0)</f>
        <v>12</v>
      </c>
      <c r="BS383" s="212">
        <f>IF(OR(WWWW[[#This Row],['# Existing latrines dysfunctional]]="",WWWW[[#This Row],['# Existing latrines dysfunctional]]=0),0,WWWW[[#This Row],['# Existing latrines dysfunctional]]/WWWW[[#This Row],[Total '# of latrine]])</f>
        <v>0</v>
      </c>
      <c r="BT383"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83" s="209">
        <f>IF(500*WWWW[[#This Row],['# Hygiene Promoters ]]&gt;WWWW[[#This Row],[Total PoP ]],WWWW[[#This Row],[Total PoP ]],500*WWWW[[#This Row],['# Hygiene Promoters ]])</f>
        <v>0</v>
      </c>
      <c r="BV383" s="209">
        <f>IF(WWWW[[#This Row],[% of HH with access to Sanitary Pad]]&gt;=100%,1,0)</f>
        <v>0</v>
      </c>
      <c r="BW383" s="209">
        <f>IF(WWWW[[#This Row],[Total PoP ]]=0,0,IF(WWWW[[#This Row],['# Hygiene Promoters ]]=0,0,IF(WWWW[[#This Row],[Location Type 1]]="Village",IF(WWWW[[#This Row],[Total PoP ]]/WWWW[[#This Row],['# Hygiene Promoters ]]&lt;1000,1,0),IF(WWWW[[#This Row],[Total PoP ]]/WWWW[[#This Row],['# Hygiene Promoters ]]&lt;600,1,0))))</f>
        <v>0</v>
      </c>
      <c r="BX383" s="209">
        <f>IF(WWWW[[#This Row],[%HH with access to soap]]&gt;=100%,1,0)</f>
        <v>0</v>
      </c>
      <c r="BY383" s="209">
        <f>IF(WWWW[[#This Row],[% of HHs with access to Sanitary pad more than '#%]]+WWWW[[#This Row],[Ratio of Hyiene promoters to people less than '#]]+WWWW[[#This Row],[% of HHs with access to soap more than '#%]]&gt;=2,WWWW[[#This Row],[Total PoP ]],0)</f>
        <v>0</v>
      </c>
      <c r="BZ383" s="208">
        <f>WWWW[[#This Row],[People adopt basic personal and community hygiene practices]]/WWWW[[#This Row],[Total PoP ]]</f>
        <v>0</v>
      </c>
      <c r="CA383" s="212">
        <f>1-WWWW[[#This Row],[Hygiene Coverage%]]</f>
        <v>1</v>
      </c>
      <c r="CB383" s="211">
        <f>WWWW[[#This Row],['# people reached by regular dedicated hygiene promotion_5]]/WWWW[[#This Row],[Total PoP ]]</f>
        <v>0</v>
      </c>
      <c r="CC383" s="211">
        <f>IF(WWWW[[#This Row],['# HH received soaps]]/WWWW[[#This Row],[Total HH]]&gt;1,1,WWWW[[#This Row],['# HH received soaps]]/WWWW[[#This Row],[Total HH]])</f>
        <v>0</v>
      </c>
      <c r="CD383" s="211">
        <f>IF(WWWW[[#This Row],['# HH received Sanitary Pads]]/WWWW[[#This Row],[Total HH]]&gt;1,1,WWWW[[#This Row],['# HH received Sanitary Pads]]/WWWW[[#This Row],[Total HH]])</f>
        <v>0</v>
      </c>
      <c r="CE383" s="210">
        <f>WWWW[[#This Row],['# HH received soaps]]*5</f>
        <v>0</v>
      </c>
      <c r="CF383" s="210">
        <f>WWWW[[#This Row],['# HH received Sanitary Pads]]*5</f>
        <v>0</v>
      </c>
      <c r="CG383" s="210">
        <f>IF(WWWW[[#This Row],['# People with access to soap]]&gt;WWWW[[#This Row],['# People with access to Sanity Pads]],WWWW[[#This Row],['# People with access to soap]],WWWW[[#This Row],['# People with access to Sanity Pads]])</f>
        <v>0</v>
      </c>
      <c r="CH383" s="209">
        <f>WWWW[[#This Row],[Total HH]]*WWWW[[#This Row],[%HHs with access to functional hand washing stations]]</f>
        <v>0</v>
      </c>
      <c r="CI383" s="699">
        <f>VLOOKUP(WWWW[[#This Row],[Site Name]],SiteDB6[[Site Name]:[CCCM Management]],6,FALSE)</f>
        <v>0</v>
      </c>
      <c r="CJ383" s="699">
        <f>VLOOKUP(WWWW[[#This Row],[Site Name]],SiteDB6[[Site Name]:[CCCM Focal Agency]],7,FALSE)</f>
        <v>0</v>
      </c>
      <c r="CK383" s="699" t="str">
        <f>VLOOKUP(WWWW[[#This Row],[Site Name]],SiteDB6[[Site Name]:[Location Type]],8,FALSE)</f>
        <v>Village</v>
      </c>
      <c r="CL383" s="699" t="str">
        <f>VLOOKUP(WWWW[[#This Row],[Site Name]],SiteDB6[[Site Name]:[Location Type 1]],9,FALSE)</f>
        <v>Village</v>
      </c>
      <c r="CM383" s="699" t="str">
        <f>VLOOKUP(WWWW[[#This Row],[Site Name]],SiteDB6[[Site Name]:[Type of Accommodation]],10,FALSE)</f>
        <v>Village</v>
      </c>
      <c r="CN383" s="699" t="str">
        <f>VLOOKUP(WWWW[[#This Row],[Site Name]],SiteDB6[[Site Name]:[Ethnic or GCA/NGCA]],11,FALSE)</f>
        <v>Muslim</v>
      </c>
      <c r="CO383" s="699">
        <f>VLOOKUP(WWWW[[#This Row],[Site Name]],SiteDB6[[Site Name]:[Lat]],12,FALSE)</f>
        <v>20.1934604644775</v>
      </c>
      <c r="CP383" s="699">
        <f>VLOOKUP(WWWW[[#This Row],[Site Name]],SiteDB6[[Site Name]:[Long]],13,FALSE)</f>
        <v>92.867782592773395</v>
      </c>
      <c r="CQ383" s="699">
        <f>VLOOKUP(WWWW[[#This Row],[Site Name]],SiteDB6[[Site Name]:[Pcode]],3,FALSE)</f>
        <v>196147</v>
      </c>
      <c r="CR383" s="660" t="str">
        <f t="shared" ref="CR383:CR390" si="10">IF(B383="none","Notcovered","Covered")</f>
        <v>Covered</v>
      </c>
      <c r="CS383" s="660"/>
      <c r="CT383" s="24"/>
      <c r="CU383" s="24"/>
      <c r="CV383" s="24"/>
    </row>
    <row r="384" spans="1:100" ht="15.75" customHeight="1" x14ac:dyDescent="0.25">
      <c r="A384" s="833" t="s">
        <v>3206</v>
      </c>
      <c r="B384" s="206" t="s">
        <v>453</v>
      </c>
      <c r="C384" s="206" t="s">
        <v>454</v>
      </c>
      <c r="D384" s="206" t="s">
        <v>455</v>
      </c>
      <c r="E384" s="206" t="s">
        <v>2769</v>
      </c>
      <c r="F384" s="206">
        <v>250</v>
      </c>
      <c r="G384" s="209">
        <v>1183</v>
      </c>
      <c r="H384" s="206">
        <v>180</v>
      </c>
      <c r="I384" s="206" t="s">
        <v>2771</v>
      </c>
      <c r="J384" s="207">
        <v>43373</v>
      </c>
      <c r="K384" s="206">
        <v>0</v>
      </c>
      <c r="L384" s="206" t="s">
        <v>282</v>
      </c>
      <c r="M384" s="208">
        <v>0</v>
      </c>
      <c r="N384" s="208">
        <v>0</v>
      </c>
      <c r="O384" s="316">
        <v>0</v>
      </c>
      <c r="P384" s="317"/>
      <c r="Q384" s="317"/>
      <c r="R384" s="318"/>
      <c r="S384" s="318"/>
      <c r="T384" s="318"/>
      <c r="U384" s="318"/>
      <c r="V384" s="318"/>
      <c r="W384" s="318"/>
      <c r="X384" s="318"/>
      <c r="Y384" s="318"/>
      <c r="Z384" s="318"/>
      <c r="AA384" s="310">
        <v>0</v>
      </c>
      <c r="AB384" s="311">
        <v>0</v>
      </c>
      <c r="AC384" s="66">
        <v>0</v>
      </c>
      <c r="AD384" s="66"/>
      <c r="AE384" s="310">
        <v>0</v>
      </c>
      <c r="AF384" s="310" t="s">
        <v>286</v>
      </c>
      <c r="AG384" s="311" t="s">
        <v>286</v>
      </c>
      <c r="AH384" s="66">
        <v>0</v>
      </c>
      <c r="AI384" s="66">
        <v>0</v>
      </c>
      <c r="AJ384" s="311"/>
      <c r="AK384" s="841">
        <v>0</v>
      </c>
      <c r="AL384" s="846" t="s">
        <v>284</v>
      </c>
      <c r="AM384" s="844">
        <v>0</v>
      </c>
      <c r="AN384" s="863">
        <v>0</v>
      </c>
      <c r="AO384" s="863">
        <v>1</v>
      </c>
      <c r="AP384" s="843">
        <v>0</v>
      </c>
      <c r="AQ384" s="843">
        <v>0</v>
      </c>
      <c r="AR384" s="843"/>
      <c r="AS384" s="843"/>
      <c r="AT384" s="843"/>
      <c r="AU384" s="843"/>
      <c r="AV384" s="844"/>
      <c r="AW384" s="208" t="str">
        <f>IFERROR(WWWW[[#This Row],['# of Water passed at source]]/WWWW[[#This Row],['# of Water tested at source]],"no test")</f>
        <v>no test</v>
      </c>
      <c r="AX384" s="211" t="str">
        <f>IFERROR(WWWW[[#This Row],['# of Water passed at HH]]/WWWW[[#This Row],['# of Water tested at HH]],"no test")</f>
        <v>no test</v>
      </c>
      <c r="AY384" s="210" t="str">
        <f>IF(AND(WWWW[[#This Row],[%of Water samples which passed at water source]]="no test",WWWW[[#This Row],[%Water samples which passed at HH]]="no test"),"No Test","Tested")</f>
        <v>No Test</v>
      </c>
      <c r="AZ38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8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84" s="211">
        <f>IF(WWWW[[#This Row],[Location Type 1]]="Village",WWWW[[#This Row],[Access to safe drinking water for Village]],WWWW[[#This Row],[Access to safe drinking water for Camp]])</f>
        <v>0</v>
      </c>
      <c r="BC384" s="209">
        <f>WWWW[[#This Row],[%Equitable and continuous access to sufficient quantity of safe drinking water]]*WWWW[[#This Row],[Total PoP ]]</f>
        <v>0</v>
      </c>
      <c r="BD384" s="211">
        <f>IF((WWWW[[#This Row],['# Existing protected/fenced ponds ]]*250)/WWWW[[#This Row],[Total PoP ]]&gt;1,1,WWWW[[#This Row],['# Existing protected/fenced ponds ]]*250/WWWW[[#This Row],[Total PoP ]])</f>
        <v>0</v>
      </c>
      <c r="BE384" s="209">
        <f>WWWW[[#This Row],[Access to unimproved water points]]*WWWW[[#This Row],[Total PoP ]]</f>
        <v>0</v>
      </c>
      <c r="BF38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8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84" s="209">
        <f>WWWW[[#This Row],['#people Equitable and continuous access to sufficient quantity of domestic water borehole n ponds_2]]/500</f>
        <v>0</v>
      </c>
      <c r="BI384" s="208">
        <f>1-WWWW[[#This Row],[%Equitable and continuous access to sufficient quantity of domestic water borehole n ponds]]</f>
        <v>1</v>
      </c>
      <c r="BJ384" s="209">
        <f>WWWW[[#This Row],[%equitable and continuous access to sufficient quantity of safe drinking and domestic water''s GAP]]*WWWW[[#This Row],[Total PoP ]]</f>
        <v>1183</v>
      </c>
      <c r="BK384" s="210">
        <f>IF(WWWW[[#This Row],[Total required water points]]-WWWW[[#This Row],['#Water points coverage]]&lt;0,0,WWWW[[#This Row],[Total required water points]]-WWWW[[#This Row],['#Water points coverage]])</f>
        <v>2</v>
      </c>
      <c r="BL384" s="210">
        <f>ROUND(IF(WWWW[[#This Row],[Total PoP ]]&lt;500,1,WWWW[[#This Row],[Total PoP ]]/500),0)</f>
        <v>2</v>
      </c>
      <c r="BM384" s="210">
        <f>WWWW[[#This Row],['# Existing functional latrines]]+WWWW[[#This Row],['# Existing latrines dysfunctional]]</f>
        <v>0</v>
      </c>
      <c r="BN38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84" s="352">
        <f>WWWW[[#This Row],[% people access to functioning Latrine]]*WWWW[[#This Row],[Total PoP ]]</f>
        <v>0</v>
      </c>
      <c r="BP38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0.99915469146238378</v>
      </c>
      <c r="BQ384" s="209">
        <f>IF(WWWW[[#This Row],[Total required Latrines]]-WWWW[[#This Row],[Total '# of latrine]]&lt;0,0,WWWW[[#This Row],[Total required Latrines]]-WWWW[[#This Row],[Total '# of latrine]])</f>
        <v>197</v>
      </c>
      <c r="BR384" s="210">
        <f>ROUND(IF(WWWW[[#This Row],[Location Type 1]]="camp",WWWW[[#This Row],[Total PoP ]]/20,WWWW[[#This Row],[Total PoP ]]/6),0)</f>
        <v>197</v>
      </c>
      <c r="BS384" s="212">
        <f>IF(OR(WWWW[[#This Row],['# Existing latrines dysfunctional]]="",WWWW[[#This Row],['# Existing latrines dysfunctional]]=0),0,WWWW[[#This Row],['# Existing latrines dysfunctional]]/WWWW[[#This Row],[Total '# of latrine]])</f>
        <v>0</v>
      </c>
      <c r="BT384"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84" s="209">
        <f>IF(500*WWWW[[#This Row],['# Hygiene Promoters ]]&gt;WWWW[[#This Row],[Total PoP ]],WWWW[[#This Row],[Total PoP ]],500*WWWW[[#This Row],['# Hygiene Promoters ]])</f>
        <v>500</v>
      </c>
      <c r="BV384" s="209">
        <f>IF(WWWW[[#This Row],[% of HH with access to Sanitary Pad]]&gt;=100%,1,0)</f>
        <v>0</v>
      </c>
      <c r="BW384" s="209">
        <f>IF(WWWW[[#This Row],[Total PoP ]]=0,0,IF(WWWW[[#This Row],['# Hygiene Promoters ]]=0,0,IF(WWWW[[#This Row],[Location Type 1]]="Village",IF(WWWW[[#This Row],[Total PoP ]]/WWWW[[#This Row],['# Hygiene Promoters ]]&lt;1000,1,0),IF(WWWW[[#This Row],[Total PoP ]]/WWWW[[#This Row],['# Hygiene Promoters ]]&lt;600,1,0))))</f>
        <v>0</v>
      </c>
      <c r="BX384" s="209">
        <f>IF(WWWW[[#This Row],[%HH with access to soap]]&gt;=100%,1,0)</f>
        <v>0</v>
      </c>
      <c r="BY384" s="209">
        <f>IF(WWWW[[#This Row],[% of HHs with access to Sanitary pad more than '#%]]+WWWW[[#This Row],[Ratio of Hyiene promoters to people less than '#]]+WWWW[[#This Row],[% of HHs with access to soap more than '#%]]&gt;=2,WWWW[[#This Row],[Total PoP ]],0)</f>
        <v>0</v>
      </c>
      <c r="BZ384" s="208">
        <f>WWWW[[#This Row],[People adopt basic personal and community hygiene practices]]/WWWW[[#This Row],[Total PoP ]]</f>
        <v>0</v>
      </c>
      <c r="CA384" s="212">
        <f>1-WWWW[[#This Row],[Hygiene Coverage%]]</f>
        <v>1</v>
      </c>
      <c r="CB384" s="211">
        <f>WWWW[[#This Row],['# people reached by regular dedicated hygiene promotion_5]]/WWWW[[#This Row],[Total PoP ]]</f>
        <v>0.42265426880811496</v>
      </c>
      <c r="CC384" s="211">
        <f>IF(WWWW[[#This Row],['# HH received soaps]]/WWWW[[#This Row],[Total HH]]&gt;1,1,WWWW[[#This Row],['# HH received soaps]]/WWWW[[#This Row],[Total HH]])</f>
        <v>0</v>
      </c>
      <c r="CD384" s="211">
        <f>IF(WWWW[[#This Row],['# HH received Sanitary Pads]]/WWWW[[#This Row],[Total HH]]&gt;1,1,WWWW[[#This Row],['# HH received Sanitary Pads]]/WWWW[[#This Row],[Total HH]])</f>
        <v>0</v>
      </c>
      <c r="CE384" s="210">
        <f>WWWW[[#This Row],['# HH received soaps]]*5</f>
        <v>0</v>
      </c>
      <c r="CF384" s="210">
        <f>WWWW[[#This Row],['# HH received Sanitary Pads]]*5</f>
        <v>0</v>
      </c>
      <c r="CG384" s="210">
        <f>IF(WWWW[[#This Row],['# People with access to soap]]&gt;WWWW[[#This Row],['# People with access to Sanity Pads]],WWWW[[#This Row],['# People with access to soap]],WWWW[[#This Row],['# People with access to Sanity Pads]])</f>
        <v>0</v>
      </c>
      <c r="CH384" s="209">
        <f>WWWW[[#This Row],[Total HH]]*WWWW[[#This Row],[%HHs with access to functional hand washing stations]]</f>
        <v>0</v>
      </c>
      <c r="CI384" s="699">
        <f>VLOOKUP(WWWW[[#This Row],[Site Name]],SiteDB6[[Site Name]:[CCCM Management]],6,FALSE)</f>
        <v>0</v>
      </c>
      <c r="CJ384" s="699">
        <f>VLOOKUP(WWWW[[#This Row],[Site Name]],SiteDB6[[Site Name]:[CCCM Focal Agency]],7,FALSE)</f>
        <v>0</v>
      </c>
      <c r="CK384" s="699" t="str">
        <f>VLOOKUP(WWWW[[#This Row],[Site Name]],SiteDB6[[Site Name]:[Location Type]],8,FALSE)</f>
        <v>Village</v>
      </c>
      <c r="CL384" s="699" t="str">
        <f>VLOOKUP(WWWW[[#This Row],[Site Name]],SiteDB6[[Site Name]:[Location Type 1]],9,FALSE)</f>
        <v>Village</v>
      </c>
      <c r="CM384" s="699" t="str">
        <f>VLOOKUP(WWWW[[#This Row],[Site Name]],SiteDB6[[Site Name]:[Type of Accommodation]],10,FALSE)</f>
        <v>Village</v>
      </c>
      <c r="CN384" s="699">
        <f>VLOOKUP(WWWW[[#This Row],[Site Name]],SiteDB6[[Site Name]:[Ethnic or GCA/NGCA]],11,FALSE)</f>
        <v>0</v>
      </c>
      <c r="CO384" s="699">
        <f>VLOOKUP(WWWW[[#This Row],[Site Name]],SiteDB6[[Site Name]:[Lat]],12,FALSE)</f>
        <v>20.227340698242202</v>
      </c>
      <c r="CP384" s="699">
        <f>VLOOKUP(WWWW[[#This Row],[Site Name]],SiteDB6[[Site Name]:[Long]],13,FALSE)</f>
        <v>92.893341064453097</v>
      </c>
      <c r="CQ384" s="699">
        <f>VLOOKUP(WWWW[[#This Row],[Site Name]],SiteDB6[[Site Name]:[Pcode]],3,FALSE)</f>
        <v>196181</v>
      </c>
      <c r="CR384" s="660" t="str">
        <f t="shared" si="10"/>
        <v>Covered</v>
      </c>
      <c r="CS384" s="699"/>
      <c r="CT384" s="24"/>
      <c r="CU384" s="24"/>
      <c r="CV384" s="24"/>
    </row>
    <row r="385" spans="1:100" ht="15.75" customHeight="1" x14ac:dyDescent="0.25">
      <c r="A385" s="833" t="s">
        <v>3206</v>
      </c>
      <c r="B385" s="206" t="s">
        <v>447</v>
      </c>
      <c r="C385" s="206" t="s">
        <v>454</v>
      </c>
      <c r="D385" s="206" t="s">
        <v>455</v>
      </c>
      <c r="E385" s="206" t="s">
        <v>2764</v>
      </c>
      <c r="F385" s="206">
        <v>294</v>
      </c>
      <c r="G385" s="209">
        <v>1214</v>
      </c>
      <c r="H385" s="206"/>
      <c r="I385" s="206" t="s">
        <v>449</v>
      </c>
      <c r="J385" s="207">
        <v>43356</v>
      </c>
      <c r="K385" s="206">
        <v>0</v>
      </c>
      <c r="L385" s="206" t="s">
        <v>282</v>
      </c>
      <c r="M385" s="208">
        <v>0</v>
      </c>
      <c r="N385" s="208">
        <v>0</v>
      </c>
      <c r="O385" s="316">
        <v>6</v>
      </c>
      <c r="P385" s="317">
        <v>1</v>
      </c>
      <c r="Q385" s="317">
        <v>0</v>
      </c>
      <c r="R385" s="318">
        <v>1</v>
      </c>
      <c r="S385" s="318">
        <v>6</v>
      </c>
      <c r="T385" s="318"/>
      <c r="U385" s="318">
        <v>0</v>
      </c>
      <c r="V385" s="318">
        <v>0</v>
      </c>
      <c r="W385" s="318">
        <v>0</v>
      </c>
      <c r="X385" s="318">
        <v>0</v>
      </c>
      <c r="Y385" s="318">
        <v>0</v>
      </c>
      <c r="Z385" s="318"/>
      <c r="AA385" s="310">
        <v>70</v>
      </c>
      <c r="AB385" s="310">
        <v>0</v>
      </c>
      <c r="AC385" s="66">
        <v>0</v>
      </c>
      <c r="AD385" s="66"/>
      <c r="AE385" s="310">
        <v>70</v>
      </c>
      <c r="AF385" s="310" t="s">
        <v>286</v>
      </c>
      <c r="AG385" s="311" t="s">
        <v>286</v>
      </c>
      <c r="AH385" s="311">
        <v>0</v>
      </c>
      <c r="AI385" s="310">
        <v>0</v>
      </c>
      <c r="AJ385" s="310"/>
      <c r="AK385" s="841">
        <v>0</v>
      </c>
      <c r="AL385" s="842" t="s">
        <v>284</v>
      </c>
      <c r="AM385" s="842">
        <v>0</v>
      </c>
      <c r="AN385" s="863">
        <v>0</v>
      </c>
      <c r="AO385" s="863">
        <v>1</v>
      </c>
      <c r="AP385" s="843">
        <v>0</v>
      </c>
      <c r="AQ385" s="843">
        <v>0</v>
      </c>
      <c r="AR385" s="843"/>
      <c r="AS385" s="843"/>
      <c r="AT385" s="843"/>
      <c r="AU385" s="843"/>
      <c r="AV385" s="844"/>
      <c r="AW385" s="208" t="str">
        <f>IFERROR(WWWW[[#This Row],['# of Water passed at source]]/WWWW[[#This Row],['# of Water tested at source]],"no test")</f>
        <v>no test</v>
      </c>
      <c r="AX385" s="211" t="str">
        <f>IFERROR(WWWW[[#This Row],['# of Water passed at HH]]/WWWW[[#This Row],['# of Water tested at HH]],"no test")</f>
        <v>no test</v>
      </c>
      <c r="AY385" s="210" t="str">
        <f>IF(AND(WWWW[[#This Row],[%of Water samples which passed at water source]]="no test",WWWW[[#This Row],[%Water samples which passed at HH]]="no test"),"No Test","Tested")</f>
        <v>No Test</v>
      </c>
      <c r="AZ38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8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85" s="211">
        <f>IF(WWWW[[#This Row],[Location Type 1]]="Village",WWWW[[#This Row],[Access to safe drinking water for Village]],WWWW[[#This Row],[Access to safe drinking water for Camp]])</f>
        <v>1</v>
      </c>
      <c r="BC385" s="209">
        <f>WWWW[[#This Row],[%Equitable and continuous access to sufficient quantity of safe drinking water]]*WWWW[[#This Row],[Total PoP ]]</f>
        <v>1214</v>
      </c>
      <c r="BD385" s="211">
        <f>IF((WWWW[[#This Row],['# Existing protected/fenced ponds ]]*250)/WWWW[[#This Row],[Total PoP ]]&gt;1,1,WWWW[[#This Row],['# Existing protected/fenced ponds ]]*250/WWWW[[#This Row],[Total PoP ]])</f>
        <v>0.20593080724876442</v>
      </c>
      <c r="BE385" s="209">
        <f>WWWW[[#This Row],[Access to unimproved water points]]*WWWW[[#This Row],[Total PoP ]]</f>
        <v>250</v>
      </c>
      <c r="BF38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8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1214</v>
      </c>
      <c r="BH385" s="209">
        <f>WWWW[[#This Row],['#people Equitable and continuous access to sufficient quantity of domestic water borehole n ponds_2]]/500</f>
        <v>2.4279999999999999</v>
      </c>
      <c r="BI385" s="208">
        <f>1-WWWW[[#This Row],[%Equitable and continuous access to sufficient quantity of domestic water borehole n ponds]]</f>
        <v>0</v>
      </c>
      <c r="BJ385" s="209">
        <f>WWWW[[#This Row],[%equitable and continuous access to sufficient quantity of safe drinking and domestic water''s GAP]]*WWWW[[#This Row],[Total PoP ]]</f>
        <v>0</v>
      </c>
      <c r="BK385" s="210">
        <f>IF(WWWW[[#This Row],[Total required water points]]-WWWW[[#This Row],['#Water points coverage]]&lt;0,0,WWWW[[#This Row],[Total required water points]]-WWWW[[#This Row],['#Water points coverage]])</f>
        <v>0</v>
      </c>
      <c r="BL385" s="210">
        <f>ROUND(IF(WWWW[[#This Row],[Total PoP ]]&lt;500,1,WWWW[[#This Row],[Total PoP ]]/500),0)</f>
        <v>2</v>
      </c>
      <c r="BM385" s="210">
        <f>WWWW[[#This Row],['# Existing functional latrines]]+WWWW[[#This Row],['# Existing latrines dysfunctional]]</f>
        <v>70</v>
      </c>
      <c r="BN38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0.34596375617792424</v>
      </c>
      <c r="BO385" s="352">
        <f>WWWW[[#This Row],[% people access to functioning Latrine]]*WWWW[[#This Row],[Total PoP ]]</f>
        <v>420.00000000000006</v>
      </c>
      <c r="BP38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0.65238879736408562</v>
      </c>
      <c r="BQ385" s="209">
        <f>IF(WWWW[[#This Row],[Total required Latrines]]-WWWW[[#This Row],[Total '# of latrine]]&lt;0,0,WWWW[[#This Row],[Total required Latrines]]-WWWW[[#This Row],[Total '# of latrine]])</f>
        <v>132</v>
      </c>
      <c r="BR385" s="210">
        <f>ROUND(IF(WWWW[[#This Row],[Location Type 1]]="camp",WWWW[[#This Row],[Total PoP ]]/20,WWWW[[#This Row],[Total PoP ]]/6),0)</f>
        <v>202</v>
      </c>
      <c r="BS385" s="212">
        <f>IF(OR(WWWW[[#This Row],['# Existing latrines dysfunctional]]="",WWWW[[#This Row],['# Existing latrines dysfunctional]]=0),0,WWWW[[#This Row],['# Existing latrines dysfunctional]]/WWWW[[#This Row],[Total '# of latrine]])</f>
        <v>0</v>
      </c>
      <c r="BT385"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85" s="209">
        <f>IF(500*WWWW[[#This Row],['# Hygiene Promoters ]]&gt;WWWW[[#This Row],[Total PoP ]],WWWW[[#This Row],[Total PoP ]],500*WWWW[[#This Row],['# Hygiene Promoters ]])</f>
        <v>500</v>
      </c>
      <c r="BV385" s="209">
        <f>IF(WWWW[[#This Row],[% of HH with access to Sanitary Pad]]&gt;=100%,1,0)</f>
        <v>0</v>
      </c>
      <c r="BW385" s="209">
        <f>IF(WWWW[[#This Row],[Total PoP ]]=0,0,IF(WWWW[[#This Row],['# Hygiene Promoters ]]=0,0,IF(WWWW[[#This Row],[Location Type 1]]="Village",IF(WWWW[[#This Row],[Total PoP ]]/WWWW[[#This Row],['# Hygiene Promoters ]]&lt;1000,1,0),IF(WWWW[[#This Row],[Total PoP ]]/WWWW[[#This Row],['# Hygiene Promoters ]]&lt;600,1,0))))</f>
        <v>0</v>
      </c>
      <c r="BX385" s="209">
        <f>IF(WWWW[[#This Row],[%HH with access to soap]]&gt;=100%,1,0)</f>
        <v>0</v>
      </c>
      <c r="BY385" s="209">
        <f>IF(WWWW[[#This Row],[% of HHs with access to Sanitary pad more than '#%]]+WWWW[[#This Row],[Ratio of Hyiene promoters to people less than '#]]+WWWW[[#This Row],[% of HHs with access to soap more than '#%]]&gt;=2,WWWW[[#This Row],[Total PoP ]],0)</f>
        <v>0</v>
      </c>
      <c r="BZ385" s="208">
        <f>WWWW[[#This Row],[People adopt basic personal and community hygiene practices]]/WWWW[[#This Row],[Total PoP ]]</f>
        <v>0</v>
      </c>
      <c r="CA385" s="212">
        <f>1-WWWW[[#This Row],[Hygiene Coverage%]]</f>
        <v>1</v>
      </c>
      <c r="CB385" s="211">
        <f>WWWW[[#This Row],['# people reached by regular dedicated hygiene promotion_5]]/WWWW[[#This Row],[Total PoP ]]</f>
        <v>0.41186161449752884</v>
      </c>
      <c r="CC385" s="211">
        <f>IF(WWWW[[#This Row],['# HH received soaps]]/WWWW[[#This Row],[Total HH]]&gt;1,1,WWWW[[#This Row],['# HH received soaps]]/WWWW[[#This Row],[Total HH]])</f>
        <v>0</v>
      </c>
      <c r="CD385" s="211">
        <f>IF(WWWW[[#This Row],['# HH received Sanitary Pads]]/WWWW[[#This Row],[Total HH]]&gt;1,1,WWWW[[#This Row],['# HH received Sanitary Pads]]/WWWW[[#This Row],[Total HH]])</f>
        <v>0</v>
      </c>
      <c r="CE385" s="210">
        <f>WWWW[[#This Row],['# HH received soaps]]*5</f>
        <v>0</v>
      </c>
      <c r="CF385" s="210">
        <f>WWWW[[#This Row],['# HH received Sanitary Pads]]*5</f>
        <v>0</v>
      </c>
      <c r="CG385" s="210">
        <f>IF(WWWW[[#This Row],['# People with access to soap]]&gt;WWWW[[#This Row],['# People with access to Sanity Pads]],WWWW[[#This Row],['# People with access to soap]],WWWW[[#This Row],['# People with access to Sanity Pads]])</f>
        <v>0</v>
      </c>
      <c r="CH385" s="209">
        <f>WWWW[[#This Row],[Total HH]]*WWWW[[#This Row],[%HHs with access to functional hand washing stations]]</f>
        <v>0</v>
      </c>
      <c r="CI385" s="699">
        <f>VLOOKUP(WWWW[[#This Row],[Site Name]],SiteDB6[[Site Name]:[CCCM Management]],6,FALSE)</f>
        <v>0</v>
      </c>
      <c r="CJ385" s="699">
        <f>VLOOKUP(WWWW[[#This Row],[Site Name]],SiteDB6[[Site Name]:[CCCM Focal Agency]],7,FALSE)</f>
        <v>0</v>
      </c>
      <c r="CK385" s="699" t="str">
        <f>VLOOKUP(WWWW[[#This Row],[Site Name]],SiteDB6[[Site Name]:[Location Type]],8,FALSE)</f>
        <v>Village</v>
      </c>
      <c r="CL385" s="699" t="str">
        <f>VLOOKUP(WWWW[[#This Row],[Site Name]],SiteDB6[[Site Name]:[Location Type 1]],9,FALSE)</f>
        <v>Village</v>
      </c>
      <c r="CM385" s="699" t="str">
        <f>VLOOKUP(WWWW[[#This Row],[Site Name]],SiteDB6[[Site Name]:[Type of Accommodation]],10,FALSE)</f>
        <v>Village</v>
      </c>
      <c r="CN385" s="699" t="str">
        <f>VLOOKUP(WWWW[[#This Row],[Site Name]],SiteDB6[[Site Name]:[Ethnic or GCA/NGCA]],11,FALSE)</f>
        <v>Rakhine</v>
      </c>
      <c r="CO385" s="699">
        <f>VLOOKUP(WWWW[[#This Row],[Site Name]],SiteDB6[[Site Name]:[Lat]],12,FALSE)</f>
        <v>20.257850646972699</v>
      </c>
      <c r="CP385" s="699">
        <f>VLOOKUP(WWWW[[#This Row],[Site Name]],SiteDB6[[Site Name]:[Long]],13,FALSE)</f>
        <v>92.811126708984403</v>
      </c>
      <c r="CQ385" s="699">
        <f>VLOOKUP(WWWW[[#This Row],[Site Name]],SiteDB6[[Site Name]:[Pcode]],3,FALSE)</f>
        <v>196161</v>
      </c>
      <c r="CR385" s="660" t="str">
        <f t="shared" si="10"/>
        <v>Covered</v>
      </c>
      <c r="CS385" s="660"/>
      <c r="CT385" s="24"/>
      <c r="CU385" s="24"/>
      <c r="CV385" s="24"/>
    </row>
    <row r="386" spans="1:100" ht="15.75" customHeight="1" x14ac:dyDescent="0.25">
      <c r="A386" s="833" t="s">
        <v>3206</v>
      </c>
      <c r="B386" s="206" t="s">
        <v>447</v>
      </c>
      <c r="C386" s="206" t="s">
        <v>454</v>
      </c>
      <c r="D386" s="206" t="s">
        <v>455</v>
      </c>
      <c r="E386" s="206" t="s">
        <v>2763</v>
      </c>
      <c r="F386" s="206">
        <v>110</v>
      </c>
      <c r="G386" s="209">
        <v>500</v>
      </c>
      <c r="H386" s="206"/>
      <c r="I386" s="206" t="s">
        <v>449</v>
      </c>
      <c r="J386" s="207">
        <v>43356</v>
      </c>
      <c r="K386" s="206">
        <v>0</v>
      </c>
      <c r="L386" s="206" t="s">
        <v>282</v>
      </c>
      <c r="M386" s="208">
        <v>0</v>
      </c>
      <c r="N386" s="208">
        <v>0</v>
      </c>
      <c r="O386" s="316">
        <v>4</v>
      </c>
      <c r="P386" s="317">
        <v>40</v>
      </c>
      <c r="Q386" s="317">
        <v>0</v>
      </c>
      <c r="R386" s="318">
        <v>0</v>
      </c>
      <c r="S386" s="318">
        <v>20</v>
      </c>
      <c r="T386" s="318"/>
      <c r="U386" s="318">
        <v>0</v>
      </c>
      <c r="V386" s="318">
        <v>0</v>
      </c>
      <c r="W386" s="318">
        <v>0</v>
      </c>
      <c r="X386" s="318">
        <v>0</v>
      </c>
      <c r="Y386" s="318">
        <v>0</v>
      </c>
      <c r="Z386" s="318"/>
      <c r="AA386" s="310">
        <v>45</v>
      </c>
      <c r="AB386" s="310">
        <v>0</v>
      </c>
      <c r="AC386" s="66">
        <v>0</v>
      </c>
      <c r="AD386" s="66"/>
      <c r="AE386" s="310">
        <v>45</v>
      </c>
      <c r="AF386" s="310" t="s">
        <v>286</v>
      </c>
      <c r="AG386" s="311" t="s">
        <v>286</v>
      </c>
      <c r="AH386" s="311">
        <v>0</v>
      </c>
      <c r="AI386" s="310">
        <v>0</v>
      </c>
      <c r="AJ386" s="310"/>
      <c r="AK386" s="841">
        <v>0</v>
      </c>
      <c r="AL386" s="842" t="s">
        <v>284</v>
      </c>
      <c r="AM386" s="842">
        <v>0</v>
      </c>
      <c r="AN386" s="863">
        <v>0</v>
      </c>
      <c r="AO386" s="863">
        <v>2</v>
      </c>
      <c r="AP386" s="843">
        <v>0</v>
      </c>
      <c r="AQ386" s="843">
        <v>0</v>
      </c>
      <c r="AR386" s="843"/>
      <c r="AS386" s="843"/>
      <c r="AT386" s="843"/>
      <c r="AU386" s="843"/>
      <c r="AV386" s="844"/>
      <c r="AW386" s="208" t="str">
        <f>IFERROR(WWWW[[#This Row],['# of Water passed at source]]/WWWW[[#This Row],['# of Water tested at source]],"no test")</f>
        <v>no test</v>
      </c>
      <c r="AX386" s="211" t="str">
        <f>IFERROR(WWWW[[#This Row],['# of Water passed at HH]]/WWWW[[#This Row],['# of Water tested at HH]],"no test")</f>
        <v>no test</v>
      </c>
      <c r="AY386" s="210" t="str">
        <f>IF(AND(WWWW[[#This Row],[%of Water samples which passed at water source]]="no test",WWWW[[#This Row],[%Water samples which passed at HH]]="no test"),"No Test","Tested")</f>
        <v>No Test</v>
      </c>
      <c r="AZ38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8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86" s="211">
        <f>IF(WWWW[[#This Row],[Location Type 1]]="Village",WWWW[[#This Row],[Access to safe drinking water for Village]],WWWW[[#This Row],[Access to safe drinking water for Camp]])</f>
        <v>1</v>
      </c>
      <c r="BC386" s="209">
        <f>WWWW[[#This Row],[%Equitable and continuous access to sufficient quantity of safe drinking water]]*WWWW[[#This Row],[Total PoP ]]</f>
        <v>500</v>
      </c>
      <c r="BD386" s="211">
        <f>IF((WWWW[[#This Row],['# Existing protected/fenced ponds ]]*250)/WWWW[[#This Row],[Total PoP ]]&gt;1,1,WWWW[[#This Row],['# Existing protected/fenced ponds ]]*250/WWWW[[#This Row],[Total PoP ]])</f>
        <v>0</v>
      </c>
      <c r="BE386" s="209">
        <f>WWWW[[#This Row],[Access to unimproved water points]]*WWWW[[#This Row],[Total PoP ]]</f>
        <v>0</v>
      </c>
      <c r="BF38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8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H386" s="209">
        <f>WWWW[[#This Row],['#people Equitable and continuous access to sufficient quantity of domestic water borehole n ponds_2]]/500</f>
        <v>1</v>
      </c>
      <c r="BI386" s="208">
        <f>1-WWWW[[#This Row],[%Equitable and continuous access to sufficient quantity of domestic water borehole n ponds]]</f>
        <v>0</v>
      </c>
      <c r="BJ386" s="209">
        <f>WWWW[[#This Row],[%equitable and continuous access to sufficient quantity of safe drinking and domestic water''s GAP]]*WWWW[[#This Row],[Total PoP ]]</f>
        <v>0</v>
      </c>
      <c r="BK386" s="210">
        <f>IF(WWWW[[#This Row],[Total required water points]]-WWWW[[#This Row],['#Water points coverage]]&lt;0,0,WWWW[[#This Row],[Total required water points]]-WWWW[[#This Row],['#Water points coverage]])</f>
        <v>0</v>
      </c>
      <c r="BL386" s="210">
        <f>ROUND(IF(WWWW[[#This Row],[Total PoP ]]&lt;500,1,WWWW[[#This Row],[Total PoP ]]/500),0)</f>
        <v>1</v>
      </c>
      <c r="BM386" s="210">
        <f>WWWW[[#This Row],['# Existing functional latrines]]+WWWW[[#This Row],['# Existing latrines dysfunctional]]</f>
        <v>45</v>
      </c>
      <c r="BN38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0.54</v>
      </c>
      <c r="BO386" s="352">
        <f>WWWW[[#This Row],[% people access to functioning Latrine]]*WWWW[[#This Row],[Total PoP ]]</f>
        <v>270</v>
      </c>
      <c r="BP38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0.45600000000000002</v>
      </c>
      <c r="BQ386" s="209">
        <f>IF(WWWW[[#This Row],[Total required Latrines]]-WWWW[[#This Row],[Total '# of latrine]]&lt;0,0,WWWW[[#This Row],[Total required Latrines]]-WWWW[[#This Row],[Total '# of latrine]])</f>
        <v>38</v>
      </c>
      <c r="BR386" s="210">
        <f>ROUND(IF(WWWW[[#This Row],[Location Type 1]]="camp",WWWW[[#This Row],[Total PoP ]]/20,WWWW[[#This Row],[Total PoP ]]/6),0)</f>
        <v>83</v>
      </c>
      <c r="BS386" s="212">
        <f>IF(OR(WWWW[[#This Row],['# Existing latrines dysfunctional]]="",WWWW[[#This Row],['# Existing latrines dysfunctional]]=0),0,WWWW[[#This Row],['# Existing latrines dysfunctional]]/WWWW[[#This Row],[Total '# of latrine]])</f>
        <v>0</v>
      </c>
      <c r="BT386"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86" s="209">
        <f>IF(500*WWWW[[#This Row],['# Hygiene Promoters ]]&gt;WWWW[[#This Row],[Total PoP ]],WWWW[[#This Row],[Total PoP ]],500*WWWW[[#This Row],['# Hygiene Promoters ]])</f>
        <v>500</v>
      </c>
      <c r="BV386" s="209">
        <f>IF(WWWW[[#This Row],[% of HH with access to Sanitary Pad]]&gt;=100%,1,0)</f>
        <v>0</v>
      </c>
      <c r="BW386" s="209">
        <f>IF(WWWW[[#This Row],[Total PoP ]]=0,0,IF(WWWW[[#This Row],['# Hygiene Promoters ]]=0,0,IF(WWWW[[#This Row],[Location Type 1]]="Village",IF(WWWW[[#This Row],[Total PoP ]]/WWWW[[#This Row],['# Hygiene Promoters ]]&lt;1000,1,0),IF(WWWW[[#This Row],[Total PoP ]]/WWWW[[#This Row],['# Hygiene Promoters ]]&lt;600,1,0))))</f>
        <v>1</v>
      </c>
      <c r="BX386" s="209">
        <f>IF(WWWW[[#This Row],[%HH with access to soap]]&gt;=100%,1,0)</f>
        <v>0</v>
      </c>
      <c r="BY386" s="209">
        <f>IF(WWWW[[#This Row],[% of HHs with access to Sanitary pad more than '#%]]+WWWW[[#This Row],[Ratio of Hyiene promoters to people less than '#]]+WWWW[[#This Row],[% of HHs with access to soap more than '#%]]&gt;=2,WWWW[[#This Row],[Total PoP ]],0)</f>
        <v>0</v>
      </c>
      <c r="BZ386" s="208">
        <f>WWWW[[#This Row],[People adopt basic personal and community hygiene practices]]/WWWW[[#This Row],[Total PoP ]]</f>
        <v>0</v>
      </c>
      <c r="CA386" s="212">
        <f>1-WWWW[[#This Row],[Hygiene Coverage%]]</f>
        <v>1</v>
      </c>
      <c r="CB386" s="211">
        <f>WWWW[[#This Row],['# people reached by regular dedicated hygiene promotion_5]]/WWWW[[#This Row],[Total PoP ]]</f>
        <v>1</v>
      </c>
      <c r="CC386" s="211">
        <f>IF(WWWW[[#This Row],['# HH received soaps]]/WWWW[[#This Row],[Total HH]]&gt;1,1,WWWW[[#This Row],['# HH received soaps]]/WWWW[[#This Row],[Total HH]])</f>
        <v>0</v>
      </c>
      <c r="CD386" s="211">
        <f>IF(WWWW[[#This Row],['# HH received Sanitary Pads]]/WWWW[[#This Row],[Total HH]]&gt;1,1,WWWW[[#This Row],['# HH received Sanitary Pads]]/WWWW[[#This Row],[Total HH]])</f>
        <v>0</v>
      </c>
      <c r="CE386" s="210">
        <f>WWWW[[#This Row],['# HH received soaps]]*5</f>
        <v>0</v>
      </c>
      <c r="CF386" s="210">
        <f>WWWW[[#This Row],['# HH received Sanitary Pads]]*5</f>
        <v>0</v>
      </c>
      <c r="CG386" s="210">
        <f>IF(WWWW[[#This Row],['# People with access to soap]]&gt;WWWW[[#This Row],['# People with access to Sanity Pads]],WWWW[[#This Row],['# People with access to soap]],WWWW[[#This Row],['# People with access to Sanity Pads]])</f>
        <v>0</v>
      </c>
      <c r="CH386" s="209">
        <f>WWWW[[#This Row],[Total HH]]*WWWW[[#This Row],[%HHs with access to functional hand washing stations]]</f>
        <v>0</v>
      </c>
      <c r="CI386" s="699">
        <f>VLOOKUP(WWWW[[#This Row],[Site Name]],SiteDB6[[Site Name]:[CCCM Management]],6,FALSE)</f>
        <v>0</v>
      </c>
      <c r="CJ386" s="699">
        <f>VLOOKUP(WWWW[[#This Row],[Site Name]],SiteDB6[[Site Name]:[CCCM Focal Agency]],7,FALSE)</f>
        <v>0</v>
      </c>
      <c r="CK386" s="699" t="str">
        <f>VLOOKUP(WWWW[[#This Row],[Site Name]],SiteDB6[[Site Name]:[Location Type]],8,FALSE)</f>
        <v>Village</v>
      </c>
      <c r="CL386" s="699" t="str">
        <f>VLOOKUP(WWWW[[#This Row],[Site Name]],SiteDB6[[Site Name]:[Location Type 1]],9,FALSE)</f>
        <v>Village</v>
      </c>
      <c r="CM386" s="699" t="str">
        <f>VLOOKUP(WWWW[[#This Row],[Site Name]],SiteDB6[[Site Name]:[Type of Accommodation]],10,FALSE)</f>
        <v>Village</v>
      </c>
      <c r="CN386" s="699" t="str">
        <f>VLOOKUP(WWWW[[#This Row],[Site Name]],SiteDB6[[Site Name]:[Ethnic or GCA/NGCA]],11,FALSE)</f>
        <v>rakhine</v>
      </c>
      <c r="CO386" s="699">
        <f>VLOOKUP(WWWW[[#This Row],[Site Name]],SiteDB6[[Site Name]:[Lat]],12,FALSE)</f>
        <v>20.2235107421875</v>
      </c>
      <c r="CP386" s="699">
        <f>VLOOKUP(WWWW[[#This Row],[Site Name]],SiteDB6[[Site Name]:[Long]],13,FALSE)</f>
        <v>92.869842529296903</v>
      </c>
      <c r="CQ386" s="699">
        <f>VLOOKUP(WWWW[[#This Row],[Site Name]],SiteDB6[[Site Name]:[Pcode]],3,FALSE)</f>
        <v>196168</v>
      </c>
      <c r="CR386" s="660" t="str">
        <f t="shared" si="10"/>
        <v>Covered</v>
      </c>
      <c r="CS386" s="660"/>
      <c r="CT386" s="24"/>
      <c r="CU386" s="24"/>
      <c r="CV386" s="24"/>
    </row>
    <row r="387" spans="1:100" ht="15.75" customHeight="1" x14ac:dyDescent="0.25">
      <c r="A387" s="833" t="s">
        <v>3206</v>
      </c>
      <c r="B387" s="206" t="s">
        <v>447</v>
      </c>
      <c r="C387" s="206" t="s">
        <v>454</v>
      </c>
      <c r="D387" s="206" t="s">
        <v>455</v>
      </c>
      <c r="E387" s="206" t="s">
        <v>603</v>
      </c>
      <c r="F387" s="206">
        <v>80</v>
      </c>
      <c r="G387" s="209">
        <v>359</v>
      </c>
      <c r="H387" s="206"/>
      <c r="I387" s="206" t="s">
        <v>449</v>
      </c>
      <c r="J387" s="207">
        <v>43356</v>
      </c>
      <c r="K387" s="206">
        <v>0</v>
      </c>
      <c r="L387" s="206" t="s">
        <v>282</v>
      </c>
      <c r="M387" s="208">
        <v>0</v>
      </c>
      <c r="N387" s="208">
        <v>0</v>
      </c>
      <c r="O387" s="316">
        <v>7</v>
      </c>
      <c r="P387" s="317">
        <v>13</v>
      </c>
      <c r="Q387" s="317">
        <v>0</v>
      </c>
      <c r="R387" s="318">
        <v>0</v>
      </c>
      <c r="S387" s="318">
        <v>1</v>
      </c>
      <c r="T387" s="318"/>
      <c r="U387" s="318">
        <v>0</v>
      </c>
      <c r="V387" s="318">
        <v>0</v>
      </c>
      <c r="W387" s="318">
        <v>0</v>
      </c>
      <c r="X387" s="318">
        <v>0</v>
      </c>
      <c r="Y387" s="318">
        <v>0</v>
      </c>
      <c r="Z387" s="318"/>
      <c r="AA387" s="310">
        <v>92</v>
      </c>
      <c r="AB387" s="310">
        <v>0</v>
      </c>
      <c r="AC387" s="66">
        <v>0</v>
      </c>
      <c r="AD387" s="66"/>
      <c r="AE387" s="310">
        <v>12</v>
      </c>
      <c r="AF387" s="310" t="s">
        <v>286</v>
      </c>
      <c r="AG387" s="311" t="s">
        <v>286</v>
      </c>
      <c r="AH387" s="311">
        <v>0</v>
      </c>
      <c r="AI387" s="310">
        <v>0</v>
      </c>
      <c r="AJ387" s="310"/>
      <c r="AK387" s="841">
        <v>0</v>
      </c>
      <c r="AL387" s="842" t="s">
        <v>284</v>
      </c>
      <c r="AM387" s="842">
        <v>0</v>
      </c>
      <c r="AN387" s="863">
        <v>0</v>
      </c>
      <c r="AO387" s="863">
        <v>1</v>
      </c>
      <c r="AP387" s="843">
        <v>0</v>
      </c>
      <c r="AQ387" s="843">
        <v>0</v>
      </c>
      <c r="AR387" s="843"/>
      <c r="AS387" s="843"/>
      <c r="AT387" s="843"/>
      <c r="AU387" s="843"/>
      <c r="AV387" s="844"/>
      <c r="AW387" s="208" t="str">
        <f>IFERROR(WWWW[[#This Row],['# of Water passed at source]]/WWWW[[#This Row],['# of Water tested at source]],"no test")</f>
        <v>no test</v>
      </c>
      <c r="AX387" s="211" t="str">
        <f>IFERROR(WWWW[[#This Row],['# of Water passed at HH]]/WWWW[[#This Row],['# of Water tested at HH]],"no test")</f>
        <v>no test</v>
      </c>
      <c r="AY387" s="210" t="str">
        <f>IF(AND(WWWW[[#This Row],[%of Water samples which passed at water source]]="no test",WWWW[[#This Row],[%Water samples which passed at HH]]="no test"),"No Test","Tested")</f>
        <v>No Test</v>
      </c>
      <c r="AZ38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8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87" s="211">
        <f>IF(WWWW[[#This Row],[Location Type 1]]="Village",WWWW[[#This Row],[Access to safe drinking water for Village]],WWWW[[#This Row],[Access to safe drinking water for Camp]])</f>
        <v>1</v>
      </c>
      <c r="BC387" s="209">
        <f>WWWW[[#This Row],[%Equitable and continuous access to sufficient quantity of safe drinking water]]*WWWW[[#This Row],[Total PoP ]]</f>
        <v>359</v>
      </c>
      <c r="BD387" s="211">
        <f>IF((WWWW[[#This Row],['# Existing protected/fenced ponds ]]*250)/WWWW[[#This Row],[Total PoP ]]&gt;1,1,WWWW[[#This Row],['# Existing protected/fenced ponds ]]*250/WWWW[[#This Row],[Total PoP ]])</f>
        <v>0</v>
      </c>
      <c r="BE387" s="209">
        <f>WWWW[[#This Row],[Access to unimproved water points]]*WWWW[[#This Row],[Total PoP ]]</f>
        <v>0</v>
      </c>
      <c r="BF38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8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359</v>
      </c>
      <c r="BH387" s="209">
        <f>WWWW[[#This Row],['#people Equitable and continuous access to sufficient quantity of domestic water borehole n ponds_2]]/500</f>
        <v>0.71799999999999997</v>
      </c>
      <c r="BI387" s="208">
        <f>1-WWWW[[#This Row],[%Equitable and continuous access to sufficient quantity of domestic water borehole n ponds]]</f>
        <v>0</v>
      </c>
      <c r="BJ387" s="209">
        <f>WWWW[[#This Row],[%equitable and continuous access to sufficient quantity of safe drinking and domestic water''s GAP]]*WWWW[[#This Row],[Total PoP ]]</f>
        <v>0</v>
      </c>
      <c r="BK387" s="210">
        <f>IF(WWWW[[#This Row],[Total required water points]]-WWWW[[#This Row],['#Water points coverage]]&lt;0,0,WWWW[[#This Row],[Total required water points]]-WWWW[[#This Row],['#Water points coverage]])</f>
        <v>0.28200000000000003</v>
      </c>
      <c r="BL387" s="210">
        <f>ROUND(IF(WWWW[[#This Row],[Total PoP ]]&lt;500,1,WWWW[[#This Row],[Total PoP ]]/500),0)</f>
        <v>1</v>
      </c>
      <c r="BM387" s="210">
        <f>WWWW[[#This Row],['# Existing functional latrines]]+WWWW[[#This Row],['# Existing latrines dysfunctional]]</f>
        <v>92</v>
      </c>
      <c r="BN38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87" s="352">
        <f>WWWW[[#This Row],[% people access to functioning Latrine]]*WWWW[[#This Row],[Total PoP ]]</f>
        <v>359</v>
      </c>
      <c r="BP38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87" s="209">
        <f>IF(WWWW[[#This Row],[Total required Latrines]]-WWWW[[#This Row],[Total '# of latrine]]&lt;0,0,WWWW[[#This Row],[Total required Latrines]]-WWWW[[#This Row],[Total '# of latrine]])</f>
        <v>0</v>
      </c>
      <c r="BR387" s="210">
        <f>ROUND(IF(WWWW[[#This Row],[Location Type 1]]="camp",WWWW[[#This Row],[Total PoP ]]/20,WWWW[[#This Row],[Total PoP ]]/6),0)</f>
        <v>60</v>
      </c>
      <c r="BS387" s="212">
        <f>IF(OR(WWWW[[#This Row],['# Existing latrines dysfunctional]]="",WWWW[[#This Row],['# Existing latrines dysfunctional]]=0),0,WWWW[[#This Row],['# Existing latrines dysfunctional]]/WWWW[[#This Row],[Total '# of latrine]])</f>
        <v>0</v>
      </c>
      <c r="BT387" s="352"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U387" s="209">
        <f>IF(500*WWWW[[#This Row],['# Hygiene Promoters ]]&gt;WWWW[[#This Row],[Total PoP ]],WWWW[[#This Row],[Total PoP ]],500*WWWW[[#This Row],['# Hygiene Promoters ]])</f>
        <v>359</v>
      </c>
      <c r="BV387" s="209">
        <f>IF(WWWW[[#This Row],[% of HH with access to Sanitary Pad]]&gt;=100%,1,0)</f>
        <v>0</v>
      </c>
      <c r="BW387" s="209">
        <f>IF(WWWW[[#This Row],[Total PoP ]]=0,0,IF(WWWW[[#This Row],['# Hygiene Promoters ]]=0,0,IF(WWWW[[#This Row],[Location Type 1]]="Village",IF(WWWW[[#This Row],[Total PoP ]]/WWWW[[#This Row],['# Hygiene Promoters ]]&lt;1000,1,0),IF(WWWW[[#This Row],[Total PoP ]]/WWWW[[#This Row],['# Hygiene Promoters ]]&lt;600,1,0))))</f>
        <v>1</v>
      </c>
      <c r="BX387" s="209">
        <f>IF(WWWW[[#This Row],[%HH with access to soap]]&gt;=100%,1,0)</f>
        <v>0</v>
      </c>
      <c r="BY387" s="209">
        <f>IF(WWWW[[#This Row],[% of HHs with access to Sanitary pad more than '#%]]+WWWW[[#This Row],[Ratio of Hyiene promoters to people less than '#]]+WWWW[[#This Row],[% of HHs with access to soap more than '#%]]&gt;=2,WWWW[[#This Row],[Total PoP ]],0)</f>
        <v>0</v>
      </c>
      <c r="BZ387" s="208">
        <f>WWWW[[#This Row],[People adopt basic personal and community hygiene practices]]/WWWW[[#This Row],[Total PoP ]]</f>
        <v>0</v>
      </c>
      <c r="CA387" s="212">
        <f>1-WWWW[[#This Row],[Hygiene Coverage%]]</f>
        <v>1</v>
      </c>
      <c r="CB387" s="211">
        <f>WWWW[[#This Row],['# people reached by regular dedicated hygiene promotion_5]]/WWWW[[#This Row],[Total PoP ]]</f>
        <v>1</v>
      </c>
      <c r="CC387" s="211">
        <f>IF(WWWW[[#This Row],['# HH received soaps]]/WWWW[[#This Row],[Total HH]]&gt;1,1,WWWW[[#This Row],['# HH received soaps]]/WWWW[[#This Row],[Total HH]])</f>
        <v>0</v>
      </c>
      <c r="CD387" s="211">
        <f>IF(WWWW[[#This Row],['# HH received Sanitary Pads]]/WWWW[[#This Row],[Total HH]]&gt;1,1,WWWW[[#This Row],['# HH received Sanitary Pads]]/WWWW[[#This Row],[Total HH]])</f>
        <v>0</v>
      </c>
      <c r="CE387" s="210">
        <f>WWWW[[#This Row],['# HH received soaps]]*5</f>
        <v>0</v>
      </c>
      <c r="CF387" s="210">
        <f>WWWW[[#This Row],['# HH received Sanitary Pads]]*5</f>
        <v>0</v>
      </c>
      <c r="CG387" s="210">
        <f>IF(WWWW[[#This Row],['# People with access to soap]]&gt;WWWW[[#This Row],['# People with access to Sanity Pads]],WWWW[[#This Row],['# People with access to soap]],WWWW[[#This Row],['# People with access to Sanity Pads]])</f>
        <v>0</v>
      </c>
      <c r="CH387" s="209">
        <f>WWWW[[#This Row],[Total HH]]*WWWW[[#This Row],[%HHs with access to functional hand washing stations]]</f>
        <v>0</v>
      </c>
      <c r="CI387" s="699">
        <f>VLOOKUP(WWWW[[#This Row],[Site Name]],SiteDB6[[Site Name]:[CCCM Management]],6,FALSE)</f>
        <v>0</v>
      </c>
      <c r="CJ387" s="699">
        <f>VLOOKUP(WWWW[[#This Row],[Site Name]],SiteDB6[[Site Name]:[CCCM Focal Agency]],7,FALSE)</f>
        <v>0</v>
      </c>
      <c r="CK387" s="699" t="str">
        <f>VLOOKUP(WWWW[[#This Row],[Site Name]],SiteDB6[[Site Name]:[Location Type]],8,FALSE)</f>
        <v>Village</v>
      </c>
      <c r="CL387" s="699" t="str">
        <f>VLOOKUP(WWWW[[#This Row],[Site Name]],SiteDB6[[Site Name]:[Location Type 1]],9,FALSE)</f>
        <v>Village</v>
      </c>
      <c r="CM387" s="699" t="str">
        <f>VLOOKUP(WWWW[[#This Row],[Site Name]],SiteDB6[[Site Name]:[Type of Accommodation]],10,FALSE)</f>
        <v>Village</v>
      </c>
      <c r="CN387" s="699" t="str">
        <f>VLOOKUP(WWWW[[#This Row],[Site Name]],SiteDB6[[Site Name]:[Ethnic or GCA/NGCA]],11,FALSE)</f>
        <v>Rakhine</v>
      </c>
      <c r="CO387" s="699">
        <f>VLOOKUP(WWWW[[#This Row],[Site Name]],SiteDB6[[Site Name]:[Lat]],12,FALSE)</f>
        <v>20.202400000000001</v>
      </c>
      <c r="CP387" s="699">
        <f>VLOOKUP(WWWW[[#This Row],[Site Name]],SiteDB6[[Site Name]:[Long]],13,FALSE)</f>
        <v>92.812799999999996</v>
      </c>
      <c r="CQ387" s="699" t="str">
        <f>VLOOKUP(WWWW[[#This Row],[Site Name]],SiteDB6[[Site Name]:[Pcode]],3,FALSE)</f>
        <v>196159</v>
      </c>
      <c r="CR387" s="660" t="str">
        <f t="shared" si="10"/>
        <v>Covered</v>
      </c>
      <c r="CS387" s="660"/>
      <c r="CT387" s="24"/>
      <c r="CU387" s="24"/>
      <c r="CV387" s="24"/>
    </row>
    <row r="388" spans="1:100" ht="15.75" customHeight="1" x14ac:dyDescent="0.25">
      <c r="A388" s="833" t="s">
        <v>3206</v>
      </c>
      <c r="B388" s="206" t="s">
        <v>2899</v>
      </c>
      <c r="C388" s="206" t="s">
        <v>866</v>
      </c>
      <c r="D388" s="206" t="s">
        <v>888</v>
      </c>
      <c r="E388" s="206" t="s">
        <v>889</v>
      </c>
      <c r="F388" s="206">
        <v>32</v>
      </c>
      <c r="G388" s="209">
        <v>149</v>
      </c>
      <c r="H388" s="206">
        <v>57</v>
      </c>
      <c r="I388" s="206" t="s">
        <v>2902</v>
      </c>
      <c r="J388" s="207" t="s">
        <v>3218</v>
      </c>
      <c r="K388" s="206">
        <v>0</v>
      </c>
      <c r="L388" s="206" t="s">
        <v>48</v>
      </c>
      <c r="M388" s="208">
        <v>0.8</v>
      </c>
      <c r="N388" s="208">
        <v>0.6</v>
      </c>
      <c r="O388" s="316"/>
      <c r="P388" s="317">
        <v>1</v>
      </c>
      <c r="Q388" s="317">
        <v>9000</v>
      </c>
      <c r="R388" s="318"/>
      <c r="S388" s="318">
        <v>2</v>
      </c>
      <c r="T388" s="318"/>
      <c r="U388" s="318">
        <v>0</v>
      </c>
      <c r="V388" s="318">
        <v>0</v>
      </c>
      <c r="W388" s="318">
        <v>0</v>
      </c>
      <c r="X388" s="318">
        <v>0</v>
      </c>
      <c r="Y388" s="318">
        <v>0</v>
      </c>
      <c r="Z388" s="318"/>
      <c r="AA388" s="310">
        <v>8</v>
      </c>
      <c r="AB388" s="310">
        <v>3</v>
      </c>
      <c r="AC388" s="66">
        <v>0</v>
      </c>
      <c r="AD388" s="66"/>
      <c r="AE388" s="310">
        <v>8</v>
      </c>
      <c r="AF388" s="310" t="s">
        <v>283</v>
      </c>
      <c r="AG388" s="311" t="s">
        <v>283</v>
      </c>
      <c r="AH388" s="311">
        <v>0</v>
      </c>
      <c r="AI388" s="310">
        <v>0</v>
      </c>
      <c r="AJ388" s="310"/>
      <c r="AK388" s="841">
        <v>0.8</v>
      </c>
      <c r="AL388" s="842" t="s">
        <v>376</v>
      </c>
      <c r="AM388" s="842"/>
      <c r="AN388" s="863">
        <v>2</v>
      </c>
      <c r="AO388" s="863">
        <v>2</v>
      </c>
      <c r="AP388" s="843">
        <v>0</v>
      </c>
      <c r="AQ388" s="843">
        <v>0</v>
      </c>
      <c r="AR388" s="843"/>
      <c r="AS388" s="843"/>
      <c r="AT388" s="843"/>
      <c r="AU388" s="843"/>
      <c r="AV388" s="844"/>
      <c r="AW388" s="208" t="str">
        <f>IFERROR(WWWW[[#This Row],['# of Water passed at source]]/WWWW[[#This Row],['# of Water tested at source]],"no test")</f>
        <v>no test</v>
      </c>
      <c r="AX388" s="211" t="str">
        <f>IFERROR(WWWW[[#This Row],['# of Water passed at HH]]/WWWW[[#This Row],['# of Water tested at HH]],"no test")</f>
        <v>no test</v>
      </c>
      <c r="AY388" s="210" t="str">
        <f>IF(AND(WWWW[[#This Row],[%of Water samples which passed at water source]]="no test",WWWW[[#This Row],[%Water samples which passed at HH]]="no test"),"No Test","Tested")</f>
        <v>No Test</v>
      </c>
      <c r="AZ38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8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88" s="211">
        <f>IF(WWWW[[#This Row],[Location Type 1]]="Village",WWWW[[#This Row],[Access to safe drinking water for Village]],WWWW[[#This Row],[Access to safe drinking water for Camp]])</f>
        <v>1</v>
      </c>
      <c r="BC388" s="209">
        <f>WWWW[[#This Row],[%Equitable and continuous access to sufficient quantity of safe drinking water]]*WWWW[[#This Row],[Total PoP ]]</f>
        <v>149</v>
      </c>
      <c r="BD388" s="211">
        <f>IF((WWWW[[#This Row],['# Existing protected/fenced ponds ]]*250)/WWWW[[#This Row],[Total PoP ]]&gt;1,1,WWWW[[#This Row],['# Existing protected/fenced ponds ]]*250/WWWW[[#This Row],[Total PoP ]])</f>
        <v>0</v>
      </c>
      <c r="BE388" s="209">
        <f>WWWW[[#This Row],[Access to unimproved water points]]*WWWW[[#This Row],[Total PoP ]]</f>
        <v>0</v>
      </c>
      <c r="BF38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8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149</v>
      </c>
      <c r="BH388" s="209">
        <f>WWWW[[#This Row],['#people Equitable and continuous access to sufficient quantity of domestic water borehole n ponds_2]]/500</f>
        <v>0.29799999999999999</v>
      </c>
      <c r="BI388" s="208">
        <f>1-WWWW[[#This Row],[%Equitable and continuous access to sufficient quantity of domestic water borehole n ponds]]</f>
        <v>0</v>
      </c>
      <c r="BJ388" s="209">
        <f>WWWW[[#This Row],[%equitable and continuous access to sufficient quantity of safe drinking and domestic water''s GAP]]*WWWW[[#This Row],[Total PoP ]]</f>
        <v>0</v>
      </c>
      <c r="BK388" s="210">
        <f>IF(WWWW[[#This Row],[Total required water points]]-WWWW[[#This Row],['#Water points coverage]]&lt;0,0,WWWW[[#This Row],[Total required water points]]-WWWW[[#This Row],['#Water points coverage]])</f>
        <v>0.70199999999999996</v>
      </c>
      <c r="BL388" s="210">
        <f>ROUND(IF(WWWW[[#This Row],[Total PoP ]]&lt;500,1,WWWW[[#This Row],[Total PoP ]]/500),0)</f>
        <v>1</v>
      </c>
      <c r="BM388" s="210">
        <f>WWWW[[#This Row],['# Existing functional latrines]]+WWWW[[#This Row],['# Existing latrines dysfunctional]]</f>
        <v>11</v>
      </c>
      <c r="BN38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88" s="352">
        <f>WWWW[[#This Row],[% people access to functioning Latrine]]*WWWW[[#This Row],[Total PoP ]]</f>
        <v>149</v>
      </c>
      <c r="BP38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88" s="209">
        <f>IF(WWWW[[#This Row],[Total required Latrines]]-WWWW[[#This Row],[Total '# of latrine]]&lt;0,0,WWWW[[#This Row],[Total required Latrines]]-WWWW[[#This Row],[Total '# of latrine]])</f>
        <v>0</v>
      </c>
      <c r="BR388" s="210">
        <f>ROUND(IF(WWWW[[#This Row],[Location Type 1]]="camp",WWWW[[#This Row],[Total PoP ]]/20,WWWW[[#This Row],[Total PoP ]]/6),0)</f>
        <v>7</v>
      </c>
      <c r="BS388" s="212">
        <f>IF(OR(WWWW[[#This Row],['# Existing latrines dysfunctional]]="",WWWW[[#This Row],['# Existing latrines dysfunctional]]=0),0,WWWW[[#This Row],['# Existing latrines dysfunctional]]/WWWW[[#This Row],[Total '# of latrine]])</f>
        <v>0.27272727272727271</v>
      </c>
      <c r="BT38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88" s="209">
        <f>IF(500*WWWW[[#This Row],['# Hygiene Promoters ]]&gt;WWWW[[#This Row],[Total PoP ]],WWWW[[#This Row],[Total PoP ]],500*WWWW[[#This Row],['# Hygiene Promoters ]])</f>
        <v>149</v>
      </c>
      <c r="BV388" s="209">
        <f>IF(WWWW[[#This Row],[% of HH with access to Sanitary Pad]]&gt;=100%,1,0)</f>
        <v>0</v>
      </c>
      <c r="BW388" s="209">
        <f>IF(WWWW[[#This Row],[Total PoP ]]=0,0,IF(WWWW[[#This Row],['# Hygiene Promoters ]]=0,0,IF(WWWW[[#This Row],[Location Type 1]]="Village",IF(WWWW[[#This Row],[Total PoP ]]/WWWW[[#This Row],['# Hygiene Promoters ]]&lt;1000,1,0),IF(WWWW[[#This Row],[Total PoP ]]/WWWW[[#This Row],['# Hygiene Promoters ]]&lt;600,1,0))))</f>
        <v>1</v>
      </c>
      <c r="BX388" s="209">
        <f>IF(WWWW[[#This Row],[%HH with access to soap]]&gt;=100%,1,0)</f>
        <v>0</v>
      </c>
      <c r="BY388" s="209">
        <f>IF(WWWW[[#This Row],[% of HHs with access to Sanitary pad more than '#%]]+WWWW[[#This Row],[Ratio of Hyiene promoters to people less than '#]]+WWWW[[#This Row],[% of HHs with access to soap more than '#%]]&gt;=2,WWWW[[#This Row],[Total PoP ]],0)</f>
        <v>0</v>
      </c>
      <c r="BZ388" s="208">
        <f>WWWW[[#This Row],[People adopt basic personal and community hygiene practices]]/WWWW[[#This Row],[Total PoP ]]</f>
        <v>0</v>
      </c>
      <c r="CA388" s="212">
        <f>1-WWWW[[#This Row],[Hygiene Coverage%]]</f>
        <v>1</v>
      </c>
      <c r="CB388" s="211">
        <f>WWWW[[#This Row],['# people reached by regular dedicated hygiene promotion_5]]/WWWW[[#This Row],[Total PoP ]]</f>
        <v>1</v>
      </c>
      <c r="CC388" s="211">
        <f>IF(WWWW[[#This Row],['# HH received soaps]]/WWWW[[#This Row],[Total HH]]&gt;1,1,WWWW[[#This Row],['# HH received soaps]]/WWWW[[#This Row],[Total HH]])</f>
        <v>0</v>
      </c>
      <c r="CD388" s="211">
        <f>IF(WWWW[[#This Row],['# HH received Sanitary Pads]]/WWWW[[#This Row],[Total HH]]&gt;1,1,WWWW[[#This Row],['# HH received Sanitary Pads]]/WWWW[[#This Row],[Total HH]])</f>
        <v>0</v>
      </c>
      <c r="CE388" s="210">
        <f>WWWW[[#This Row],['# HH received soaps]]*5</f>
        <v>0</v>
      </c>
      <c r="CF388" s="210">
        <f>WWWW[[#This Row],['# HH received Sanitary Pads]]*5</f>
        <v>0</v>
      </c>
      <c r="CG388" s="210">
        <f>IF(WWWW[[#This Row],['# People with access to soap]]&gt;WWWW[[#This Row],['# People with access to Sanity Pads]],WWWW[[#This Row],['# People with access to soap]],WWWW[[#This Row],['# People with access to Sanity Pads]])</f>
        <v>0</v>
      </c>
      <c r="CH388" s="209">
        <f>WWWW[[#This Row],[Total HH]]*WWWW[[#This Row],[%HHs with access to functional hand washing stations]]</f>
        <v>25.6</v>
      </c>
      <c r="CI388" s="699" t="str">
        <f>VLOOKUP(WWWW[[#This Row],[Site Name]],SiteDB6[[Site Name]:[CCCM Management]],6,FALSE)</f>
        <v>Yes</v>
      </c>
      <c r="CJ388" s="699" t="str">
        <f>VLOOKUP(WWWW[[#This Row],[Site Name]],SiteDB6[[Site Name]:[CCCM Focal Agency]],7,FALSE)</f>
        <v>KBC</v>
      </c>
      <c r="CK388" s="699" t="str">
        <f>VLOOKUP(WWWW[[#This Row],[Site Name]],SiteDB6[[Site Name]:[Location Type]],8,FALSE)</f>
        <v>Camp</v>
      </c>
      <c r="CL388" s="699" t="str">
        <f>VLOOKUP(WWWW[[#This Row],[Site Name]],SiteDB6[[Site Name]:[Location Type 1]],9,FALSE)</f>
        <v>Camp</v>
      </c>
      <c r="CM388" s="699" t="str">
        <f>VLOOKUP(WWWW[[#This Row],[Site Name]],SiteDB6[[Site Name]:[Type of Accommodation]],10,FALSE)</f>
        <v>Camp</v>
      </c>
      <c r="CN388" s="699" t="str">
        <f>VLOOKUP(WWWW[[#This Row],[Site Name]],SiteDB6[[Site Name]:[Ethnic or GCA/NGCA]],11,FALSE)</f>
        <v>GCA</v>
      </c>
      <c r="CO388" s="699">
        <f>VLOOKUP(WWWW[[#This Row],[Site Name]],SiteDB6[[Site Name]:[Lat]],12,FALSE)</f>
        <v>23.354268999999999</v>
      </c>
      <c r="CP388" s="699">
        <f>VLOOKUP(WWWW[[#This Row],[Site Name]],SiteDB6[[Site Name]:[Long]],13,FALSE)</f>
        <v>98.218626999999998</v>
      </c>
      <c r="CQ388" s="699" t="str">
        <f>VLOOKUP(WWWW[[#This Row],[Site Name]],SiteDB6[[Site Name]:[Pcode]],3,FALSE)</f>
        <v>MMR015CMP218</v>
      </c>
      <c r="CR388" s="660" t="str">
        <f t="shared" si="10"/>
        <v>Covered</v>
      </c>
      <c r="CS388" s="660"/>
      <c r="CT388" s="24"/>
      <c r="CU388" s="24"/>
      <c r="CV388" s="24"/>
    </row>
    <row r="389" spans="1:100" ht="15.75" customHeight="1" x14ac:dyDescent="0.25">
      <c r="A389" s="833" t="s">
        <v>3206</v>
      </c>
      <c r="B389" s="206" t="s">
        <v>338</v>
      </c>
      <c r="C389" s="206" t="s">
        <v>866</v>
      </c>
      <c r="D389" s="206" t="s">
        <v>888</v>
      </c>
      <c r="E389" s="868" t="s">
        <v>920</v>
      </c>
      <c r="F389" s="206">
        <v>35</v>
      </c>
      <c r="G389" s="209">
        <v>164</v>
      </c>
      <c r="H389" s="206">
        <v>43</v>
      </c>
      <c r="I389" s="206" t="s">
        <v>2912</v>
      </c>
      <c r="J389" s="207" t="s">
        <v>2913</v>
      </c>
      <c r="K389" s="206"/>
      <c r="L389" s="206" t="s">
        <v>282</v>
      </c>
      <c r="M389" s="208">
        <v>0</v>
      </c>
      <c r="N389" s="208">
        <v>0</v>
      </c>
      <c r="O389" s="316">
        <v>1</v>
      </c>
      <c r="P389" s="317">
        <v>0</v>
      </c>
      <c r="Q389" s="317"/>
      <c r="R389" s="318"/>
      <c r="S389" s="318">
        <v>0</v>
      </c>
      <c r="T389" s="318"/>
      <c r="U389" s="318">
        <v>0</v>
      </c>
      <c r="V389" s="318">
        <v>0</v>
      </c>
      <c r="W389" s="318">
        <v>0</v>
      </c>
      <c r="X389" s="318">
        <v>0</v>
      </c>
      <c r="Y389" s="318">
        <v>0</v>
      </c>
      <c r="Z389" s="318"/>
      <c r="AA389" s="310">
        <v>37</v>
      </c>
      <c r="AB389" s="310">
        <v>0</v>
      </c>
      <c r="AC389" s="66">
        <v>0</v>
      </c>
      <c r="AD389" s="66"/>
      <c r="AE389" s="310">
        <v>0</v>
      </c>
      <c r="AF389" s="310" t="s">
        <v>286</v>
      </c>
      <c r="AG389" s="311" t="s">
        <v>286</v>
      </c>
      <c r="AH389" s="311"/>
      <c r="AI389" s="310"/>
      <c r="AJ389" s="310"/>
      <c r="AK389" s="841"/>
      <c r="AL389" s="842"/>
      <c r="AM389" s="842">
        <v>0</v>
      </c>
      <c r="AN389" s="863"/>
      <c r="AO389" s="863">
        <v>1</v>
      </c>
      <c r="AP389" s="843">
        <v>0</v>
      </c>
      <c r="AQ389" s="843">
        <v>0</v>
      </c>
      <c r="AR389" s="843"/>
      <c r="AS389" s="843"/>
      <c r="AT389" s="843"/>
      <c r="AU389" s="843"/>
      <c r="AV389" s="844"/>
      <c r="AW389" s="208" t="str">
        <f>IFERROR(WWWW[[#This Row],['# of Water passed at source]]/WWWW[[#This Row],['# of Water tested at source]],"no test")</f>
        <v>no test</v>
      </c>
      <c r="AX389" s="211" t="str">
        <f>IFERROR(WWWW[[#This Row],['# of Water passed at HH]]/WWWW[[#This Row],['# of Water tested at HH]],"no test")</f>
        <v>no test</v>
      </c>
      <c r="AY389" s="210" t="str">
        <f>IF(AND(WWWW[[#This Row],[%of Water samples which passed at water source]]="no test",WWWW[[#This Row],[%Water samples which passed at HH]]="no test"),"No Test","Tested")</f>
        <v>No Test</v>
      </c>
      <c r="AZ38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8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89" s="211">
        <f>IF(WWWW[[#This Row],[Location Type 1]]="Village",WWWW[[#This Row],[Access to safe drinking water for Village]],WWWW[[#This Row],[Access to safe drinking water for Camp]])</f>
        <v>1</v>
      </c>
      <c r="BC389" s="209">
        <f>WWWW[[#This Row],[%Equitable and continuous access to sufficient quantity of safe drinking water]]*WWWW[[#This Row],[Total PoP ]]</f>
        <v>164</v>
      </c>
      <c r="BD389" s="211">
        <f>IF((WWWW[[#This Row],['# Existing protected/fenced ponds ]]*250)/WWWW[[#This Row],[Total PoP ]]&gt;1,1,WWWW[[#This Row],['# Existing protected/fenced ponds ]]*250/WWWW[[#This Row],[Total PoP ]])</f>
        <v>0</v>
      </c>
      <c r="BE389" s="209">
        <f>WWWW[[#This Row],[Access to unimproved water points]]*WWWW[[#This Row],[Total PoP ]]</f>
        <v>0</v>
      </c>
      <c r="BF38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8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164</v>
      </c>
      <c r="BH389" s="209">
        <f>WWWW[[#This Row],['#people Equitable and continuous access to sufficient quantity of domestic water borehole n ponds_2]]/500</f>
        <v>0.32800000000000001</v>
      </c>
      <c r="BI389" s="208">
        <f>1-WWWW[[#This Row],[%Equitable and continuous access to sufficient quantity of domestic water borehole n ponds]]</f>
        <v>0</v>
      </c>
      <c r="BJ389" s="209">
        <f>WWWW[[#This Row],[%equitable and continuous access to sufficient quantity of safe drinking and domestic water''s GAP]]*WWWW[[#This Row],[Total PoP ]]</f>
        <v>0</v>
      </c>
      <c r="BK389" s="210">
        <f>IF(WWWW[[#This Row],[Total required water points]]-WWWW[[#This Row],['#Water points coverage]]&lt;0,0,WWWW[[#This Row],[Total required water points]]-WWWW[[#This Row],['#Water points coverage]])</f>
        <v>0.67199999999999993</v>
      </c>
      <c r="BL389" s="210">
        <f>ROUND(IF(WWWW[[#This Row],[Total PoP ]]&lt;500,1,WWWW[[#This Row],[Total PoP ]]/500),0)</f>
        <v>1</v>
      </c>
      <c r="BM389" s="210">
        <f>WWWW[[#This Row],['# Existing functional latrines]]+WWWW[[#This Row],['# Existing latrines dysfunctional]]</f>
        <v>37</v>
      </c>
      <c r="BN38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89" s="352">
        <f>WWWW[[#This Row],[% people access to functioning Latrine]]*WWWW[[#This Row],[Total PoP ]]</f>
        <v>164</v>
      </c>
      <c r="BP38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89" s="209">
        <f>IF(WWWW[[#This Row],[Total required Latrines]]-WWWW[[#This Row],[Total '# of latrine]]&lt;0,0,WWWW[[#This Row],[Total required Latrines]]-WWWW[[#This Row],[Total '# of latrine]])</f>
        <v>0</v>
      </c>
      <c r="BR389" s="210">
        <f>ROUND(IF(WWWW[[#This Row],[Location Type 1]]="camp",WWWW[[#This Row],[Total PoP ]]/20,WWWW[[#This Row],[Total PoP ]]/6),0)</f>
        <v>8</v>
      </c>
      <c r="BS389" s="212">
        <f>IF(OR(WWWW[[#This Row],['# Existing latrines dysfunctional]]="",WWWW[[#This Row],['# Existing latrines dysfunctional]]=0),0,WWWW[[#This Row],['# Existing latrines dysfunctional]]/WWWW[[#This Row],[Total '# of latrine]])</f>
        <v>0</v>
      </c>
      <c r="BT38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89" s="209">
        <f>IF(500*WWWW[[#This Row],['# Hygiene Promoters ]]&gt;WWWW[[#This Row],[Total PoP ]],WWWW[[#This Row],[Total PoP ]],500*WWWW[[#This Row],['# Hygiene Promoters ]])</f>
        <v>164</v>
      </c>
      <c r="BV389" s="209">
        <f>IF(WWWW[[#This Row],[% of HH with access to Sanitary Pad]]&gt;=100%,1,0)</f>
        <v>0</v>
      </c>
      <c r="BW389" s="209">
        <f>IF(WWWW[[#This Row],[Total PoP ]]=0,0,IF(WWWW[[#This Row],['# Hygiene Promoters ]]=0,0,IF(WWWW[[#This Row],[Location Type 1]]="Village",IF(WWWW[[#This Row],[Total PoP ]]/WWWW[[#This Row],['# Hygiene Promoters ]]&lt;1000,1,0),IF(WWWW[[#This Row],[Total PoP ]]/WWWW[[#This Row],['# Hygiene Promoters ]]&lt;600,1,0))))</f>
        <v>1</v>
      </c>
      <c r="BX389" s="209">
        <f>IF(WWWW[[#This Row],[%HH with access to soap]]&gt;=100%,1,0)</f>
        <v>0</v>
      </c>
      <c r="BY389" s="209">
        <f>IF(WWWW[[#This Row],[% of HHs with access to Sanitary pad more than '#%]]+WWWW[[#This Row],[Ratio of Hyiene promoters to people less than '#]]+WWWW[[#This Row],[% of HHs with access to soap more than '#%]]&gt;=2,WWWW[[#This Row],[Total PoP ]],0)</f>
        <v>0</v>
      </c>
      <c r="BZ389" s="208">
        <f>WWWW[[#This Row],[People adopt basic personal and community hygiene practices]]/WWWW[[#This Row],[Total PoP ]]</f>
        <v>0</v>
      </c>
      <c r="CA389" s="212">
        <f>1-WWWW[[#This Row],[Hygiene Coverage%]]</f>
        <v>1</v>
      </c>
      <c r="CB389" s="211">
        <f>WWWW[[#This Row],['# people reached by regular dedicated hygiene promotion_5]]/WWWW[[#This Row],[Total PoP ]]</f>
        <v>1</v>
      </c>
      <c r="CC389" s="211">
        <f>IF(WWWW[[#This Row],['# HH received soaps]]/WWWW[[#This Row],[Total HH]]&gt;1,1,WWWW[[#This Row],['# HH received soaps]]/WWWW[[#This Row],[Total HH]])</f>
        <v>0</v>
      </c>
      <c r="CD389" s="211">
        <f>IF(WWWW[[#This Row],['# HH received Sanitary Pads]]/WWWW[[#This Row],[Total HH]]&gt;1,1,WWWW[[#This Row],['# HH received Sanitary Pads]]/WWWW[[#This Row],[Total HH]])</f>
        <v>0</v>
      </c>
      <c r="CE389" s="210">
        <f>WWWW[[#This Row],['# HH received soaps]]*5</f>
        <v>0</v>
      </c>
      <c r="CF389" s="210">
        <f>WWWW[[#This Row],['# HH received Sanitary Pads]]*5</f>
        <v>0</v>
      </c>
      <c r="CG389" s="210">
        <f>IF(WWWW[[#This Row],['# People with access to soap]]&gt;WWWW[[#This Row],['# People with access to Sanity Pads]],WWWW[[#This Row],['# People with access to soap]],WWWW[[#This Row],['# People with access to Sanity Pads]])</f>
        <v>0</v>
      </c>
      <c r="CH389" s="209">
        <f>WWWW[[#This Row],[Total HH]]*WWWW[[#This Row],[%HHs with access to functional hand washing stations]]</f>
        <v>0</v>
      </c>
      <c r="CI389" s="699">
        <f>VLOOKUP(WWWW[[#This Row],[Site Name]],SiteDB6[[Site Name]:[CCCM Management]],6,FALSE)</f>
        <v>0</v>
      </c>
      <c r="CJ389" s="699">
        <f>VLOOKUP(WWWW[[#This Row],[Site Name]],SiteDB6[[Site Name]:[CCCM Focal Agency]],7,FALSE)</f>
        <v>0</v>
      </c>
      <c r="CK389" s="699" t="str">
        <f>VLOOKUP(WWWW[[#This Row],[Site Name]],SiteDB6[[Site Name]:[Location Type]],8,FALSE)</f>
        <v>Camp</v>
      </c>
      <c r="CL389" s="699" t="str">
        <f>VLOOKUP(WWWW[[#This Row],[Site Name]],SiteDB6[[Site Name]:[Location Type 1]],9,FALSE)</f>
        <v>Camp</v>
      </c>
      <c r="CM389" s="699" t="str">
        <f>VLOOKUP(WWWW[[#This Row],[Site Name]],SiteDB6[[Site Name]:[Type of Accommodation]],10,FALSE)</f>
        <v>Closed Camp</v>
      </c>
      <c r="CN389" s="699" t="str">
        <f>VLOOKUP(WWWW[[#This Row],[Site Name]],SiteDB6[[Site Name]:[Ethnic or GCA/NGCA]],11,FALSE)</f>
        <v>GCA</v>
      </c>
      <c r="CO389" s="699">
        <f>VLOOKUP(WWWW[[#This Row],[Site Name]],SiteDB6[[Site Name]:[Lat]],12,FALSE)</f>
        <v>23.353999999999999</v>
      </c>
      <c r="CP389" s="699">
        <f>VLOOKUP(WWWW[[#This Row],[Site Name]],SiteDB6[[Site Name]:[Long]],13,FALSE)</f>
        <v>98.221000000000004</v>
      </c>
      <c r="CQ389" s="699" t="str">
        <f>VLOOKUP(WWWW[[#This Row],[Site Name]],SiteDB6[[Site Name]:[Pcode]],3,FALSE)</f>
        <v>MMR015CMP226</v>
      </c>
      <c r="CR389" s="660" t="str">
        <f t="shared" si="10"/>
        <v>Covered</v>
      </c>
      <c r="CS389" s="660"/>
      <c r="CT389" s="24"/>
      <c r="CU389" s="24"/>
      <c r="CV389" s="24"/>
    </row>
    <row r="390" spans="1:100" ht="15.75" customHeight="1" x14ac:dyDescent="0.25">
      <c r="A390" s="833" t="s">
        <v>3206</v>
      </c>
      <c r="B390" s="206" t="s">
        <v>460</v>
      </c>
      <c r="C390" s="206" t="s">
        <v>866</v>
      </c>
      <c r="D390" s="206" t="s">
        <v>911</v>
      </c>
      <c r="E390" s="206" t="s">
        <v>912</v>
      </c>
      <c r="F390" s="206">
        <v>37</v>
      </c>
      <c r="G390" s="209">
        <v>120</v>
      </c>
      <c r="H390" s="206"/>
      <c r="I390" s="206"/>
      <c r="J390" s="207"/>
      <c r="K390" s="206"/>
      <c r="L390" s="206" t="s">
        <v>282</v>
      </c>
      <c r="M390" s="208">
        <v>0</v>
      </c>
      <c r="N390" s="208">
        <v>0</v>
      </c>
      <c r="O390" s="316"/>
      <c r="P390" s="317"/>
      <c r="Q390" s="317"/>
      <c r="R390" s="318"/>
      <c r="S390" s="318"/>
      <c r="T390" s="318"/>
      <c r="U390" s="318"/>
      <c r="V390" s="318"/>
      <c r="W390" s="318"/>
      <c r="X390" s="318"/>
      <c r="Y390" s="318"/>
      <c r="Z390" s="318"/>
      <c r="AA390" s="310">
        <v>0</v>
      </c>
      <c r="AB390" s="310"/>
      <c r="AC390" s="66"/>
      <c r="AD390" s="66"/>
      <c r="AE390" s="310"/>
      <c r="AF390" s="310" t="s">
        <v>286</v>
      </c>
      <c r="AG390" s="311" t="s">
        <v>286</v>
      </c>
      <c r="AH390" s="311"/>
      <c r="AI390" s="310"/>
      <c r="AJ390" s="310"/>
      <c r="AK390" s="841"/>
      <c r="AL390" s="842"/>
      <c r="AM390" s="842"/>
      <c r="AN390" s="863"/>
      <c r="AO390" s="863"/>
      <c r="AP390" s="843"/>
      <c r="AQ390" s="843"/>
      <c r="AR390" s="843"/>
      <c r="AS390" s="843"/>
      <c r="AT390" s="843"/>
      <c r="AU390" s="843"/>
      <c r="AV390" s="844"/>
      <c r="AW390" s="208" t="str">
        <f>IFERROR(WWWW[[#This Row],['# of Water passed at source]]/WWWW[[#This Row],['# of Water tested at source]],"no test")</f>
        <v>no test</v>
      </c>
      <c r="AX390" s="211" t="str">
        <f>IFERROR(WWWW[[#This Row],['# of Water passed at HH]]/WWWW[[#This Row],['# of Water tested at HH]],"no test")</f>
        <v>no test</v>
      </c>
      <c r="AY390" s="210" t="str">
        <f>IF(AND(WWWW[[#This Row],[%of Water samples which passed at water source]]="no test",WWWW[[#This Row],[%Water samples which passed at HH]]="no test"),"No Test","Tested")</f>
        <v>No Test</v>
      </c>
      <c r="AZ39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9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90" s="211">
        <f>IF(WWWW[[#This Row],[Location Type 1]]="Village",WWWW[[#This Row],[Access to safe drinking water for Village]],WWWW[[#This Row],[Access to safe drinking water for Camp]])</f>
        <v>0</v>
      </c>
      <c r="BC390" s="209">
        <f>WWWW[[#This Row],[%Equitable and continuous access to sufficient quantity of safe drinking water]]*WWWW[[#This Row],[Total PoP ]]</f>
        <v>0</v>
      </c>
      <c r="BD390" s="211">
        <f>IF((WWWW[[#This Row],['# Existing protected/fenced ponds ]]*250)/WWWW[[#This Row],[Total PoP ]]&gt;1,1,WWWW[[#This Row],['# Existing protected/fenced ponds ]]*250/WWWW[[#This Row],[Total PoP ]])</f>
        <v>0</v>
      </c>
      <c r="BE390" s="209">
        <f>WWWW[[#This Row],[Access to unimproved water points]]*WWWW[[#This Row],[Total PoP ]]</f>
        <v>0</v>
      </c>
      <c r="BF39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9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90" s="209">
        <f>WWWW[[#This Row],['#people Equitable and continuous access to sufficient quantity of domestic water borehole n ponds_2]]/500</f>
        <v>0</v>
      </c>
      <c r="BI390" s="208">
        <f>1-WWWW[[#This Row],[%Equitable and continuous access to sufficient quantity of domestic water borehole n ponds]]</f>
        <v>1</v>
      </c>
      <c r="BJ390" s="209">
        <f>WWWW[[#This Row],[%equitable and continuous access to sufficient quantity of safe drinking and domestic water''s GAP]]*WWWW[[#This Row],[Total PoP ]]</f>
        <v>120</v>
      </c>
      <c r="BK390" s="210">
        <f>IF(WWWW[[#This Row],[Total required water points]]-WWWW[[#This Row],['#Water points coverage]]&lt;0,0,WWWW[[#This Row],[Total required water points]]-WWWW[[#This Row],['#Water points coverage]])</f>
        <v>1</v>
      </c>
      <c r="BL390" s="210">
        <f>ROUND(IF(WWWW[[#This Row],[Total PoP ]]&lt;500,1,WWWW[[#This Row],[Total PoP ]]/500),0)</f>
        <v>1</v>
      </c>
      <c r="BM390" s="210">
        <f>WWWW[[#This Row],['# Existing functional latrines]]+WWWW[[#This Row],['# Existing latrines dysfunctional]]</f>
        <v>0</v>
      </c>
      <c r="BN39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390" s="352">
        <f>WWWW[[#This Row],[% people access to functioning Latrine]]*WWWW[[#This Row],[Total PoP ]]</f>
        <v>0</v>
      </c>
      <c r="BP39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390" s="209">
        <f>IF(WWWW[[#This Row],[Total required Latrines]]-WWWW[[#This Row],[Total '# of latrine]]&lt;0,0,WWWW[[#This Row],[Total required Latrines]]-WWWW[[#This Row],[Total '# of latrine]])</f>
        <v>6</v>
      </c>
      <c r="BR390" s="210">
        <f>ROUND(IF(WWWW[[#This Row],[Location Type 1]]="camp",WWWW[[#This Row],[Total PoP ]]/20,WWWW[[#This Row],[Total PoP ]]/6),0)</f>
        <v>6</v>
      </c>
      <c r="BS390" s="212">
        <f>IF(OR(WWWW[[#This Row],['# Existing latrines dysfunctional]]="",WWWW[[#This Row],['# Existing latrines dysfunctional]]=0),0,WWWW[[#This Row],['# Existing latrines dysfunctional]]/WWWW[[#This Row],[Total '# of latrine]])</f>
        <v>0</v>
      </c>
      <c r="BT39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90" s="209">
        <f>IF(500*WWWW[[#This Row],['# Hygiene Promoters ]]&gt;WWWW[[#This Row],[Total PoP ]],WWWW[[#This Row],[Total PoP ]],500*WWWW[[#This Row],['# Hygiene Promoters ]])</f>
        <v>0</v>
      </c>
      <c r="BV390" s="209">
        <f>IF(WWWW[[#This Row],[% of HH with access to Sanitary Pad]]&gt;=100%,1,0)</f>
        <v>0</v>
      </c>
      <c r="BW390" s="209">
        <f>IF(WWWW[[#This Row],[Total PoP ]]=0,0,IF(WWWW[[#This Row],['# Hygiene Promoters ]]=0,0,IF(WWWW[[#This Row],[Location Type 1]]="Village",IF(WWWW[[#This Row],[Total PoP ]]/WWWW[[#This Row],['# Hygiene Promoters ]]&lt;1000,1,0),IF(WWWW[[#This Row],[Total PoP ]]/WWWW[[#This Row],['# Hygiene Promoters ]]&lt;600,1,0))))</f>
        <v>0</v>
      </c>
      <c r="BX390" s="209">
        <f>IF(WWWW[[#This Row],[%HH with access to soap]]&gt;=100%,1,0)</f>
        <v>0</v>
      </c>
      <c r="BY390" s="209">
        <f>IF(WWWW[[#This Row],[% of HHs with access to Sanitary pad more than '#%]]+WWWW[[#This Row],[Ratio of Hyiene promoters to people less than '#]]+WWWW[[#This Row],[% of HHs with access to soap more than '#%]]&gt;=2,WWWW[[#This Row],[Total PoP ]],0)</f>
        <v>0</v>
      </c>
      <c r="BZ390" s="208">
        <f>WWWW[[#This Row],[People adopt basic personal and community hygiene practices]]/WWWW[[#This Row],[Total PoP ]]</f>
        <v>0</v>
      </c>
      <c r="CA390" s="212">
        <f>1-WWWW[[#This Row],[Hygiene Coverage%]]</f>
        <v>1</v>
      </c>
      <c r="CB390" s="211">
        <f>WWWW[[#This Row],['# people reached by regular dedicated hygiene promotion_5]]/WWWW[[#This Row],[Total PoP ]]</f>
        <v>0</v>
      </c>
      <c r="CC390" s="211">
        <f>IF(WWWW[[#This Row],['# HH received soaps]]/WWWW[[#This Row],[Total HH]]&gt;1,1,WWWW[[#This Row],['# HH received soaps]]/WWWW[[#This Row],[Total HH]])</f>
        <v>0</v>
      </c>
      <c r="CD390" s="211">
        <f>IF(WWWW[[#This Row],['# HH received Sanitary Pads]]/WWWW[[#This Row],[Total HH]]&gt;1,1,WWWW[[#This Row],['# HH received Sanitary Pads]]/WWWW[[#This Row],[Total HH]])</f>
        <v>0</v>
      </c>
      <c r="CE390" s="210">
        <f>WWWW[[#This Row],['# HH received soaps]]*5</f>
        <v>0</v>
      </c>
      <c r="CF390" s="210">
        <f>WWWW[[#This Row],['# HH received Sanitary Pads]]*5</f>
        <v>0</v>
      </c>
      <c r="CG390" s="210">
        <f>IF(WWWW[[#This Row],['# People with access to soap]]&gt;WWWW[[#This Row],['# People with access to Sanity Pads]],WWWW[[#This Row],['# People with access to soap]],WWWW[[#This Row],['# People with access to Sanity Pads]])</f>
        <v>0</v>
      </c>
      <c r="CH390" s="209">
        <f>WWWW[[#This Row],[Total HH]]*WWWW[[#This Row],[%HHs with access to functional hand washing stations]]</f>
        <v>0</v>
      </c>
      <c r="CI390" s="699">
        <f>VLOOKUP(WWWW[[#This Row],[Site Name]],SiteDB6[[Site Name]:[CCCM Management]],6,FALSE)</f>
        <v>0</v>
      </c>
      <c r="CJ390" s="699" t="str">
        <f>VLOOKUP(WWWW[[#This Row],[Site Name]],SiteDB6[[Site Name]:[CCCM Focal Agency]],7,FALSE)</f>
        <v>uncovered</v>
      </c>
      <c r="CK390" s="699" t="str">
        <f>VLOOKUP(WWWW[[#This Row],[Site Name]],SiteDB6[[Site Name]:[Location Type]],8,FALSE)</f>
        <v>Camp</v>
      </c>
      <c r="CL390" s="699" t="str">
        <f>VLOOKUP(WWWW[[#This Row],[Site Name]],SiteDB6[[Site Name]:[Location Type 1]],9,FALSE)</f>
        <v>Camp</v>
      </c>
      <c r="CM390" s="699" t="str">
        <f>VLOOKUP(WWWW[[#This Row],[Site Name]],SiteDB6[[Site Name]:[Type of Accommodation]],10,FALSE)</f>
        <v>Camp like setting</v>
      </c>
      <c r="CN390" s="699" t="str">
        <f>VLOOKUP(WWWW[[#This Row],[Site Name]],SiteDB6[[Site Name]:[Ethnic or GCA/NGCA]],11,FALSE)</f>
        <v>GCA</v>
      </c>
      <c r="CO390" s="699">
        <f>VLOOKUP(WWWW[[#This Row],[Site Name]],SiteDB6[[Site Name]:[Lat]],12,FALSE)</f>
        <v>22.677008000000001</v>
      </c>
      <c r="CP390" s="699">
        <f>VLOOKUP(WWWW[[#This Row],[Site Name]],SiteDB6[[Site Name]:[Long]],13,FALSE)</f>
        <v>97.314762999999999</v>
      </c>
      <c r="CQ390" s="699" t="str">
        <f>VLOOKUP(WWWW[[#This Row],[Site Name]],SiteDB6[[Site Name]:[Pcode]],3,FALSE)</f>
        <v>MMR015CMP244</v>
      </c>
      <c r="CR390" s="660" t="str">
        <f t="shared" si="10"/>
        <v>Notcovered</v>
      </c>
      <c r="CS390" s="660" t="s">
        <v>2793</v>
      </c>
      <c r="CT390" s="24"/>
      <c r="CU390" s="24"/>
      <c r="CV390" s="24"/>
    </row>
    <row r="391" spans="1:100" ht="15.75" customHeight="1" x14ac:dyDescent="0.25">
      <c r="A391" s="833" t="s">
        <v>3206</v>
      </c>
      <c r="B391" s="132" t="s">
        <v>447</v>
      </c>
      <c r="C391" s="132" t="s">
        <v>866</v>
      </c>
      <c r="D391" s="132" t="s">
        <v>870</v>
      </c>
      <c r="E391" s="132" t="s">
        <v>895</v>
      </c>
      <c r="F391" s="132">
        <v>86</v>
      </c>
      <c r="G391" s="214">
        <v>300</v>
      </c>
      <c r="H391" s="132">
        <v>50</v>
      </c>
      <c r="I391" s="206" t="s">
        <v>3254</v>
      </c>
      <c r="J391" s="207" t="s">
        <v>3255</v>
      </c>
      <c r="K391" s="132">
        <v>0</v>
      </c>
      <c r="L391" s="132" t="s">
        <v>48</v>
      </c>
      <c r="M391" s="134">
        <v>0.11</v>
      </c>
      <c r="N391" s="134">
        <v>0.5</v>
      </c>
      <c r="O391" s="320">
        <v>0</v>
      </c>
      <c r="P391" s="326">
        <v>0</v>
      </c>
      <c r="Q391" s="326">
        <v>8640</v>
      </c>
      <c r="R391" s="315">
        <v>0</v>
      </c>
      <c r="S391" s="315">
        <v>8</v>
      </c>
      <c r="T391" s="315"/>
      <c r="U391" s="315">
        <v>0</v>
      </c>
      <c r="V391" s="315">
        <v>0</v>
      </c>
      <c r="W391" s="315">
        <v>0</v>
      </c>
      <c r="X391" s="315">
        <v>0</v>
      </c>
      <c r="Y391" s="315">
        <v>0</v>
      </c>
      <c r="Z391" s="315"/>
      <c r="AA391" s="214">
        <v>86</v>
      </c>
      <c r="AB391" s="214">
        <v>0</v>
      </c>
      <c r="AC391" s="132">
        <v>0</v>
      </c>
      <c r="AD391" s="132"/>
      <c r="AE391" s="214">
        <v>89</v>
      </c>
      <c r="AF391" s="214" t="s">
        <v>286</v>
      </c>
      <c r="AG391" s="137" t="s">
        <v>286</v>
      </c>
      <c r="AH391" s="137">
        <v>0</v>
      </c>
      <c r="AI391" s="214">
        <v>0</v>
      </c>
      <c r="AJ391" s="214"/>
      <c r="AK391" s="136">
        <v>0</v>
      </c>
      <c r="AL391" s="132" t="s">
        <v>284</v>
      </c>
      <c r="AM391" s="132">
        <v>0</v>
      </c>
      <c r="AN391" s="137">
        <v>0</v>
      </c>
      <c r="AO391" s="137">
        <v>0</v>
      </c>
      <c r="AP391" s="449">
        <v>0</v>
      </c>
      <c r="AQ391" s="449">
        <v>0</v>
      </c>
      <c r="AR391" s="449"/>
      <c r="AS391" s="839"/>
      <c r="AT391" s="449"/>
      <c r="AU391" s="449"/>
      <c r="AV391" s="214"/>
      <c r="AW391" s="134" t="s">
        <v>3208</v>
      </c>
      <c r="AX391" s="136" t="s">
        <v>3208</v>
      </c>
      <c r="AY391" s="137" t="s">
        <v>2576</v>
      </c>
      <c r="AZ391" s="136">
        <v>1</v>
      </c>
      <c r="BA391" s="136">
        <v>1</v>
      </c>
      <c r="BB391" s="136">
        <v>1</v>
      </c>
      <c r="BC391" s="214">
        <v>300</v>
      </c>
      <c r="BD391" s="136">
        <v>0</v>
      </c>
      <c r="BE391" s="214">
        <v>0</v>
      </c>
      <c r="BF391" s="136">
        <v>1</v>
      </c>
      <c r="BG391" s="214">
        <v>300</v>
      </c>
      <c r="BH391" s="214">
        <v>0.6</v>
      </c>
      <c r="BI391" s="134">
        <v>0</v>
      </c>
      <c r="BJ391" s="214">
        <v>0</v>
      </c>
      <c r="BK391" s="137">
        <v>0.4</v>
      </c>
      <c r="BL391" s="137">
        <v>1</v>
      </c>
      <c r="BM391" s="137">
        <v>86</v>
      </c>
      <c r="BN391" s="134">
        <v>1</v>
      </c>
      <c r="BO391" s="351">
        <v>300</v>
      </c>
      <c r="BP391" s="134">
        <v>0</v>
      </c>
      <c r="BQ391" s="214">
        <v>0</v>
      </c>
      <c r="BR391" s="137">
        <v>50</v>
      </c>
      <c r="BS391" s="138">
        <v>0</v>
      </c>
      <c r="BT391" s="351">
        <v>0</v>
      </c>
      <c r="BU391" s="214">
        <v>0</v>
      </c>
      <c r="BV391" s="214">
        <v>0</v>
      </c>
      <c r="BW391" s="214">
        <v>0</v>
      </c>
      <c r="BX391" s="214">
        <v>0</v>
      </c>
      <c r="BY391" s="214">
        <v>0</v>
      </c>
      <c r="BZ391" s="134">
        <v>0</v>
      </c>
      <c r="CA391" s="138">
        <v>1</v>
      </c>
      <c r="CB391" s="136">
        <v>0</v>
      </c>
      <c r="CC391" s="136">
        <v>0</v>
      </c>
      <c r="CD391" s="136">
        <v>0</v>
      </c>
      <c r="CE391" s="137">
        <v>0</v>
      </c>
      <c r="CF391" s="137">
        <v>0</v>
      </c>
      <c r="CG391" s="137">
        <v>0</v>
      </c>
      <c r="CH391" s="214">
        <v>0</v>
      </c>
      <c r="CI391" s="139" t="s">
        <v>48</v>
      </c>
      <c r="CJ391" s="139" t="s">
        <v>287</v>
      </c>
      <c r="CK391" s="139" t="s">
        <v>50</v>
      </c>
      <c r="CL391" s="139" t="s">
        <v>1139</v>
      </c>
      <c r="CM391" s="139" t="s">
        <v>929</v>
      </c>
      <c r="CN391" s="139" t="s">
        <v>51</v>
      </c>
      <c r="CO391" s="139">
        <v>23.4008</v>
      </c>
      <c r="CP391" s="139">
        <v>97.848529999999997</v>
      </c>
      <c r="CQ391" s="139" t="s">
        <v>1890</v>
      </c>
      <c r="CR391" s="449" t="s">
        <v>40</v>
      </c>
      <c r="CS391" s="449"/>
      <c r="CT391" s="24"/>
      <c r="CU391" s="24"/>
      <c r="CV391" s="24"/>
    </row>
    <row r="392" spans="1:100" ht="15.75" customHeight="1" x14ac:dyDescent="0.25">
      <c r="A392" s="833" t="s">
        <v>3206</v>
      </c>
      <c r="B392" s="893" t="s">
        <v>2899</v>
      </c>
      <c r="C392" s="206" t="s">
        <v>866</v>
      </c>
      <c r="D392" s="206" t="s">
        <v>870</v>
      </c>
      <c r="E392" s="206" t="s">
        <v>896</v>
      </c>
      <c r="F392" s="206">
        <v>61</v>
      </c>
      <c r="G392" s="209">
        <v>292</v>
      </c>
      <c r="H392" s="206">
        <v>126</v>
      </c>
      <c r="I392" s="206" t="s">
        <v>2902</v>
      </c>
      <c r="J392" s="207" t="s">
        <v>3218</v>
      </c>
      <c r="K392" s="206">
        <v>0</v>
      </c>
      <c r="L392" s="206" t="s">
        <v>48</v>
      </c>
      <c r="M392" s="208">
        <v>0.8</v>
      </c>
      <c r="N392" s="208">
        <v>0.6</v>
      </c>
      <c r="O392" s="316"/>
      <c r="P392" s="317">
        <v>1</v>
      </c>
      <c r="Q392" s="317">
        <v>8100</v>
      </c>
      <c r="R392" s="318"/>
      <c r="S392" s="318">
        <v>3</v>
      </c>
      <c r="T392" s="318"/>
      <c r="U392" s="318">
        <v>0</v>
      </c>
      <c r="V392" s="318">
        <v>0</v>
      </c>
      <c r="W392" s="318">
        <v>0</v>
      </c>
      <c r="X392" s="318">
        <v>0</v>
      </c>
      <c r="Y392" s="318">
        <v>0</v>
      </c>
      <c r="Z392" s="318"/>
      <c r="AA392" s="310">
        <v>10</v>
      </c>
      <c r="AB392" s="310">
        <v>0</v>
      </c>
      <c r="AC392" s="66">
        <v>0</v>
      </c>
      <c r="AD392" s="66"/>
      <c r="AE392" s="310">
        <v>10</v>
      </c>
      <c r="AF392" s="310" t="s">
        <v>283</v>
      </c>
      <c r="AG392" s="311" t="s">
        <v>283</v>
      </c>
      <c r="AH392" s="311">
        <v>0</v>
      </c>
      <c r="AI392" s="310">
        <v>0</v>
      </c>
      <c r="AJ392" s="310"/>
      <c r="AK392" s="841">
        <v>0.8</v>
      </c>
      <c r="AL392" s="842" t="s">
        <v>376</v>
      </c>
      <c r="AM392" s="842"/>
      <c r="AN392" s="863">
        <v>2</v>
      </c>
      <c r="AO392" s="863">
        <v>1</v>
      </c>
      <c r="AP392" s="843">
        <v>0</v>
      </c>
      <c r="AQ392" s="843">
        <v>0</v>
      </c>
      <c r="AR392" s="843"/>
      <c r="AS392" s="843"/>
      <c r="AT392" s="843"/>
      <c r="AU392" s="843"/>
      <c r="AV392" s="844"/>
      <c r="AW392" s="208" t="str">
        <f>IFERROR(WWWW[[#This Row],['# of Water passed at source]]/WWWW[[#This Row],['# of Water tested at source]],"no test")</f>
        <v>no test</v>
      </c>
      <c r="AX392" s="211" t="str">
        <f>IFERROR(WWWW[[#This Row],['# of Water passed at HH]]/WWWW[[#This Row],['# of Water tested at HH]],"no test")</f>
        <v>no test</v>
      </c>
      <c r="AY392" s="210" t="str">
        <f>IF(AND(WWWW[[#This Row],[%of Water samples which passed at water source]]="no test",WWWW[[#This Row],[%Water samples which passed at HH]]="no test"),"No Test","Tested")</f>
        <v>No Test</v>
      </c>
      <c r="AZ39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9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92" s="211">
        <f>IF(WWWW[[#This Row],[Location Type 1]]="Village",WWWW[[#This Row],[Access to safe drinking water for Village]],WWWW[[#This Row],[Access to safe drinking water for Camp]])</f>
        <v>1</v>
      </c>
      <c r="BC392" s="209">
        <f>WWWW[[#This Row],[%Equitable and continuous access to sufficient quantity of safe drinking water]]*WWWW[[#This Row],[Total PoP ]]</f>
        <v>292</v>
      </c>
      <c r="BD392" s="211">
        <f>IF((WWWW[[#This Row],['# Existing protected/fenced ponds ]]*250)/WWWW[[#This Row],[Total PoP ]]&gt;1,1,WWWW[[#This Row],['# Existing protected/fenced ponds ]]*250/WWWW[[#This Row],[Total PoP ]])</f>
        <v>0</v>
      </c>
      <c r="BE392" s="209">
        <f>WWWW[[#This Row],[Access to unimproved water points]]*WWWW[[#This Row],[Total PoP ]]</f>
        <v>0</v>
      </c>
      <c r="BF39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9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292</v>
      </c>
      <c r="BH392" s="209">
        <f>WWWW[[#This Row],['#people Equitable and continuous access to sufficient quantity of domestic water borehole n ponds_2]]/500</f>
        <v>0.58399999999999996</v>
      </c>
      <c r="BI392" s="208">
        <f>1-WWWW[[#This Row],[%Equitable and continuous access to sufficient quantity of domestic water borehole n ponds]]</f>
        <v>0</v>
      </c>
      <c r="BJ392" s="209">
        <f>WWWW[[#This Row],[%equitable and continuous access to sufficient quantity of safe drinking and domestic water''s GAP]]*WWWW[[#This Row],[Total PoP ]]</f>
        <v>0</v>
      </c>
      <c r="BK392" s="210">
        <f>IF(WWWW[[#This Row],[Total required water points]]-WWWW[[#This Row],['#Water points coverage]]&lt;0,0,WWWW[[#This Row],[Total required water points]]-WWWW[[#This Row],['#Water points coverage]])</f>
        <v>0.41600000000000004</v>
      </c>
      <c r="BL392" s="210">
        <f>ROUND(IF(WWWW[[#This Row],[Total PoP ]]&lt;500,1,WWWW[[#This Row],[Total PoP ]]/500),0)</f>
        <v>1</v>
      </c>
      <c r="BM392" s="210">
        <f>WWWW[[#This Row],['# Existing functional latrines]]+WWWW[[#This Row],['# Existing latrines dysfunctional]]</f>
        <v>10</v>
      </c>
      <c r="BN39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0.68493150684931503</v>
      </c>
      <c r="BO392" s="352">
        <f>WWWW[[#This Row],[% people access to functioning Latrine]]*WWWW[[#This Row],[Total PoP ]]</f>
        <v>200</v>
      </c>
      <c r="BP39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0.34246575342465752</v>
      </c>
      <c r="BQ392" s="209">
        <f>IF(WWWW[[#This Row],[Total required Latrines]]-WWWW[[#This Row],[Total '# of latrine]]&lt;0,0,WWWW[[#This Row],[Total required Latrines]]-WWWW[[#This Row],[Total '# of latrine]])</f>
        <v>5</v>
      </c>
      <c r="BR392" s="210">
        <f>ROUND(IF(WWWW[[#This Row],[Location Type 1]]="camp",WWWW[[#This Row],[Total PoP ]]/20,WWWW[[#This Row],[Total PoP ]]/6),0)</f>
        <v>15</v>
      </c>
      <c r="BS392" s="212">
        <f>IF(OR(WWWW[[#This Row],['# Existing latrines dysfunctional]]="",WWWW[[#This Row],['# Existing latrines dysfunctional]]=0),0,WWWW[[#This Row],['# Existing latrines dysfunctional]]/WWWW[[#This Row],[Total '# of latrine]])</f>
        <v>0</v>
      </c>
      <c r="BT39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92" s="209">
        <f>IF(500*WWWW[[#This Row],['# Hygiene Promoters ]]&gt;WWWW[[#This Row],[Total PoP ]],WWWW[[#This Row],[Total PoP ]],500*WWWW[[#This Row],['# Hygiene Promoters ]])</f>
        <v>292</v>
      </c>
      <c r="BV392" s="209">
        <f>IF(WWWW[[#This Row],[% of HH with access to Sanitary Pad]]&gt;=100%,1,0)</f>
        <v>0</v>
      </c>
      <c r="BW392" s="209">
        <f>IF(WWWW[[#This Row],[Total PoP ]]=0,0,IF(WWWW[[#This Row],['# Hygiene Promoters ]]=0,0,IF(WWWW[[#This Row],[Location Type 1]]="Village",IF(WWWW[[#This Row],[Total PoP ]]/WWWW[[#This Row],['# Hygiene Promoters ]]&lt;1000,1,0),IF(WWWW[[#This Row],[Total PoP ]]/WWWW[[#This Row],['# Hygiene Promoters ]]&lt;600,1,0))))</f>
        <v>1</v>
      </c>
      <c r="BX392" s="209">
        <f>IF(WWWW[[#This Row],[%HH with access to soap]]&gt;=100%,1,0)</f>
        <v>0</v>
      </c>
      <c r="BY392" s="209">
        <f>IF(WWWW[[#This Row],[% of HHs with access to Sanitary pad more than '#%]]+WWWW[[#This Row],[Ratio of Hyiene promoters to people less than '#]]+WWWW[[#This Row],[% of HHs with access to soap more than '#%]]&gt;=2,WWWW[[#This Row],[Total PoP ]],0)</f>
        <v>0</v>
      </c>
      <c r="BZ392" s="208">
        <f>WWWW[[#This Row],[People adopt basic personal and community hygiene practices]]/WWWW[[#This Row],[Total PoP ]]</f>
        <v>0</v>
      </c>
      <c r="CA392" s="212">
        <f>1-WWWW[[#This Row],[Hygiene Coverage%]]</f>
        <v>1</v>
      </c>
      <c r="CB392" s="211">
        <f>WWWW[[#This Row],['# people reached by regular dedicated hygiene promotion_5]]/WWWW[[#This Row],[Total PoP ]]</f>
        <v>1</v>
      </c>
      <c r="CC392" s="211">
        <f>IF(WWWW[[#This Row],['# HH received soaps]]/WWWW[[#This Row],[Total HH]]&gt;1,1,WWWW[[#This Row],['# HH received soaps]]/WWWW[[#This Row],[Total HH]])</f>
        <v>0</v>
      </c>
      <c r="CD392" s="211">
        <f>IF(WWWW[[#This Row],['# HH received Sanitary Pads]]/WWWW[[#This Row],[Total HH]]&gt;1,1,WWWW[[#This Row],['# HH received Sanitary Pads]]/WWWW[[#This Row],[Total HH]])</f>
        <v>0</v>
      </c>
      <c r="CE392" s="210">
        <f>WWWW[[#This Row],['# HH received soaps]]*5</f>
        <v>0</v>
      </c>
      <c r="CF392" s="210">
        <f>WWWW[[#This Row],['# HH received Sanitary Pads]]*5</f>
        <v>0</v>
      </c>
      <c r="CG392" s="210">
        <f>IF(WWWW[[#This Row],['# People with access to soap]]&gt;WWWW[[#This Row],['# People with access to Sanity Pads]],WWWW[[#This Row],['# People with access to soap]],WWWW[[#This Row],['# People with access to Sanity Pads]])</f>
        <v>0</v>
      </c>
      <c r="CH392" s="209">
        <f>WWWW[[#This Row],[Total HH]]*WWWW[[#This Row],[%HHs with access to functional hand washing stations]]</f>
        <v>48.800000000000004</v>
      </c>
      <c r="CI392" s="699" t="str">
        <f>VLOOKUP(WWWW[[#This Row],[Site Name]],SiteDB6[[Site Name]:[CCCM Management]],6,FALSE)</f>
        <v>Yes</v>
      </c>
      <c r="CJ392" s="699" t="str">
        <f>VLOOKUP(WWWW[[#This Row],[Site Name]],SiteDB6[[Site Name]:[CCCM Focal Agency]],7,FALSE)</f>
        <v>KBC</v>
      </c>
      <c r="CK392" s="699" t="str">
        <f>VLOOKUP(WWWW[[#This Row],[Site Name]],SiteDB6[[Site Name]:[Location Type]],8,FALSE)</f>
        <v>Camp</v>
      </c>
      <c r="CL392" s="699" t="str">
        <f>VLOOKUP(WWWW[[#This Row],[Site Name]],SiteDB6[[Site Name]:[Location Type 1]],9,FALSE)</f>
        <v>Camp</v>
      </c>
      <c r="CM392" s="699" t="str">
        <f>VLOOKUP(WWWW[[#This Row],[Site Name]],SiteDB6[[Site Name]:[Type of Accommodation]],10,FALSE)</f>
        <v>Camp</v>
      </c>
      <c r="CN392" s="699" t="str">
        <f>VLOOKUP(WWWW[[#This Row],[Site Name]],SiteDB6[[Site Name]:[Ethnic or GCA/NGCA]],11,FALSE)</f>
        <v>GCA</v>
      </c>
      <c r="CO392" s="699">
        <f>VLOOKUP(WWWW[[#This Row],[Site Name]],SiteDB6[[Site Name]:[Lat]],12,FALSE)</f>
        <v>23.450914000000001</v>
      </c>
      <c r="CP392" s="699">
        <f>VLOOKUP(WWWW[[#This Row],[Site Name]],SiteDB6[[Site Name]:[Long]],13,FALSE)</f>
        <v>97.926813999999993</v>
      </c>
      <c r="CQ392" s="699" t="str">
        <f>VLOOKUP(WWWW[[#This Row],[Site Name]],SiteDB6[[Site Name]:[Pcode]],3,FALSE)</f>
        <v>MMR015CMP016</v>
      </c>
      <c r="CR392" s="660" t="str">
        <f t="shared" ref="CR392:CR422" si="11">IF(B392="none","Notcovered","Covered")</f>
        <v>Covered</v>
      </c>
      <c r="CS392" s="660"/>
      <c r="CT392" s="24"/>
      <c r="CU392" s="24"/>
      <c r="CV392" s="24"/>
    </row>
    <row r="393" spans="1:100" ht="15.75" customHeight="1" x14ac:dyDescent="0.25">
      <c r="A393" s="833" t="s">
        <v>3206</v>
      </c>
      <c r="B393" s="206" t="s">
        <v>2521</v>
      </c>
      <c r="C393" s="206" t="s">
        <v>866</v>
      </c>
      <c r="D393" s="206" t="s">
        <v>870</v>
      </c>
      <c r="E393" s="206" t="s">
        <v>901</v>
      </c>
      <c r="F393" s="206">
        <v>46</v>
      </c>
      <c r="G393" s="209">
        <v>156</v>
      </c>
      <c r="H393" s="206">
        <v>57</v>
      </c>
      <c r="I393" s="206" t="s">
        <v>3254</v>
      </c>
      <c r="J393" s="207" t="s">
        <v>3255</v>
      </c>
      <c r="K393" s="206">
        <v>0</v>
      </c>
      <c r="L393" s="206" t="s">
        <v>48</v>
      </c>
      <c r="M393" s="208">
        <v>1</v>
      </c>
      <c r="N393" s="208">
        <v>1</v>
      </c>
      <c r="O393" s="316">
        <v>0</v>
      </c>
      <c r="P393" s="317">
        <v>1</v>
      </c>
      <c r="Q393" s="317">
        <v>4725</v>
      </c>
      <c r="R393" s="318">
        <v>0</v>
      </c>
      <c r="S393" s="318">
        <v>7</v>
      </c>
      <c r="T393" s="318"/>
      <c r="U393" s="318">
        <v>0</v>
      </c>
      <c r="V393" s="318">
        <v>0</v>
      </c>
      <c r="W393" s="318">
        <v>30</v>
      </c>
      <c r="X393" s="318">
        <v>24</v>
      </c>
      <c r="Y393" s="318">
        <v>0</v>
      </c>
      <c r="Z393" s="318"/>
      <c r="AA393" s="310">
        <v>12</v>
      </c>
      <c r="AB393" s="310">
        <v>6</v>
      </c>
      <c r="AC393" s="66">
        <v>0</v>
      </c>
      <c r="AD393" s="66"/>
      <c r="AE393" s="310">
        <v>12</v>
      </c>
      <c r="AF393" s="310" t="s">
        <v>283</v>
      </c>
      <c r="AG393" s="311" t="s">
        <v>283</v>
      </c>
      <c r="AH393" s="311">
        <v>0</v>
      </c>
      <c r="AI393" s="310">
        <v>0</v>
      </c>
      <c r="AJ393" s="310"/>
      <c r="AK393" s="841">
        <v>0</v>
      </c>
      <c r="AL393" s="842" t="s">
        <v>376</v>
      </c>
      <c r="AM393" s="842">
        <v>0</v>
      </c>
      <c r="AN393" s="863">
        <v>2</v>
      </c>
      <c r="AO393" s="863">
        <v>2</v>
      </c>
      <c r="AP393" s="843">
        <v>35</v>
      </c>
      <c r="AQ393" s="843">
        <v>0</v>
      </c>
      <c r="AR393" s="843"/>
      <c r="AS393" s="843"/>
      <c r="AT393" s="843"/>
      <c r="AU393" s="843"/>
      <c r="AV393" s="844"/>
      <c r="AW393" s="208" t="str">
        <f>IFERROR(WWWW[[#This Row],['# of Water passed at source]]/WWWW[[#This Row],['# of Water tested at source]],"no test")</f>
        <v>no test</v>
      </c>
      <c r="AX393" s="211">
        <f>IFERROR(WWWW[[#This Row],['# of Water passed at HH]]/WWWW[[#This Row],['# of Water tested at HH]],"no test")</f>
        <v>0.8</v>
      </c>
      <c r="AY393" s="210" t="str">
        <f>IF(AND(WWWW[[#This Row],[%of Water samples which passed at water source]]="no test",WWWW[[#This Row],[%Water samples which passed at HH]]="no test"),"No Test","Tested")</f>
        <v>Tested</v>
      </c>
      <c r="AZ39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9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93" s="211">
        <f>IF(WWWW[[#This Row],[Location Type 1]]="Village",WWWW[[#This Row],[Access to safe drinking water for Village]],WWWW[[#This Row],[Access to safe drinking water for Camp]])</f>
        <v>1</v>
      </c>
      <c r="BC393" s="209">
        <f>WWWW[[#This Row],[%Equitable and continuous access to sufficient quantity of safe drinking water]]*WWWW[[#This Row],[Total PoP ]]</f>
        <v>156</v>
      </c>
      <c r="BD393" s="211">
        <f>IF((WWWW[[#This Row],['# Existing protected/fenced ponds ]]*250)/WWWW[[#This Row],[Total PoP ]]&gt;1,1,WWWW[[#This Row],['# Existing protected/fenced ponds ]]*250/WWWW[[#This Row],[Total PoP ]])</f>
        <v>0</v>
      </c>
      <c r="BE393" s="209">
        <f>WWWW[[#This Row],[Access to unimproved water points]]*WWWW[[#This Row],[Total PoP ]]</f>
        <v>0</v>
      </c>
      <c r="BF39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9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156</v>
      </c>
      <c r="BH393" s="209">
        <f>WWWW[[#This Row],['#people Equitable and continuous access to sufficient quantity of domestic water borehole n ponds_2]]/500</f>
        <v>0.312</v>
      </c>
      <c r="BI393" s="208">
        <f>1-WWWW[[#This Row],[%Equitable and continuous access to sufficient quantity of domestic water borehole n ponds]]</f>
        <v>0</v>
      </c>
      <c r="BJ393" s="209">
        <f>WWWW[[#This Row],[%equitable and continuous access to sufficient quantity of safe drinking and domestic water''s GAP]]*WWWW[[#This Row],[Total PoP ]]</f>
        <v>0</v>
      </c>
      <c r="BK393" s="210">
        <f>IF(WWWW[[#This Row],[Total required water points]]-WWWW[[#This Row],['#Water points coverage]]&lt;0,0,WWWW[[#This Row],[Total required water points]]-WWWW[[#This Row],['#Water points coverage]])</f>
        <v>0.68799999999999994</v>
      </c>
      <c r="BL393" s="210">
        <f>ROUND(IF(WWWW[[#This Row],[Total PoP ]]&lt;500,1,WWWW[[#This Row],[Total PoP ]]/500),0)</f>
        <v>1</v>
      </c>
      <c r="BM393" s="210">
        <f>WWWW[[#This Row],['# Existing functional latrines]]+WWWW[[#This Row],['# Existing latrines dysfunctional]]</f>
        <v>18</v>
      </c>
      <c r="BN39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93" s="352">
        <f>WWWW[[#This Row],[% people access to functioning Latrine]]*WWWW[[#This Row],[Total PoP ]]</f>
        <v>156</v>
      </c>
      <c r="BP39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93" s="209">
        <f>IF(WWWW[[#This Row],[Total required Latrines]]-WWWW[[#This Row],[Total '# of latrine]]&lt;0,0,WWWW[[#This Row],[Total required Latrines]]-WWWW[[#This Row],[Total '# of latrine]])</f>
        <v>0</v>
      </c>
      <c r="BR393" s="210">
        <f>ROUND(IF(WWWW[[#This Row],[Location Type 1]]="camp",WWWW[[#This Row],[Total PoP ]]/20,WWWW[[#This Row],[Total PoP ]]/6),0)</f>
        <v>8</v>
      </c>
      <c r="BS393" s="212">
        <f>IF(OR(WWWW[[#This Row],['# Existing latrines dysfunctional]]="",WWWW[[#This Row],['# Existing latrines dysfunctional]]=0),0,WWWW[[#This Row],['# Existing latrines dysfunctional]]/WWWW[[#This Row],[Total '# of latrine]])</f>
        <v>0.33333333333333331</v>
      </c>
      <c r="BT39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93" s="209">
        <f>IF(500*WWWW[[#This Row],['# Hygiene Promoters ]]&gt;WWWW[[#This Row],[Total PoP ]],WWWW[[#This Row],[Total PoP ]],500*WWWW[[#This Row],['# Hygiene Promoters ]])</f>
        <v>156</v>
      </c>
      <c r="BV393" s="209">
        <f>IF(WWWW[[#This Row],[% of HH with access to Sanitary Pad]]&gt;=100%,1,0)</f>
        <v>0</v>
      </c>
      <c r="BW393" s="209">
        <f>IF(WWWW[[#This Row],[Total PoP ]]=0,0,IF(WWWW[[#This Row],['# Hygiene Promoters ]]=0,0,IF(WWWW[[#This Row],[Location Type 1]]="Village",IF(WWWW[[#This Row],[Total PoP ]]/WWWW[[#This Row],['# Hygiene Promoters ]]&lt;1000,1,0),IF(WWWW[[#This Row],[Total PoP ]]/WWWW[[#This Row],['# Hygiene Promoters ]]&lt;600,1,0))))</f>
        <v>1</v>
      </c>
      <c r="BX393" s="209">
        <f>IF(WWWW[[#This Row],[%HH with access to soap]]&gt;=100%,1,0)</f>
        <v>0</v>
      </c>
      <c r="BY393" s="209">
        <f>IF(WWWW[[#This Row],[% of HHs with access to Sanitary pad more than '#%]]+WWWW[[#This Row],[Ratio of Hyiene promoters to people less than '#]]+WWWW[[#This Row],[% of HHs with access to soap more than '#%]]&gt;=2,WWWW[[#This Row],[Total PoP ]],0)</f>
        <v>0</v>
      </c>
      <c r="BZ393" s="208">
        <f>WWWW[[#This Row],[People adopt basic personal and community hygiene practices]]/WWWW[[#This Row],[Total PoP ]]</f>
        <v>0</v>
      </c>
      <c r="CA393" s="212">
        <f>1-WWWW[[#This Row],[Hygiene Coverage%]]</f>
        <v>1</v>
      </c>
      <c r="CB393" s="211">
        <f>WWWW[[#This Row],['# people reached by regular dedicated hygiene promotion_5]]/WWWW[[#This Row],[Total PoP ]]</f>
        <v>1</v>
      </c>
      <c r="CC393" s="211">
        <f>IF(WWWW[[#This Row],['# HH received soaps]]/WWWW[[#This Row],[Total HH]]&gt;1,1,WWWW[[#This Row],['# HH received soaps]]/WWWW[[#This Row],[Total HH]])</f>
        <v>0.76086956521739135</v>
      </c>
      <c r="CD393" s="211">
        <f>IF(WWWW[[#This Row],['# HH received Sanitary Pads]]/WWWW[[#This Row],[Total HH]]&gt;1,1,WWWW[[#This Row],['# HH received Sanitary Pads]]/WWWW[[#This Row],[Total HH]])</f>
        <v>0</v>
      </c>
      <c r="CE393" s="210">
        <f>WWWW[[#This Row],['# HH received soaps]]*5</f>
        <v>175</v>
      </c>
      <c r="CF393" s="210">
        <f>WWWW[[#This Row],['# HH received Sanitary Pads]]*5</f>
        <v>0</v>
      </c>
      <c r="CG393" s="210">
        <f>IF(WWWW[[#This Row],['# People with access to soap]]&gt;WWWW[[#This Row],['# People with access to Sanity Pads]],WWWW[[#This Row],['# People with access to soap]],WWWW[[#This Row],['# People with access to Sanity Pads]])</f>
        <v>175</v>
      </c>
      <c r="CH393" s="209">
        <f>WWWW[[#This Row],[Total HH]]*WWWW[[#This Row],[%HHs with access to functional hand washing stations]]</f>
        <v>0</v>
      </c>
      <c r="CI393" s="699" t="str">
        <f>VLOOKUP(WWWW[[#This Row],[Site Name]],SiteDB6[[Site Name]:[CCCM Management]],6,FALSE)</f>
        <v>Yes</v>
      </c>
      <c r="CJ393" s="699" t="str">
        <f>VLOOKUP(WWWW[[#This Row],[Site Name]],SiteDB6[[Site Name]:[CCCM Focal Agency]],7,FALSE)</f>
        <v>KBC</v>
      </c>
      <c r="CK393" s="699" t="str">
        <f>VLOOKUP(WWWW[[#This Row],[Site Name]],SiteDB6[[Site Name]:[Location Type]],8,FALSE)</f>
        <v>Camp</v>
      </c>
      <c r="CL393" s="699" t="str">
        <f>VLOOKUP(WWWW[[#This Row],[Site Name]],SiteDB6[[Site Name]:[Location Type 1]],9,FALSE)</f>
        <v>Camp</v>
      </c>
      <c r="CM393" s="699" t="str">
        <f>VLOOKUP(WWWW[[#This Row],[Site Name]],SiteDB6[[Site Name]:[Type of Accommodation]],10,FALSE)</f>
        <v>Camp</v>
      </c>
      <c r="CN393" s="699" t="str">
        <f>VLOOKUP(WWWW[[#This Row],[Site Name]],SiteDB6[[Site Name]:[Ethnic or GCA/NGCA]],11,FALSE)</f>
        <v>GCA</v>
      </c>
      <c r="CO393" s="699">
        <f>VLOOKUP(WWWW[[#This Row],[Site Name]],SiteDB6[[Site Name]:[Lat]],12,FALSE)</f>
        <v>23.460349999999998</v>
      </c>
      <c r="CP393" s="699">
        <f>VLOOKUP(WWWW[[#This Row],[Site Name]],SiteDB6[[Site Name]:[Long]],13,FALSE)</f>
        <v>97.947360000000003</v>
      </c>
      <c r="CQ393" s="699" t="str">
        <f>VLOOKUP(WWWW[[#This Row],[Site Name]],SiteDB6[[Site Name]:[Pcode]],3,FALSE)</f>
        <v>MMR015CMP245</v>
      </c>
      <c r="CR393" s="660" t="str">
        <f t="shared" si="11"/>
        <v>Covered</v>
      </c>
      <c r="CS393" s="660"/>
      <c r="CT393" s="24"/>
      <c r="CU393" s="24"/>
      <c r="CV393" s="24"/>
    </row>
    <row r="394" spans="1:100" ht="15.75" customHeight="1" x14ac:dyDescent="0.25">
      <c r="A394" s="833" t="s">
        <v>3206</v>
      </c>
      <c r="B394" s="893" t="s">
        <v>882</v>
      </c>
      <c r="C394" s="206" t="s">
        <v>866</v>
      </c>
      <c r="D394" s="206" t="s">
        <v>870</v>
      </c>
      <c r="E394" s="206" t="s">
        <v>871</v>
      </c>
      <c r="F394" s="206">
        <v>30</v>
      </c>
      <c r="G394" s="209">
        <v>138</v>
      </c>
      <c r="H394" s="206">
        <v>73</v>
      </c>
      <c r="I394" s="206" t="s">
        <v>2491</v>
      </c>
      <c r="J394" s="207" t="s">
        <v>2906</v>
      </c>
      <c r="K394" s="206">
        <v>0</v>
      </c>
      <c r="L394" s="206" t="s">
        <v>48</v>
      </c>
      <c r="M394" s="208">
        <v>0.65</v>
      </c>
      <c r="N394" s="208">
        <v>1</v>
      </c>
      <c r="O394" s="316">
        <v>1</v>
      </c>
      <c r="P394" s="317"/>
      <c r="Q394" s="317">
        <v>6000</v>
      </c>
      <c r="R394" s="318"/>
      <c r="S394" s="318">
        <v>1</v>
      </c>
      <c r="T394" s="318"/>
      <c r="U394" s="318">
        <v>1</v>
      </c>
      <c r="V394" s="318"/>
      <c r="W394" s="318">
        <v>12</v>
      </c>
      <c r="X394" s="318">
        <v>6</v>
      </c>
      <c r="Y394" s="318">
        <v>0</v>
      </c>
      <c r="Z394" s="318"/>
      <c r="AA394" s="310">
        <v>8</v>
      </c>
      <c r="AB394" s="310">
        <v>0</v>
      </c>
      <c r="AC394" s="66">
        <v>8</v>
      </c>
      <c r="AD394" s="66" t="s">
        <v>2782</v>
      </c>
      <c r="AE394" s="310">
        <v>8</v>
      </c>
      <c r="AF394" s="310" t="s">
        <v>283</v>
      </c>
      <c r="AG394" s="311" t="s">
        <v>283</v>
      </c>
      <c r="AH394" s="311">
        <v>2</v>
      </c>
      <c r="AI394" s="310">
        <v>0</v>
      </c>
      <c r="AJ394" s="310"/>
      <c r="AK394" s="841">
        <v>1</v>
      </c>
      <c r="AL394" s="842" t="s">
        <v>376</v>
      </c>
      <c r="AM394" s="842">
        <v>2</v>
      </c>
      <c r="AN394" s="863">
        <v>1</v>
      </c>
      <c r="AO394" s="863">
        <v>2</v>
      </c>
      <c r="AP394" s="843">
        <v>0</v>
      </c>
      <c r="AQ394" s="843">
        <v>0</v>
      </c>
      <c r="AR394" s="843"/>
      <c r="AS394" s="843"/>
      <c r="AT394" s="843"/>
      <c r="AU394" s="843"/>
      <c r="AV394" s="844"/>
      <c r="AW394" s="208">
        <f>IFERROR(WWWW[[#This Row],['# of Water passed at source]]/WWWW[[#This Row],['# of Water tested at source]],"no test")</f>
        <v>0</v>
      </c>
      <c r="AX394" s="211">
        <f>IFERROR(WWWW[[#This Row],['# of Water passed at HH]]/WWWW[[#This Row],['# of Water tested at HH]],"no test")</f>
        <v>0.5</v>
      </c>
      <c r="AY394" s="210" t="str">
        <f>IF(AND(WWWW[[#This Row],[%of Water samples which passed at water source]]="no test",WWWW[[#This Row],[%Water samples which passed at HH]]="no test"),"No Test","Tested")</f>
        <v>Tested</v>
      </c>
      <c r="AZ39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9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94" s="211">
        <f>IF(WWWW[[#This Row],[Location Type 1]]="Village",WWWW[[#This Row],[Access to safe drinking water for Village]],WWWW[[#This Row],[Access to safe drinking water for Camp]])</f>
        <v>1</v>
      </c>
      <c r="BC394" s="209">
        <f>WWWW[[#This Row],[%Equitable and continuous access to sufficient quantity of safe drinking water]]*WWWW[[#This Row],[Total PoP ]]</f>
        <v>138</v>
      </c>
      <c r="BD394" s="211">
        <f>IF((WWWW[[#This Row],['# Existing protected/fenced ponds ]]*250)/WWWW[[#This Row],[Total PoP ]]&gt;1,1,WWWW[[#This Row],['# Existing protected/fenced ponds ]]*250/WWWW[[#This Row],[Total PoP ]])</f>
        <v>0</v>
      </c>
      <c r="BE394" s="209">
        <f>WWWW[[#This Row],[Access to unimproved water points]]*WWWW[[#This Row],[Total PoP ]]</f>
        <v>0</v>
      </c>
      <c r="BF39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9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138</v>
      </c>
      <c r="BH394" s="209">
        <f>WWWW[[#This Row],['#people Equitable and continuous access to sufficient quantity of domestic water borehole n ponds_2]]/500</f>
        <v>0.27600000000000002</v>
      </c>
      <c r="BI394" s="208">
        <f>1-WWWW[[#This Row],[%Equitable and continuous access to sufficient quantity of domestic water borehole n ponds]]</f>
        <v>0</v>
      </c>
      <c r="BJ394" s="209">
        <f>WWWW[[#This Row],[%equitable and continuous access to sufficient quantity of safe drinking and domestic water''s GAP]]*WWWW[[#This Row],[Total PoP ]]</f>
        <v>0</v>
      </c>
      <c r="BK394" s="210">
        <f>IF(WWWW[[#This Row],[Total required water points]]-WWWW[[#This Row],['#Water points coverage]]&lt;0,0,WWWW[[#This Row],[Total required water points]]-WWWW[[#This Row],['#Water points coverage]])</f>
        <v>0.72399999999999998</v>
      </c>
      <c r="BL394" s="210">
        <f>ROUND(IF(WWWW[[#This Row],[Total PoP ]]&lt;500,1,WWWW[[#This Row],[Total PoP ]]/500),0)</f>
        <v>1</v>
      </c>
      <c r="BM394" s="210">
        <f>WWWW[[#This Row],['# Existing functional latrines]]+WWWW[[#This Row],['# Existing latrines dysfunctional]]</f>
        <v>8</v>
      </c>
      <c r="BN39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94" s="352">
        <f>WWWW[[#This Row],[% people access to functioning Latrine]]*WWWW[[#This Row],[Total PoP ]]</f>
        <v>138</v>
      </c>
      <c r="BP39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94" s="209">
        <f>IF(WWWW[[#This Row],[Total required Latrines]]-WWWW[[#This Row],[Total '# of latrine]]&lt;0,0,WWWW[[#This Row],[Total required Latrines]]-WWWW[[#This Row],[Total '# of latrine]])</f>
        <v>0</v>
      </c>
      <c r="BR394" s="210">
        <f>ROUND(IF(WWWW[[#This Row],[Location Type 1]]="camp",WWWW[[#This Row],[Total PoP ]]/20,WWWW[[#This Row],[Total PoP ]]/6),0)</f>
        <v>7</v>
      </c>
      <c r="BS394" s="212">
        <f>IF(OR(WWWW[[#This Row],['# Existing latrines dysfunctional]]="",WWWW[[#This Row],['# Existing latrines dysfunctional]]=0),0,WWWW[[#This Row],['# Existing latrines dysfunctional]]/WWWW[[#This Row],[Total '# of latrine]])</f>
        <v>0</v>
      </c>
      <c r="BT39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138</v>
      </c>
      <c r="BU394" s="209">
        <f>IF(500*WWWW[[#This Row],['# Hygiene Promoters ]]&gt;WWWW[[#This Row],[Total PoP ]],WWWW[[#This Row],[Total PoP ]],500*WWWW[[#This Row],['# Hygiene Promoters ]])</f>
        <v>138</v>
      </c>
      <c r="BV394" s="209">
        <f>IF(WWWW[[#This Row],[% of HH with access to Sanitary Pad]]&gt;=100%,1,0)</f>
        <v>0</v>
      </c>
      <c r="BW394" s="209">
        <f>IF(WWWW[[#This Row],[Total PoP ]]=0,0,IF(WWWW[[#This Row],['# Hygiene Promoters ]]=0,0,IF(WWWW[[#This Row],[Location Type 1]]="Village",IF(WWWW[[#This Row],[Total PoP ]]/WWWW[[#This Row],['# Hygiene Promoters ]]&lt;1000,1,0),IF(WWWW[[#This Row],[Total PoP ]]/WWWW[[#This Row],['# Hygiene Promoters ]]&lt;600,1,0))))</f>
        <v>1</v>
      </c>
      <c r="BX394" s="209">
        <f>IF(WWWW[[#This Row],[%HH with access to soap]]&gt;=100%,1,0)</f>
        <v>0</v>
      </c>
      <c r="BY394" s="209">
        <f>IF(WWWW[[#This Row],[% of HHs with access to Sanitary pad more than '#%]]+WWWW[[#This Row],[Ratio of Hyiene promoters to people less than '#]]+WWWW[[#This Row],[% of HHs with access to soap more than '#%]]&gt;=2,WWWW[[#This Row],[Total PoP ]],0)</f>
        <v>0</v>
      </c>
      <c r="BZ394" s="208">
        <f>WWWW[[#This Row],[People adopt basic personal and community hygiene practices]]/WWWW[[#This Row],[Total PoP ]]</f>
        <v>0</v>
      </c>
      <c r="CA394" s="212">
        <f>1-WWWW[[#This Row],[Hygiene Coverage%]]</f>
        <v>1</v>
      </c>
      <c r="CB394" s="211">
        <f>WWWW[[#This Row],['# people reached by regular dedicated hygiene promotion_5]]/WWWW[[#This Row],[Total PoP ]]</f>
        <v>1</v>
      </c>
      <c r="CC394" s="211">
        <f>IF(WWWW[[#This Row],['# HH received soaps]]/WWWW[[#This Row],[Total HH]]&gt;1,1,WWWW[[#This Row],['# HH received soaps]]/WWWW[[#This Row],[Total HH]])</f>
        <v>0</v>
      </c>
      <c r="CD394" s="211">
        <f>IF(WWWW[[#This Row],['# HH received Sanitary Pads]]/WWWW[[#This Row],[Total HH]]&gt;1,1,WWWW[[#This Row],['# HH received Sanitary Pads]]/WWWW[[#This Row],[Total HH]])</f>
        <v>0</v>
      </c>
      <c r="CE394" s="210">
        <f>WWWW[[#This Row],['# HH received soaps]]*5</f>
        <v>0</v>
      </c>
      <c r="CF394" s="210">
        <f>WWWW[[#This Row],['# HH received Sanitary Pads]]*5</f>
        <v>0</v>
      </c>
      <c r="CG394" s="210">
        <f>IF(WWWW[[#This Row],['# People with access to soap]]&gt;WWWW[[#This Row],['# People with access to Sanity Pads]],WWWW[[#This Row],['# People with access to soap]],WWWW[[#This Row],['# People with access to Sanity Pads]])</f>
        <v>0</v>
      </c>
      <c r="CH394" s="209">
        <f>WWWW[[#This Row],[Total HH]]*WWWW[[#This Row],[%HHs with access to functional hand washing stations]]</f>
        <v>30</v>
      </c>
      <c r="CI394" s="699" t="str">
        <f>VLOOKUP(WWWW[[#This Row],[Site Name]],SiteDB6[[Site Name]:[CCCM Management]],6,FALSE)</f>
        <v>Yes</v>
      </c>
      <c r="CJ394" s="699" t="str">
        <f>VLOOKUP(WWWW[[#This Row],[Site Name]],SiteDB6[[Site Name]:[CCCM Focal Agency]],7,FALSE)</f>
        <v>KMSS-LSO</v>
      </c>
      <c r="CK394" s="699" t="str">
        <f>VLOOKUP(WWWW[[#This Row],[Site Name]],SiteDB6[[Site Name]:[Location Type]],8,FALSE)</f>
        <v>Camp</v>
      </c>
      <c r="CL394" s="699" t="str">
        <f>VLOOKUP(WWWW[[#This Row],[Site Name]],SiteDB6[[Site Name]:[Location Type 1]],9,FALSE)</f>
        <v>Camp</v>
      </c>
      <c r="CM394" s="699" t="str">
        <f>VLOOKUP(WWWW[[#This Row],[Site Name]],SiteDB6[[Site Name]:[Type of Accommodation]],10,FALSE)</f>
        <v>Camp</v>
      </c>
      <c r="CN394" s="699" t="str">
        <f>VLOOKUP(WWWW[[#This Row],[Site Name]],SiteDB6[[Site Name]:[Ethnic or GCA/NGCA]],11,FALSE)</f>
        <v>GCA</v>
      </c>
      <c r="CO394" s="699">
        <f>VLOOKUP(WWWW[[#This Row],[Site Name]],SiteDB6[[Site Name]:[Lat]],12,FALSE)</f>
        <v>23.460349999999998</v>
      </c>
      <c r="CP394" s="699">
        <f>VLOOKUP(WWWW[[#This Row],[Site Name]],SiteDB6[[Site Name]:[Long]],13,FALSE)</f>
        <v>97.947360000000003</v>
      </c>
      <c r="CQ394" s="699" t="str">
        <f>VLOOKUP(WWWW[[#This Row],[Site Name]],SiteDB6[[Site Name]:[Pcode]],3,FALSE)</f>
        <v>MMR015CMP017</v>
      </c>
      <c r="CR394" s="660" t="str">
        <f t="shared" si="11"/>
        <v>Covered</v>
      </c>
      <c r="CS394" s="660"/>
      <c r="CT394" s="24"/>
      <c r="CU394" s="24"/>
      <c r="CV394" s="24"/>
    </row>
    <row r="395" spans="1:100" ht="15.75" customHeight="1" x14ac:dyDescent="0.25">
      <c r="A395" s="833" t="s">
        <v>3206</v>
      </c>
      <c r="B395" s="893" t="s">
        <v>338</v>
      </c>
      <c r="C395" s="206" t="s">
        <v>866</v>
      </c>
      <c r="D395" s="206" t="s">
        <v>870</v>
      </c>
      <c r="E395" s="206" t="s">
        <v>2956</v>
      </c>
      <c r="F395" s="206">
        <v>145</v>
      </c>
      <c r="G395" s="209">
        <v>721</v>
      </c>
      <c r="H395" s="206"/>
      <c r="I395" s="206" t="s">
        <v>2912</v>
      </c>
      <c r="J395" s="207" t="s">
        <v>2913</v>
      </c>
      <c r="K395" s="206">
        <v>0</v>
      </c>
      <c r="L395" s="206" t="s">
        <v>282</v>
      </c>
      <c r="M395" s="208">
        <v>0</v>
      </c>
      <c r="N395" s="208">
        <v>0</v>
      </c>
      <c r="O395" s="316">
        <v>1</v>
      </c>
      <c r="P395" s="317"/>
      <c r="Q395" s="317">
        <v>28800</v>
      </c>
      <c r="R395" s="318">
        <v>1</v>
      </c>
      <c r="S395" s="318">
        <v>0</v>
      </c>
      <c r="T395" s="318"/>
      <c r="U395" s="318">
        <v>0</v>
      </c>
      <c r="V395" s="318">
        <v>0</v>
      </c>
      <c r="W395" s="318">
        <v>0</v>
      </c>
      <c r="X395" s="318">
        <v>0</v>
      </c>
      <c r="Y395" s="318">
        <v>0</v>
      </c>
      <c r="Z395" s="318"/>
      <c r="AA395" s="310">
        <v>20</v>
      </c>
      <c r="AB395" s="310"/>
      <c r="AC395" s="66"/>
      <c r="AD395" s="66"/>
      <c r="AE395" s="310">
        <v>20</v>
      </c>
      <c r="AF395" s="310" t="s">
        <v>283</v>
      </c>
      <c r="AG395" s="311" t="s">
        <v>283</v>
      </c>
      <c r="AH395" s="311"/>
      <c r="AI395" s="310"/>
      <c r="AJ395" s="310"/>
      <c r="AK395" s="841">
        <v>0</v>
      </c>
      <c r="AL395" s="842" t="s">
        <v>284</v>
      </c>
      <c r="AM395" s="842">
        <v>1</v>
      </c>
      <c r="AN395" s="863">
        <v>3</v>
      </c>
      <c r="AO395" s="863">
        <v>1</v>
      </c>
      <c r="AP395" s="843">
        <v>0</v>
      </c>
      <c r="AQ395" s="843">
        <v>0</v>
      </c>
      <c r="AR395" s="843"/>
      <c r="AS395" s="843"/>
      <c r="AT395" s="843"/>
      <c r="AU395" s="843"/>
      <c r="AV395" s="844"/>
      <c r="AW395" s="208" t="str">
        <f>IFERROR(WWWW[[#This Row],['# of Water passed at source]]/WWWW[[#This Row],['# of Water tested at source]],"no test")</f>
        <v>no test</v>
      </c>
      <c r="AX395" s="211" t="str">
        <f>IFERROR(WWWW[[#This Row],['# of Water passed at HH]]/WWWW[[#This Row],['# of Water tested at HH]],"no test")</f>
        <v>no test</v>
      </c>
      <c r="AY395" s="210" t="str">
        <f>IF(AND(WWWW[[#This Row],[%of Water samples which passed at water source]]="no test",WWWW[[#This Row],[%Water samples which passed at HH]]="no test"),"No Test","Tested")</f>
        <v>No Test</v>
      </c>
      <c r="AZ39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9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95" s="211">
        <f>IF(WWWW[[#This Row],[Location Type 1]]="Village",WWWW[[#This Row],[Access to safe drinking water for Village]],WWWW[[#This Row],[Access to safe drinking water for Camp]])</f>
        <v>1</v>
      </c>
      <c r="BC395" s="209">
        <f>WWWW[[#This Row],[%Equitable and continuous access to sufficient quantity of safe drinking water]]*WWWW[[#This Row],[Total PoP ]]</f>
        <v>721</v>
      </c>
      <c r="BD395" s="211">
        <f>IF((WWWW[[#This Row],['# Existing protected/fenced ponds ]]*250)/WWWW[[#This Row],[Total PoP ]]&gt;1,1,WWWW[[#This Row],['# Existing protected/fenced ponds ]]*250/WWWW[[#This Row],[Total PoP ]])</f>
        <v>0.34674063800277394</v>
      </c>
      <c r="BE395" s="209">
        <f>WWWW[[#This Row],[Access to unimproved water points]]*WWWW[[#This Row],[Total PoP ]]</f>
        <v>250</v>
      </c>
      <c r="BF39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9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721</v>
      </c>
      <c r="BH395" s="209">
        <f>WWWW[[#This Row],['#people Equitable and continuous access to sufficient quantity of domestic water borehole n ponds_2]]/500</f>
        <v>1.4419999999999999</v>
      </c>
      <c r="BI395" s="208">
        <f>1-WWWW[[#This Row],[%Equitable and continuous access to sufficient quantity of domestic water borehole n ponds]]</f>
        <v>0</v>
      </c>
      <c r="BJ395" s="209">
        <f>WWWW[[#This Row],[%equitable and continuous access to sufficient quantity of safe drinking and domestic water''s GAP]]*WWWW[[#This Row],[Total PoP ]]</f>
        <v>0</v>
      </c>
      <c r="BK395" s="210">
        <f>IF(WWWW[[#This Row],[Total required water points]]-WWWW[[#This Row],['#Water points coverage]]&lt;0,0,WWWW[[#This Row],[Total required water points]]-WWWW[[#This Row],['#Water points coverage]])</f>
        <v>0</v>
      </c>
      <c r="BL395" s="210">
        <f>ROUND(IF(WWWW[[#This Row],[Total PoP ]]&lt;500,1,WWWW[[#This Row],[Total PoP ]]/500),0)</f>
        <v>1</v>
      </c>
      <c r="BM395" s="210">
        <f>WWWW[[#This Row],['# Existing functional latrines]]+WWWW[[#This Row],['# Existing latrines dysfunctional]]</f>
        <v>20</v>
      </c>
      <c r="BN39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0.55478502080443826</v>
      </c>
      <c r="BO395" s="352">
        <f>WWWW[[#This Row],[% people access to functioning Latrine]]*WWWW[[#This Row],[Total PoP ]]</f>
        <v>400</v>
      </c>
      <c r="BP39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0.44382801664355065</v>
      </c>
      <c r="BQ395" s="209">
        <f>IF(WWWW[[#This Row],[Total required Latrines]]-WWWW[[#This Row],[Total '# of latrine]]&lt;0,0,WWWW[[#This Row],[Total required Latrines]]-WWWW[[#This Row],[Total '# of latrine]])</f>
        <v>16</v>
      </c>
      <c r="BR395" s="210">
        <f>ROUND(IF(WWWW[[#This Row],[Location Type 1]]="camp",WWWW[[#This Row],[Total PoP ]]/20,WWWW[[#This Row],[Total PoP ]]/6),0)</f>
        <v>36</v>
      </c>
      <c r="BS395" s="212">
        <f>IF(OR(WWWW[[#This Row],['# Existing latrines dysfunctional]]="",WWWW[[#This Row],['# Existing latrines dysfunctional]]=0),0,WWWW[[#This Row],['# Existing latrines dysfunctional]]/WWWW[[#This Row],[Total '# of latrine]])</f>
        <v>0</v>
      </c>
      <c r="BT39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95" s="209">
        <f>IF(500*WWWW[[#This Row],['# Hygiene Promoters ]]&gt;WWWW[[#This Row],[Total PoP ]],WWWW[[#This Row],[Total PoP ]],500*WWWW[[#This Row],['# Hygiene Promoters ]])</f>
        <v>500</v>
      </c>
      <c r="BV395" s="209">
        <f>IF(WWWW[[#This Row],[% of HH with access to Sanitary Pad]]&gt;=100%,1,0)</f>
        <v>0</v>
      </c>
      <c r="BW395" s="209">
        <f>IF(WWWW[[#This Row],[Total PoP ]]=0,0,IF(WWWW[[#This Row],['# Hygiene Promoters ]]=0,0,IF(WWWW[[#This Row],[Location Type 1]]="Village",IF(WWWW[[#This Row],[Total PoP ]]/WWWW[[#This Row],['# Hygiene Promoters ]]&lt;1000,1,0),IF(WWWW[[#This Row],[Total PoP ]]/WWWW[[#This Row],['# Hygiene Promoters ]]&lt;600,1,0))))</f>
        <v>0</v>
      </c>
      <c r="BX395" s="209">
        <f>IF(WWWW[[#This Row],[%HH with access to soap]]&gt;=100%,1,0)</f>
        <v>0</v>
      </c>
      <c r="BY395" s="209">
        <f>IF(WWWW[[#This Row],[% of HHs with access to Sanitary pad more than '#%]]+WWWW[[#This Row],[Ratio of Hyiene promoters to people less than '#]]+WWWW[[#This Row],[% of HHs with access to soap more than '#%]]&gt;=2,WWWW[[#This Row],[Total PoP ]],0)</f>
        <v>0</v>
      </c>
      <c r="BZ395" s="208">
        <f>WWWW[[#This Row],[People adopt basic personal and community hygiene practices]]/WWWW[[#This Row],[Total PoP ]]</f>
        <v>0</v>
      </c>
      <c r="CA395" s="212">
        <f>1-WWWW[[#This Row],[Hygiene Coverage%]]</f>
        <v>1</v>
      </c>
      <c r="CB395" s="211">
        <f>WWWW[[#This Row],['# people reached by regular dedicated hygiene promotion_5]]/WWWW[[#This Row],[Total PoP ]]</f>
        <v>0.69348127600554788</v>
      </c>
      <c r="CC395" s="211">
        <f>IF(WWWW[[#This Row],['# HH received soaps]]/WWWW[[#This Row],[Total HH]]&gt;1,1,WWWW[[#This Row],['# HH received soaps]]/WWWW[[#This Row],[Total HH]])</f>
        <v>0</v>
      </c>
      <c r="CD395" s="211">
        <f>IF(WWWW[[#This Row],['# HH received Sanitary Pads]]/WWWW[[#This Row],[Total HH]]&gt;1,1,WWWW[[#This Row],['# HH received Sanitary Pads]]/WWWW[[#This Row],[Total HH]])</f>
        <v>0</v>
      </c>
      <c r="CE395" s="210">
        <f>WWWW[[#This Row],['# HH received soaps]]*5</f>
        <v>0</v>
      </c>
      <c r="CF395" s="210">
        <f>WWWW[[#This Row],['# HH received Sanitary Pads]]*5</f>
        <v>0</v>
      </c>
      <c r="CG395" s="210">
        <f>IF(WWWW[[#This Row],['# People with access to soap]]&gt;WWWW[[#This Row],['# People with access to Sanity Pads]],WWWW[[#This Row],['# People with access to soap]],WWWW[[#This Row],['# People with access to Sanity Pads]])</f>
        <v>0</v>
      </c>
      <c r="CH395" s="209">
        <f>WWWW[[#This Row],[Total HH]]*WWWW[[#This Row],[%HHs with access to functional hand washing stations]]</f>
        <v>0</v>
      </c>
      <c r="CI395" s="699" t="str">
        <f>VLOOKUP(WWWW[[#This Row],[Site Name]],SiteDB6[[Site Name]:[CCCM Management]],6,FALSE)</f>
        <v>Yes</v>
      </c>
      <c r="CJ395" s="699" t="str">
        <f>VLOOKUP(WWWW[[#This Row],[Site Name]],SiteDB6[[Site Name]:[CCCM Focal Agency]],7,FALSE)</f>
        <v>KBC</v>
      </c>
      <c r="CK395" s="699" t="str">
        <f>VLOOKUP(WWWW[[#This Row],[Site Name]],SiteDB6[[Site Name]:[Location Type]],8,FALSE)</f>
        <v>Camp</v>
      </c>
      <c r="CL395" s="699" t="str">
        <f>VLOOKUP(WWWW[[#This Row],[Site Name]],SiteDB6[[Site Name]:[Location Type 1]],9,FALSE)</f>
        <v>Camp</v>
      </c>
      <c r="CM395" s="699" t="str">
        <f>VLOOKUP(WWWW[[#This Row],[Site Name]],SiteDB6[[Site Name]:[Type of Accommodation]],10,FALSE)</f>
        <v>Camp</v>
      </c>
      <c r="CN395" s="699" t="str">
        <f>VLOOKUP(WWWW[[#This Row],[Site Name]],SiteDB6[[Site Name]:[Ethnic or GCA/NGCA]],11,FALSE)</f>
        <v>GCA</v>
      </c>
      <c r="CO395" s="699">
        <f>VLOOKUP(WWWW[[#This Row],[Site Name]],SiteDB6[[Site Name]:[Lat]],12,FALSE)</f>
        <v>23.591999999999999</v>
      </c>
      <c r="CP395" s="699">
        <f>VLOOKUP(WWWW[[#This Row],[Site Name]],SiteDB6[[Site Name]:[Long]],13,FALSE)</f>
        <v>97.796999999999997</v>
      </c>
      <c r="CQ395" s="699" t="str">
        <f>VLOOKUP(WWWW[[#This Row],[Site Name]],SiteDB6[[Site Name]:[Pcode]],3,FALSE)</f>
        <v>MMR015CMP220</v>
      </c>
      <c r="CR395" s="660" t="str">
        <f t="shared" si="11"/>
        <v>Covered</v>
      </c>
      <c r="CS395" s="660"/>
      <c r="CT395" s="24"/>
      <c r="CU395" s="24"/>
      <c r="CV395" s="24"/>
    </row>
    <row r="396" spans="1:100" ht="15.75" customHeight="1" x14ac:dyDescent="0.25">
      <c r="A396" s="833" t="s">
        <v>3206</v>
      </c>
      <c r="B396" s="206" t="s">
        <v>2488</v>
      </c>
      <c r="C396" s="206" t="s">
        <v>866</v>
      </c>
      <c r="D396" s="206" t="s">
        <v>890</v>
      </c>
      <c r="E396" s="206" t="s">
        <v>898</v>
      </c>
      <c r="F396" s="206">
        <v>63</v>
      </c>
      <c r="G396" s="209">
        <v>290</v>
      </c>
      <c r="H396" s="206">
        <v>72</v>
      </c>
      <c r="I396" s="206" t="s">
        <v>2508</v>
      </c>
      <c r="J396" s="207" t="s">
        <v>2907</v>
      </c>
      <c r="K396" s="206"/>
      <c r="L396" s="206" t="s">
        <v>48</v>
      </c>
      <c r="M396" s="208">
        <v>0.28999999999999998</v>
      </c>
      <c r="N396" s="208">
        <v>0.28999999999999998</v>
      </c>
      <c r="O396" s="316">
        <v>1</v>
      </c>
      <c r="P396" s="317">
        <v>1</v>
      </c>
      <c r="Q396" s="317">
        <v>7500</v>
      </c>
      <c r="R396" s="318">
        <v>0</v>
      </c>
      <c r="S396" s="318">
        <v>1</v>
      </c>
      <c r="T396" s="318"/>
      <c r="U396" s="318">
        <v>1</v>
      </c>
      <c r="V396" s="318">
        <v>1</v>
      </c>
      <c r="W396" s="318">
        <v>10</v>
      </c>
      <c r="X396" s="318">
        <v>7</v>
      </c>
      <c r="Y396" s="318">
        <v>0</v>
      </c>
      <c r="Z396" s="318"/>
      <c r="AA396" s="310">
        <v>16</v>
      </c>
      <c r="AB396" s="310">
        <v>0</v>
      </c>
      <c r="AC396" s="66">
        <v>0</v>
      </c>
      <c r="AD396" s="66"/>
      <c r="AE396" s="310">
        <v>16</v>
      </c>
      <c r="AF396" s="310" t="s">
        <v>283</v>
      </c>
      <c r="AG396" s="311" t="s">
        <v>283</v>
      </c>
      <c r="AH396" s="311">
        <v>0</v>
      </c>
      <c r="AI396" s="310">
        <v>0</v>
      </c>
      <c r="AJ396" s="310"/>
      <c r="AK396" s="841">
        <v>1</v>
      </c>
      <c r="AL396" s="842" t="s">
        <v>376</v>
      </c>
      <c r="AM396" s="842">
        <v>0</v>
      </c>
      <c r="AN396" s="863">
        <v>2</v>
      </c>
      <c r="AO396" s="863">
        <v>1</v>
      </c>
      <c r="AP396" s="843">
        <v>61</v>
      </c>
      <c r="AQ396" s="843">
        <v>0</v>
      </c>
      <c r="AR396" s="843"/>
      <c r="AS396" s="843"/>
      <c r="AT396" s="843"/>
      <c r="AU396" s="843"/>
      <c r="AV396" s="844"/>
      <c r="AW396" s="208">
        <f>IFERROR(WWWW[[#This Row],['# of Water passed at source]]/WWWW[[#This Row],['# of Water tested at source]],"no test")</f>
        <v>1</v>
      </c>
      <c r="AX396" s="211">
        <f>IFERROR(WWWW[[#This Row],['# of Water passed at HH]]/WWWW[[#This Row],['# of Water tested at HH]],"no test")</f>
        <v>0.7</v>
      </c>
      <c r="AY396" s="210" t="str">
        <f>IF(AND(WWWW[[#This Row],[%of Water samples which passed at water source]]="no test",WWWW[[#This Row],[%Water samples which passed at HH]]="no test"),"No Test","Tested")</f>
        <v>Tested</v>
      </c>
      <c r="AZ39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9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96" s="211">
        <f>IF(WWWW[[#This Row],[Location Type 1]]="Village",WWWW[[#This Row],[Access to safe drinking water for Village]],WWWW[[#This Row],[Access to safe drinking water for Camp]])</f>
        <v>1</v>
      </c>
      <c r="BC396" s="209">
        <f>WWWW[[#This Row],[%Equitable and continuous access to sufficient quantity of safe drinking water]]*WWWW[[#This Row],[Total PoP ]]</f>
        <v>290</v>
      </c>
      <c r="BD396" s="211">
        <f>IF((WWWW[[#This Row],['# Existing protected/fenced ponds ]]*250)/WWWW[[#This Row],[Total PoP ]]&gt;1,1,WWWW[[#This Row],['# Existing protected/fenced ponds ]]*250/WWWW[[#This Row],[Total PoP ]])</f>
        <v>0</v>
      </c>
      <c r="BE396" s="209">
        <f>WWWW[[#This Row],[Access to unimproved water points]]*WWWW[[#This Row],[Total PoP ]]</f>
        <v>0</v>
      </c>
      <c r="BF39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9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290</v>
      </c>
      <c r="BH396" s="209">
        <f>WWWW[[#This Row],['#people Equitable and continuous access to sufficient quantity of domestic water borehole n ponds_2]]/500</f>
        <v>0.57999999999999996</v>
      </c>
      <c r="BI396" s="208">
        <f>1-WWWW[[#This Row],[%Equitable and continuous access to sufficient quantity of domestic water borehole n ponds]]</f>
        <v>0</v>
      </c>
      <c r="BJ396" s="209">
        <f>WWWW[[#This Row],[%equitable and continuous access to sufficient quantity of safe drinking and domestic water''s GAP]]*WWWW[[#This Row],[Total PoP ]]</f>
        <v>0</v>
      </c>
      <c r="BK396" s="210">
        <f>IF(WWWW[[#This Row],[Total required water points]]-WWWW[[#This Row],['#Water points coverage]]&lt;0,0,WWWW[[#This Row],[Total required water points]]-WWWW[[#This Row],['#Water points coverage]])</f>
        <v>0.42000000000000004</v>
      </c>
      <c r="BL396" s="210">
        <f>ROUND(IF(WWWW[[#This Row],[Total PoP ]]&lt;500,1,WWWW[[#This Row],[Total PoP ]]/500),0)</f>
        <v>1</v>
      </c>
      <c r="BM396" s="210">
        <f>WWWW[[#This Row],['# Existing functional latrines]]+WWWW[[#This Row],['# Existing latrines dysfunctional]]</f>
        <v>16</v>
      </c>
      <c r="BN39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96" s="352">
        <f>WWWW[[#This Row],[% people access to functioning Latrine]]*WWWW[[#This Row],[Total PoP ]]</f>
        <v>290</v>
      </c>
      <c r="BP39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96" s="209">
        <f>IF(WWWW[[#This Row],[Total required Latrines]]-WWWW[[#This Row],[Total '# of latrine]]&lt;0,0,WWWW[[#This Row],[Total required Latrines]]-WWWW[[#This Row],[Total '# of latrine]])</f>
        <v>0</v>
      </c>
      <c r="BR396" s="210">
        <f>ROUND(IF(WWWW[[#This Row],[Location Type 1]]="camp",WWWW[[#This Row],[Total PoP ]]/20,WWWW[[#This Row],[Total PoP ]]/6),0)</f>
        <v>15</v>
      </c>
      <c r="BS396" s="212">
        <f>IF(OR(WWWW[[#This Row],['# Existing latrines dysfunctional]]="",WWWW[[#This Row],['# Existing latrines dysfunctional]]=0),0,WWWW[[#This Row],['# Existing latrines dysfunctional]]/WWWW[[#This Row],[Total '# of latrine]])</f>
        <v>0</v>
      </c>
      <c r="BT39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96" s="209">
        <f>IF(500*WWWW[[#This Row],['# Hygiene Promoters ]]&gt;WWWW[[#This Row],[Total PoP ]],WWWW[[#This Row],[Total PoP ]],500*WWWW[[#This Row],['# Hygiene Promoters ]])</f>
        <v>290</v>
      </c>
      <c r="BV396" s="209">
        <f>IF(WWWW[[#This Row],[% of HH with access to Sanitary Pad]]&gt;=100%,1,0)</f>
        <v>0</v>
      </c>
      <c r="BW396" s="209">
        <f>IF(WWWW[[#This Row],[Total PoP ]]=0,0,IF(WWWW[[#This Row],['# Hygiene Promoters ]]=0,0,IF(WWWW[[#This Row],[Location Type 1]]="Village",IF(WWWW[[#This Row],[Total PoP ]]/WWWW[[#This Row],['# Hygiene Promoters ]]&lt;1000,1,0),IF(WWWW[[#This Row],[Total PoP ]]/WWWW[[#This Row],['# Hygiene Promoters ]]&lt;600,1,0))))</f>
        <v>1</v>
      </c>
      <c r="BX396" s="209">
        <f>IF(WWWW[[#This Row],[%HH with access to soap]]&gt;=100%,1,0)</f>
        <v>0</v>
      </c>
      <c r="BY396" s="209">
        <f>IF(WWWW[[#This Row],[% of HHs with access to Sanitary pad more than '#%]]+WWWW[[#This Row],[Ratio of Hyiene promoters to people less than '#]]+WWWW[[#This Row],[% of HHs with access to soap more than '#%]]&gt;=2,WWWW[[#This Row],[Total PoP ]],0)</f>
        <v>0</v>
      </c>
      <c r="BZ396" s="208">
        <f>WWWW[[#This Row],[People adopt basic personal and community hygiene practices]]/WWWW[[#This Row],[Total PoP ]]</f>
        <v>0</v>
      </c>
      <c r="CA396" s="212">
        <f>1-WWWW[[#This Row],[Hygiene Coverage%]]</f>
        <v>1</v>
      </c>
      <c r="CB396" s="211">
        <f>WWWW[[#This Row],['# people reached by regular dedicated hygiene promotion_5]]/WWWW[[#This Row],[Total PoP ]]</f>
        <v>1</v>
      </c>
      <c r="CC396" s="211">
        <f>IF(WWWW[[#This Row],['# HH received soaps]]/WWWW[[#This Row],[Total HH]]&gt;1,1,WWWW[[#This Row],['# HH received soaps]]/WWWW[[#This Row],[Total HH]])</f>
        <v>0.96825396825396826</v>
      </c>
      <c r="CD396" s="211">
        <f>IF(WWWW[[#This Row],['# HH received Sanitary Pads]]/WWWW[[#This Row],[Total HH]]&gt;1,1,WWWW[[#This Row],['# HH received Sanitary Pads]]/WWWW[[#This Row],[Total HH]])</f>
        <v>0</v>
      </c>
      <c r="CE396" s="210">
        <f>WWWW[[#This Row],['# HH received soaps]]*5</f>
        <v>305</v>
      </c>
      <c r="CF396" s="210">
        <f>WWWW[[#This Row],['# HH received Sanitary Pads]]*5</f>
        <v>0</v>
      </c>
      <c r="CG396" s="210">
        <f>IF(WWWW[[#This Row],['# People with access to soap]]&gt;WWWW[[#This Row],['# People with access to Sanity Pads]],WWWW[[#This Row],['# People with access to soap]],WWWW[[#This Row],['# People with access to Sanity Pads]])</f>
        <v>305</v>
      </c>
      <c r="CH396" s="209">
        <f>WWWW[[#This Row],[Total HH]]*WWWW[[#This Row],[%HHs with access to functional hand washing stations]]</f>
        <v>63</v>
      </c>
      <c r="CI396" s="699" t="str">
        <f>VLOOKUP(WWWW[[#This Row],[Site Name]],SiteDB6[[Site Name]:[CCCM Management]],6,FALSE)</f>
        <v>Yes</v>
      </c>
      <c r="CJ396" s="699" t="str">
        <f>VLOOKUP(WWWW[[#This Row],[Site Name]],SiteDB6[[Site Name]:[CCCM Focal Agency]],7,FALSE)</f>
        <v>KMSS-LSO</v>
      </c>
      <c r="CK396" s="699" t="str">
        <f>VLOOKUP(WWWW[[#This Row],[Site Name]],SiteDB6[[Site Name]:[Location Type]],8,FALSE)</f>
        <v>Camp</v>
      </c>
      <c r="CL396" s="699" t="str">
        <f>VLOOKUP(WWWW[[#This Row],[Site Name]],SiteDB6[[Site Name]:[Location Type 1]],9,FALSE)</f>
        <v>Camp</v>
      </c>
      <c r="CM396" s="699" t="str">
        <f>VLOOKUP(WWWW[[#This Row],[Site Name]],SiteDB6[[Site Name]:[Type of Accommodation]],10,FALSE)</f>
        <v>Camp</v>
      </c>
      <c r="CN396" s="699" t="str">
        <f>VLOOKUP(WWWW[[#This Row],[Site Name]],SiteDB6[[Site Name]:[Ethnic or GCA/NGCA]],11,FALSE)</f>
        <v>GCA</v>
      </c>
      <c r="CO396" s="699">
        <f>VLOOKUP(WWWW[[#This Row],[Site Name]],SiteDB6[[Site Name]:[Lat]],12,FALSE)</f>
        <v>23.099304</v>
      </c>
      <c r="CP396" s="699">
        <f>VLOOKUP(WWWW[[#This Row],[Site Name]],SiteDB6[[Site Name]:[Long]],13,FALSE)</f>
        <v>97.400671000000003</v>
      </c>
      <c r="CQ396" s="699" t="str">
        <f>VLOOKUP(WWWW[[#This Row],[Site Name]],SiteDB6[[Site Name]:[Pcode]],3,FALSE)</f>
        <v>MMR015CMP248</v>
      </c>
      <c r="CR396" s="660" t="str">
        <f t="shared" si="11"/>
        <v>Covered</v>
      </c>
      <c r="CS396" s="660"/>
      <c r="CT396" s="24"/>
      <c r="CU396" s="24"/>
      <c r="CV396" s="24"/>
    </row>
    <row r="397" spans="1:100" ht="15.75" customHeight="1" x14ac:dyDescent="0.25">
      <c r="A397" s="833" t="s">
        <v>3206</v>
      </c>
      <c r="B397" s="206" t="s">
        <v>338</v>
      </c>
      <c r="C397" s="206" t="s">
        <v>866</v>
      </c>
      <c r="D397" s="206" t="s">
        <v>870</v>
      </c>
      <c r="E397" s="206" t="s">
        <v>2957</v>
      </c>
      <c r="F397" s="206">
        <v>75</v>
      </c>
      <c r="G397" s="209">
        <v>344</v>
      </c>
      <c r="H397" s="206">
        <v>64</v>
      </c>
      <c r="I397" s="206" t="s">
        <v>2912</v>
      </c>
      <c r="J397" s="207" t="s">
        <v>2913</v>
      </c>
      <c r="K397" s="206">
        <v>0</v>
      </c>
      <c r="L397" s="206" t="s">
        <v>282</v>
      </c>
      <c r="M397" s="208">
        <v>0</v>
      </c>
      <c r="N397" s="208">
        <v>0</v>
      </c>
      <c r="O397" s="316">
        <v>0</v>
      </c>
      <c r="P397" s="317">
        <v>0</v>
      </c>
      <c r="Q397" s="317"/>
      <c r="R397" s="318"/>
      <c r="S397" s="318">
        <v>16</v>
      </c>
      <c r="T397" s="318"/>
      <c r="U397" s="318">
        <v>0</v>
      </c>
      <c r="V397" s="318">
        <v>0</v>
      </c>
      <c r="W397" s="318">
        <v>10</v>
      </c>
      <c r="X397" s="318">
        <v>8</v>
      </c>
      <c r="Y397" s="318">
        <v>0</v>
      </c>
      <c r="Z397" s="318"/>
      <c r="AA397" s="310">
        <v>75</v>
      </c>
      <c r="AB397" s="310">
        <v>0</v>
      </c>
      <c r="AC397" s="66">
        <v>0</v>
      </c>
      <c r="AD397" s="66"/>
      <c r="AE397" s="310">
        <v>75</v>
      </c>
      <c r="AF397" s="310" t="s">
        <v>283</v>
      </c>
      <c r="AG397" s="311" t="s">
        <v>283</v>
      </c>
      <c r="AH397" s="311">
        <v>0</v>
      </c>
      <c r="AI397" s="310">
        <v>0</v>
      </c>
      <c r="AJ397" s="310"/>
      <c r="AK397" s="841">
        <v>0.3</v>
      </c>
      <c r="AL397" s="842" t="s">
        <v>284</v>
      </c>
      <c r="AM397" s="842">
        <v>0</v>
      </c>
      <c r="AN397" s="863">
        <v>6</v>
      </c>
      <c r="AO397" s="863">
        <v>3</v>
      </c>
      <c r="AP397" s="843">
        <v>0</v>
      </c>
      <c r="AQ397" s="843">
        <v>0</v>
      </c>
      <c r="AR397" s="843"/>
      <c r="AS397" s="843"/>
      <c r="AT397" s="843"/>
      <c r="AU397" s="843"/>
      <c r="AV397" s="844"/>
      <c r="AW397" s="208" t="str">
        <f>IFERROR(WWWW[[#This Row],['# of Water passed at source]]/WWWW[[#This Row],['# of Water tested at source]],"no test")</f>
        <v>no test</v>
      </c>
      <c r="AX397" s="211">
        <f>IFERROR(WWWW[[#This Row],['# of Water passed at HH]]/WWWW[[#This Row],['# of Water tested at HH]],"no test")</f>
        <v>0.8</v>
      </c>
      <c r="AY397" s="210" t="str">
        <f>IF(AND(WWWW[[#This Row],[%of Water samples which passed at water source]]="no test",WWWW[[#This Row],[%Water samples which passed at HH]]="no test"),"No Test","Tested")</f>
        <v>Tested</v>
      </c>
      <c r="AZ39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39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397" s="211">
        <f>IF(WWWW[[#This Row],[Location Type 1]]="Village",WWWW[[#This Row],[Access to safe drinking water for Village]],WWWW[[#This Row],[Access to safe drinking water for Camp]])</f>
        <v>0</v>
      </c>
      <c r="BC397" s="209">
        <f>WWWW[[#This Row],[%Equitable and continuous access to sufficient quantity of safe drinking water]]*WWWW[[#This Row],[Total PoP ]]</f>
        <v>0</v>
      </c>
      <c r="BD397" s="211">
        <f>IF((WWWW[[#This Row],['# Existing protected/fenced ponds ]]*250)/WWWW[[#This Row],[Total PoP ]]&gt;1,1,WWWW[[#This Row],['# Existing protected/fenced ponds ]]*250/WWWW[[#This Row],[Total PoP ]])</f>
        <v>0</v>
      </c>
      <c r="BE397" s="209">
        <f>WWWW[[#This Row],[Access to unimproved water points]]*WWWW[[#This Row],[Total PoP ]]</f>
        <v>0</v>
      </c>
      <c r="BF39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39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397" s="209">
        <f>WWWW[[#This Row],['#people Equitable and continuous access to sufficient quantity of domestic water borehole n ponds_2]]/500</f>
        <v>0</v>
      </c>
      <c r="BI397" s="208">
        <f>1-WWWW[[#This Row],[%Equitable and continuous access to sufficient quantity of domestic water borehole n ponds]]</f>
        <v>1</v>
      </c>
      <c r="BJ397" s="209">
        <f>WWWW[[#This Row],[%equitable and continuous access to sufficient quantity of safe drinking and domestic water''s GAP]]*WWWW[[#This Row],[Total PoP ]]</f>
        <v>344</v>
      </c>
      <c r="BK397" s="210">
        <f>IF(WWWW[[#This Row],[Total required water points]]-WWWW[[#This Row],['#Water points coverage]]&lt;0,0,WWWW[[#This Row],[Total required water points]]-WWWW[[#This Row],['#Water points coverage]])</f>
        <v>1</v>
      </c>
      <c r="BL397" s="210">
        <f>ROUND(IF(WWWW[[#This Row],[Total PoP ]]&lt;500,1,WWWW[[#This Row],[Total PoP ]]/500),0)</f>
        <v>1</v>
      </c>
      <c r="BM397" s="210">
        <f>WWWW[[#This Row],['# Existing functional latrines]]+WWWW[[#This Row],['# Existing latrines dysfunctional]]</f>
        <v>75</v>
      </c>
      <c r="BN39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97" s="352">
        <f>WWWW[[#This Row],[% people access to functioning Latrine]]*WWWW[[#This Row],[Total PoP ]]</f>
        <v>344</v>
      </c>
      <c r="BP39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97" s="209">
        <f>IF(WWWW[[#This Row],[Total required Latrines]]-WWWW[[#This Row],[Total '# of latrine]]&lt;0,0,WWWW[[#This Row],[Total required Latrines]]-WWWW[[#This Row],[Total '# of latrine]])</f>
        <v>0</v>
      </c>
      <c r="BR397" s="210">
        <f>ROUND(IF(WWWW[[#This Row],[Location Type 1]]="camp",WWWW[[#This Row],[Total PoP ]]/20,WWWW[[#This Row],[Total PoP ]]/6),0)</f>
        <v>57</v>
      </c>
      <c r="BS397" s="212">
        <f>IF(OR(WWWW[[#This Row],['# Existing latrines dysfunctional]]="",WWWW[[#This Row],['# Existing latrines dysfunctional]]=0),0,WWWW[[#This Row],['# Existing latrines dysfunctional]]/WWWW[[#This Row],[Total '# of latrine]])</f>
        <v>0</v>
      </c>
      <c r="BT39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97" s="209">
        <f>IF(500*WWWW[[#This Row],['# Hygiene Promoters ]]&gt;WWWW[[#This Row],[Total PoP ]],WWWW[[#This Row],[Total PoP ]],500*WWWW[[#This Row],['# Hygiene Promoters ]])</f>
        <v>344</v>
      </c>
      <c r="BV397" s="209">
        <f>IF(WWWW[[#This Row],[% of HH with access to Sanitary Pad]]&gt;=100%,1,0)</f>
        <v>0</v>
      </c>
      <c r="BW397" s="209">
        <f>IF(WWWW[[#This Row],[Total PoP ]]=0,0,IF(WWWW[[#This Row],['# Hygiene Promoters ]]=0,0,IF(WWWW[[#This Row],[Location Type 1]]="Village",IF(WWWW[[#This Row],[Total PoP ]]/WWWW[[#This Row],['# Hygiene Promoters ]]&lt;1000,1,0),IF(WWWW[[#This Row],[Total PoP ]]/WWWW[[#This Row],['# Hygiene Promoters ]]&lt;600,1,0))))</f>
        <v>1</v>
      </c>
      <c r="BX397" s="209">
        <f>IF(WWWW[[#This Row],[%HH with access to soap]]&gt;=100%,1,0)</f>
        <v>0</v>
      </c>
      <c r="BY397" s="209">
        <f>IF(WWWW[[#This Row],[% of HHs with access to Sanitary pad more than '#%]]+WWWW[[#This Row],[Ratio of Hyiene promoters to people less than '#]]+WWWW[[#This Row],[% of HHs with access to soap more than '#%]]&gt;=2,WWWW[[#This Row],[Total PoP ]],0)</f>
        <v>0</v>
      </c>
      <c r="BZ397" s="208">
        <f>WWWW[[#This Row],[People adopt basic personal and community hygiene practices]]/WWWW[[#This Row],[Total PoP ]]</f>
        <v>0</v>
      </c>
      <c r="CA397" s="212">
        <f>1-WWWW[[#This Row],[Hygiene Coverage%]]</f>
        <v>1</v>
      </c>
      <c r="CB397" s="211">
        <f>WWWW[[#This Row],['# people reached by regular dedicated hygiene promotion_5]]/WWWW[[#This Row],[Total PoP ]]</f>
        <v>1</v>
      </c>
      <c r="CC397" s="211">
        <f>IF(WWWW[[#This Row],['# HH received soaps]]/WWWW[[#This Row],[Total HH]]&gt;1,1,WWWW[[#This Row],['# HH received soaps]]/WWWW[[#This Row],[Total HH]])</f>
        <v>0</v>
      </c>
      <c r="CD397" s="211">
        <f>IF(WWWW[[#This Row],['# HH received Sanitary Pads]]/WWWW[[#This Row],[Total HH]]&gt;1,1,WWWW[[#This Row],['# HH received Sanitary Pads]]/WWWW[[#This Row],[Total HH]])</f>
        <v>0</v>
      </c>
      <c r="CE397" s="210">
        <f>WWWW[[#This Row],['# HH received soaps]]*5</f>
        <v>0</v>
      </c>
      <c r="CF397" s="210">
        <f>WWWW[[#This Row],['# HH received Sanitary Pads]]*5</f>
        <v>0</v>
      </c>
      <c r="CG397" s="210">
        <f>IF(WWWW[[#This Row],['# People with access to soap]]&gt;WWWW[[#This Row],['# People with access to Sanity Pads]],WWWW[[#This Row],['# People with access to soap]],WWWW[[#This Row],['# People with access to Sanity Pads]])</f>
        <v>0</v>
      </c>
      <c r="CH397" s="209">
        <f>WWWW[[#This Row],[Total HH]]*WWWW[[#This Row],[%HHs with access to functional hand washing stations]]</f>
        <v>22.5</v>
      </c>
      <c r="CI397" s="699" t="str">
        <f>VLOOKUP(WWWW[[#This Row],[Site Name]],SiteDB6[[Site Name]:[CCCM Management]],6,FALSE)</f>
        <v>Yes</v>
      </c>
      <c r="CJ397" s="699" t="str">
        <f>VLOOKUP(WWWW[[#This Row],[Site Name]],SiteDB6[[Site Name]:[CCCM Focal Agency]],7,FALSE)</f>
        <v>KBC</v>
      </c>
      <c r="CK397" s="699" t="str">
        <f>VLOOKUP(WWWW[[#This Row],[Site Name]],SiteDB6[[Site Name]:[Location Type]],8,FALSE)</f>
        <v>Camp</v>
      </c>
      <c r="CL397" s="699" t="str">
        <f>VLOOKUP(WWWW[[#This Row],[Site Name]],SiteDB6[[Site Name]:[Location Type 1]],9,FALSE)</f>
        <v>Village Type Camp</v>
      </c>
      <c r="CM397" s="699" t="str">
        <f>VLOOKUP(WWWW[[#This Row],[Site Name]],SiteDB6[[Site Name]:[Type of Accommodation]],10,FALSE)</f>
        <v>Camp</v>
      </c>
      <c r="CN397" s="699" t="str">
        <f>VLOOKUP(WWWW[[#This Row],[Site Name]],SiteDB6[[Site Name]:[Ethnic or GCA/NGCA]],11,FALSE)</f>
        <v>GCA</v>
      </c>
      <c r="CO397" s="699">
        <f>VLOOKUP(WWWW[[#This Row],[Site Name]],SiteDB6[[Site Name]:[Lat]],12,FALSE)</f>
        <v>23.588920000000002</v>
      </c>
      <c r="CP397" s="699">
        <f>VLOOKUP(WWWW[[#This Row],[Site Name]],SiteDB6[[Site Name]:[Long]],13,FALSE)</f>
        <v>97.793019999999999</v>
      </c>
      <c r="CQ397" s="699" t="str">
        <f>VLOOKUP(WWWW[[#This Row],[Site Name]],SiteDB6[[Site Name]:[Pcode]],3,FALSE)</f>
        <v>MMR015CMP018</v>
      </c>
      <c r="CR397" s="660" t="str">
        <f t="shared" si="11"/>
        <v>Covered</v>
      </c>
      <c r="CS397" s="660"/>
      <c r="CT397" s="24"/>
      <c r="CU397" s="24"/>
      <c r="CV397" s="24"/>
    </row>
    <row r="398" spans="1:100" ht="15.75" customHeight="1" x14ac:dyDescent="0.25">
      <c r="A398" s="833" t="s">
        <v>3206</v>
      </c>
      <c r="B398" s="206" t="s">
        <v>2488</v>
      </c>
      <c r="C398" s="206" t="s">
        <v>866</v>
      </c>
      <c r="D398" s="206" t="s">
        <v>890</v>
      </c>
      <c r="E398" s="206" t="s">
        <v>1278</v>
      </c>
      <c r="F398" s="206">
        <v>58</v>
      </c>
      <c r="G398" s="209">
        <v>257</v>
      </c>
      <c r="H398" s="206"/>
      <c r="I398" s="206" t="s">
        <v>449</v>
      </c>
      <c r="J398" s="207">
        <v>43421</v>
      </c>
      <c r="K398" s="206"/>
      <c r="L398" s="206" t="s">
        <v>48</v>
      </c>
      <c r="M398" s="208">
        <v>0.28999999999999998</v>
      </c>
      <c r="N398" s="208">
        <v>0.28999999999999998</v>
      </c>
      <c r="O398" s="316"/>
      <c r="P398" s="317">
        <v>2</v>
      </c>
      <c r="Q398" s="317">
        <v>7200</v>
      </c>
      <c r="R398" s="318"/>
      <c r="S398" s="318">
        <v>1</v>
      </c>
      <c r="T398" s="318"/>
      <c r="U398" s="318">
        <v>0</v>
      </c>
      <c r="V398" s="318">
        <v>0</v>
      </c>
      <c r="W398" s="318">
        <v>0</v>
      </c>
      <c r="X398" s="318">
        <v>0</v>
      </c>
      <c r="Y398" s="318">
        <v>0</v>
      </c>
      <c r="Z398" s="318"/>
      <c r="AA398" s="310">
        <v>12</v>
      </c>
      <c r="AB398" s="310">
        <v>0</v>
      </c>
      <c r="AC398" s="66">
        <v>0</v>
      </c>
      <c r="AD398" s="66"/>
      <c r="AE398" s="310">
        <v>12</v>
      </c>
      <c r="AF398" s="310" t="s">
        <v>283</v>
      </c>
      <c r="AG398" s="311" t="s">
        <v>332</v>
      </c>
      <c r="AH398" s="311">
        <v>0</v>
      </c>
      <c r="AI398" s="310">
        <v>0</v>
      </c>
      <c r="AJ398" s="310"/>
      <c r="AK398" s="841">
        <v>1</v>
      </c>
      <c r="AL398" s="842" t="s">
        <v>376</v>
      </c>
      <c r="AM398" s="842"/>
      <c r="AN398" s="863">
        <v>2</v>
      </c>
      <c r="AO398" s="863">
        <v>1</v>
      </c>
      <c r="AP398" s="843">
        <v>30</v>
      </c>
      <c r="AQ398" s="843">
        <v>0</v>
      </c>
      <c r="AR398" s="843"/>
      <c r="AS398" s="843"/>
      <c r="AT398" s="843"/>
      <c r="AU398" s="843"/>
      <c r="AV398" s="844"/>
      <c r="AW398" s="208" t="str">
        <f>IFERROR(WWWW[[#This Row],['# of Water passed at source]]/WWWW[[#This Row],['# of Water tested at source]],"no test")</f>
        <v>no test</v>
      </c>
      <c r="AX398" s="211" t="str">
        <f>IFERROR(WWWW[[#This Row],['# of Water passed at HH]]/WWWW[[#This Row],['# of Water tested at HH]],"no test")</f>
        <v>no test</v>
      </c>
      <c r="AY398" s="210" t="str">
        <f>IF(AND(WWWW[[#This Row],[%of Water samples which passed at water source]]="no test",WWWW[[#This Row],[%Water samples which passed at HH]]="no test"),"No Test","Tested")</f>
        <v>No Test</v>
      </c>
      <c r="AZ39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9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98" s="211">
        <f>IF(WWWW[[#This Row],[Location Type 1]]="Village",WWWW[[#This Row],[Access to safe drinking water for Village]],WWWW[[#This Row],[Access to safe drinking water for Camp]])</f>
        <v>1</v>
      </c>
      <c r="BC398" s="209">
        <f>WWWW[[#This Row],[%Equitable and continuous access to sufficient quantity of safe drinking water]]*WWWW[[#This Row],[Total PoP ]]</f>
        <v>257</v>
      </c>
      <c r="BD398" s="211">
        <f>IF((WWWW[[#This Row],['# Existing protected/fenced ponds ]]*250)/WWWW[[#This Row],[Total PoP ]]&gt;1,1,WWWW[[#This Row],['# Existing protected/fenced ponds ]]*250/WWWW[[#This Row],[Total PoP ]])</f>
        <v>0</v>
      </c>
      <c r="BE398" s="209">
        <f>WWWW[[#This Row],[Access to unimproved water points]]*WWWW[[#This Row],[Total PoP ]]</f>
        <v>0</v>
      </c>
      <c r="BF39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9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257</v>
      </c>
      <c r="BH398" s="209">
        <f>WWWW[[#This Row],['#people Equitable and continuous access to sufficient quantity of domestic water borehole n ponds_2]]/500</f>
        <v>0.51400000000000001</v>
      </c>
      <c r="BI398" s="208">
        <f>1-WWWW[[#This Row],[%Equitable and continuous access to sufficient quantity of domestic water borehole n ponds]]</f>
        <v>0</v>
      </c>
      <c r="BJ398" s="209">
        <f>WWWW[[#This Row],[%equitable and continuous access to sufficient quantity of safe drinking and domestic water''s GAP]]*WWWW[[#This Row],[Total PoP ]]</f>
        <v>0</v>
      </c>
      <c r="BK398" s="210">
        <f>IF(WWWW[[#This Row],[Total required water points]]-WWWW[[#This Row],['#Water points coverage]]&lt;0,0,WWWW[[#This Row],[Total required water points]]-WWWW[[#This Row],['#Water points coverage]])</f>
        <v>0.48599999999999999</v>
      </c>
      <c r="BL398" s="210">
        <f>ROUND(IF(WWWW[[#This Row],[Total PoP ]]&lt;500,1,WWWW[[#This Row],[Total PoP ]]/500),0)</f>
        <v>1</v>
      </c>
      <c r="BM398" s="210">
        <f>WWWW[[#This Row],['# Existing functional latrines]]+WWWW[[#This Row],['# Existing latrines dysfunctional]]</f>
        <v>12</v>
      </c>
      <c r="BN39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0.93385214007782102</v>
      </c>
      <c r="BO398" s="352">
        <f>WWWW[[#This Row],[% people access to functioning Latrine]]*WWWW[[#This Row],[Total PoP ]]</f>
        <v>240</v>
      </c>
      <c r="BP39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7.7821011673151752E-2</v>
      </c>
      <c r="BQ398" s="209">
        <f>IF(WWWW[[#This Row],[Total required Latrines]]-WWWW[[#This Row],[Total '# of latrine]]&lt;0,0,WWWW[[#This Row],[Total required Latrines]]-WWWW[[#This Row],[Total '# of latrine]])</f>
        <v>1</v>
      </c>
      <c r="BR398" s="210">
        <f>ROUND(IF(WWWW[[#This Row],[Location Type 1]]="camp",WWWW[[#This Row],[Total PoP ]]/20,WWWW[[#This Row],[Total PoP ]]/6),0)</f>
        <v>13</v>
      </c>
      <c r="BS398" s="212">
        <f>IF(OR(WWWW[[#This Row],['# Existing latrines dysfunctional]]="",WWWW[[#This Row],['# Existing latrines dysfunctional]]=0),0,WWWW[[#This Row],['# Existing latrines dysfunctional]]/WWWW[[#This Row],[Total '# of latrine]])</f>
        <v>0</v>
      </c>
      <c r="BT39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98" s="209">
        <f>IF(500*WWWW[[#This Row],['# Hygiene Promoters ]]&gt;WWWW[[#This Row],[Total PoP ]],WWWW[[#This Row],[Total PoP ]],500*WWWW[[#This Row],['# Hygiene Promoters ]])</f>
        <v>257</v>
      </c>
      <c r="BV398" s="209">
        <f>IF(WWWW[[#This Row],[% of HH with access to Sanitary Pad]]&gt;=100%,1,0)</f>
        <v>0</v>
      </c>
      <c r="BW398" s="209">
        <f>IF(WWWW[[#This Row],[Total PoP ]]=0,0,IF(WWWW[[#This Row],['# Hygiene Promoters ]]=0,0,IF(WWWW[[#This Row],[Location Type 1]]="Village",IF(WWWW[[#This Row],[Total PoP ]]/WWWW[[#This Row],['# Hygiene Promoters ]]&lt;1000,1,0),IF(WWWW[[#This Row],[Total PoP ]]/WWWW[[#This Row],['# Hygiene Promoters ]]&lt;600,1,0))))</f>
        <v>1</v>
      </c>
      <c r="BX398" s="209">
        <f>IF(WWWW[[#This Row],[%HH with access to soap]]&gt;=100%,1,0)</f>
        <v>0</v>
      </c>
      <c r="BY398" s="209">
        <f>IF(WWWW[[#This Row],[% of HHs with access to Sanitary pad more than '#%]]+WWWW[[#This Row],[Ratio of Hyiene promoters to people less than '#]]+WWWW[[#This Row],[% of HHs with access to soap more than '#%]]&gt;=2,WWWW[[#This Row],[Total PoP ]],0)</f>
        <v>0</v>
      </c>
      <c r="BZ398" s="208">
        <f>WWWW[[#This Row],[People adopt basic personal and community hygiene practices]]/WWWW[[#This Row],[Total PoP ]]</f>
        <v>0</v>
      </c>
      <c r="CA398" s="212">
        <f>1-WWWW[[#This Row],[Hygiene Coverage%]]</f>
        <v>1</v>
      </c>
      <c r="CB398" s="211">
        <f>WWWW[[#This Row],['# people reached by regular dedicated hygiene promotion_5]]/WWWW[[#This Row],[Total PoP ]]</f>
        <v>1</v>
      </c>
      <c r="CC398" s="211">
        <f>IF(WWWW[[#This Row],['# HH received soaps]]/WWWW[[#This Row],[Total HH]]&gt;1,1,WWWW[[#This Row],['# HH received soaps]]/WWWW[[#This Row],[Total HH]])</f>
        <v>0.51724137931034486</v>
      </c>
      <c r="CD398" s="211">
        <f>IF(WWWW[[#This Row],['# HH received Sanitary Pads]]/WWWW[[#This Row],[Total HH]]&gt;1,1,WWWW[[#This Row],['# HH received Sanitary Pads]]/WWWW[[#This Row],[Total HH]])</f>
        <v>0</v>
      </c>
      <c r="CE398" s="210">
        <f>WWWW[[#This Row],['# HH received soaps]]*5</f>
        <v>150</v>
      </c>
      <c r="CF398" s="210">
        <f>WWWW[[#This Row],['# HH received Sanitary Pads]]*5</f>
        <v>0</v>
      </c>
      <c r="CG398" s="210">
        <f>IF(WWWW[[#This Row],['# People with access to soap]]&gt;WWWW[[#This Row],['# People with access to Sanity Pads]],WWWW[[#This Row],['# People with access to soap]],WWWW[[#This Row],['# People with access to Sanity Pads]])</f>
        <v>150</v>
      </c>
      <c r="CH398" s="209">
        <f>WWWW[[#This Row],[Total HH]]*WWWW[[#This Row],[%HHs with access to functional hand washing stations]]</f>
        <v>58</v>
      </c>
      <c r="CI398" s="699">
        <f>VLOOKUP(WWWW[[#This Row],[Site Name]],SiteDB6[[Site Name]:[CCCM Management]],6,FALSE)</f>
        <v>0</v>
      </c>
      <c r="CJ398" s="699">
        <f>VLOOKUP(WWWW[[#This Row],[Site Name]],SiteDB6[[Site Name]:[CCCM Focal Agency]],7,FALSE)</f>
        <v>0</v>
      </c>
      <c r="CK398" s="699" t="str">
        <f>VLOOKUP(WWWW[[#This Row],[Site Name]],SiteDB6[[Site Name]:[Location Type]],8,FALSE)</f>
        <v>Camp_not registered</v>
      </c>
      <c r="CL398" s="699" t="str">
        <f>VLOOKUP(WWWW[[#This Row],[Site Name]],SiteDB6[[Site Name]:[Location Type 1]],9,FALSE)</f>
        <v>Camp</v>
      </c>
      <c r="CM398" s="699" t="str">
        <f>VLOOKUP(WWWW[[#This Row],[Site Name]],SiteDB6[[Site Name]:[Type of Accommodation]],10,FALSE)</f>
        <v>Camp</v>
      </c>
      <c r="CN398" s="699" t="str">
        <f>VLOOKUP(WWWW[[#This Row],[Site Name]],SiteDB6[[Site Name]:[Ethnic or GCA/NGCA]],11,FALSE)</f>
        <v>GCA</v>
      </c>
      <c r="CO398" s="699">
        <f>VLOOKUP(WWWW[[#This Row],[Site Name]],SiteDB6[[Site Name]:[Lat]],12,FALSE)</f>
        <v>0</v>
      </c>
      <c r="CP398" s="699">
        <f>VLOOKUP(WWWW[[#This Row],[Site Name]],SiteDB6[[Site Name]:[Long]],13,FALSE)</f>
        <v>0</v>
      </c>
      <c r="CQ398" s="699">
        <f>VLOOKUP(WWWW[[#This Row],[Site Name]],SiteDB6[[Site Name]:[Pcode]],3,FALSE)</f>
        <v>0</v>
      </c>
      <c r="CR398" s="660" t="str">
        <f t="shared" si="11"/>
        <v>Covered</v>
      </c>
      <c r="CS398" s="660"/>
      <c r="CT398" s="24"/>
      <c r="CU398" s="24"/>
      <c r="CV398" s="24"/>
    </row>
    <row r="399" spans="1:100" ht="15.75" customHeight="1" x14ac:dyDescent="0.25">
      <c r="A399" s="833" t="s">
        <v>3206</v>
      </c>
      <c r="B399" s="206" t="s">
        <v>2808</v>
      </c>
      <c r="C399" s="206" t="s">
        <v>866</v>
      </c>
      <c r="D399" s="206" t="s">
        <v>870</v>
      </c>
      <c r="E399" s="206" t="s">
        <v>880</v>
      </c>
      <c r="F399" s="206">
        <v>44</v>
      </c>
      <c r="G399" s="209">
        <v>264</v>
      </c>
      <c r="H399" s="206">
        <v>85</v>
      </c>
      <c r="I399" s="206" t="s">
        <v>296</v>
      </c>
      <c r="J399" s="207">
        <v>43465</v>
      </c>
      <c r="K399" s="206">
        <v>0</v>
      </c>
      <c r="L399" s="132" t="s">
        <v>48</v>
      </c>
      <c r="M399" s="208">
        <v>0.6</v>
      </c>
      <c r="N399" s="208">
        <v>1</v>
      </c>
      <c r="O399" s="316">
        <v>0</v>
      </c>
      <c r="P399" s="317"/>
      <c r="Q399" s="326">
        <v>8100</v>
      </c>
      <c r="R399" s="318"/>
      <c r="S399" s="318">
        <v>12</v>
      </c>
      <c r="T399" s="318"/>
      <c r="U399" s="318">
        <v>0</v>
      </c>
      <c r="V399" s="318">
        <v>0</v>
      </c>
      <c r="W399" s="318">
        <v>0</v>
      </c>
      <c r="X399" s="318">
        <v>0</v>
      </c>
      <c r="Y399" s="318">
        <v>0</v>
      </c>
      <c r="Z399" s="318"/>
      <c r="AA399" s="310">
        <v>49</v>
      </c>
      <c r="AB399" s="310">
        <v>0</v>
      </c>
      <c r="AC399" s="66">
        <v>0</v>
      </c>
      <c r="AD399" s="66"/>
      <c r="AE399" s="310">
        <v>49</v>
      </c>
      <c r="AF399" s="310" t="s">
        <v>283</v>
      </c>
      <c r="AG399" s="311" t="s">
        <v>332</v>
      </c>
      <c r="AH399" s="311"/>
      <c r="AI399" s="310"/>
      <c r="AJ399" s="310"/>
      <c r="AK399" s="841">
        <v>0.3</v>
      </c>
      <c r="AL399" s="842" t="s">
        <v>284</v>
      </c>
      <c r="AM399" s="842">
        <v>3</v>
      </c>
      <c r="AN399" s="863">
        <v>2</v>
      </c>
      <c r="AO399" s="863">
        <v>3</v>
      </c>
      <c r="AP399" s="843">
        <v>0</v>
      </c>
      <c r="AQ399" s="843">
        <v>0</v>
      </c>
      <c r="AR399" s="843"/>
      <c r="AS399" s="843"/>
      <c r="AT399" s="843"/>
      <c r="AU399" s="843"/>
      <c r="AV399" s="844"/>
      <c r="AW399" s="208" t="str">
        <f>IFERROR(WWWW[[#This Row],['# of Water passed at source]]/WWWW[[#This Row],['# of Water tested at source]],"no test")</f>
        <v>no test</v>
      </c>
      <c r="AX399" s="211" t="str">
        <f>IFERROR(WWWW[[#This Row],['# of Water passed at HH]]/WWWW[[#This Row],['# of Water tested at HH]],"no test")</f>
        <v>no test</v>
      </c>
      <c r="AY399" s="210" t="str">
        <f>IF(AND(WWWW[[#This Row],[%of Water samples which passed at water source]]="no test",WWWW[[#This Row],[%Water samples which passed at HH]]="no test"),"No Test","Tested")</f>
        <v>No Test</v>
      </c>
      <c r="AZ39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39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399" s="211">
        <f>IF(WWWW[[#This Row],[Location Type 1]]="Village",WWWW[[#This Row],[Access to safe drinking water for Village]],WWWW[[#This Row],[Access to safe drinking water for Camp]])</f>
        <v>1</v>
      </c>
      <c r="BC399" s="209">
        <f>WWWW[[#This Row],[%Equitable and continuous access to sufficient quantity of safe drinking water]]*WWWW[[#This Row],[Total PoP ]]</f>
        <v>264</v>
      </c>
      <c r="BD399" s="211">
        <f>IF((WWWW[[#This Row],['# Existing protected/fenced ponds ]]*250)/WWWW[[#This Row],[Total PoP ]]&gt;1,1,WWWW[[#This Row],['# Existing protected/fenced ponds ]]*250/WWWW[[#This Row],[Total PoP ]])</f>
        <v>0</v>
      </c>
      <c r="BE399" s="209">
        <f>WWWW[[#This Row],[Access to unimproved water points]]*WWWW[[#This Row],[Total PoP ]]</f>
        <v>0</v>
      </c>
      <c r="BF39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39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264</v>
      </c>
      <c r="BH399" s="209">
        <f>WWWW[[#This Row],['#people Equitable and continuous access to sufficient quantity of domestic water borehole n ponds_2]]/500</f>
        <v>0.52800000000000002</v>
      </c>
      <c r="BI399" s="208">
        <f>1-WWWW[[#This Row],[%Equitable and continuous access to sufficient quantity of domestic water borehole n ponds]]</f>
        <v>0</v>
      </c>
      <c r="BJ399" s="209">
        <f>WWWW[[#This Row],[%equitable and continuous access to sufficient quantity of safe drinking and domestic water''s GAP]]*WWWW[[#This Row],[Total PoP ]]</f>
        <v>0</v>
      </c>
      <c r="BK399" s="210">
        <f>IF(WWWW[[#This Row],[Total required water points]]-WWWW[[#This Row],['#Water points coverage]]&lt;0,0,WWWW[[#This Row],[Total required water points]]-WWWW[[#This Row],['#Water points coverage]])</f>
        <v>0.47199999999999998</v>
      </c>
      <c r="BL399" s="210">
        <f>ROUND(IF(WWWW[[#This Row],[Total PoP ]]&lt;500,1,WWWW[[#This Row],[Total PoP ]]/500),0)</f>
        <v>1</v>
      </c>
      <c r="BM399" s="210">
        <f>WWWW[[#This Row],['# Existing functional latrines]]+WWWW[[#This Row],['# Existing latrines dysfunctional]]</f>
        <v>49</v>
      </c>
      <c r="BN39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399" s="352">
        <f>WWWW[[#This Row],[% people access to functioning Latrine]]*WWWW[[#This Row],[Total PoP ]]</f>
        <v>264</v>
      </c>
      <c r="BP39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399" s="209">
        <f>IF(WWWW[[#This Row],[Total required Latrines]]-WWWW[[#This Row],[Total '# of latrine]]&lt;0,0,WWWW[[#This Row],[Total required Latrines]]-WWWW[[#This Row],[Total '# of latrine]])</f>
        <v>0</v>
      </c>
      <c r="BR399" s="210">
        <f>ROUND(IF(WWWW[[#This Row],[Location Type 1]]="camp",WWWW[[#This Row],[Total PoP ]]/20,WWWW[[#This Row],[Total PoP ]]/6),0)</f>
        <v>44</v>
      </c>
      <c r="BS399" s="212">
        <f>IF(OR(WWWW[[#This Row],['# Existing latrines dysfunctional]]="",WWWW[[#This Row],['# Existing latrines dysfunctional]]=0),0,WWWW[[#This Row],['# Existing latrines dysfunctional]]/WWWW[[#This Row],[Total '# of latrine]])</f>
        <v>0</v>
      </c>
      <c r="BT39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399" s="209">
        <f>IF(500*WWWW[[#This Row],['# Hygiene Promoters ]]&gt;WWWW[[#This Row],[Total PoP ]],WWWW[[#This Row],[Total PoP ]],500*WWWW[[#This Row],['# Hygiene Promoters ]])</f>
        <v>264</v>
      </c>
      <c r="BV399" s="209">
        <f>IF(WWWW[[#This Row],[% of HH with access to Sanitary Pad]]&gt;=100%,1,0)</f>
        <v>0</v>
      </c>
      <c r="BW399" s="209">
        <f>IF(WWWW[[#This Row],[Total PoP ]]=0,0,IF(WWWW[[#This Row],['# Hygiene Promoters ]]=0,0,IF(WWWW[[#This Row],[Location Type 1]]="Village",IF(WWWW[[#This Row],[Total PoP ]]/WWWW[[#This Row],['# Hygiene Promoters ]]&lt;1000,1,0),IF(WWWW[[#This Row],[Total PoP ]]/WWWW[[#This Row],['# Hygiene Promoters ]]&lt;600,1,0))))</f>
        <v>1</v>
      </c>
      <c r="BX399" s="209">
        <f>IF(WWWW[[#This Row],[%HH with access to soap]]&gt;=100%,1,0)</f>
        <v>0</v>
      </c>
      <c r="BY399" s="209">
        <f>IF(WWWW[[#This Row],[% of HHs with access to Sanitary pad more than '#%]]+WWWW[[#This Row],[Ratio of Hyiene promoters to people less than '#]]+WWWW[[#This Row],[% of HHs with access to soap more than '#%]]&gt;=2,WWWW[[#This Row],[Total PoP ]],0)</f>
        <v>0</v>
      </c>
      <c r="BZ399" s="208">
        <f>WWWW[[#This Row],[People adopt basic personal and community hygiene practices]]/WWWW[[#This Row],[Total PoP ]]</f>
        <v>0</v>
      </c>
      <c r="CA399" s="212">
        <f>1-WWWW[[#This Row],[Hygiene Coverage%]]</f>
        <v>1</v>
      </c>
      <c r="CB399" s="211">
        <f>WWWW[[#This Row],['# people reached by regular dedicated hygiene promotion_5]]/WWWW[[#This Row],[Total PoP ]]</f>
        <v>1</v>
      </c>
      <c r="CC399" s="211">
        <f>IF(WWWW[[#This Row],['# HH received soaps]]/WWWW[[#This Row],[Total HH]]&gt;1,1,WWWW[[#This Row],['# HH received soaps]]/WWWW[[#This Row],[Total HH]])</f>
        <v>0</v>
      </c>
      <c r="CD399" s="211">
        <f>IF(WWWW[[#This Row],['# HH received Sanitary Pads]]/WWWW[[#This Row],[Total HH]]&gt;1,1,WWWW[[#This Row],['# HH received Sanitary Pads]]/WWWW[[#This Row],[Total HH]])</f>
        <v>0</v>
      </c>
      <c r="CE399" s="210">
        <f>WWWW[[#This Row],['# HH received soaps]]*5</f>
        <v>0</v>
      </c>
      <c r="CF399" s="210">
        <f>WWWW[[#This Row],['# HH received Sanitary Pads]]*5</f>
        <v>0</v>
      </c>
      <c r="CG399" s="210">
        <f>IF(WWWW[[#This Row],['# People with access to soap]]&gt;WWWW[[#This Row],['# People with access to Sanity Pads]],WWWW[[#This Row],['# People with access to soap]],WWWW[[#This Row],['# People with access to Sanity Pads]])</f>
        <v>0</v>
      </c>
      <c r="CH399" s="209">
        <f>WWWW[[#This Row],[Total HH]]*WWWW[[#This Row],[%HHs with access to functional hand washing stations]]</f>
        <v>13.2</v>
      </c>
      <c r="CI399" s="699" t="str">
        <f>VLOOKUP(WWWW[[#This Row],[Site Name]],SiteDB6[[Site Name]:[CCCM Management]],6,FALSE)</f>
        <v>Yes</v>
      </c>
      <c r="CJ399" s="699" t="str">
        <f>VLOOKUP(WWWW[[#This Row],[Site Name]],SiteDB6[[Site Name]:[CCCM Focal Agency]],7,FALSE)</f>
        <v>KBC</v>
      </c>
      <c r="CK399" s="699" t="str">
        <f>VLOOKUP(WWWW[[#This Row],[Site Name]],SiteDB6[[Site Name]:[Location Type]],8,FALSE)</f>
        <v>Camp</v>
      </c>
      <c r="CL399" s="699" t="str">
        <f>VLOOKUP(WWWW[[#This Row],[Site Name]],SiteDB6[[Site Name]:[Location Type 1]],9,FALSE)</f>
        <v>Village Type Camp</v>
      </c>
      <c r="CM399" s="699" t="str">
        <f>VLOOKUP(WWWW[[#This Row],[Site Name]],SiteDB6[[Site Name]:[Type of Accommodation]],10,FALSE)</f>
        <v>Camp</v>
      </c>
      <c r="CN399" s="699" t="str">
        <f>VLOOKUP(WWWW[[#This Row],[Site Name]],SiteDB6[[Site Name]:[Ethnic or GCA/NGCA]],11,FALSE)</f>
        <v>GCA</v>
      </c>
      <c r="CO399" s="699">
        <f>VLOOKUP(WWWW[[#This Row],[Site Name]],SiteDB6[[Site Name]:[Lat]],12,FALSE)</f>
        <v>23.400155999999999</v>
      </c>
      <c r="CP399" s="699">
        <f>VLOOKUP(WWWW[[#This Row],[Site Name]],SiteDB6[[Site Name]:[Long]],13,FALSE)</f>
        <v>98.220614999999995</v>
      </c>
      <c r="CQ399" s="699" t="str">
        <f>VLOOKUP(WWWW[[#This Row],[Site Name]],SiteDB6[[Site Name]:[Pcode]],3,FALSE)</f>
        <v>MMR015CMP006</v>
      </c>
      <c r="CR399" s="660" t="str">
        <f t="shared" si="11"/>
        <v>Covered</v>
      </c>
      <c r="CS399" s="660"/>
      <c r="CT399" s="24"/>
      <c r="CU399" s="24"/>
      <c r="CV399" s="24"/>
    </row>
    <row r="400" spans="1:100" x14ac:dyDescent="0.25">
      <c r="A400" s="833" t="s">
        <v>3206</v>
      </c>
      <c r="B400" s="206" t="s">
        <v>43</v>
      </c>
      <c r="C400" s="206" t="s">
        <v>866</v>
      </c>
      <c r="D400" s="206" t="s">
        <v>870</v>
      </c>
      <c r="E400" s="206" t="s">
        <v>875</v>
      </c>
      <c r="F400" s="206">
        <v>22</v>
      </c>
      <c r="G400" s="209">
        <v>111</v>
      </c>
      <c r="H400" s="206">
        <v>49</v>
      </c>
      <c r="I400" s="206" t="s">
        <v>872</v>
      </c>
      <c r="J400" s="207" t="s">
        <v>2528</v>
      </c>
      <c r="K400" s="206">
        <v>0</v>
      </c>
      <c r="L400" s="206" t="s">
        <v>48</v>
      </c>
      <c r="M400" s="208">
        <v>0.5</v>
      </c>
      <c r="N400" s="208">
        <v>1</v>
      </c>
      <c r="O400" s="316">
        <v>0</v>
      </c>
      <c r="P400" s="317">
        <v>0</v>
      </c>
      <c r="Q400" s="317">
        <v>5400</v>
      </c>
      <c r="R400" s="318">
        <v>1</v>
      </c>
      <c r="S400" s="318">
        <v>1</v>
      </c>
      <c r="T400" s="318"/>
      <c r="U400" s="318">
        <v>2</v>
      </c>
      <c r="V400" s="318">
        <v>0</v>
      </c>
      <c r="W400" s="318">
        <v>18</v>
      </c>
      <c r="X400" s="318">
        <v>4</v>
      </c>
      <c r="Y400" s="318">
        <v>0</v>
      </c>
      <c r="Z400" s="318"/>
      <c r="AA400" s="310">
        <v>8</v>
      </c>
      <c r="AB400" s="310">
        <v>0</v>
      </c>
      <c r="AC400" s="66">
        <v>0</v>
      </c>
      <c r="AD400" s="66" t="s">
        <v>2782</v>
      </c>
      <c r="AE400" s="310">
        <v>10</v>
      </c>
      <c r="AF400" s="310" t="s">
        <v>283</v>
      </c>
      <c r="AG400" s="311" t="s">
        <v>283</v>
      </c>
      <c r="AH400" s="311">
        <v>0</v>
      </c>
      <c r="AI400" s="310">
        <v>0</v>
      </c>
      <c r="AJ400" s="310"/>
      <c r="AK400" s="841">
        <v>1</v>
      </c>
      <c r="AL400" s="842" t="s">
        <v>376</v>
      </c>
      <c r="AM400" s="842">
        <v>0</v>
      </c>
      <c r="AN400" s="863">
        <v>2</v>
      </c>
      <c r="AO400" s="863">
        <v>2</v>
      </c>
      <c r="AP400" s="843">
        <v>0</v>
      </c>
      <c r="AQ400" s="843">
        <v>0</v>
      </c>
      <c r="AR400" s="843"/>
      <c r="AS400" s="843"/>
      <c r="AT400" s="843"/>
      <c r="AU400" s="843"/>
      <c r="AV400" s="844"/>
      <c r="AW400" s="208">
        <f>IFERROR(WWWW[[#This Row],['# of Water passed at source]]/WWWW[[#This Row],['# of Water tested at source]],"no test")</f>
        <v>0</v>
      </c>
      <c r="AX400" s="211">
        <f>IFERROR(WWWW[[#This Row],['# of Water passed at HH]]/WWWW[[#This Row],['# of Water tested at HH]],"no test")</f>
        <v>0.22222222222222221</v>
      </c>
      <c r="AY400" s="210" t="str">
        <f>IF(AND(WWWW[[#This Row],[%of Water samples which passed at water source]]="no test",WWWW[[#This Row],[%Water samples which passed at HH]]="no test"),"No Test","Tested")</f>
        <v>Tested</v>
      </c>
      <c r="AZ40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0" s="211">
        <f>IF(WWWW[[#This Row],[Location Type 1]]="Village",WWWW[[#This Row],[Access to safe drinking water for Village]],WWWW[[#This Row],[Access to safe drinking water for Camp]])</f>
        <v>1</v>
      </c>
      <c r="BC400" s="209">
        <f>WWWW[[#This Row],[%Equitable and continuous access to sufficient quantity of safe drinking water]]*WWWW[[#This Row],[Total PoP ]]</f>
        <v>111</v>
      </c>
      <c r="BD400" s="211">
        <f>IF((WWWW[[#This Row],['# Existing protected/fenced ponds ]]*250)/WWWW[[#This Row],[Total PoP ]]&gt;1,1,WWWW[[#This Row],['# Existing protected/fenced ponds ]]*250/WWWW[[#This Row],[Total PoP ]])</f>
        <v>1</v>
      </c>
      <c r="BE400" s="209">
        <f>WWWW[[#This Row],[Access to unimproved water points]]*WWWW[[#This Row],[Total PoP ]]</f>
        <v>111</v>
      </c>
      <c r="BF40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111</v>
      </c>
      <c r="BH400" s="209">
        <f>WWWW[[#This Row],['#people Equitable and continuous access to sufficient quantity of domestic water borehole n ponds_2]]/500</f>
        <v>0.222</v>
      </c>
      <c r="BI400" s="208">
        <f>1-WWWW[[#This Row],[%Equitable and continuous access to sufficient quantity of domestic water borehole n ponds]]</f>
        <v>0</v>
      </c>
      <c r="BJ400" s="209">
        <f>WWWW[[#This Row],[%equitable and continuous access to sufficient quantity of safe drinking and domestic water''s GAP]]*WWWW[[#This Row],[Total PoP ]]</f>
        <v>0</v>
      </c>
      <c r="BK400" s="210">
        <f>IF(WWWW[[#This Row],[Total required water points]]-WWWW[[#This Row],['#Water points coverage]]&lt;0,0,WWWW[[#This Row],[Total required water points]]-WWWW[[#This Row],['#Water points coverage]])</f>
        <v>0.77800000000000002</v>
      </c>
      <c r="BL400" s="210">
        <f>ROUND(IF(WWWW[[#This Row],[Total PoP ]]&lt;500,1,WWWW[[#This Row],[Total PoP ]]/500),0)</f>
        <v>1</v>
      </c>
      <c r="BM400" s="210">
        <f>WWWW[[#This Row],['# Existing functional latrines]]+WWWW[[#This Row],['# Existing latrines dysfunctional]]</f>
        <v>8</v>
      </c>
      <c r="BN40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00" s="352">
        <f>WWWW[[#This Row],[% people access to functioning Latrine]]*WWWW[[#This Row],[Total PoP ]]</f>
        <v>111</v>
      </c>
      <c r="BP40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00" s="209">
        <f>IF(WWWW[[#This Row],[Total required Latrines]]-WWWW[[#This Row],[Total '# of latrine]]&lt;0,0,WWWW[[#This Row],[Total required Latrines]]-WWWW[[#This Row],[Total '# of latrine]])</f>
        <v>0</v>
      </c>
      <c r="BR400" s="210">
        <f>ROUND(IF(WWWW[[#This Row],[Location Type 1]]="camp",WWWW[[#This Row],[Total PoP ]]/20,WWWW[[#This Row],[Total PoP ]]/6),0)</f>
        <v>6</v>
      </c>
      <c r="BS400" s="212">
        <f>IF(OR(WWWW[[#This Row],['# Existing latrines dysfunctional]]="",WWWW[[#This Row],['# Existing latrines dysfunctional]]=0),0,WWWW[[#This Row],['# Existing latrines dysfunctional]]/WWWW[[#This Row],[Total '# of latrine]])</f>
        <v>0</v>
      </c>
      <c r="BT40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0" s="209">
        <f>IF(500*WWWW[[#This Row],['# Hygiene Promoters ]]&gt;WWWW[[#This Row],[Total PoP ]],WWWW[[#This Row],[Total PoP ]],500*WWWW[[#This Row],['# Hygiene Promoters ]])</f>
        <v>111</v>
      </c>
      <c r="BV400" s="209">
        <f>IF(WWWW[[#This Row],[% of HH with access to Sanitary Pad]]&gt;=100%,1,0)</f>
        <v>0</v>
      </c>
      <c r="BW400" s="209">
        <f>IF(WWWW[[#This Row],[Total PoP ]]=0,0,IF(WWWW[[#This Row],['# Hygiene Promoters ]]=0,0,IF(WWWW[[#This Row],[Location Type 1]]="Village",IF(WWWW[[#This Row],[Total PoP ]]/WWWW[[#This Row],['# Hygiene Promoters ]]&lt;1000,1,0),IF(WWWW[[#This Row],[Total PoP ]]/WWWW[[#This Row],['# Hygiene Promoters ]]&lt;600,1,0))))</f>
        <v>1</v>
      </c>
      <c r="BX400" s="209">
        <f>IF(WWWW[[#This Row],[%HH with access to soap]]&gt;=100%,1,0)</f>
        <v>0</v>
      </c>
      <c r="BY400" s="209">
        <f>IF(WWWW[[#This Row],[% of HHs with access to Sanitary pad more than '#%]]+WWWW[[#This Row],[Ratio of Hyiene promoters to people less than '#]]+WWWW[[#This Row],[% of HHs with access to soap more than '#%]]&gt;=2,WWWW[[#This Row],[Total PoP ]],0)</f>
        <v>0</v>
      </c>
      <c r="BZ400" s="208">
        <f>WWWW[[#This Row],[People adopt basic personal and community hygiene practices]]/WWWW[[#This Row],[Total PoP ]]</f>
        <v>0</v>
      </c>
      <c r="CA400" s="212">
        <f>1-WWWW[[#This Row],[Hygiene Coverage%]]</f>
        <v>1</v>
      </c>
      <c r="CB400" s="211">
        <f>WWWW[[#This Row],['# people reached by regular dedicated hygiene promotion_5]]/WWWW[[#This Row],[Total PoP ]]</f>
        <v>1</v>
      </c>
      <c r="CC400" s="211">
        <f>IF(WWWW[[#This Row],['# HH received soaps]]/WWWW[[#This Row],[Total HH]]&gt;1,1,WWWW[[#This Row],['# HH received soaps]]/WWWW[[#This Row],[Total HH]])</f>
        <v>0</v>
      </c>
      <c r="CD400" s="211">
        <f>IF(WWWW[[#This Row],['# HH received Sanitary Pads]]/WWWW[[#This Row],[Total HH]]&gt;1,1,WWWW[[#This Row],['# HH received Sanitary Pads]]/WWWW[[#This Row],[Total HH]])</f>
        <v>0</v>
      </c>
      <c r="CE400" s="210">
        <f>WWWW[[#This Row],['# HH received soaps]]*5</f>
        <v>0</v>
      </c>
      <c r="CF400" s="210">
        <f>WWWW[[#This Row],['# HH received Sanitary Pads]]*5</f>
        <v>0</v>
      </c>
      <c r="CG400" s="210">
        <f>IF(WWWW[[#This Row],['# People with access to soap]]&gt;WWWW[[#This Row],['# People with access to Sanity Pads]],WWWW[[#This Row],['# People with access to soap]],WWWW[[#This Row],['# People with access to Sanity Pads]])</f>
        <v>0</v>
      </c>
      <c r="CH400" s="209">
        <f>WWWW[[#This Row],[Total HH]]*WWWW[[#This Row],[%HHs with access to functional hand washing stations]]</f>
        <v>22</v>
      </c>
      <c r="CI400" s="699" t="str">
        <f>VLOOKUP(WWWW[[#This Row],[Site Name]],SiteDB6[[Site Name]:[CCCM Management]],6,FALSE)</f>
        <v>Yes</v>
      </c>
      <c r="CJ400" s="699" t="str">
        <f>VLOOKUP(WWWW[[#This Row],[Site Name]],SiteDB6[[Site Name]:[CCCM Focal Agency]],7,FALSE)</f>
        <v>KMSS-LSO</v>
      </c>
      <c r="CK400" s="699" t="str">
        <f>VLOOKUP(WWWW[[#This Row],[Site Name]],SiteDB6[[Site Name]:[Location Type]],8,FALSE)</f>
        <v>Camp</v>
      </c>
      <c r="CL400" s="699" t="str">
        <f>VLOOKUP(WWWW[[#This Row],[Site Name]],SiteDB6[[Site Name]:[Location Type 1]],9,FALSE)</f>
        <v>Camp</v>
      </c>
      <c r="CM400" s="699" t="str">
        <f>VLOOKUP(WWWW[[#This Row],[Site Name]],SiteDB6[[Site Name]:[Type of Accommodation]],10,FALSE)</f>
        <v>Camp</v>
      </c>
      <c r="CN400" s="699" t="str">
        <f>VLOOKUP(WWWW[[#This Row],[Site Name]],SiteDB6[[Site Name]:[Ethnic or GCA/NGCA]],11,FALSE)</f>
        <v>GCA</v>
      </c>
      <c r="CO400" s="699">
        <f>VLOOKUP(WWWW[[#This Row],[Site Name]],SiteDB6[[Site Name]:[Lat]],12,FALSE)</f>
        <v>23.463000000000001</v>
      </c>
      <c r="CP400" s="699">
        <f>VLOOKUP(WWWW[[#This Row],[Site Name]],SiteDB6[[Site Name]:[Long]],13,FALSE)</f>
        <v>98.248999999999995</v>
      </c>
      <c r="CQ400" s="699" t="str">
        <f>VLOOKUP(WWWW[[#This Row],[Site Name]],SiteDB6[[Site Name]:[Pcode]],3,FALSE)</f>
        <v>MMR015CMP217</v>
      </c>
      <c r="CR400" s="660" t="str">
        <f t="shared" si="11"/>
        <v>Covered</v>
      </c>
      <c r="CS400" s="660"/>
    </row>
    <row r="401" spans="1:100" ht="15.75" customHeight="1" x14ac:dyDescent="0.25">
      <c r="A401" s="833" t="s">
        <v>3206</v>
      </c>
      <c r="B401" s="206" t="s">
        <v>338</v>
      </c>
      <c r="C401" s="206" t="s">
        <v>866</v>
      </c>
      <c r="D401" s="206" t="s">
        <v>870</v>
      </c>
      <c r="E401" s="206" t="s">
        <v>884</v>
      </c>
      <c r="F401" s="206">
        <v>63</v>
      </c>
      <c r="G401" s="209">
        <v>279</v>
      </c>
      <c r="H401" s="206">
        <v>134</v>
      </c>
      <c r="I401" s="206" t="s">
        <v>3257</v>
      </c>
      <c r="J401" s="207">
        <v>43343</v>
      </c>
      <c r="K401" s="206">
        <v>0</v>
      </c>
      <c r="L401" s="206" t="s">
        <v>48</v>
      </c>
      <c r="M401" s="208">
        <v>0.7</v>
      </c>
      <c r="N401" s="208">
        <v>1</v>
      </c>
      <c r="O401" s="316"/>
      <c r="P401" s="317">
        <v>1</v>
      </c>
      <c r="Q401" s="317">
        <v>15000</v>
      </c>
      <c r="R401" s="318"/>
      <c r="S401" s="318">
        <v>8</v>
      </c>
      <c r="T401" s="318"/>
      <c r="U401" s="318">
        <v>0</v>
      </c>
      <c r="V401" s="318">
        <v>0</v>
      </c>
      <c r="W401" s="318">
        <v>0</v>
      </c>
      <c r="X401" s="318">
        <v>0</v>
      </c>
      <c r="Y401" s="318">
        <v>0</v>
      </c>
      <c r="Z401" s="318"/>
      <c r="AA401" s="310">
        <v>14</v>
      </c>
      <c r="AB401" s="310">
        <v>6</v>
      </c>
      <c r="AC401" s="66">
        <v>0</v>
      </c>
      <c r="AD401" s="66"/>
      <c r="AE401" s="310">
        <v>14</v>
      </c>
      <c r="AF401" s="310" t="s">
        <v>283</v>
      </c>
      <c r="AG401" s="311" t="s">
        <v>283</v>
      </c>
      <c r="AH401" s="311">
        <v>0</v>
      </c>
      <c r="AI401" s="310">
        <v>0</v>
      </c>
      <c r="AJ401" s="310"/>
      <c r="AK401" s="841">
        <v>1</v>
      </c>
      <c r="AL401" s="842" t="s">
        <v>376</v>
      </c>
      <c r="AM401" s="842"/>
      <c r="AN401" s="863">
        <v>2</v>
      </c>
      <c r="AO401" s="863">
        <v>1</v>
      </c>
      <c r="AP401" s="843"/>
      <c r="AQ401" s="843">
        <v>0</v>
      </c>
      <c r="AR401" s="843"/>
      <c r="AS401" s="843"/>
      <c r="AT401" s="843"/>
      <c r="AU401" s="843"/>
      <c r="AV401" s="844"/>
      <c r="AW401" s="208" t="str">
        <f>IFERROR(WWWW[[#This Row],['# of Water passed at source]]/WWWW[[#This Row],['# of Water tested at source]],"no test")</f>
        <v>no test</v>
      </c>
      <c r="AX401" s="211" t="str">
        <f>IFERROR(WWWW[[#This Row],['# of Water passed at HH]]/WWWW[[#This Row],['# of Water tested at HH]],"no test")</f>
        <v>no test</v>
      </c>
      <c r="AY401" s="210" t="str">
        <f>IF(AND(WWWW[[#This Row],[%of Water samples which passed at water source]]="no test",WWWW[[#This Row],[%Water samples which passed at HH]]="no test"),"No Test","Tested")</f>
        <v>No Test</v>
      </c>
      <c r="AZ40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1" s="211">
        <f>IF(WWWW[[#This Row],[Location Type 1]]="Village",WWWW[[#This Row],[Access to safe drinking water for Village]],WWWW[[#This Row],[Access to safe drinking water for Camp]])</f>
        <v>1</v>
      </c>
      <c r="BC401" s="209">
        <f>WWWW[[#This Row],[%Equitable and continuous access to sufficient quantity of safe drinking water]]*WWWW[[#This Row],[Total PoP ]]</f>
        <v>279</v>
      </c>
      <c r="BD401" s="211">
        <f>IF((WWWW[[#This Row],['# Existing protected/fenced ponds ]]*250)/WWWW[[#This Row],[Total PoP ]]&gt;1,1,WWWW[[#This Row],['# Existing protected/fenced ponds ]]*250/WWWW[[#This Row],[Total PoP ]])</f>
        <v>0</v>
      </c>
      <c r="BE401" s="209">
        <f>WWWW[[#This Row],[Access to unimproved water points]]*WWWW[[#This Row],[Total PoP ]]</f>
        <v>0</v>
      </c>
      <c r="BF40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279</v>
      </c>
      <c r="BH401" s="209">
        <f>WWWW[[#This Row],['#people Equitable and continuous access to sufficient quantity of domestic water borehole n ponds_2]]/500</f>
        <v>0.55800000000000005</v>
      </c>
      <c r="BI401" s="208">
        <f>1-WWWW[[#This Row],[%Equitable and continuous access to sufficient quantity of domestic water borehole n ponds]]</f>
        <v>0</v>
      </c>
      <c r="BJ401" s="209">
        <f>WWWW[[#This Row],[%equitable and continuous access to sufficient quantity of safe drinking and domestic water''s GAP]]*WWWW[[#This Row],[Total PoP ]]</f>
        <v>0</v>
      </c>
      <c r="BK401" s="210">
        <f>IF(WWWW[[#This Row],[Total required water points]]-WWWW[[#This Row],['#Water points coverage]]&lt;0,0,WWWW[[#This Row],[Total required water points]]-WWWW[[#This Row],['#Water points coverage]])</f>
        <v>0.44199999999999995</v>
      </c>
      <c r="BL401" s="210">
        <f>ROUND(IF(WWWW[[#This Row],[Total PoP ]]&lt;500,1,WWWW[[#This Row],[Total PoP ]]/500),0)</f>
        <v>1</v>
      </c>
      <c r="BM401" s="210">
        <f>WWWW[[#This Row],['# Existing functional latrines]]+WWWW[[#This Row],['# Existing latrines dysfunctional]]</f>
        <v>20</v>
      </c>
      <c r="BN40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01" s="352">
        <f>WWWW[[#This Row],[% people access to functioning Latrine]]*WWWW[[#This Row],[Total PoP ]]</f>
        <v>279</v>
      </c>
      <c r="BP40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01" s="209">
        <f>IF(WWWW[[#This Row],[Total required Latrines]]-WWWW[[#This Row],[Total '# of latrine]]&lt;0,0,WWWW[[#This Row],[Total required Latrines]]-WWWW[[#This Row],[Total '# of latrine]])</f>
        <v>0</v>
      </c>
      <c r="BR401" s="210">
        <f>ROUND(IF(WWWW[[#This Row],[Location Type 1]]="camp",WWWW[[#This Row],[Total PoP ]]/20,WWWW[[#This Row],[Total PoP ]]/6),0)</f>
        <v>14</v>
      </c>
      <c r="BS401" s="212">
        <f>IF(OR(WWWW[[#This Row],['# Existing latrines dysfunctional]]="",WWWW[[#This Row],['# Existing latrines dysfunctional]]=0),0,WWWW[[#This Row],['# Existing latrines dysfunctional]]/WWWW[[#This Row],[Total '# of latrine]])</f>
        <v>0.3</v>
      </c>
      <c r="BT40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1" s="209">
        <f>IF(500*WWWW[[#This Row],['# Hygiene Promoters ]]&gt;WWWW[[#This Row],[Total PoP ]],WWWW[[#This Row],[Total PoP ]],500*WWWW[[#This Row],['# Hygiene Promoters ]])</f>
        <v>279</v>
      </c>
      <c r="BV401" s="209">
        <f>IF(WWWW[[#This Row],[% of HH with access to Sanitary Pad]]&gt;=100%,1,0)</f>
        <v>0</v>
      </c>
      <c r="BW401" s="209">
        <f>IF(WWWW[[#This Row],[Total PoP ]]=0,0,IF(WWWW[[#This Row],['# Hygiene Promoters ]]=0,0,IF(WWWW[[#This Row],[Location Type 1]]="Village",IF(WWWW[[#This Row],[Total PoP ]]/WWWW[[#This Row],['# Hygiene Promoters ]]&lt;1000,1,0),IF(WWWW[[#This Row],[Total PoP ]]/WWWW[[#This Row],['# Hygiene Promoters ]]&lt;600,1,0))))</f>
        <v>1</v>
      </c>
      <c r="BX401" s="209">
        <f>IF(WWWW[[#This Row],[%HH with access to soap]]&gt;=100%,1,0)</f>
        <v>0</v>
      </c>
      <c r="BY401" s="209">
        <f>IF(WWWW[[#This Row],[% of HHs with access to Sanitary pad more than '#%]]+WWWW[[#This Row],[Ratio of Hyiene promoters to people less than '#]]+WWWW[[#This Row],[% of HHs with access to soap more than '#%]]&gt;=2,WWWW[[#This Row],[Total PoP ]],0)</f>
        <v>0</v>
      </c>
      <c r="BZ401" s="208">
        <f>WWWW[[#This Row],[People adopt basic personal and community hygiene practices]]/WWWW[[#This Row],[Total PoP ]]</f>
        <v>0</v>
      </c>
      <c r="CA401" s="212">
        <f>1-WWWW[[#This Row],[Hygiene Coverage%]]</f>
        <v>1</v>
      </c>
      <c r="CB401" s="211">
        <f>WWWW[[#This Row],['# people reached by regular dedicated hygiene promotion_5]]/WWWW[[#This Row],[Total PoP ]]</f>
        <v>1</v>
      </c>
      <c r="CC401" s="211">
        <f>IF(WWWW[[#This Row],['# HH received soaps]]/WWWW[[#This Row],[Total HH]]&gt;1,1,WWWW[[#This Row],['# HH received soaps]]/WWWW[[#This Row],[Total HH]])</f>
        <v>0</v>
      </c>
      <c r="CD401" s="211">
        <f>IF(WWWW[[#This Row],['# HH received Sanitary Pads]]/WWWW[[#This Row],[Total HH]]&gt;1,1,WWWW[[#This Row],['# HH received Sanitary Pads]]/WWWW[[#This Row],[Total HH]])</f>
        <v>0</v>
      </c>
      <c r="CE401" s="210">
        <f>WWWW[[#This Row],['# HH received soaps]]*5</f>
        <v>0</v>
      </c>
      <c r="CF401" s="210">
        <f>WWWW[[#This Row],['# HH received Sanitary Pads]]*5</f>
        <v>0</v>
      </c>
      <c r="CG401" s="210">
        <f>IF(WWWW[[#This Row],['# People with access to soap]]&gt;WWWW[[#This Row],['# People with access to Sanity Pads]],WWWW[[#This Row],['# People with access to soap]],WWWW[[#This Row],['# People with access to Sanity Pads]])</f>
        <v>0</v>
      </c>
      <c r="CH401" s="209">
        <f>WWWW[[#This Row],[Total HH]]*WWWW[[#This Row],[%HHs with access to functional hand washing stations]]</f>
        <v>63</v>
      </c>
      <c r="CI401" s="699" t="str">
        <f>VLOOKUP(WWWW[[#This Row],[Site Name]],SiteDB6[[Site Name]:[CCCM Management]],6,FALSE)</f>
        <v>Yes</v>
      </c>
      <c r="CJ401" s="699" t="str">
        <f>VLOOKUP(WWWW[[#This Row],[Site Name]],SiteDB6[[Site Name]:[CCCM Focal Agency]],7,FALSE)</f>
        <v>KBC</v>
      </c>
      <c r="CK401" s="699" t="str">
        <f>VLOOKUP(WWWW[[#This Row],[Site Name]],SiteDB6[[Site Name]:[Location Type]],8,FALSE)</f>
        <v>Camp</v>
      </c>
      <c r="CL401" s="699" t="str">
        <f>VLOOKUP(WWWW[[#This Row],[Site Name]],SiteDB6[[Site Name]:[Location Type 1]],9,FALSE)</f>
        <v>Camp</v>
      </c>
      <c r="CM401" s="699" t="str">
        <f>VLOOKUP(WWWW[[#This Row],[Site Name]],SiteDB6[[Site Name]:[Type of Accommodation]],10,FALSE)</f>
        <v>Camp</v>
      </c>
      <c r="CN401" s="699" t="str">
        <f>VLOOKUP(WWWW[[#This Row],[Site Name]],SiteDB6[[Site Name]:[Ethnic or GCA/NGCA]],11,FALSE)</f>
        <v>GCA</v>
      </c>
      <c r="CO401" s="699">
        <f>VLOOKUP(WWWW[[#This Row],[Site Name]],SiteDB6[[Site Name]:[Lat]],12,FALSE)</f>
        <v>23.694130000000001</v>
      </c>
      <c r="CP401" s="699">
        <f>VLOOKUP(WWWW[[#This Row],[Site Name]],SiteDB6[[Site Name]:[Long]],13,FALSE)</f>
        <v>97.818979999999996</v>
      </c>
      <c r="CQ401" s="699" t="str">
        <f>VLOOKUP(WWWW[[#This Row],[Site Name]],SiteDB6[[Site Name]:[Pcode]],3,FALSE)</f>
        <v>MMR015CMP007</v>
      </c>
      <c r="CR401" s="660" t="str">
        <f t="shared" si="11"/>
        <v>Covered</v>
      </c>
      <c r="CS401" s="660"/>
      <c r="CT401" s="24"/>
      <c r="CU401" s="24"/>
      <c r="CV401" s="24"/>
    </row>
    <row r="402" spans="1:100" ht="15.75" customHeight="1" x14ac:dyDescent="0.25">
      <c r="A402" s="833" t="s">
        <v>3206</v>
      </c>
      <c r="B402" s="206" t="s">
        <v>338</v>
      </c>
      <c r="C402" s="206" t="s">
        <v>866</v>
      </c>
      <c r="D402" s="206" t="s">
        <v>870</v>
      </c>
      <c r="E402" s="206" t="s">
        <v>2958</v>
      </c>
      <c r="F402" s="206">
        <v>39</v>
      </c>
      <c r="G402" s="209">
        <v>146</v>
      </c>
      <c r="H402" s="206"/>
      <c r="I402" s="206" t="s">
        <v>3258</v>
      </c>
      <c r="J402" s="207">
        <v>43343</v>
      </c>
      <c r="K402" s="206">
        <v>0</v>
      </c>
      <c r="L402" s="206" t="s">
        <v>48</v>
      </c>
      <c r="M402" s="208">
        <v>0.5</v>
      </c>
      <c r="N402" s="208">
        <v>1</v>
      </c>
      <c r="O402" s="316"/>
      <c r="P402" s="317"/>
      <c r="Q402" s="317">
        <v>2700</v>
      </c>
      <c r="R402" s="318"/>
      <c r="S402" s="318">
        <v>3</v>
      </c>
      <c r="T402" s="318"/>
      <c r="U402" s="318">
        <v>0</v>
      </c>
      <c r="V402" s="318">
        <v>0</v>
      </c>
      <c r="W402" s="318">
        <v>0</v>
      </c>
      <c r="X402" s="318">
        <v>0</v>
      </c>
      <c r="Y402" s="318">
        <v>0</v>
      </c>
      <c r="Z402" s="318" t="s">
        <v>887</v>
      </c>
      <c r="AA402" s="310">
        <v>5</v>
      </c>
      <c r="AB402" s="310">
        <v>0</v>
      </c>
      <c r="AC402" s="66">
        <v>0</v>
      </c>
      <c r="AD402" s="66"/>
      <c r="AE402" s="310">
        <v>5</v>
      </c>
      <c r="AF402" s="310" t="s">
        <v>286</v>
      </c>
      <c r="AG402" s="311" t="s">
        <v>286</v>
      </c>
      <c r="AH402" s="311">
        <v>0</v>
      </c>
      <c r="AI402" s="310">
        <v>0</v>
      </c>
      <c r="AJ402" s="310"/>
      <c r="AK402" s="841">
        <v>0</v>
      </c>
      <c r="AL402" s="842" t="s">
        <v>284</v>
      </c>
      <c r="AM402" s="842"/>
      <c r="AN402" s="863">
        <v>0</v>
      </c>
      <c r="AO402" s="863">
        <v>1</v>
      </c>
      <c r="AP402" s="843"/>
      <c r="AQ402" s="843">
        <v>0</v>
      </c>
      <c r="AR402" s="843"/>
      <c r="AS402" s="843"/>
      <c r="AT402" s="843"/>
      <c r="AU402" s="843"/>
      <c r="AV402" s="844"/>
      <c r="AW402" s="208" t="str">
        <f>IFERROR(WWWW[[#This Row],['# of Water passed at source]]/WWWW[[#This Row],['# of Water tested at source]],"no test")</f>
        <v>no test</v>
      </c>
      <c r="AX402" s="211" t="str">
        <f>IFERROR(WWWW[[#This Row],['# of Water passed at HH]]/WWWW[[#This Row],['# of Water tested at HH]],"no test")</f>
        <v>no test</v>
      </c>
      <c r="AY402" s="210" t="str">
        <f>IF(AND(WWWW[[#This Row],[%of Water samples which passed at water source]]="no test",WWWW[[#This Row],[%Water samples which passed at HH]]="no test"),"No Test","Tested")</f>
        <v>No Test</v>
      </c>
      <c r="AZ40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2" s="211">
        <f>IF(WWWW[[#This Row],[Location Type 1]]="Village",WWWW[[#This Row],[Access to safe drinking water for Village]],WWWW[[#This Row],[Access to safe drinking water for Camp]])</f>
        <v>1</v>
      </c>
      <c r="BC402" s="209">
        <f>WWWW[[#This Row],[%Equitable and continuous access to sufficient quantity of safe drinking water]]*WWWW[[#This Row],[Total PoP ]]</f>
        <v>146</v>
      </c>
      <c r="BD402" s="211">
        <f>IF((WWWW[[#This Row],['# Existing protected/fenced ponds ]]*250)/WWWW[[#This Row],[Total PoP ]]&gt;1,1,WWWW[[#This Row],['# Existing protected/fenced ponds ]]*250/WWWW[[#This Row],[Total PoP ]])</f>
        <v>0</v>
      </c>
      <c r="BE402" s="209">
        <f>WWWW[[#This Row],[Access to unimproved water points]]*WWWW[[#This Row],[Total PoP ]]</f>
        <v>0</v>
      </c>
      <c r="BF40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146</v>
      </c>
      <c r="BH402" s="209">
        <f>WWWW[[#This Row],['#people Equitable and continuous access to sufficient quantity of domestic water borehole n ponds_2]]/500</f>
        <v>0.29199999999999998</v>
      </c>
      <c r="BI402" s="208">
        <f>1-WWWW[[#This Row],[%Equitable and continuous access to sufficient quantity of domestic water borehole n ponds]]</f>
        <v>0</v>
      </c>
      <c r="BJ402" s="209">
        <f>WWWW[[#This Row],[%equitable and continuous access to sufficient quantity of safe drinking and domestic water''s GAP]]*WWWW[[#This Row],[Total PoP ]]</f>
        <v>0</v>
      </c>
      <c r="BK402" s="210">
        <f>IF(WWWW[[#This Row],[Total required water points]]-WWWW[[#This Row],['#Water points coverage]]&lt;0,0,WWWW[[#This Row],[Total required water points]]-WWWW[[#This Row],['#Water points coverage]])</f>
        <v>0.70799999999999996</v>
      </c>
      <c r="BL402" s="210">
        <f>ROUND(IF(WWWW[[#This Row],[Total PoP ]]&lt;500,1,WWWW[[#This Row],[Total PoP ]]/500),0)</f>
        <v>1</v>
      </c>
      <c r="BM402" s="210">
        <f>WWWW[[#This Row],['# Existing functional latrines]]+WWWW[[#This Row],['# Existing latrines dysfunctional]]</f>
        <v>5</v>
      </c>
      <c r="BN40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0.68493150684931503</v>
      </c>
      <c r="BO402" s="352">
        <f>WWWW[[#This Row],[% people access to functioning Latrine]]*WWWW[[#This Row],[Total PoP ]]</f>
        <v>100</v>
      </c>
      <c r="BP40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0.27397260273972601</v>
      </c>
      <c r="BQ402" s="209">
        <f>IF(WWWW[[#This Row],[Total required Latrines]]-WWWW[[#This Row],[Total '# of latrine]]&lt;0,0,WWWW[[#This Row],[Total required Latrines]]-WWWW[[#This Row],[Total '# of latrine]])</f>
        <v>2</v>
      </c>
      <c r="BR402" s="210">
        <f>ROUND(IF(WWWW[[#This Row],[Location Type 1]]="camp",WWWW[[#This Row],[Total PoP ]]/20,WWWW[[#This Row],[Total PoP ]]/6),0)</f>
        <v>7</v>
      </c>
      <c r="BS402" s="212">
        <f>IF(OR(WWWW[[#This Row],['# Existing latrines dysfunctional]]="",WWWW[[#This Row],['# Existing latrines dysfunctional]]=0),0,WWWW[[#This Row],['# Existing latrines dysfunctional]]/WWWW[[#This Row],[Total '# of latrine]])</f>
        <v>0</v>
      </c>
      <c r="BT40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2" s="209">
        <f>IF(500*WWWW[[#This Row],['# Hygiene Promoters ]]&gt;WWWW[[#This Row],[Total PoP ]],WWWW[[#This Row],[Total PoP ]],500*WWWW[[#This Row],['# Hygiene Promoters ]])</f>
        <v>146</v>
      </c>
      <c r="BV402" s="209">
        <f>IF(WWWW[[#This Row],[% of HH with access to Sanitary Pad]]&gt;=100%,1,0)</f>
        <v>0</v>
      </c>
      <c r="BW402" s="209">
        <f>IF(WWWW[[#This Row],[Total PoP ]]=0,0,IF(WWWW[[#This Row],['# Hygiene Promoters ]]=0,0,IF(WWWW[[#This Row],[Location Type 1]]="Village",IF(WWWW[[#This Row],[Total PoP ]]/WWWW[[#This Row],['# Hygiene Promoters ]]&lt;1000,1,0),IF(WWWW[[#This Row],[Total PoP ]]/WWWW[[#This Row],['# Hygiene Promoters ]]&lt;600,1,0))))</f>
        <v>1</v>
      </c>
      <c r="BX402" s="209">
        <f>IF(WWWW[[#This Row],[%HH with access to soap]]&gt;=100%,1,0)</f>
        <v>0</v>
      </c>
      <c r="BY402" s="209">
        <f>IF(WWWW[[#This Row],[% of HHs with access to Sanitary pad more than '#%]]+WWWW[[#This Row],[Ratio of Hyiene promoters to people less than '#]]+WWWW[[#This Row],[% of HHs with access to soap more than '#%]]&gt;=2,WWWW[[#This Row],[Total PoP ]],0)</f>
        <v>0</v>
      </c>
      <c r="BZ402" s="208">
        <f>WWWW[[#This Row],[People adopt basic personal and community hygiene practices]]/WWWW[[#This Row],[Total PoP ]]</f>
        <v>0</v>
      </c>
      <c r="CA402" s="212">
        <f>1-WWWW[[#This Row],[Hygiene Coverage%]]</f>
        <v>1</v>
      </c>
      <c r="CB402" s="211">
        <f>WWWW[[#This Row],['# people reached by regular dedicated hygiene promotion_5]]/WWWW[[#This Row],[Total PoP ]]</f>
        <v>1</v>
      </c>
      <c r="CC402" s="211">
        <f>IF(WWWW[[#This Row],['# HH received soaps]]/WWWW[[#This Row],[Total HH]]&gt;1,1,WWWW[[#This Row],['# HH received soaps]]/WWWW[[#This Row],[Total HH]])</f>
        <v>0</v>
      </c>
      <c r="CD402" s="211">
        <f>IF(WWWW[[#This Row],['# HH received Sanitary Pads]]/WWWW[[#This Row],[Total HH]]&gt;1,1,WWWW[[#This Row],['# HH received Sanitary Pads]]/WWWW[[#This Row],[Total HH]])</f>
        <v>0</v>
      </c>
      <c r="CE402" s="210">
        <f>WWWW[[#This Row],['# HH received soaps]]*5</f>
        <v>0</v>
      </c>
      <c r="CF402" s="210">
        <f>WWWW[[#This Row],['# HH received Sanitary Pads]]*5</f>
        <v>0</v>
      </c>
      <c r="CG402" s="210">
        <f>IF(WWWW[[#This Row],['# People with access to soap]]&gt;WWWW[[#This Row],['# People with access to Sanity Pads]],WWWW[[#This Row],['# People with access to soap]],WWWW[[#This Row],['# People with access to Sanity Pads]])</f>
        <v>0</v>
      </c>
      <c r="CH402" s="209">
        <f>WWWW[[#This Row],[Total HH]]*WWWW[[#This Row],[%HHs with access to functional hand washing stations]]</f>
        <v>0</v>
      </c>
      <c r="CI402" s="699">
        <f>VLOOKUP(WWWW[[#This Row],[Site Name]],SiteDB6[[Site Name]:[CCCM Management]],6,FALSE)</f>
        <v>0</v>
      </c>
      <c r="CJ402" s="699" t="str">
        <f>VLOOKUP(WWWW[[#This Row],[Site Name]],SiteDB6[[Site Name]:[CCCM Focal Agency]],7,FALSE)</f>
        <v>KMSS-LSO</v>
      </c>
      <c r="CK402" s="699" t="str">
        <f>VLOOKUP(WWWW[[#This Row],[Site Name]],SiteDB6[[Site Name]:[Location Type]],8,FALSE)</f>
        <v>Camp</v>
      </c>
      <c r="CL402" s="699" t="str">
        <f>VLOOKUP(WWWW[[#This Row],[Site Name]],SiteDB6[[Site Name]:[Location Type 1]],9,FALSE)</f>
        <v>Camp</v>
      </c>
      <c r="CM402" s="699" t="str">
        <f>VLOOKUP(WWWW[[#This Row],[Site Name]],SiteDB6[[Site Name]:[Type of Accommodation]],10,FALSE)</f>
        <v>Camp</v>
      </c>
      <c r="CN402" s="699" t="str">
        <f>VLOOKUP(WWWW[[#This Row],[Site Name]],SiteDB6[[Site Name]:[Ethnic or GCA/NGCA]],11,FALSE)</f>
        <v>GCA</v>
      </c>
      <c r="CO402" s="699">
        <f>VLOOKUP(WWWW[[#This Row],[Site Name]],SiteDB6[[Site Name]:[Lat]],12,FALSE)</f>
        <v>23.682887999999998</v>
      </c>
      <c r="CP402" s="699">
        <f>VLOOKUP(WWWW[[#This Row],[Site Name]],SiteDB6[[Site Name]:[Long]],13,FALSE)</f>
        <v>97.810101000000003</v>
      </c>
      <c r="CQ402" s="699" t="str">
        <f>VLOOKUP(WWWW[[#This Row],[Site Name]],SiteDB6[[Site Name]:[Pcode]],3,FALSE)</f>
        <v>MMR015CMP225</v>
      </c>
      <c r="CR402" s="660" t="str">
        <f t="shared" si="11"/>
        <v>Covered</v>
      </c>
      <c r="CS402" s="660"/>
      <c r="CT402" s="24"/>
      <c r="CU402" s="24"/>
      <c r="CV402" s="24"/>
    </row>
    <row r="403" spans="1:100" ht="15.75" customHeight="1" x14ac:dyDescent="0.25">
      <c r="A403" s="833" t="s">
        <v>3206</v>
      </c>
      <c r="B403" s="206" t="s">
        <v>338</v>
      </c>
      <c r="C403" s="206" t="s">
        <v>866</v>
      </c>
      <c r="D403" s="206" t="s">
        <v>870</v>
      </c>
      <c r="E403" s="206" t="s">
        <v>897</v>
      </c>
      <c r="F403" s="206">
        <v>106</v>
      </c>
      <c r="G403" s="209">
        <v>635</v>
      </c>
      <c r="H403" s="206">
        <v>75</v>
      </c>
      <c r="I403" s="206" t="s">
        <v>3258</v>
      </c>
      <c r="J403" s="207">
        <v>43343</v>
      </c>
      <c r="K403" s="206">
        <v>0</v>
      </c>
      <c r="L403" s="206" t="s">
        <v>48</v>
      </c>
      <c r="M403" s="208">
        <v>0.5</v>
      </c>
      <c r="N403" s="208">
        <v>1</v>
      </c>
      <c r="O403" s="316"/>
      <c r="P403" s="317">
        <v>1</v>
      </c>
      <c r="Q403" s="317">
        <v>9600</v>
      </c>
      <c r="R403" s="318"/>
      <c r="S403" s="318">
        <v>5</v>
      </c>
      <c r="T403" s="318"/>
      <c r="U403" s="318">
        <v>0</v>
      </c>
      <c r="V403" s="318">
        <v>0</v>
      </c>
      <c r="W403" s="318">
        <v>0</v>
      </c>
      <c r="X403" s="318">
        <v>0</v>
      </c>
      <c r="Y403" s="318">
        <v>0</v>
      </c>
      <c r="Z403" s="318"/>
      <c r="AA403" s="310">
        <v>106</v>
      </c>
      <c r="AB403" s="310">
        <v>0</v>
      </c>
      <c r="AC403" s="66">
        <v>0</v>
      </c>
      <c r="AD403" s="66"/>
      <c r="AE403" s="310">
        <v>106</v>
      </c>
      <c r="AF403" s="310" t="s">
        <v>283</v>
      </c>
      <c r="AG403" s="311" t="s">
        <v>332</v>
      </c>
      <c r="AH403" s="311">
        <v>0</v>
      </c>
      <c r="AI403" s="310">
        <v>0</v>
      </c>
      <c r="AJ403" s="310"/>
      <c r="AK403" s="841">
        <v>0.4</v>
      </c>
      <c r="AL403" s="842" t="s">
        <v>376</v>
      </c>
      <c r="AM403" s="842"/>
      <c r="AN403" s="863"/>
      <c r="AO403" s="863">
        <v>1</v>
      </c>
      <c r="AP403" s="843">
        <v>0</v>
      </c>
      <c r="AQ403" s="843">
        <v>0</v>
      </c>
      <c r="AR403" s="843"/>
      <c r="AS403" s="843"/>
      <c r="AT403" s="843"/>
      <c r="AU403" s="843"/>
      <c r="AV403" s="844"/>
      <c r="AW403" s="208" t="str">
        <f>IFERROR(WWWW[[#This Row],['# of Water passed at source]]/WWWW[[#This Row],['# of Water tested at source]],"no test")</f>
        <v>no test</v>
      </c>
      <c r="AX403" s="211" t="str">
        <f>IFERROR(WWWW[[#This Row],['# of Water passed at HH]]/WWWW[[#This Row],['# of Water tested at HH]],"no test")</f>
        <v>no test</v>
      </c>
      <c r="AY403" s="210" t="str">
        <f>IF(AND(WWWW[[#This Row],[%of Water samples which passed at water source]]="no test",WWWW[[#This Row],[%Water samples which passed at HH]]="no test"),"No Test","Tested")</f>
        <v>No Test</v>
      </c>
      <c r="AZ40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3" s="211">
        <f>IF(WWWW[[#This Row],[Location Type 1]]="Village",WWWW[[#This Row],[Access to safe drinking water for Village]],WWWW[[#This Row],[Access to safe drinking water for Camp]])</f>
        <v>1</v>
      </c>
      <c r="BC403" s="209">
        <f>WWWW[[#This Row],[%Equitable and continuous access to sufficient quantity of safe drinking water]]*WWWW[[#This Row],[Total PoP ]]</f>
        <v>635</v>
      </c>
      <c r="BD403" s="211">
        <f>IF((WWWW[[#This Row],['# Existing protected/fenced ponds ]]*250)/WWWW[[#This Row],[Total PoP ]]&gt;1,1,WWWW[[#This Row],['# Existing protected/fenced ponds ]]*250/WWWW[[#This Row],[Total PoP ]])</f>
        <v>0</v>
      </c>
      <c r="BE403" s="209">
        <f>WWWW[[#This Row],[Access to unimproved water points]]*WWWW[[#This Row],[Total PoP ]]</f>
        <v>0</v>
      </c>
      <c r="BF40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635</v>
      </c>
      <c r="BH403" s="209">
        <f>WWWW[[#This Row],['#people Equitable and continuous access to sufficient quantity of domestic water borehole n ponds_2]]/500</f>
        <v>1.27</v>
      </c>
      <c r="BI403" s="208">
        <f>1-WWWW[[#This Row],[%Equitable and continuous access to sufficient quantity of domestic water borehole n ponds]]</f>
        <v>0</v>
      </c>
      <c r="BJ403" s="209">
        <f>WWWW[[#This Row],[%equitable and continuous access to sufficient quantity of safe drinking and domestic water''s GAP]]*WWWW[[#This Row],[Total PoP ]]</f>
        <v>0</v>
      </c>
      <c r="BK403" s="210">
        <f>IF(WWWW[[#This Row],[Total required water points]]-WWWW[[#This Row],['#Water points coverage]]&lt;0,0,WWWW[[#This Row],[Total required water points]]-WWWW[[#This Row],['#Water points coverage]])</f>
        <v>0</v>
      </c>
      <c r="BL403" s="210">
        <f>ROUND(IF(WWWW[[#This Row],[Total PoP ]]&lt;500,1,WWWW[[#This Row],[Total PoP ]]/500),0)</f>
        <v>1</v>
      </c>
      <c r="BM403" s="210">
        <f>WWWW[[#This Row],['# Existing functional latrines]]+WWWW[[#This Row],['# Existing latrines dysfunctional]]</f>
        <v>106</v>
      </c>
      <c r="BN40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03" s="352">
        <f>WWWW[[#This Row],[% people access to functioning Latrine]]*WWWW[[#This Row],[Total PoP ]]</f>
        <v>635</v>
      </c>
      <c r="BP40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03" s="209">
        <f>IF(WWWW[[#This Row],[Total required Latrines]]-WWWW[[#This Row],[Total '# of latrine]]&lt;0,0,WWWW[[#This Row],[Total required Latrines]]-WWWW[[#This Row],[Total '# of latrine]])</f>
        <v>0</v>
      </c>
      <c r="BR403" s="210">
        <f>ROUND(IF(WWWW[[#This Row],[Location Type 1]]="camp",WWWW[[#This Row],[Total PoP ]]/20,WWWW[[#This Row],[Total PoP ]]/6),0)</f>
        <v>106</v>
      </c>
      <c r="BS403" s="212">
        <f>IF(OR(WWWW[[#This Row],['# Existing latrines dysfunctional]]="",WWWW[[#This Row],['# Existing latrines dysfunctional]]=0),0,WWWW[[#This Row],['# Existing latrines dysfunctional]]/WWWW[[#This Row],[Total '# of latrine]])</f>
        <v>0</v>
      </c>
      <c r="BT40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3" s="209">
        <f>IF(500*WWWW[[#This Row],['# Hygiene Promoters ]]&gt;WWWW[[#This Row],[Total PoP ]],WWWW[[#This Row],[Total PoP ]],500*WWWW[[#This Row],['# Hygiene Promoters ]])</f>
        <v>500</v>
      </c>
      <c r="BV403" s="209">
        <f>IF(WWWW[[#This Row],[% of HH with access to Sanitary Pad]]&gt;=100%,1,0)</f>
        <v>0</v>
      </c>
      <c r="BW403" s="209">
        <f>IF(WWWW[[#This Row],[Total PoP ]]=0,0,IF(WWWW[[#This Row],['# Hygiene Promoters ]]=0,0,IF(WWWW[[#This Row],[Location Type 1]]="Village",IF(WWWW[[#This Row],[Total PoP ]]/WWWW[[#This Row],['# Hygiene Promoters ]]&lt;1000,1,0),IF(WWWW[[#This Row],[Total PoP ]]/WWWW[[#This Row],['# Hygiene Promoters ]]&lt;600,1,0))))</f>
        <v>0</v>
      </c>
      <c r="BX403" s="209">
        <f>IF(WWWW[[#This Row],[%HH with access to soap]]&gt;=100%,1,0)</f>
        <v>0</v>
      </c>
      <c r="BY403" s="209">
        <f>IF(WWWW[[#This Row],[% of HHs with access to Sanitary pad more than '#%]]+WWWW[[#This Row],[Ratio of Hyiene promoters to people less than '#]]+WWWW[[#This Row],[% of HHs with access to soap more than '#%]]&gt;=2,WWWW[[#This Row],[Total PoP ]],0)</f>
        <v>0</v>
      </c>
      <c r="BZ403" s="208">
        <f>WWWW[[#This Row],[People adopt basic personal and community hygiene practices]]/WWWW[[#This Row],[Total PoP ]]</f>
        <v>0</v>
      </c>
      <c r="CA403" s="212">
        <f>1-WWWW[[#This Row],[Hygiene Coverage%]]</f>
        <v>1</v>
      </c>
      <c r="CB403" s="211">
        <f>WWWW[[#This Row],['# people reached by regular dedicated hygiene promotion_5]]/WWWW[[#This Row],[Total PoP ]]</f>
        <v>0.78740157480314965</v>
      </c>
      <c r="CC403" s="211">
        <f>IF(WWWW[[#This Row],['# HH received soaps]]/WWWW[[#This Row],[Total HH]]&gt;1,1,WWWW[[#This Row],['# HH received soaps]]/WWWW[[#This Row],[Total HH]])</f>
        <v>0</v>
      </c>
      <c r="CD403" s="211">
        <f>IF(WWWW[[#This Row],['# HH received Sanitary Pads]]/WWWW[[#This Row],[Total HH]]&gt;1,1,WWWW[[#This Row],['# HH received Sanitary Pads]]/WWWW[[#This Row],[Total HH]])</f>
        <v>0</v>
      </c>
      <c r="CE403" s="210">
        <f>WWWW[[#This Row],['# HH received soaps]]*5</f>
        <v>0</v>
      </c>
      <c r="CF403" s="210">
        <f>WWWW[[#This Row],['# HH received Sanitary Pads]]*5</f>
        <v>0</v>
      </c>
      <c r="CG403" s="210">
        <f>IF(WWWW[[#This Row],['# People with access to soap]]&gt;WWWW[[#This Row],['# People with access to Sanity Pads]],WWWW[[#This Row],['# People with access to soap]],WWWW[[#This Row],['# People with access to Sanity Pads]])</f>
        <v>0</v>
      </c>
      <c r="CH403" s="209">
        <f>WWWW[[#This Row],[Total HH]]*WWWW[[#This Row],[%HHs with access to functional hand washing stations]]</f>
        <v>42.400000000000006</v>
      </c>
      <c r="CI403" s="699">
        <f>VLOOKUP(WWWW[[#This Row],[Site Name]],SiteDB6[[Site Name]:[CCCM Management]],6,FALSE)</f>
        <v>0</v>
      </c>
      <c r="CJ403" s="699" t="str">
        <f>VLOOKUP(WWWW[[#This Row],[Site Name]],SiteDB6[[Site Name]:[CCCM Focal Agency]],7,FALSE)</f>
        <v>uncovered</v>
      </c>
      <c r="CK403" s="699" t="str">
        <f>VLOOKUP(WWWW[[#This Row],[Site Name]],SiteDB6[[Site Name]:[Location Type]],8,FALSE)</f>
        <v>Camp</v>
      </c>
      <c r="CL403" s="699" t="str">
        <f>VLOOKUP(WWWW[[#This Row],[Site Name]],SiteDB6[[Site Name]:[Location Type 1]],9,FALSE)</f>
        <v>Village Type Camp</v>
      </c>
      <c r="CM403" s="699" t="str">
        <f>VLOOKUP(WWWW[[#This Row],[Site Name]],SiteDB6[[Site Name]:[Type of Accommodation]],10,FALSE)</f>
        <v>Camp like setting</v>
      </c>
      <c r="CN403" s="699" t="str">
        <f>VLOOKUP(WWWW[[#This Row],[Site Name]],SiteDB6[[Site Name]:[Ethnic or GCA/NGCA]],11,FALSE)</f>
        <v>GCA</v>
      </c>
      <c r="CO403" s="699">
        <f>VLOOKUP(WWWW[[#This Row],[Site Name]],SiteDB6[[Site Name]:[Lat]],12,FALSE)</f>
        <v>23.447111</v>
      </c>
      <c r="CP403" s="699">
        <f>VLOOKUP(WWWW[[#This Row],[Site Name]],SiteDB6[[Site Name]:[Long]],13,FALSE)</f>
        <v>97.868876999999998</v>
      </c>
      <c r="CQ403" s="699" t="str">
        <f>VLOOKUP(WWWW[[#This Row],[Site Name]],SiteDB6[[Site Name]:[Pcode]],3,FALSE)</f>
        <v>MMR015CMP219</v>
      </c>
      <c r="CR403" s="660" t="str">
        <f t="shared" si="11"/>
        <v>Covered</v>
      </c>
      <c r="CS403" s="660"/>
      <c r="CT403" s="24"/>
      <c r="CU403" s="24"/>
      <c r="CV403" s="24"/>
    </row>
    <row r="404" spans="1:100" ht="15.75" customHeight="1" x14ac:dyDescent="0.25">
      <c r="A404" s="833" t="s">
        <v>3206</v>
      </c>
      <c r="B404" s="206" t="s">
        <v>338</v>
      </c>
      <c r="C404" s="206" t="s">
        <v>866</v>
      </c>
      <c r="D404" s="206" t="s">
        <v>870</v>
      </c>
      <c r="E404" s="206" t="s">
        <v>917</v>
      </c>
      <c r="F404" s="206">
        <v>37</v>
      </c>
      <c r="G404" s="209">
        <v>192</v>
      </c>
      <c r="H404" s="206">
        <v>46</v>
      </c>
      <c r="I404" s="206" t="s">
        <v>3258</v>
      </c>
      <c r="J404" s="207">
        <v>43343</v>
      </c>
      <c r="K404" s="206"/>
      <c r="L404" s="206" t="s">
        <v>48</v>
      </c>
      <c r="M404" s="208">
        <v>0</v>
      </c>
      <c r="N404" s="208">
        <v>0</v>
      </c>
      <c r="O404" s="316"/>
      <c r="P404" s="317"/>
      <c r="Q404" s="317">
        <v>8000</v>
      </c>
      <c r="R404" s="318"/>
      <c r="S404" s="318">
        <v>4</v>
      </c>
      <c r="T404" s="318"/>
      <c r="U404" s="318"/>
      <c r="V404" s="318"/>
      <c r="W404" s="318"/>
      <c r="X404" s="318"/>
      <c r="Y404" s="318"/>
      <c r="Z404" s="318"/>
      <c r="AA404" s="310">
        <v>10</v>
      </c>
      <c r="AB404" s="310"/>
      <c r="AC404" s="66"/>
      <c r="AD404" s="66"/>
      <c r="AE404" s="310">
        <v>10</v>
      </c>
      <c r="AF404" s="310" t="s">
        <v>332</v>
      </c>
      <c r="AG404" s="311" t="s">
        <v>332</v>
      </c>
      <c r="AH404" s="311"/>
      <c r="AI404" s="310"/>
      <c r="AJ404" s="310"/>
      <c r="AK404" s="841"/>
      <c r="AL404" s="842"/>
      <c r="AM404" s="842"/>
      <c r="AN404" s="863"/>
      <c r="AO404" s="863"/>
      <c r="AP404" s="843"/>
      <c r="AQ404" s="843"/>
      <c r="AR404" s="843"/>
      <c r="AS404" s="843"/>
      <c r="AT404" s="843"/>
      <c r="AU404" s="843"/>
      <c r="AV404" s="844"/>
      <c r="AW404" s="208" t="str">
        <f>IFERROR(WWWW[[#This Row],['# of Water passed at source]]/WWWW[[#This Row],['# of Water tested at source]],"no test")</f>
        <v>no test</v>
      </c>
      <c r="AX404" s="211" t="str">
        <f>IFERROR(WWWW[[#This Row],['# of Water passed at HH]]/WWWW[[#This Row],['# of Water tested at HH]],"no test")</f>
        <v>no test</v>
      </c>
      <c r="AY404" s="210" t="str">
        <f>IF(AND(WWWW[[#This Row],[%of Water samples which passed at water source]]="no test",WWWW[[#This Row],[%Water samples which passed at HH]]="no test"),"No Test","Tested")</f>
        <v>No Test</v>
      </c>
      <c r="AZ40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4" s="211">
        <f>IF(WWWW[[#This Row],[Location Type 1]]="Village",WWWW[[#This Row],[Access to safe drinking water for Village]],WWWW[[#This Row],[Access to safe drinking water for Camp]])</f>
        <v>1</v>
      </c>
      <c r="BC404" s="209">
        <f>WWWW[[#This Row],[%Equitable and continuous access to sufficient quantity of safe drinking water]]*WWWW[[#This Row],[Total PoP ]]</f>
        <v>192</v>
      </c>
      <c r="BD404" s="211">
        <f>IF((WWWW[[#This Row],['# Existing protected/fenced ponds ]]*250)/WWWW[[#This Row],[Total PoP ]]&gt;1,1,WWWW[[#This Row],['# Existing protected/fenced ponds ]]*250/WWWW[[#This Row],[Total PoP ]])</f>
        <v>0</v>
      </c>
      <c r="BE404" s="209">
        <f>WWWW[[#This Row],[Access to unimproved water points]]*WWWW[[#This Row],[Total PoP ]]</f>
        <v>0</v>
      </c>
      <c r="BF40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192</v>
      </c>
      <c r="BH404" s="209">
        <f>WWWW[[#This Row],['#people Equitable and continuous access to sufficient quantity of domestic water borehole n ponds_2]]/500</f>
        <v>0.38400000000000001</v>
      </c>
      <c r="BI404" s="208">
        <f>1-WWWW[[#This Row],[%Equitable and continuous access to sufficient quantity of domestic water borehole n ponds]]</f>
        <v>0</v>
      </c>
      <c r="BJ404" s="209">
        <f>WWWW[[#This Row],[%equitable and continuous access to sufficient quantity of safe drinking and domestic water''s GAP]]*WWWW[[#This Row],[Total PoP ]]</f>
        <v>0</v>
      </c>
      <c r="BK404" s="210">
        <f>IF(WWWW[[#This Row],[Total required water points]]-WWWW[[#This Row],['#Water points coverage]]&lt;0,0,WWWW[[#This Row],[Total required water points]]-WWWW[[#This Row],['#Water points coverage]])</f>
        <v>0.61599999999999999</v>
      </c>
      <c r="BL404" s="210">
        <f>ROUND(IF(WWWW[[#This Row],[Total PoP ]]&lt;500,1,WWWW[[#This Row],[Total PoP ]]/500),0)</f>
        <v>1</v>
      </c>
      <c r="BM404" s="210">
        <f>WWWW[[#This Row],['# Existing functional latrines]]+WWWW[[#This Row],['# Existing latrines dysfunctional]]</f>
        <v>10</v>
      </c>
      <c r="BN40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04" s="352">
        <f>WWWW[[#This Row],[% people access to functioning Latrine]]*WWWW[[#This Row],[Total PoP ]]</f>
        <v>192</v>
      </c>
      <c r="BP40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04" s="209">
        <f>IF(WWWW[[#This Row],[Total required Latrines]]-WWWW[[#This Row],[Total '# of latrine]]&lt;0,0,WWWW[[#This Row],[Total required Latrines]]-WWWW[[#This Row],[Total '# of latrine]])</f>
        <v>0</v>
      </c>
      <c r="BR404" s="210">
        <f>ROUND(IF(WWWW[[#This Row],[Location Type 1]]="camp",WWWW[[#This Row],[Total PoP ]]/20,WWWW[[#This Row],[Total PoP ]]/6),0)</f>
        <v>10</v>
      </c>
      <c r="BS404" s="212">
        <f>IF(OR(WWWW[[#This Row],['# Existing latrines dysfunctional]]="",WWWW[[#This Row],['# Existing latrines dysfunctional]]=0),0,WWWW[[#This Row],['# Existing latrines dysfunctional]]/WWWW[[#This Row],[Total '# of latrine]])</f>
        <v>0</v>
      </c>
      <c r="BT40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4" s="209">
        <f>IF(500*WWWW[[#This Row],['# Hygiene Promoters ]]&gt;WWWW[[#This Row],[Total PoP ]],WWWW[[#This Row],[Total PoP ]],500*WWWW[[#This Row],['# Hygiene Promoters ]])</f>
        <v>0</v>
      </c>
      <c r="BV404" s="209">
        <f>IF(WWWW[[#This Row],[% of HH with access to Sanitary Pad]]&gt;=100%,1,0)</f>
        <v>0</v>
      </c>
      <c r="BW404" s="209">
        <f>IF(WWWW[[#This Row],[Total PoP ]]=0,0,IF(WWWW[[#This Row],['# Hygiene Promoters ]]=0,0,IF(WWWW[[#This Row],[Location Type 1]]="Village",IF(WWWW[[#This Row],[Total PoP ]]/WWWW[[#This Row],['# Hygiene Promoters ]]&lt;1000,1,0),IF(WWWW[[#This Row],[Total PoP ]]/WWWW[[#This Row],['# Hygiene Promoters ]]&lt;600,1,0))))</f>
        <v>0</v>
      </c>
      <c r="BX404" s="209">
        <f>IF(WWWW[[#This Row],[%HH with access to soap]]&gt;=100%,1,0)</f>
        <v>0</v>
      </c>
      <c r="BY404" s="209">
        <f>IF(WWWW[[#This Row],[% of HHs with access to Sanitary pad more than '#%]]+WWWW[[#This Row],[Ratio of Hyiene promoters to people less than '#]]+WWWW[[#This Row],[% of HHs with access to soap more than '#%]]&gt;=2,WWWW[[#This Row],[Total PoP ]],0)</f>
        <v>0</v>
      </c>
      <c r="BZ404" s="208">
        <f>WWWW[[#This Row],[People adopt basic personal and community hygiene practices]]/WWWW[[#This Row],[Total PoP ]]</f>
        <v>0</v>
      </c>
      <c r="CA404" s="212">
        <f>1-WWWW[[#This Row],[Hygiene Coverage%]]</f>
        <v>1</v>
      </c>
      <c r="CB404" s="211">
        <f>WWWW[[#This Row],['# people reached by regular dedicated hygiene promotion_5]]/WWWW[[#This Row],[Total PoP ]]</f>
        <v>0</v>
      </c>
      <c r="CC404" s="211">
        <f>IF(WWWW[[#This Row],['# HH received soaps]]/WWWW[[#This Row],[Total HH]]&gt;1,1,WWWW[[#This Row],['# HH received soaps]]/WWWW[[#This Row],[Total HH]])</f>
        <v>0</v>
      </c>
      <c r="CD404" s="211">
        <f>IF(WWWW[[#This Row],['# HH received Sanitary Pads]]/WWWW[[#This Row],[Total HH]]&gt;1,1,WWWW[[#This Row],['# HH received Sanitary Pads]]/WWWW[[#This Row],[Total HH]])</f>
        <v>0</v>
      </c>
      <c r="CE404" s="210">
        <f>WWWW[[#This Row],['# HH received soaps]]*5</f>
        <v>0</v>
      </c>
      <c r="CF404" s="210">
        <f>WWWW[[#This Row],['# HH received Sanitary Pads]]*5</f>
        <v>0</v>
      </c>
      <c r="CG404" s="210">
        <f>IF(WWWW[[#This Row],['# People with access to soap]]&gt;WWWW[[#This Row],['# People with access to Sanity Pads]],WWWW[[#This Row],['# People with access to soap]],WWWW[[#This Row],['# People with access to Sanity Pads]])</f>
        <v>0</v>
      </c>
      <c r="CH404" s="209">
        <f>WWWW[[#This Row],[Total HH]]*WWWW[[#This Row],[%HHs with access to functional hand washing stations]]</f>
        <v>0</v>
      </c>
      <c r="CI404" s="699">
        <f>VLOOKUP(WWWW[[#This Row],[Site Name]],SiteDB6[[Site Name]:[CCCM Management]],6,FALSE)</f>
        <v>0</v>
      </c>
      <c r="CJ404" s="699" t="str">
        <f>VLOOKUP(WWWW[[#This Row],[Site Name]],SiteDB6[[Site Name]:[CCCM Focal Agency]],7,FALSE)</f>
        <v>uncovered</v>
      </c>
      <c r="CK404" s="699" t="str">
        <f>VLOOKUP(WWWW[[#This Row],[Site Name]],SiteDB6[[Site Name]:[Location Type]],8,FALSE)</f>
        <v>Camp</v>
      </c>
      <c r="CL404" s="699" t="str">
        <f>VLOOKUP(WWWW[[#This Row],[Site Name]],SiteDB6[[Site Name]:[Location Type 1]],9,FALSE)</f>
        <v>Camp</v>
      </c>
      <c r="CM404" s="699" t="str">
        <f>VLOOKUP(WWWW[[#This Row],[Site Name]],SiteDB6[[Site Name]:[Type of Accommodation]],10,FALSE)</f>
        <v>Camp like setting</v>
      </c>
      <c r="CN404" s="699" t="str">
        <f>VLOOKUP(WWWW[[#This Row],[Site Name]],SiteDB6[[Site Name]:[Ethnic or GCA/NGCA]],11,FALSE)</f>
        <v>GCA</v>
      </c>
      <c r="CO404" s="699">
        <f>VLOOKUP(WWWW[[#This Row],[Site Name]],SiteDB6[[Site Name]:[Lat]],12,FALSE)</f>
        <v>0</v>
      </c>
      <c r="CP404" s="699">
        <f>VLOOKUP(WWWW[[#This Row],[Site Name]],SiteDB6[[Site Name]:[Long]],13,FALSE)</f>
        <v>0</v>
      </c>
      <c r="CQ404" s="699" t="str">
        <f>VLOOKUP(WWWW[[#This Row],[Site Name]],SiteDB6[[Site Name]:[Pcode]],3,FALSE)</f>
        <v>MMR015CMP249</v>
      </c>
      <c r="CR404" s="660" t="str">
        <f t="shared" si="11"/>
        <v>Covered</v>
      </c>
      <c r="CS404" s="660"/>
      <c r="CT404" s="24"/>
      <c r="CU404" s="24"/>
      <c r="CV404" s="24"/>
    </row>
    <row r="405" spans="1:100" ht="15.75" customHeight="1" x14ac:dyDescent="0.25">
      <c r="A405" s="833" t="s">
        <v>3206</v>
      </c>
      <c r="B405" s="206" t="s">
        <v>338</v>
      </c>
      <c r="C405" s="206" t="s">
        <v>866</v>
      </c>
      <c r="D405" s="206" t="s">
        <v>870</v>
      </c>
      <c r="E405" s="206" t="s">
        <v>893</v>
      </c>
      <c r="F405" s="206">
        <v>196</v>
      </c>
      <c r="G405" s="209">
        <v>978</v>
      </c>
      <c r="H405" s="206">
        <v>223</v>
      </c>
      <c r="I405" s="206" t="s">
        <v>3258</v>
      </c>
      <c r="J405" s="207">
        <v>43343</v>
      </c>
      <c r="K405" s="206">
        <v>0</v>
      </c>
      <c r="L405" s="206" t="s">
        <v>282</v>
      </c>
      <c r="M405" s="208">
        <v>0</v>
      </c>
      <c r="N405" s="208">
        <v>0</v>
      </c>
      <c r="O405" s="316"/>
      <c r="P405" s="317"/>
      <c r="Q405" s="317">
        <v>43200</v>
      </c>
      <c r="R405" s="318"/>
      <c r="S405" s="318">
        <v>16</v>
      </c>
      <c r="T405" s="318"/>
      <c r="U405" s="318">
        <v>0</v>
      </c>
      <c r="V405" s="318">
        <v>0</v>
      </c>
      <c r="W405" s="318">
        <v>0</v>
      </c>
      <c r="X405" s="318">
        <v>0</v>
      </c>
      <c r="Y405" s="318">
        <v>0</v>
      </c>
      <c r="Z405" s="318"/>
      <c r="AA405" s="310">
        <v>127</v>
      </c>
      <c r="AB405" s="310">
        <v>85</v>
      </c>
      <c r="AC405" s="66">
        <v>0</v>
      </c>
      <c r="AD405" s="66"/>
      <c r="AE405" s="310">
        <v>212</v>
      </c>
      <c r="AF405" s="310" t="s">
        <v>1358</v>
      </c>
      <c r="AG405" s="311" t="s">
        <v>332</v>
      </c>
      <c r="AH405" s="311">
        <v>0</v>
      </c>
      <c r="AI405" s="310">
        <v>0</v>
      </c>
      <c r="AJ405" s="310"/>
      <c r="AK405" s="841">
        <v>0.6</v>
      </c>
      <c r="AL405" s="842" t="s">
        <v>291</v>
      </c>
      <c r="AM405" s="842">
        <v>4</v>
      </c>
      <c r="AN405" s="863"/>
      <c r="AO405" s="863">
        <v>1</v>
      </c>
      <c r="AP405" s="843">
        <v>0</v>
      </c>
      <c r="AQ405" s="843">
        <v>0</v>
      </c>
      <c r="AR405" s="843"/>
      <c r="AS405" s="843"/>
      <c r="AT405" s="843"/>
      <c r="AU405" s="843"/>
      <c r="AV405" s="844"/>
      <c r="AW405" s="208" t="str">
        <f>IFERROR(WWWW[[#This Row],['# of Water passed at source]]/WWWW[[#This Row],['# of Water tested at source]],"no test")</f>
        <v>no test</v>
      </c>
      <c r="AX405" s="211" t="str">
        <f>IFERROR(WWWW[[#This Row],['# of Water passed at HH]]/WWWW[[#This Row],['# of Water tested at HH]],"no test")</f>
        <v>no test</v>
      </c>
      <c r="AY405" s="210" t="str">
        <f>IF(AND(WWWW[[#This Row],[%of Water samples which passed at water source]]="no test",WWWW[[#This Row],[%Water samples which passed at HH]]="no test"),"No Test","Tested")</f>
        <v>No Test</v>
      </c>
      <c r="AZ40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5" s="211">
        <f>IF(WWWW[[#This Row],[Location Type 1]]="Village",WWWW[[#This Row],[Access to safe drinking water for Village]],WWWW[[#This Row],[Access to safe drinking water for Camp]])</f>
        <v>1</v>
      </c>
      <c r="BC405" s="209">
        <f>WWWW[[#This Row],[%Equitable and continuous access to sufficient quantity of safe drinking water]]*WWWW[[#This Row],[Total PoP ]]</f>
        <v>978</v>
      </c>
      <c r="BD405" s="211">
        <f>IF((WWWW[[#This Row],['# Existing protected/fenced ponds ]]*250)/WWWW[[#This Row],[Total PoP ]]&gt;1,1,WWWW[[#This Row],['# Existing protected/fenced ponds ]]*250/WWWW[[#This Row],[Total PoP ]])</f>
        <v>0</v>
      </c>
      <c r="BE405" s="209">
        <f>WWWW[[#This Row],[Access to unimproved water points]]*WWWW[[#This Row],[Total PoP ]]</f>
        <v>0</v>
      </c>
      <c r="BF40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978</v>
      </c>
      <c r="BH405" s="209">
        <f>WWWW[[#This Row],['#people Equitable and continuous access to sufficient quantity of domestic water borehole n ponds_2]]/500</f>
        <v>1.956</v>
      </c>
      <c r="BI405" s="208">
        <f>1-WWWW[[#This Row],[%Equitable and continuous access to sufficient quantity of domestic water borehole n ponds]]</f>
        <v>0</v>
      </c>
      <c r="BJ405" s="209">
        <f>WWWW[[#This Row],[%equitable and continuous access to sufficient quantity of safe drinking and domestic water''s GAP]]*WWWW[[#This Row],[Total PoP ]]</f>
        <v>0</v>
      </c>
      <c r="BK405" s="210">
        <f>IF(WWWW[[#This Row],[Total required water points]]-WWWW[[#This Row],['#Water points coverage]]&lt;0,0,WWWW[[#This Row],[Total required water points]]-WWWW[[#This Row],['#Water points coverage]])</f>
        <v>4.4000000000000039E-2</v>
      </c>
      <c r="BL405" s="210">
        <f>ROUND(IF(WWWW[[#This Row],[Total PoP ]]&lt;500,1,WWWW[[#This Row],[Total PoP ]]/500),0)</f>
        <v>2</v>
      </c>
      <c r="BM405" s="210">
        <f>WWWW[[#This Row],['# Existing functional latrines]]+WWWW[[#This Row],['# Existing latrines dysfunctional]]</f>
        <v>212</v>
      </c>
      <c r="BN40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0.77914110429447858</v>
      </c>
      <c r="BO405" s="352">
        <f>WWWW[[#This Row],[% people access to functioning Latrine]]*WWWW[[#This Row],[Total PoP ]]</f>
        <v>762</v>
      </c>
      <c r="BP40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05" s="209">
        <f>IF(WWWW[[#This Row],[Total required Latrines]]-WWWW[[#This Row],[Total '# of latrine]]&lt;0,0,WWWW[[#This Row],[Total required Latrines]]-WWWW[[#This Row],[Total '# of latrine]])</f>
        <v>0</v>
      </c>
      <c r="BR405" s="210">
        <f>ROUND(IF(WWWW[[#This Row],[Location Type 1]]="camp",WWWW[[#This Row],[Total PoP ]]/20,WWWW[[#This Row],[Total PoP ]]/6),0)</f>
        <v>163</v>
      </c>
      <c r="BS405" s="212">
        <f>IF(OR(WWWW[[#This Row],['# Existing latrines dysfunctional]]="",WWWW[[#This Row],['# Existing latrines dysfunctional]]=0),0,WWWW[[#This Row],['# Existing latrines dysfunctional]]/WWWW[[#This Row],[Total '# of latrine]])</f>
        <v>0.40094339622641512</v>
      </c>
      <c r="BT40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5" s="209">
        <f>IF(500*WWWW[[#This Row],['# Hygiene Promoters ]]&gt;WWWW[[#This Row],[Total PoP ]],WWWW[[#This Row],[Total PoP ]],500*WWWW[[#This Row],['# Hygiene Promoters ]])</f>
        <v>500</v>
      </c>
      <c r="BV405" s="209">
        <f>IF(WWWW[[#This Row],[% of HH with access to Sanitary Pad]]&gt;=100%,1,0)</f>
        <v>0</v>
      </c>
      <c r="BW405" s="209">
        <f>IF(WWWW[[#This Row],[Total PoP ]]=0,0,IF(WWWW[[#This Row],['# Hygiene Promoters ]]=0,0,IF(WWWW[[#This Row],[Location Type 1]]="Village",IF(WWWW[[#This Row],[Total PoP ]]/WWWW[[#This Row],['# Hygiene Promoters ]]&lt;1000,1,0),IF(WWWW[[#This Row],[Total PoP ]]/WWWW[[#This Row],['# Hygiene Promoters ]]&lt;600,1,0))))</f>
        <v>0</v>
      </c>
      <c r="BX405" s="209">
        <f>IF(WWWW[[#This Row],[%HH with access to soap]]&gt;=100%,1,0)</f>
        <v>0</v>
      </c>
      <c r="BY405" s="209">
        <f>IF(WWWW[[#This Row],[% of HHs with access to Sanitary pad more than '#%]]+WWWW[[#This Row],[Ratio of Hyiene promoters to people less than '#]]+WWWW[[#This Row],[% of HHs with access to soap more than '#%]]&gt;=2,WWWW[[#This Row],[Total PoP ]],0)</f>
        <v>0</v>
      </c>
      <c r="BZ405" s="208">
        <f>WWWW[[#This Row],[People adopt basic personal and community hygiene practices]]/WWWW[[#This Row],[Total PoP ]]</f>
        <v>0</v>
      </c>
      <c r="CA405" s="212">
        <f>1-WWWW[[#This Row],[Hygiene Coverage%]]</f>
        <v>1</v>
      </c>
      <c r="CB405" s="211">
        <f>WWWW[[#This Row],['# people reached by regular dedicated hygiene promotion_5]]/WWWW[[#This Row],[Total PoP ]]</f>
        <v>0.5112474437627812</v>
      </c>
      <c r="CC405" s="211">
        <f>IF(WWWW[[#This Row],['# HH received soaps]]/WWWW[[#This Row],[Total HH]]&gt;1,1,WWWW[[#This Row],['# HH received soaps]]/WWWW[[#This Row],[Total HH]])</f>
        <v>0</v>
      </c>
      <c r="CD405" s="211">
        <f>IF(WWWW[[#This Row],['# HH received Sanitary Pads]]/WWWW[[#This Row],[Total HH]]&gt;1,1,WWWW[[#This Row],['# HH received Sanitary Pads]]/WWWW[[#This Row],[Total HH]])</f>
        <v>0</v>
      </c>
      <c r="CE405" s="210">
        <f>WWWW[[#This Row],['# HH received soaps]]*5</f>
        <v>0</v>
      </c>
      <c r="CF405" s="210">
        <f>WWWW[[#This Row],['# HH received Sanitary Pads]]*5</f>
        <v>0</v>
      </c>
      <c r="CG405" s="210">
        <f>IF(WWWW[[#This Row],['# People with access to soap]]&gt;WWWW[[#This Row],['# People with access to Sanity Pads]],WWWW[[#This Row],['# People with access to soap]],WWWW[[#This Row],['# People with access to Sanity Pads]])</f>
        <v>0</v>
      </c>
      <c r="CH405" s="209">
        <f>WWWW[[#This Row],[Total HH]]*WWWW[[#This Row],[%HHs with access to functional hand washing stations]]</f>
        <v>117.6</v>
      </c>
      <c r="CI405" s="699" t="str">
        <f>VLOOKUP(WWWW[[#This Row],[Site Name]],SiteDB6[[Site Name]:[CCCM Management]],6,FALSE)</f>
        <v>Yes</v>
      </c>
      <c r="CJ405" s="699" t="str">
        <f>VLOOKUP(WWWW[[#This Row],[Site Name]],SiteDB6[[Site Name]:[CCCM Focal Agency]],7,FALSE)</f>
        <v>KBC</v>
      </c>
      <c r="CK405" s="699" t="str">
        <f>VLOOKUP(WWWW[[#This Row],[Site Name]],SiteDB6[[Site Name]:[Location Type]],8,FALSE)</f>
        <v>Camp</v>
      </c>
      <c r="CL405" s="699" t="str">
        <f>VLOOKUP(WWWW[[#This Row],[Site Name]],SiteDB6[[Site Name]:[Location Type 1]],9,FALSE)</f>
        <v>Village Type Camp</v>
      </c>
      <c r="CM405" s="699" t="str">
        <f>VLOOKUP(WWWW[[#This Row],[Site Name]],SiteDB6[[Site Name]:[Type of Accommodation]],10,FALSE)</f>
        <v>Camp</v>
      </c>
      <c r="CN405" s="699" t="str">
        <f>VLOOKUP(WWWW[[#This Row],[Site Name]],SiteDB6[[Site Name]:[Ethnic or GCA/NGCA]],11,FALSE)</f>
        <v>GCA</v>
      </c>
      <c r="CO405" s="699">
        <f>VLOOKUP(WWWW[[#This Row],[Site Name]],SiteDB6[[Site Name]:[Lat]],12,FALSE)</f>
        <v>23.38503</v>
      </c>
      <c r="CP405" s="699">
        <f>VLOOKUP(WWWW[[#This Row],[Site Name]],SiteDB6[[Site Name]:[Long]],13,FALSE)</f>
        <v>97.837040000000002</v>
      </c>
      <c r="CQ405" s="699" t="str">
        <f>VLOOKUP(WWWW[[#This Row],[Site Name]],SiteDB6[[Site Name]:[Pcode]],3,FALSE)</f>
        <v>MMR015CMP020</v>
      </c>
      <c r="CR405" s="660" t="str">
        <f t="shared" si="11"/>
        <v>Covered</v>
      </c>
      <c r="CS405" s="660"/>
      <c r="CT405" s="24"/>
      <c r="CU405" s="24"/>
      <c r="CV405" s="24"/>
    </row>
    <row r="406" spans="1:100" ht="15.75" customHeight="1" x14ac:dyDescent="0.25">
      <c r="A406" s="833" t="s">
        <v>3206</v>
      </c>
      <c r="B406" s="206" t="s">
        <v>2488</v>
      </c>
      <c r="C406" s="206" t="s">
        <v>866</v>
      </c>
      <c r="D406" s="206" t="s">
        <v>870</v>
      </c>
      <c r="E406" s="206" t="s">
        <v>909</v>
      </c>
      <c r="F406" s="206">
        <v>24</v>
      </c>
      <c r="G406" s="209">
        <v>86</v>
      </c>
      <c r="H406" s="206">
        <v>20</v>
      </c>
      <c r="I406" s="206" t="s">
        <v>449</v>
      </c>
      <c r="J406" s="207">
        <v>43421</v>
      </c>
      <c r="K406" s="206"/>
      <c r="L406" s="206" t="s">
        <v>48</v>
      </c>
      <c r="M406" s="208">
        <v>0.56999999999999995</v>
      </c>
      <c r="N406" s="208">
        <v>0.43</v>
      </c>
      <c r="O406" s="316">
        <v>0</v>
      </c>
      <c r="P406" s="317">
        <v>0</v>
      </c>
      <c r="Q406" s="317">
        <v>38880</v>
      </c>
      <c r="R406" s="318">
        <v>0</v>
      </c>
      <c r="S406" s="318">
        <v>0</v>
      </c>
      <c r="T406" s="318"/>
      <c r="U406" s="318">
        <v>0</v>
      </c>
      <c r="V406" s="318">
        <v>0</v>
      </c>
      <c r="W406" s="318">
        <v>0</v>
      </c>
      <c r="X406" s="318">
        <v>0</v>
      </c>
      <c r="Y406" s="318">
        <v>0</v>
      </c>
      <c r="Z406" s="318"/>
      <c r="AA406" s="310">
        <v>6</v>
      </c>
      <c r="AB406" s="310"/>
      <c r="AC406" s="66"/>
      <c r="AD406" s="66"/>
      <c r="AE406" s="310">
        <v>6</v>
      </c>
      <c r="AF406" s="310" t="s">
        <v>332</v>
      </c>
      <c r="AG406" s="311" t="s">
        <v>332</v>
      </c>
      <c r="AH406" s="311"/>
      <c r="AI406" s="310"/>
      <c r="AJ406" s="310"/>
      <c r="AK406" s="841">
        <v>0</v>
      </c>
      <c r="AL406" s="842" t="s">
        <v>376</v>
      </c>
      <c r="AM406" s="842"/>
      <c r="AN406" s="863">
        <v>1</v>
      </c>
      <c r="AO406" s="863">
        <v>1</v>
      </c>
      <c r="AP406" s="843">
        <v>20</v>
      </c>
      <c r="AQ406" s="843">
        <v>0</v>
      </c>
      <c r="AR406" s="843"/>
      <c r="AS406" s="843"/>
      <c r="AT406" s="843"/>
      <c r="AU406" s="843"/>
      <c r="AV406" s="844"/>
      <c r="AW406" s="208" t="str">
        <f>IFERROR(WWWW[[#This Row],['# of Water passed at source]]/WWWW[[#This Row],['# of Water tested at source]],"no test")</f>
        <v>no test</v>
      </c>
      <c r="AX406" s="211" t="str">
        <f>IFERROR(WWWW[[#This Row],['# of Water passed at HH]]/WWWW[[#This Row],['# of Water tested at HH]],"no test")</f>
        <v>no test</v>
      </c>
      <c r="AY406" s="210" t="str">
        <f>IF(AND(WWWW[[#This Row],[%of Water samples which passed at water source]]="no test",WWWW[[#This Row],[%Water samples which passed at HH]]="no test"),"No Test","Tested")</f>
        <v>No Test</v>
      </c>
      <c r="AZ40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6" s="211">
        <f>IF(WWWW[[#This Row],[Location Type 1]]="Village",WWWW[[#This Row],[Access to safe drinking water for Village]],WWWW[[#This Row],[Access to safe drinking water for Camp]])</f>
        <v>1</v>
      </c>
      <c r="BC406" s="209">
        <f>WWWW[[#This Row],[%Equitable and continuous access to sufficient quantity of safe drinking water]]*WWWW[[#This Row],[Total PoP ]]</f>
        <v>86</v>
      </c>
      <c r="BD406" s="211">
        <f>IF((WWWW[[#This Row],['# Existing protected/fenced ponds ]]*250)/WWWW[[#This Row],[Total PoP ]]&gt;1,1,WWWW[[#This Row],['# Existing protected/fenced ponds ]]*250/WWWW[[#This Row],[Total PoP ]])</f>
        <v>0</v>
      </c>
      <c r="BE406" s="209">
        <f>WWWW[[#This Row],[Access to unimproved water points]]*WWWW[[#This Row],[Total PoP ]]</f>
        <v>0</v>
      </c>
      <c r="BF40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86</v>
      </c>
      <c r="BH406" s="209">
        <f>WWWW[[#This Row],['#people Equitable and continuous access to sufficient quantity of domestic water borehole n ponds_2]]/500</f>
        <v>0.17199999999999999</v>
      </c>
      <c r="BI406" s="208">
        <f>1-WWWW[[#This Row],[%Equitable and continuous access to sufficient quantity of domestic water borehole n ponds]]</f>
        <v>0</v>
      </c>
      <c r="BJ406" s="209">
        <f>WWWW[[#This Row],[%equitable and continuous access to sufficient quantity of safe drinking and domestic water''s GAP]]*WWWW[[#This Row],[Total PoP ]]</f>
        <v>0</v>
      </c>
      <c r="BK406" s="210">
        <f>IF(WWWW[[#This Row],[Total required water points]]-WWWW[[#This Row],['#Water points coverage]]&lt;0,0,WWWW[[#This Row],[Total required water points]]-WWWW[[#This Row],['#Water points coverage]])</f>
        <v>0.82800000000000007</v>
      </c>
      <c r="BL406" s="210">
        <f>ROUND(IF(WWWW[[#This Row],[Total PoP ]]&lt;500,1,WWWW[[#This Row],[Total PoP ]]/500),0)</f>
        <v>1</v>
      </c>
      <c r="BM406" s="210">
        <f>WWWW[[#This Row],['# Existing functional latrines]]+WWWW[[#This Row],['# Existing latrines dysfunctional]]</f>
        <v>6</v>
      </c>
      <c r="BN40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06" s="352">
        <f>WWWW[[#This Row],[% people access to functioning Latrine]]*WWWW[[#This Row],[Total PoP ]]</f>
        <v>86</v>
      </c>
      <c r="BP40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06" s="209">
        <f>IF(WWWW[[#This Row],[Total required Latrines]]-WWWW[[#This Row],[Total '# of latrine]]&lt;0,0,WWWW[[#This Row],[Total required Latrines]]-WWWW[[#This Row],[Total '# of latrine]])</f>
        <v>0</v>
      </c>
      <c r="BR406" s="210">
        <f>ROUND(IF(WWWW[[#This Row],[Location Type 1]]="camp",WWWW[[#This Row],[Total PoP ]]/20,WWWW[[#This Row],[Total PoP ]]/6),0)</f>
        <v>4</v>
      </c>
      <c r="BS406" s="212">
        <f>IF(OR(WWWW[[#This Row],['# Existing latrines dysfunctional]]="",WWWW[[#This Row],['# Existing latrines dysfunctional]]=0),0,WWWW[[#This Row],['# Existing latrines dysfunctional]]/WWWW[[#This Row],[Total '# of latrine]])</f>
        <v>0</v>
      </c>
      <c r="BT40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6" s="209">
        <f>IF(500*WWWW[[#This Row],['# Hygiene Promoters ]]&gt;WWWW[[#This Row],[Total PoP ]],WWWW[[#This Row],[Total PoP ]],500*WWWW[[#This Row],['# Hygiene Promoters ]])</f>
        <v>86</v>
      </c>
      <c r="BV406" s="209">
        <f>IF(WWWW[[#This Row],[% of HH with access to Sanitary Pad]]&gt;=100%,1,0)</f>
        <v>0</v>
      </c>
      <c r="BW406" s="209">
        <f>IF(WWWW[[#This Row],[Total PoP ]]=0,0,IF(WWWW[[#This Row],['# Hygiene Promoters ]]=0,0,IF(WWWW[[#This Row],[Location Type 1]]="Village",IF(WWWW[[#This Row],[Total PoP ]]/WWWW[[#This Row],['# Hygiene Promoters ]]&lt;1000,1,0),IF(WWWW[[#This Row],[Total PoP ]]/WWWW[[#This Row],['# Hygiene Promoters ]]&lt;600,1,0))))</f>
        <v>1</v>
      </c>
      <c r="BX406" s="209">
        <f>IF(WWWW[[#This Row],[%HH with access to soap]]&gt;=100%,1,0)</f>
        <v>0</v>
      </c>
      <c r="BY406" s="209">
        <f>IF(WWWW[[#This Row],[% of HHs with access to Sanitary pad more than '#%]]+WWWW[[#This Row],[Ratio of Hyiene promoters to people less than '#]]+WWWW[[#This Row],[% of HHs with access to soap more than '#%]]&gt;=2,WWWW[[#This Row],[Total PoP ]],0)</f>
        <v>0</v>
      </c>
      <c r="BZ406" s="208">
        <f>WWWW[[#This Row],[People adopt basic personal and community hygiene practices]]/WWWW[[#This Row],[Total PoP ]]</f>
        <v>0</v>
      </c>
      <c r="CA406" s="212">
        <f>1-WWWW[[#This Row],[Hygiene Coverage%]]</f>
        <v>1</v>
      </c>
      <c r="CB406" s="211">
        <f>WWWW[[#This Row],['# people reached by regular dedicated hygiene promotion_5]]/WWWW[[#This Row],[Total PoP ]]</f>
        <v>1</v>
      </c>
      <c r="CC406" s="211">
        <f>IF(WWWW[[#This Row],['# HH received soaps]]/WWWW[[#This Row],[Total HH]]&gt;1,1,WWWW[[#This Row],['# HH received soaps]]/WWWW[[#This Row],[Total HH]])</f>
        <v>0.83333333333333337</v>
      </c>
      <c r="CD406" s="211">
        <f>IF(WWWW[[#This Row],['# HH received Sanitary Pads]]/WWWW[[#This Row],[Total HH]]&gt;1,1,WWWW[[#This Row],['# HH received Sanitary Pads]]/WWWW[[#This Row],[Total HH]])</f>
        <v>0</v>
      </c>
      <c r="CE406" s="210">
        <f>WWWW[[#This Row],['# HH received soaps]]*5</f>
        <v>100</v>
      </c>
      <c r="CF406" s="210">
        <f>WWWW[[#This Row],['# HH received Sanitary Pads]]*5</f>
        <v>0</v>
      </c>
      <c r="CG406" s="210">
        <f>IF(WWWW[[#This Row],['# People with access to soap]]&gt;WWWW[[#This Row],['# People with access to Sanity Pads]],WWWW[[#This Row],['# People with access to soap]],WWWW[[#This Row],['# People with access to Sanity Pads]])</f>
        <v>100</v>
      </c>
      <c r="CH406" s="209">
        <f>WWWW[[#This Row],[Total HH]]*WWWW[[#This Row],[%HHs with access to functional hand washing stations]]</f>
        <v>0</v>
      </c>
      <c r="CI406" s="699">
        <f>VLOOKUP(WWWW[[#This Row],[Site Name]],SiteDB6[[Site Name]:[CCCM Management]],6,FALSE)</f>
        <v>0</v>
      </c>
      <c r="CJ406" s="699" t="str">
        <f>VLOOKUP(WWWW[[#This Row],[Site Name]],SiteDB6[[Site Name]:[CCCM Focal Agency]],7,FALSE)</f>
        <v>uncovered</v>
      </c>
      <c r="CK406" s="699" t="str">
        <f>VLOOKUP(WWWW[[#This Row],[Site Name]],SiteDB6[[Site Name]:[Location Type]],8,FALSE)</f>
        <v>Camp</v>
      </c>
      <c r="CL406" s="699" t="str">
        <f>VLOOKUP(WWWW[[#This Row],[Site Name]],SiteDB6[[Site Name]:[Location Type 1]],9,FALSE)</f>
        <v>Camp</v>
      </c>
      <c r="CM406" s="699" t="str">
        <f>VLOOKUP(WWWW[[#This Row],[Site Name]],SiteDB6[[Site Name]:[Type of Accommodation]],10,FALSE)</f>
        <v>Camp like setting</v>
      </c>
      <c r="CN406" s="699" t="str">
        <f>VLOOKUP(WWWW[[#This Row],[Site Name]],SiteDB6[[Site Name]:[Ethnic or GCA/NGCA]],11,FALSE)</f>
        <v>GCA</v>
      </c>
      <c r="CO406" s="699">
        <f>VLOOKUP(WWWW[[#This Row],[Site Name]],SiteDB6[[Site Name]:[Lat]],12,FALSE)</f>
        <v>0</v>
      </c>
      <c r="CP406" s="699">
        <f>VLOOKUP(WWWW[[#This Row],[Site Name]],SiteDB6[[Site Name]:[Long]],13,FALSE)</f>
        <v>0</v>
      </c>
      <c r="CQ406" s="699" t="str">
        <f>VLOOKUP(WWWW[[#This Row],[Site Name]],SiteDB6[[Site Name]:[Pcode]],3,FALSE)</f>
        <v>MMR015CMP246</v>
      </c>
      <c r="CR406" s="660" t="str">
        <f t="shared" si="11"/>
        <v>Covered</v>
      </c>
      <c r="CS406" s="660"/>
      <c r="CT406" s="24"/>
      <c r="CU406" s="24"/>
      <c r="CV406" s="24"/>
    </row>
    <row r="407" spans="1:100" ht="15.75" customHeight="1" x14ac:dyDescent="0.25">
      <c r="A407" s="833" t="s">
        <v>3206</v>
      </c>
      <c r="B407" s="206" t="s">
        <v>2899</v>
      </c>
      <c r="C407" s="206" t="s">
        <v>866</v>
      </c>
      <c r="D407" s="206" t="s">
        <v>873</v>
      </c>
      <c r="E407" s="206" t="s">
        <v>903</v>
      </c>
      <c r="F407" s="206">
        <v>33</v>
      </c>
      <c r="G407" s="209">
        <v>147</v>
      </c>
      <c r="H407" s="206"/>
      <c r="I407" s="206" t="s">
        <v>2902</v>
      </c>
      <c r="J407" s="207" t="s">
        <v>3219</v>
      </c>
      <c r="K407" s="206">
        <v>0</v>
      </c>
      <c r="L407" s="132" t="s">
        <v>48</v>
      </c>
      <c r="M407" s="208">
        <v>0.5</v>
      </c>
      <c r="N407" s="208">
        <v>1</v>
      </c>
      <c r="O407" s="316"/>
      <c r="P407" s="317">
        <v>1</v>
      </c>
      <c r="Q407" s="326">
        <v>6750</v>
      </c>
      <c r="R407" s="318"/>
      <c r="S407" s="318">
        <v>6</v>
      </c>
      <c r="T407" s="318"/>
      <c r="U407" s="318">
        <v>0</v>
      </c>
      <c r="V407" s="318">
        <v>0</v>
      </c>
      <c r="W407" s="318">
        <v>0</v>
      </c>
      <c r="X407" s="318">
        <v>0</v>
      </c>
      <c r="Y407" s="318">
        <v>0</v>
      </c>
      <c r="Z407" s="318"/>
      <c r="AA407" s="310">
        <v>18</v>
      </c>
      <c r="AB407" s="310">
        <v>0</v>
      </c>
      <c r="AC407" s="66">
        <v>0</v>
      </c>
      <c r="AD407" s="66"/>
      <c r="AE407" s="310">
        <v>18</v>
      </c>
      <c r="AF407" s="310" t="s">
        <v>283</v>
      </c>
      <c r="AG407" s="311" t="s">
        <v>283</v>
      </c>
      <c r="AH407" s="311">
        <v>0</v>
      </c>
      <c r="AI407" s="310">
        <v>0</v>
      </c>
      <c r="AJ407" s="310"/>
      <c r="AK407" s="841">
        <v>0.6</v>
      </c>
      <c r="AL407" s="842" t="s">
        <v>376</v>
      </c>
      <c r="AM407" s="842"/>
      <c r="AN407" s="863">
        <v>5</v>
      </c>
      <c r="AO407" s="863">
        <v>2</v>
      </c>
      <c r="AP407" s="843">
        <v>0</v>
      </c>
      <c r="AQ407" s="843">
        <v>0</v>
      </c>
      <c r="AR407" s="843"/>
      <c r="AS407" s="843"/>
      <c r="AT407" s="843"/>
      <c r="AU407" s="843"/>
      <c r="AV407" s="844"/>
      <c r="AW407" s="208" t="str">
        <f>IFERROR(WWWW[[#This Row],['# of Water passed at source]]/WWWW[[#This Row],['# of Water tested at source]],"no test")</f>
        <v>no test</v>
      </c>
      <c r="AX407" s="211" t="str">
        <f>IFERROR(WWWW[[#This Row],['# of Water passed at HH]]/WWWW[[#This Row],['# of Water tested at HH]],"no test")</f>
        <v>no test</v>
      </c>
      <c r="AY407" s="210" t="str">
        <f>IF(AND(WWWW[[#This Row],[%of Water samples which passed at water source]]="no test",WWWW[[#This Row],[%Water samples which passed at HH]]="no test"),"No Test","Tested")</f>
        <v>No Test</v>
      </c>
      <c r="AZ40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7" s="211">
        <f>IF(WWWW[[#This Row],[Location Type 1]]="Village",WWWW[[#This Row],[Access to safe drinking water for Village]],WWWW[[#This Row],[Access to safe drinking water for Camp]])</f>
        <v>1</v>
      </c>
      <c r="BC407" s="209">
        <f>WWWW[[#This Row],[%Equitable and continuous access to sufficient quantity of safe drinking water]]*WWWW[[#This Row],[Total PoP ]]</f>
        <v>147</v>
      </c>
      <c r="BD407" s="211">
        <f>IF((WWWW[[#This Row],['# Existing protected/fenced ponds ]]*250)/WWWW[[#This Row],[Total PoP ]]&gt;1,1,WWWW[[#This Row],['# Existing protected/fenced ponds ]]*250/WWWW[[#This Row],[Total PoP ]])</f>
        <v>0</v>
      </c>
      <c r="BE407" s="209">
        <f>WWWW[[#This Row],[Access to unimproved water points]]*WWWW[[#This Row],[Total PoP ]]</f>
        <v>0</v>
      </c>
      <c r="BF40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147</v>
      </c>
      <c r="BH407" s="209">
        <f>WWWW[[#This Row],['#people Equitable and continuous access to sufficient quantity of domestic water borehole n ponds_2]]/500</f>
        <v>0.29399999999999998</v>
      </c>
      <c r="BI407" s="208">
        <f>1-WWWW[[#This Row],[%Equitable and continuous access to sufficient quantity of domestic water borehole n ponds]]</f>
        <v>0</v>
      </c>
      <c r="BJ407" s="209">
        <f>WWWW[[#This Row],[%equitable and continuous access to sufficient quantity of safe drinking and domestic water''s GAP]]*WWWW[[#This Row],[Total PoP ]]</f>
        <v>0</v>
      </c>
      <c r="BK407" s="210">
        <f>IF(WWWW[[#This Row],[Total required water points]]-WWWW[[#This Row],['#Water points coverage]]&lt;0,0,WWWW[[#This Row],[Total required water points]]-WWWW[[#This Row],['#Water points coverage]])</f>
        <v>0.70599999999999996</v>
      </c>
      <c r="BL407" s="210">
        <f>ROUND(IF(WWWW[[#This Row],[Total PoP ]]&lt;500,1,WWWW[[#This Row],[Total PoP ]]/500),0)</f>
        <v>1</v>
      </c>
      <c r="BM407" s="210">
        <f>WWWW[[#This Row],['# Existing functional latrines]]+WWWW[[#This Row],['# Existing latrines dysfunctional]]</f>
        <v>18</v>
      </c>
      <c r="BN40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07" s="352">
        <f>WWWW[[#This Row],[% people access to functioning Latrine]]*WWWW[[#This Row],[Total PoP ]]</f>
        <v>147</v>
      </c>
      <c r="BP40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07" s="209">
        <f>IF(WWWW[[#This Row],[Total required Latrines]]-WWWW[[#This Row],[Total '# of latrine]]&lt;0,0,WWWW[[#This Row],[Total required Latrines]]-WWWW[[#This Row],[Total '# of latrine]])</f>
        <v>0</v>
      </c>
      <c r="BR407" s="210">
        <f>ROUND(IF(WWWW[[#This Row],[Location Type 1]]="camp",WWWW[[#This Row],[Total PoP ]]/20,WWWW[[#This Row],[Total PoP ]]/6),0)</f>
        <v>7</v>
      </c>
      <c r="BS407" s="212">
        <f>IF(OR(WWWW[[#This Row],['# Existing latrines dysfunctional]]="",WWWW[[#This Row],['# Existing latrines dysfunctional]]=0),0,WWWW[[#This Row],['# Existing latrines dysfunctional]]/WWWW[[#This Row],[Total '# of latrine]])</f>
        <v>0</v>
      </c>
      <c r="BT40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7" s="209">
        <f>IF(500*WWWW[[#This Row],['# Hygiene Promoters ]]&gt;WWWW[[#This Row],[Total PoP ]],WWWW[[#This Row],[Total PoP ]],500*WWWW[[#This Row],['# Hygiene Promoters ]])</f>
        <v>147</v>
      </c>
      <c r="BV407" s="209">
        <f>IF(WWWW[[#This Row],[% of HH with access to Sanitary Pad]]&gt;=100%,1,0)</f>
        <v>0</v>
      </c>
      <c r="BW407" s="209">
        <f>IF(WWWW[[#This Row],[Total PoP ]]=0,0,IF(WWWW[[#This Row],['# Hygiene Promoters ]]=0,0,IF(WWWW[[#This Row],[Location Type 1]]="Village",IF(WWWW[[#This Row],[Total PoP ]]/WWWW[[#This Row],['# Hygiene Promoters ]]&lt;1000,1,0),IF(WWWW[[#This Row],[Total PoP ]]/WWWW[[#This Row],['# Hygiene Promoters ]]&lt;600,1,0))))</f>
        <v>1</v>
      </c>
      <c r="BX407" s="209">
        <f>IF(WWWW[[#This Row],[%HH with access to soap]]&gt;=100%,1,0)</f>
        <v>0</v>
      </c>
      <c r="BY407" s="209">
        <f>IF(WWWW[[#This Row],[% of HHs with access to Sanitary pad more than '#%]]+WWWW[[#This Row],[Ratio of Hyiene promoters to people less than '#]]+WWWW[[#This Row],[% of HHs with access to soap more than '#%]]&gt;=2,WWWW[[#This Row],[Total PoP ]],0)</f>
        <v>0</v>
      </c>
      <c r="BZ407" s="208">
        <f>WWWW[[#This Row],[People adopt basic personal and community hygiene practices]]/WWWW[[#This Row],[Total PoP ]]</f>
        <v>0</v>
      </c>
      <c r="CA407" s="212">
        <f>1-WWWW[[#This Row],[Hygiene Coverage%]]</f>
        <v>1</v>
      </c>
      <c r="CB407" s="211">
        <f>WWWW[[#This Row],['# people reached by regular dedicated hygiene promotion_5]]/WWWW[[#This Row],[Total PoP ]]</f>
        <v>1</v>
      </c>
      <c r="CC407" s="211">
        <f>IF(WWWW[[#This Row],['# HH received soaps]]/WWWW[[#This Row],[Total HH]]&gt;1,1,WWWW[[#This Row],['# HH received soaps]]/WWWW[[#This Row],[Total HH]])</f>
        <v>0</v>
      </c>
      <c r="CD407" s="211">
        <f>IF(WWWW[[#This Row],['# HH received Sanitary Pads]]/WWWW[[#This Row],[Total HH]]&gt;1,1,WWWW[[#This Row],['# HH received Sanitary Pads]]/WWWW[[#This Row],[Total HH]])</f>
        <v>0</v>
      </c>
      <c r="CE407" s="210">
        <f>WWWW[[#This Row],['# HH received soaps]]*5</f>
        <v>0</v>
      </c>
      <c r="CF407" s="210">
        <f>WWWW[[#This Row],['# HH received Sanitary Pads]]*5</f>
        <v>0</v>
      </c>
      <c r="CG407" s="210">
        <f>IF(WWWW[[#This Row],['# People with access to soap]]&gt;WWWW[[#This Row],['# People with access to Sanity Pads]],WWWW[[#This Row],['# People with access to soap]],WWWW[[#This Row],['# People with access to Sanity Pads]])</f>
        <v>0</v>
      </c>
      <c r="CH407" s="209">
        <f>WWWW[[#This Row],[Total HH]]*WWWW[[#This Row],[%HHs with access to functional hand washing stations]]</f>
        <v>19.8</v>
      </c>
      <c r="CI407" s="699" t="str">
        <f>VLOOKUP(WWWW[[#This Row],[Site Name]],SiteDB6[[Site Name]:[CCCM Management]],6,FALSE)</f>
        <v>Yes</v>
      </c>
      <c r="CJ407" s="699" t="str">
        <f>VLOOKUP(WWWW[[#This Row],[Site Name]],SiteDB6[[Site Name]:[CCCM Focal Agency]],7,FALSE)</f>
        <v>KBC</v>
      </c>
      <c r="CK407" s="699" t="str">
        <f>VLOOKUP(WWWW[[#This Row],[Site Name]],SiteDB6[[Site Name]:[Location Type]],8,FALSE)</f>
        <v>Camp</v>
      </c>
      <c r="CL407" s="699" t="str">
        <f>VLOOKUP(WWWW[[#This Row],[Site Name]],SiteDB6[[Site Name]:[Location Type 1]],9,FALSE)</f>
        <v>Camp</v>
      </c>
      <c r="CM407" s="699" t="str">
        <f>VLOOKUP(WWWW[[#This Row],[Site Name]],SiteDB6[[Site Name]:[Type of Accommodation]],10,FALSE)</f>
        <v>Camp</v>
      </c>
      <c r="CN407" s="699" t="str">
        <f>VLOOKUP(WWWW[[#This Row],[Site Name]],SiteDB6[[Site Name]:[Ethnic or GCA/NGCA]],11,FALSE)</f>
        <v>GCA</v>
      </c>
      <c r="CO407" s="699">
        <f>VLOOKUP(WWWW[[#This Row],[Site Name]],SiteDB6[[Site Name]:[Lat]],12,FALSE)</f>
        <v>23.250678000000001</v>
      </c>
      <c r="CP407" s="699">
        <f>VLOOKUP(WWWW[[#This Row],[Site Name]],SiteDB6[[Site Name]:[Long]],13,FALSE)</f>
        <v>97.124403000000001</v>
      </c>
      <c r="CQ407" s="699" t="str">
        <f>VLOOKUP(WWWW[[#This Row],[Site Name]],SiteDB6[[Site Name]:[Pcode]],3,FALSE)</f>
        <v>MMR015CMP009</v>
      </c>
      <c r="CR407" s="660" t="str">
        <f t="shared" si="11"/>
        <v>Covered</v>
      </c>
      <c r="CS407" s="660"/>
      <c r="CT407" s="24"/>
      <c r="CU407" s="24"/>
      <c r="CV407" s="24"/>
    </row>
    <row r="408" spans="1:100" ht="15.75" customHeight="1" x14ac:dyDescent="0.25">
      <c r="A408" s="833" t="s">
        <v>3206</v>
      </c>
      <c r="B408" s="206" t="s">
        <v>43</v>
      </c>
      <c r="C408" s="206" t="s">
        <v>866</v>
      </c>
      <c r="D408" s="206" t="s">
        <v>873</v>
      </c>
      <c r="E408" s="206" t="s">
        <v>874</v>
      </c>
      <c r="F408" s="206">
        <v>30</v>
      </c>
      <c r="G408" s="209">
        <v>171</v>
      </c>
      <c r="H408" s="206">
        <v>60</v>
      </c>
      <c r="I408" s="206" t="s">
        <v>872</v>
      </c>
      <c r="J408" s="207">
        <v>43465</v>
      </c>
      <c r="K408" s="206">
        <v>0</v>
      </c>
      <c r="L408" s="206" t="s">
        <v>48</v>
      </c>
      <c r="M408" s="208">
        <v>0.75</v>
      </c>
      <c r="N408" s="208">
        <v>1</v>
      </c>
      <c r="O408" s="316">
        <v>0</v>
      </c>
      <c r="P408" s="317">
        <v>1</v>
      </c>
      <c r="Q408" s="317">
        <v>7200</v>
      </c>
      <c r="R408" s="318">
        <v>1</v>
      </c>
      <c r="S408" s="318">
        <v>2</v>
      </c>
      <c r="T408" s="318"/>
      <c r="U408" s="318">
        <v>2</v>
      </c>
      <c r="V408" s="318">
        <v>0</v>
      </c>
      <c r="W408" s="318">
        <v>18</v>
      </c>
      <c r="X408" s="318">
        <v>3</v>
      </c>
      <c r="Y408" s="318">
        <v>0</v>
      </c>
      <c r="Z408" s="318"/>
      <c r="AA408" s="310">
        <v>8</v>
      </c>
      <c r="AB408" s="310">
        <v>0</v>
      </c>
      <c r="AC408" s="66">
        <v>0</v>
      </c>
      <c r="AD408" s="66" t="s">
        <v>2782</v>
      </c>
      <c r="AE408" s="310">
        <v>10</v>
      </c>
      <c r="AF408" s="310" t="s">
        <v>283</v>
      </c>
      <c r="AG408" s="311" t="s">
        <v>1358</v>
      </c>
      <c r="AH408" s="311">
        <v>4</v>
      </c>
      <c r="AI408" s="310">
        <v>0</v>
      </c>
      <c r="AJ408" s="310"/>
      <c r="AK408" s="841">
        <v>1</v>
      </c>
      <c r="AL408" s="842" t="s">
        <v>376</v>
      </c>
      <c r="AM408" s="842">
        <v>0</v>
      </c>
      <c r="AN408" s="863">
        <v>2</v>
      </c>
      <c r="AO408" s="863">
        <v>2</v>
      </c>
      <c r="AP408" s="843">
        <v>29</v>
      </c>
      <c r="AQ408" s="843">
        <v>0</v>
      </c>
      <c r="AR408" s="843"/>
      <c r="AS408" s="843"/>
      <c r="AT408" s="843"/>
      <c r="AU408" s="843"/>
      <c r="AV408" s="844"/>
      <c r="AW408" s="208">
        <f>IFERROR(WWWW[[#This Row],['# of Water passed at source]]/WWWW[[#This Row],['# of Water tested at source]],"no test")</f>
        <v>0</v>
      </c>
      <c r="AX408" s="211">
        <f>IFERROR(WWWW[[#This Row],['# of Water passed at HH]]/WWWW[[#This Row],['# of Water tested at HH]],"no test")</f>
        <v>0.16666666666666666</v>
      </c>
      <c r="AY408" s="210" t="str">
        <f>IF(AND(WWWW[[#This Row],[%of Water samples which passed at water source]]="no test",WWWW[[#This Row],[%Water samples which passed at HH]]="no test"),"No Test","Tested")</f>
        <v>Tested</v>
      </c>
      <c r="AZ40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0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08" s="211">
        <f>IF(WWWW[[#This Row],[Location Type 1]]="Village",WWWW[[#This Row],[Access to safe drinking water for Village]],WWWW[[#This Row],[Access to safe drinking water for Camp]])</f>
        <v>1</v>
      </c>
      <c r="BC408" s="209">
        <f>WWWW[[#This Row],[%Equitable and continuous access to sufficient quantity of safe drinking water]]*WWWW[[#This Row],[Total PoP ]]</f>
        <v>171</v>
      </c>
      <c r="BD408" s="211">
        <f>IF((WWWW[[#This Row],['# Existing protected/fenced ponds ]]*250)/WWWW[[#This Row],[Total PoP ]]&gt;1,1,WWWW[[#This Row],['# Existing protected/fenced ponds ]]*250/WWWW[[#This Row],[Total PoP ]])</f>
        <v>1</v>
      </c>
      <c r="BE408" s="209">
        <f>WWWW[[#This Row],[Access to unimproved water points]]*WWWW[[#This Row],[Total PoP ]]</f>
        <v>171</v>
      </c>
      <c r="BF40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0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171</v>
      </c>
      <c r="BH408" s="209">
        <f>WWWW[[#This Row],['#people Equitable and continuous access to sufficient quantity of domestic water borehole n ponds_2]]/500</f>
        <v>0.34200000000000003</v>
      </c>
      <c r="BI408" s="208">
        <f>1-WWWW[[#This Row],[%Equitable and continuous access to sufficient quantity of domestic water borehole n ponds]]</f>
        <v>0</v>
      </c>
      <c r="BJ408" s="209">
        <f>WWWW[[#This Row],[%equitable and continuous access to sufficient quantity of safe drinking and domestic water''s GAP]]*WWWW[[#This Row],[Total PoP ]]</f>
        <v>0</v>
      </c>
      <c r="BK408" s="210">
        <f>IF(WWWW[[#This Row],[Total required water points]]-WWWW[[#This Row],['#Water points coverage]]&lt;0,0,WWWW[[#This Row],[Total required water points]]-WWWW[[#This Row],['#Water points coverage]])</f>
        <v>0.65799999999999992</v>
      </c>
      <c r="BL408" s="210">
        <f>ROUND(IF(WWWW[[#This Row],[Total PoP ]]&lt;500,1,WWWW[[#This Row],[Total PoP ]]/500),0)</f>
        <v>1</v>
      </c>
      <c r="BM408" s="210">
        <f>WWWW[[#This Row],['# Existing functional latrines]]+WWWW[[#This Row],['# Existing latrines dysfunctional]]</f>
        <v>8</v>
      </c>
      <c r="BN40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0.93567251461988299</v>
      </c>
      <c r="BO408" s="352">
        <f>WWWW[[#This Row],[% people access to functioning Latrine]]*WWWW[[#This Row],[Total PoP ]]</f>
        <v>160</v>
      </c>
      <c r="BP40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0.11695906432748537</v>
      </c>
      <c r="BQ408" s="209">
        <f>IF(WWWW[[#This Row],[Total required Latrines]]-WWWW[[#This Row],[Total '# of latrine]]&lt;0,0,WWWW[[#This Row],[Total required Latrines]]-WWWW[[#This Row],[Total '# of latrine]])</f>
        <v>1</v>
      </c>
      <c r="BR408" s="210">
        <f>ROUND(IF(WWWW[[#This Row],[Location Type 1]]="camp",WWWW[[#This Row],[Total PoP ]]/20,WWWW[[#This Row],[Total PoP ]]/6),0)</f>
        <v>9</v>
      </c>
      <c r="BS408" s="212">
        <f>IF(OR(WWWW[[#This Row],['# Existing latrines dysfunctional]]="",WWWW[[#This Row],['# Existing latrines dysfunctional]]=0),0,WWWW[[#This Row],['# Existing latrines dysfunctional]]/WWWW[[#This Row],[Total '# of latrine]])</f>
        <v>0</v>
      </c>
      <c r="BT40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8" s="209">
        <f>IF(500*WWWW[[#This Row],['# Hygiene Promoters ]]&gt;WWWW[[#This Row],[Total PoP ]],WWWW[[#This Row],[Total PoP ]],500*WWWW[[#This Row],['# Hygiene Promoters ]])</f>
        <v>171</v>
      </c>
      <c r="BV408" s="209">
        <f>IF(WWWW[[#This Row],[% of HH with access to Sanitary Pad]]&gt;=100%,1,0)</f>
        <v>0</v>
      </c>
      <c r="BW408" s="209">
        <f>IF(WWWW[[#This Row],[Total PoP ]]=0,0,IF(WWWW[[#This Row],['# Hygiene Promoters ]]=0,0,IF(WWWW[[#This Row],[Location Type 1]]="Village",IF(WWWW[[#This Row],[Total PoP ]]/WWWW[[#This Row],['# Hygiene Promoters ]]&lt;1000,1,0),IF(WWWW[[#This Row],[Total PoP ]]/WWWW[[#This Row],['# Hygiene Promoters ]]&lt;600,1,0))))</f>
        <v>1</v>
      </c>
      <c r="BX408" s="209">
        <f>IF(WWWW[[#This Row],[%HH with access to soap]]&gt;=100%,1,0)</f>
        <v>0</v>
      </c>
      <c r="BY408" s="209">
        <f>IF(WWWW[[#This Row],[% of HHs with access to Sanitary pad more than '#%]]+WWWW[[#This Row],[Ratio of Hyiene promoters to people less than '#]]+WWWW[[#This Row],[% of HHs with access to soap more than '#%]]&gt;=2,WWWW[[#This Row],[Total PoP ]],0)</f>
        <v>0</v>
      </c>
      <c r="BZ408" s="208">
        <f>WWWW[[#This Row],[People adopt basic personal and community hygiene practices]]/WWWW[[#This Row],[Total PoP ]]</f>
        <v>0</v>
      </c>
      <c r="CA408" s="212">
        <f>1-WWWW[[#This Row],[Hygiene Coverage%]]</f>
        <v>1</v>
      </c>
      <c r="CB408" s="211">
        <f>WWWW[[#This Row],['# people reached by regular dedicated hygiene promotion_5]]/WWWW[[#This Row],[Total PoP ]]</f>
        <v>1</v>
      </c>
      <c r="CC408" s="211">
        <f>IF(WWWW[[#This Row],['# HH received soaps]]/WWWW[[#This Row],[Total HH]]&gt;1,1,WWWW[[#This Row],['# HH received soaps]]/WWWW[[#This Row],[Total HH]])</f>
        <v>0.96666666666666667</v>
      </c>
      <c r="CD408" s="211">
        <f>IF(WWWW[[#This Row],['# HH received Sanitary Pads]]/WWWW[[#This Row],[Total HH]]&gt;1,1,WWWW[[#This Row],['# HH received Sanitary Pads]]/WWWW[[#This Row],[Total HH]])</f>
        <v>0</v>
      </c>
      <c r="CE408" s="210">
        <f>WWWW[[#This Row],['# HH received soaps]]*5</f>
        <v>145</v>
      </c>
      <c r="CF408" s="210">
        <f>WWWW[[#This Row],['# HH received Sanitary Pads]]*5</f>
        <v>0</v>
      </c>
      <c r="CG408" s="210">
        <f>IF(WWWW[[#This Row],['# People with access to soap]]&gt;WWWW[[#This Row],['# People with access to Sanity Pads]],WWWW[[#This Row],['# People with access to soap]],WWWW[[#This Row],['# People with access to Sanity Pads]])</f>
        <v>145</v>
      </c>
      <c r="CH408" s="209">
        <f>WWWW[[#This Row],[Total HH]]*WWWW[[#This Row],[%HHs with access to functional hand washing stations]]</f>
        <v>30</v>
      </c>
      <c r="CI408" s="699" t="str">
        <f>VLOOKUP(WWWW[[#This Row],[Site Name]],SiteDB6[[Site Name]:[CCCM Management]],6,FALSE)</f>
        <v>Yes</v>
      </c>
      <c r="CJ408" s="699" t="str">
        <f>VLOOKUP(WWWW[[#This Row],[Site Name]],SiteDB6[[Site Name]:[CCCM Focal Agency]],7,FALSE)</f>
        <v>KMSS-LSO</v>
      </c>
      <c r="CK408" s="699" t="str">
        <f>VLOOKUP(WWWW[[#This Row],[Site Name]],SiteDB6[[Site Name]:[Location Type]],8,FALSE)</f>
        <v>Camp</v>
      </c>
      <c r="CL408" s="699" t="str">
        <f>VLOOKUP(WWWW[[#This Row],[Site Name]],SiteDB6[[Site Name]:[Location Type 1]],9,FALSE)</f>
        <v>Camp</v>
      </c>
      <c r="CM408" s="699" t="str">
        <f>VLOOKUP(WWWW[[#This Row],[Site Name]],SiteDB6[[Site Name]:[Type of Accommodation]],10,FALSE)</f>
        <v>Camp</v>
      </c>
      <c r="CN408" s="699" t="str">
        <f>VLOOKUP(WWWW[[#This Row],[Site Name]],SiteDB6[[Site Name]:[Ethnic or GCA/NGCA]],11,FALSE)</f>
        <v>GCA</v>
      </c>
      <c r="CO408" s="699">
        <f>VLOOKUP(WWWW[[#This Row],[Site Name]],SiteDB6[[Site Name]:[Lat]],12,FALSE)</f>
        <v>23.24661</v>
      </c>
      <c r="CP408" s="699">
        <f>VLOOKUP(WWWW[[#This Row],[Site Name]],SiteDB6[[Site Name]:[Long]],13,FALSE)</f>
        <v>97.116680000000002</v>
      </c>
      <c r="CQ408" s="699" t="str">
        <f>VLOOKUP(WWWW[[#This Row],[Site Name]],SiteDB6[[Site Name]:[Pcode]],3,FALSE)</f>
        <v>MMR015CMP209</v>
      </c>
      <c r="CR408" s="660" t="str">
        <f t="shared" si="11"/>
        <v>Covered</v>
      </c>
      <c r="CS408" s="660"/>
      <c r="CT408" s="24"/>
      <c r="CU408" s="24"/>
      <c r="CV408" s="24"/>
    </row>
    <row r="409" spans="1:100" ht="15.75" customHeight="1" x14ac:dyDescent="0.25">
      <c r="A409" s="833" t="s">
        <v>3206</v>
      </c>
      <c r="B409" s="206" t="s">
        <v>338</v>
      </c>
      <c r="C409" s="206" t="s">
        <v>866</v>
      </c>
      <c r="D409" s="206" t="s">
        <v>876</v>
      </c>
      <c r="E409" s="206" t="s">
        <v>910</v>
      </c>
      <c r="F409" s="206">
        <v>146</v>
      </c>
      <c r="G409" s="209">
        <v>494</v>
      </c>
      <c r="H409" s="206"/>
      <c r="I409" s="206" t="s">
        <v>3258</v>
      </c>
      <c r="J409" s="207">
        <v>43343</v>
      </c>
      <c r="K409" s="206"/>
      <c r="L409" s="206" t="s">
        <v>282</v>
      </c>
      <c r="M409" s="208">
        <v>0</v>
      </c>
      <c r="N409" s="208">
        <v>0</v>
      </c>
      <c r="O409" s="316"/>
      <c r="P409" s="317"/>
      <c r="Q409" s="317"/>
      <c r="R409" s="318"/>
      <c r="S409" s="318"/>
      <c r="T409" s="318"/>
      <c r="U409" s="318"/>
      <c r="V409" s="318"/>
      <c r="W409" s="318"/>
      <c r="X409" s="318"/>
      <c r="Y409" s="318"/>
      <c r="Z409" s="318"/>
      <c r="AA409" s="310">
        <v>0</v>
      </c>
      <c r="AB409" s="310"/>
      <c r="AC409" s="66"/>
      <c r="AD409" s="66"/>
      <c r="AE409" s="310"/>
      <c r="AF409" s="310" t="s">
        <v>286</v>
      </c>
      <c r="AG409" s="311" t="s">
        <v>286</v>
      </c>
      <c r="AH409" s="311"/>
      <c r="AI409" s="310"/>
      <c r="AJ409" s="310"/>
      <c r="AK409" s="841"/>
      <c r="AL409" s="842"/>
      <c r="AM409" s="842"/>
      <c r="AN409" s="863"/>
      <c r="AO409" s="863"/>
      <c r="AP409" s="843"/>
      <c r="AQ409" s="843"/>
      <c r="AR409" s="843"/>
      <c r="AS409" s="843"/>
      <c r="AT409" s="843"/>
      <c r="AU409" s="843"/>
      <c r="AV409" s="844"/>
      <c r="AW409" s="208" t="str">
        <f>IFERROR(WWWW[[#This Row],['# of Water passed at source]]/WWWW[[#This Row],['# of Water tested at source]],"no test")</f>
        <v>no test</v>
      </c>
      <c r="AX409" s="211" t="str">
        <f>IFERROR(WWWW[[#This Row],['# of Water passed at HH]]/WWWW[[#This Row],['# of Water tested at HH]],"no test")</f>
        <v>no test</v>
      </c>
      <c r="AY409" s="210" t="str">
        <f>IF(AND(WWWW[[#This Row],[%of Water samples which passed at water source]]="no test",WWWW[[#This Row],[%Water samples which passed at HH]]="no test"),"No Test","Tested")</f>
        <v>No Test</v>
      </c>
      <c r="AZ40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40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409" s="211">
        <f>IF(WWWW[[#This Row],[Location Type 1]]="Village",WWWW[[#This Row],[Access to safe drinking water for Village]],WWWW[[#This Row],[Access to safe drinking water for Camp]])</f>
        <v>0</v>
      </c>
      <c r="BC409" s="209">
        <f>WWWW[[#This Row],[%Equitable and continuous access to sufficient quantity of safe drinking water]]*WWWW[[#This Row],[Total PoP ]]</f>
        <v>0</v>
      </c>
      <c r="BD409" s="211">
        <f>IF((WWWW[[#This Row],['# Existing protected/fenced ponds ]]*250)/WWWW[[#This Row],[Total PoP ]]&gt;1,1,WWWW[[#This Row],['# Existing protected/fenced ponds ]]*250/WWWW[[#This Row],[Total PoP ]])</f>
        <v>0</v>
      </c>
      <c r="BE409" s="209">
        <f>WWWW[[#This Row],[Access to unimproved water points]]*WWWW[[#This Row],[Total PoP ]]</f>
        <v>0</v>
      </c>
      <c r="BF40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40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409" s="209">
        <f>WWWW[[#This Row],['#people Equitable and continuous access to sufficient quantity of domestic water borehole n ponds_2]]/500</f>
        <v>0</v>
      </c>
      <c r="BI409" s="208">
        <f>1-WWWW[[#This Row],[%Equitable and continuous access to sufficient quantity of domestic water borehole n ponds]]</f>
        <v>1</v>
      </c>
      <c r="BJ409" s="209">
        <f>WWWW[[#This Row],[%equitable and continuous access to sufficient quantity of safe drinking and domestic water''s GAP]]*WWWW[[#This Row],[Total PoP ]]</f>
        <v>494</v>
      </c>
      <c r="BK409" s="210">
        <f>IF(WWWW[[#This Row],[Total required water points]]-WWWW[[#This Row],['#Water points coverage]]&lt;0,0,WWWW[[#This Row],[Total required water points]]-WWWW[[#This Row],['#Water points coverage]])</f>
        <v>1</v>
      </c>
      <c r="BL409" s="210">
        <f>ROUND(IF(WWWW[[#This Row],[Total PoP ]]&lt;500,1,WWWW[[#This Row],[Total PoP ]]/500),0)</f>
        <v>1</v>
      </c>
      <c r="BM409" s="210">
        <f>WWWW[[#This Row],['# Existing functional latrines]]+WWWW[[#This Row],['# Existing latrines dysfunctional]]</f>
        <v>0</v>
      </c>
      <c r="BN40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409" s="352">
        <f>WWWW[[#This Row],[% people access to functioning Latrine]]*WWWW[[#This Row],[Total PoP ]]</f>
        <v>0</v>
      </c>
      <c r="BP40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Q409" s="209">
        <f>IF(WWWW[[#This Row],[Total required Latrines]]-WWWW[[#This Row],[Total '# of latrine]]&lt;0,0,WWWW[[#This Row],[Total required Latrines]]-WWWW[[#This Row],[Total '# of latrine]])</f>
        <v>25</v>
      </c>
      <c r="BR409" s="210">
        <f>ROUND(IF(WWWW[[#This Row],[Location Type 1]]="camp",WWWW[[#This Row],[Total PoP ]]/20,WWWW[[#This Row],[Total PoP ]]/6),0)</f>
        <v>25</v>
      </c>
      <c r="BS409" s="212">
        <f>IF(OR(WWWW[[#This Row],['# Existing latrines dysfunctional]]="",WWWW[[#This Row],['# Existing latrines dysfunctional]]=0),0,WWWW[[#This Row],['# Existing latrines dysfunctional]]/WWWW[[#This Row],[Total '# of latrine]])</f>
        <v>0</v>
      </c>
      <c r="BT40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09" s="209">
        <f>IF(500*WWWW[[#This Row],['# Hygiene Promoters ]]&gt;WWWW[[#This Row],[Total PoP ]],WWWW[[#This Row],[Total PoP ]],500*WWWW[[#This Row],['# Hygiene Promoters ]])</f>
        <v>0</v>
      </c>
      <c r="BV409" s="209">
        <f>IF(WWWW[[#This Row],[% of HH with access to Sanitary Pad]]&gt;=100%,1,0)</f>
        <v>0</v>
      </c>
      <c r="BW409" s="209">
        <f>IF(WWWW[[#This Row],[Total PoP ]]=0,0,IF(WWWW[[#This Row],['# Hygiene Promoters ]]=0,0,IF(WWWW[[#This Row],[Location Type 1]]="Village",IF(WWWW[[#This Row],[Total PoP ]]/WWWW[[#This Row],['# Hygiene Promoters ]]&lt;1000,1,0),IF(WWWW[[#This Row],[Total PoP ]]/WWWW[[#This Row],['# Hygiene Promoters ]]&lt;600,1,0))))</f>
        <v>0</v>
      </c>
      <c r="BX409" s="209">
        <f>IF(WWWW[[#This Row],[%HH with access to soap]]&gt;=100%,1,0)</f>
        <v>0</v>
      </c>
      <c r="BY409" s="209">
        <f>IF(WWWW[[#This Row],[% of HHs with access to Sanitary pad more than '#%]]+WWWW[[#This Row],[Ratio of Hyiene promoters to people less than '#]]+WWWW[[#This Row],[% of HHs with access to soap more than '#%]]&gt;=2,WWWW[[#This Row],[Total PoP ]],0)</f>
        <v>0</v>
      </c>
      <c r="BZ409" s="208">
        <f>WWWW[[#This Row],[People adopt basic personal and community hygiene practices]]/WWWW[[#This Row],[Total PoP ]]</f>
        <v>0</v>
      </c>
      <c r="CA409" s="212">
        <f>1-WWWW[[#This Row],[Hygiene Coverage%]]</f>
        <v>1</v>
      </c>
      <c r="CB409" s="211">
        <f>WWWW[[#This Row],['# people reached by regular dedicated hygiene promotion_5]]/WWWW[[#This Row],[Total PoP ]]</f>
        <v>0</v>
      </c>
      <c r="CC409" s="211">
        <f>IF(WWWW[[#This Row],['# HH received soaps]]/WWWW[[#This Row],[Total HH]]&gt;1,1,WWWW[[#This Row],['# HH received soaps]]/WWWW[[#This Row],[Total HH]])</f>
        <v>0</v>
      </c>
      <c r="CD409" s="211">
        <f>IF(WWWW[[#This Row],['# HH received Sanitary Pads]]/WWWW[[#This Row],[Total HH]]&gt;1,1,WWWW[[#This Row],['# HH received Sanitary Pads]]/WWWW[[#This Row],[Total HH]])</f>
        <v>0</v>
      </c>
      <c r="CE409" s="210">
        <f>WWWW[[#This Row],['# HH received soaps]]*5</f>
        <v>0</v>
      </c>
      <c r="CF409" s="210">
        <f>WWWW[[#This Row],['# HH received Sanitary Pads]]*5</f>
        <v>0</v>
      </c>
      <c r="CG409" s="210">
        <f>IF(WWWW[[#This Row],['# People with access to soap]]&gt;WWWW[[#This Row],['# People with access to Sanity Pads]],WWWW[[#This Row],['# People with access to soap]],WWWW[[#This Row],['# People with access to Sanity Pads]])</f>
        <v>0</v>
      </c>
      <c r="CH409" s="209">
        <f>WWWW[[#This Row],[Total HH]]*WWWW[[#This Row],[%HHs with access to functional hand washing stations]]</f>
        <v>0</v>
      </c>
      <c r="CI409" s="699" t="str">
        <f>VLOOKUP(WWWW[[#This Row],[Site Name]],SiteDB6[[Site Name]:[CCCM Management]],6,FALSE)</f>
        <v>Yes</v>
      </c>
      <c r="CJ409" s="699" t="str">
        <f>VLOOKUP(WWWW[[#This Row],[Site Name]],SiteDB6[[Site Name]:[CCCM Focal Agency]],7,FALSE)</f>
        <v>KBC</v>
      </c>
      <c r="CK409" s="699" t="str">
        <f>VLOOKUP(WWWW[[#This Row],[Site Name]],SiteDB6[[Site Name]:[Location Type]],8,FALSE)</f>
        <v>Camp</v>
      </c>
      <c r="CL409" s="699" t="str">
        <f>VLOOKUP(WWWW[[#This Row],[Site Name]],SiteDB6[[Site Name]:[Location Type 1]],9,FALSE)</f>
        <v>Camp</v>
      </c>
      <c r="CM409" s="699" t="str">
        <f>VLOOKUP(WWWW[[#This Row],[Site Name]],SiteDB6[[Site Name]:[Type of Accommodation]],10,FALSE)</f>
        <v>Camp</v>
      </c>
      <c r="CN409" s="699" t="str">
        <f>VLOOKUP(WWWW[[#This Row],[Site Name]],SiteDB6[[Site Name]:[Ethnic or GCA/NGCA]],11,FALSE)</f>
        <v>GCA</v>
      </c>
      <c r="CO409" s="699">
        <f>VLOOKUP(WWWW[[#This Row],[Site Name]],SiteDB6[[Site Name]:[Lat]],12,FALSE)</f>
        <v>24.08738</v>
      </c>
      <c r="CP409" s="699">
        <f>VLOOKUP(WWWW[[#This Row],[Site Name]],SiteDB6[[Site Name]:[Long]],13,FALSE)</f>
        <v>98.115809999999996</v>
      </c>
      <c r="CQ409" s="699" t="str">
        <f>VLOOKUP(WWWW[[#This Row],[Site Name]],SiteDB6[[Site Name]:[Pcode]],3,FALSE)</f>
        <v>MMR015CMP247</v>
      </c>
      <c r="CR409" s="660" t="str">
        <f t="shared" si="11"/>
        <v>Covered</v>
      </c>
      <c r="CS409" s="660"/>
      <c r="CT409" s="24"/>
      <c r="CU409" s="24"/>
      <c r="CV409" s="24"/>
    </row>
    <row r="410" spans="1:100" ht="15.75" customHeight="1" x14ac:dyDescent="0.25">
      <c r="A410" s="833" t="s">
        <v>3206</v>
      </c>
      <c r="B410" s="206" t="s">
        <v>338</v>
      </c>
      <c r="C410" s="206" t="s">
        <v>866</v>
      </c>
      <c r="D410" s="206" t="s">
        <v>876</v>
      </c>
      <c r="E410" s="868" t="s">
        <v>914</v>
      </c>
      <c r="F410" s="206">
        <v>154</v>
      </c>
      <c r="G410" s="209">
        <v>779</v>
      </c>
      <c r="H410" s="206">
        <v>124</v>
      </c>
      <c r="I410" s="206" t="s">
        <v>447</v>
      </c>
      <c r="J410" s="207">
        <v>43799</v>
      </c>
      <c r="K410" s="206">
        <v>0</v>
      </c>
      <c r="L410" s="206" t="s">
        <v>48</v>
      </c>
      <c r="M410" s="208">
        <v>0.5</v>
      </c>
      <c r="N410" s="208">
        <v>0.8</v>
      </c>
      <c r="O410" s="316">
        <v>0</v>
      </c>
      <c r="P410" s="317">
        <v>1</v>
      </c>
      <c r="Q410" s="317"/>
      <c r="R410" s="318"/>
      <c r="S410" s="318">
        <v>0</v>
      </c>
      <c r="T410" s="318"/>
      <c r="U410" s="318">
        <v>0</v>
      </c>
      <c r="V410" s="318">
        <v>0</v>
      </c>
      <c r="W410" s="318">
        <v>0</v>
      </c>
      <c r="X410" s="318">
        <v>0</v>
      </c>
      <c r="Y410" s="318">
        <v>0</v>
      </c>
      <c r="Z410" s="318"/>
      <c r="AA410" s="310">
        <v>60</v>
      </c>
      <c r="AB410" s="310">
        <v>0</v>
      </c>
      <c r="AC410" s="66">
        <v>0</v>
      </c>
      <c r="AD410" s="66"/>
      <c r="AE410" s="310">
        <v>0</v>
      </c>
      <c r="AF410" s="310" t="s">
        <v>283</v>
      </c>
      <c r="AG410" s="311" t="s">
        <v>283</v>
      </c>
      <c r="AH410" s="311"/>
      <c r="AI410" s="310"/>
      <c r="AJ410" s="310"/>
      <c r="AK410" s="841">
        <v>1</v>
      </c>
      <c r="AL410" s="842" t="s">
        <v>376</v>
      </c>
      <c r="AM410" s="842">
        <v>0</v>
      </c>
      <c r="AN410" s="863">
        <v>11</v>
      </c>
      <c r="AO410" s="863">
        <v>3</v>
      </c>
      <c r="AP410" s="843">
        <v>0</v>
      </c>
      <c r="AQ410" s="843">
        <v>0</v>
      </c>
      <c r="AR410" s="843"/>
      <c r="AS410" s="843"/>
      <c r="AT410" s="843"/>
      <c r="AU410" s="843"/>
      <c r="AV410" s="844"/>
      <c r="AW410" s="208" t="str">
        <f>IFERROR(WWWW[[#This Row],['# of Water passed at source]]/WWWW[[#This Row],['# of Water tested at source]],"no test")</f>
        <v>no test</v>
      </c>
      <c r="AX410" s="211" t="str">
        <f>IFERROR(WWWW[[#This Row],['# of Water passed at HH]]/WWWW[[#This Row],['# of Water tested at HH]],"no test")</f>
        <v>no test</v>
      </c>
      <c r="AY410" s="210" t="str">
        <f>IF(AND(WWWW[[#This Row],[%of Water samples which passed at water source]]="no test",WWWW[[#This Row],[%Water samples which passed at HH]]="no test"),"No Test","Tested")</f>
        <v>No Test</v>
      </c>
      <c r="AZ41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0.3209242618741977</v>
      </c>
      <c r="BB410" s="211">
        <f>IF(WWWW[[#This Row],[Location Type 1]]="Village",WWWW[[#This Row],[Access to safe drinking water for Village]],WWWW[[#This Row],[Access to safe drinking water for Camp]])</f>
        <v>1</v>
      </c>
      <c r="BC410" s="209">
        <f>WWWW[[#This Row],[%Equitable and continuous access to sufficient quantity of safe drinking water]]*WWWW[[#This Row],[Total PoP ]]</f>
        <v>779</v>
      </c>
      <c r="BD410" s="211">
        <f>IF((WWWW[[#This Row],['# Existing protected/fenced ponds ]]*250)/WWWW[[#This Row],[Total PoP ]]&gt;1,1,WWWW[[#This Row],['# Existing protected/fenced ponds ]]*250/WWWW[[#This Row],[Total PoP ]])</f>
        <v>0</v>
      </c>
      <c r="BE410" s="209">
        <f>WWWW[[#This Row],[Access to unimproved water points]]*WWWW[[#This Row],[Total PoP ]]</f>
        <v>0</v>
      </c>
      <c r="BF41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779</v>
      </c>
      <c r="BH410" s="209">
        <f>WWWW[[#This Row],['#people Equitable and continuous access to sufficient quantity of domestic water borehole n ponds_2]]/500</f>
        <v>1.5580000000000001</v>
      </c>
      <c r="BI410" s="208">
        <f>1-WWWW[[#This Row],[%Equitable and continuous access to sufficient quantity of domestic water borehole n ponds]]</f>
        <v>0</v>
      </c>
      <c r="BJ410" s="209">
        <f>WWWW[[#This Row],[%equitable and continuous access to sufficient quantity of safe drinking and domestic water''s GAP]]*WWWW[[#This Row],[Total PoP ]]</f>
        <v>0</v>
      </c>
      <c r="BK410" s="210">
        <f>IF(WWWW[[#This Row],[Total required water points]]-WWWW[[#This Row],['#Water points coverage]]&lt;0,0,WWWW[[#This Row],[Total required water points]]-WWWW[[#This Row],['#Water points coverage]])</f>
        <v>0.44199999999999995</v>
      </c>
      <c r="BL410" s="210">
        <f>ROUND(IF(WWWW[[#This Row],[Total PoP ]]&lt;500,1,WWWW[[#This Row],[Total PoP ]]/500),0)</f>
        <v>2</v>
      </c>
      <c r="BM410" s="210">
        <f>WWWW[[#This Row],['# Existing functional latrines]]+WWWW[[#This Row],['# Existing latrines dysfunctional]]</f>
        <v>60</v>
      </c>
      <c r="BN41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10" s="352">
        <f>WWWW[[#This Row],[% people access to functioning Latrine]]*WWWW[[#This Row],[Total PoP ]]</f>
        <v>779</v>
      </c>
      <c r="BP41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10" s="209">
        <f>IF(WWWW[[#This Row],[Total required Latrines]]-WWWW[[#This Row],[Total '# of latrine]]&lt;0,0,WWWW[[#This Row],[Total required Latrines]]-WWWW[[#This Row],[Total '# of latrine]])</f>
        <v>0</v>
      </c>
      <c r="BR410" s="210">
        <f>ROUND(IF(WWWW[[#This Row],[Location Type 1]]="camp",WWWW[[#This Row],[Total PoP ]]/20,WWWW[[#This Row],[Total PoP ]]/6),0)</f>
        <v>39</v>
      </c>
      <c r="BS410" s="212">
        <f>IF(OR(WWWW[[#This Row],['# Existing latrines dysfunctional]]="",WWWW[[#This Row],['# Existing latrines dysfunctional]]=0),0,WWWW[[#This Row],['# Existing latrines dysfunctional]]/WWWW[[#This Row],[Total '# of latrine]])</f>
        <v>0</v>
      </c>
      <c r="BT41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10" s="209">
        <f>IF(500*WWWW[[#This Row],['# Hygiene Promoters ]]&gt;WWWW[[#This Row],[Total PoP ]],WWWW[[#This Row],[Total PoP ]],500*WWWW[[#This Row],['# Hygiene Promoters ]])</f>
        <v>779</v>
      </c>
      <c r="BV410" s="209">
        <f>IF(WWWW[[#This Row],[% of HH with access to Sanitary Pad]]&gt;=100%,1,0)</f>
        <v>0</v>
      </c>
      <c r="BW410" s="209">
        <f>IF(WWWW[[#This Row],[Total PoP ]]=0,0,IF(WWWW[[#This Row],['# Hygiene Promoters ]]=0,0,IF(WWWW[[#This Row],[Location Type 1]]="Village",IF(WWWW[[#This Row],[Total PoP ]]/WWWW[[#This Row],['# Hygiene Promoters ]]&lt;1000,1,0),IF(WWWW[[#This Row],[Total PoP ]]/WWWW[[#This Row],['# Hygiene Promoters ]]&lt;600,1,0))))</f>
        <v>1</v>
      </c>
      <c r="BX410" s="209">
        <f>IF(WWWW[[#This Row],[%HH with access to soap]]&gt;=100%,1,0)</f>
        <v>0</v>
      </c>
      <c r="BY410" s="209">
        <f>IF(WWWW[[#This Row],[% of HHs with access to Sanitary pad more than '#%]]+WWWW[[#This Row],[Ratio of Hyiene promoters to people less than '#]]+WWWW[[#This Row],[% of HHs with access to soap more than '#%]]&gt;=2,WWWW[[#This Row],[Total PoP ]],0)</f>
        <v>0</v>
      </c>
      <c r="BZ410" s="208">
        <f>WWWW[[#This Row],[People adopt basic personal and community hygiene practices]]/WWWW[[#This Row],[Total PoP ]]</f>
        <v>0</v>
      </c>
      <c r="CA410" s="212">
        <f>1-WWWW[[#This Row],[Hygiene Coverage%]]</f>
        <v>1</v>
      </c>
      <c r="CB410" s="211">
        <f>WWWW[[#This Row],['# people reached by regular dedicated hygiene promotion_5]]/WWWW[[#This Row],[Total PoP ]]</f>
        <v>1</v>
      </c>
      <c r="CC410" s="211">
        <f>IF(WWWW[[#This Row],['# HH received soaps]]/WWWW[[#This Row],[Total HH]]&gt;1,1,WWWW[[#This Row],['# HH received soaps]]/WWWW[[#This Row],[Total HH]])</f>
        <v>0</v>
      </c>
      <c r="CD410" s="211">
        <f>IF(WWWW[[#This Row],['# HH received Sanitary Pads]]/WWWW[[#This Row],[Total HH]]&gt;1,1,WWWW[[#This Row],['# HH received Sanitary Pads]]/WWWW[[#This Row],[Total HH]])</f>
        <v>0</v>
      </c>
      <c r="CE410" s="210">
        <f>WWWW[[#This Row],['# HH received soaps]]*5</f>
        <v>0</v>
      </c>
      <c r="CF410" s="210">
        <f>WWWW[[#This Row],['# HH received Sanitary Pads]]*5</f>
        <v>0</v>
      </c>
      <c r="CG410" s="210">
        <f>IF(WWWW[[#This Row],['# People with access to soap]]&gt;WWWW[[#This Row],['# People with access to Sanity Pads]],WWWW[[#This Row],['# People with access to soap]],WWWW[[#This Row],['# People with access to Sanity Pads]])</f>
        <v>0</v>
      </c>
      <c r="CH410" s="209">
        <f>WWWW[[#This Row],[Total HH]]*WWWW[[#This Row],[%HHs with access to functional hand washing stations]]</f>
        <v>154</v>
      </c>
      <c r="CI410" s="699">
        <f>VLOOKUP(WWWW[[#This Row],[Site Name]],SiteDB6[[Site Name]:[CCCM Management]],6,FALSE)</f>
        <v>0</v>
      </c>
      <c r="CJ410" s="699">
        <f>VLOOKUP(WWWW[[#This Row],[Site Name]],SiteDB6[[Site Name]:[CCCM Focal Agency]],7,FALSE)</f>
        <v>0</v>
      </c>
      <c r="CK410" s="699" t="str">
        <f>VLOOKUP(WWWW[[#This Row],[Site Name]],SiteDB6[[Site Name]:[Location Type]],8,FALSE)</f>
        <v>Camp</v>
      </c>
      <c r="CL410" s="699" t="str">
        <f>VLOOKUP(WWWW[[#This Row],[Site Name]],SiteDB6[[Site Name]:[Location Type 1]],9,FALSE)</f>
        <v>Camp</v>
      </c>
      <c r="CM410" s="699" t="str">
        <f>VLOOKUP(WWWW[[#This Row],[Site Name]],SiteDB6[[Site Name]:[Type of Accommodation]],10,FALSE)</f>
        <v>Closed Camp</v>
      </c>
      <c r="CN410" s="699" t="str">
        <f>VLOOKUP(WWWW[[#This Row],[Site Name]],SiteDB6[[Site Name]:[Ethnic or GCA/NGCA]],11,FALSE)</f>
        <v>GCA</v>
      </c>
      <c r="CO410" s="699">
        <f>VLOOKUP(WWWW[[#This Row],[Site Name]],SiteDB6[[Site Name]:[Lat]],12,FALSE)</f>
        <v>24.08738</v>
      </c>
      <c r="CP410" s="699">
        <f>VLOOKUP(WWWW[[#This Row],[Site Name]],SiteDB6[[Site Name]:[Long]],13,FALSE)</f>
        <v>98.115809999999996</v>
      </c>
      <c r="CQ410" s="699" t="str">
        <f>VLOOKUP(WWWW[[#This Row],[Site Name]],SiteDB6[[Site Name]:[Pcode]],3,FALSE)</f>
        <v>MMR015CMP022</v>
      </c>
      <c r="CR410" s="660" t="str">
        <f t="shared" si="11"/>
        <v>Covered</v>
      </c>
      <c r="CS410" s="660"/>
      <c r="CT410" s="24"/>
      <c r="CU410" s="24"/>
      <c r="CV410" s="24"/>
    </row>
    <row r="411" spans="1:100" ht="15.75" customHeight="1" x14ac:dyDescent="0.25">
      <c r="A411" s="833" t="s">
        <v>3206</v>
      </c>
      <c r="B411" s="206" t="s">
        <v>2899</v>
      </c>
      <c r="C411" s="206" t="s">
        <v>866</v>
      </c>
      <c r="D411" s="206" t="s">
        <v>876</v>
      </c>
      <c r="E411" s="206" t="s">
        <v>905</v>
      </c>
      <c r="F411" s="206">
        <v>51</v>
      </c>
      <c r="G411" s="209">
        <v>207</v>
      </c>
      <c r="H411" s="206"/>
      <c r="I411" s="206" t="s">
        <v>2902</v>
      </c>
      <c r="J411" s="207" t="s">
        <v>3218</v>
      </c>
      <c r="K411" s="206">
        <v>0</v>
      </c>
      <c r="L411" s="206" t="s">
        <v>48</v>
      </c>
      <c r="M411" s="208">
        <v>0.5</v>
      </c>
      <c r="N411" s="208">
        <v>1</v>
      </c>
      <c r="O411" s="316">
        <v>0</v>
      </c>
      <c r="P411" s="317">
        <v>1</v>
      </c>
      <c r="Q411" s="317">
        <v>7200</v>
      </c>
      <c r="R411" s="318"/>
      <c r="S411" s="318">
        <v>8</v>
      </c>
      <c r="T411" s="318"/>
      <c r="U411" s="318">
        <v>0</v>
      </c>
      <c r="V411" s="318">
        <v>0</v>
      </c>
      <c r="W411" s="318">
        <v>0</v>
      </c>
      <c r="X411" s="318">
        <v>0</v>
      </c>
      <c r="Y411" s="318">
        <v>0</v>
      </c>
      <c r="Z411" s="318"/>
      <c r="AA411" s="310">
        <v>12</v>
      </c>
      <c r="AB411" s="310">
        <v>0</v>
      </c>
      <c r="AC411" s="66">
        <v>0</v>
      </c>
      <c r="AD411" s="66"/>
      <c r="AE411" s="310">
        <v>9</v>
      </c>
      <c r="AF411" s="310" t="s">
        <v>283</v>
      </c>
      <c r="AG411" s="311" t="s">
        <v>283</v>
      </c>
      <c r="AH411" s="311"/>
      <c r="AI411" s="310"/>
      <c r="AJ411" s="310"/>
      <c r="AK411" s="841">
        <v>0.7</v>
      </c>
      <c r="AL411" s="842" t="s">
        <v>376</v>
      </c>
      <c r="AM411" s="842">
        <v>0</v>
      </c>
      <c r="AN411" s="863">
        <v>3</v>
      </c>
      <c r="AO411" s="863">
        <v>1</v>
      </c>
      <c r="AP411" s="843">
        <v>0</v>
      </c>
      <c r="AQ411" s="843">
        <v>0</v>
      </c>
      <c r="AR411" s="843"/>
      <c r="AS411" s="843"/>
      <c r="AT411" s="843"/>
      <c r="AU411" s="843"/>
      <c r="AV411" s="844"/>
      <c r="AW411" s="208" t="str">
        <f>IFERROR(WWWW[[#This Row],['# of Water passed at source]]/WWWW[[#This Row],['# of Water tested at source]],"no test")</f>
        <v>no test</v>
      </c>
      <c r="AX411" s="211" t="str">
        <f>IFERROR(WWWW[[#This Row],['# of Water passed at HH]]/WWWW[[#This Row],['# of Water tested at HH]],"no test")</f>
        <v>no test</v>
      </c>
      <c r="AY411" s="210" t="str">
        <f>IF(AND(WWWW[[#This Row],[%of Water samples which passed at water source]]="no test",WWWW[[#This Row],[%Water samples which passed at HH]]="no test"),"No Test","Tested")</f>
        <v>No Test</v>
      </c>
      <c r="AZ41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11" s="211">
        <f>IF(WWWW[[#This Row],[Location Type 1]]="Village",WWWW[[#This Row],[Access to safe drinking water for Village]],WWWW[[#This Row],[Access to safe drinking water for Camp]])</f>
        <v>1</v>
      </c>
      <c r="BC411" s="209">
        <f>WWWW[[#This Row],[%Equitable and continuous access to sufficient quantity of safe drinking water]]*WWWW[[#This Row],[Total PoP ]]</f>
        <v>207</v>
      </c>
      <c r="BD411" s="211">
        <f>IF((WWWW[[#This Row],['# Existing protected/fenced ponds ]]*250)/WWWW[[#This Row],[Total PoP ]]&gt;1,1,WWWW[[#This Row],['# Existing protected/fenced ponds ]]*250/WWWW[[#This Row],[Total PoP ]])</f>
        <v>0</v>
      </c>
      <c r="BE411" s="209">
        <f>WWWW[[#This Row],[Access to unimproved water points]]*WWWW[[#This Row],[Total PoP ]]</f>
        <v>0</v>
      </c>
      <c r="BF41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207</v>
      </c>
      <c r="BH411" s="209">
        <f>WWWW[[#This Row],['#people Equitable and continuous access to sufficient quantity of domestic water borehole n ponds_2]]/500</f>
        <v>0.41399999999999998</v>
      </c>
      <c r="BI411" s="208">
        <f>1-WWWW[[#This Row],[%Equitable and continuous access to sufficient quantity of domestic water borehole n ponds]]</f>
        <v>0</v>
      </c>
      <c r="BJ411" s="209">
        <f>WWWW[[#This Row],[%equitable and continuous access to sufficient quantity of safe drinking and domestic water''s GAP]]*WWWW[[#This Row],[Total PoP ]]</f>
        <v>0</v>
      </c>
      <c r="BK411" s="210">
        <f>IF(WWWW[[#This Row],[Total required water points]]-WWWW[[#This Row],['#Water points coverage]]&lt;0,0,WWWW[[#This Row],[Total required water points]]-WWWW[[#This Row],['#Water points coverage]])</f>
        <v>0.58600000000000008</v>
      </c>
      <c r="BL411" s="210">
        <f>ROUND(IF(WWWW[[#This Row],[Total PoP ]]&lt;500,1,WWWW[[#This Row],[Total PoP ]]/500),0)</f>
        <v>1</v>
      </c>
      <c r="BM411" s="210">
        <f>WWWW[[#This Row],['# Existing functional latrines]]+WWWW[[#This Row],['# Existing latrines dysfunctional]]</f>
        <v>12</v>
      </c>
      <c r="BN41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11" s="352">
        <f>WWWW[[#This Row],[% people access to functioning Latrine]]*WWWW[[#This Row],[Total PoP ]]</f>
        <v>207</v>
      </c>
      <c r="BP41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11" s="209">
        <f>IF(WWWW[[#This Row],[Total required Latrines]]-WWWW[[#This Row],[Total '# of latrine]]&lt;0,0,WWWW[[#This Row],[Total required Latrines]]-WWWW[[#This Row],[Total '# of latrine]])</f>
        <v>0</v>
      </c>
      <c r="BR411" s="210">
        <f>ROUND(IF(WWWW[[#This Row],[Location Type 1]]="camp",WWWW[[#This Row],[Total PoP ]]/20,WWWW[[#This Row],[Total PoP ]]/6),0)</f>
        <v>10</v>
      </c>
      <c r="BS411" s="212">
        <f>IF(OR(WWWW[[#This Row],['# Existing latrines dysfunctional]]="",WWWW[[#This Row],['# Existing latrines dysfunctional]]=0),0,WWWW[[#This Row],['# Existing latrines dysfunctional]]/WWWW[[#This Row],[Total '# of latrine]])</f>
        <v>0</v>
      </c>
      <c r="BT41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11" s="209">
        <f>IF(500*WWWW[[#This Row],['# Hygiene Promoters ]]&gt;WWWW[[#This Row],[Total PoP ]],WWWW[[#This Row],[Total PoP ]],500*WWWW[[#This Row],['# Hygiene Promoters ]])</f>
        <v>207</v>
      </c>
      <c r="BV411" s="209">
        <f>IF(WWWW[[#This Row],[% of HH with access to Sanitary Pad]]&gt;=100%,1,0)</f>
        <v>0</v>
      </c>
      <c r="BW411" s="209">
        <f>IF(WWWW[[#This Row],[Total PoP ]]=0,0,IF(WWWW[[#This Row],['# Hygiene Promoters ]]=0,0,IF(WWWW[[#This Row],[Location Type 1]]="Village",IF(WWWW[[#This Row],[Total PoP ]]/WWWW[[#This Row],['# Hygiene Promoters ]]&lt;1000,1,0),IF(WWWW[[#This Row],[Total PoP ]]/WWWW[[#This Row],['# Hygiene Promoters ]]&lt;600,1,0))))</f>
        <v>1</v>
      </c>
      <c r="BX411" s="209">
        <f>IF(WWWW[[#This Row],[%HH with access to soap]]&gt;=100%,1,0)</f>
        <v>0</v>
      </c>
      <c r="BY411" s="209">
        <f>IF(WWWW[[#This Row],[% of HHs with access to Sanitary pad more than '#%]]+WWWW[[#This Row],[Ratio of Hyiene promoters to people less than '#]]+WWWW[[#This Row],[% of HHs with access to soap more than '#%]]&gt;=2,WWWW[[#This Row],[Total PoP ]],0)</f>
        <v>0</v>
      </c>
      <c r="BZ411" s="208">
        <f>WWWW[[#This Row],[People adopt basic personal and community hygiene practices]]/WWWW[[#This Row],[Total PoP ]]</f>
        <v>0</v>
      </c>
      <c r="CA411" s="212">
        <f>1-WWWW[[#This Row],[Hygiene Coverage%]]</f>
        <v>1</v>
      </c>
      <c r="CB411" s="211">
        <f>WWWW[[#This Row],['# people reached by regular dedicated hygiene promotion_5]]/WWWW[[#This Row],[Total PoP ]]</f>
        <v>1</v>
      </c>
      <c r="CC411" s="211">
        <f>IF(WWWW[[#This Row],['# HH received soaps]]/WWWW[[#This Row],[Total HH]]&gt;1,1,WWWW[[#This Row],['# HH received soaps]]/WWWW[[#This Row],[Total HH]])</f>
        <v>0</v>
      </c>
      <c r="CD411" s="211">
        <f>IF(WWWW[[#This Row],['# HH received Sanitary Pads]]/WWWW[[#This Row],[Total HH]]&gt;1,1,WWWW[[#This Row],['# HH received Sanitary Pads]]/WWWW[[#This Row],[Total HH]])</f>
        <v>0</v>
      </c>
      <c r="CE411" s="210">
        <f>WWWW[[#This Row],['# HH received soaps]]*5</f>
        <v>0</v>
      </c>
      <c r="CF411" s="210">
        <f>WWWW[[#This Row],['# HH received Sanitary Pads]]*5</f>
        <v>0</v>
      </c>
      <c r="CG411" s="210">
        <f>IF(WWWW[[#This Row],['# People with access to soap]]&gt;WWWW[[#This Row],['# People with access to Sanity Pads]],WWWW[[#This Row],['# People with access to soap]],WWWW[[#This Row],['# People with access to Sanity Pads]])</f>
        <v>0</v>
      </c>
      <c r="CH411" s="209">
        <f>WWWW[[#This Row],[Total HH]]*WWWW[[#This Row],[%HHs with access to functional hand washing stations]]</f>
        <v>35.699999999999996</v>
      </c>
      <c r="CI411" s="699" t="str">
        <f>VLOOKUP(WWWW[[#This Row],[Site Name]],SiteDB6[[Site Name]:[CCCM Management]],6,FALSE)</f>
        <v>Yes</v>
      </c>
      <c r="CJ411" s="699" t="str">
        <f>VLOOKUP(WWWW[[#This Row],[Site Name]],SiteDB6[[Site Name]:[CCCM Focal Agency]],7,FALSE)</f>
        <v>KBC</v>
      </c>
      <c r="CK411" s="699" t="str">
        <f>VLOOKUP(WWWW[[#This Row],[Site Name]],SiteDB6[[Site Name]:[Location Type]],8,FALSE)</f>
        <v>Camp</v>
      </c>
      <c r="CL411" s="699" t="str">
        <f>VLOOKUP(WWWW[[#This Row],[Site Name]],SiteDB6[[Site Name]:[Location Type 1]],9,FALSE)</f>
        <v>Camp</v>
      </c>
      <c r="CM411" s="699" t="str">
        <f>VLOOKUP(WWWW[[#This Row],[Site Name]],SiteDB6[[Site Name]:[Type of Accommodation]],10,FALSE)</f>
        <v>Camp</v>
      </c>
      <c r="CN411" s="699" t="str">
        <f>VLOOKUP(WWWW[[#This Row],[Site Name]],SiteDB6[[Site Name]:[Ethnic or GCA/NGCA]],11,FALSE)</f>
        <v>GCA</v>
      </c>
      <c r="CO411" s="699">
        <f>VLOOKUP(WWWW[[#This Row],[Site Name]],SiteDB6[[Site Name]:[Lat]],12,FALSE)</f>
        <v>24.006319999999999</v>
      </c>
      <c r="CP411" s="699">
        <f>VLOOKUP(WWWW[[#This Row],[Site Name]],SiteDB6[[Site Name]:[Long]],13,FALSE)</f>
        <v>97.909400000000005</v>
      </c>
      <c r="CQ411" s="699" t="str">
        <f>VLOOKUP(WWWW[[#This Row],[Site Name]],SiteDB6[[Site Name]:[Pcode]],3,FALSE)</f>
        <v>MMR015CMP213</v>
      </c>
      <c r="CR411" s="660" t="str">
        <f t="shared" si="11"/>
        <v>Covered</v>
      </c>
      <c r="CS411" s="660"/>
      <c r="CT411" s="24"/>
      <c r="CU411" s="24"/>
      <c r="CV411" s="24"/>
    </row>
    <row r="412" spans="1:100" ht="15.75" customHeight="1" x14ac:dyDescent="0.25">
      <c r="A412" s="833" t="s">
        <v>3206</v>
      </c>
      <c r="B412" s="206" t="s">
        <v>43</v>
      </c>
      <c r="C412" s="206" t="s">
        <v>866</v>
      </c>
      <c r="D412" s="206" t="s">
        <v>876</v>
      </c>
      <c r="E412" s="206" t="s">
        <v>877</v>
      </c>
      <c r="F412" s="865">
        <v>23</v>
      </c>
      <c r="G412" s="873">
        <v>178</v>
      </c>
      <c r="H412" s="206">
        <v>30</v>
      </c>
      <c r="I412" s="206" t="s">
        <v>872</v>
      </c>
      <c r="J412" s="207">
        <v>43465</v>
      </c>
      <c r="K412" s="206">
        <v>0</v>
      </c>
      <c r="L412" s="206" t="s">
        <v>48</v>
      </c>
      <c r="M412" s="208">
        <v>0.75</v>
      </c>
      <c r="N412" s="208">
        <v>1</v>
      </c>
      <c r="O412" s="316">
        <v>1</v>
      </c>
      <c r="P412" s="317">
        <v>1</v>
      </c>
      <c r="Q412" s="317">
        <v>7200</v>
      </c>
      <c r="R412" s="318"/>
      <c r="S412" s="318">
        <v>2</v>
      </c>
      <c r="T412" s="318"/>
      <c r="U412" s="318">
        <v>2</v>
      </c>
      <c r="V412" s="318">
        <v>1</v>
      </c>
      <c r="W412" s="318">
        <v>10</v>
      </c>
      <c r="X412" s="318">
        <v>1</v>
      </c>
      <c r="Y412" s="318">
        <v>0</v>
      </c>
      <c r="Z412" s="318"/>
      <c r="AA412" s="310">
        <v>8</v>
      </c>
      <c r="AB412" s="310">
        <v>0</v>
      </c>
      <c r="AC412" s="66">
        <v>0</v>
      </c>
      <c r="AD412" s="66"/>
      <c r="AE412" s="310">
        <v>4</v>
      </c>
      <c r="AF412" s="310" t="s">
        <v>283</v>
      </c>
      <c r="AG412" s="311" t="s">
        <v>1358</v>
      </c>
      <c r="AH412" s="311">
        <v>0</v>
      </c>
      <c r="AI412" s="310">
        <v>1</v>
      </c>
      <c r="AJ412" s="310"/>
      <c r="AK412" s="841">
        <v>1</v>
      </c>
      <c r="AL412" s="842" t="s">
        <v>376</v>
      </c>
      <c r="AM412" s="842">
        <v>1</v>
      </c>
      <c r="AN412" s="863">
        <v>0</v>
      </c>
      <c r="AO412" s="863">
        <v>2</v>
      </c>
      <c r="AP412" s="843">
        <v>17</v>
      </c>
      <c r="AQ412" s="843">
        <v>0</v>
      </c>
      <c r="AR412" s="843"/>
      <c r="AS412" s="843"/>
      <c r="AT412" s="843"/>
      <c r="AU412" s="843"/>
      <c r="AV412" s="844"/>
      <c r="AW412" s="208">
        <f>IFERROR(WWWW[[#This Row],['# of Water passed at source]]/WWWW[[#This Row],['# of Water tested at source]],"no test")</f>
        <v>0.5</v>
      </c>
      <c r="AX412" s="211">
        <f>IFERROR(WWWW[[#This Row],['# of Water passed at HH]]/WWWW[[#This Row],['# of Water tested at HH]],"no test")</f>
        <v>0.1</v>
      </c>
      <c r="AY412" s="210" t="str">
        <f>IF(AND(WWWW[[#This Row],[%of Water samples which passed at water source]]="no test",WWWW[[#This Row],[%Water samples which passed at HH]]="no test"),"No Test","Tested")</f>
        <v>Tested</v>
      </c>
      <c r="AZ41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12" s="211">
        <f>IF(WWWW[[#This Row],[Location Type 1]]="Village",WWWW[[#This Row],[Access to safe drinking water for Village]],WWWW[[#This Row],[Access to safe drinking water for Camp]])</f>
        <v>1</v>
      </c>
      <c r="BC412" s="209">
        <f>WWWW[[#This Row],[%Equitable and continuous access to sufficient quantity of safe drinking water]]*WWWW[[#This Row],[Total PoP ]]</f>
        <v>178</v>
      </c>
      <c r="BD412" s="211">
        <f>IF((WWWW[[#This Row],['# Existing protected/fenced ponds ]]*250)/WWWW[[#This Row],[Total PoP ]]&gt;1,1,WWWW[[#This Row],['# Existing protected/fenced ponds ]]*250/WWWW[[#This Row],[Total PoP ]])</f>
        <v>0</v>
      </c>
      <c r="BE412" s="209">
        <f>WWWW[[#This Row],[Access to unimproved water points]]*WWWW[[#This Row],[Total PoP ]]</f>
        <v>0</v>
      </c>
      <c r="BF41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178</v>
      </c>
      <c r="BH412" s="209">
        <f>WWWW[[#This Row],['#people Equitable and continuous access to sufficient quantity of domestic water borehole n ponds_2]]/500</f>
        <v>0.35599999999999998</v>
      </c>
      <c r="BI412" s="208">
        <f>1-WWWW[[#This Row],[%Equitable and continuous access to sufficient quantity of domestic water borehole n ponds]]</f>
        <v>0</v>
      </c>
      <c r="BJ412" s="209">
        <f>WWWW[[#This Row],[%equitable and continuous access to sufficient quantity of safe drinking and domestic water''s GAP]]*WWWW[[#This Row],[Total PoP ]]</f>
        <v>0</v>
      </c>
      <c r="BK412" s="210">
        <f>IF(WWWW[[#This Row],[Total required water points]]-WWWW[[#This Row],['#Water points coverage]]&lt;0,0,WWWW[[#This Row],[Total required water points]]-WWWW[[#This Row],['#Water points coverage]])</f>
        <v>0.64400000000000002</v>
      </c>
      <c r="BL412" s="210">
        <f>ROUND(IF(WWWW[[#This Row],[Total PoP ]]&lt;500,1,WWWW[[#This Row],[Total PoP ]]/500),0)</f>
        <v>1</v>
      </c>
      <c r="BM412" s="210">
        <f>WWWW[[#This Row],['# Existing functional latrines]]+WWWW[[#This Row],['# Existing latrines dysfunctional]]</f>
        <v>8</v>
      </c>
      <c r="BN41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0.898876404494382</v>
      </c>
      <c r="BO412" s="352">
        <f>WWWW[[#This Row],[% people access to functioning Latrine]]*WWWW[[#This Row],[Total PoP ]]</f>
        <v>160</v>
      </c>
      <c r="BP41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0.11235955056179775</v>
      </c>
      <c r="BQ412" s="209">
        <f>IF(WWWW[[#This Row],[Total required Latrines]]-WWWW[[#This Row],[Total '# of latrine]]&lt;0,0,WWWW[[#This Row],[Total required Latrines]]-WWWW[[#This Row],[Total '# of latrine]])</f>
        <v>1</v>
      </c>
      <c r="BR412" s="210">
        <f>ROUND(IF(WWWW[[#This Row],[Location Type 1]]="camp",WWWW[[#This Row],[Total PoP ]]/20,WWWW[[#This Row],[Total PoP ]]/6),0)</f>
        <v>9</v>
      </c>
      <c r="BS412" s="212">
        <f>IF(OR(WWWW[[#This Row],['# Existing latrines dysfunctional]]="",WWWW[[#This Row],['# Existing latrines dysfunctional]]=0),0,WWWW[[#This Row],['# Existing latrines dysfunctional]]/WWWW[[#This Row],[Total '# of latrine]])</f>
        <v>0</v>
      </c>
      <c r="BT41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12" s="209">
        <f>IF(500*WWWW[[#This Row],['# Hygiene Promoters ]]&gt;WWWW[[#This Row],[Total PoP ]],WWWW[[#This Row],[Total PoP ]],500*WWWW[[#This Row],['# Hygiene Promoters ]])</f>
        <v>178</v>
      </c>
      <c r="BV412" s="209">
        <f>IF(WWWW[[#This Row],[% of HH with access to Sanitary Pad]]&gt;=100%,1,0)</f>
        <v>0</v>
      </c>
      <c r="BW412" s="209">
        <f>IF(WWWW[[#This Row],[Total PoP ]]=0,0,IF(WWWW[[#This Row],['# Hygiene Promoters ]]=0,0,IF(WWWW[[#This Row],[Location Type 1]]="Village",IF(WWWW[[#This Row],[Total PoP ]]/WWWW[[#This Row],['# Hygiene Promoters ]]&lt;1000,1,0),IF(WWWW[[#This Row],[Total PoP ]]/WWWW[[#This Row],['# Hygiene Promoters ]]&lt;600,1,0))))</f>
        <v>1</v>
      </c>
      <c r="BX412" s="209">
        <f>IF(WWWW[[#This Row],[%HH with access to soap]]&gt;=100%,1,0)</f>
        <v>0</v>
      </c>
      <c r="BY412" s="209">
        <f>IF(WWWW[[#This Row],[% of HHs with access to Sanitary pad more than '#%]]+WWWW[[#This Row],[Ratio of Hyiene promoters to people less than '#]]+WWWW[[#This Row],[% of HHs with access to soap more than '#%]]&gt;=2,WWWW[[#This Row],[Total PoP ]],0)</f>
        <v>0</v>
      </c>
      <c r="BZ412" s="208">
        <f>WWWW[[#This Row],[People adopt basic personal and community hygiene practices]]/WWWW[[#This Row],[Total PoP ]]</f>
        <v>0</v>
      </c>
      <c r="CA412" s="212">
        <f>1-WWWW[[#This Row],[Hygiene Coverage%]]</f>
        <v>1</v>
      </c>
      <c r="CB412" s="211">
        <f>WWWW[[#This Row],['# people reached by regular dedicated hygiene promotion_5]]/WWWW[[#This Row],[Total PoP ]]</f>
        <v>1</v>
      </c>
      <c r="CC412" s="211">
        <f>IF(WWWW[[#This Row],['# HH received soaps]]/WWWW[[#This Row],[Total HH]]&gt;1,1,WWWW[[#This Row],['# HH received soaps]]/WWWW[[#This Row],[Total HH]])</f>
        <v>0.73913043478260865</v>
      </c>
      <c r="CD412" s="211">
        <f>IF(WWWW[[#This Row],['# HH received Sanitary Pads]]/WWWW[[#This Row],[Total HH]]&gt;1,1,WWWW[[#This Row],['# HH received Sanitary Pads]]/WWWW[[#This Row],[Total HH]])</f>
        <v>0</v>
      </c>
      <c r="CE412" s="210">
        <f>WWWW[[#This Row],['# HH received soaps]]*5</f>
        <v>85</v>
      </c>
      <c r="CF412" s="210">
        <f>WWWW[[#This Row],['# HH received Sanitary Pads]]*5</f>
        <v>0</v>
      </c>
      <c r="CG412" s="210">
        <f>IF(WWWW[[#This Row],['# People with access to soap]]&gt;WWWW[[#This Row],['# People with access to Sanity Pads]],WWWW[[#This Row],['# People with access to soap]],WWWW[[#This Row],['# People with access to Sanity Pads]])</f>
        <v>85</v>
      </c>
      <c r="CH412" s="209">
        <f>WWWW[[#This Row],[Total HH]]*WWWW[[#This Row],[%HHs with access to functional hand washing stations]]</f>
        <v>23</v>
      </c>
      <c r="CI412" s="699" t="str">
        <f>VLOOKUP(WWWW[[#This Row],[Site Name]],SiteDB6[[Site Name]:[CCCM Management]],6,FALSE)</f>
        <v>Yes</v>
      </c>
      <c r="CJ412" s="699" t="str">
        <f>VLOOKUP(WWWW[[#This Row],[Site Name]],SiteDB6[[Site Name]:[CCCM Focal Agency]],7,FALSE)</f>
        <v>KMSS-LSO</v>
      </c>
      <c r="CK412" s="699" t="str">
        <f>VLOOKUP(WWWW[[#This Row],[Site Name]],SiteDB6[[Site Name]:[Location Type]],8,FALSE)</f>
        <v>Camp</v>
      </c>
      <c r="CL412" s="699" t="str">
        <f>VLOOKUP(WWWW[[#This Row],[Site Name]],SiteDB6[[Site Name]:[Location Type 1]],9,FALSE)</f>
        <v>Camp</v>
      </c>
      <c r="CM412" s="699" t="str">
        <f>VLOOKUP(WWWW[[#This Row],[Site Name]],SiteDB6[[Site Name]:[Type of Accommodation]],10,FALSE)</f>
        <v>Camp</v>
      </c>
      <c r="CN412" s="699" t="str">
        <f>VLOOKUP(WWWW[[#This Row],[Site Name]],SiteDB6[[Site Name]:[Ethnic or GCA/NGCA]],11,FALSE)</f>
        <v>GCA</v>
      </c>
      <c r="CO412" s="699">
        <f>VLOOKUP(WWWW[[#This Row],[Site Name]],SiteDB6[[Site Name]:[Lat]],12,FALSE)</f>
        <v>24.006789000000001</v>
      </c>
      <c r="CP412" s="699">
        <f>VLOOKUP(WWWW[[#This Row],[Site Name]],SiteDB6[[Site Name]:[Long]],13,FALSE)</f>
        <v>97.911647000000002</v>
      </c>
      <c r="CQ412" s="699" t="str">
        <f>VLOOKUP(WWWW[[#This Row],[Site Name]],SiteDB6[[Site Name]:[Pcode]],3,FALSE)</f>
        <v>MMR015CMP216</v>
      </c>
      <c r="CR412" s="660" t="str">
        <f t="shared" si="11"/>
        <v>Covered</v>
      </c>
      <c r="CS412" s="660"/>
      <c r="CT412" s="24"/>
      <c r="CU412" s="24"/>
      <c r="CV412" s="24"/>
    </row>
    <row r="413" spans="1:100" ht="15.75" customHeight="1" x14ac:dyDescent="0.25">
      <c r="A413" s="833" t="s">
        <v>3206</v>
      </c>
      <c r="B413" s="206" t="s">
        <v>2538</v>
      </c>
      <c r="C413" s="206" t="s">
        <v>866</v>
      </c>
      <c r="D413" s="206" t="s">
        <v>873</v>
      </c>
      <c r="E413" s="206" t="s">
        <v>915</v>
      </c>
      <c r="F413" s="206">
        <v>86</v>
      </c>
      <c r="G413" s="209">
        <v>300</v>
      </c>
      <c r="H413" s="206">
        <v>50</v>
      </c>
      <c r="I413" s="206" t="s">
        <v>3254</v>
      </c>
      <c r="J413" s="207" t="s">
        <v>3255</v>
      </c>
      <c r="K413" s="206">
        <v>0</v>
      </c>
      <c r="L413" s="206" t="s">
        <v>48</v>
      </c>
      <c r="M413" s="208">
        <v>0.11</v>
      </c>
      <c r="N413" s="208">
        <v>0.5</v>
      </c>
      <c r="O413" s="316">
        <v>0</v>
      </c>
      <c r="P413" s="317">
        <v>0</v>
      </c>
      <c r="Q413" s="317">
        <v>8640</v>
      </c>
      <c r="R413" s="318">
        <v>0</v>
      </c>
      <c r="S413" s="318">
        <v>8</v>
      </c>
      <c r="T413" s="318"/>
      <c r="U413" s="318">
        <v>0</v>
      </c>
      <c r="V413" s="318">
        <v>0</v>
      </c>
      <c r="W413" s="318">
        <v>0</v>
      </c>
      <c r="X413" s="318">
        <v>0</v>
      </c>
      <c r="Y413" s="318">
        <v>0</v>
      </c>
      <c r="Z413" s="318"/>
      <c r="AA413" s="310">
        <v>86</v>
      </c>
      <c r="AB413" s="310">
        <v>0</v>
      </c>
      <c r="AC413" s="66">
        <v>0</v>
      </c>
      <c r="AD413" s="66"/>
      <c r="AE413" s="310">
        <v>86</v>
      </c>
      <c r="AF413" s="310" t="s">
        <v>286</v>
      </c>
      <c r="AG413" s="311" t="s">
        <v>286</v>
      </c>
      <c r="AH413" s="311">
        <v>0</v>
      </c>
      <c r="AI413" s="310">
        <v>0</v>
      </c>
      <c r="AJ413" s="310"/>
      <c r="AK413" s="841">
        <v>0</v>
      </c>
      <c r="AL413" s="842" t="s">
        <v>284</v>
      </c>
      <c r="AM413" s="842">
        <v>0</v>
      </c>
      <c r="AN413" s="863">
        <v>0</v>
      </c>
      <c r="AO413" s="863">
        <v>1</v>
      </c>
      <c r="AP413" s="843">
        <v>0</v>
      </c>
      <c r="AQ413" s="843">
        <v>0</v>
      </c>
      <c r="AR413" s="843"/>
      <c r="AS413" s="843"/>
      <c r="AT413" s="843"/>
      <c r="AU413" s="843"/>
      <c r="AV413" s="844"/>
      <c r="AW413" s="208" t="str">
        <f>IFERROR(WWWW[[#This Row],['# of Water passed at source]]/WWWW[[#This Row],['# of Water tested at source]],"no test")</f>
        <v>no test</v>
      </c>
      <c r="AX413" s="211" t="str">
        <f>IFERROR(WWWW[[#This Row],['# of Water passed at HH]]/WWWW[[#This Row],['# of Water tested at HH]],"no test")</f>
        <v>no test</v>
      </c>
      <c r="AY413" s="210" t="str">
        <f>IF(AND(WWWW[[#This Row],[%of Water samples which passed at water source]]="no test",WWWW[[#This Row],[%Water samples which passed at HH]]="no test"),"No Test","Tested")</f>
        <v>No Test</v>
      </c>
      <c r="AZ41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13" s="211">
        <f>IF(WWWW[[#This Row],[Location Type 1]]="Village",WWWW[[#This Row],[Access to safe drinking water for Village]],WWWW[[#This Row],[Access to safe drinking water for Camp]])</f>
        <v>1</v>
      </c>
      <c r="BC413" s="209">
        <f>WWWW[[#This Row],[%Equitable and continuous access to sufficient quantity of safe drinking water]]*WWWW[[#This Row],[Total PoP ]]</f>
        <v>300</v>
      </c>
      <c r="BD413" s="211">
        <f>IF((WWWW[[#This Row],['# Existing protected/fenced ponds ]]*250)/WWWW[[#This Row],[Total PoP ]]&gt;1,1,WWWW[[#This Row],['# Existing protected/fenced ponds ]]*250/WWWW[[#This Row],[Total PoP ]])</f>
        <v>0</v>
      </c>
      <c r="BE413" s="209">
        <f>WWWW[[#This Row],[Access to unimproved water points]]*WWWW[[#This Row],[Total PoP ]]</f>
        <v>0</v>
      </c>
      <c r="BF41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300</v>
      </c>
      <c r="BH413" s="209">
        <f>WWWW[[#This Row],['#people Equitable and continuous access to sufficient quantity of domestic water borehole n ponds_2]]/500</f>
        <v>0.6</v>
      </c>
      <c r="BI413" s="208">
        <f>1-WWWW[[#This Row],[%Equitable and continuous access to sufficient quantity of domestic water borehole n ponds]]</f>
        <v>0</v>
      </c>
      <c r="BJ413" s="209">
        <f>WWWW[[#This Row],[%equitable and continuous access to sufficient quantity of safe drinking and domestic water''s GAP]]*WWWW[[#This Row],[Total PoP ]]</f>
        <v>0</v>
      </c>
      <c r="BK413" s="210">
        <f>IF(WWWW[[#This Row],[Total required water points]]-WWWW[[#This Row],['#Water points coverage]]&lt;0,0,WWWW[[#This Row],[Total required water points]]-WWWW[[#This Row],['#Water points coverage]])</f>
        <v>0.4</v>
      </c>
      <c r="BL413" s="210">
        <f>ROUND(IF(WWWW[[#This Row],[Total PoP ]]&lt;500,1,WWWW[[#This Row],[Total PoP ]]/500),0)</f>
        <v>1</v>
      </c>
      <c r="BM413" s="210">
        <f>WWWW[[#This Row],['# Existing functional latrines]]+WWWW[[#This Row],['# Existing latrines dysfunctional]]</f>
        <v>86</v>
      </c>
      <c r="BN41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13" s="352">
        <f>WWWW[[#This Row],[% people access to functioning Latrine]]*WWWW[[#This Row],[Total PoP ]]</f>
        <v>300</v>
      </c>
      <c r="BP41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13" s="209">
        <f>IF(WWWW[[#This Row],[Total required Latrines]]-WWWW[[#This Row],[Total '# of latrine]]&lt;0,0,WWWW[[#This Row],[Total required Latrines]]-WWWW[[#This Row],[Total '# of latrine]])</f>
        <v>0</v>
      </c>
      <c r="BR413" s="210">
        <f>ROUND(IF(WWWW[[#This Row],[Location Type 1]]="camp",WWWW[[#This Row],[Total PoP ]]/20,WWWW[[#This Row],[Total PoP ]]/6),0)</f>
        <v>15</v>
      </c>
      <c r="BS413" s="212">
        <f>IF(OR(WWWW[[#This Row],['# Existing latrines dysfunctional]]="",WWWW[[#This Row],['# Existing latrines dysfunctional]]=0),0,WWWW[[#This Row],['# Existing latrines dysfunctional]]/WWWW[[#This Row],[Total '# of latrine]])</f>
        <v>0</v>
      </c>
      <c r="BT41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13" s="209">
        <f>IF(500*WWWW[[#This Row],['# Hygiene Promoters ]]&gt;WWWW[[#This Row],[Total PoP ]],WWWW[[#This Row],[Total PoP ]],500*WWWW[[#This Row],['# Hygiene Promoters ]])</f>
        <v>300</v>
      </c>
      <c r="BV413" s="209">
        <f>IF(WWWW[[#This Row],[% of HH with access to Sanitary Pad]]&gt;=100%,1,0)</f>
        <v>0</v>
      </c>
      <c r="BW413" s="209">
        <f>IF(WWWW[[#This Row],[Total PoP ]]=0,0,IF(WWWW[[#This Row],['# Hygiene Promoters ]]=0,0,IF(WWWW[[#This Row],[Location Type 1]]="Village",IF(WWWW[[#This Row],[Total PoP ]]/WWWW[[#This Row],['# Hygiene Promoters ]]&lt;1000,1,0),IF(WWWW[[#This Row],[Total PoP ]]/WWWW[[#This Row],['# Hygiene Promoters ]]&lt;600,1,0))))</f>
        <v>1</v>
      </c>
      <c r="BX413" s="209">
        <f>IF(WWWW[[#This Row],[%HH with access to soap]]&gt;=100%,1,0)</f>
        <v>0</v>
      </c>
      <c r="BY413" s="209">
        <f>IF(WWWW[[#This Row],[% of HHs with access to Sanitary pad more than '#%]]+WWWW[[#This Row],[Ratio of Hyiene promoters to people less than '#]]+WWWW[[#This Row],[% of HHs with access to soap more than '#%]]&gt;=2,WWWW[[#This Row],[Total PoP ]],0)</f>
        <v>0</v>
      </c>
      <c r="BZ413" s="208">
        <f>WWWW[[#This Row],[People adopt basic personal and community hygiene practices]]/WWWW[[#This Row],[Total PoP ]]</f>
        <v>0</v>
      </c>
      <c r="CA413" s="212">
        <f>1-WWWW[[#This Row],[Hygiene Coverage%]]</f>
        <v>1</v>
      </c>
      <c r="CB413" s="211">
        <f>WWWW[[#This Row],['# people reached by regular dedicated hygiene promotion_5]]/WWWW[[#This Row],[Total PoP ]]</f>
        <v>1</v>
      </c>
      <c r="CC413" s="211">
        <f>IF(WWWW[[#This Row],['# HH received soaps]]/WWWW[[#This Row],[Total HH]]&gt;1,1,WWWW[[#This Row],['# HH received soaps]]/WWWW[[#This Row],[Total HH]])</f>
        <v>0</v>
      </c>
      <c r="CD413" s="211">
        <f>IF(WWWW[[#This Row],['# HH received Sanitary Pads]]/WWWW[[#This Row],[Total HH]]&gt;1,1,WWWW[[#This Row],['# HH received Sanitary Pads]]/WWWW[[#This Row],[Total HH]])</f>
        <v>0</v>
      </c>
      <c r="CE413" s="210">
        <f>WWWW[[#This Row],['# HH received soaps]]*5</f>
        <v>0</v>
      </c>
      <c r="CF413" s="210">
        <f>WWWW[[#This Row],['# HH received Sanitary Pads]]*5</f>
        <v>0</v>
      </c>
      <c r="CG413" s="210">
        <f>IF(WWWW[[#This Row],['# People with access to soap]]&gt;WWWW[[#This Row],['# People with access to Sanity Pads]],WWWW[[#This Row],['# People with access to soap]],WWWW[[#This Row],['# People with access to Sanity Pads]])</f>
        <v>0</v>
      </c>
      <c r="CH413" s="209">
        <f>WWWW[[#This Row],[Total HH]]*WWWW[[#This Row],[%HHs with access to functional hand washing stations]]</f>
        <v>0</v>
      </c>
      <c r="CI413" s="699">
        <f>VLOOKUP(WWWW[[#This Row],[Site Name]],SiteDB6[[Site Name]:[CCCM Management]],6,FALSE)</f>
        <v>0</v>
      </c>
      <c r="CJ413" s="699" t="str">
        <f>VLOOKUP(WWWW[[#This Row],[Site Name]],SiteDB6[[Site Name]:[CCCM Focal Agency]],7,FALSE)</f>
        <v>uncovered</v>
      </c>
      <c r="CK413" s="699" t="str">
        <f>VLOOKUP(WWWW[[#This Row],[Site Name]],SiteDB6[[Site Name]:[Location Type]],8,FALSE)</f>
        <v>Camp</v>
      </c>
      <c r="CL413" s="699" t="str">
        <f>VLOOKUP(WWWW[[#This Row],[Site Name]],SiteDB6[[Site Name]:[Location Type 1]],9,FALSE)</f>
        <v>Camp</v>
      </c>
      <c r="CM413" s="699" t="str">
        <f>VLOOKUP(WWWW[[#This Row],[Site Name]],SiteDB6[[Site Name]:[Type of Accommodation]],10,FALSE)</f>
        <v>Camp like setting</v>
      </c>
      <c r="CN413" s="699" t="str">
        <f>VLOOKUP(WWWW[[#This Row],[Site Name]],SiteDB6[[Site Name]:[Ethnic or GCA/NGCA]],11,FALSE)</f>
        <v>GCA</v>
      </c>
      <c r="CO413" s="699">
        <f>VLOOKUP(WWWW[[#This Row],[Site Name]],SiteDB6[[Site Name]:[Lat]],12,FALSE)</f>
        <v>0</v>
      </c>
      <c r="CP413" s="699">
        <f>VLOOKUP(WWWW[[#This Row],[Site Name]],SiteDB6[[Site Name]:[Long]],13,FALSE)</f>
        <v>0</v>
      </c>
      <c r="CQ413" s="699" t="str">
        <f>VLOOKUP(WWWW[[#This Row],[Site Name]],SiteDB6[[Site Name]:[Pcode]],3,FALSE)</f>
        <v>MMR015CMP222</v>
      </c>
      <c r="CR413" s="660" t="str">
        <f t="shared" si="11"/>
        <v>Covered</v>
      </c>
      <c r="CS413" s="660"/>
      <c r="CT413" s="24"/>
      <c r="CU413" s="24"/>
      <c r="CV413" s="24"/>
    </row>
    <row r="414" spans="1:100" ht="15.75" customHeight="1" x14ac:dyDescent="0.25">
      <c r="A414" s="833" t="s">
        <v>3206</v>
      </c>
      <c r="B414" s="206" t="s">
        <v>43</v>
      </c>
      <c r="C414" s="206" t="s">
        <v>866</v>
      </c>
      <c r="D414" s="206" t="s">
        <v>867</v>
      </c>
      <c r="E414" s="206" t="s">
        <v>878</v>
      </c>
      <c r="F414" s="865">
        <v>67</v>
      </c>
      <c r="G414" s="873">
        <v>309</v>
      </c>
      <c r="H414" s="206"/>
      <c r="I414" s="206" t="s">
        <v>872</v>
      </c>
      <c r="J414" s="207">
        <v>43465</v>
      </c>
      <c r="K414" s="206">
        <v>0</v>
      </c>
      <c r="L414" s="206" t="s">
        <v>48</v>
      </c>
      <c r="M414" s="208">
        <v>0.5</v>
      </c>
      <c r="N414" s="208">
        <v>0.65</v>
      </c>
      <c r="O414" s="316">
        <v>0</v>
      </c>
      <c r="P414" s="317">
        <v>1</v>
      </c>
      <c r="Q414" s="317">
        <v>14400</v>
      </c>
      <c r="R414" s="318"/>
      <c r="S414" s="318">
        <v>2</v>
      </c>
      <c r="T414" s="318"/>
      <c r="U414" s="318">
        <v>3</v>
      </c>
      <c r="V414" s="318">
        <v>2</v>
      </c>
      <c r="W414" s="318">
        <v>33</v>
      </c>
      <c r="X414" s="318">
        <v>12</v>
      </c>
      <c r="Y414" s="318">
        <v>0</v>
      </c>
      <c r="Z414" s="318"/>
      <c r="AA414" s="310">
        <v>17</v>
      </c>
      <c r="AB414" s="310">
        <v>4</v>
      </c>
      <c r="AC414" s="66">
        <v>0</v>
      </c>
      <c r="AD414" s="66"/>
      <c r="AE414" s="310">
        <v>15</v>
      </c>
      <c r="AF414" s="310" t="s">
        <v>283</v>
      </c>
      <c r="AG414" s="311" t="s">
        <v>283</v>
      </c>
      <c r="AH414" s="311"/>
      <c r="AI414" s="310"/>
      <c r="AJ414" s="310"/>
      <c r="AK414" s="841">
        <v>1</v>
      </c>
      <c r="AL414" s="842" t="s">
        <v>376</v>
      </c>
      <c r="AM414" s="842">
        <v>0</v>
      </c>
      <c r="AN414" s="863">
        <v>2</v>
      </c>
      <c r="AO414" s="863">
        <v>2</v>
      </c>
      <c r="AP414" s="843">
        <v>74</v>
      </c>
      <c r="AQ414" s="843">
        <v>0</v>
      </c>
      <c r="AR414" s="843"/>
      <c r="AS414" s="843"/>
      <c r="AT414" s="843"/>
      <c r="AU414" s="843"/>
      <c r="AV414" s="844"/>
      <c r="AW414" s="208">
        <f>IFERROR(WWWW[[#This Row],['# of Water passed at source]]/WWWW[[#This Row],['# of Water tested at source]],"no test")</f>
        <v>0.66666666666666663</v>
      </c>
      <c r="AX414" s="211">
        <f>IFERROR(WWWW[[#This Row],['# of Water passed at HH]]/WWWW[[#This Row],['# of Water tested at HH]],"no test")</f>
        <v>0.36363636363636365</v>
      </c>
      <c r="AY414" s="210" t="str">
        <f>IF(AND(WWWW[[#This Row],[%of Water samples which passed at water source]]="no test",WWWW[[#This Row],[%Water samples which passed at HH]]="no test"),"No Test","Tested")</f>
        <v>Tested</v>
      </c>
      <c r="AZ414"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4"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14" s="211">
        <f>IF(WWWW[[#This Row],[Location Type 1]]="Village",WWWW[[#This Row],[Access to safe drinking water for Village]],WWWW[[#This Row],[Access to safe drinking water for Camp]])</f>
        <v>1</v>
      </c>
      <c r="BC414" s="209">
        <f>WWWW[[#This Row],[%Equitable and continuous access to sufficient quantity of safe drinking water]]*WWWW[[#This Row],[Total PoP ]]</f>
        <v>309</v>
      </c>
      <c r="BD414" s="211">
        <f>IF((WWWW[[#This Row],['# Existing protected/fenced ponds ]]*250)/WWWW[[#This Row],[Total PoP ]]&gt;1,1,WWWW[[#This Row],['# Existing protected/fenced ponds ]]*250/WWWW[[#This Row],[Total PoP ]])</f>
        <v>0</v>
      </c>
      <c r="BE414" s="209">
        <f>WWWW[[#This Row],[Access to unimproved water points]]*WWWW[[#This Row],[Total PoP ]]</f>
        <v>0</v>
      </c>
      <c r="BF414"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4"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309</v>
      </c>
      <c r="BH414" s="209">
        <f>WWWW[[#This Row],['#people Equitable and continuous access to sufficient quantity of domestic water borehole n ponds_2]]/500</f>
        <v>0.61799999999999999</v>
      </c>
      <c r="BI414" s="208">
        <f>1-WWWW[[#This Row],[%Equitable and continuous access to sufficient quantity of domestic water borehole n ponds]]</f>
        <v>0</v>
      </c>
      <c r="BJ414" s="209">
        <f>WWWW[[#This Row],[%equitable and continuous access to sufficient quantity of safe drinking and domestic water''s GAP]]*WWWW[[#This Row],[Total PoP ]]</f>
        <v>0</v>
      </c>
      <c r="BK414" s="210">
        <f>IF(WWWW[[#This Row],[Total required water points]]-WWWW[[#This Row],['#Water points coverage]]&lt;0,0,WWWW[[#This Row],[Total required water points]]-WWWW[[#This Row],['#Water points coverage]])</f>
        <v>0.38200000000000001</v>
      </c>
      <c r="BL414" s="210">
        <f>ROUND(IF(WWWW[[#This Row],[Total PoP ]]&lt;500,1,WWWW[[#This Row],[Total PoP ]]/500),0)</f>
        <v>1</v>
      </c>
      <c r="BM414" s="210">
        <f>WWWW[[#This Row],['# Existing functional latrines]]+WWWW[[#This Row],['# Existing latrines dysfunctional]]</f>
        <v>21</v>
      </c>
      <c r="BN414"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14" s="352">
        <f>WWWW[[#This Row],[% people access to functioning Latrine]]*WWWW[[#This Row],[Total PoP ]]</f>
        <v>309</v>
      </c>
      <c r="BP414"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14" s="209">
        <f>IF(WWWW[[#This Row],[Total required Latrines]]-WWWW[[#This Row],[Total '# of latrine]]&lt;0,0,WWWW[[#This Row],[Total required Latrines]]-WWWW[[#This Row],[Total '# of latrine]])</f>
        <v>0</v>
      </c>
      <c r="BR414" s="210">
        <f>ROUND(IF(WWWW[[#This Row],[Location Type 1]]="camp",WWWW[[#This Row],[Total PoP ]]/20,WWWW[[#This Row],[Total PoP ]]/6),0)</f>
        <v>15</v>
      </c>
      <c r="BS414" s="212">
        <f>IF(OR(WWWW[[#This Row],['# Existing latrines dysfunctional]]="",WWWW[[#This Row],['# Existing latrines dysfunctional]]=0),0,WWWW[[#This Row],['# Existing latrines dysfunctional]]/WWWW[[#This Row],[Total '# of latrine]])</f>
        <v>0.19047619047619047</v>
      </c>
      <c r="BT414"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14" s="209">
        <f>IF(500*WWWW[[#This Row],['# Hygiene Promoters ]]&gt;WWWW[[#This Row],[Total PoP ]],WWWW[[#This Row],[Total PoP ]],500*WWWW[[#This Row],['# Hygiene Promoters ]])</f>
        <v>309</v>
      </c>
      <c r="BV414" s="209">
        <f>IF(WWWW[[#This Row],[% of HH with access to Sanitary Pad]]&gt;=100%,1,0)</f>
        <v>0</v>
      </c>
      <c r="BW414" s="209">
        <f>IF(WWWW[[#This Row],[Total PoP ]]=0,0,IF(WWWW[[#This Row],['# Hygiene Promoters ]]=0,0,IF(WWWW[[#This Row],[Location Type 1]]="Village",IF(WWWW[[#This Row],[Total PoP ]]/WWWW[[#This Row],['# Hygiene Promoters ]]&lt;1000,1,0),IF(WWWW[[#This Row],[Total PoP ]]/WWWW[[#This Row],['# Hygiene Promoters ]]&lt;600,1,0))))</f>
        <v>1</v>
      </c>
      <c r="BX414" s="209">
        <f>IF(WWWW[[#This Row],[%HH with access to soap]]&gt;=100%,1,0)</f>
        <v>1</v>
      </c>
      <c r="BY414" s="209">
        <f>IF(WWWW[[#This Row],[% of HHs with access to Sanitary pad more than '#%]]+WWWW[[#This Row],[Ratio of Hyiene promoters to people less than '#]]+WWWW[[#This Row],[% of HHs with access to soap more than '#%]]&gt;=2,WWWW[[#This Row],[Total PoP ]],0)</f>
        <v>309</v>
      </c>
      <c r="BZ414" s="208">
        <f>WWWW[[#This Row],[People adopt basic personal and community hygiene practices]]/WWWW[[#This Row],[Total PoP ]]</f>
        <v>1</v>
      </c>
      <c r="CA414" s="212">
        <f>1-WWWW[[#This Row],[Hygiene Coverage%]]</f>
        <v>0</v>
      </c>
      <c r="CB414" s="211">
        <f>WWWW[[#This Row],['# people reached by regular dedicated hygiene promotion_5]]/WWWW[[#This Row],[Total PoP ]]</f>
        <v>1</v>
      </c>
      <c r="CC414" s="211">
        <f>IF(WWWW[[#This Row],['# HH received soaps]]/WWWW[[#This Row],[Total HH]]&gt;1,1,WWWW[[#This Row],['# HH received soaps]]/WWWW[[#This Row],[Total HH]])</f>
        <v>1</v>
      </c>
      <c r="CD414" s="211">
        <f>IF(WWWW[[#This Row],['# HH received Sanitary Pads]]/WWWW[[#This Row],[Total HH]]&gt;1,1,WWWW[[#This Row],['# HH received Sanitary Pads]]/WWWW[[#This Row],[Total HH]])</f>
        <v>0</v>
      </c>
      <c r="CE414" s="210">
        <f>WWWW[[#This Row],['# HH received soaps]]*5</f>
        <v>370</v>
      </c>
      <c r="CF414" s="210">
        <f>WWWW[[#This Row],['# HH received Sanitary Pads]]*5</f>
        <v>0</v>
      </c>
      <c r="CG414" s="210">
        <f>IF(WWWW[[#This Row],['# People with access to soap]]&gt;WWWW[[#This Row],['# People with access to Sanity Pads]],WWWW[[#This Row],['# People with access to soap]],WWWW[[#This Row],['# People with access to Sanity Pads]])</f>
        <v>370</v>
      </c>
      <c r="CH414" s="209">
        <f>WWWW[[#This Row],[Total HH]]*WWWW[[#This Row],[%HHs with access to functional hand washing stations]]</f>
        <v>67</v>
      </c>
      <c r="CI414" s="699" t="str">
        <f>VLOOKUP(WWWW[[#This Row],[Site Name]],SiteDB6[[Site Name]:[CCCM Management]],6,FALSE)</f>
        <v>Yes</v>
      </c>
      <c r="CJ414" s="699" t="str">
        <f>VLOOKUP(WWWW[[#This Row],[Site Name]],SiteDB6[[Site Name]:[CCCM Focal Agency]],7,FALSE)</f>
        <v>KBC</v>
      </c>
      <c r="CK414" s="699" t="str">
        <f>VLOOKUP(WWWW[[#This Row],[Site Name]],SiteDB6[[Site Name]:[Location Type]],8,FALSE)</f>
        <v>Camp</v>
      </c>
      <c r="CL414" s="699" t="str">
        <f>VLOOKUP(WWWW[[#This Row],[Site Name]],SiteDB6[[Site Name]:[Location Type 1]],9,FALSE)</f>
        <v>Camp</v>
      </c>
      <c r="CM414" s="699" t="str">
        <f>VLOOKUP(WWWW[[#This Row],[Site Name]],SiteDB6[[Site Name]:[Type of Accommodation]],10,FALSE)</f>
        <v>Camp</v>
      </c>
      <c r="CN414" s="699" t="str">
        <f>VLOOKUP(WWWW[[#This Row],[Site Name]],SiteDB6[[Site Name]:[Ethnic or GCA/NGCA]],11,FALSE)</f>
        <v>GCA</v>
      </c>
      <c r="CO414" s="699">
        <f>VLOOKUP(WWWW[[#This Row],[Site Name]],SiteDB6[[Site Name]:[Lat]],12,FALSE)</f>
        <v>23.821380000000001</v>
      </c>
      <c r="CP414" s="699">
        <f>VLOOKUP(WWWW[[#This Row],[Site Name]],SiteDB6[[Site Name]:[Long]],13,FALSE)</f>
        <v>97.681970000000007</v>
      </c>
      <c r="CQ414" s="699" t="str">
        <f>VLOOKUP(WWWW[[#This Row],[Site Name]],SiteDB6[[Site Name]:[Pcode]],3,FALSE)</f>
        <v>MMR015CMP004</v>
      </c>
      <c r="CR414" s="660" t="str">
        <f t="shared" si="11"/>
        <v>Covered</v>
      </c>
      <c r="CS414" s="660"/>
      <c r="CT414" s="24"/>
      <c r="CU414" s="24"/>
      <c r="CV414" s="24"/>
    </row>
    <row r="415" spans="1:100" ht="15.75" customHeight="1" x14ac:dyDescent="0.25">
      <c r="A415" s="833" t="s">
        <v>3206</v>
      </c>
      <c r="B415" s="206" t="s">
        <v>2488</v>
      </c>
      <c r="C415" s="206" t="s">
        <v>866</v>
      </c>
      <c r="D415" s="206" t="s">
        <v>867</v>
      </c>
      <c r="E415" s="206" t="s">
        <v>916</v>
      </c>
      <c r="F415" s="206">
        <v>53</v>
      </c>
      <c r="G415" s="209">
        <v>281</v>
      </c>
      <c r="H415" s="206">
        <v>61</v>
      </c>
      <c r="I415" s="206" t="s">
        <v>3254</v>
      </c>
      <c r="J415" s="207" t="s">
        <v>3255</v>
      </c>
      <c r="K415" s="206">
        <v>0</v>
      </c>
      <c r="L415" s="206" t="s">
        <v>48</v>
      </c>
      <c r="M415" s="208">
        <v>0.67</v>
      </c>
      <c r="N415" s="208">
        <v>1</v>
      </c>
      <c r="O415" s="316">
        <v>0</v>
      </c>
      <c r="P415" s="317">
        <v>0</v>
      </c>
      <c r="Q415" s="317">
        <v>7680</v>
      </c>
      <c r="R415" s="318">
        <v>0</v>
      </c>
      <c r="S415" s="318">
        <v>0</v>
      </c>
      <c r="T415" s="318">
        <v>0</v>
      </c>
      <c r="U415" s="318">
        <v>0</v>
      </c>
      <c r="V415" s="318">
        <v>0</v>
      </c>
      <c r="W415" s="318">
        <v>0</v>
      </c>
      <c r="X415" s="318">
        <v>0</v>
      </c>
      <c r="Y415" s="318">
        <v>0</v>
      </c>
      <c r="Z415" s="318"/>
      <c r="AA415" s="310">
        <v>10</v>
      </c>
      <c r="AB415" s="310">
        <v>0</v>
      </c>
      <c r="AC415" s="66">
        <v>0</v>
      </c>
      <c r="AD415" s="66"/>
      <c r="AE415" s="310">
        <v>10</v>
      </c>
      <c r="AF415" s="310" t="s">
        <v>283</v>
      </c>
      <c r="AG415" s="311" t="s">
        <v>332</v>
      </c>
      <c r="AH415" s="311">
        <v>0</v>
      </c>
      <c r="AI415" s="310">
        <v>0</v>
      </c>
      <c r="AJ415" s="310"/>
      <c r="AK415" s="841">
        <v>0</v>
      </c>
      <c r="AL415" s="842" t="s">
        <v>284</v>
      </c>
      <c r="AM415" s="842">
        <v>0</v>
      </c>
      <c r="AN415" s="863">
        <v>2</v>
      </c>
      <c r="AO415" s="863">
        <v>1</v>
      </c>
      <c r="AP415" s="843">
        <v>0</v>
      </c>
      <c r="AQ415" s="843">
        <v>0</v>
      </c>
      <c r="AR415" s="843"/>
      <c r="AS415" s="843"/>
      <c r="AT415" s="843"/>
      <c r="AU415" s="843"/>
      <c r="AV415" s="844"/>
      <c r="AW415" s="208" t="str">
        <f>IFERROR(WWWW[[#This Row],['# of Water passed at source]]/WWWW[[#This Row],['# of Water tested at source]],"no test")</f>
        <v>no test</v>
      </c>
      <c r="AX415" s="211" t="str">
        <f>IFERROR(WWWW[[#This Row],['# of Water passed at HH]]/WWWW[[#This Row],['# of Water tested at HH]],"no test")</f>
        <v>no test</v>
      </c>
      <c r="AY415" s="210" t="str">
        <f>IF(AND(WWWW[[#This Row],[%of Water samples which passed at water source]]="no test",WWWW[[#This Row],[%Water samples which passed at HH]]="no test"),"No Test","Tested")</f>
        <v>No Test</v>
      </c>
      <c r="AZ415"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5"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15" s="211">
        <f>IF(WWWW[[#This Row],[Location Type 1]]="Village",WWWW[[#This Row],[Access to safe drinking water for Village]],WWWW[[#This Row],[Access to safe drinking water for Camp]])</f>
        <v>1</v>
      </c>
      <c r="BC415" s="209">
        <f>WWWW[[#This Row],[%Equitable and continuous access to sufficient quantity of safe drinking water]]*WWWW[[#This Row],[Total PoP ]]</f>
        <v>281</v>
      </c>
      <c r="BD415" s="211">
        <f>IF((WWWW[[#This Row],['# Existing protected/fenced ponds ]]*250)/WWWW[[#This Row],[Total PoP ]]&gt;1,1,WWWW[[#This Row],['# Existing protected/fenced ponds ]]*250/WWWW[[#This Row],[Total PoP ]])</f>
        <v>0</v>
      </c>
      <c r="BE415" s="209">
        <f>WWWW[[#This Row],[Access to unimproved water points]]*WWWW[[#This Row],[Total PoP ]]</f>
        <v>0</v>
      </c>
      <c r="BF415"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5"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281</v>
      </c>
      <c r="BH415" s="209">
        <f>WWWW[[#This Row],['#people Equitable and continuous access to sufficient quantity of domestic water borehole n ponds_2]]/500</f>
        <v>0.56200000000000006</v>
      </c>
      <c r="BI415" s="208">
        <f>1-WWWW[[#This Row],[%Equitable and continuous access to sufficient quantity of domestic water borehole n ponds]]</f>
        <v>0</v>
      </c>
      <c r="BJ415" s="209">
        <f>WWWW[[#This Row],[%equitable and continuous access to sufficient quantity of safe drinking and domestic water''s GAP]]*WWWW[[#This Row],[Total PoP ]]</f>
        <v>0</v>
      </c>
      <c r="BK415" s="210">
        <f>IF(WWWW[[#This Row],[Total required water points]]-WWWW[[#This Row],['#Water points coverage]]&lt;0,0,WWWW[[#This Row],[Total required water points]]-WWWW[[#This Row],['#Water points coverage]])</f>
        <v>0.43799999999999994</v>
      </c>
      <c r="BL415" s="210">
        <f>ROUND(IF(WWWW[[#This Row],[Total PoP ]]&lt;500,1,WWWW[[#This Row],[Total PoP ]]/500),0)</f>
        <v>1</v>
      </c>
      <c r="BM415" s="210">
        <f>WWWW[[#This Row],['# Existing functional latrines]]+WWWW[[#This Row],['# Existing latrines dysfunctional]]</f>
        <v>10</v>
      </c>
      <c r="BN415"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0.71174377224199292</v>
      </c>
      <c r="BO415" s="352">
        <f>WWWW[[#This Row],[% people access to functioning Latrine]]*WWWW[[#This Row],[Total PoP ]]</f>
        <v>200</v>
      </c>
      <c r="BP415"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0.28469750889679712</v>
      </c>
      <c r="BQ415" s="209">
        <f>IF(WWWW[[#This Row],[Total required Latrines]]-WWWW[[#This Row],[Total '# of latrine]]&lt;0,0,WWWW[[#This Row],[Total required Latrines]]-WWWW[[#This Row],[Total '# of latrine]])</f>
        <v>4</v>
      </c>
      <c r="BR415" s="210">
        <f>ROUND(IF(WWWW[[#This Row],[Location Type 1]]="camp",WWWW[[#This Row],[Total PoP ]]/20,WWWW[[#This Row],[Total PoP ]]/6),0)</f>
        <v>14</v>
      </c>
      <c r="BS415" s="212">
        <f>IF(OR(WWWW[[#This Row],['# Existing latrines dysfunctional]]="",WWWW[[#This Row],['# Existing latrines dysfunctional]]=0),0,WWWW[[#This Row],['# Existing latrines dysfunctional]]/WWWW[[#This Row],[Total '# of latrine]])</f>
        <v>0</v>
      </c>
      <c r="BT415"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15" s="209">
        <f>IF(500*WWWW[[#This Row],['# Hygiene Promoters ]]&gt;WWWW[[#This Row],[Total PoP ]],WWWW[[#This Row],[Total PoP ]],500*WWWW[[#This Row],['# Hygiene Promoters ]])</f>
        <v>281</v>
      </c>
      <c r="BV415" s="209">
        <f>IF(WWWW[[#This Row],[% of HH with access to Sanitary Pad]]&gt;=100%,1,0)</f>
        <v>0</v>
      </c>
      <c r="BW415" s="209">
        <f>IF(WWWW[[#This Row],[Total PoP ]]=0,0,IF(WWWW[[#This Row],['# Hygiene Promoters ]]=0,0,IF(WWWW[[#This Row],[Location Type 1]]="Village",IF(WWWW[[#This Row],[Total PoP ]]/WWWW[[#This Row],['# Hygiene Promoters ]]&lt;1000,1,0),IF(WWWW[[#This Row],[Total PoP ]]/WWWW[[#This Row],['# Hygiene Promoters ]]&lt;600,1,0))))</f>
        <v>1</v>
      </c>
      <c r="BX415" s="209">
        <f>IF(WWWW[[#This Row],[%HH with access to soap]]&gt;=100%,1,0)</f>
        <v>0</v>
      </c>
      <c r="BY415" s="209">
        <f>IF(WWWW[[#This Row],[% of HHs with access to Sanitary pad more than '#%]]+WWWW[[#This Row],[Ratio of Hyiene promoters to people less than '#]]+WWWW[[#This Row],[% of HHs with access to soap more than '#%]]&gt;=2,WWWW[[#This Row],[Total PoP ]],0)</f>
        <v>0</v>
      </c>
      <c r="BZ415" s="208">
        <f>WWWW[[#This Row],[People adopt basic personal and community hygiene practices]]/WWWW[[#This Row],[Total PoP ]]</f>
        <v>0</v>
      </c>
      <c r="CA415" s="212">
        <f>1-WWWW[[#This Row],[Hygiene Coverage%]]</f>
        <v>1</v>
      </c>
      <c r="CB415" s="211">
        <f>WWWW[[#This Row],['# people reached by regular dedicated hygiene promotion_5]]/WWWW[[#This Row],[Total PoP ]]</f>
        <v>1</v>
      </c>
      <c r="CC415" s="211">
        <f>IF(WWWW[[#This Row],['# HH received soaps]]/WWWW[[#This Row],[Total HH]]&gt;1,1,WWWW[[#This Row],['# HH received soaps]]/WWWW[[#This Row],[Total HH]])</f>
        <v>0</v>
      </c>
      <c r="CD415" s="211">
        <f>IF(WWWW[[#This Row],['# HH received Sanitary Pads]]/WWWW[[#This Row],[Total HH]]&gt;1,1,WWWW[[#This Row],['# HH received Sanitary Pads]]/WWWW[[#This Row],[Total HH]])</f>
        <v>0</v>
      </c>
      <c r="CE415" s="210">
        <f>WWWW[[#This Row],['# HH received soaps]]*5</f>
        <v>0</v>
      </c>
      <c r="CF415" s="210">
        <f>WWWW[[#This Row],['# HH received Sanitary Pads]]*5</f>
        <v>0</v>
      </c>
      <c r="CG415" s="210">
        <f>IF(WWWW[[#This Row],['# People with access to soap]]&gt;WWWW[[#This Row],['# People with access to Sanity Pads]],WWWW[[#This Row],['# People with access to soap]],WWWW[[#This Row],['# People with access to Sanity Pads]])</f>
        <v>0</v>
      </c>
      <c r="CH415" s="209">
        <f>WWWW[[#This Row],[Total HH]]*WWWW[[#This Row],[%HHs with access to functional hand washing stations]]</f>
        <v>0</v>
      </c>
      <c r="CI415" s="699">
        <f>VLOOKUP(WWWW[[#This Row],[Site Name]],SiteDB6[[Site Name]:[CCCM Management]],6,FALSE)</f>
        <v>0</v>
      </c>
      <c r="CJ415" s="699" t="str">
        <f>VLOOKUP(WWWW[[#This Row],[Site Name]],SiteDB6[[Site Name]:[CCCM Focal Agency]],7,FALSE)</f>
        <v>uncovered</v>
      </c>
      <c r="CK415" s="699" t="str">
        <f>VLOOKUP(WWWW[[#This Row],[Site Name]],SiteDB6[[Site Name]:[Location Type]],8,FALSE)</f>
        <v>Camp</v>
      </c>
      <c r="CL415" s="699" t="str">
        <f>VLOOKUP(WWWW[[#This Row],[Site Name]],SiteDB6[[Site Name]:[Location Type 1]],9,FALSE)</f>
        <v>Camp</v>
      </c>
      <c r="CM415" s="699" t="str">
        <f>VLOOKUP(WWWW[[#This Row],[Site Name]],SiteDB6[[Site Name]:[Type of Accommodation]],10,FALSE)</f>
        <v>Camp like setting</v>
      </c>
      <c r="CN415" s="699" t="str">
        <f>VLOOKUP(WWWW[[#This Row],[Site Name]],SiteDB6[[Site Name]:[Ethnic or GCA/NGCA]],11,FALSE)</f>
        <v>GCA</v>
      </c>
      <c r="CO415" s="699">
        <f>VLOOKUP(WWWW[[#This Row],[Site Name]],SiteDB6[[Site Name]:[Lat]],12,FALSE)</f>
        <v>23.611999999999998</v>
      </c>
      <c r="CP415" s="699">
        <f>VLOOKUP(WWWW[[#This Row],[Site Name]],SiteDB6[[Site Name]:[Long]],13,FALSE)</f>
        <v>97.506</v>
      </c>
      <c r="CQ415" s="699" t="str">
        <f>VLOOKUP(WWWW[[#This Row],[Site Name]],SiteDB6[[Site Name]:[Pcode]],3,FALSE)</f>
        <v>MMR015CMP224</v>
      </c>
      <c r="CR415" s="660" t="str">
        <f t="shared" si="11"/>
        <v>Covered</v>
      </c>
      <c r="CS415" s="660"/>
      <c r="CT415" s="24"/>
      <c r="CU415" s="24"/>
      <c r="CV415" s="24"/>
    </row>
    <row r="416" spans="1:100" ht="15.75" customHeight="1" x14ac:dyDescent="0.25">
      <c r="A416" s="833" t="s">
        <v>3206</v>
      </c>
      <c r="B416" s="206" t="s">
        <v>447</v>
      </c>
      <c r="C416" s="206" t="s">
        <v>866</v>
      </c>
      <c r="D416" s="206" t="s">
        <v>870</v>
      </c>
      <c r="E416" s="206" t="s">
        <v>900</v>
      </c>
      <c r="F416" s="206">
        <v>31</v>
      </c>
      <c r="G416" s="209">
        <v>180</v>
      </c>
      <c r="H416" s="206">
        <v>61</v>
      </c>
      <c r="I416" s="206" t="s">
        <v>3256</v>
      </c>
      <c r="J416" s="207" t="s">
        <v>2788</v>
      </c>
      <c r="K416" s="206">
        <v>0</v>
      </c>
      <c r="L416" s="206" t="s">
        <v>48</v>
      </c>
      <c r="M416" s="208">
        <v>0.44</v>
      </c>
      <c r="N416" s="208">
        <v>1</v>
      </c>
      <c r="O416" s="316">
        <v>0</v>
      </c>
      <c r="P416" s="317">
        <v>0</v>
      </c>
      <c r="Q416" s="317">
        <v>4608</v>
      </c>
      <c r="R416" s="318">
        <v>0</v>
      </c>
      <c r="S416" s="318">
        <v>0</v>
      </c>
      <c r="T416" s="318"/>
      <c r="U416" s="318">
        <v>0</v>
      </c>
      <c r="V416" s="318">
        <v>0</v>
      </c>
      <c r="W416" s="318">
        <v>16</v>
      </c>
      <c r="X416" s="318">
        <v>12</v>
      </c>
      <c r="Y416" s="318">
        <v>0</v>
      </c>
      <c r="Z416" s="318"/>
      <c r="AA416" s="310">
        <v>20</v>
      </c>
      <c r="AB416" s="310">
        <v>0</v>
      </c>
      <c r="AC416" s="66">
        <v>0</v>
      </c>
      <c r="AD416" s="66"/>
      <c r="AE416" s="310">
        <v>20</v>
      </c>
      <c r="AF416" s="310" t="s">
        <v>1358</v>
      </c>
      <c r="AG416" s="311" t="s">
        <v>1358</v>
      </c>
      <c r="AH416" s="311">
        <v>0</v>
      </c>
      <c r="AI416" s="310">
        <v>0</v>
      </c>
      <c r="AJ416" s="310"/>
      <c r="AK416" s="841">
        <v>0</v>
      </c>
      <c r="AL416" s="842" t="s">
        <v>284</v>
      </c>
      <c r="AM416" s="842">
        <v>0</v>
      </c>
      <c r="AN416" s="863">
        <v>0</v>
      </c>
      <c r="AO416" s="863">
        <v>1</v>
      </c>
      <c r="AP416" s="843">
        <v>0</v>
      </c>
      <c r="AQ416" s="843">
        <v>0</v>
      </c>
      <c r="AR416" s="843"/>
      <c r="AS416" s="843"/>
      <c r="AT416" s="843"/>
      <c r="AU416" s="843"/>
      <c r="AV416" s="844"/>
      <c r="AW416" s="208" t="str">
        <f>IFERROR(WWWW[[#This Row],['# of Water passed at source]]/WWWW[[#This Row],['# of Water tested at source]],"no test")</f>
        <v>no test</v>
      </c>
      <c r="AX416" s="211">
        <f>IFERROR(WWWW[[#This Row],['# of Water passed at HH]]/WWWW[[#This Row],['# of Water tested at HH]],"no test")</f>
        <v>0.75</v>
      </c>
      <c r="AY416" s="210" t="str">
        <f>IF(AND(WWWW[[#This Row],[%of Water samples which passed at water source]]="no test",WWWW[[#This Row],[%Water samples which passed at HH]]="no test"),"No Test","Tested")</f>
        <v>Tested</v>
      </c>
      <c r="AZ416"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6"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16" s="211">
        <f>IF(WWWW[[#This Row],[Location Type 1]]="Village",WWWW[[#This Row],[Access to safe drinking water for Village]],WWWW[[#This Row],[Access to safe drinking water for Camp]])</f>
        <v>1</v>
      </c>
      <c r="BC416" s="209">
        <f>WWWW[[#This Row],[%Equitable and continuous access to sufficient quantity of safe drinking water]]*WWWW[[#This Row],[Total PoP ]]</f>
        <v>180</v>
      </c>
      <c r="BD416" s="211">
        <f>IF((WWWW[[#This Row],['# Existing protected/fenced ponds ]]*250)/WWWW[[#This Row],[Total PoP ]]&gt;1,1,WWWW[[#This Row],['# Existing protected/fenced ponds ]]*250/WWWW[[#This Row],[Total PoP ]])</f>
        <v>0</v>
      </c>
      <c r="BE416" s="209">
        <f>WWWW[[#This Row],[Access to unimproved water points]]*WWWW[[#This Row],[Total PoP ]]</f>
        <v>0</v>
      </c>
      <c r="BF416"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6"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180</v>
      </c>
      <c r="BH416" s="209">
        <f>WWWW[[#This Row],['#people Equitable and continuous access to sufficient quantity of domestic water borehole n ponds_2]]/500</f>
        <v>0.36</v>
      </c>
      <c r="BI416" s="208">
        <f>1-WWWW[[#This Row],[%Equitable and continuous access to sufficient quantity of domestic water borehole n ponds]]</f>
        <v>0</v>
      </c>
      <c r="BJ416" s="209">
        <f>WWWW[[#This Row],[%equitable and continuous access to sufficient quantity of safe drinking and domestic water''s GAP]]*WWWW[[#This Row],[Total PoP ]]</f>
        <v>0</v>
      </c>
      <c r="BK416" s="210">
        <f>IF(WWWW[[#This Row],[Total required water points]]-WWWW[[#This Row],['#Water points coverage]]&lt;0,0,WWWW[[#This Row],[Total required water points]]-WWWW[[#This Row],['#Water points coverage]])</f>
        <v>0.64</v>
      </c>
      <c r="BL416" s="210">
        <f>ROUND(IF(WWWW[[#This Row],[Total PoP ]]&lt;500,1,WWWW[[#This Row],[Total PoP ]]/500),0)</f>
        <v>1</v>
      </c>
      <c r="BM416" s="210">
        <f>WWWW[[#This Row],['# Existing functional latrines]]+WWWW[[#This Row],['# Existing latrines dysfunctional]]</f>
        <v>20</v>
      </c>
      <c r="BN416"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16" s="352">
        <f>WWWW[[#This Row],[% people access to functioning Latrine]]*WWWW[[#This Row],[Total PoP ]]</f>
        <v>180</v>
      </c>
      <c r="BP416"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16" s="209">
        <f>IF(WWWW[[#This Row],[Total required Latrines]]-WWWW[[#This Row],[Total '# of latrine]]&lt;0,0,WWWW[[#This Row],[Total required Latrines]]-WWWW[[#This Row],[Total '# of latrine]])</f>
        <v>0</v>
      </c>
      <c r="BR416" s="210">
        <f>ROUND(IF(WWWW[[#This Row],[Location Type 1]]="camp",WWWW[[#This Row],[Total PoP ]]/20,WWWW[[#This Row],[Total PoP ]]/6),0)</f>
        <v>9</v>
      </c>
      <c r="BS416" s="212">
        <f>IF(OR(WWWW[[#This Row],['# Existing latrines dysfunctional]]="",WWWW[[#This Row],['# Existing latrines dysfunctional]]=0),0,WWWW[[#This Row],['# Existing latrines dysfunctional]]/WWWW[[#This Row],[Total '# of latrine]])</f>
        <v>0</v>
      </c>
      <c r="BT416"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16" s="209">
        <f>IF(500*WWWW[[#This Row],['# Hygiene Promoters ]]&gt;WWWW[[#This Row],[Total PoP ]],WWWW[[#This Row],[Total PoP ]],500*WWWW[[#This Row],['# Hygiene Promoters ]])</f>
        <v>180</v>
      </c>
      <c r="BV416" s="209">
        <f>IF(WWWW[[#This Row],[% of HH with access to Sanitary Pad]]&gt;=100%,1,0)</f>
        <v>0</v>
      </c>
      <c r="BW416" s="209">
        <f>IF(WWWW[[#This Row],[Total PoP ]]=0,0,IF(WWWW[[#This Row],['# Hygiene Promoters ]]=0,0,IF(WWWW[[#This Row],[Location Type 1]]="Village",IF(WWWW[[#This Row],[Total PoP ]]/WWWW[[#This Row],['# Hygiene Promoters ]]&lt;1000,1,0),IF(WWWW[[#This Row],[Total PoP ]]/WWWW[[#This Row],['# Hygiene Promoters ]]&lt;600,1,0))))</f>
        <v>1</v>
      </c>
      <c r="BX416" s="209">
        <f>IF(WWWW[[#This Row],[%HH with access to soap]]&gt;=100%,1,0)</f>
        <v>0</v>
      </c>
      <c r="BY416" s="209">
        <f>IF(WWWW[[#This Row],[% of HHs with access to Sanitary pad more than '#%]]+WWWW[[#This Row],[Ratio of Hyiene promoters to people less than '#]]+WWWW[[#This Row],[% of HHs with access to soap more than '#%]]&gt;=2,WWWW[[#This Row],[Total PoP ]],0)</f>
        <v>0</v>
      </c>
      <c r="BZ416" s="208">
        <f>WWWW[[#This Row],[People adopt basic personal and community hygiene practices]]/WWWW[[#This Row],[Total PoP ]]</f>
        <v>0</v>
      </c>
      <c r="CA416" s="212">
        <f>1-WWWW[[#This Row],[Hygiene Coverage%]]</f>
        <v>1</v>
      </c>
      <c r="CB416" s="211">
        <f>WWWW[[#This Row],['# people reached by regular dedicated hygiene promotion_5]]/WWWW[[#This Row],[Total PoP ]]</f>
        <v>1</v>
      </c>
      <c r="CC416" s="211">
        <f>IF(WWWW[[#This Row],['# HH received soaps]]/WWWW[[#This Row],[Total HH]]&gt;1,1,WWWW[[#This Row],['# HH received soaps]]/WWWW[[#This Row],[Total HH]])</f>
        <v>0</v>
      </c>
      <c r="CD416" s="211">
        <f>IF(WWWW[[#This Row],['# HH received Sanitary Pads]]/WWWW[[#This Row],[Total HH]]&gt;1,1,WWWW[[#This Row],['# HH received Sanitary Pads]]/WWWW[[#This Row],[Total HH]])</f>
        <v>0</v>
      </c>
      <c r="CE416" s="210">
        <f>WWWW[[#This Row],['# HH received soaps]]*5</f>
        <v>0</v>
      </c>
      <c r="CF416" s="210">
        <f>WWWW[[#This Row],['# HH received Sanitary Pads]]*5</f>
        <v>0</v>
      </c>
      <c r="CG416" s="210">
        <f>IF(WWWW[[#This Row],['# People with access to soap]]&gt;WWWW[[#This Row],['# People with access to Sanity Pads]],WWWW[[#This Row],['# People with access to soap]],WWWW[[#This Row],['# People with access to Sanity Pads]])</f>
        <v>0</v>
      </c>
      <c r="CH416" s="209">
        <f>WWWW[[#This Row],[Total HH]]*WWWW[[#This Row],[%HHs with access to functional hand washing stations]]</f>
        <v>0</v>
      </c>
      <c r="CI416" s="699">
        <f>VLOOKUP(WWWW[[#This Row],[Site Name]],SiteDB6[[Site Name]:[CCCM Management]],6,FALSE)</f>
        <v>0</v>
      </c>
      <c r="CJ416" s="699" t="str">
        <f>VLOOKUP(WWWW[[#This Row],[Site Name]],SiteDB6[[Site Name]:[CCCM Focal Agency]],7,FALSE)</f>
        <v>uncovered</v>
      </c>
      <c r="CK416" s="699" t="str">
        <f>VLOOKUP(WWWW[[#This Row],[Site Name]],SiteDB6[[Site Name]:[Location Type]],8,FALSE)</f>
        <v>Camp</v>
      </c>
      <c r="CL416" s="699" t="str">
        <f>VLOOKUP(WWWW[[#This Row],[Site Name]],SiteDB6[[Site Name]:[Location Type 1]],9,FALSE)</f>
        <v>Camp</v>
      </c>
      <c r="CM416" s="699" t="str">
        <f>VLOOKUP(WWWW[[#This Row],[Site Name]],SiteDB6[[Site Name]:[Type of Accommodation]],10,FALSE)</f>
        <v>Camp like setting</v>
      </c>
      <c r="CN416" s="699" t="str">
        <f>VLOOKUP(WWWW[[#This Row],[Site Name]],SiteDB6[[Site Name]:[Ethnic or GCA/NGCA]],11,FALSE)</f>
        <v>GCA</v>
      </c>
      <c r="CO416" s="699">
        <f>VLOOKUP(WWWW[[#This Row],[Site Name]],SiteDB6[[Site Name]:[Lat]],12,FALSE)</f>
        <v>23.850999999999999</v>
      </c>
      <c r="CP416" s="699">
        <f>VLOOKUP(WWWW[[#This Row],[Site Name]],SiteDB6[[Site Name]:[Long]],13,FALSE)</f>
        <v>98.337999999999994</v>
      </c>
      <c r="CQ416" s="699" t="str">
        <f>VLOOKUP(WWWW[[#This Row],[Site Name]],SiteDB6[[Site Name]:[Pcode]],3,FALSE)</f>
        <v>MMR015CMP227</v>
      </c>
      <c r="CR416" s="660" t="str">
        <f t="shared" si="11"/>
        <v>Covered</v>
      </c>
      <c r="CS416" s="660"/>
      <c r="CT416" s="24"/>
      <c r="CU416" s="24"/>
      <c r="CV416" s="24"/>
    </row>
    <row r="417" spans="1:100" ht="15.75" customHeight="1" x14ac:dyDescent="0.25">
      <c r="A417" s="833" t="s">
        <v>3206</v>
      </c>
      <c r="B417" s="206" t="s">
        <v>43</v>
      </c>
      <c r="C417" s="206" t="s">
        <v>866</v>
      </c>
      <c r="D417" s="206" t="s">
        <v>867</v>
      </c>
      <c r="E417" s="206" t="s">
        <v>868</v>
      </c>
      <c r="F417" s="206">
        <v>44</v>
      </c>
      <c r="G417" s="209">
        <v>217</v>
      </c>
      <c r="H417" s="206">
        <v>115</v>
      </c>
      <c r="I417" s="206" t="s">
        <v>872</v>
      </c>
      <c r="J417" s="207">
        <v>43465</v>
      </c>
      <c r="K417" s="206">
        <v>0</v>
      </c>
      <c r="L417" s="206" t="s">
        <v>48</v>
      </c>
      <c r="M417" s="208">
        <v>0.75</v>
      </c>
      <c r="N417" s="208">
        <v>0.5</v>
      </c>
      <c r="O417" s="316">
        <v>1</v>
      </c>
      <c r="P417" s="317">
        <v>1</v>
      </c>
      <c r="Q417" s="317">
        <v>10800</v>
      </c>
      <c r="R417" s="318"/>
      <c r="S417" s="318">
        <v>2</v>
      </c>
      <c r="T417" s="318"/>
      <c r="U417" s="318">
        <v>2</v>
      </c>
      <c r="V417" s="318">
        <v>2</v>
      </c>
      <c r="W417" s="318">
        <v>19</v>
      </c>
      <c r="X417" s="318">
        <v>7</v>
      </c>
      <c r="Y417" s="318">
        <v>0</v>
      </c>
      <c r="Z417" s="318"/>
      <c r="AA417" s="310">
        <v>16</v>
      </c>
      <c r="AB417" s="310">
        <v>3</v>
      </c>
      <c r="AC417" s="66">
        <v>1</v>
      </c>
      <c r="AD417" s="66"/>
      <c r="AE417" s="310">
        <v>17</v>
      </c>
      <c r="AF417" s="310" t="s">
        <v>283</v>
      </c>
      <c r="AG417" s="311" t="s">
        <v>283</v>
      </c>
      <c r="AH417" s="311"/>
      <c r="AI417" s="310"/>
      <c r="AJ417" s="310"/>
      <c r="AK417" s="841">
        <v>1</v>
      </c>
      <c r="AL417" s="842" t="s">
        <v>376</v>
      </c>
      <c r="AM417" s="842">
        <v>0</v>
      </c>
      <c r="AN417" s="863">
        <v>2</v>
      </c>
      <c r="AO417" s="863">
        <v>2</v>
      </c>
      <c r="AP417" s="843">
        <v>42</v>
      </c>
      <c r="AQ417" s="843">
        <v>0</v>
      </c>
      <c r="AR417" s="843"/>
      <c r="AS417" s="843"/>
      <c r="AT417" s="843"/>
      <c r="AU417" s="843"/>
      <c r="AV417" s="844"/>
      <c r="AW417" s="208">
        <f>IFERROR(WWWW[[#This Row],['# of Water passed at source]]/WWWW[[#This Row],['# of Water tested at source]],"no test")</f>
        <v>1</v>
      </c>
      <c r="AX417" s="211">
        <f>IFERROR(WWWW[[#This Row],['# of Water passed at HH]]/WWWW[[#This Row],['# of Water tested at HH]],"no test")</f>
        <v>0.36842105263157893</v>
      </c>
      <c r="AY417" s="210" t="str">
        <f>IF(AND(WWWW[[#This Row],[%of Water samples which passed at water source]]="no test",WWWW[[#This Row],[%Water samples which passed at HH]]="no test"),"No Test","Tested")</f>
        <v>Tested</v>
      </c>
      <c r="AZ41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7"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17" s="211">
        <f>IF(WWWW[[#This Row],[Location Type 1]]="Village",WWWW[[#This Row],[Access to safe drinking water for Village]],WWWW[[#This Row],[Access to safe drinking water for Camp]])</f>
        <v>1</v>
      </c>
      <c r="BC417" s="209">
        <f>WWWW[[#This Row],[%Equitable and continuous access to sufficient quantity of safe drinking water]]*WWWW[[#This Row],[Total PoP ]]</f>
        <v>217</v>
      </c>
      <c r="BD417" s="211">
        <f>IF((WWWW[[#This Row],['# Existing protected/fenced ponds ]]*250)/WWWW[[#This Row],[Total PoP ]]&gt;1,1,WWWW[[#This Row],['# Existing protected/fenced ponds ]]*250/WWWW[[#This Row],[Total PoP ]])</f>
        <v>0</v>
      </c>
      <c r="BE417" s="209">
        <f>WWWW[[#This Row],[Access to unimproved water points]]*WWWW[[#This Row],[Total PoP ]]</f>
        <v>0</v>
      </c>
      <c r="BF41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217</v>
      </c>
      <c r="BH417" s="209">
        <f>WWWW[[#This Row],['#people Equitable and continuous access to sufficient quantity of domestic water borehole n ponds_2]]/500</f>
        <v>0.434</v>
      </c>
      <c r="BI417" s="208">
        <f>1-WWWW[[#This Row],[%Equitable and continuous access to sufficient quantity of domestic water borehole n ponds]]</f>
        <v>0</v>
      </c>
      <c r="BJ417" s="209">
        <f>WWWW[[#This Row],[%equitable and continuous access to sufficient quantity of safe drinking and domestic water''s GAP]]*WWWW[[#This Row],[Total PoP ]]</f>
        <v>0</v>
      </c>
      <c r="BK417" s="210">
        <f>IF(WWWW[[#This Row],[Total required water points]]-WWWW[[#This Row],['#Water points coverage]]&lt;0,0,WWWW[[#This Row],[Total required water points]]-WWWW[[#This Row],['#Water points coverage]])</f>
        <v>0.56600000000000006</v>
      </c>
      <c r="BL417" s="210">
        <f>ROUND(IF(WWWW[[#This Row],[Total PoP ]]&lt;500,1,WWWW[[#This Row],[Total PoP ]]/500),0)</f>
        <v>1</v>
      </c>
      <c r="BM417" s="210">
        <f>WWWW[[#This Row],['# Existing functional latrines]]+WWWW[[#This Row],['# Existing latrines dysfunctional]]</f>
        <v>19</v>
      </c>
      <c r="BN417"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17" s="352">
        <f>WWWW[[#This Row],[% people access to functioning Latrine]]*WWWW[[#This Row],[Total PoP ]]</f>
        <v>217</v>
      </c>
      <c r="BP417"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17" s="209">
        <f>IF(WWWW[[#This Row],[Total required Latrines]]-WWWW[[#This Row],[Total '# of latrine]]&lt;0,0,WWWW[[#This Row],[Total required Latrines]]-WWWW[[#This Row],[Total '# of latrine]])</f>
        <v>0</v>
      </c>
      <c r="BR417" s="210">
        <f>ROUND(IF(WWWW[[#This Row],[Location Type 1]]="camp",WWWW[[#This Row],[Total PoP ]]/20,WWWW[[#This Row],[Total PoP ]]/6),0)</f>
        <v>11</v>
      </c>
      <c r="BS417" s="212">
        <f>IF(OR(WWWW[[#This Row],['# Existing latrines dysfunctional]]="",WWWW[[#This Row],['# Existing latrines dysfunctional]]=0),0,WWWW[[#This Row],['# Existing latrines dysfunctional]]/WWWW[[#This Row],[Total '# of latrine]])</f>
        <v>0.15789473684210525</v>
      </c>
      <c r="BT417"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v>
      </c>
      <c r="BU417" s="209">
        <f>IF(500*WWWW[[#This Row],['# Hygiene Promoters ]]&gt;WWWW[[#This Row],[Total PoP ]],WWWW[[#This Row],[Total PoP ]],500*WWWW[[#This Row],['# Hygiene Promoters ]])</f>
        <v>217</v>
      </c>
      <c r="BV417" s="209">
        <f>IF(WWWW[[#This Row],[% of HH with access to Sanitary Pad]]&gt;=100%,1,0)</f>
        <v>0</v>
      </c>
      <c r="BW417" s="209">
        <f>IF(WWWW[[#This Row],[Total PoP ]]=0,0,IF(WWWW[[#This Row],['# Hygiene Promoters ]]=0,0,IF(WWWW[[#This Row],[Location Type 1]]="Village",IF(WWWW[[#This Row],[Total PoP ]]/WWWW[[#This Row],['# Hygiene Promoters ]]&lt;1000,1,0),IF(WWWW[[#This Row],[Total PoP ]]/WWWW[[#This Row],['# Hygiene Promoters ]]&lt;600,1,0))))</f>
        <v>1</v>
      </c>
      <c r="BX417" s="209">
        <f>IF(WWWW[[#This Row],[%HH with access to soap]]&gt;=100%,1,0)</f>
        <v>0</v>
      </c>
      <c r="BY417" s="209">
        <f>IF(WWWW[[#This Row],[% of HHs with access to Sanitary pad more than '#%]]+WWWW[[#This Row],[Ratio of Hyiene promoters to people less than '#]]+WWWW[[#This Row],[% of HHs with access to soap more than '#%]]&gt;=2,WWWW[[#This Row],[Total PoP ]],0)</f>
        <v>0</v>
      </c>
      <c r="BZ417" s="208">
        <f>WWWW[[#This Row],[People adopt basic personal and community hygiene practices]]/WWWW[[#This Row],[Total PoP ]]</f>
        <v>0</v>
      </c>
      <c r="CA417" s="212">
        <f>1-WWWW[[#This Row],[Hygiene Coverage%]]</f>
        <v>1</v>
      </c>
      <c r="CB417" s="211">
        <f>WWWW[[#This Row],['# people reached by regular dedicated hygiene promotion_5]]/WWWW[[#This Row],[Total PoP ]]</f>
        <v>1</v>
      </c>
      <c r="CC417" s="211">
        <f>IF(WWWW[[#This Row],['# HH received soaps]]/WWWW[[#This Row],[Total HH]]&gt;1,1,WWWW[[#This Row],['# HH received soaps]]/WWWW[[#This Row],[Total HH]])</f>
        <v>0.95454545454545459</v>
      </c>
      <c r="CD417" s="211">
        <f>IF(WWWW[[#This Row],['# HH received Sanitary Pads]]/WWWW[[#This Row],[Total HH]]&gt;1,1,WWWW[[#This Row],['# HH received Sanitary Pads]]/WWWW[[#This Row],[Total HH]])</f>
        <v>0</v>
      </c>
      <c r="CE417" s="210">
        <f>WWWW[[#This Row],['# HH received soaps]]*5</f>
        <v>210</v>
      </c>
      <c r="CF417" s="210">
        <f>WWWW[[#This Row],['# HH received Sanitary Pads]]*5</f>
        <v>0</v>
      </c>
      <c r="CG417" s="210">
        <f>IF(WWWW[[#This Row],['# People with access to soap]]&gt;WWWW[[#This Row],['# People with access to Sanity Pads]],WWWW[[#This Row],['# People with access to soap]],WWWW[[#This Row],['# People with access to Sanity Pads]])</f>
        <v>210</v>
      </c>
      <c r="CH417" s="209">
        <f>WWWW[[#This Row],[Total HH]]*WWWW[[#This Row],[%HHs with access to functional hand washing stations]]</f>
        <v>44</v>
      </c>
      <c r="CI417" s="699" t="str">
        <f>VLOOKUP(WWWW[[#This Row],[Site Name]],SiteDB6[[Site Name]:[CCCM Management]],6,FALSE)</f>
        <v>Yes</v>
      </c>
      <c r="CJ417" s="699" t="str">
        <f>VLOOKUP(WWWW[[#This Row],[Site Name]],SiteDB6[[Site Name]:[CCCM Focal Agency]],7,FALSE)</f>
        <v>KMSS-LSO</v>
      </c>
      <c r="CK417" s="699" t="str">
        <f>VLOOKUP(WWWW[[#This Row],[Site Name]],SiteDB6[[Site Name]:[Location Type]],8,FALSE)</f>
        <v>Camp</v>
      </c>
      <c r="CL417" s="699" t="str">
        <f>VLOOKUP(WWWW[[#This Row],[Site Name]],SiteDB6[[Site Name]:[Location Type 1]],9,FALSE)</f>
        <v>Camp</v>
      </c>
      <c r="CM417" s="699" t="str">
        <f>VLOOKUP(WWWW[[#This Row],[Site Name]],SiteDB6[[Site Name]:[Type of Accommodation]],10,FALSE)</f>
        <v>Camp</v>
      </c>
      <c r="CN417" s="699" t="str">
        <f>VLOOKUP(WWWW[[#This Row],[Site Name]],SiteDB6[[Site Name]:[Ethnic or GCA/NGCA]],11,FALSE)</f>
        <v>GCA</v>
      </c>
      <c r="CO417" s="699">
        <f>VLOOKUP(WWWW[[#This Row],[Site Name]],SiteDB6[[Site Name]:[Lat]],12,FALSE)</f>
        <v>23.828150000000001</v>
      </c>
      <c r="CP417" s="699">
        <f>VLOOKUP(WWWW[[#This Row],[Site Name]],SiteDB6[[Site Name]:[Long]],13,FALSE)</f>
        <v>97.670360000000002</v>
      </c>
      <c r="CQ417" s="699" t="str">
        <f>VLOOKUP(WWWW[[#This Row],[Site Name]],SiteDB6[[Site Name]:[Pcode]],3,FALSE)</f>
        <v>MMR015CMP003</v>
      </c>
      <c r="CR417" s="660" t="str">
        <f t="shared" si="11"/>
        <v>Covered</v>
      </c>
      <c r="CS417" s="660" t="s">
        <v>2483</v>
      </c>
      <c r="CT417" s="24"/>
      <c r="CU417" s="24"/>
      <c r="CV417" s="24"/>
    </row>
    <row r="418" spans="1:100" ht="15.75" customHeight="1" x14ac:dyDescent="0.25">
      <c r="A418" s="833" t="s">
        <v>3206</v>
      </c>
      <c r="B418" s="206" t="s">
        <v>2488</v>
      </c>
      <c r="C418" s="206" t="s">
        <v>866</v>
      </c>
      <c r="D418" s="206" t="s">
        <v>867</v>
      </c>
      <c r="E418" s="206" t="s">
        <v>919</v>
      </c>
      <c r="F418" s="206">
        <v>68</v>
      </c>
      <c r="G418" s="209">
        <v>350</v>
      </c>
      <c r="H418" s="206">
        <v>140</v>
      </c>
      <c r="I418" s="206" t="s">
        <v>449</v>
      </c>
      <c r="J418" s="207">
        <v>43421</v>
      </c>
      <c r="K418" s="206"/>
      <c r="L418" s="206" t="s">
        <v>48</v>
      </c>
      <c r="M418" s="208">
        <v>0.4</v>
      </c>
      <c r="N418" s="208">
        <v>0.2</v>
      </c>
      <c r="O418" s="316">
        <v>1</v>
      </c>
      <c r="P418" s="317">
        <v>1</v>
      </c>
      <c r="Q418" s="317">
        <v>30800</v>
      </c>
      <c r="R418" s="318">
        <v>3</v>
      </c>
      <c r="S418" s="318">
        <v>2</v>
      </c>
      <c r="T418" s="318"/>
      <c r="U418" s="318">
        <v>0</v>
      </c>
      <c r="V418" s="318">
        <v>0</v>
      </c>
      <c r="W418" s="318">
        <v>10</v>
      </c>
      <c r="X418" s="318">
        <v>8</v>
      </c>
      <c r="Y418" s="318">
        <v>0</v>
      </c>
      <c r="Z418" s="318"/>
      <c r="AA418" s="310">
        <v>10</v>
      </c>
      <c r="AB418" s="310">
        <v>0</v>
      </c>
      <c r="AC418" s="66">
        <v>20</v>
      </c>
      <c r="AD418" s="66" t="s">
        <v>2787</v>
      </c>
      <c r="AE418" s="310">
        <v>10</v>
      </c>
      <c r="AF418" s="310" t="s">
        <v>283</v>
      </c>
      <c r="AG418" s="311" t="s">
        <v>283</v>
      </c>
      <c r="AH418" s="311"/>
      <c r="AI418" s="310"/>
      <c r="AJ418" s="310"/>
      <c r="AK418" s="841">
        <v>1</v>
      </c>
      <c r="AL418" s="842" t="s">
        <v>376</v>
      </c>
      <c r="AM418" s="842">
        <v>0</v>
      </c>
      <c r="AN418" s="863">
        <v>2</v>
      </c>
      <c r="AO418" s="863">
        <v>1</v>
      </c>
      <c r="AP418" s="843">
        <v>69</v>
      </c>
      <c r="AQ418" s="843">
        <v>0</v>
      </c>
      <c r="AR418" s="843"/>
      <c r="AS418" s="843"/>
      <c r="AT418" s="843"/>
      <c r="AU418" s="843"/>
      <c r="AV418" s="844"/>
      <c r="AW418" s="208" t="str">
        <f>IFERROR(WWWW[[#This Row],['# of Water passed at source]]/WWWW[[#This Row],['# of Water tested at source]],"no test")</f>
        <v>no test</v>
      </c>
      <c r="AX418" s="211">
        <f>IFERROR(WWWW[[#This Row],['# of Water passed at HH]]/WWWW[[#This Row],['# of Water tested at HH]],"no test")</f>
        <v>0.8</v>
      </c>
      <c r="AY418" s="210" t="str">
        <f>IF(AND(WWWW[[#This Row],[%of Water samples which passed at water source]]="no test",WWWW[[#This Row],[%Water samples which passed at HH]]="no test"),"No Test","Tested")</f>
        <v>Tested</v>
      </c>
      <c r="AZ418"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8"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18" s="211">
        <f>IF(WWWW[[#This Row],[Location Type 1]]="Village",WWWW[[#This Row],[Access to safe drinking water for Village]],WWWW[[#This Row],[Access to safe drinking water for Camp]])</f>
        <v>1</v>
      </c>
      <c r="BC418" s="209">
        <f>WWWW[[#This Row],[%Equitable and continuous access to sufficient quantity of safe drinking water]]*WWWW[[#This Row],[Total PoP ]]</f>
        <v>350</v>
      </c>
      <c r="BD418" s="211">
        <f>IF((WWWW[[#This Row],['# Existing protected/fenced ponds ]]*250)/WWWW[[#This Row],[Total PoP ]]&gt;1,1,WWWW[[#This Row],['# Existing protected/fenced ponds ]]*250/WWWW[[#This Row],[Total PoP ]])</f>
        <v>1</v>
      </c>
      <c r="BE418" s="209">
        <f>WWWW[[#This Row],[Access to unimproved water points]]*WWWW[[#This Row],[Total PoP ]]</f>
        <v>350</v>
      </c>
      <c r="BF418"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8"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350</v>
      </c>
      <c r="BH418" s="209">
        <f>WWWW[[#This Row],['#people Equitable and continuous access to sufficient quantity of domestic water borehole n ponds_2]]/500</f>
        <v>0.7</v>
      </c>
      <c r="BI418" s="208">
        <f>1-WWWW[[#This Row],[%Equitable and continuous access to sufficient quantity of domestic water borehole n ponds]]</f>
        <v>0</v>
      </c>
      <c r="BJ418" s="209">
        <f>WWWW[[#This Row],[%equitable and continuous access to sufficient quantity of safe drinking and domestic water''s GAP]]*WWWW[[#This Row],[Total PoP ]]</f>
        <v>0</v>
      </c>
      <c r="BK418" s="210">
        <f>IF(WWWW[[#This Row],[Total required water points]]-WWWW[[#This Row],['#Water points coverage]]&lt;0,0,WWWW[[#This Row],[Total required water points]]-WWWW[[#This Row],['#Water points coverage]])</f>
        <v>0.30000000000000004</v>
      </c>
      <c r="BL418" s="210">
        <f>ROUND(IF(WWWW[[#This Row],[Total PoP ]]&lt;500,1,WWWW[[#This Row],[Total PoP ]]/500),0)</f>
        <v>1</v>
      </c>
      <c r="BM418" s="210">
        <f>WWWW[[#This Row],['# Existing functional latrines]]+WWWW[[#This Row],['# Existing latrines dysfunctional]]</f>
        <v>10</v>
      </c>
      <c r="BN418"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0.5714285714285714</v>
      </c>
      <c r="BO418" s="352">
        <f>WWWW[[#This Row],[% people access to functioning Latrine]]*WWWW[[#This Row],[Total PoP ]]</f>
        <v>200</v>
      </c>
      <c r="BP418"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0.45714285714285713</v>
      </c>
      <c r="BQ418" s="209">
        <f>IF(WWWW[[#This Row],[Total required Latrines]]-WWWW[[#This Row],[Total '# of latrine]]&lt;0,0,WWWW[[#This Row],[Total required Latrines]]-WWWW[[#This Row],[Total '# of latrine]])</f>
        <v>8</v>
      </c>
      <c r="BR418" s="210">
        <f>ROUND(IF(WWWW[[#This Row],[Location Type 1]]="camp",WWWW[[#This Row],[Total PoP ]]/20,WWWW[[#This Row],[Total PoP ]]/6),0)</f>
        <v>18</v>
      </c>
      <c r="BS418" s="212">
        <f>IF(OR(WWWW[[#This Row],['# Existing latrines dysfunctional]]="",WWWW[[#This Row],['# Existing latrines dysfunctional]]=0),0,WWWW[[#This Row],['# Existing latrines dysfunctional]]/WWWW[[#This Row],[Total '# of latrine]])</f>
        <v>0</v>
      </c>
      <c r="BT418"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350</v>
      </c>
      <c r="BU418" s="209">
        <f>IF(500*WWWW[[#This Row],['# Hygiene Promoters ]]&gt;WWWW[[#This Row],[Total PoP ]],WWWW[[#This Row],[Total PoP ]],500*WWWW[[#This Row],['# Hygiene Promoters ]])</f>
        <v>350</v>
      </c>
      <c r="BV418" s="209">
        <f>IF(WWWW[[#This Row],[% of HH with access to Sanitary Pad]]&gt;=100%,1,0)</f>
        <v>0</v>
      </c>
      <c r="BW418" s="209">
        <f>IF(WWWW[[#This Row],[Total PoP ]]=0,0,IF(WWWW[[#This Row],['# Hygiene Promoters ]]=0,0,IF(WWWW[[#This Row],[Location Type 1]]="Village",IF(WWWW[[#This Row],[Total PoP ]]/WWWW[[#This Row],['# Hygiene Promoters ]]&lt;1000,1,0),IF(WWWW[[#This Row],[Total PoP ]]/WWWW[[#This Row],['# Hygiene Promoters ]]&lt;600,1,0))))</f>
        <v>1</v>
      </c>
      <c r="BX418" s="209">
        <f>IF(WWWW[[#This Row],[%HH with access to soap]]&gt;=100%,1,0)</f>
        <v>1</v>
      </c>
      <c r="BY418" s="209">
        <f>IF(WWWW[[#This Row],[% of HHs with access to Sanitary pad more than '#%]]+WWWW[[#This Row],[Ratio of Hyiene promoters to people less than '#]]+WWWW[[#This Row],[% of HHs with access to soap more than '#%]]&gt;=2,WWWW[[#This Row],[Total PoP ]],0)</f>
        <v>350</v>
      </c>
      <c r="BZ418" s="208">
        <f>WWWW[[#This Row],[People adopt basic personal and community hygiene practices]]/WWWW[[#This Row],[Total PoP ]]</f>
        <v>1</v>
      </c>
      <c r="CA418" s="212">
        <f>1-WWWW[[#This Row],[Hygiene Coverage%]]</f>
        <v>0</v>
      </c>
      <c r="CB418" s="211">
        <f>WWWW[[#This Row],['# people reached by regular dedicated hygiene promotion_5]]/WWWW[[#This Row],[Total PoP ]]</f>
        <v>1</v>
      </c>
      <c r="CC418" s="211">
        <f>IF(WWWW[[#This Row],['# HH received soaps]]/WWWW[[#This Row],[Total HH]]&gt;1,1,WWWW[[#This Row],['# HH received soaps]]/WWWW[[#This Row],[Total HH]])</f>
        <v>1</v>
      </c>
      <c r="CD418" s="211">
        <f>IF(WWWW[[#This Row],['# HH received Sanitary Pads]]/WWWW[[#This Row],[Total HH]]&gt;1,1,WWWW[[#This Row],['# HH received Sanitary Pads]]/WWWW[[#This Row],[Total HH]])</f>
        <v>0</v>
      </c>
      <c r="CE418" s="210">
        <f>WWWW[[#This Row],['# HH received soaps]]*5</f>
        <v>345</v>
      </c>
      <c r="CF418" s="210">
        <f>WWWW[[#This Row],['# HH received Sanitary Pads]]*5</f>
        <v>0</v>
      </c>
      <c r="CG418" s="210">
        <f>IF(WWWW[[#This Row],['# People with access to soap]]&gt;WWWW[[#This Row],['# People with access to Sanity Pads]],WWWW[[#This Row],['# People with access to soap]],WWWW[[#This Row],['# People with access to Sanity Pads]])</f>
        <v>345</v>
      </c>
      <c r="CH418" s="209">
        <f>WWWW[[#This Row],[Total HH]]*WWWW[[#This Row],[%HHs with access to functional hand washing stations]]</f>
        <v>68</v>
      </c>
      <c r="CI418" s="699" t="str">
        <f>VLOOKUP(WWWW[[#This Row],[Site Name]],SiteDB6[[Site Name]:[CCCM Management]],6,FALSE)</f>
        <v>Yes</v>
      </c>
      <c r="CJ418" s="699" t="str">
        <f>VLOOKUP(WWWW[[#This Row],[Site Name]],SiteDB6[[Site Name]:[CCCM Focal Agency]],7,FALSE)</f>
        <v>KBC</v>
      </c>
      <c r="CK418" s="699" t="str">
        <f>VLOOKUP(WWWW[[#This Row],[Site Name]],SiteDB6[[Site Name]:[Location Type]],8,FALSE)</f>
        <v>Camp</v>
      </c>
      <c r="CL418" s="699" t="str">
        <f>VLOOKUP(WWWW[[#This Row],[Site Name]],SiteDB6[[Site Name]:[Location Type 1]],9,FALSE)</f>
        <v>Camp</v>
      </c>
      <c r="CM418" s="699" t="str">
        <f>VLOOKUP(WWWW[[#This Row],[Site Name]],SiteDB6[[Site Name]:[Type of Accommodation]],10,FALSE)</f>
        <v>Camp</v>
      </c>
      <c r="CN418" s="699" t="str">
        <f>VLOOKUP(WWWW[[#This Row],[Site Name]],SiteDB6[[Site Name]:[Ethnic or GCA/NGCA]],11,FALSE)</f>
        <v>GCA</v>
      </c>
      <c r="CO418" s="699">
        <f>VLOOKUP(WWWW[[#This Row],[Site Name]],SiteDB6[[Site Name]:[Lat]],12,FALSE)</f>
        <v>23.828520000000001</v>
      </c>
      <c r="CP418" s="699">
        <f>VLOOKUP(WWWW[[#This Row],[Site Name]],SiteDB6[[Site Name]:[Long]],13,FALSE)</f>
        <v>97.669557999999995</v>
      </c>
      <c r="CQ418" s="699" t="str">
        <f>VLOOKUP(WWWW[[#This Row],[Site Name]],SiteDB6[[Site Name]:[Pcode]],3,FALSE)</f>
        <v>MMR015CMP001</v>
      </c>
      <c r="CR418" s="660" t="str">
        <f t="shared" si="11"/>
        <v>Covered</v>
      </c>
      <c r="CS418" s="660"/>
      <c r="CT418" s="24"/>
      <c r="CU418" s="24"/>
      <c r="CV418" s="24"/>
    </row>
    <row r="419" spans="1:100" ht="15.75" customHeight="1" x14ac:dyDescent="0.25">
      <c r="A419" s="833" t="s">
        <v>3206</v>
      </c>
      <c r="B419" s="206" t="s">
        <v>2488</v>
      </c>
      <c r="C419" s="206" t="s">
        <v>866</v>
      </c>
      <c r="D419" s="206" t="s">
        <v>867</v>
      </c>
      <c r="E419" s="206" t="s">
        <v>906</v>
      </c>
      <c r="F419" s="206">
        <v>34</v>
      </c>
      <c r="G419" s="209">
        <v>176</v>
      </c>
      <c r="H419" s="201">
        <v>77</v>
      </c>
      <c r="I419" s="201" t="s">
        <v>2506</v>
      </c>
      <c r="J419" s="207" t="s">
        <v>2907</v>
      </c>
      <c r="K419" s="206"/>
      <c r="L419" s="206" t="s">
        <v>48</v>
      </c>
      <c r="M419" s="208">
        <v>0.56999999999999995</v>
      </c>
      <c r="N419" s="208">
        <v>0.14000000000000001</v>
      </c>
      <c r="O419" s="316"/>
      <c r="P419" s="317">
        <v>1</v>
      </c>
      <c r="Q419" s="317">
        <v>46354</v>
      </c>
      <c r="R419" s="318"/>
      <c r="S419" s="318">
        <v>1</v>
      </c>
      <c r="T419" s="318"/>
      <c r="U419" s="318"/>
      <c r="V419" s="318"/>
      <c r="W419" s="318"/>
      <c r="X419" s="318"/>
      <c r="Y419" s="318"/>
      <c r="Z419" s="318"/>
      <c r="AA419" s="310">
        <v>9</v>
      </c>
      <c r="AB419" s="310">
        <v>0</v>
      </c>
      <c r="AC419" s="66">
        <v>0</v>
      </c>
      <c r="AD419" s="66"/>
      <c r="AE419" s="310">
        <v>17</v>
      </c>
      <c r="AF419" s="310" t="s">
        <v>332</v>
      </c>
      <c r="AG419" s="311" t="s">
        <v>283</v>
      </c>
      <c r="AH419" s="311">
        <v>0</v>
      </c>
      <c r="AI419" s="310">
        <v>0</v>
      </c>
      <c r="AJ419" s="310"/>
      <c r="AK419" s="841">
        <v>1</v>
      </c>
      <c r="AL419" s="842" t="s">
        <v>376</v>
      </c>
      <c r="AM419" s="842">
        <v>0</v>
      </c>
      <c r="AN419" s="863">
        <v>1</v>
      </c>
      <c r="AO419" s="863">
        <v>1</v>
      </c>
      <c r="AP419" s="838">
        <v>36</v>
      </c>
      <c r="AQ419" s="843">
        <v>0</v>
      </c>
      <c r="AR419" s="843"/>
      <c r="AS419" s="843"/>
      <c r="AT419" s="843"/>
      <c r="AU419" s="843"/>
      <c r="AV419" s="844"/>
      <c r="AW419" s="208" t="str">
        <f>IFERROR(WWWW[[#This Row],['# of Water passed at source]]/WWWW[[#This Row],['# of Water tested at source]],"no test")</f>
        <v>no test</v>
      </c>
      <c r="AX419" s="211" t="str">
        <f>IFERROR(WWWW[[#This Row],['# of Water passed at HH]]/WWWW[[#This Row],['# of Water tested at HH]],"no test")</f>
        <v>no test</v>
      </c>
      <c r="AY419" s="210" t="str">
        <f>IF(AND(WWWW[[#This Row],[%of Water samples which passed at water source]]="no test",WWWW[[#This Row],[%Water samples which passed at HH]]="no test"),"No Test","Tested")</f>
        <v>No Test</v>
      </c>
      <c r="AZ419"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19"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19" s="211">
        <f>IF(WWWW[[#This Row],[Location Type 1]]="Village",WWWW[[#This Row],[Access to safe drinking water for Village]],WWWW[[#This Row],[Access to safe drinking water for Camp]])</f>
        <v>1</v>
      </c>
      <c r="BC419" s="209">
        <f>WWWW[[#This Row],[%Equitable and continuous access to sufficient quantity of safe drinking water]]*WWWW[[#This Row],[Total PoP ]]</f>
        <v>176</v>
      </c>
      <c r="BD419" s="211">
        <f>IF((WWWW[[#This Row],['# Existing protected/fenced ponds ]]*250)/WWWW[[#This Row],[Total PoP ]]&gt;1,1,WWWW[[#This Row],['# Existing protected/fenced ponds ]]*250/WWWW[[#This Row],[Total PoP ]])</f>
        <v>0</v>
      </c>
      <c r="BE419" s="209">
        <f>WWWW[[#This Row],[Access to unimproved water points]]*WWWW[[#This Row],[Total PoP ]]</f>
        <v>0</v>
      </c>
      <c r="BF419"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19"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176</v>
      </c>
      <c r="BH419" s="209">
        <f>WWWW[[#This Row],['#people Equitable and continuous access to sufficient quantity of domestic water borehole n ponds_2]]/500</f>
        <v>0.35199999999999998</v>
      </c>
      <c r="BI419" s="208">
        <f>1-WWWW[[#This Row],[%Equitable and continuous access to sufficient quantity of domestic water borehole n ponds]]</f>
        <v>0</v>
      </c>
      <c r="BJ419" s="209">
        <f>WWWW[[#This Row],[%equitable and continuous access to sufficient quantity of safe drinking and domestic water''s GAP]]*WWWW[[#This Row],[Total PoP ]]</f>
        <v>0</v>
      </c>
      <c r="BK419" s="210">
        <f>IF(WWWW[[#This Row],[Total required water points]]-WWWW[[#This Row],['#Water points coverage]]&lt;0,0,WWWW[[#This Row],[Total required water points]]-WWWW[[#This Row],['#Water points coverage]])</f>
        <v>0.64800000000000002</v>
      </c>
      <c r="BL419" s="210">
        <f>ROUND(IF(WWWW[[#This Row],[Total PoP ]]&lt;500,1,WWWW[[#This Row],[Total PoP ]]/500),0)</f>
        <v>1</v>
      </c>
      <c r="BM419" s="210">
        <f>WWWW[[#This Row],['# Existing functional latrines]]+WWWW[[#This Row],['# Existing latrines dysfunctional]]</f>
        <v>9</v>
      </c>
      <c r="BN419"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19" s="352">
        <f>WWWW[[#This Row],[% people access to functioning Latrine]]*WWWW[[#This Row],[Total PoP ]]</f>
        <v>176</v>
      </c>
      <c r="BP419"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19" s="209">
        <f>IF(WWWW[[#This Row],[Total required Latrines]]-WWWW[[#This Row],[Total '# of latrine]]&lt;0,0,WWWW[[#This Row],[Total required Latrines]]-WWWW[[#This Row],[Total '# of latrine]])</f>
        <v>0</v>
      </c>
      <c r="BR419" s="210">
        <f>ROUND(IF(WWWW[[#This Row],[Location Type 1]]="camp",WWWW[[#This Row],[Total PoP ]]/20,WWWW[[#This Row],[Total PoP ]]/6),0)</f>
        <v>9</v>
      </c>
      <c r="BS419" s="212">
        <f>IF(OR(WWWW[[#This Row],['# Existing latrines dysfunctional]]="",WWWW[[#This Row],['# Existing latrines dysfunctional]]=0),0,WWWW[[#This Row],['# Existing latrines dysfunctional]]/WWWW[[#This Row],[Total '# of latrine]])</f>
        <v>0</v>
      </c>
      <c r="BT419"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19" s="209">
        <f>IF(500*WWWW[[#This Row],['# Hygiene Promoters ]]&gt;WWWW[[#This Row],[Total PoP ]],WWWW[[#This Row],[Total PoP ]],500*WWWW[[#This Row],['# Hygiene Promoters ]])</f>
        <v>176</v>
      </c>
      <c r="BV419" s="209">
        <f>IF(WWWW[[#This Row],[% of HH with access to Sanitary Pad]]&gt;=100%,1,0)</f>
        <v>0</v>
      </c>
      <c r="BW419" s="209">
        <f>IF(WWWW[[#This Row],[Total PoP ]]=0,0,IF(WWWW[[#This Row],['# Hygiene Promoters ]]=0,0,IF(WWWW[[#This Row],[Location Type 1]]="Village",IF(WWWW[[#This Row],[Total PoP ]]/WWWW[[#This Row],['# Hygiene Promoters ]]&lt;1000,1,0),IF(WWWW[[#This Row],[Total PoP ]]/WWWW[[#This Row],['# Hygiene Promoters ]]&lt;600,1,0))))</f>
        <v>1</v>
      </c>
      <c r="BX419" s="209">
        <f>IF(WWWW[[#This Row],[%HH with access to soap]]&gt;=100%,1,0)</f>
        <v>1</v>
      </c>
      <c r="BY419" s="209">
        <f>IF(WWWW[[#This Row],[% of HHs with access to Sanitary pad more than '#%]]+WWWW[[#This Row],[Ratio of Hyiene promoters to people less than '#]]+WWWW[[#This Row],[% of HHs with access to soap more than '#%]]&gt;=2,WWWW[[#This Row],[Total PoP ]],0)</f>
        <v>176</v>
      </c>
      <c r="BZ419" s="208">
        <f>WWWW[[#This Row],[People adopt basic personal and community hygiene practices]]/WWWW[[#This Row],[Total PoP ]]</f>
        <v>1</v>
      </c>
      <c r="CA419" s="212">
        <f>1-WWWW[[#This Row],[Hygiene Coverage%]]</f>
        <v>0</v>
      </c>
      <c r="CB419" s="211">
        <f>WWWW[[#This Row],['# people reached by regular dedicated hygiene promotion_5]]/WWWW[[#This Row],[Total PoP ]]</f>
        <v>1</v>
      </c>
      <c r="CC419" s="211">
        <f>IF(WWWW[[#This Row],['# HH received soaps]]/WWWW[[#This Row],[Total HH]]&gt;1,1,WWWW[[#This Row],['# HH received soaps]]/WWWW[[#This Row],[Total HH]])</f>
        <v>1</v>
      </c>
      <c r="CD419" s="211">
        <f>IF(WWWW[[#This Row],['# HH received Sanitary Pads]]/WWWW[[#This Row],[Total HH]]&gt;1,1,WWWW[[#This Row],['# HH received Sanitary Pads]]/WWWW[[#This Row],[Total HH]])</f>
        <v>0</v>
      </c>
      <c r="CE419" s="210">
        <f>WWWW[[#This Row],['# HH received soaps]]*5</f>
        <v>180</v>
      </c>
      <c r="CF419" s="210">
        <f>WWWW[[#This Row],['# HH received Sanitary Pads]]*5</f>
        <v>0</v>
      </c>
      <c r="CG419" s="210">
        <f>IF(WWWW[[#This Row],['# People with access to soap]]&gt;WWWW[[#This Row],['# People with access to Sanity Pads]],WWWW[[#This Row],['# People with access to soap]],WWWW[[#This Row],['# People with access to Sanity Pads]])</f>
        <v>180</v>
      </c>
      <c r="CH419" s="209">
        <f>WWWW[[#This Row],[Total HH]]*WWWW[[#This Row],[%HHs with access to functional hand washing stations]]</f>
        <v>34</v>
      </c>
      <c r="CI419" s="699" t="str">
        <f>VLOOKUP(WWWW[[#This Row],[Site Name]],SiteDB6[[Site Name]:[CCCM Management]],6,FALSE)</f>
        <v>Yes</v>
      </c>
      <c r="CJ419" s="699" t="str">
        <f>VLOOKUP(WWWW[[#This Row],[Site Name]],SiteDB6[[Site Name]:[CCCM Focal Agency]],7,FALSE)</f>
        <v>KBC</v>
      </c>
      <c r="CK419" s="699" t="str">
        <f>VLOOKUP(WWWW[[#This Row],[Site Name]],SiteDB6[[Site Name]:[Location Type]],8,FALSE)</f>
        <v>Camp</v>
      </c>
      <c r="CL419" s="699" t="str">
        <f>VLOOKUP(WWWW[[#This Row],[Site Name]],SiteDB6[[Site Name]:[Location Type 1]],9,FALSE)</f>
        <v>Camp</v>
      </c>
      <c r="CM419" s="699" t="str">
        <f>VLOOKUP(WWWW[[#This Row],[Site Name]],SiteDB6[[Site Name]:[Type of Accommodation]],10,FALSE)</f>
        <v>Camp</v>
      </c>
      <c r="CN419" s="699" t="str">
        <f>VLOOKUP(WWWW[[#This Row],[Site Name]],SiteDB6[[Site Name]:[Ethnic or GCA/NGCA]],11,FALSE)</f>
        <v>GCA</v>
      </c>
      <c r="CO419" s="699">
        <f>VLOOKUP(WWWW[[#This Row],[Site Name]],SiteDB6[[Site Name]:[Lat]],12,FALSE)</f>
        <v>23.841646999999998</v>
      </c>
      <c r="CP419" s="699">
        <f>VLOOKUP(WWWW[[#This Row],[Site Name]],SiteDB6[[Site Name]:[Long]],13,FALSE)</f>
        <v>97.700940000000003</v>
      </c>
      <c r="CQ419" s="699" t="str">
        <f>VLOOKUP(WWWW[[#This Row],[Site Name]],SiteDB6[[Site Name]:[Pcode]],3,FALSE)</f>
        <v>MMR015CMP214</v>
      </c>
      <c r="CR419" s="660" t="str">
        <f t="shared" si="11"/>
        <v>Covered</v>
      </c>
      <c r="CS419" s="660"/>
      <c r="CT419" s="24"/>
      <c r="CU419" s="24"/>
      <c r="CV419" s="24"/>
    </row>
    <row r="420" spans="1:100" ht="15.75" customHeight="1" x14ac:dyDescent="0.25">
      <c r="A420" s="833" t="s">
        <v>3206</v>
      </c>
      <c r="B420" s="206" t="s">
        <v>2901</v>
      </c>
      <c r="C420" s="206" t="s">
        <v>866</v>
      </c>
      <c r="D420" s="206" t="s">
        <v>890</v>
      </c>
      <c r="E420" s="206" t="s">
        <v>902</v>
      </c>
      <c r="F420" s="206">
        <v>57</v>
      </c>
      <c r="G420" s="209">
        <v>263</v>
      </c>
      <c r="H420" s="206">
        <v>67</v>
      </c>
      <c r="I420" s="206" t="s">
        <v>2525</v>
      </c>
      <c r="J420" s="207" t="s">
        <v>3220</v>
      </c>
      <c r="K420" s="206"/>
      <c r="L420" s="206" t="s">
        <v>48</v>
      </c>
      <c r="M420" s="208">
        <v>0.8</v>
      </c>
      <c r="N420" s="208">
        <v>0.5</v>
      </c>
      <c r="O420" s="316"/>
      <c r="P420" s="317">
        <v>1</v>
      </c>
      <c r="Q420" s="896">
        <v>5760</v>
      </c>
      <c r="R420" s="318"/>
      <c r="S420" s="318">
        <v>1</v>
      </c>
      <c r="T420" s="318"/>
      <c r="U420" s="318">
        <v>0</v>
      </c>
      <c r="V420" s="318">
        <v>0</v>
      </c>
      <c r="W420" s="318">
        <v>0</v>
      </c>
      <c r="X420" s="318">
        <v>0</v>
      </c>
      <c r="Y420" s="318">
        <v>0</v>
      </c>
      <c r="Z420" s="318"/>
      <c r="AA420" s="310">
        <v>17</v>
      </c>
      <c r="AB420" s="310">
        <v>0</v>
      </c>
      <c r="AC420" s="66">
        <v>0</v>
      </c>
      <c r="AD420" s="66"/>
      <c r="AE420" s="310">
        <v>17</v>
      </c>
      <c r="AF420" s="310" t="s">
        <v>283</v>
      </c>
      <c r="AG420" s="311" t="s">
        <v>283</v>
      </c>
      <c r="AH420" s="311">
        <v>0</v>
      </c>
      <c r="AI420" s="310">
        <v>0</v>
      </c>
      <c r="AJ420" s="310"/>
      <c r="AK420" s="841">
        <v>1</v>
      </c>
      <c r="AL420" s="842" t="s">
        <v>376</v>
      </c>
      <c r="AM420" s="842"/>
      <c r="AN420" s="863">
        <v>3</v>
      </c>
      <c r="AO420" s="863">
        <v>1</v>
      </c>
      <c r="AP420" s="843">
        <v>40</v>
      </c>
      <c r="AQ420" s="843">
        <v>0</v>
      </c>
      <c r="AR420" s="843"/>
      <c r="AS420" s="843"/>
      <c r="AT420" s="843"/>
      <c r="AU420" s="843"/>
      <c r="AV420" s="844"/>
      <c r="AW420" s="208" t="str">
        <f>IFERROR(WWWW[[#This Row],['# of Water passed at source]]/WWWW[[#This Row],['# of Water tested at source]],"no test")</f>
        <v>no test</v>
      </c>
      <c r="AX420" s="211" t="str">
        <f>IFERROR(WWWW[[#This Row],['# of Water passed at HH]]/WWWW[[#This Row],['# of Water tested at HH]],"no test")</f>
        <v>no test</v>
      </c>
      <c r="AY420" s="210" t="str">
        <f>IF(AND(WWWW[[#This Row],[%of Water samples which passed at water source]]="no test",WWWW[[#This Row],[%Water samples which passed at HH]]="no test"),"No Test","Tested")</f>
        <v>No Test</v>
      </c>
      <c r="AZ420"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20"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20" s="211">
        <f>IF(WWWW[[#This Row],[Location Type 1]]="Village",WWWW[[#This Row],[Access to safe drinking water for Village]],WWWW[[#This Row],[Access to safe drinking water for Camp]])</f>
        <v>1</v>
      </c>
      <c r="BC420" s="209">
        <f>WWWW[[#This Row],[%Equitable and continuous access to sufficient quantity of safe drinking water]]*WWWW[[#This Row],[Total PoP ]]</f>
        <v>263</v>
      </c>
      <c r="BD420" s="211">
        <f>IF((WWWW[[#This Row],['# Existing protected/fenced ponds ]]*250)/WWWW[[#This Row],[Total PoP ]]&gt;1,1,WWWW[[#This Row],['# Existing protected/fenced ponds ]]*250/WWWW[[#This Row],[Total PoP ]])</f>
        <v>0</v>
      </c>
      <c r="BE420" s="209">
        <f>WWWW[[#This Row],[Access to unimproved water points]]*WWWW[[#This Row],[Total PoP ]]</f>
        <v>0</v>
      </c>
      <c r="BF420"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20"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263</v>
      </c>
      <c r="BH420" s="209">
        <f>WWWW[[#This Row],['#people Equitable and continuous access to sufficient quantity of domestic water borehole n ponds_2]]/500</f>
        <v>0.52600000000000002</v>
      </c>
      <c r="BI420" s="208">
        <f>1-WWWW[[#This Row],[%Equitable and continuous access to sufficient quantity of domestic water borehole n ponds]]</f>
        <v>0</v>
      </c>
      <c r="BJ420" s="209">
        <f>WWWW[[#This Row],[%equitable and continuous access to sufficient quantity of safe drinking and domestic water''s GAP]]*WWWW[[#This Row],[Total PoP ]]</f>
        <v>0</v>
      </c>
      <c r="BK420" s="210">
        <f>IF(WWWW[[#This Row],[Total required water points]]-WWWW[[#This Row],['#Water points coverage]]&lt;0,0,WWWW[[#This Row],[Total required water points]]-WWWW[[#This Row],['#Water points coverage]])</f>
        <v>0.47399999999999998</v>
      </c>
      <c r="BL420" s="210">
        <f>ROUND(IF(WWWW[[#This Row],[Total PoP ]]&lt;500,1,WWWW[[#This Row],[Total PoP ]]/500),0)</f>
        <v>1</v>
      </c>
      <c r="BM420" s="210">
        <f>WWWW[[#This Row],['# Existing functional latrines]]+WWWW[[#This Row],['# Existing latrines dysfunctional]]</f>
        <v>17</v>
      </c>
      <c r="BN420"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20" s="352">
        <f>WWWW[[#This Row],[% people access to functioning Latrine]]*WWWW[[#This Row],[Total PoP ]]</f>
        <v>263</v>
      </c>
      <c r="BP420"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20" s="209">
        <f>IF(WWWW[[#This Row],[Total required Latrines]]-WWWW[[#This Row],[Total '# of latrine]]&lt;0,0,WWWW[[#This Row],[Total required Latrines]]-WWWW[[#This Row],[Total '# of latrine]])</f>
        <v>0</v>
      </c>
      <c r="BR420" s="210">
        <f>ROUND(IF(WWWW[[#This Row],[Location Type 1]]="camp",WWWW[[#This Row],[Total PoP ]]/20,WWWW[[#This Row],[Total PoP ]]/6),0)</f>
        <v>13</v>
      </c>
      <c r="BS420" s="212">
        <f>IF(OR(WWWW[[#This Row],['# Existing latrines dysfunctional]]="",WWWW[[#This Row],['# Existing latrines dysfunctional]]=0),0,WWWW[[#This Row],['# Existing latrines dysfunctional]]/WWWW[[#This Row],[Total '# of latrine]])</f>
        <v>0</v>
      </c>
      <c r="BT420"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20" s="209">
        <f>IF(500*WWWW[[#This Row],['# Hygiene Promoters ]]&gt;WWWW[[#This Row],[Total PoP ]],WWWW[[#This Row],[Total PoP ]],500*WWWW[[#This Row],['# Hygiene Promoters ]])</f>
        <v>263</v>
      </c>
      <c r="BV420" s="209">
        <f>IF(WWWW[[#This Row],[% of HH with access to Sanitary Pad]]&gt;=100%,1,0)</f>
        <v>0</v>
      </c>
      <c r="BW420" s="209">
        <f>IF(WWWW[[#This Row],[Total PoP ]]=0,0,IF(WWWW[[#This Row],['# Hygiene Promoters ]]=0,0,IF(WWWW[[#This Row],[Location Type 1]]="Village",IF(WWWW[[#This Row],[Total PoP ]]/WWWW[[#This Row],['# Hygiene Promoters ]]&lt;1000,1,0),IF(WWWW[[#This Row],[Total PoP ]]/WWWW[[#This Row],['# Hygiene Promoters ]]&lt;600,1,0))))</f>
        <v>1</v>
      </c>
      <c r="BX420" s="209">
        <f>IF(WWWW[[#This Row],[%HH with access to soap]]&gt;=100%,1,0)</f>
        <v>0</v>
      </c>
      <c r="BY420" s="209">
        <f>IF(WWWW[[#This Row],[% of HHs with access to Sanitary pad more than '#%]]+WWWW[[#This Row],[Ratio of Hyiene promoters to people less than '#]]+WWWW[[#This Row],[% of HHs with access to soap more than '#%]]&gt;=2,WWWW[[#This Row],[Total PoP ]],0)</f>
        <v>0</v>
      </c>
      <c r="BZ420" s="208">
        <f>WWWW[[#This Row],[People adopt basic personal and community hygiene practices]]/WWWW[[#This Row],[Total PoP ]]</f>
        <v>0</v>
      </c>
      <c r="CA420" s="212">
        <f>1-WWWW[[#This Row],[Hygiene Coverage%]]</f>
        <v>1</v>
      </c>
      <c r="CB420" s="211">
        <f>WWWW[[#This Row],['# people reached by regular dedicated hygiene promotion_5]]/WWWW[[#This Row],[Total PoP ]]</f>
        <v>1</v>
      </c>
      <c r="CC420" s="211">
        <f>IF(WWWW[[#This Row],['# HH received soaps]]/WWWW[[#This Row],[Total HH]]&gt;1,1,WWWW[[#This Row],['# HH received soaps]]/WWWW[[#This Row],[Total HH]])</f>
        <v>0.70175438596491224</v>
      </c>
      <c r="CD420" s="211">
        <f>IF(WWWW[[#This Row],['# HH received Sanitary Pads]]/WWWW[[#This Row],[Total HH]]&gt;1,1,WWWW[[#This Row],['# HH received Sanitary Pads]]/WWWW[[#This Row],[Total HH]])</f>
        <v>0</v>
      </c>
      <c r="CE420" s="210">
        <f>WWWW[[#This Row],['# HH received soaps]]*5</f>
        <v>200</v>
      </c>
      <c r="CF420" s="210">
        <f>WWWW[[#This Row],['# HH received Sanitary Pads]]*5</f>
        <v>0</v>
      </c>
      <c r="CG420" s="210">
        <f>IF(WWWW[[#This Row],['# People with access to soap]]&gt;WWWW[[#This Row],['# People with access to Sanity Pads]],WWWW[[#This Row],['# People with access to soap]],WWWW[[#This Row],['# People with access to Sanity Pads]])</f>
        <v>200</v>
      </c>
      <c r="CH420" s="209">
        <f>WWWW[[#This Row],[Total HH]]*WWWW[[#This Row],[%HHs with access to functional hand washing stations]]</f>
        <v>57</v>
      </c>
      <c r="CI420" s="699" t="str">
        <f>VLOOKUP(WWWW[[#This Row],[Site Name]],SiteDB6[[Site Name]:[CCCM Management]],6,FALSE)</f>
        <v>Yes</v>
      </c>
      <c r="CJ420" s="699" t="str">
        <f>VLOOKUP(WWWW[[#This Row],[Site Name]],SiteDB6[[Site Name]:[CCCM Focal Agency]],7,FALSE)</f>
        <v>KBC</v>
      </c>
      <c r="CK420" s="699" t="str">
        <f>VLOOKUP(WWWW[[#This Row],[Site Name]],SiteDB6[[Site Name]:[Location Type]],8,FALSE)</f>
        <v>Camp</v>
      </c>
      <c r="CL420" s="699" t="str">
        <f>VLOOKUP(WWWW[[#This Row],[Site Name]],SiteDB6[[Site Name]:[Location Type 1]],9,FALSE)</f>
        <v>Camp</v>
      </c>
      <c r="CM420" s="699" t="str">
        <f>VLOOKUP(WWWW[[#This Row],[Site Name]],SiteDB6[[Site Name]:[Type of Accommodation]],10,FALSE)</f>
        <v>Camp</v>
      </c>
      <c r="CN420" s="699" t="str">
        <f>VLOOKUP(WWWW[[#This Row],[Site Name]],SiteDB6[[Site Name]:[Ethnic or GCA/NGCA]],11,FALSE)</f>
        <v>GCA</v>
      </c>
      <c r="CO420" s="699">
        <f>VLOOKUP(WWWW[[#This Row],[Site Name]],SiteDB6[[Site Name]:[Lat]],12,FALSE)</f>
        <v>23.094290000000001</v>
      </c>
      <c r="CP420" s="699">
        <f>VLOOKUP(WWWW[[#This Row],[Site Name]],SiteDB6[[Site Name]:[Long]],13,FALSE)</f>
        <v>97.404089999999997</v>
      </c>
      <c r="CQ420" s="699" t="str">
        <f>VLOOKUP(WWWW[[#This Row],[Site Name]],SiteDB6[[Site Name]:[Pcode]],3,FALSE)</f>
        <v>MMR015CMP014</v>
      </c>
      <c r="CR420" s="660" t="str">
        <f t="shared" si="11"/>
        <v>Covered</v>
      </c>
      <c r="CS420" s="660"/>
      <c r="CT420" s="24"/>
      <c r="CU420" s="24"/>
      <c r="CV420" s="24"/>
    </row>
    <row r="421" spans="1:100" ht="15.75" customHeight="1" x14ac:dyDescent="0.25">
      <c r="A421" s="833" t="s">
        <v>3206</v>
      </c>
      <c r="B421" s="206" t="s">
        <v>338</v>
      </c>
      <c r="C421" s="206" t="s">
        <v>866</v>
      </c>
      <c r="D421" s="206" t="s">
        <v>890</v>
      </c>
      <c r="E421" s="206" t="s">
        <v>899</v>
      </c>
      <c r="F421" s="206">
        <v>34</v>
      </c>
      <c r="G421" s="209">
        <v>182</v>
      </c>
      <c r="H421" s="206"/>
      <c r="I421" s="206" t="s">
        <v>886</v>
      </c>
      <c r="J421" s="207">
        <v>43281</v>
      </c>
      <c r="K421" s="206">
        <v>0</v>
      </c>
      <c r="L421" s="206" t="s">
        <v>282</v>
      </c>
      <c r="M421" s="208">
        <v>0</v>
      </c>
      <c r="N421" s="208">
        <v>0</v>
      </c>
      <c r="O421" s="316"/>
      <c r="P421" s="317">
        <v>1</v>
      </c>
      <c r="Q421" s="317">
        <v>1800</v>
      </c>
      <c r="R421" s="318"/>
      <c r="S421" s="318">
        <v>2</v>
      </c>
      <c r="T421" s="318"/>
      <c r="U421" s="318">
        <v>0</v>
      </c>
      <c r="V421" s="318">
        <v>0</v>
      </c>
      <c r="W421" s="318">
        <v>0</v>
      </c>
      <c r="X421" s="318">
        <v>0</v>
      </c>
      <c r="Y421" s="318">
        <v>0</v>
      </c>
      <c r="Z421" s="318"/>
      <c r="AA421" s="310">
        <v>7</v>
      </c>
      <c r="AB421" s="310">
        <v>0</v>
      </c>
      <c r="AC421" s="66">
        <v>0</v>
      </c>
      <c r="AD421" s="66"/>
      <c r="AE421" s="310">
        <v>5</v>
      </c>
      <c r="AF421" s="310" t="s">
        <v>283</v>
      </c>
      <c r="AG421" s="311" t="s">
        <v>283</v>
      </c>
      <c r="AH421" s="311">
        <v>0</v>
      </c>
      <c r="AI421" s="310">
        <v>0</v>
      </c>
      <c r="AJ421" s="310"/>
      <c r="AK421" s="841">
        <v>0.7</v>
      </c>
      <c r="AL421" s="842" t="s">
        <v>376</v>
      </c>
      <c r="AM421" s="842"/>
      <c r="AN421" s="863">
        <v>2</v>
      </c>
      <c r="AO421" s="863">
        <v>2</v>
      </c>
      <c r="AP421" s="843">
        <v>0</v>
      </c>
      <c r="AQ421" s="843">
        <v>0</v>
      </c>
      <c r="AR421" s="843"/>
      <c r="AS421" s="843"/>
      <c r="AT421" s="843"/>
      <c r="AU421" s="843"/>
      <c r="AV421" s="844"/>
      <c r="AW421" s="208" t="str">
        <f>IFERROR(WWWW[[#This Row],['# of Water passed at source]]/WWWW[[#This Row],['# of Water tested at source]],"no test")</f>
        <v>no test</v>
      </c>
      <c r="AX421" s="211" t="str">
        <f>IFERROR(WWWW[[#This Row],['# of Water passed at HH]]/WWWW[[#This Row],['# of Water tested at HH]],"no test")</f>
        <v>no test</v>
      </c>
      <c r="AY421" s="210" t="str">
        <f>IF(AND(WWWW[[#This Row],[%of Water samples which passed at water source]]="no test",WWWW[[#This Row],[%Water samples which passed at HH]]="no test"),"No Test","Tested")</f>
        <v>No Test</v>
      </c>
      <c r="AZ421"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21"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21" s="211">
        <f>IF(WWWW[[#This Row],[Location Type 1]]="Village",WWWW[[#This Row],[Access to safe drinking water for Village]],WWWW[[#This Row],[Access to safe drinking water for Camp]])</f>
        <v>1</v>
      </c>
      <c r="BC421" s="209">
        <f>WWWW[[#This Row],[%Equitable and continuous access to sufficient quantity of safe drinking water]]*WWWW[[#This Row],[Total PoP ]]</f>
        <v>182</v>
      </c>
      <c r="BD421" s="211">
        <f>IF((WWWW[[#This Row],['# Existing protected/fenced ponds ]]*250)/WWWW[[#This Row],[Total PoP ]]&gt;1,1,WWWW[[#This Row],['# Existing protected/fenced ponds ]]*250/WWWW[[#This Row],[Total PoP ]])</f>
        <v>0</v>
      </c>
      <c r="BE421" s="209">
        <f>WWWW[[#This Row],[Access to unimproved water points]]*WWWW[[#This Row],[Total PoP ]]</f>
        <v>0</v>
      </c>
      <c r="BF421"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21"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182</v>
      </c>
      <c r="BH421" s="209">
        <f>WWWW[[#This Row],['#people Equitable and continuous access to sufficient quantity of domestic water borehole n ponds_2]]/500</f>
        <v>0.36399999999999999</v>
      </c>
      <c r="BI421" s="208">
        <f>1-WWWW[[#This Row],[%Equitable and continuous access to sufficient quantity of domestic water borehole n ponds]]</f>
        <v>0</v>
      </c>
      <c r="BJ421" s="209">
        <f>WWWW[[#This Row],[%equitable and continuous access to sufficient quantity of safe drinking and domestic water''s GAP]]*WWWW[[#This Row],[Total PoP ]]</f>
        <v>0</v>
      </c>
      <c r="BK421" s="210">
        <f>IF(WWWW[[#This Row],[Total required water points]]-WWWW[[#This Row],['#Water points coverage]]&lt;0,0,WWWW[[#This Row],[Total required water points]]-WWWW[[#This Row],['#Water points coverage]])</f>
        <v>0.63600000000000001</v>
      </c>
      <c r="BL421" s="210">
        <f>ROUND(IF(WWWW[[#This Row],[Total PoP ]]&lt;500,1,WWWW[[#This Row],[Total PoP ]]/500),0)</f>
        <v>1</v>
      </c>
      <c r="BM421" s="210">
        <f>WWWW[[#This Row],['# Existing functional latrines]]+WWWW[[#This Row],['# Existing latrines dysfunctional]]</f>
        <v>7</v>
      </c>
      <c r="BN421"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0.76923076923076927</v>
      </c>
      <c r="BO421" s="352">
        <f>WWWW[[#This Row],[% people access to functioning Latrine]]*WWWW[[#This Row],[Total PoP ]]</f>
        <v>140</v>
      </c>
      <c r="BP421"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0.21978021978021978</v>
      </c>
      <c r="BQ421" s="209">
        <f>IF(WWWW[[#This Row],[Total required Latrines]]-WWWW[[#This Row],[Total '# of latrine]]&lt;0,0,WWWW[[#This Row],[Total required Latrines]]-WWWW[[#This Row],[Total '# of latrine]])</f>
        <v>2</v>
      </c>
      <c r="BR421" s="210">
        <f>ROUND(IF(WWWW[[#This Row],[Location Type 1]]="camp",WWWW[[#This Row],[Total PoP ]]/20,WWWW[[#This Row],[Total PoP ]]/6),0)</f>
        <v>9</v>
      </c>
      <c r="BS421" s="212">
        <f>IF(OR(WWWW[[#This Row],['# Existing latrines dysfunctional]]="",WWWW[[#This Row],['# Existing latrines dysfunctional]]=0),0,WWWW[[#This Row],['# Existing latrines dysfunctional]]/WWWW[[#This Row],[Total '# of latrine]])</f>
        <v>0</v>
      </c>
      <c r="BT421"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21" s="209">
        <f>IF(500*WWWW[[#This Row],['# Hygiene Promoters ]]&gt;WWWW[[#This Row],[Total PoP ]],WWWW[[#This Row],[Total PoP ]],500*WWWW[[#This Row],['# Hygiene Promoters ]])</f>
        <v>182</v>
      </c>
      <c r="BV421" s="209">
        <f>IF(WWWW[[#This Row],[% of HH with access to Sanitary Pad]]&gt;=100%,1,0)</f>
        <v>0</v>
      </c>
      <c r="BW421" s="209">
        <f>IF(WWWW[[#This Row],[Total PoP ]]=0,0,IF(WWWW[[#This Row],['# Hygiene Promoters ]]=0,0,IF(WWWW[[#This Row],[Location Type 1]]="Village",IF(WWWW[[#This Row],[Total PoP ]]/WWWW[[#This Row],['# Hygiene Promoters ]]&lt;1000,1,0),IF(WWWW[[#This Row],[Total PoP ]]/WWWW[[#This Row],['# Hygiene Promoters ]]&lt;600,1,0))))</f>
        <v>1</v>
      </c>
      <c r="BX421" s="209">
        <f>IF(WWWW[[#This Row],[%HH with access to soap]]&gt;=100%,1,0)</f>
        <v>0</v>
      </c>
      <c r="BY421" s="209">
        <f>IF(WWWW[[#This Row],[% of HHs with access to Sanitary pad more than '#%]]+WWWW[[#This Row],[Ratio of Hyiene promoters to people less than '#]]+WWWW[[#This Row],[% of HHs with access to soap more than '#%]]&gt;=2,WWWW[[#This Row],[Total PoP ]],0)</f>
        <v>0</v>
      </c>
      <c r="BZ421" s="208">
        <f>WWWW[[#This Row],[People adopt basic personal and community hygiene practices]]/WWWW[[#This Row],[Total PoP ]]</f>
        <v>0</v>
      </c>
      <c r="CA421" s="212">
        <f>1-WWWW[[#This Row],[Hygiene Coverage%]]</f>
        <v>1</v>
      </c>
      <c r="CB421" s="211">
        <f>WWWW[[#This Row],['# people reached by regular dedicated hygiene promotion_5]]/WWWW[[#This Row],[Total PoP ]]</f>
        <v>1</v>
      </c>
      <c r="CC421" s="211">
        <f>IF(WWWW[[#This Row],['# HH received soaps]]/WWWW[[#This Row],[Total HH]]&gt;1,1,WWWW[[#This Row],['# HH received soaps]]/WWWW[[#This Row],[Total HH]])</f>
        <v>0</v>
      </c>
      <c r="CD421" s="211">
        <f>IF(WWWW[[#This Row],['# HH received Sanitary Pads]]/WWWW[[#This Row],[Total HH]]&gt;1,1,WWWW[[#This Row],['# HH received Sanitary Pads]]/WWWW[[#This Row],[Total HH]])</f>
        <v>0</v>
      </c>
      <c r="CE421" s="210">
        <f>WWWW[[#This Row],['# HH received soaps]]*5</f>
        <v>0</v>
      </c>
      <c r="CF421" s="210">
        <f>WWWW[[#This Row],['# HH received Sanitary Pads]]*5</f>
        <v>0</v>
      </c>
      <c r="CG421" s="210">
        <f>IF(WWWW[[#This Row],['# People with access to soap]]&gt;WWWW[[#This Row],['# People with access to Sanity Pads]],WWWW[[#This Row],['# People with access to soap]],WWWW[[#This Row],['# People with access to Sanity Pads]])</f>
        <v>0</v>
      </c>
      <c r="CH421" s="209">
        <f>WWWW[[#This Row],[Total HH]]*WWWW[[#This Row],[%HHs with access to functional hand washing stations]]</f>
        <v>23.799999999999997</v>
      </c>
      <c r="CI421" s="699" t="str">
        <f>VLOOKUP(WWWW[[#This Row],[Site Name]],SiteDB6[[Site Name]:[CCCM Management]],6,FALSE)</f>
        <v>Yes</v>
      </c>
      <c r="CJ421" s="699" t="str">
        <f>VLOOKUP(WWWW[[#This Row],[Site Name]],SiteDB6[[Site Name]:[CCCM Focal Agency]],7,FALSE)</f>
        <v>KMSS-LSO</v>
      </c>
      <c r="CK421" s="699" t="str">
        <f>VLOOKUP(WWWW[[#This Row],[Site Name]],SiteDB6[[Site Name]:[Location Type]],8,FALSE)</f>
        <v>Camp</v>
      </c>
      <c r="CL421" s="699" t="str">
        <f>VLOOKUP(WWWW[[#This Row],[Site Name]],SiteDB6[[Site Name]:[Location Type 1]],9,FALSE)</f>
        <v>Camp</v>
      </c>
      <c r="CM421" s="699" t="str">
        <f>VLOOKUP(WWWW[[#This Row],[Site Name]],SiteDB6[[Site Name]:[Type of Accommodation]],10,FALSE)</f>
        <v>Camp</v>
      </c>
      <c r="CN421" s="699" t="str">
        <f>VLOOKUP(WWWW[[#This Row],[Site Name]],SiteDB6[[Site Name]:[Ethnic or GCA/NGCA]],11,FALSE)</f>
        <v>GCA</v>
      </c>
      <c r="CO421" s="699">
        <f>VLOOKUP(WWWW[[#This Row],[Site Name]],SiteDB6[[Site Name]:[Lat]],12,FALSE)</f>
        <v>0</v>
      </c>
      <c r="CP421" s="699">
        <f>VLOOKUP(WWWW[[#This Row],[Site Name]],SiteDB6[[Site Name]:[Long]],13,FALSE)</f>
        <v>0</v>
      </c>
      <c r="CQ421" s="699" t="str">
        <f>VLOOKUP(WWWW[[#This Row],[Site Name]],SiteDB6[[Site Name]:[Pcode]],3,FALSE)</f>
        <v>MMR015CMP232</v>
      </c>
      <c r="CR421" s="660" t="str">
        <f t="shared" si="11"/>
        <v>Covered</v>
      </c>
      <c r="CS421" s="660"/>
      <c r="CT421" s="24"/>
      <c r="CU421" s="24"/>
      <c r="CV421" s="24"/>
    </row>
    <row r="422" spans="1:100" ht="15.75" customHeight="1" x14ac:dyDescent="0.25">
      <c r="A422" s="833" t="s">
        <v>3206</v>
      </c>
      <c r="B422" s="206" t="s">
        <v>2488</v>
      </c>
      <c r="C422" s="206" t="s">
        <v>866</v>
      </c>
      <c r="D422" s="206" t="s">
        <v>867</v>
      </c>
      <c r="E422" s="206" t="s">
        <v>908</v>
      </c>
      <c r="F422" s="206">
        <v>118</v>
      </c>
      <c r="G422" s="209">
        <v>568</v>
      </c>
      <c r="H422" s="206">
        <v>132</v>
      </c>
      <c r="I422" s="206" t="s">
        <v>2506</v>
      </c>
      <c r="J422" s="207" t="s">
        <v>2907</v>
      </c>
      <c r="K422" s="206"/>
      <c r="L422" s="206" t="s">
        <v>48</v>
      </c>
      <c r="M422" s="208">
        <v>0.5</v>
      </c>
      <c r="N422" s="208">
        <v>1</v>
      </c>
      <c r="O422" s="316">
        <v>0</v>
      </c>
      <c r="P422" s="317">
        <v>1</v>
      </c>
      <c r="Q422" s="317">
        <v>14400</v>
      </c>
      <c r="R422" s="318">
        <v>3</v>
      </c>
      <c r="S422" s="318">
        <v>2</v>
      </c>
      <c r="T422" s="318"/>
      <c r="U422" s="318">
        <v>1</v>
      </c>
      <c r="V422" s="318">
        <v>1</v>
      </c>
      <c r="W422" s="318">
        <v>9</v>
      </c>
      <c r="X422" s="318">
        <v>9</v>
      </c>
      <c r="Y422" s="318">
        <v>0</v>
      </c>
      <c r="Z422" s="318"/>
      <c r="AA422" s="310">
        <v>16</v>
      </c>
      <c r="AB422" s="310">
        <v>0</v>
      </c>
      <c r="AC422" s="66">
        <v>0</v>
      </c>
      <c r="AD422" s="66"/>
      <c r="AE422" s="310">
        <v>16</v>
      </c>
      <c r="AF422" s="310" t="s">
        <v>283</v>
      </c>
      <c r="AG422" s="311" t="s">
        <v>283</v>
      </c>
      <c r="AH422" s="311">
        <v>0</v>
      </c>
      <c r="AI422" s="310">
        <v>0</v>
      </c>
      <c r="AJ422" s="310" t="s">
        <v>2792</v>
      </c>
      <c r="AK422" s="841">
        <v>1</v>
      </c>
      <c r="AL422" s="842" t="s">
        <v>376</v>
      </c>
      <c r="AM422" s="842"/>
      <c r="AN422" s="863">
        <v>6</v>
      </c>
      <c r="AO422" s="863">
        <v>2</v>
      </c>
      <c r="AP422" s="843">
        <v>121</v>
      </c>
      <c r="AQ422" s="843">
        <v>0</v>
      </c>
      <c r="AR422" s="843"/>
      <c r="AS422" s="843"/>
      <c r="AT422" s="843"/>
      <c r="AU422" s="843"/>
      <c r="AV422" s="844"/>
      <c r="AW422" s="208">
        <f>IFERROR(WWWW[[#This Row],['# of Water passed at source]]/WWWW[[#This Row],['# of Water tested at source]],"no test")</f>
        <v>1</v>
      </c>
      <c r="AX422" s="211">
        <f>IFERROR(WWWW[[#This Row],['# of Water passed at HH]]/WWWW[[#This Row],['# of Water tested at HH]],"no test")</f>
        <v>1</v>
      </c>
      <c r="AY422" s="210" t="str">
        <f>IF(AND(WWWW[[#This Row],[%of Water samples which passed at water source]]="no test",WWWW[[#This Row],[%Water samples which passed at HH]]="no test"),"No Test","Tested")</f>
        <v>Tested</v>
      </c>
      <c r="AZ422"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22"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22" s="211">
        <f>IF(WWWW[[#This Row],[Location Type 1]]="Village",WWWW[[#This Row],[Access to safe drinking water for Village]],WWWW[[#This Row],[Access to safe drinking water for Camp]])</f>
        <v>1</v>
      </c>
      <c r="BC422" s="209">
        <f>WWWW[[#This Row],[%Equitable and continuous access to sufficient quantity of safe drinking water]]*WWWW[[#This Row],[Total PoP ]]</f>
        <v>568</v>
      </c>
      <c r="BD422" s="211">
        <f>IF((WWWW[[#This Row],['# Existing protected/fenced ponds ]]*250)/WWWW[[#This Row],[Total PoP ]]&gt;1,1,WWWW[[#This Row],['# Existing protected/fenced ponds ]]*250/WWWW[[#This Row],[Total PoP ]])</f>
        <v>1</v>
      </c>
      <c r="BE422" s="209">
        <f>WWWW[[#This Row],[Access to unimproved water points]]*WWWW[[#This Row],[Total PoP ]]</f>
        <v>568</v>
      </c>
      <c r="BF422"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22"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568</v>
      </c>
      <c r="BH422" s="209">
        <f>WWWW[[#This Row],['#people Equitable and continuous access to sufficient quantity of domestic water borehole n ponds_2]]/500</f>
        <v>1.1359999999999999</v>
      </c>
      <c r="BI422" s="208">
        <f>1-WWWW[[#This Row],[%Equitable and continuous access to sufficient quantity of domestic water borehole n ponds]]</f>
        <v>0</v>
      </c>
      <c r="BJ422" s="209">
        <f>WWWW[[#This Row],[%equitable and continuous access to sufficient quantity of safe drinking and domestic water''s GAP]]*WWWW[[#This Row],[Total PoP ]]</f>
        <v>0</v>
      </c>
      <c r="BK422" s="210">
        <f>IF(WWWW[[#This Row],[Total required water points]]-WWWW[[#This Row],['#Water points coverage]]&lt;0,0,WWWW[[#This Row],[Total required water points]]-WWWW[[#This Row],['#Water points coverage]])</f>
        <v>0</v>
      </c>
      <c r="BL422" s="210">
        <f>ROUND(IF(WWWW[[#This Row],[Total PoP ]]&lt;500,1,WWWW[[#This Row],[Total PoP ]]/500),0)</f>
        <v>1</v>
      </c>
      <c r="BM422" s="210">
        <f>WWWW[[#This Row],['# Existing functional latrines]]+WWWW[[#This Row],['# Existing latrines dysfunctional]]</f>
        <v>16</v>
      </c>
      <c r="BN422"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0.56338028169014087</v>
      </c>
      <c r="BO422" s="352">
        <f>WWWW[[#This Row],[% people access to functioning Latrine]]*WWWW[[#This Row],[Total PoP ]]</f>
        <v>320</v>
      </c>
      <c r="BP422"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0.42253521126760568</v>
      </c>
      <c r="BQ422" s="209">
        <f>IF(WWWW[[#This Row],[Total required Latrines]]-WWWW[[#This Row],[Total '# of latrine]]&lt;0,0,WWWW[[#This Row],[Total required Latrines]]-WWWW[[#This Row],[Total '# of latrine]])</f>
        <v>12</v>
      </c>
      <c r="BR422" s="210">
        <f>ROUND(IF(WWWW[[#This Row],[Location Type 1]]="camp",WWWW[[#This Row],[Total PoP ]]/20,WWWW[[#This Row],[Total PoP ]]/6),0)</f>
        <v>28</v>
      </c>
      <c r="BS422" s="212">
        <f>IF(OR(WWWW[[#This Row],['# Existing latrines dysfunctional]]="",WWWW[[#This Row],['# Existing latrines dysfunctional]]=0),0,WWWW[[#This Row],['# Existing latrines dysfunctional]]/WWWW[[#This Row],[Total '# of latrine]])</f>
        <v>0</v>
      </c>
      <c r="BT422"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22" s="209">
        <f>IF(500*WWWW[[#This Row],['# Hygiene Promoters ]]&gt;WWWW[[#This Row],[Total PoP ]],WWWW[[#This Row],[Total PoP ]],500*WWWW[[#This Row],['# Hygiene Promoters ]])</f>
        <v>568</v>
      </c>
      <c r="BV422" s="209">
        <f>IF(WWWW[[#This Row],[% of HH with access to Sanitary Pad]]&gt;=100%,1,0)</f>
        <v>0</v>
      </c>
      <c r="BW422" s="209">
        <f>IF(WWWW[[#This Row],[Total PoP ]]=0,0,IF(WWWW[[#This Row],['# Hygiene Promoters ]]=0,0,IF(WWWW[[#This Row],[Location Type 1]]="Village",IF(WWWW[[#This Row],[Total PoP ]]/WWWW[[#This Row],['# Hygiene Promoters ]]&lt;1000,1,0),IF(WWWW[[#This Row],[Total PoP ]]/WWWW[[#This Row],['# Hygiene Promoters ]]&lt;600,1,0))))</f>
        <v>1</v>
      </c>
      <c r="BX422" s="209">
        <f>IF(WWWW[[#This Row],[%HH with access to soap]]&gt;=100%,1,0)</f>
        <v>1</v>
      </c>
      <c r="BY422" s="209">
        <f>IF(WWWW[[#This Row],[% of HHs with access to Sanitary pad more than '#%]]+WWWW[[#This Row],[Ratio of Hyiene promoters to people less than '#]]+WWWW[[#This Row],[% of HHs with access to soap more than '#%]]&gt;=2,WWWW[[#This Row],[Total PoP ]],0)</f>
        <v>568</v>
      </c>
      <c r="BZ422" s="208">
        <f>WWWW[[#This Row],[People adopt basic personal and community hygiene practices]]/WWWW[[#This Row],[Total PoP ]]</f>
        <v>1</v>
      </c>
      <c r="CA422" s="212">
        <f>1-WWWW[[#This Row],[Hygiene Coverage%]]</f>
        <v>0</v>
      </c>
      <c r="CB422" s="211">
        <f>WWWW[[#This Row],['# people reached by regular dedicated hygiene promotion_5]]/WWWW[[#This Row],[Total PoP ]]</f>
        <v>1</v>
      </c>
      <c r="CC422" s="211">
        <f>IF(WWWW[[#This Row],['# HH received soaps]]/WWWW[[#This Row],[Total HH]]&gt;1,1,WWWW[[#This Row],['# HH received soaps]]/WWWW[[#This Row],[Total HH]])</f>
        <v>1</v>
      </c>
      <c r="CD422" s="211">
        <f>IF(WWWW[[#This Row],['# HH received Sanitary Pads]]/WWWW[[#This Row],[Total HH]]&gt;1,1,WWWW[[#This Row],['# HH received Sanitary Pads]]/WWWW[[#This Row],[Total HH]])</f>
        <v>0</v>
      </c>
      <c r="CE422" s="210">
        <f>WWWW[[#This Row],['# HH received soaps]]*5</f>
        <v>605</v>
      </c>
      <c r="CF422" s="210">
        <f>WWWW[[#This Row],['# HH received Sanitary Pads]]*5</f>
        <v>0</v>
      </c>
      <c r="CG422" s="210">
        <f>IF(WWWW[[#This Row],['# People with access to soap]]&gt;WWWW[[#This Row],['# People with access to Sanity Pads]],WWWW[[#This Row],['# People with access to soap]],WWWW[[#This Row],['# People with access to Sanity Pads]])</f>
        <v>605</v>
      </c>
      <c r="CH422" s="209">
        <f>WWWW[[#This Row],[Total HH]]*WWWW[[#This Row],[%HHs with access to functional hand washing stations]]</f>
        <v>118</v>
      </c>
      <c r="CI422" s="699" t="str">
        <f>VLOOKUP(WWWW[[#This Row],[Site Name]],SiteDB6[[Site Name]:[CCCM Management]],6,FALSE)</f>
        <v>Yes</v>
      </c>
      <c r="CJ422" s="699" t="str">
        <f>VLOOKUP(WWWW[[#This Row],[Site Name]],SiteDB6[[Site Name]:[CCCM Focal Agency]],7,FALSE)</f>
        <v>KBC</v>
      </c>
      <c r="CK422" s="699" t="str">
        <f>VLOOKUP(WWWW[[#This Row],[Site Name]],SiteDB6[[Site Name]:[Location Type]],8,FALSE)</f>
        <v>Camp</v>
      </c>
      <c r="CL422" s="699" t="str">
        <f>VLOOKUP(WWWW[[#This Row],[Site Name]],SiteDB6[[Site Name]:[Location Type 1]],9,FALSE)</f>
        <v>Camp</v>
      </c>
      <c r="CM422" s="699" t="str">
        <f>VLOOKUP(WWWW[[#This Row],[Site Name]],SiteDB6[[Site Name]:[Type of Accommodation]],10,FALSE)</f>
        <v>Camp</v>
      </c>
      <c r="CN422" s="699" t="str">
        <f>VLOOKUP(WWWW[[#This Row],[Site Name]],SiteDB6[[Site Name]:[Ethnic or GCA/NGCA]],11,FALSE)</f>
        <v>GCA</v>
      </c>
      <c r="CO422" s="699">
        <f>VLOOKUP(WWWW[[#This Row],[Site Name]],SiteDB6[[Site Name]:[Lat]],12,FALSE)</f>
        <v>23.838190000000001</v>
      </c>
      <c r="CP422" s="699">
        <f>VLOOKUP(WWWW[[#This Row],[Site Name]],SiteDB6[[Site Name]:[Long]],13,FALSE)</f>
        <v>97.709879999999998</v>
      </c>
      <c r="CQ422" s="699" t="str">
        <f>VLOOKUP(WWWW[[#This Row],[Site Name]],SiteDB6[[Site Name]:[Pcode]],3,FALSE)</f>
        <v>MMR015CMP215</v>
      </c>
      <c r="CR422" s="660" t="str">
        <f t="shared" si="11"/>
        <v>Covered</v>
      </c>
      <c r="CS422" s="660"/>
      <c r="CT422" s="24"/>
      <c r="CU422" s="24"/>
      <c r="CV422" s="24"/>
    </row>
    <row r="423" spans="1:100" ht="15.75" customHeight="1" x14ac:dyDescent="0.25">
      <c r="A423" s="833" t="s">
        <v>3206</v>
      </c>
      <c r="B423" s="206" t="s">
        <v>338</v>
      </c>
      <c r="C423" s="206" t="s">
        <v>866</v>
      </c>
      <c r="D423" s="206" t="s">
        <v>890</v>
      </c>
      <c r="E423" s="206" t="s">
        <v>891</v>
      </c>
      <c r="F423" s="206">
        <v>16</v>
      </c>
      <c r="G423" s="209">
        <v>81</v>
      </c>
      <c r="H423" s="206">
        <v>18</v>
      </c>
      <c r="I423" s="206" t="s">
        <v>3258</v>
      </c>
      <c r="J423" s="207">
        <v>43343</v>
      </c>
      <c r="K423" s="206"/>
      <c r="L423" s="206" t="s">
        <v>286</v>
      </c>
      <c r="M423" s="208" t="s">
        <v>286</v>
      </c>
      <c r="N423" s="208" t="s">
        <v>286</v>
      </c>
      <c r="O423" s="316">
        <v>0</v>
      </c>
      <c r="P423" s="317">
        <v>0</v>
      </c>
      <c r="Q423" s="317">
        <v>17280</v>
      </c>
      <c r="R423" s="318">
        <v>1</v>
      </c>
      <c r="S423" s="318"/>
      <c r="T423" s="318"/>
      <c r="U423" s="318">
        <v>0</v>
      </c>
      <c r="V423" s="318">
        <v>0</v>
      </c>
      <c r="W423" s="318">
        <v>0</v>
      </c>
      <c r="X423" s="318">
        <v>0</v>
      </c>
      <c r="Y423" s="318">
        <v>0</v>
      </c>
      <c r="Z423" s="318" t="s">
        <v>892</v>
      </c>
      <c r="AA423" s="310">
        <v>17</v>
      </c>
      <c r="AB423" s="310">
        <v>0</v>
      </c>
      <c r="AC423" s="66">
        <v>0</v>
      </c>
      <c r="AD423" s="66"/>
      <c r="AE423" s="310">
        <v>17</v>
      </c>
      <c r="AF423" s="310" t="s">
        <v>332</v>
      </c>
      <c r="AG423" s="311" t="s">
        <v>332</v>
      </c>
      <c r="AH423" s="311">
        <v>0</v>
      </c>
      <c r="AI423" s="310">
        <v>0</v>
      </c>
      <c r="AJ423" s="310"/>
      <c r="AK423" s="841">
        <v>0</v>
      </c>
      <c r="AL423" s="842" t="s">
        <v>284</v>
      </c>
      <c r="AM423" s="842"/>
      <c r="AN423" s="863"/>
      <c r="AO423" s="863">
        <v>1</v>
      </c>
      <c r="AP423" s="843">
        <v>0</v>
      </c>
      <c r="AQ423" s="843">
        <v>0</v>
      </c>
      <c r="AR423" s="843"/>
      <c r="AS423" s="843"/>
      <c r="AT423" s="843"/>
      <c r="AU423" s="843"/>
      <c r="AV423" s="844"/>
      <c r="AW423" s="208" t="str">
        <f>IFERROR(WWWW[[#This Row],['# of Water passed at source]]/WWWW[[#This Row],['# of Water tested at source]],"no test")</f>
        <v>no test</v>
      </c>
      <c r="AX423" s="211" t="str">
        <f>IFERROR(WWWW[[#This Row],['# of Water passed at HH]]/WWWW[[#This Row],['# of Water tested at HH]],"no test")</f>
        <v>no test</v>
      </c>
      <c r="AY423" s="210" t="str">
        <f>IF(AND(WWWW[[#This Row],[%of Water samples which passed at water source]]="no test",WWWW[[#This Row],[%Water samples which passed at HH]]="no test"),"No Test","Tested")</f>
        <v>No Test</v>
      </c>
      <c r="AZ423"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BA423" s="21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B423" s="211">
        <f>IF(WWWW[[#This Row],[Location Type 1]]="Village",WWWW[[#This Row],[Access to safe drinking water for Village]],WWWW[[#This Row],[Access to safe drinking water for Camp]])</f>
        <v>1</v>
      </c>
      <c r="BC423" s="209">
        <f>WWWW[[#This Row],[%Equitable and continuous access to sufficient quantity of safe drinking water]]*WWWW[[#This Row],[Total PoP ]]</f>
        <v>81</v>
      </c>
      <c r="BD423" s="211">
        <f>IF((WWWW[[#This Row],['# Existing protected/fenced ponds ]]*250)/WWWW[[#This Row],[Total PoP ]]&gt;1,1,WWWW[[#This Row],['# Existing protected/fenced ponds ]]*250/WWWW[[#This Row],[Total PoP ]])</f>
        <v>1</v>
      </c>
      <c r="BE423" s="209">
        <f>WWWW[[#This Row],[Access to unimproved water points]]*WWWW[[#This Row],[Total PoP ]]</f>
        <v>81</v>
      </c>
      <c r="BF423"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G423"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81</v>
      </c>
      <c r="BH423" s="209">
        <f>WWWW[[#This Row],['#people Equitable and continuous access to sufficient quantity of domestic water borehole n ponds_2]]/500</f>
        <v>0.16200000000000001</v>
      </c>
      <c r="BI423" s="208">
        <f>1-WWWW[[#This Row],[%Equitable and continuous access to sufficient quantity of domestic water borehole n ponds]]</f>
        <v>0</v>
      </c>
      <c r="BJ423" s="209">
        <f>WWWW[[#This Row],[%equitable and continuous access to sufficient quantity of safe drinking and domestic water''s GAP]]*WWWW[[#This Row],[Total PoP ]]</f>
        <v>0</v>
      </c>
      <c r="BK423" s="210">
        <f>IF(WWWW[[#This Row],[Total required water points]]-WWWW[[#This Row],['#Water points coverage]]&lt;0,0,WWWW[[#This Row],[Total required water points]]-WWWW[[#This Row],['#Water points coverage]])</f>
        <v>0.83799999999999997</v>
      </c>
      <c r="BL423" s="210">
        <f>ROUND(IF(WWWW[[#This Row],[Total PoP ]]&lt;500,1,WWWW[[#This Row],[Total PoP ]]/500),0)</f>
        <v>1</v>
      </c>
      <c r="BM423" s="210">
        <f>WWWW[[#This Row],['# Existing functional latrines]]+WWWW[[#This Row],['# Existing latrines dysfunctional]]</f>
        <v>17</v>
      </c>
      <c r="BN423" s="208">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O423" s="352">
        <f>WWWW[[#This Row],[% people access to functioning Latrine]]*WWWW[[#This Row],[Total PoP ]]</f>
        <v>81</v>
      </c>
      <c r="BP423" s="208">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Q423" s="209">
        <f>IF(WWWW[[#This Row],[Total required Latrines]]-WWWW[[#This Row],[Total '# of latrine]]&lt;0,0,WWWW[[#This Row],[Total required Latrines]]-WWWW[[#This Row],[Total '# of latrine]])</f>
        <v>0</v>
      </c>
      <c r="BR423" s="210">
        <f>ROUND(IF(WWWW[[#This Row],[Location Type 1]]="camp",WWWW[[#This Row],[Total PoP ]]/20,WWWW[[#This Row],[Total PoP ]]/6),0)</f>
        <v>4</v>
      </c>
      <c r="BS423" s="212">
        <f>IF(OR(WWWW[[#This Row],['# Existing latrines dysfunctional]]="",WWWW[[#This Row],['# Existing latrines dysfunctional]]=0),0,WWWW[[#This Row],['# Existing latrines dysfunctional]]/WWWW[[#This Row],[Total '# of latrine]])</f>
        <v>0</v>
      </c>
      <c r="BT423" s="352">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23" s="209">
        <f>IF(500*WWWW[[#This Row],['# Hygiene Promoters ]]&gt;WWWW[[#This Row],[Total PoP ]],WWWW[[#This Row],[Total PoP ]],500*WWWW[[#This Row],['# Hygiene Promoters ]])</f>
        <v>81</v>
      </c>
      <c r="BV423" s="209">
        <f>IF(WWWW[[#This Row],[% of HH with access to Sanitary Pad]]&gt;=100%,1,0)</f>
        <v>0</v>
      </c>
      <c r="BW423" s="209">
        <f>IF(WWWW[[#This Row],[Total PoP ]]=0,0,IF(WWWW[[#This Row],['# Hygiene Promoters ]]=0,0,IF(WWWW[[#This Row],[Location Type 1]]="Village",IF(WWWW[[#This Row],[Total PoP ]]/WWWW[[#This Row],['# Hygiene Promoters ]]&lt;1000,1,0),IF(WWWW[[#This Row],[Total PoP ]]/WWWW[[#This Row],['# Hygiene Promoters ]]&lt;600,1,0))))</f>
        <v>1</v>
      </c>
      <c r="BX423" s="209">
        <f>IF(WWWW[[#This Row],[%HH with access to soap]]&gt;=100%,1,0)</f>
        <v>0</v>
      </c>
      <c r="BY423" s="209">
        <f>IF(WWWW[[#This Row],[% of HHs with access to Sanitary pad more than '#%]]+WWWW[[#This Row],[Ratio of Hyiene promoters to people less than '#]]+WWWW[[#This Row],[% of HHs with access to soap more than '#%]]&gt;=2,WWWW[[#This Row],[Total PoP ]],0)</f>
        <v>0</v>
      </c>
      <c r="BZ423" s="208">
        <f>WWWW[[#This Row],[People adopt basic personal and community hygiene practices]]/WWWW[[#This Row],[Total PoP ]]</f>
        <v>0</v>
      </c>
      <c r="CA423" s="212">
        <f>1-WWWW[[#This Row],[Hygiene Coverage%]]</f>
        <v>1</v>
      </c>
      <c r="CB423" s="211">
        <f>WWWW[[#This Row],['# people reached by regular dedicated hygiene promotion_5]]/WWWW[[#This Row],[Total PoP ]]</f>
        <v>1</v>
      </c>
      <c r="CC423" s="211">
        <f>IF(WWWW[[#This Row],['# HH received soaps]]/WWWW[[#This Row],[Total HH]]&gt;1,1,WWWW[[#This Row],['# HH received soaps]]/WWWW[[#This Row],[Total HH]])</f>
        <v>0</v>
      </c>
      <c r="CD423" s="211">
        <f>IF(WWWW[[#This Row],['# HH received Sanitary Pads]]/WWWW[[#This Row],[Total HH]]&gt;1,1,WWWW[[#This Row],['# HH received Sanitary Pads]]/WWWW[[#This Row],[Total HH]])</f>
        <v>0</v>
      </c>
      <c r="CE423" s="210">
        <f>WWWW[[#This Row],['# HH received soaps]]*5</f>
        <v>0</v>
      </c>
      <c r="CF423" s="210">
        <f>WWWW[[#This Row],['# HH received Sanitary Pads]]*5</f>
        <v>0</v>
      </c>
      <c r="CG423" s="210">
        <f>IF(WWWW[[#This Row],['# People with access to soap]]&gt;WWWW[[#This Row],['# People with access to Sanity Pads]],WWWW[[#This Row],['# People with access to soap]],WWWW[[#This Row],['# People with access to Sanity Pads]])</f>
        <v>0</v>
      </c>
      <c r="CH423" s="209">
        <f>WWWW[[#This Row],[Total HH]]*WWWW[[#This Row],[%HHs with access to functional hand washing stations]]</f>
        <v>0</v>
      </c>
      <c r="CI423" s="699">
        <f>VLOOKUP(WWWW[[#This Row],[Site Name]],SiteDB6[[Site Name]:[CCCM Management]],6,FALSE)</f>
        <v>0</v>
      </c>
      <c r="CJ423" s="699" t="str">
        <f>VLOOKUP(WWWW[[#This Row],[Site Name]],SiteDB6[[Site Name]:[CCCM Focal Agency]],7,FALSE)</f>
        <v>uncovered</v>
      </c>
      <c r="CK423" s="699" t="str">
        <f>VLOOKUP(WWWW[[#This Row],[Site Name]],SiteDB6[[Site Name]:[Location Type]],8,FALSE)</f>
        <v>Camp</v>
      </c>
      <c r="CL423" s="699" t="str">
        <f>VLOOKUP(WWWW[[#This Row],[Site Name]],SiteDB6[[Site Name]:[Location Type 1]],9,FALSE)</f>
        <v>Camp</v>
      </c>
      <c r="CM423" s="699" t="str">
        <f>VLOOKUP(WWWW[[#This Row],[Site Name]],SiteDB6[[Site Name]:[Type of Accommodation]],10,FALSE)</f>
        <v>Camp like setting</v>
      </c>
      <c r="CN423" s="699" t="str">
        <f>VLOOKUP(WWWW[[#This Row],[Site Name]],SiteDB6[[Site Name]:[Ethnic or GCA/NGCA]],11,FALSE)</f>
        <v>GCA</v>
      </c>
      <c r="CO423" s="699">
        <f>VLOOKUP(WWWW[[#This Row],[Site Name]],SiteDB6[[Site Name]:[Lat]],12,FALSE)</f>
        <v>22.765999999999998</v>
      </c>
      <c r="CP423" s="699">
        <f>VLOOKUP(WWWW[[#This Row],[Site Name]],SiteDB6[[Site Name]:[Long]],13,FALSE)</f>
        <v>97.358999999999995</v>
      </c>
      <c r="CQ423" s="699" t="str">
        <f>VLOOKUP(WWWW[[#This Row],[Site Name]],SiteDB6[[Site Name]:[Pcode]],3,FALSE)</f>
        <v>MMR015CMP221</v>
      </c>
      <c r="CR423" s="660" t="str">
        <f t="shared" ref="CR423:CR424" si="12">IF(B423="none","Notcovered","Covered")</f>
        <v>Covered</v>
      </c>
      <c r="CS423" s="660"/>
      <c r="CT423" s="24"/>
      <c r="CU423" s="24"/>
      <c r="CV423" s="24"/>
    </row>
    <row r="424" spans="1:100" ht="15.75" customHeight="1" x14ac:dyDescent="0.25">
      <c r="A424" s="833" t="s">
        <v>3206</v>
      </c>
      <c r="B424" s="206" t="s">
        <v>338</v>
      </c>
      <c r="C424" s="206" t="s">
        <v>866</v>
      </c>
      <c r="D424" s="206" t="s">
        <v>1449</v>
      </c>
      <c r="E424" s="206" t="s">
        <v>3237</v>
      </c>
      <c r="F424" s="132">
        <v>17</v>
      </c>
      <c r="G424" s="214">
        <v>88</v>
      </c>
      <c r="H424" s="132"/>
      <c r="I424" s="132"/>
      <c r="J424" s="133"/>
      <c r="K424" s="132"/>
      <c r="L424" s="132"/>
      <c r="M424" s="134"/>
      <c r="N424" s="134"/>
      <c r="O424" s="320"/>
      <c r="P424" s="326"/>
      <c r="Q424" s="326"/>
      <c r="R424" s="315"/>
      <c r="S424" s="315"/>
      <c r="T424" s="315"/>
      <c r="U424" s="315"/>
      <c r="V424" s="315"/>
      <c r="W424" s="315"/>
      <c r="X424" s="315"/>
      <c r="Y424" s="315"/>
      <c r="Z424" s="315"/>
      <c r="AA424" s="214"/>
      <c r="AB424" s="214"/>
      <c r="AC424" s="132"/>
      <c r="AD424" s="132"/>
      <c r="AE424" s="214"/>
      <c r="AF424" s="214"/>
      <c r="AG424" s="137"/>
      <c r="AH424" s="137"/>
      <c r="AI424" s="214"/>
      <c r="AJ424" s="214"/>
      <c r="AK424" s="136"/>
      <c r="AL424" s="132"/>
      <c r="AM424" s="132"/>
      <c r="AN424" s="136"/>
      <c r="AO424" s="137"/>
      <c r="AP424" s="449"/>
      <c r="AQ424" s="449"/>
      <c r="AR424" s="449"/>
      <c r="AS424" s="839"/>
      <c r="AT424" s="449"/>
      <c r="AU424" s="449"/>
      <c r="AV424" s="214"/>
      <c r="AW424" s="134" t="str">
        <f>IFERROR(WWWW[[#This Row],['# of Water passed at source]]/WWWW[[#This Row],['# of Water tested at source]],"no test")</f>
        <v>no test</v>
      </c>
      <c r="AX424" s="136" t="str">
        <f>IFERROR(WWWW[[#This Row],['# of Water passed at HH]]/WWWW[[#This Row],['# of Water tested at HH]],"no test")</f>
        <v>no test</v>
      </c>
      <c r="AY424" s="137" t="str">
        <f>IF(AND(WWWW[[#This Row],[%of Water samples which passed at water source]]="no test",WWWW[[#This Row],[%Water samples which passed at HH]]="no test"),"No Test","Tested")</f>
        <v>No Test</v>
      </c>
      <c r="AZ424" s="13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BA424" s="13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B424" s="136">
        <f>IF(WWWW[[#This Row],[Location Type 1]]="Village",WWWW[[#This Row],[Access to safe drinking water for Village]],WWWW[[#This Row],[Access to safe drinking water for Camp]])</f>
        <v>0</v>
      </c>
      <c r="BC424" s="214">
        <f>WWWW[[#This Row],[%Equitable and continuous access to sufficient quantity of safe drinking water]]*WWWW[[#This Row],[Total PoP ]]</f>
        <v>0</v>
      </c>
      <c r="BD424" s="136">
        <f>IF((WWWW[[#This Row],['# Existing protected/fenced ponds ]]*250)/WWWW[[#This Row],[Total PoP ]]&gt;1,1,WWWW[[#This Row],['# Existing protected/fenced ponds ]]*250/WWWW[[#This Row],[Total PoP ]])</f>
        <v>0</v>
      </c>
      <c r="BE424" s="214">
        <f>WWWW[[#This Row],[Access to unimproved water points]]*WWWW[[#This Row],[Total PoP ]]</f>
        <v>0</v>
      </c>
      <c r="BF424" s="13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G424" s="21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H424" s="214">
        <f>WWWW[[#This Row],['#people Equitable and continuous access to sufficient quantity of domestic water borehole n ponds_2]]/500</f>
        <v>0</v>
      </c>
      <c r="BI424" s="134">
        <f>1-WWWW[[#This Row],[%Equitable and continuous access to sufficient quantity of domestic water borehole n ponds]]</f>
        <v>1</v>
      </c>
      <c r="BJ424" s="214">
        <f>WWWW[[#This Row],[%equitable and continuous access to sufficient quantity of safe drinking and domestic water''s GAP]]*WWWW[[#This Row],[Total PoP ]]</f>
        <v>88</v>
      </c>
      <c r="BK424" s="137">
        <f>IF(WWWW[[#This Row],[Total required water points]]-WWWW[[#This Row],['#Water points coverage]]&lt;0,0,WWWW[[#This Row],[Total required water points]]-WWWW[[#This Row],['#Water points coverage]])</f>
        <v>1</v>
      </c>
      <c r="BL424" s="137">
        <f>ROUND(IF(WWWW[[#This Row],[Total PoP ]]&lt;500,1,WWWW[[#This Row],[Total PoP ]]/500),0)</f>
        <v>1</v>
      </c>
      <c r="BM424" s="137">
        <f>WWWW[[#This Row],['# Existing functional latrines]]+WWWW[[#This Row],['# Existing latrines dysfunctional]]</f>
        <v>0</v>
      </c>
      <c r="BN424" s="13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O424" s="351">
        <f>WWWW[[#This Row],[% people access to functioning Latrine]]*WWWW[[#This Row],[Total PoP ]]</f>
        <v>0</v>
      </c>
      <c r="BP424" s="13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0.90909090909090906</v>
      </c>
      <c r="BQ424" s="214">
        <f>IF(WWWW[[#This Row],[Total required Latrines]]-WWWW[[#This Row],[Total '# of latrine]]&lt;0,0,WWWW[[#This Row],[Total required Latrines]]-WWWW[[#This Row],[Total '# of latrine]])</f>
        <v>4</v>
      </c>
      <c r="BR424" s="137">
        <f>ROUND(IF(WWWW[[#This Row],[Location Type 1]]="camp",WWWW[[#This Row],[Total PoP ]]/20,WWWW[[#This Row],[Total PoP ]]/6),0)</f>
        <v>4</v>
      </c>
      <c r="BS424" s="138">
        <f>IF(OR(WWWW[[#This Row],['# Existing latrines dysfunctional]]="",WWWW[[#This Row],['# Existing latrines dysfunctional]]=0),0,WWWW[[#This Row],['# Existing latrines dysfunctional]]/WWWW[[#This Row],[Total '# of latrine]])</f>
        <v>0</v>
      </c>
      <c r="BT424" s="351">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U424" s="214">
        <f>IF(500*WWWW[[#This Row],['# Hygiene Promoters ]]&gt;WWWW[[#This Row],[Total PoP ]],WWWW[[#This Row],[Total PoP ]],500*WWWW[[#This Row],['# Hygiene Promoters ]])</f>
        <v>0</v>
      </c>
      <c r="BV424" s="214">
        <f>IF(WWWW[[#This Row],[% of HH with access to Sanitary Pad]]&gt;=100%,1,0)</f>
        <v>0</v>
      </c>
      <c r="BW424" s="214">
        <f>IF(WWWW[[#This Row],[Total PoP ]]=0,0,IF(WWWW[[#This Row],['# Hygiene Promoters ]]=0,0,IF(WWWW[[#This Row],[Location Type 1]]="Village",IF(WWWW[[#This Row],[Total PoP ]]/WWWW[[#This Row],['# Hygiene Promoters ]]&lt;1000,1,0),IF(WWWW[[#This Row],[Total PoP ]]/WWWW[[#This Row],['# Hygiene Promoters ]]&lt;600,1,0))))</f>
        <v>0</v>
      </c>
      <c r="BX424" s="214">
        <f>IF(WWWW[[#This Row],[%HH with access to soap]]&gt;=100%,1,0)</f>
        <v>0</v>
      </c>
      <c r="BY424" s="214">
        <f>IF(WWWW[[#This Row],[% of HHs with access to Sanitary pad more than '#%]]+WWWW[[#This Row],[Ratio of Hyiene promoters to people less than '#]]+WWWW[[#This Row],[% of HHs with access to soap more than '#%]]&gt;=2,WWWW[[#This Row],[Total PoP ]],0)</f>
        <v>0</v>
      </c>
      <c r="BZ424" s="134">
        <f>WWWW[[#This Row],[People adopt basic personal and community hygiene practices]]/WWWW[[#This Row],[Total PoP ]]</f>
        <v>0</v>
      </c>
      <c r="CA424" s="138">
        <f>1-WWWW[[#This Row],[Hygiene Coverage%]]</f>
        <v>1</v>
      </c>
      <c r="CB424" s="136">
        <f>WWWW[[#This Row],['# people reached by regular dedicated hygiene promotion_5]]/WWWW[[#This Row],[Total PoP ]]</f>
        <v>0</v>
      </c>
      <c r="CC424" s="136">
        <f>IF(WWWW[[#This Row],['# HH received soaps]]/WWWW[[#This Row],[Total HH]]&gt;1,1,WWWW[[#This Row],['# HH received soaps]]/WWWW[[#This Row],[Total HH]])</f>
        <v>0</v>
      </c>
      <c r="CD424" s="136">
        <f>IF(WWWW[[#This Row],['# HH received Sanitary Pads]]/WWWW[[#This Row],[Total HH]]&gt;1,1,WWWW[[#This Row],['# HH received Sanitary Pads]]/WWWW[[#This Row],[Total HH]])</f>
        <v>0</v>
      </c>
      <c r="CE424" s="137">
        <f>WWWW[[#This Row],['# HH received soaps]]*5</f>
        <v>0</v>
      </c>
      <c r="CF424" s="137">
        <f>WWWW[[#This Row],['# HH received Sanitary Pads]]*5</f>
        <v>0</v>
      </c>
      <c r="CG424" s="137">
        <f>IF(WWWW[[#This Row],['# People with access to soap]]&gt;WWWW[[#This Row],['# People with access to Sanity Pads]],WWWW[[#This Row],['# People with access to soap]],WWWW[[#This Row],['# People with access to Sanity Pads]])</f>
        <v>0</v>
      </c>
      <c r="CH424" s="214">
        <f>WWWW[[#This Row],[Total HH]]*WWWW[[#This Row],[%HHs with access to functional hand washing stations]]</f>
        <v>0</v>
      </c>
      <c r="CI424" s="139">
        <f>VLOOKUP(WWWW[[#This Row],[Site Name]],SiteDB6[[Site Name]:[CCCM Management]],6,FALSE)</f>
        <v>0</v>
      </c>
      <c r="CJ424" s="139">
        <f>VLOOKUP(WWWW[[#This Row],[Site Name]],SiteDB6[[Site Name]:[CCCM Focal Agency]],7,FALSE)</f>
        <v>0</v>
      </c>
      <c r="CK424" s="139" t="str">
        <f>VLOOKUP(WWWW[[#This Row],[Site Name]],SiteDB6[[Site Name]:[Location Type]],8,FALSE)</f>
        <v>New Site</v>
      </c>
      <c r="CL424" s="139" t="str">
        <f>VLOOKUP(WWWW[[#This Row],[Site Name]],SiteDB6[[Site Name]:[Location Type 1]],9,FALSE)</f>
        <v>Camp</v>
      </c>
      <c r="CM424" s="139" t="str">
        <f>VLOOKUP(WWWW[[#This Row],[Site Name]],SiteDB6[[Site Name]:[Type of Accommodation]],10,FALSE)</f>
        <v>Camp like setting</v>
      </c>
      <c r="CN424" s="139" t="str">
        <f>VLOOKUP(WWWW[[#This Row],[Site Name]],SiteDB6[[Site Name]:[Ethnic or GCA/NGCA]],11,FALSE)</f>
        <v>GCA</v>
      </c>
      <c r="CO424" s="139">
        <f>VLOOKUP(WWWW[[#This Row],[Site Name]],SiteDB6[[Site Name]:[Lat]],12,FALSE)</f>
        <v>0</v>
      </c>
      <c r="CP424" s="139">
        <f>VLOOKUP(WWWW[[#This Row],[Site Name]],SiteDB6[[Site Name]:[Long]],13,FALSE)</f>
        <v>0</v>
      </c>
      <c r="CQ424" s="139">
        <f>VLOOKUP(WWWW[[#This Row],[Site Name]],SiteDB6[[Site Name]:[Pcode]],3,FALSE)</f>
        <v>0</v>
      </c>
      <c r="CR424" s="449" t="str">
        <f t="shared" si="12"/>
        <v>Covered</v>
      </c>
      <c r="CS424" s="449"/>
      <c r="CT424" s="24"/>
      <c r="CU424" s="24"/>
      <c r="CV424" s="24"/>
    </row>
    <row r="425" spans="1:100" ht="15.75" customHeight="1" x14ac:dyDescent="0.25">
      <c r="A425" s="293" t="s">
        <v>2691</v>
      </c>
      <c r="B425" s="132" t="s">
        <v>426</v>
      </c>
      <c r="C425" s="132" t="s">
        <v>44</v>
      </c>
      <c r="D425" s="132" t="s">
        <v>341</v>
      </c>
      <c r="E425" s="132" t="s">
        <v>1258</v>
      </c>
      <c r="F425" s="132">
        <v>70</v>
      </c>
      <c r="G425" s="214">
        <v>356</v>
      </c>
      <c r="H425" s="132"/>
      <c r="I425" s="132" t="s">
        <v>428</v>
      </c>
      <c r="J425" s="133" t="s">
        <v>2809</v>
      </c>
      <c r="K425" s="132">
        <v>0</v>
      </c>
      <c r="L425" s="132" t="s">
        <v>48</v>
      </c>
      <c r="M425" s="134">
        <v>0</v>
      </c>
      <c r="N425" s="134">
        <v>0</v>
      </c>
      <c r="O425" s="320">
        <v>0</v>
      </c>
      <c r="P425" s="326">
        <v>10</v>
      </c>
      <c r="Q425" s="326">
        <v>2228400</v>
      </c>
      <c r="R425" s="315">
        <v>0</v>
      </c>
      <c r="S425" s="315">
        <v>0</v>
      </c>
      <c r="T425" s="315"/>
      <c r="U425" s="315">
        <v>0</v>
      </c>
      <c r="V425" s="315">
        <v>0</v>
      </c>
      <c r="W425" s="315">
        <v>10</v>
      </c>
      <c r="X425" s="315">
        <v>9</v>
      </c>
      <c r="Y425" s="315">
        <v>0</v>
      </c>
      <c r="Z425" s="315" t="s">
        <v>2810</v>
      </c>
      <c r="AA425" s="336">
        <v>13</v>
      </c>
      <c r="AB425" s="336">
        <v>0</v>
      </c>
      <c r="AC425" s="337"/>
      <c r="AD425" s="337" t="s">
        <v>2785</v>
      </c>
      <c r="AE425" s="336">
        <v>0</v>
      </c>
      <c r="AF425" s="336" t="s">
        <v>283</v>
      </c>
      <c r="AG425" s="339" t="s">
        <v>283</v>
      </c>
      <c r="AH425" s="339">
        <v>0</v>
      </c>
      <c r="AI425" s="336">
        <v>0</v>
      </c>
      <c r="AJ425" s="336" t="s">
        <v>2811</v>
      </c>
      <c r="AK425" s="848">
        <v>1</v>
      </c>
      <c r="AL425" s="836" t="s">
        <v>291</v>
      </c>
      <c r="AM425" s="836">
        <v>0</v>
      </c>
      <c r="AN425" s="837">
        <v>2</v>
      </c>
      <c r="AO425" s="837">
        <v>1</v>
      </c>
      <c r="AP425" s="843">
        <v>0</v>
      </c>
      <c r="AQ425" s="839">
        <v>0</v>
      </c>
      <c r="AR425" s="839"/>
      <c r="AS425" s="839"/>
      <c r="AT425" s="839">
        <v>1</v>
      </c>
      <c r="AU425" s="839">
        <v>0</v>
      </c>
      <c r="AV425" s="849" t="s">
        <v>2812</v>
      </c>
      <c r="AW425" s="134" t="s">
        <v>3208</v>
      </c>
      <c r="AX425" s="136">
        <v>0.9</v>
      </c>
      <c r="AY425" s="137" t="s">
        <v>2577</v>
      </c>
      <c r="AZ425" s="136">
        <v>1</v>
      </c>
      <c r="BA425" s="136">
        <v>1</v>
      </c>
      <c r="BB425" s="136">
        <v>1</v>
      </c>
      <c r="BC425" s="214">
        <v>356</v>
      </c>
      <c r="BD425" s="136">
        <v>0</v>
      </c>
      <c r="BE425" s="214">
        <v>0</v>
      </c>
      <c r="BF425" s="136">
        <v>1</v>
      </c>
      <c r="BG425" s="214">
        <v>356</v>
      </c>
      <c r="BH425" s="214">
        <v>0.71199999999999997</v>
      </c>
      <c r="BI425" s="134">
        <v>0</v>
      </c>
      <c r="BJ425" s="214">
        <v>0</v>
      </c>
      <c r="BK425" s="137">
        <v>0.28800000000000003</v>
      </c>
      <c r="BL425" s="137">
        <v>1</v>
      </c>
      <c r="BM425" s="137">
        <v>13</v>
      </c>
      <c r="BN425" s="134">
        <v>0.7303370786516854</v>
      </c>
      <c r="BO425" s="351">
        <v>260</v>
      </c>
      <c r="BP425" s="134">
        <v>0.28089887640449435</v>
      </c>
      <c r="BQ425" s="214">
        <v>5</v>
      </c>
      <c r="BR425" s="137">
        <v>18</v>
      </c>
      <c r="BS425" s="138">
        <v>0</v>
      </c>
      <c r="BT425" s="351">
        <v>0</v>
      </c>
      <c r="BU425" s="214">
        <v>356</v>
      </c>
      <c r="BV425" s="214">
        <v>0</v>
      </c>
      <c r="BW425" s="214">
        <v>1</v>
      </c>
      <c r="BX425" s="214">
        <v>0</v>
      </c>
      <c r="BY425" s="214">
        <v>0</v>
      </c>
      <c r="BZ425" s="134">
        <v>0</v>
      </c>
      <c r="CA425" s="138">
        <v>1</v>
      </c>
      <c r="CB425" s="136">
        <v>1</v>
      </c>
      <c r="CC425" s="136">
        <v>0</v>
      </c>
      <c r="CD425" s="136">
        <v>0</v>
      </c>
      <c r="CE425" s="137">
        <v>0</v>
      </c>
      <c r="CF425" s="137">
        <v>0</v>
      </c>
      <c r="CG425" s="137">
        <v>0</v>
      </c>
      <c r="CH425" s="214">
        <v>70</v>
      </c>
      <c r="CI425" s="139">
        <v>0</v>
      </c>
      <c r="CJ425" s="139">
        <v>0</v>
      </c>
      <c r="CK425" s="139" t="s">
        <v>1921</v>
      </c>
      <c r="CL425" s="139" t="s">
        <v>50</v>
      </c>
      <c r="CM425" s="139" t="s">
        <v>1259</v>
      </c>
      <c r="CN425" s="139" t="s">
        <v>51</v>
      </c>
      <c r="CO425" s="139">
        <v>0</v>
      </c>
      <c r="CP425" s="139">
        <v>0</v>
      </c>
      <c r="CQ425" s="139">
        <v>0</v>
      </c>
      <c r="CR425" s="449" t="s">
        <v>40</v>
      </c>
      <c r="CS425" s="449"/>
      <c r="CT425" s="24"/>
      <c r="CU425" s="24"/>
      <c r="CV425" s="24"/>
    </row>
    <row r="426" spans="1:100" ht="15.75" customHeight="1" x14ac:dyDescent="0.25">
      <c r="A426" s="293" t="s">
        <v>2691</v>
      </c>
      <c r="B426" s="132" t="s">
        <v>426</v>
      </c>
      <c r="C426" s="132" t="s">
        <v>44</v>
      </c>
      <c r="D426" s="132" t="s">
        <v>341</v>
      </c>
      <c r="E426" s="132" t="s">
        <v>427</v>
      </c>
      <c r="F426" s="132">
        <v>166</v>
      </c>
      <c r="G426" s="214">
        <v>815</v>
      </c>
      <c r="H426" s="132"/>
      <c r="I426" s="132" t="s">
        <v>428</v>
      </c>
      <c r="J426" s="133" t="s">
        <v>2809</v>
      </c>
      <c r="K426" s="132">
        <v>0</v>
      </c>
      <c r="L426" s="132" t="s">
        <v>48</v>
      </c>
      <c r="M426" s="134">
        <v>0.47619047619047616</v>
      </c>
      <c r="N426" s="134">
        <v>0</v>
      </c>
      <c r="O426" s="320">
        <v>0</v>
      </c>
      <c r="P426" s="326">
        <v>1</v>
      </c>
      <c r="Q426" s="326">
        <v>6624400</v>
      </c>
      <c r="R426" s="315">
        <v>0</v>
      </c>
      <c r="S426" s="315">
        <v>0</v>
      </c>
      <c r="T426" s="315"/>
      <c r="U426" s="315">
        <v>0</v>
      </c>
      <c r="V426" s="315">
        <v>0</v>
      </c>
      <c r="W426" s="315">
        <v>11</v>
      </c>
      <c r="X426" s="315">
        <v>7</v>
      </c>
      <c r="Y426" s="315">
        <v>0</v>
      </c>
      <c r="Z426" s="315"/>
      <c r="AA426" s="336">
        <v>36</v>
      </c>
      <c r="AB426" s="336">
        <v>0</v>
      </c>
      <c r="AC426" s="337">
        <v>39</v>
      </c>
      <c r="AD426" s="337" t="s">
        <v>2785</v>
      </c>
      <c r="AE426" s="336">
        <v>0</v>
      </c>
      <c r="AF426" s="336" t="s">
        <v>283</v>
      </c>
      <c r="AG426" s="339" t="s">
        <v>283</v>
      </c>
      <c r="AH426" s="339">
        <v>0</v>
      </c>
      <c r="AI426" s="336">
        <v>0</v>
      </c>
      <c r="AJ426" s="336"/>
      <c r="AK426" s="848">
        <v>1</v>
      </c>
      <c r="AL426" s="836" t="s">
        <v>291</v>
      </c>
      <c r="AM426" s="836">
        <v>0</v>
      </c>
      <c r="AN426" s="837">
        <v>3</v>
      </c>
      <c r="AO426" s="837">
        <v>2</v>
      </c>
      <c r="AP426" s="843">
        <v>524</v>
      </c>
      <c r="AQ426" s="839">
        <v>0</v>
      </c>
      <c r="AR426" s="839"/>
      <c r="AS426" s="839"/>
      <c r="AT426" s="839">
        <v>4</v>
      </c>
      <c r="AU426" s="839">
        <v>0</v>
      </c>
      <c r="AV426" s="849" t="s">
        <v>2461</v>
      </c>
      <c r="AW426" s="134" t="s">
        <v>3208</v>
      </c>
      <c r="AX426" s="136">
        <v>0.63636363636363635</v>
      </c>
      <c r="AY426" s="137" t="s">
        <v>2577</v>
      </c>
      <c r="AZ426" s="136">
        <v>1</v>
      </c>
      <c r="BA426" s="136">
        <v>1</v>
      </c>
      <c r="BB426" s="136">
        <v>1</v>
      </c>
      <c r="BC426" s="214">
        <v>815</v>
      </c>
      <c r="BD426" s="136">
        <v>0</v>
      </c>
      <c r="BE426" s="214">
        <v>0</v>
      </c>
      <c r="BF426" s="136">
        <v>1</v>
      </c>
      <c r="BG426" s="214">
        <v>815</v>
      </c>
      <c r="BH426" s="214">
        <v>1.63</v>
      </c>
      <c r="BI426" s="134">
        <v>0</v>
      </c>
      <c r="BJ426" s="214">
        <v>0</v>
      </c>
      <c r="BK426" s="137">
        <v>0.37000000000000011</v>
      </c>
      <c r="BL426" s="137">
        <v>2</v>
      </c>
      <c r="BM426" s="137">
        <v>36</v>
      </c>
      <c r="BN426" s="134">
        <v>0.8834355828220859</v>
      </c>
      <c r="BO426" s="351">
        <v>720</v>
      </c>
      <c r="BP426" s="134">
        <v>0.12269938650306748</v>
      </c>
      <c r="BQ426" s="214">
        <v>5</v>
      </c>
      <c r="BR426" s="137">
        <v>41</v>
      </c>
      <c r="BS426" s="138">
        <v>0</v>
      </c>
      <c r="BT426" s="351">
        <v>780</v>
      </c>
      <c r="BU426" s="214">
        <v>815</v>
      </c>
      <c r="BV426" s="214">
        <v>0</v>
      </c>
      <c r="BW426" s="214">
        <v>1</v>
      </c>
      <c r="BX426" s="214">
        <v>1</v>
      </c>
      <c r="BY426" s="214">
        <v>815</v>
      </c>
      <c r="BZ426" s="134">
        <v>1</v>
      </c>
      <c r="CA426" s="138">
        <v>0</v>
      </c>
      <c r="CB426" s="136">
        <v>1</v>
      </c>
      <c r="CC426" s="136">
        <v>1</v>
      </c>
      <c r="CD426" s="136">
        <v>0</v>
      </c>
      <c r="CE426" s="137">
        <v>2620</v>
      </c>
      <c r="CF426" s="137">
        <v>0</v>
      </c>
      <c r="CG426" s="137">
        <v>2620</v>
      </c>
      <c r="CH426" s="214">
        <v>166</v>
      </c>
      <c r="CI426" s="139" t="s">
        <v>48</v>
      </c>
      <c r="CJ426" s="139" t="s">
        <v>49</v>
      </c>
      <c r="CK426" s="139" t="s">
        <v>50</v>
      </c>
      <c r="CL426" s="139" t="s">
        <v>50</v>
      </c>
      <c r="CM426" s="139" t="s">
        <v>50</v>
      </c>
      <c r="CN426" s="139" t="s">
        <v>51</v>
      </c>
      <c r="CO426" s="139">
        <v>24.260719999999999</v>
      </c>
      <c r="CP426" s="139">
        <v>97.238829999999993</v>
      </c>
      <c r="CQ426" s="139" t="s">
        <v>1954</v>
      </c>
      <c r="CR426" s="449" t="s">
        <v>40</v>
      </c>
      <c r="CS426" s="449"/>
      <c r="CT426" s="24"/>
      <c r="CU426" s="24"/>
      <c r="CV426" s="24"/>
    </row>
    <row r="427" spans="1:100" ht="15.75" customHeight="1" x14ac:dyDescent="0.25">
      <c r="A427" s="293" t="s">
        <v>2691</v>
      </c>
      <c r="B427" s="132" t="s">
        <v>338</v>
      </c>
      <c r="C427" s="132" t="s">
        <v>44</v>
      </c>
      <c r="D427" s="132" t="s">
        <v>341</v>
      </c>
      <c r="E427" s="132" t="s">
        <v>342</v>
      </c>
      <c r="F427" s="132">
        <v>11</v>
      </c>
      <c r="G427" s="214">
        <v>52</v>
      </c>
      <c r="H427" s="132"/>
      <c r="I427" s="132" t="s">
        <v>2475</v>
      </c>
      <c r="J427" s="133">
        <v>43344</v>
      </c>
      <c r="K427" s="132">
        <v>0</v>
      </c>
      <c r="L427" s="132" t="s">
        <v>282</v>
      </c>
      <c r="M427" s="134">
        <v>0</v>
      </c>
      <c r="N427" s="134">
        <v>0</v>
      </c>
      <c r="O427" s="320">
        <v>1</v>
      </c>
      <c r="P427" s="326">
        <v>1</v>
      </c>
      <c r="Q427" s="326">
        <v>0</v>
      </c>
      <c r="R427" s="315">
        <v>0</v>
      </c>
      <c r="S427" s="315">
        <v>0</v>
      </c>
      <c r="T427" s="315"/>
      <c r="U427" s="315"/>
      <c r="V427" s="315"/>
      <c r="W427" s="315"/>
      <c r="X427" s="315"/>
      <c r="Y427" s="315"/>
      <c r="Z427" s="315"/>
      <c r="AA427" s="336">
        <v>2</v>
      </c>
      <c r="AB427" s="336">
        <v>0</v>
      </c>
      <c r="AC427" s="337"/>
      <c r="AD427" s="337"/>
      <c r="AE427" s="336">
        <v>0</v>
      </c>
      <c r="AF427" s="336" t="s">
        <v>283</v>
      </c>
      <c r="AG427" s="339" t="s">
        <v>283</v>
      </c>
      <c r="AH427" s="339"/>
      <c r="AI427" s="336"/>
      <c r="AJ427" s="336"/>
      <c r="AK427" s="848">
        <v>0</v>
      </c>
      <c r="AL427" s="836" t="s">
        <v>291</v>
      </c>
      <c r="AM427" s="836">
        <v>0</v>
      </c>
      <c r="AN427" s="837">
        <v>1</v>
      </c>
      <c r="AO427" s="837">
        <v>0</v>
      </c>
      <c r="AP427" s="843">
        <v>11</v>
      </c>
      <c r="AQ427" s="839">
        <v>11</v>
      </c>
      <c r="AR427" s="839"/>
      <c r="AS427" s="839"/>
      <c r="AT427" s="839"/>
      <c r="AU427" s="839"/>
      <c r="AV427" s="849"/>
      <c r="AW427" s="134" t="s">
        <v>3208</v>
      </c>
      <c r="AX427" s="136" t="s">
        <v>3208</v>
      </c>
      <c r="AY427" s="137" t="s">
        <v>2576</v>
      </c>
      <c r="AZ427" s="136">
        <v>1</v>
      </c>
      <c r="BA427" s="136">
        <v>1</v>
      </c>
      <c r="BB427" s="136">
        <v>1</v>
      </c>
      <c r="BC427" s="214">
        <v>52</v>
      </c>
      <c r="BD427" s="136">
        <v>0</v>
      </c>
      <c r="BE427" s="214">
        <v>0</v>
      </c>
      <c r="BF427" s="136">
        <v>1</v>
      </c>
      <c r="BG427" s="214">
        <v>52</v>
      </c>
      <c r="BH427" s="214">
        <v>0.104</v>
      </c>
      <c r="BI427" s="134">
        <v>0</v>
      </c>
      <c r="BJ427" s="214">
        <v>0</v>
      </c>
      <c r="BK427" s="137">
        <v>0.89600000000000002</v>
      </c>
      <c r="BL427" s="137">
        <v>1</v>
      </c>
      <c r="BM427" s="137">
        <v>2</v>
      </c>
      <c r="BN427" s="134">
        <v>0.76923076923076927</v>
      </c>
      <c r="BO427" s="351">
        <v>40</v>
      </c>
      <c r="BP427" s="134">
        <v>0.38461538461538458</v>
      </c>
      <c r="BQ427" s="214">
        <v>1</v>
      </c>
      <c r="BR427" s="137">
        <v>3</v>
      </c>
      <c r="BS427" s="138">
        <v>0</v>
      </c>
      <c r="BT427" s="351">
        <v>0</v>
      </c>
      <c r="BU427" s="214">
        <v>0</v>
      </c>
      <c r="BV427" s="214">
        <v>1</v>
      </c>
      <c r="BW427" s="214">
        <v>0</v>
      </c>
      <c r="BX427" s="214">
        <v>1</v>
      </c>
      <c r="BY427" s="214">
        <v>52</v>
      </c>
      <c r="BZ427" s="134">
        <v>1</v>
      </c>
      <c r="CA427" s="138">
        <v>0</v>
      </c>
      <c r="CB427" s="136">
        <v>0</v>
      </c>
      <c r="CC427" s="136">
        <v>1</v>
      </c>
      <c r="CD427" s="136">
        <v>1</v>
      </c>
      <c r="CE427" s="137">
        <v>55</v>
      </c>
      <c r="CF427" s="137">
        <v>55</v>
      </c>
      <c r="CG427" s="137">
        <v>55</v>
      </c>
      <c r="CH427" s="214">
        <v>0</v>
      </c>
      <c r="CI427" s="139" t="s">
        <v>48</v>
      </c>
      <c r="CJ427" s="139" t="s">
        <v>287</v>
      </c>
      <c r="CK427" s="139" t="s">
        <v>50</v>
      </c>
      <c r="CL427" s="139" t="s">
        <v>50</v>
      </c>
      <c r="CM427" s="139" t="s">
        <v>50</v>
      </c>
      <c r="CN427" s="139" t="s">
        <v>51</v>
      </c>
      <c r="CO427" s="139">
        <v>24.260466999999998</v>
      </c>
      <c r="CP427" s="139">
        <v>97.252650000000003</v>
      </c>
      <c r="CQ427" s="139" t="s">
        <v>1953</v>
      </c>
      <c r="CR427" s="449" t="s">
        <v>40</v>
      </c>
      <c r="CS427" s="449"/>
      <c r="CT427" s="24"/>
      <c r="CU427" s="24"/>
      <c r="CV427" s="24"/>
    </row>
    <row r="428" spans="1:100" ht="15.75" customHeight="1" x14ac:dyDescent="0.25">
      <c r="A428" s="293" t="s">
        <v>2691</v>
      </c>
      <c r="B428" s="206" t="s">
        <v>460</v>
      </c>
      <c r="C428" s="206" t="s">
        <v>44</v>
      </c>
      <c r="D428" s="206" t="s">
        <v>341</v>
      </c>
      <c r="E428" s="206" t="s">
        <v>1180</v>
      </c>
      <c r="F428" s="206">
        <v>190</v>
      </c>
      <c r="G428" s="209">
        <v>928</v>
      </c>
      <c r="H428" s="206"/>
      <c r="I428" s="206"/>
      <c r="J428" s="207"/>
      <c r="K428" s="206"/>
      <c r="L428" s="206" t="s">
        <v>282</v>
      </c>
      <c r="M428" s="208">
        <v>0</v>
      </c>
      <c r="N428" s="208">
        <v>0</v>
      </c>
      <c r="O428" s="316"/>
      <c r="P428" s="317"/>
      <c r="Q428" s="317"/>
      <c r="R428" s="318"/>
      <c r="S428" s="318"/>
      <c r="T428" s="318"/>
      <c r="U428" s="318"/>
      <c r="V428" s="318"/>
      <c r="W428" s="318"/>
      <c r="X428" s="318"/>
      <c r="Y428" s="318"/>
      <c r="Z428" s="318"/>
      <c r="AA428" s="310">
        <v>0</v>
      </c>
      <c r="AB428" s="310"/>
      <c r="AC428" s="66"/>
      <c r="AD428" s="337"/>
      <c r="AE428" s="310"/>
      <c r="AF428" s="310" t="s">
        <v>286</v>
      </c>
      <c r="AG428" s="311" t="s">
        <v>286</v>
      </c>
      <c r="AH428" s="311"/>
      <c r="AI428" s="310"/>
      <c r="AJ428" s="310"/>
      <c r="AK428" s="841"/>
      <c r="AL428" s="842"/>
      <c r="AM428" s="842"/>
      <c r="AN428" s="837"/>
      <c r="AO428" s="837"/>
      <c r="AP428" s="843"/>
      <c r="AQ428" s="843"/>
      <c r="AR428" s="843"/>
      <c r="AS428" s="843"/>
      <c r="AT428" s="843"/>
      <c r="AU428" s="843"/>
      <c r="AV428" s="844"/>
      <c r="AW428" s="208" t="s">
        <v>3208</v>
      </c>
      <c r="AX428" s="211" t="s">
        <v>3208</v>
      </c>
      <c r="AY428" s="210" t="s">
        <v>2576</v>
      </c>
      <c r="AZ428" s="136">
        <v>0</v>
      </c>
      <c r="BA428" s="211">
        <v>0</v>
      </c>
      <c r="BB428" s="211">
        <v>0</v>
      </c>
      <c r="BC428" s="209">
        <v>0</v>
      </c>
      <c r="BD428" s="211">
        <v>0</v>
      </c>
      <c r="BE428" s="209">
        <v>0</v>
      </c>
      <c r="BF428" s="211">
        <v>0</v>
      </c>
      <c r="BG428" s="209">
        <v>0</v>
      </c>
      <c r="BH428" s="214">
        <v>0</v>
      </c>
      <c r="BI428" s="208">
        <v>1</v>
      </c>
      <c r="BJ428" s="209">
        <v>928</v>
      </c>
      <c r="BK428" s="210">
        <v>2</v>
      </c>
      <c r="BL428" s="210">
        <v>2</v>
      </c>
      <c r="BM428" s="210">
        <v>0</v>
      </c>
      <c r="BN428" s="208">
        <v>0</v>
      </c>
      <c r="BO428" s="352">
        <v>0</v>
      </c>
      <c r="BP428" s="208">
        <v>0.99137931034482762</v>
      </c>
      <c r="BQ428" s="209">
        <v>46</v>
      </c>
      <c r="BR428" s="210">
        <v>46</v>
      </c>
      <c r="BS428" s="212">
        <v>0</v>
      </c>
      <c r="BT428" s="352">
        <v>0</v>
      </c>
      <c r="BU428" s="209">
        <v>0</v>
      </c>
      <c r="BV428" s="209">
        <v>0</v>
      </c>
      <c r="BW428" s="209">
        <v>0</v>
      </c>
      <c r="BX428" s="209">
        <v>0</v>
      </c>
      <c r="BY428" s="209">
        <v>0</v>
      </c>
      <c r="BZ428" s="208">
        <v>0</v>
      </c>
      <c r="CA428" s="212">
        <v>1</v>
      </c>
      <c r="CB428" s="211">
        <v>0</v>
      </c>
      <c r="CC428" s="211">
        <v>0</v>
      </c>
      <c r="CD428" s="211">
        <v>0</v>
      </c>
      <c r="CE428" s="210">
        <v>0</v>
      </c>
      <c r="CF428" s="210">
        <v>0</v>
      </c>
      <c r="CG428" s="210">
        <v>0</v>
      </c>
      <c r="CH428" s="209">
        <v>0</v>
      </c>
      <c r="CI428" s="139">
        <v>0</v>
      </c>
      <c r="CJ428" s="139" t="s">
        <v>2959</v>
      </c>
      <c r="CK428" s="139" t="s">
        <v>50</v>
      </c>
      <c r="CL428" s="139" t="s">
        <v>50</v>
      </c>
      <c r="CM428" s="139" t="s">
        <v>942</v>
      </c>
      <c r="CN428" s="139" t="s">
        <v>51</v>
      </c>
      <c r="CO428" s="139">
        <v>24.263786</v>
      </c>
      <c r="CP428" s="139">
        <v>97.228835000000004</v>
      </c>
      <c r="CQ428" s="139" t="s">
        <v>1957</v>
      </c>
      <c r="CR428" s="660" t="s">
        <v>3209</v>
      </c>
      <c r="CS428" s="660"/>
      <c r="CT428" s="24"/>
      <c r="CU428" s="24"/>
      <c r="CV428" s="24"/>
    </row>
    <row r="429" spans="1:100" ht="15.75" customHeight="1" x14ac:dyDescent="0.25">
      <c r="A429" s="293" t="s">
        <v>2691</v>
      </c>
      <c r="B429" s="132" t="s">
        <v>338</v>
      </c>
      <c r="C429" s="132" t="s">
        <v>44</v>
      </c>
      <c r="D429" s="132" t="s">
        <v>341</v>
      </c>
      <c r="E429" s="132" t="s">
        <v>344</v>
      </c>
      <c r="F429" s="132">
        <v>39</v>
      </c>
      <c r="G429" s="214">
        <v>232</v>
      </c>
      <c r="H429" s="132"/>
      <c r="I429" s="132" t="s">
        <v>345</v>
      </c>
      <c r="J429" s="133" t="s">
        <v>2474</v>
      </c>
      <c r="K429" s="132">
        <v>0</v>
      </c>
      <c r="L429" s="132" t="s">
        <v>48</v>
      </c>
      <c r="M429" s="134">
        <v>0.4</v>
      </c>
      <c r="N429" s="134">
        <v>0.2</v>
      </c>
      <c r="O429" s="320">
        <v>0</v>
      </c>
      <c r="P429" s="326">
        <v>2</v>
      </c>
      <c r="Q429" s="326">
        <v>0</v>
      </c>
      <c r="R429" s="315">
        <v>0</v>
      </c>
      <c r="S429" s="315">
        <v>0</v>
      </c>
      <c r="T429" s="315"/>
      <c r="U429" s="315"/>
      <c r="V429" s="315"/>
      <c r="W429" s="315"/>
      <c r="X429" s="315"/>
      <c r="Y429" s="315"/>
      <c r="Z429" s="315"/>
      <c r="AA429" s="336">
        <v>7</v>
      </c>
      <c r="AB429" s="336">
        <v>0</v>
      </c>
      <c r="AC429" s="337"/>
      <c r="AD429" s="337"/>
      <c r="AE429" s="336">
        <v>0</v>
      </c>
      <c r="AF429" s="336" t="s">
        <v>283</v>
      </c>
      <c r="AG429" s="339" t="s">
        <v>1358</v>
      </c>
      <c r="AH429" s="339"/>
      <c r="AI429" s="336"/>
      <c r="AJ429" s="336"/>
      <c r="AK429" s="848">
        <v>1</v>
      </c>
      <c r="AL429" s="836" t="s">
        <v>291</v>
      </c>
      <c r="AM429" s="836">
        <v>0</v>
      </c>
      <c r="AN429" s="837">
        <v>2</v>
      </c>
      <c r="AO429" s="837">
        <v>2</v>
      </c>
      <c r="AP429" s="843">
        <v>39</v>
      </c>
      <c r="AQ429" s="839">
        <v>39</v>
      </c>
      <c r="AR429" s="839"/>
      <c r="AS429" s="839"/>
      <c r="AT429" s="839"/>
      <c r="AU429" s="839"/>
      <c r="AV429" s="849"/>
      <c r="AW429" s="134" t="s">
        <v>3208</v>
      </c>
      <c r="AX429" s="136" t="s">
        <v>3208</v>
      </c>
      <c r="AY429" s="137" t="s">
        <v>2576</v>
      </c>
      <c r="AZ429" s="136">
        <v>1</v>
      </c>
      <c r="BA429" s="136">
        <v>1</v>
      </c>
      <c r="BB429" s="136">
        <v>1</v>
      </c>
      <c r="BC429" s="214">
        <v>232</v>
      </c>
      <c r="BD429" s="136">
        <v>0</v>
      </c>
      <c r="BE429" s="214">
        <v>0</v>
      </c>
      <c r="BF429" s="136">
        <v>1</v>
      </c>
      <c r="BG429" s="214">
        <v>232</v>
      </c>
      <c r="BH429" s="214">
        <v>0.46400000000000002</v>
      </c>
      <c r="BI429" s="134">
        <v>0</v>
      </c>
      <c r="BJ429" s="214">
        <v>0</v>
      </c>
      <c r="BK429" s="137">
        <v>0.53600000000000003</v>
      </c>
      <c r="BL429" s="137">
        <v>1</v>
      </c>
      <c r="BM429" s="137">
        <v>7</v>
      </c>
      <c r="BN429" s="134">
        <v>0.60344827586206895</v>
      </c>
      <c r="BO429" s="351">
        <v>140</v>
      </c>
      <c r="BP429" s="134">
        <v>0.43103448275862072</v>
      </c>
      <c r="BQ429" s="214">
        <v>5</v>
      </c>
      <c r="BR429" s="137">
        <v>12</v>
      </c>
      <c r="BS429" s="138">
        <v>0</v>
      </c>
      <c r="BT429" s="351">
        <v>0</v>
      </c>
      <c r="BU429" s="214">
        <v>232</v>
      </c>
      <c r="BV429" s="214">
        <v>1</v>
      </c>
      <c r="BW429" s="214">
        <v>1</v>
      </c>
      <c r="BX429" s="214">
        <v>1</v>
      </c>
      <c r="BY429" s="214">
        <v>232</v>
      </c>
      <c r="BZ429" s="134">
        <v>1</v>
      </c>
      <c r="CA429" s="138">
        <v>0</v>
      </c>
      <c r="CB429" s="136">
        <v>1</v>
      </c>
      <c r="CC429" s="136">
        <v>1</v>
      </c>
      <c r="CD429" s="136">
        <v>1</v>
      </c>
      <c r="CE429" s="137">
        <v>195</v>
      </c>
      <c r="CF429" s="137">
        <v>195</v>
      </c>
      <c r="CG429" s="137">
        <v>195</v>
      </c>
      <c r="CH429" s="214">
        <v>39</v>
      </c>
      <c r="CI429" s="139" t="s">
        <v>48</v>
      </c>
      <c r="CJ429" s="139" t="s">
        <v>287</v>
      </c>
      <c r="CK429" s="139" t="s">
        <v>50</v>
      </c>
      <c r="CL429" s="139" t="s">
        <v>50</v>
      </c>
      <c r="CM429" s="139" t="s">
        <v>50</v>
      </c>
      <c r="CN429" s="139" t="s">
        <v>51</v>
      </c>
      <c r="CO429" s="139">
        <v>24.24766</v>
      </c>
      <c r="CP429" s="139">
        <v>97.236919999999998</v>
      </c>
      <c r="CQ429" s="139" t="s">
        <v>1945</v>
      </c>
      <c r="CR429" s="449" t="s">
        <v>40</v>
      </c>
      <c r="CS429" s="449"/>
      <c r="CT429" s="24"/>
      <c r="CU429" s="24"/>
      <c r="CV429" s="24"/>
    </row>
    <row r="430" spans="1:100" ht="15.75" customHeight="1" x14ac:dyDescent="0.25">
      <c r="A430" s="293" t="s">
        <v>2691</v>
      </c>
      <c r="B430" s="132" t="s">
        <v>338</v>
      </c>
      <c r="C430" s="132" t="s">
        <v>44</v>
      </c>
      <c r="D430" s="132" t="s">
        <v>341</v>
      </c>
      <c r="E430" s="132" t="s">
        <v>346</v>
      </c>
      <c r="F430" s="132">
        <v>131</v>
      </c>
      <c r="G430" s="214">
        <v>757</v>
      </c>
      <c r="H430" s="206"/>
      <c r="I430" s="206" t="s">
        <v>340</v>
      </c>
      <c r="J430" s="133" t="s">
        <v>2474</v>
      </c>
      <c r="K430" s="132">
        <v>0</v>
      </c>
      <c r="L430" s="132" t="s">
        <v>48</v>
      </c>
      <c r="M430" s="134">
        <v>0.9</v>
      </c>
      <c r="N430" s="134">
        <v>0.9</v>
      </c>
      <c r="O430" s="320">
        <v>3</v>
      </c>
      <c r="P430" s="326">
        <v>1</v>
      </c>
      <c r="Q430" s="326">
        <v>0</v>
      </c>
      <c r="R430" s="315">
        <v>0</v>
      </c>
      <c r="S430" s="315">
        <v>0</v>
      </c>
      <c r="T430" s="315"/>
      <c r="U430" s="315"/>
      <c r="V430" s="315"/>
      <c r="W430" s="315"/>
      <c r="X430" s="315"/>
      <c r="Y430" s="315"/>
      <c r="Z430" s="315"/>
      <c r="AA430" s="336">
        <v>23</v>
      </c>
      <c r="AB430" s="336">
        <v>0</v>
      </c>
      <c r="AC430" s="337">
        <v>4</v>
      </c>
      <c r="AD430" s="337"/>
      <c r="AE430" s="336">
        <v>0</v>
      </c>
      <c r="AF430" s="336" t="s">
        <v>283</v>
      </c>
      <c r="AG430" s="311" t="s">
        <v>1358</v>
      </c>
      <c r="AH430" s="339"/>
      <c r="AI430" s="336"/>
      <c r="AJ430" s="336"/>
      <c r="AK430" s="848">
        <v>1</v>
      </c>
      <c r="AL430" s="836" t="s">
        <v>291</v>
      </c>
      <c r="AM430" s="836">
        <v>0</v>
      </c>
      <c r="AN430" s="837">
        <v>5</v>
      </c>
      <c r="AO430" s="837">
        <v>2</v>
      </c>
      <c r="AP430" s="843">
        <v>131</v>
      </c>
      <c r="AQ430" s="839">
        <v>131</v>
      </c>
      <c r="AR430" s="839"/>
      <c r="AS430" s="839"/>
      <c r="AT430" s="839"/>
      <c r="AU430" s="839"/>
      <c r="AV430" s="849"/>
      <c r="AW430" s="134" t="s">
        <v>3208</v>
      </c>
      <c r="AX430" s="136" t="s">
        <v>3208</v>
      </c>
      <c r="AY430" s="137" t="s">
        <v>2576</v>
      </c>
      <c r="AZ430" s="136">
        <v>1</v>
      </c>
      <c r="BA430" s="136">
        <v>1</v>
      </c>
      <c r="BB430" s="136">
        <v>1</v>
      </c>
      <c r="BC430" s="214">
        <v>757</v>
      </c>
      <c r="BD430" s="136">
        <v>0</v>
      </c>
      <c r="BE430" s="214">
        <v>0</v>
      </c>
      <c r="BF430" s="136">
        <v>1</v>
      </c>
      <c r="BG430" s="214">
        <v>757</v>
      </c>
      <c r="BH430" s="214">
        <v>1.514</v>
      </c>
      <c r="BI430" s="134">
        <v>0</v>
      </c>
      <c r="BJ430" s="214">
        <v>0</v>
      </c>
      <c r="BK430" s="137">
        <v>0.48599999999999999</v>
      </c>
      <c r="BL430" s="137">
        <v>2</v>
      </c>
      <c r="BM430" s="137">
        <v>23</v>
      </c>
      <c r="BN430" s="134">
        <v>0.607661822985469</v>
      </c>
      <c r="BO430" s="351">
        <v>460.00000000000006</v>
      </c>
      <c r="BP430" s="134">
        <v>0.39630118890356669</v>
      </c>
      <c r="BQ430" s="214">
        <v>15</v>
      </c>
      <c r="BR430" s="137">
        <v>38</v>
      </c>
      <c r="BS430" s="138">
        <v>0</v>
      </c>
      <c r="BT430" s="351">
        <v>80</v>
      </c>
      <c r="BU430" s="214">
        <v>757</v>
      </c>
      <c r="BV430" s="214">
        <v>1</v>
      </c>
      <c r="BW430" s="214">
        <v>1</v>
      </c>
      <c r="BX430" s="214">
        <v>1</v>
      </c>
      <c r="BY430" s="214">
        <v>757</v>
      </c>
      <c r="BZ430" s="134">
        <v>1</v>
      </c>
      <c r="CA430" s="138">
        <v>0</v>
      </c>
      <c r="CB430" s="136">
        <v>1</v>
      </c>
      <c r="CC430" s="136">
        <v>1</v>
      </c>
      <c r="CD430" s="136">
        <v>1</v>
      </c>
      <c r="CE430" s="137">
        <v>655</v>
      </c>
      <c r="CF430" s="137">
        <v>655</v>
      </c>
      <c r="CG430" s="137">
        <v>655</v>
      </c>
      <c r="CH430" s="214">
        <v>131</v>
      </c>
      <c r="CI430" s="139" t="s">
        <v>48</v>
      </c>
      <c r="CJ430" s="139" t="s">
        <v>389</v>
      </c>
      <c r="CK430" s="139" t="s">
        <v>50</v>
      </c>
      <c r="CL430" s="139" t="s">
        <v>50</v>
      </c>
      <c r="CM430" s="139" t="s">
        <v>50</v>
      </c>
      <c r="CN430" s="139" t="s">
        <v>51</v>
      </c>
      <c r="CO430" s="139">
        <v>24.2631743589744</v>
      </c>
      <c r="CP430" s="139">
        <v>97.240183461538507</v>
      </c>
      <c r="CQ430" s="139" t="s">
        <v>1956</v>
      </c>
      <c r="CR430" s="449" t="s">
        <v>40</v>
      </c>
      <c r="CS430" s="449"/>
      <c r="CT430" s="24"/>
      <c r="CU430" s="24"/>
      <c r="CV430" s="24"/>
    </row>
    <row r="431" spans="1:100" ht="15.75" customHeight="1" x14ac:dyDescent="0.25">
      <c r="A431" s="293" t="s">
        <v>2691</v>
      </c>
      <c r="B431" s="132" t="s">
        <v>287</v>
      </c>
      <c r="C431" s="132" t="s">
        <v>44</v>
      </c>
      <c r="D431" s="132" t="s">
        <v>341</v>
      </c>
      <c r="E431" s="132" t="s">
        <v>2798</v>
      </c>
      <c r="F431" s="132">
        <v>37</v>
      </c>
      <c r="G431" s="214">
        <v>161</v>
      </c>
      <c r="H431" s="132"/>
      <c r="I431" s="132" t="s">
        <v>296</v>
      </c>
      <c r="J431" s="133">
        <v>43465</v>
      </c>
      <c r="K431" s="132"/>
      <c r="L431" s="132"/>
      <c r="M431" s="212"/>
      <c r="N431" s="212"/>
      <c r="O431" s="320"/>
      <c r="P431" s="326"/>
      <c r="Q431" s="326"/>
      <c r="R431" s="315"/>
      <c r="S431" s="315"/>
      <c r="T431" s="315"/>
      <c r="U431" s="315"/>
      <c r="V431" s="315"/>
      <c r="W431" s="315"/>
      <c r="X431" s="315"/>
      <c r="Y431" s="315"/>
      <c r="Z431" s="315"/>
      <c r="AA431" s="336"/>
      <c r="AB431" s="336"/>
      <c r="AC431" s="337"/>
      <c r="AD431" s="337"/>
      <c r="AE431" s="336"/>
      <c r="AF431" s="336"/>
      <c r="AG431" s="339"/>
      <c r="AH431" s="339"/>
      <c r="AI431" s="336"/>
      <c r="AJ431" s="336"/>
      <c r="AK431" s="848"/>
      <c r="AL431" s="836"/>
      <c r="AM431" s="836"/>
      <c r="AN431" s="850"/>
      <c r="AO431" s="850"/>
      <c r="AP431" s="839"/>
      <c r="AQ431" s="839"/>
      <c r="AR431" s="839"/>
      <c r="AS431" s="839"/>
      <c r="AT431" s="839"/>
      <c r="AU431" s="839"/>
      <c r="AV431" s="849"/>
      <c r="AW431" s="134" t="s">
        <v>3208</v>
      </c>
      <c r="AX431" s="136" t="s">
        <v>3208</v>
      </c>
      <c r="AY431" s="137" t="s">
        <v>2576</v>
      </c>
      <c r="AZ431" s="136">
        <v>0</v>
      </c>
      <c r="BA431" s="136">
        <v>0</v>
      </c>
      <c r="BB431" s="136">
        <v>0</v>
      </c>
      <c r="BC431" s="214">
        <v>0</v>
      </c>
      <c r="BD431" s="136">
        <v>0</v>
      </c>
      <c r="BE431" s="214">
        <v>0</v>
      </c>
      <c r="BF431" s="136">
        <v>0</v>
      </c>
      <c r="BG431" s="214">
        <v>0</v>
      </c>
      <c r="BH431" s="214">
        <v>0</v>
      </c>
      <c r="BI431" s="134">
        <v>1</v>
      </c>
      <c r="BJ431" s="214">
        <v>161</v>
      </c>
      <c r="BK431" s="137">
        <v>1</v>
      </c>
      <c r="BL431" s="137">
        <v>1</v>
      </c>
      <c r="BM431" s="137">
        <v>0</v>
      </c>
      <c r="BN431" s="134">
        <v>0</v>
      </c>
      <c r="BO431" s="351">
        <v>0</v>
      </c>
      <c r="BP431" s="134">
        <v>0.99378881987577627</v>
      </c>
      <c r="BQ431" s="214">
        <v>8</v>
      </c>
      <c r="BR431" s="137">
        <v>8</v>
      </c>
      <c r="BS431" s="138">
        <v>0</v>
      </c>
      <c r="BT431" s="351">
        <v>0</v>
      </c>
      <c r="BU431" s="214">
        <v>0</v>
      </c>
      <c r="BV431" s="214">
        <v>0</v>
      </c>
      <c r="BW431" s="214">
        <v>0</v>
      </c>
      <c r="BX431" s="214">
        <v>0</v>
      </c>
      <c r="BY431" s="214">
        <v>0</v>
      </c>
      <c r="BZ431" s="134">
        <v>0</v>
      </c>
      <c r="CA431" s="138">
        <v>1</v>
      </c>
      <c r="CB431" s="136">
        <v>0</v>
      </c>
      <c r="CC431" s="136">
        <v>0</v>
      </c>
      <c r="CD431" s="136">
        <v>0</v>
      </c>
      <c r="CE431" s="137">
        <v>0</v>
      </c>
      <c r="CF431" s="137">
        <v>0</v>
      </c>
      <c r="CG431" s="137">
        <v>0</v>
      </c>
      <c r="CH431" s="214">
        <v>0</v>
      </c>
      <c r="CI431" s="139">
        <v>0</v>
      </c>
      <c r="CJ431" s="139">
        <v>0</v>
      </c>
      <c r="CK431" s="139" t="s">
        <v>2716</v>
      </c>
      <c r="CL431" s="139" t="s">
        <v>50</v>
      </c>
      <c r="CM431" s="139" t="s">
        <v>1259</v>
      </c>
      <c r="CN431" s="139" t="s">
        <v>51</v>
      </c>
      <c r="CO431" s="139">
        <v>0</v>
      </c>
      <c r="CP431" s="139">
        <v>0</v>
      </c>
      <c r="CQ431" s="139">
        <v>0</v>
      </c>
      <c r="CR431" s="449" t="s">
        <v>40</v>
      </c>
      <c r="CS431" s="449"/>
      <c r="CT431" s="24"/>
      <c r="CU431" s="24"/>
      <c r="CV431" s="24"/>
    </row>
    <row r="432" spans="1:100" ht="15.75" customHeight="1" x14ac:dyDescent="0.25">
      <c r="A432" s="293" t="s">
        <v>2691</v>
      </c>
      <c r="B432" s="132" t="s">
        <v>338</v>
      </c>
      <c r="C432" s="132" t="s">
        <v>44</v>
      </c>
      <c r="D432" s="132" t="s">
        <v>341</v>
      </c>
      <c r="E432" s="132" t="s">
        <v>347</v>
      </c>
      <c r="F432" s="132">
        <v>11</v>
      </c>
      <c r="G432" s="214">
        <v>51</v>
      </c>
      <c r="H432" s="132"/>
      <c r="I432" s="132" t="s">
        <v>2475</v>
      </c>
      <c r="J432" s="133">
        <v>43344</v>
      </c>
      <c r="K432" s="132">
        <v>0</v>
      </c>
      <c r="L432" s="132" t="s">
        <v>282</v>
      </c>
      <c r="M432" s="134">
        <v>0</v>
      </c>
      <c r="N432" s="134">
        <v>0</v>
      </c>
      <c r="O432" s="320">
        <v>0</v>
      </c>
      <c r="P432" s="326">
        <v>1</v>
      </c>
      <c r="Q432" s="326">
        <v>0</v>
      </c>
      <c r="R432" s="315">
        <v>0</v>
      </c>
      <c r="S432" s="315">
        <v>0</v>
      </c>
      <c r="T432" s="315"/>
      <c r="U432" s="315"/>
      <c r="V432" s="315"/>
      <c r="W432" s="315"/>
      <c r="X432" s="315"/>
      <c r="Y432" s="315"/>
      <c r="Z432" s="315"/>
      <c r="AA432" s="336">
        <v>4</v>
      </c>
      <c r="AB432" s="336">
        <v>0</v>
      </c>
      <c r="AC432" s="337"/>
      <c r="AD432" s="337"/>
      <c r="AE432" s="336">
        <v>0</v>
      </c>
      <c r="AF432" s="336" t="s">
        <v>283</v>
      </c>
      <c r="AG432" s="339" t="s">
        <v>283</v>
      </c>
      <c r="AH432" s="339"/>
      <c r="AI432" s="336"/>
      <c r="AJ432" s="336"/>
      <c r="AK432" s="848">
        <v>1</v>
      </c>
      <c r="AL432" s="836" t="s">
        <v>291</v>
      </c>
      <c r="AM432" s="836">
        <v>0</v>
      </c>
      <c r="AN432" s="837">
        <v>2</v>
      </c>
      <c r="AO432" s="837">
        <v>1</v>
      </c>
      <c r="AP432" s="843">
        <v>11</v>
      </c>
      <c r="AQ432" s="839">
        <v>11</v>
      </c>
      <c r="AR432" s="839"/>
      <c r="AS432" s="839"/>
      <c r="AT432" s="839"/>
      <c r="AU432" s="839"/>
      <c r="AV432" s="849"/>
      <c r="AW432" s="134" t="s">
        <v>3208</v>
      </c>
      <c r="AX432" s="136" t="s">
        <v>3208</v>
      </c>
      <c r="AY432" s="137" t="s">
        <v>2576</v>
      </c>
      <c r="AZ432" s="136">
        <v>1</v>
      </c>
      <c r="BA432" s="136">
        <v>1</v>
      </c>
      <c r="BB432" s="136">
        <v>1</v>
      </c>
      <c r="BC432" s="214">
        <v>51</v>
      </c>
      <c r="BD432" s="136">
        <v>0</v>
      </c>
      <c r="BE432" s="214">
        <v>0</v>
      </c>
      <c r="BF432" s="136">
        <v>1</v>
      </c>
      <c r="BG432" s="214">
        <v>51</v>
      </c>
      <c r="BH432" s="214">
        <v>0.10199999999999999</v>
      </c>
      <c r="BI432" s="134">
        <v>0</v>
      </c>
      <c r="BJ432" s="214">
        <v>0</v>
      </c>
      <c r="BK432" s="137">
        <v>0.89800000000000002</v>
      </c>
      <c r="BL432" s="137">
        <v>1</v>
      </c>
      <c r="BM432" s="137">
        <v>4</v>
      </c>
      <c r="BN432" s="134">
        <v>1</v>
      </c>
      <c r="BO432" s="351">
        <v>51</v>
      </c>
      <c r="BP432" s="134">
        <v>0</v>
      </c>
      <c r="BQ432" s="214">
        <v>0</v>
      </c>
      <c r="BR432" s="137">
        <v>3</v>
      </c>
      <c r="BS432" s="138">
        <v>0</v>
      </c>
      <c r="BT432" s="351">
        <v>0</v>
      </c>
      <c r="BU432" s="214">
        <v>51</v>
      </c>
      <c r="BV432" s="214">
        <v>1</v>
      </c>
      <c r="BW432" s="214">
        <v>1</v>
      </c>
      <c r="BX432" s="214">
        <v>1</v>
      </c>
      <c r="BY432" s="214">
        <v>51</v>
      </c>
      <c r="BZ432" s="134">
        <v>1</v>
      </c>
      <c r="CA432" s="138">
        <v>0</v>
      </c>
      <c r="CB432" s="136">
        <v>1</v>
      </c>
      <c r="CC432" s="136">
        <v>1</v>
      </c>
      <c r="CD432" s="136">
        <v>1</v>
      </c>
      <c r="CE432" s="137">
        <v>55</v>
      </c>
      <c r="CF432" s="137">
        <v>55</v>
      </c>
      <c r="CG432" s="137">
        <v>55</v>
      </c>
      <c r="CH432" s="214">
        <v>11</v>
      </c>
      <c r="CI432" s="139" t="s">
        <v>48</v>
      </c>
      <c r="CJ432" s="139" t="s">
        <v>389</v>
      </c>
      <c r="CK432" s="139" t="s">
        <v>50</v>
      </c>
      <c r="CL432" s="139" t="s">
        <v>50</v>
      </c>
      <c r="CM432" s="139" t="s">
        <v>50</v>
      </c>
      <c r="CN432" s="139" t="s">
        <v>51</v>
      </c>
      <c r="CO432" s="139">
        <v>24.253067000000001</v>
      </c>
      <c r="CP432" s="139">
        <v>97.234200000000001</v>
      </c>
      <c r="CQ432" s="139" t="s">
        <v>1951</v>
      </c>
      <c r="CR432" s="449" t="s">
        <v>40</v>
      </c>
      <c r="CS432" s="449"/>
      <c r="CT432" s="24"/>
      <c r="CU432" s="24"/>
      <c r="CV432" s="24"/>
    </row>
    <row r="433" spans="1:100" ht="15.75" customHeight="1" x14ac:dyDescent="0.25">
      <c r="A433" s="293" t="s">
        <v>2691</v>
      </c>
      <c r="B433" s="132" t="s">
        <v>338</v>
      </c>
      <c r="C433" s="132" t="s">
        <v>44</v>
      </c>
      <c r="D433" s="132" t="s">
        <v>341</v>
      </c>
      <c r="E433" s="132" t="s">
        <v>349</v>
      </c>
      <c r="F433" s="132">
        <v>21</v>
      </c>
      <c r="G433" s="214">
        <v>111</v>
      </c>
      <c r="H433" s="132"/>
      <c r="I433" s="132" t="s">
        <v>2475</v>
      </c>
      <c r="J433" s="133">
        <v>43344</v>
      </c>
      <c r="K433" s="132">
        <v>0</v>
      </c>
      <c r="L433" s="132" t="s">
        <v>48</v>
      </c>
      <c r="M433" s="134">
        <v>0.9</v>
      </c>
      <c r="N433" s="134">
        <v>0.9</v>
      </c>
      <c r="O433" s="320">
        <v>0</v>
      </c>
      <c r="P433" s="326">
        <v>0</v>
      </c>
      <c r="Q433" s="326">
        <v>0</v>
      </c>
      <c r="R433" s="315">
        <v>0</v>
      </c>
      <c r="S433" s="315">
        <v>0</v>
      </c>
      <c r="T433" s="315"/>
      <c r="U433" s="315"/>
      <c r="V433" s="315"/>
      <c r="W433" s="315"/>
      <c r="X433" s="315"/>
      <c r="Y433" s="315"/>
      <c r="Z433" s="315"/>
      <c r="AA433" s="336">
        <v>4</v>
      </c>
      <c r="AB433" s="336">
        <v>0</v>
      </c>
      <c r="AC433" s="337">
        <v>2</v>
      </c>
      <c r="AD433" s="337"/>
      <c r="AE433" s="336">
        <v>0</v>
      </c>
      <c r="AF433" s="336" t="s">
        <v>283</v>
      </c>
      <c r="AG433" s="339" t="s">
        <v>283</v>
      </c>
      <c r="AH433" s="339"/>
      <c r="AI433" s="336"/>
      <c r="AJ433" s="336"/>
      <c r="AK433" s="848">
        <v>1</v>
      </c>
      <c r="AL433" s="836" t="s">
        <v>291</v>
      </c>
      <c r="AM433" s="836">
        <v>0</v>
      </c>
      <c r="AN433" s="837">
        <v>2</v>
      </c>
      <c r="AO433" s="837">
        <v>2</v>
      </c>
      <c r="AP433" s="843">
        <v>21</v>
      </c>
      <c r="AQ433" s="839">
        <v>21</v>
      </c>
      <c r="AR433" s="839"/>
      <c r="AS433" s="839"/>
      <c r="AT433" s="839"/>
      <c r="AU433" s="839"/>
      <c r="AV433" s="849"/>
      <c r="AW433" s="134" t="s">
        <v>3208</v>
      </c>
      <c r="AX433" s="136" t="s">
        <v>3208</v>
      </c>
      <c r="AY433" s="137" t="s">
        <v>2576</v>
      </c>
      <c r="AZ433" s="136">
        <v>0</v>
      </c>
      <c r="BA433" s="136">
        <v>0</v>
      </c>
      <c r="BB433" s="136">
        <v>0</v>
      </c>
      <c r="BC433" s="214">
        <v>0</v>
      </c>
      <c r="BD433" s="136">
        <v>0</v>
      </c>
      <c r="BE433" s="214">
        <v>0</v>
      </c>
      <c r="BF433" s="136">
        <v>0</v>
      </c>
      <c r="BG433" s="214">
        <v>0</v>
      </c>
      <c r="BH433" s="214">
        <v>0</v>
      </c>
      <c r="BI433" s="134">
        <v>1</v>
      </c>
      <c r="BJ433" s="214">
        <v>111</v>
      </c>
      <c r="BK433" s="137">
        <v>1</v>
      </c>
      <c r="BL433" s="137">
        <v>1</v>
      </c>
      <c r="BM433" s="137">
        <v>4</v>
      </c>
      <c r="BN433" s="134">
        <v>0.72072072072072069</v>
      </c>
      <c r="BO433" s="351">
        <v>80</v>
      </c>
      <c r="BP433" s="134">
        <v>0.3603603603603604</v>
      </c>
      <c r="BQ433" s="214">
        <v>2</v>
      </c>
      <c r="BR433" s="137">
        <v>6</v>
      </c>
      <c r="BS433" s="138">
        <v>0</v>
      </c>
      <c r="BT433" s="351">
        <v>40</v>
      </c>
      <c r="BU433" s="214">
        <v>111</v>
      </c>
      <c r="BV433" s="214">
        <v>1</v>
      </c>
      <c r="BW433" s="214">
        <v>1</v>
      </c>
      <c r="BX433" s="214">
        <v>1</v>
      </c>
      <c r="BY433" s="214">
        <v>111</v>
      </c>
      <c r="BZ433" s="134">
        <v>1</v>
      </c>
      <c r="CA433" s="138">
        <v>0</v>
      </c>
      <c r="CB433" s="136">
        <v>1</v>
      </c>
      <c r="CC433" s="136">
        <v>1</v>
      </c>
      <c r="CD433" s="136">
        <v>1</v>
      </c>
      <c r="CE433" s="137">
        <v>105</v>
      </c>
      <c r="CF433" s="137">
        <v>105</v>
      </c>
      <c r="CG433" s="137">
        <v>105</v>
      </c>
      <c r="CH433" s="214">
        <v>21</v>
      </c>
      <c r="CI433" s="139" t="s">
        <v>48</v>
      </c>
      <c r="CJ433" s="139" t="s">
        <v>49</v>
      </c>
      <c r="CK433" s="139" t="s">
        <v>50</v>
      </c>
      <c r="CL433" s="139" t="s">
        <v>50</v>
      </c>
      <c r="CM433" s="139" t="s">
        <v>50</v>
      </c>
      <c r="CN433" s="139" t="s">
        <v>51</v>
      </c>
      <c r="CO433" s="139">
        <v>24.32638</v>
      </c>
      <c r="CP433" s="139">
        <v>97.315860000000001</v>
      </c>
      <c r="CQ433" s="139" t="s">
        <v>1961</v>
      </c>
      <c r="CR433" s="449" t="s">
        <v>40</v>
      </c>
      <c r="CS433" s="449"/>
      <c r="CT433" s="24"/>
      <c r="CU433" s="24"/>
      <c r="CV433" s="24"/>
    </row>
    <row r="434" spans="1:100" ht="15.75" customHeight="1" x14ac:dyDescent="0.25">
      <c r="A434" s="293" t="s">
        <v>2691</v>
      </c>
      <c r="B434" s="132" t="s">
        <v>426</v>
      </c>
      <c r="C434" s="132" t="s">
        <v>44</v>
      </c>
      <c r="D434" s="132" t="s">
        <v>341</v>
      </c>
      <c r="E434" s="132" t="s">
        <v>429</v>
      </c>
      <c r="F434" s="132">
        <v>148</v>
      </c>
      <c r="G434" s="214">
        <v>778</v>
      </c>
      <c r="H434" s="132"/>
      <c r="I434" s="132" t="s">
        <v>428</v>
      </c>
      <c r="J434" s="133" t="s">
        <v>2809</v>
      </c>
      <c r="K434" s="132">
        <v>0</v>
      </c>
      <c r="L434" s="132" t="s">
        <v>48</v>
      </c>
      <c r="M434" s="134">
        <v>0.65217391304347827</v>
      </c>
      <c r="N434" s="134">
        <v>0</v>
      </c>
      <c r="O434" s="320">
        <v>0</v>
      </c>
      <c r="P434" s="326">
        <v>4</v>
      </c>
      <c r="Q434" s="326">
        <v>9119700</v>
      </c>
      <c r="R434" s="315">
        <v>0</v>
      </c>
      <c r="S434" s="315">
        <v>0</v>
      </c>
      <c r="T434" s="315"/>
      <c r="U434" s="315">
        <v>0</v>
      </c>
      <c r="V434" s="315">
        <v>0</v>
      </c>
      <c r="W434" s="315">
        <v>23</v>
      </c>
      <c r="X434" s="315">
        <v>23</v>
      </c>
      <c r="Y434" s="315">
        <v>0</v>
      </c>
      <c r="Z434" s="315"/>
      <c r="AA434" s="336">
        <v>43</v>
      </c>
      <c r="AB434" s="336">
        <v>0</v>
      </c>
      <c r="AC434" s="337">
        <v>37</v>
      </c>
      <c r="AD434" s="337" t="s">
        <v>2785</v>
      </c>
      <c r="AE434" s="336">
        <v>0</v>
      </c>
      <c r="AF434" s="336" t="s">
        <v>283</v>
      </c>
      <c r="AG434" s="339" t="s">
        <v>283</v>
      </c>
      <c r="AH434" s="339">
        <v>0</v>
      </c>
      <c r="AI434" s="336">
        <v>0</v>
      </c>
      <c r="AJ434" s="336"/>
      <c r="AK434" s="848">
        <v>1</v>
      </c>
      <c r="AL434" s="836" t="s">
        <v>291</v>
      </c>
      <c r="AM434" s="836">
        <v>0</v>
      </c>
      <c r="AN434" s="837">
        <v>9</v>
      </c>
      <c r="AO434" s="837">
        <v>3</v>
      </c>
      <c r="AP434" s="843">
        <v>363</v>
      </c>
      <c r="AQ434" s="839">
        <v>0</v>
      </c>
      <c r="AR434" s="839"/>
      <c r="AS434" s="839"/>
      <c r="AT434" s="839">
        <v>5</v>
      </c>
      <c r="AU434" s="839">
        <v>0</v>
      </c>
      <c r="AV434" s="849" t="s">
        <v>2461</v>
      </c>
      <c r="AW434" s="134" t="s">
        <v>3208</v>
      </c>
      <c r="AX434" s="136">
        <v>1</v>
      </c>
      <c r="AY434" s="137" t="s">
        <v>2577</v>
      </c>
      <c r="AZ434" s="136">
        <v>1</v>
      </c>
      <c r="BA434" s="136">
        <v>1</v>
      </c>
      <c r="BB434" s="136">
        <v>1</v>
      </c>
      <c r="BC434" s="214">
        <v>778</v>
      </c>
      <c r="BD434" s="136">
        <v>0</v>
      </c>
      <c r="BE434" s="214">
        <v>0</v>
      </c>
      <c r="BF434" s="136">
        <v>1</v>
      </c>
      <c r="BG434" s="214">
        <v>778</v>
      </c>
      <c r="BH434" s="214">
        <v>1.556</v>
      </c>
      <c r="BI434" s="134">
        <v>0</v>
      </c>
      <c r="BJ434" s="214">
        <v>0</v>
      </c>
      <c r="BK434" s="137">
        <v>0.44399999999999995</v>
      </c>
      <c r="BL434" s="137">
        <v>2</v>
      </c>
      <c r="BM434" s="137">
        <v>43</v>
      </c>
      <c r="BN434" s="134">
        <v>1</v>
      </c>
      <c r="BO434" s="351">
        <v>778</v>
      </c>
      <c r="BP434" s="134">
        <v>0</v>
      </c>
      <c r="BQ434" s="214">
        <v>0</v>
      </c>
      <c r="BR434" s="137">
        <v>39</v>
      </c>
      <c r="BS434" s="138">
        <v>0</v>
      </c>
      <c r="BT434" s="351">
        <v>740</v>
      </c>
      <c r="BU434" s="214">
        <v>778</v>
      </c>
      <c r="BV434" s="214">
        <v>0</v>
      </c>
      <c r="BW434" s="214">
        <v>1</v>
      </c>
      <c r="BX434" s="214">
        <v>1</v>
      </c>
      <c r="BY434" s="214">
        <v>778</v>
      </c>
      <c r="BZ434" s="134">
        <v>1</v>
      </c>
      <c r="CA434" s="138">
        <v>0</v>
      </c>
      <c r="CB434" s="136">
        <v>1</v>
      </c>
      <c r="CC434" s="136">
        <v>1</v>
      </c>
      <c r="CD434" s="136">
        <v>0</v>
      </c>
      <c r="CE434" s="137">
        <v>1815</v>
      </c>
      <c r="CF434" s="137">
        <v>0</v>
      </c>
      <c r="CG434" s="137">
        <v>1815</v>
      </c>
      <c r="CH434" s="214">
        <v>148</v>
      </c>
      <c r="CI434" s="139" t="s">
        <v>48</v>
      </c>
      <c r="CJ434" s="139" t="s">
        <v>287</v>
      </c>
      <c r="CK434" s="139" t="s">
        <v>50</v>
      </c>
      <c r="CL434" s="139" t="s">
        <v>50</v>
      </c>
      <c r="CM434" s="139" t="s">
        <v>50</v>
      </c>
      <c r="CN434" s="139" t="s">
        <v>51</v>
      </c>
      <c r="CO434" s="139">
        <v>24.222349999999999</v>
      </c>
      <c r="CP434" s="139">
        <v>97.252650000000003</v>
      </c>
      <c r="CQ434" s="139" t="s">
        <v>1942</v>
      </c>
      <c r="CR434" s="449" t="s">
        <v>40</v>
      </c>
      <c r="CS434" s="449"/>
      <c r="CT434" s="24"/>
      <c r="CU434" s="24"/>
      <c r="CV434" s="24"/>
    </row>
    <row r="435" spans="1:100" ht="15.75" customHeight="1" x14ac:dyDescent="0.25">
      <c r="A435" s="293" t="s">
        <v>2691</v>
      </c>
      <c r="B435" s="132" t="s">
        <v>426</v>
      </c>
      <c r="C435" s="132" t="s">
        <v>44</v>
      </c>
      <c r="D435" s="132" t="s">
        <v>341</v>
      </c>
      <c r="E435" s="132" t="s">
        <v>430</v>
      </c>
      <c r="F435" s="132">
        <v>638</v>
      </c>
      <c r="G435" s="214">
        <v>4010</v>
      </c>
      <c r="H435" s="132"/>
      <c r="I435" s="132" t="s">
        <v>428</v>
      </c>
      <c r="J435" s="133" t="s">
        <v>2809</v>
      </c>
      <c r="K435" s="132">
        <v>0</v>
      </c>
      <c r="L435" s="132" t="s">
        <v>48</v>
      </c>
      <c r="M435" s="134">
        <v>0.43478260869565216</v>
      </c>
      <c r="N435" s="134">
        <v>0</v>
      </c>
      <c r="O435" s="320">
        <v>0</v>
      </c>
      <c r="P435" s="326">
        <v>22</v>
      </c>
      <c r="Q435" s="326">
        <v>5382000</v>
      </c>
      <c r="R435" s="315">
        <v>0</v>
      </c>
      <c r="S435" s="315">
        <v>0</v>
      </c>
      <c r="T435" s="315"/>
      <c r="U435" s="315">
        <v>0</v>
      </c>
      <c r="V435" s="315">
        <v>0</v>
      </c>
      <c r="W435" s="315">
        <v>25</v>
      </c>
      <c r="X435" s="315">
        <v>22</v>
      </c>
      <c r="Y435" s="315">
        <v>0</v>
      </c>
      <c r="Z435" s="315"/>
      <c r="AA435" s="336">
        <v>160</v>
      </c>
      <c r="AB435" s="336">
        <v>0</v>
      </c>
      <c r="AC435" s="337">
        <v>100</v>
      </c>
      <c r="AD435" s="337" t="s">
        <v>2785</v>
      </c>
      <c r="AE435" s="336">
        <v>0</v>
      </c>
      <c r="AF435" s="336" t="s">
        <v>283</v>
      </c>
      <c r="AG435" s="339" t="s">
        <v>283</v>
      </c>
      <c r="AH435" s="339">
        <v>0</v>
      </c>
      <c r="AI435" s="336">
        <v>0</v>
      </c>
      <c r="AJ435" s="336"/>
      <c r="AK435" s="848">
        <v>1</v>
      </c>
      <c r="AL435" s="836" t="s">
        <v>291</v>
      </c>
      <c r="AM435" s="836">
        <v>0</v>
      </c>
      <c r="AN435" s="837">
        <v>15</v>
      </c>
      <c r="AO435" s="837">
        <v>5</v>
      </c>
      <c r="AP435" s="843">
        <v>1368</v>
      </c>
      <c r="AQ435" s="839">
        <v>0</v>
      </c>
      <c r="AR435" s="839"/>
      <c r="AS435" s="839"/>
      <c r="AT435" s="839">
        <v>8</v>
      </c>
      <c r="AU435" s="839">
        <v>0</v>
      </c>
      <c r="AV435" s="849" t="s">
        <v>2461</v>
      </c>
      <c r="AW435" s="134" t="s">
        <v>3208</v>
      </c>
      <c r="AX435" s="136">
        <v>0.88</v>
      </c>
      <c r="AY435" s="137" t="s">
        <v>2577</v>
      </c>
      <c r="AZ435" s="136">
        <v>1</v>
      </c>
      <c r="BA435" s="136">
        <v>1</v>
      </c>
      <c r="BB435" s="136">
        <v>1</v>
      </c>
      <c r="BC435" s="214">
        <v>4010</v>
      </c>
      <c r="BD435" s="136">
        <v>0</v>
      </c>
      <c r="BE435" s="214">
        <v>0</v>
      </c>
      <c r="BF435" s="136">
        <v>1</v>
      </c>
      <c r="BG435" s="214">
        <v>4010</v>
      </c>
      <c r="BH435" s="214">
        <v>8.02</v>
      </c>
      <c r="BI435" s="134">
        <v>0</v>
      </c>
      <c r="BJ435" s="214">
        <v>0</v>
      </c>
      <c r="BK435" s="137">
        <v>0</v>
      </c>
      <c r="BL435" s="137">
        <v>8</v>
      </c>
      <c r="BM435" s="137">
        <v>160</v>
      </c>
      <c r="BN435" s="134">
        <v>0.79800498753117211</v>
      </c>
      <c r="BO435" s="351">
        <v>3200</v>
      </c>
      <c r="BP435" s="134">
        <v>0.20448877805486285</v>
      </c>
      <c r="BQ435" s="214">
        <v>41</v>
      </c>
      <c r="BR435" s="137">
        <v>201</v>
      </c>
      <c r="BS435" s="138">
        <v>0</v>
      </c>
      <c r="BT435" s="351">
        <v>2000</v>
      </c>
      <c r="BU435" s="214">
        <v>2500</v>
      </c>
      <c r="BV435" s="214">
        <v>0</v>
      </c>
      <c r="BW435" s="214">
        <v>0</v>
      </c>
      <c r="BX435" s="214">
        <v>1</v>
      </c>
      <c r="BY435" s="214">
        <v>0</v>
      </c>
      <c r="BZ435" s="134">
        <v>0</v>
      </c>
      <c r="CA435" s="138">
        <v>1</v>
      </c>
      <c r="CB435" s="136">
        <v>0.62344139650872821</v>
      </c>
      <c r="CC435" s="136">
        <v>1</v>
      </c>
      <c r="CD435" s="136">
        <v>0</v>
      </c>
      <c r="CE435" s="137">
        <v>6840</v>
      </c>
      <c r="CF435" s="137">
        <v>0</v>
      </c>
      <c r="CG435" s="137">
        <v>6840</v>
      </c>
      <c r="CH435" s="214">
        <v>638</v>
      </c>
      <c r="CI435" s="139" t="s">
        <v>48</v>
      </c>
      <c r="CJ435" s="139" t="s">
        <v>287</v>
      </c>
      <c r="CK435" s="139" t="s">
        <v>50</v>
      </c>
      <c r="CL435" s="139" t="s">
        <v>50</v>
      </c>
      <c r="CM435" s="139" t="s">
        <v>50</v>
      </c>
      <c r="CN435" s="139" t="s">
        <v>51</v>
      </c>
      <c r="CO435" s="139">
        <v>24.268292826086999</v>
      </c>
      <c r="CP435" s="139">
        <v>97.229116811594196</v>
      </c>
      <c r="CQ435" s="139" t="s">
        <v>1958</v>
      </c>
      <c r="CR435" s="449" t="s">
        <v>40</v>
      </c>
      <c r="CS435" s="449"/>
      <c r="CT435" s="24"/>
      <c r="CU435" s="24"/>
      <c r="CV435" s="24"/>
    </row>
    <row r="436" spans="1:100" ht="15.75" customHeight="1" x14ac:dyDescent="0.25">
      <c r="A436" s="293" t="s">
        <v>2691</v>
      </c>
      <c r="B436" s="132" t="s">
        <v>426</v>
      </c>
      <c r="C436" s="132" t="s">
        <v>44</v>
      </c>
      <c r="D436" s="132" t="s">
        <v>341</v>
      </c>
      <c r="E436" s="132" t="s">
        <v>2169</v>
      </c>
      <c r="F436" s="132">
        <v>281</v>
      </c>
      <c r="G436" s="214">
        <v>1409</v>
      </c>
      <c r="H436" s="132"/>
      <c r="I436" s="132" t="s">
        <v>428</v>
      </c>
      <c r="J436" s="133" t="s">
        <v>2809</v>
      </c>
      <c r="K436" s="132">
        <v>0</v>
      </c>
      <c r="L436" s="132" t="s">
        <v>282</v>
      </c>
      <c r="M436" s="134">
        <v>0</v>
      </c>
      <c r="N436" s="134">
        <v>0</v>
      </c>
      <c r="O436" s="320">
        <v>0</v>
      </c>
      <c r="P436" s="326">
        <v>0</v>
      </c>
      <c r="Q436" s="326">
        <v>0</v>
      </c>
      <c r="R436" s="315">
        <v>0</v>
      </c>
      <c r="S436" s="315">
        <v>0</v>
      </c>
      <c r="T436" s="315"/>
      <c r="U436" s="315">
        <v>0</v>
      </c>
      <c r="V436" s="315">
        <v>0</v>
      </c>
      <c r="W436" s="315">
        <v>0</v>
      </c>
      <c r="X436" s="315">
        <v>0</v>
      </c>
      <c r="Y436" s="315">
        <v>39</v>
      </c>
      <c r="Z436" s="315"/>
      <c r="AA436" s="336">
        <v>0</v>
      </c>
      <c r="AB436" s="336">
        <v>0</v>
      </c>
      <c r="AC436" s="337">
        <v>0</v>
      </c>
      <c r="AD436" s="337" t="s">
        <v>2785</v>
      </c>
      <c r="AE436" s="336">
        <v>0</v>
      </c>
      <c r="AF436" s="336" t="s">
        <v>283</v>
      </c>
      <c r="AG436" s="339" t="s">
        <v>283</v>
      </c>
      <c r="AH436" s="339">
        <v>0</v>
      </c>
      <c r="AI436" s="336">
        <v>0</v>
      </c>
      <c r="AJ436" s="336"/>
      <c r="AK436" s="848">
        <v>1</v>
      </c>
      <c r="AL436" s="836" t="s">
        <v>291</v>
      </c>
      <c r="AM436" s="836">
        <v>0</v>
      </c>
      <c r="AN436" s="837">
        <v>0</v>
      </c>
      <c r="AO436" s="837">
        <v>0</v>
      </c>
      <c r="AP436" s="843">
        <v>0</v>
      </c>
      <c r="AQ436" s="839">
        <v>0</v>
      </c>
      <c r="AR436" s="839"/>
      <c r="AS436" s="839"/>
      <c r="AT436" s="839">
        <v>0</v>
      </c>
      <c r="AU436" s="839">
        <v>0</v>
      </c>
      <c r="AV436" s="849" t="s">
        <v>2461</v>
      </c>
      <c r="AW436" s="134" t="s">
        <v>3208</v>
      </c>
      <c r="AX436" s="136" t="s">
        <v>3208</v>
      </c>
      <c r="AY436" s="137" t="s">
        <v>2576</v>
      </c>
      <c r="AZ436" s="136">
        <v>0</v>
      </c>
      <c r="BA436" s="136">
        <v>0</v>
      </c>
      <c r="BB436" s="136">
        <v>0</v>
      </c>
      <c r="BC436" s="214">
        <v>0</v>
      </c>
      <c r="BD436" s="136">
        <v>0</v>
      </c>
      <c r="BE436" s="214">
        <v>0</v>
      </c>
      <c r="BF436" s="136">
        <v>0</v>
      </c>
      <c r="BG436" s="214">
        <v>0</v>
      </c>
      <c r="BH436" s="214">
        <v>0</v>
      </c>
      <c r="BI436" s="134">
        <v>1</v>
      </c>
      <c r="BJ436" s="214">
        <v>1409</v>
      </c>
      <c r="BK436" s="137">
        <v>3</v>
      </c>
      <c r="BL436" s="137">
        <v>3</v>
      </c>
      <c r="BM436" s="137">
        <v>0</v>
      </c>
      <c r="BN436" s="134">
        <v>0</v>
      </c>
      <c r="BO436" s="351">
        <v>0</v>
      </c>
      <c r="BP436" s="134">
        <v>0.99361249112845984</v>
      </c>
      <c r="BQ436" s="214">
        <v>70</v>
      </c>
      <c r="BR436" s="137">
        <v>70</v>
      </c>
      <c r="BS436" s="138">
        <v>0</v>
      </c>
      <c r="BT436" s="351">
        <v>0</v>
      </c>
      <c r="BU436" s="214">
        <v>0</v>
      </c>
      <c r="BV436" s="214">
        <v>0</v>
      </c>
      <c r="BW436" s="214">
        <v>0</v>
      </c>
      <c r="BX436" s="214">
        <v>0</v>
      </c>
      <c r="BY436" s="214">
        <v>0</v>
      </c>
      <c r="BZ436" s="134">
        <v>0</v>
      </c>
      <c r="CA436" s="138">
        <v>1</v>
      </c>
      <c r="CB436" s="136">
        <v>0</v>
      </c>
      <c r="CC436" s="136">
        <v>0</v>
      </c>
      <c r="CD436" s="136">
        <v>0</v>
      </c>
      <c r="CE436" s="137">
        <v>0</v>
      </c>
      <c r="CF436" s="137">
        <v>0</v>
      </c>
      <c r="CG436" s="137">
        <v>0</v>
      </c>
      <c r="CH436" s="214">
        <v>281</v>
      </c>
      <c r="CI436" s="139" t="s">
        <v>282</v>
      </c>
      <c r="CJ436" s="139">
        <v>0</v>
      </c>
      <c r="CK436" s="139" t="s">
        <v>1921</v>
      </c>
      <c r="CL436" s="139" t="s">
        <v>50</v>
      </c>
      <c r="CM436" s="139" t="s">
        <v>50</v>
      </c>
      <c r="CN436" s="139" t="s">
        <v>51</v>
      </c>
      <c r="CO436" s="139">
        <v>0</v>
      </c>
      <c r="CP436" s="139">
        <v>0</v>
      </c>
      <c r="CQ436" s="139">
        <v>0</v>
      </c>
      <c r="CR436" s="449" t="s">
        <v>40</v>
      </c>
      <c r="CS436" s="449" t="s">
        <v>2481</v>
      </c>
      <c r="CT436" s="24"/>
      <c r="CU436" s="24"/>
      <c r="CV436" s="24"/>
    </row>
    <row r="437" spans="1:100" ht="15.75" customHeight="1" x14ac:dyDescent="0.25">
      <c r="A437" s="293" t="s">
        <v>2691</v>
      </c>
      <c r="B437" s="132" t="s">
        <v>338</v>
      </c>
      <c r="C437" s="132" t="s">
        <v>44</v>
      </c>
      <c r="D437" s="132" t="s">
        <v>341</v>
      </c>
      <c r="E437" s="132" t="s">
        <v>350</v>
      </c>
      <c r="F437" s="132">
        <v>13</v>
      </c>
      <c r="G437" s="214">
        <v>75</v>
      </c>
      <c r="H437" s="132"/>
      <c r="I437" s="132" t="s">
        <v>2475</v>
      </c>
      <c r="J437" s="133">
        <v>43344</v>
      </c>
      <c r="K437" s="132">
        <v>0</v>
      </c>
      <c r="L437" s="132" t="s">
        <v>282</v>
      </c>
      <c r="M437" s="134">
        <v>0</v>
      </c>
      <c r="N437" s="134">
        <v>0</v>
      </c>
      <c r="O437" s="320">
        <v>0</v>
      </c>
      <c r="P437" s="326">
        <v>1</v>
      </c>
      <c r="Q437" s="326">
        <v>0</v>
      </c>
      <c r="R437" s="315">
        <v>0</v>
      </c>
      <c r="S437" s="315">
        <v>0</v>
      </c>
      <c r="T437" s="315"/>
      <c r="U437" s="315"/>
      <c r="V437" s="315"/>
      <c r="W437" s="315"/>
      <c r="X437" s="315"/>
      <c r="Y437" s="315"/>
      <c r="Z437" s="315"/>
      <c r="AA437" s="336">
        <v>10</v>
      </c>
      <c r="AB437" s="336">
        <v>0</v>
      </c>
      <c r="AC437" s="337"/>
      <c r="AD437" s="337"/>
      <c r="AE437" s="336">
        <v>0</v>
      </c>
      <c r="AF437" s="336" t="s">
        <v>283</v>
      </c>
      <c r="AG437" s="339" t="s">
        <v>283</v>
      </c>
      <c r="AH437" s="339"/>
      <c r="AI437" s="336"/>
      <c r="AJ437" s="336"/>
      <c r="AK437" s="848">
        <v>1</v>
      </c>
      <c r="AL437" s="836" t="s">
        <v>291</v>
      </c>
      <c r="AM437" s="836">
        <v>0</v>
      </c>
      <c r="AN437" s="837">
        <v>2</v>
      </c>
      <c r="AO437" s="837">
        <v>1</v>
      </c>
      <c r="AP437" s="843">
        <v>13</v>
      </c>
      <c r="AQ437" s="839">
        <v>13</v>
      </c>
      <c r="AR437" s="839"/>
      <c r="AS437" s="839"/>
      <c r="AT437" s="839"/>
      <c r="AU437" s="839"/>
      <c r="AV437" s="849"/>
      <c r="AW437" s="134" t="s">
        <v>3208</v>
      </c>
      <c r="AX437" s="136" t="s">
        <v>3208</v>
      </c>
      <c r="AY437" s="137" t="s">
        <v>2576</v>
      </c>
      <c r="AZ437" s="136">
        <v>1</v>
      </c>
      <c r="BA437" s="136">
        <v>1</v>
      </c>
      <c r="BB437" s="136">
        <v>1</v>
      </c>
      <c r="BC437" s="214">
        <v>75</v>
      </c>
      <c r="BD437" s="136">
        <v>0</v>
      </c>
      <c r="BE437" s="214">
        <v>0</v>
      </c>
      <c r="BF437" s="136">
        <v>1</v>
      </c>
      <c r="BG437" s="214">
        <v>75</v>
      </c>
      <c r="BH437" s="214">
        <v>0.15</v>
      </c>
      <c r="BI437" s="134">
        <v>0</v>
      </c>
      <c r="BJ437" s="214">
        <v>0</v>
      </c>
      <c r="BK437" s="137">
        <v>0.85</v>
      </c>
      <c r="BL437" s="137">
        <v>1</v>
      </c>
      <c r="BM437" s="137">
        <v>10</v>
      </c>
      <c r="BN437" s="134">
        <v>1</v>
      </c>
      <c r="BO437" s="351">
        <v>75</v>
      </c>
      <c r="BP437" s="134">
        <v>0</v>
      </c>
      <c r="BQ437" s="214">
        <v>0</v>
      </c>
      <c r="BR437" s="137">
        <v>4</v>
      </c>
      <c r="BS437" s="138">
        <v>0</v>
      </c>
      <c r="BT437" s="351">
        <v>0</v>
      </c>
      <c r="BU437" s="214">
        <v>75</v>
      </c>
      <c r="BV437" s="214">
        <v>1</v>
      </c>
      <c r="BW437" s="214">
        <v>1</v>
      </c>
      <c r="BX437" s="214">
        <v>1</v>
      </c>
      <c r="BY437" s="214">
        <v>75</v>
      </c>
      <c r="BZ437" s="134">
        <v>1</v>
      </c>
      <c r="CA437" s="138">
        <v>0</v>
      </c>
      <c r="CB437" s="136">
        <v>1</v>
      </c>
      <c r="CC437" s="136">
        <v>1</v>
      </c>
      <c r="CD437" s="136">
        <v>1</v>
      </c>
      <c r="CE437" s="137">
        <v>65</v>
      </c>
      <c r="CF437" s="137">
        <v>65</v>
      </c>
      <c r="CG437" s="137">
        <v>65</v>
      </c>
      <c r="CH437" s="214">
        <v>13</v>
      </c>
      <c r="CI437" s="139" t="s">
        <v>48</v>
      </c>
      <c r="CJ437" s="139" t="s">
        <v>389</v>
      </c>
      <c r="CK437" s="139" t="s">
        <v>50</v>
      </c>
      <c r="CL437" s="139" t="s">
        <v>50</v>
      </c>
      <c r="CM437" s="139" t="s">
        <v>50</v>
      </c>
      <c r="CN437" s="139" t="s">
        <v>51</v>
      </c>
      <c r="CO437" s="139">
        <v>24.24953</v>
      </c>
      <c r="CP437" s="139">
        <v>97.240639999999999</v>
      </c>
      <c r="CQ437" s="139" t="s">
        <v>1946</v>
      </c>
      <c r="CR437" s="449" t="s">
        <v>40</v>
      </c>
      <c r="CS437" s="449"/>
      <c r="CT437" s="24"/>
      <c r="CU437" s="24"/>
      <c r="CV437" s="24"/>
    </row>
    <row r="438" spans="1:100" ht="15.75" customHeight="1" x14ac:dyDescent="0.25">
      <c r="A438" s="293" t="s">
        <v>2691</v>
      </c>
      <c r="B438" s="132" t="s">
        <v>389</v>
      </c>
      <c r="C438" s="132" t="s">
        <v>44</v>
      </c>
      <c r="D438" s="132" t="s">
        <v>292</v>
      </c>
      <c r="E438" s="132" t="s">
        <v>392</v>
      </c>
      <c r="F438" s="132">
        <v>108</v>
      </c>
      <c r="G438" s="214">
        <v>519</v>
      </c>
      <c r="H438" s="132"/>
      <c r="I438" s="132" t="s">
        <v>393</v>
      </c>
      <c r="J438" s="133">
        <v>42947</v>
      </c>
      <c r="K438" s="132">
        <v>0</v>
      </c>
      <c r="L438" s="132" t="s">
        <v>48</v>
      </c>
      <c r="M438" s="134">
        <v>0.6</v>
      </c>
      <c r="N438" s="134">
        <v>1</v>
      </c>
      <c r="O438" s="320">
        <v>0</v>
      </c>
      <c r="P438" s="326">
        <v>0</v>
      </c>
      <c r="Q438" s="326">
        <v>0</v>
      </c>
      <c r="R438" s="315">
        <v>0</v>
      </c>
      <c r="S438" s="315">
        <v>1</v>
      </c>
      <c r="T438" s="315"/>
      <c r="U438" s="315">
        <v>2</v>
      </c>
      <c r="V438" s="315">
        <v>0</v>
      </c>
      <c r="W438" s="315">
        <v>3</v>
      </c>
      <c r="X438" s="315">
        <v>0</v>
      </c>
      <c r="Y438" s="315">
        <v>0</v>
      </c>
      <c r="Z438" s="315" t="s">
        <v>394</v>
      </c>
      <c r="AA438" s="336">
        <v>26</v>
      </c>
      <c r="AB438" s="336">
        <v>4</v>
      </c>
      <c r="AC438" s="337">
        <v>0</v>
      </c>
      <c r="AD438" s="337"/>
      <c r="AE438" s="336">
        <v>26</v>
      </c>
      <c r="AF438" s="336" t="s">
        <v>1358</v>
      </c>
      <c r="AG438" s="339" t="s">
        <v>1358</v>
      </c>
      <c r="AH438" s="339">
        <v>0</v>
      </c>
      <c r="AI438" s="336">
        <v>0</v>
      </c>
      <c r="AJ438" s="336"/>
      <c r="AK438" s="848">
        <v>0.5</v>
      </c>
      <c r="AL438" s="842" t="s">
        <v>376</v>
      </c>
      <c r="AM438" s="836">
        <v>0</v>
      </c>
      <c r="AN438" s="837">
        <v>5</v>
      </c>
      <c r="AO438" s="837">
        <v>0</v>
      </c>
      <c r="AP438" s="843">
        <v>0</v>
      </c>
      <c r="AQ438" s="839">
        <v>0</v>
      </c>
      <c r="AR438" s="839"/>
      <c r="AS438" s="839"/>
      <c r="AT438" s="839">
        <v>1</v>
      </c>
      <c r="AU438" s="839"/>
      <c r="AV438" s="849"/>
      <c r="AW438" s="134">
        <v>0</v>
      </c>
      <c r="AX438" s="136">
        <v>0</v>
      </c>
      <c r="AY438" s="137" t="s">
        <v>2577</v>
      </c>
      <c r="AZ438" s="136">
        <v>0</v>
      </c>
      <c r="BA438" s="136">
        <v>0</v>
      </c>
      <c r="BB438" s="136">
        <v>0</v>
      </c>
      <c r="BC438" s="214">
        <v>0</v>
      </c>
      <c r="BD438" s="136">
        <v>0</v>
      </c>
      <c r="BE438" s="214">
        <v>0</v>
      </c>
      <c r="BF438" s="136">
        <v>0</v>
      </c>
      <c r="BG438" s="214">
        <v>0</v>
      </c>
      <c r="BH438" s="214">
        <v>0</v>
      </c>
      <c r="BI438" s="134">
        <v>1</v>
      </c>
      <c r="BJ438" s="214">
        <v>519</v>
      </c>
      <c r="BK438" s="137">
        <v>1</v>
      </c>
      <c r="BL438" s="137">
        <v>1</v>
      </c>
      <c r="BM438" s="137">
        <v>30</v>
      </c>
      <c r="BN438" s="134">
        <v>1</v>
      </c>
      <c r="BO438" s="351">
        <v>519</v>
      </c>
      <c r="BP438" s="134">
        <v>0</v>
      </c>
      <c r="BQ438" s="214">
        <v>0</v>
      </c>
      <c r="BR438" s="137">
        <v>26</v>
      </c>
      <c r="BS438" s="138">
        <v>0.13333333333333333</v>
      </c>
      <c r="BT438" s="351">
        <v>0</v>
      </c>
      <c r="BU438" s="214">
        <v>0</v>
      </c>
      <c r="BV438" s="214">
        <v>0</v>
      </c>
      <c r="BW438" s="214">
        <v>0</v>
      </c>
      <c r="BX438" s="214">
        <v>0</v>
      </c>
      <c r="BY438" s="214">
        <v>0</v>
      </c>
      <c r="BZ438" s="134">
        <v>0</v>
      </c>
      <c r="CA438" s="138">
        <v>1</v>
      </c>
      <c r="CB438" s="136">
        <v>0</v>
      </c>
      <c r="CC438" s="136">
        <v>0</v>
      </c>
      <c r="CD438" s="136">
        <v>0</v>
      </c>
      <c r="CE438" s="137">
        <v>0</v>
      </c>
      <c r="CF438" s="137">
        <v>0</v>
      </c>
      <c r="CG438" s="137">
        <v>0</v>
      </c>
      <c r="CH438" s="214">
        <v>54</v>
      </c>
      <c r="CI438" s="139" t="s">
        <v>48</v>
      </c>
      <c r="CJ438" s="139" t="s">
        <v>389</v>
      </c>
      <c r="CK438" s="139" t="s">
        <v>50</v>
      </c>
      <c r="CL438" s="139" t="s">
        <v>50</v>
      </c>
      <c r="CM438" s="139" t="s">
        <v>50</v>
      </c>
      <c r="CN438" s="139" t="s">
        <v>51</v>
      </c>
      <c r="CO438" s="139">
        <v>25.889410000000002</v>
      </c>
      <c r="CP438" s="139">
        <v>98.131550000000004</v>
      </c>
      <c r="CQ438" s="139" t="s">
        <v>2066</v>
      </c>
      <c r="CR438" s="449" t="s">
        <v>40</v>
      </c>
      <c r="CS438" s="449"/>
      <c r="CT438" s="24"/>
      <c r="CU438" s="24"/>
      <c r="CV438" s="24"/>
    </row>
    <row r="439" spans="1:100" ht="15.75" customHeight="1" x14ac:dyDescent="0.25">
      <c r="A439" s="293" t="s">
        <v>2691</v>
      </c>
      <c r="B439" s="132" t="s">
        <v>287</v>
      </c>
      <c r="C439" s="132" t="s">
        <v>44</v>
      </c>
      <c r="D439" s="132" t="s">
        <v>292</v>
      </c>
      <c r="E439" s="132" t="s">
        <v>293</v>
      </c>
      <c r="F439" s="132">
        <v>160</v>
      </c>
      <c r="G439" s="214">
        <v>823</v>
      </c>
      <c r="H439" s="206"/>
      <c r="I439" s="206" t="s">
        <v>290</v>
      </c>
      <c r="J439" s="133">
        <v>43555</v>
      </c>
      <c r="K439" s="132">
        <v>0</v>
      </c>
      <c r="L439" s="132" t="s">
        <v>48</v>
      </c>
      <c r="M439" s="134">
        <v>0.6</v>
      </c>
      <c r="N439" s="134">
        <v>0.5</v>
      </c>
      <c r="O439" s="320">
        <v>0</v>
      </c>
      <c r="P439" s="326">
        <v>0</v>
      </c>
      <c r="Q439" s="326">
        <v>349920</v>
      </c>
      <c r="R439" s="315">
        <v>0</v>
      </c>
      <c r="S439" s="315">
        <v>0</v>
      </c>
      <c r="T439" s="315"/>
      <c r="U439" s="315">
        <v>0</v>
      </c>
      <c r="V439" s="315">
        <v>0</v>
      </c>
      <c r="W439" s="315">
        <v>0</v>
      </c>
      <c r="X439" s="315">
        <v>0</v>
      </c>
      <c r="Y439" s="315">
        <v>0</v>
      </c>
      <c r="Z439" s="315"/>
      <c r="AA439" s="336">
        <v>27</v>
      </c>
      <c r="AB439" s="336">
        <v>0</v>
      </c>
      <c r="AC439" s="337">
        <v>0</v>
      </c>
      <c r="AD439" s="337"/>
      <c r="AE439" s="336">
        <v>0</v>
      </c>
      <c r="AF439" s="336" t="s">
        <v>283</v>
      </c>
      <c r="AG439" s="339" t="s">
        <v>283</v>
      </c>
      <c r="AH439" s="339"/>
      <c r="AI439" s="336">
        <v>5</v>
      </c>
      <c r="AJ439" s="336"/>
      <c r="AK439" s="848">
        <v>0.6</v>
      </c>
      <c r="AL439" s="836" t="s">
        <v>291</v>
      </c>
      <c r="AM439" s="836">
        <v>0</v>
      </c>
      <c r="AN439" s="837">
        <v>4</v>
      </c>
      <c r="AO439" s="837">
        <v>3</v>
      </c>
      <c r="AP439" s="843">
        <v>0</v>
      </c>
      <c r="AQ439" s="839">
        <v>0</v>
      </c>
      <c r="AR439" s="839"/>
      <c r="AS439" s="839"/>
      <c r="AT439" s="839"/>
      <c r="AU439" s="839"/>
      <c r="AV439" s="849"/>
      <c r="AW439" s="134" t="s">
        <v>3208</v>
      </c>
      <c r="AX439" s="136" t="s">
        <v>3208</v>
      </c>
      <c r="AY439" s="137" t="s">
        <v>2576</v>
      </c>
      <c r="AZ439" s="136">
        <v>1</v>
      </c>
      <c r="BA439" s="136">
        <v>1</v>
      </c>
      <c r="BB439" s="136">
        <v>1</v>
      </c>
      <c r="BC439" s="214">
        <v>823</v>
      </c>
      <c r="BD439" s="136">
        <v>0</v>
      </c>
      <c r="BE439" s="214">
        <v>0</v>
      </c>
      <c r="BF439" s="136">
        <v>1</v>
      </c>
      <c r="BG439" s="214">
        <v>823</v>
      </c>
      <c r="BH439" s="214">
        <v>1.6459999999999999</v>
      </c>
      <c r="BI439" s="134">
        <v>0</v>
      </c>
      <c r="BJ439" s="214">
        <v>0</v>
      </c>
      <c r="BK439" s="137">
        <v>0.35400000000000009</v>
      </c>
      <c r="BL439" s="137">
        <v>2</v>
      </c>
      <c r="BM439" s="137">
        <v>27</v>
      </c>
      <c r="BN439" s="134">
        <v>0.65613608748481167</v>
      </c>
      <c r="BO439" s="351">
        <v>540</v>
      </c>
      <c r="BP439" s="134">
        <v>0.3402187120291616</v>
      </c>
      <c r="BQ439" s="214">
        <v>14</v>
      </c>
      <c r="BR439" s="137">
        <v>41</v>
      </c>
      <c r="BS439" s="138">
        <v>0</v>
      </c>
      <c r="BT439" s="351">
        <v>0</v>
      </c>
      <c r="BU439" s="214">
        <v>823</v>
      </c>
      <c r="BV439" s="214">
        <v>0</v>
      </c>
      <c r="BW439" s="214">
        <v>1</v>
      </c>
      <c r="BX439" s="214">
        <v>0</v>
      </c>
      <c r="BY439" s="214">
        <v>0</v>
      </c>
      <c r="BZ439" s="134">
        <v>0</v>
      </c>
      <c r="CA439" s="138">
        <v>1</v>
      </c>
      <c r="CB439" s="136">
        <v>1</v>
      </c>
      <c r="CC439" s="136">
        <v>0</v>
      </c>
      <c r="CD439" s="136">
        <v>0</v>
      </c>
      <c r="CE439" s="137">
        <v>0</v>
      </c>
      <c r="CF439" s="137">
        <v>0</v>
      </c>
      <c r="CG439" s="137">
        <v>0</v>
      </c>
      <c r="CH439" s="214">
        <v>96</v>
      </c>
      <c r="CI439" s="139" t="s">
        <v>48</v>
      </c>
      <c r="CJ439" s="139" t="s">
        <v>287</v>
      </c>
      <c r="CK439" s="139" t="s">
        <v>50</v>
      </c>
      <c r="CL439" s="139" t="s">
        <v>50</v>
      </c>
      <c r="CM439" s="139" t="s">
        <v>50</v>
      </c>
      <c r="CN439" s="139" t="s">
        <v>949</v>
      </c>
      <c r="CO439" s="139">
        <v>25.754110000000001</v>
      </c>
      <c r="CP439" s="139">
        <v>98.475719999999995</v>
      </c>
      <c r="CQ439" s="139" t="s">
        <v>2062</v>
      </c>
      <c r="CR439" s="449" t="s">
        <v>40</v>
      </c>
      <c r="CS439" s="449"/>
      <c r="CT439" s="24"/>
      <c r="CU439" s="24"/>
      <c r="CV439" s="24"/>
    </row>
    <row r="440" spans="1:100" ht="15.75" customHeight="1" x14ac:dyDescent="0.25">
      <c r="A440" s="293" t="s">
        <v>2691</v>
      </c>
      <c r="B440" s="132" t="s">
        <v>389</v>
      </c>
      <c r="C440" s="132" t="s">
        <v>44</v>
      </c>
      <c r="D440" s="132" t="s">
        <v>292</v>
      </c>
      <c r="E440" s="132" t="s">
        <v>395</v>
      </c>
      <c r="F440" s="132">
        <v>143</v>
      </c>
      <c r="G440" s="214">
        <v>640</v>
      </c>
      <c r="H440" s="206"/>
      <c r="I440" s="206" t="s">
        <v>391</v>
      </c>
      <c r="J440" s="133">
        <v>42947</v>
      </c>
      <c r="K440" s="132">
        <v>0</v>
      </c>
      <c r="L440" s="132" t="s">
        <v>48</v>
      </c>
      <c r="M440" s="134">
        <v>0.43</v>
      </c>
      <c r="N440" s="134">
        <v>0</v>
      </c>
      <c r="O440" s="320">
        <v>0</v>
      </c>
      <c r="P440" s="326">
        <v>0</v>
      </c>
      <c r="Q440" s="326">
        <v>0</v>
      </c>
      <c r="R440" s="315">
        <v>0</v>
      </c>
      <c r="S440" s="315">
        <v>2</v>
      </c>
      <c r="T440" s="315"/>
      <c r="U440" s="315">
        <v>2</v>
      </c>
      <c r="V440" s="315">
        <v>2</v>
      </c>
      <c r="W440" s="315">
        <v>3</v>
      </c>
      <c r="X440" s="315">
        <v>1</v>
      </c>
      <c r="Y440" s="315">
        <v>0</v>
      </c>
      <c r="Z440" s="315"/>
      <c r="AA440" s="336">
        <v>39</v>
      </c>
      <c r="AB440" s="336">
        <v>2</v>
      </c>
      <c r="AC440" s="337">
        <v>0</v>
      </c>
      <c r="AD440" s="337"/>
      <c r="AE440" s="336">
        <v>39</v>
      </c>
      <c r="AF440" s="336" t="s">
        <v>1358</v>
      </c>
      <c r="AG440" s="339" t="s">
        <v>1358</v>
      </c>
      <c r="AH440" s="339">
        <v>0</v>
      </c>
      <c r="AI440" s="336">
        <v>0</v>
      </c>
      <c r="AJ440" s="336"/>
      <c r="AK440" s="848">
        <v>0.3</v>
      </c>
      <c r="AL440" s="842" t="s">
        <v>376</v>
      </c>
      <c r="AM440" s="836">
        <v>0</v>
      </c>
      <c r="AN440" s="837">
        <v>9</v>
      </c>
      <c r="AO440" s="837">
        <v>0</v>
      </c>
      <c r="AP440" s="843">
        <v>0</v>
      </c>
      <c r="AQ440" s="839">
        <v>0</v>
      </c>
      <c r="AR440" s="839"/>
      <c r="AS440" s="839"/>
      <c r="AT440" s="839">
        <v>1</v>
      </c>
      <c r="AU440" s="839"/>
      <c r="AV440" s="849"/>
      <c r="AW440" s="134">
        <v>1</v>
      </c>
      <c r="AX440" s="136">
        <v>0.33333333333333331</v>
      </c>
      <c r="AY440" s="137" t="s">
        <v>2577</v>
      </c>
      <c r="AZ440" s="136">
        <v>0</v>
      </c>
      <c r="BA440" s="136">
        <v>0</v>
      </c>
      <c r="BB440" s="136">
        <v>0</v>
      </c>
      <c r="BC440" s="214">
        <v>0</v>
      </c>
      <c r="BD440" s="136">
        <v>0</v>
      </c>
      <c r="BE440" s="214">
        <v>0</v>
      </c>
      <c r="BF440" s="136">
        <v>0</v>
      </c>
      <c r="BG440" s="214">
        <v>0</v>
      </c>
      <c r="BH440" s="214">
        <v>0</v>
      </c>
      <c r="BI440" s="134">
        <v>1</v>
      </c>
      <c r="BJ440" s="214">
        <v>640</v>
      </c>
      <c r="BK440" s="137">
        <v>1</v>
      </c>
      <c r="BL440" s="137">
        <v>1</v>
      </c>
      <c r="BM440" s="137">
        <v>41</v>
      </c>
      <c r="BN440" s="134">
        <v>1</v>
      </c>
      <c r="BO440" s="351">
        <v>640</v>
      </c>
      <c r="BP440" s="134">
        <v>0</v>
      </c>
      <c r="BQ440" s="214">
        <v>0</v>
      </c>
      <c r="BR440" s="137">
        <v>32</v>
      </c>
      <c r="BS440" s="138">
        <v>4.878048780487805E-2</v>
      </c>
      <c r="BT440" s="351">
        <v>0</v>
      </c>
      <c r="BU440" s="214">
        <v>0</v>
      </c>
      <c r="BV440" s="214">
        <v>0</v>
      </c>
      <c r="BW440" s="214">
        <v>0</v>
      </c>
      <c r="BX440" s="214">
        <v>0</v>
      </c>
      <c r="BY440" s="214">
        <v>0</v>
      </c>
      <c r="BZ440" s="134">
        <v>0</v>
      </c>
      <c r="CA440" s="138">
        <v>1</v>
      </c>
      <c r="CB440" s="136">
        <v>0</v>
      </c>
      <c r="CC440" s="136">
        <v>0</v>
      </c>
      <c r="CD440" s="136">
        <v>0</v>
      </c>
      <c r="CE440" s="137">
        <v>0</v>
      </c>
      <c r="CF440" s="137">
        <v>0</v>
      </c>
      <c r="CG440" s="137">
        <v>0</v>
      </c>
      <c r="CH440" s="214">
        <v>42.9</v>
      </c>
      <c r="CI440" s="139" t="s">
        <v>48</v>
      </c>
      <c r="CJ440" s="139" t="s">
        <v>389</v>
      </c>
      <c r="CK440" s="139" t="s">
        <v>50</v>
      </c>
      <c r="CL440" s="139" t="s">
        <v>50</v>
      </c>
      <c r="CM440" s="139" t="s">
        <v>50</v>
      </c>
      <c r="CN440" s="139" t="s">
        <v>51</v>
      </c>
      <c r="CO440" s="139">
        <v>25.887339999999998</v>
      </c>
      <c r="CP440" s="139">
        <v>98.129990000000006</v>
      </c>
      <c r="CQ440" s="139" t="s">
        <v>2065</v>
      </c>
      <c r="CR440" s="449" t="s">
        <v>40</v>
      </c>
      <c r="CS440" s="449"/>
      <c r="CT440" s="24"/>
      <c r="CU440" s="24"/>
      <c r="CV440" s="24"/>
    </row>
    <row r="441" spans="1:100" ht="15.75" customHeight="1" x14ac:dyDescent="0.25">
      <c r="A441" s="293" t="s">
        <v>2691</v>
      </c>
      <c r="B441" s="132" t="s">
        <v>43</v>
      </c>
      <c r="C441" s="132" t="s">
        <v>44</v>
      </c>
      <c r="D441" s="132" t="s">
        <v>292</v>
      </c>
      <c r="E441" s="132" t="s">
        <v>371</v>
      </c>
      <c r="F441" s="132">
        <v>57</v>
      </c>
      <c r="G441" s="214">
        <v>267</v>
      </c>
      <c r="H441" s="132"/>
      <c r="I441" s="132" t="s">
        <v>372</v>
      </c>
      <c r="J441" s="133">
        <v>43465</v>
      </c>
      <c r="K441" s="132">
        <v>0</v>
      </c>
      <c r="L441" s="132" t="s">
        <v>2452</v>
      </c>
      <c r="M441" s="134">
        <v>0.6</v>
      </c>
      <c r="N441" s="134">
        <v>0.3</v>
      </c>
      <c r="O441" s="320">
        <v>0</v>
      </c>
      <c r="P441" s="326">
        <v>0</v>
      </c>
      <c r="Q441" s="326">
        <v>4000</v>
      </c>
      <c r="R441" s="315">
        <v>0</v>
      </c>
      <c r="S441" s="315">
        <v>4</v>
      </c>
      <c r="T441" s="315"/>
      <c r="U441" s="315">
        <v>0</v>
      </c>
      <c r="V441" s="315">
        <v>0</v>
      </c>
      <c r="W441" s="315">
        <v>0</v>
      </c>
      <c r="X441" s="315">
        <v>0</v>
      </c>
      <c r="Y441" s="315">
        <v>0</v>
      </c>
      <c r="Z441" s="315" t="s">
        <v>373</v>
      </c>
      <c r="AA441" s="336">
        <v>12</v>
      </c>
      <c r="AB441" s="336">
        <v>0</v>
      </c>
      <c r="AC441" s="337">
        <v>0</v>
      </c>
      <c r="AD441" s="337"/>
      <c r="AE441" s="336">
        <v>8</v>
      </c>
      <c r="AF441" s="336" t="s">
        <v>283</v>
      </c>
      <c r="AG441" s="339" t="s">
        <v>1358</v>
      </c>
      <c r="AH441" s="339">
        <v>0</v>
      </c>
      <c r="AI441" s="336">
        <v>0</v>
      </c>
      <c r="AJ441" s="336"/>
      <c r="AK441" s="848">
        <v>0</v>
      </c>
      <c r="AL441" s="842" t="s">
        <v>376</v>
      </c>
      <c r="AM441" s="836">
        <v>0</v>
      </c>
      <c r="AN441" s="837">
        <v>3</v>
      </c>
      <c r="AO441" s="837">
        <v>1</v>
      </c>
      <c r="AP441" s="843">
        <v>0</v>
      </c>
      <c r="AQ441" s="839">
        <v>0</v>
      </c>
      <c r="AR441" s="839" t="s">
        <v>282</v>
      </c>
      <c r="AS441" s="839"/>
      <c r="AT441" s="839"/>
      <c r="AU441" s="839"/>
      <c r="AV441" s="849"/>
      <c r="AW441" s="134" t="s">
        <v>3208</v>
      </c>
      <c r="AX441" s="136" t="s">
        <v>3208</v>
      </c>
      <c r="AY441" s="137" t="s">
        <v>2576</v>
      </c>
      <c r="AZ441" s="136">
        <v>0.99875156054931347</v>
      </c>
      <c r="BA441" s="136">
        <v>0.99875156054931347</v>
      </c>
      <c r="BB441" s="136">
        <v>0.99875156054931347</v>
      </c>
      <c r="BC441" s="214">
        <v>266.66666666666669</v>
      </c>
      <c r="BD441" s="136">
        <v>0</v>
      </c>
      <c r="BE441" s="214">
        <v>0</v>
      </c>
      <c r="BF441" s="136">
        <v>0.99875156054931347</v>
      </c>
      <c r="BG441" s="214">
        <v>266.66666666666669</v>
      </c>
      <c r="BH441" s="214">
        <v>0.53333333333333333</v>
      </c>
      <c r="BI441" s="134">
        <v>1.2484394506865337E-3</v>
      </c>
      <c r="BJ441" s="214">
        <v>0.3333333333333045</v>
      </c>
      <c r="BK441" s="137">
        <v>0.46666666666666667</v>
      </c>
      <c r="BL441" s="137">
        <v>1</v>
      </c>
      <c r="BM441" s="137">
        <v>12</v>
      </c>
      <c r="BN441" s="134">
        <v>0.898876404494382</v>
      </c>
      <c r="BO441" s="351">
        <v>240</v>
      </c>
      <c r="BP441" s="134">
        <v>7.4906367041198504E-2</v>
      </c>
      <c r="BQ441" s="214">
        <v>1</v>
      </c>
      <c r="BR441" s="137">
        <v>13</v>
      </c>
      <c r="BS441" s="138">
        <v>0</v>
      </c>
      <c r="BT441" s="351">
        <v>0</v>
      </c>
      <c r="BU441" s="214">
        <v>267</v>
      </c>
      <c r="BV441" s="214">
        <v>0</v>
      </c>
      <c r="BW441" s="214">
        <v>1</v>
      </c>
      <c r="BX441" s="214">
        <v>0</v>
      </c>
      <c r="BY441" s="214">
        <v>0</v>
      </c>
      <c r="BZ441" s="134">
        <v>0</v>
      </c>
      <c r="CA441" s="138">
        <v>1</v>
      </c>
      <c r="CB441" s="136">
        <v>1</v>
      </c>
      <c r="CC441" s="136">
        <v>0</v>
      </c>
      <c r="CD441" s="136">
        <v>0</v>
      </c>
      <c r="CE441" s="137">
        <v>0</v>
      </c>
      <c r="CF441" s="137">
        <v>0</v>
      </c>
      <c r="CG441" s="137">
        <v>0</v>
      </c>
      <c r="CH441" s="214">
        <v>0</v>
      </c>
      <c r="CI441" s="139" t="s">
        <v>48</v>
      </c>
      <c r="CJ441" s="139" t="s">
        <v>1539</v>
      </c>
      <c r="CK441" s="139" t="s">
        <v>50</v>
      </c>
      <c r="CL441" s="139" t="s">
        <v>50</v>
      </c>
      <c r="CM441" s="139" t="s">
        <v>50</v>
      </c>
      <c r="CN441" s="139" t="s">
        <v>51</v>
      </c>
      <c r="CO441" s="139">
        <v>25.60867</v>
      </c>
      <c r="CP441" s="139">
        <v>98.377780000000001</v>
      </c>
      <c r="CQ441" s="139" t="s">
        <v>2043</v>
      </c>
      <c r="CR441" s="449" t="s">
        <v>40</v>
      </c>
      <c r="CS441" s="449"/>
      <c r="CT441" s="24"/>
      <c r="CU441" s="24"/>
      <c r="CV441" s="24"/>
    </row>
    <row r="442" spans="1:100" ht="15.75" customHeight="1" x14ac:dyDescent="0.25">
      <c r="A442" s="293" t="s">
        <v>2691</v>
      </c>
      <c r="B442" s="132" t="s">
        <v>43</v>
      </c>
      <c r="C442" s="132" t="s">
        <v>44</v>
      </c>
      <c r="D442" s="132" t="s">
        <v>292</v>
      </c>
      <c r="E442" s="132" t="s">
        <v>374</v>
      </c>
      <c r="F442" s="132">
        <v>30</v>
      </c>
      <c r="G442" s="214">
        <v>173</v>
      </c>
      <c r="H442" s="132"/>
      <c r="I442" s="132" t="s">
        <v>375</v>
      </c>
      <c r="J442" s="133">
        <v>43465</v>
      </c>
      <c r="K442" s="132">
        <v>0</v>
      </c>
      <c r="L442" s="132" t="s">
        <v>2452</v>
      </c>
      <c r="M442" s="134">
        <v>0.4</v>
      </c>
      <c r="N442" s="134">
        <v>0.3</v>
      </c>
      <c r="O442" s="320">
        <v>0</v>
      </c>
      <c r="P442" s="326">
        <v>0</v>
      </c>
      <c r="Q442" s="326">
        <v>2000</v>
      </c>
      <c r="R442" s="315">
        <v>0</v>
      </c>
      <c r="S442" s="315">
        <v>2</v>
      </c>
      <c r="T442" s="315"/>
      <c r="U442" s="315">
        <v>0</v>
      </c>
      <c r="V442" s="315">
        <v>0</v>
      </c>
      <c r="W442" s="315">
        <v>0</v>
      </c>
      <c r="X442" s="315">
        <v>0</v>
      </c>
      <c r="Y442" s="315">
        <v>0</v>
      </c>
      <c r="Z442" s="315"/>
      <c r="AA442" s="336">
        <v>10</v>
      </c>
      <c r="AB442" s="336">
        <v>0</v>
      </c>
      <c r="AC442" s="337">
        <v>0</v>
      </c>
      <c r="AD442" s="337"/>
      <c r="AE442" s="336">
        <v>0</v>
      </c>
      <c r="AF442" s="336" t="s">
        <v>283</v>
      </c>
      <c r="AG442" s="339" t="s">
        <v>1358</v>
      </c>
      <c r="AH442" s="339">
        <v>0</v>
      </c>
      <c r="AI442" s="336">
        <v>0</v>
      </c>
      <c r="AJ442" s="336"/>
      <c r="AK442" s="848">
        <v>0</v>
      </c>
      <c r="AL442" s="842" t="s">
        <v>376</v>
      </c>
      <c r="AM442" s="836">
        <v>0</v>
      </c>
      <c r="AN442" s="837">
        <v>0</v>
      </c>
      <c r="AO442" s="837">
        <v>1</v>
      </c>
      <c r="AP442" s="843">
        <v>0</v>
      </c>
      <c r="AQ442" s="839">
        <v>0</v>
      </c>
      <c r="AR442" s="839" t="s">
        <v>282</v>
      </c>
      <c r="AS442" s="839"/>
      <c r="AT442" s="839"/>
      <c r="AU442" s="839"/>
      <c r="AV442" s="849"/>
      <c r="AW442" s="134" t="s">
        <v>3208</v>
      </c>
      <c r="AX442" s="136" t="s">
        <v>3208</v>
      </c>
      <c r="AY442" s="137" t="s">
        <v>2576</v>
      </c>
      <c r="AZ442" s="136">
        <v>0.77071290944123316</v>
      </c>
      <c r="BA442" s="136">
        <v>0.77071290944123316</v>
      </c>
      <c r="BB442" s="136">
        <v>0.77071290944123316</v>
      </c>
      <c r="BC442" s="214">
        <v>133.33333333333334</v>
      </c>
      <c r="BD442" s="136">
        <v>0</v>
      </c>
      <c r="BE442" s="214">
        <v>0</v>
      </c>
      <c r="BF442" s="136">
        <v>0.77071290944123316</v>
      </c>
      <c r="BG442" s="214">
        <v>133.33333333333334</v>
      </c>
      <c r="BH442" s="214">
        <v>0.26666666666666666</v>
      </c>
      <c r="BI442" s="134">
        <v>0.22928709055876684</v>
      </c>
      <c r="BJ442" s="214">
        <v>39.666666666666664</v>
      </c>
      <c r="BK442" s="137">
        <v>0.73333333333333339</v>
      </c>
      <c r="BL442" s="137">
        <v>1</v>
      </c>
      <c r="BM442" s="137">
        <v>10</v>
      </c>
      <c r="BN442" s="134">
        <v>1</v>
      </c>
      <c r="BO442" s="351">
        <v>173</v>
      </c>
      <c r="BP442" s="134">
        <v>0</v>
      </c>
      <c r="BQ442" s="214">
        <v>0</v>
      </c>
      <c r="BR442" s="137">
        <v>9</v>
      </c>
      <c r="BS442" s="138">
        <v>0</v>
      </c>
      <c r="BT442" s="351">
        <v>0</v>
      </c>
      <c r="BU442" s="214">
        <v>173</v>
      </c>
      <c r="BV442" s="214">
        <v>0</v>
      </c>
      <c r="BW442" s="214">
        <v>1</v>
      </c>
      <c r="BX442" s="214">
        <v>0</v>
      </c>
      <c r="BY442" s="214">
        <v>0</v>
      </c>
      <c r="BZ442" s="134">
        <v>0</v>
      </c>
      <c r="CA442" s="138">
        <v>1</v>
      </c>
      <c r="CB442" s="136">
        <v>1</v>
      </c>
      <c r="CC442" s="136">
        <v>0</v>
      </c>
      <c r="CD442" s="136">
        <v>0</v>
      </c>
      <c r="CE442" s="137">
        <v>0</v>
      </c>
      <c r="CF442" s="137">
        <v>0</v>
      </c>
      <c r="CG442" s="137">
        <v>0</v>
      </c>
      <c r="CH442" s="214">
        <v>0</v>
      </c>
      <c r="CI442" s="139" t="s">
        <v>48</v>
      </c>
      <c r="CJ442" s="139" t="s">
        <v>1539</v>
      </c>
      <c r="CK442" s="139" t="s">
        <v>50</v>
      </c>
      <c r="CL442" s="139" t="s">
        <v>50</v>
      </c>
      <c r="CM442" s="139" t="s">
        <v>50</v>
      </c>
      <c r="CN442" s="139" t="s">
        <v>51</v>
      </c>
      <c r="CO442" s="139">
        <v>25.645959999999999</v>
      </c>
      <c r="CP442" s="139">
        <v>98.356260000000006</v>
      </c>
      <c r="CQ442" s="139" t="s">
        <v>2053</v>
      </c>
      <c r="CR442" s="449" t="s">
        <v>40</v>
      </c>
      <c r="CS442" s="449"/>
      <c r="CT442" s="24"/>
      <c r="CU442" s="24"/>
      <c r="CV442" s="24"/>
    </row>
    <row r="443" spans="1:100" ht="15.75" customHeight="1" x14ac:dyDescent="0.25">
      <c r="A443" s="293" t="s">
        <v>2691</v>
      </c>
      <c r="B443" s="132" t="s">
        <v>43</v>
      </c>
      <c r="C443" s="132" t="s">
        <v>44</v>
      </c>
      <c r="D443" s="132" t="s">
        <v>294</v>
      </c>
      <c r="E443" s="132" t="s">
        <v>377</v>
      </c>
      <c r="F443" s="132">
        <v>70</v>
      </c>
      <c r="G443" s="209">
        <v>350</v>
      </c>
      <c r="H443" s="132"/>
      <c r="I443" s="132" t="s">
        <v>372</v>
      </c>
      <c r="J443" s="133">
        <v>43465</v>
      </c>
      <c r="K443" s="132">
        <v>0</v>
      </c>
      <c r="L443" s="132" t="s">
        <v>2452</v>
      </c>
      <c r="M443" s="134">
        <v>0.5</v>
      </c>
      <c r="N443" s="134">
        <v>0.1</v>
      </c>
      <c r="O443" s="320">
        <v>2</v>
      </c>
      <c r="P443" s="326">
        <v>0</v>
      </c>
      <c r="Q443" s="326">
        <v>4000</v>
      </c>
      <c r="R443" s="315">
        <v>0</v>
      </c>
      <c r="S443" s="315">
        <v>3</v>
      </c>
      <c r="T443" s="315"/>
      <c r="U443" s="315">
        <v>1</v>
      </c>
      <c r="V443" s="315">
        <v>0</v>
      </c>
      <c r="W443" s="315">
        <v>12</v>
      </c>
      <c r="X443" s="315">
        <v>1</v>
      </c>
      <c r="Y443" s="315">
        <v>0</v>
      </c>
      <c r="Z443" s="315"/>
      <c r="AA443" s="336">
        <v>8</v>
      </c>
      <c r="AB443" s="336">
        <v>0</v>
      </c>
      <c r="AC443" s="337">
        <v>0</v>
      </c>
      <c r="AD443" s="337"/>
      <c r="AE443" s="336">
        <v>8</v>
      </c>
      <c r="AF443" s="336" t="s">
        <v>283</v>
      </c>
      <c r="AG443" s="339" t="s">
        <v>1358</v>
      </c>
      <c r="AH443" s="339">
        <v>0</v>
      </c>
      <c r="AI443" s="336">
        <v>0</v>
      </c>
      <c r="AJ443" s="336"/>
      <c r="AK443" s="848">
        <v>0</v>
      </c>
      <c r="AL443" s="842" t="s">
        <v>376</v>
      </c>
      <c r="AM443" s="836">
        <v>0</v>
      </c>
      <c r="AN443" s="837">
        <v>3</v>
      </c>
      <c r="AO443" s="837">
        <v>2</v>
      </c>
      <c r="AP443" s="843">
        <v>0</v>
      </c>
      <c r="AQ443" s="839">
        <v>0</v>
      </c>
      <c r="AR443" s="843" t="s">
        <v>282</v>
      </c>
      <c r="AS443" s="843"/>
      <c r="AT443" s="839"/>
      <c r="AU443" s="839"/>
      <c r="AV443" s="849"/>
      <c r="AW443" s="134">
        <v>0</v>
      </c>
      <c r="AX443" s="136">
        <v>8.3333333333333329E-2</v>
      </c>
      <c r="AY443" s="137" t="s">
        <v>2577</v>
      </c>
      <c r="AZ443" s="136">
        <v>1</v>
      </c>
      <c r="BA443" s="136">
        <v>1</v>
      </c>
      <c r="BB443" s="136">
        <v>1</v>
      </c>
      <c r="BC443" s="214">
        <v>350</v>
      </c>
      <c r="BD443" s="136">
        <v>0</v>
      </c>
      <c r="BE443" s="214">
        <v>0</v>
      </c>
      <c r="BF443" s="136">
        <v>1</v>
      </c>
      <c r="BG443" s="214">
        <v>350</v>
      </c>
      <c r="BH443" s="214">
        <v>0.7</v>
      </c>
      <c r="BI443" s="134">
        <v>0</v>
      </c>
      <c r="BJ443" s="214">
        <v>0</v>
      </c>
      <c r="BK443" s="137">
        <v>0.30000000000000004</v>
      </c>
      <c r="BL443" s="137">
        <v>1</v>
      </c>
      <c r="BM443" s="137">
        <v>8</v>
      </c>
      <c r="BN443" s="134">
        <v>0.45714285714285713</v>
      </c>
      <c r="BO443" s="351">
        <v>160</v>
      </c>
      <c r="BP443" s="134">
        <v>0.5714285714285714</v>
      </c>
      <c r="BQ443" s="214">
        <v>10</v>
      </c>
      <c r="BR443" s="137">
        <v>18</v>
      </c>
      <c r="BS443" s="138">
        <v>0</v>
      </c>
      <c r="BT443" s="351">
        <v>0</v>
      </c>
      <c r="BU443" s="214">
        <v>350</v>
      </c>
      <c r="BV443" s="214">
        <v>0</v>
      </c>
      <c r="BW443" s="214">
        <v>1</v>
      </c>
      <c r="BX443" s="214">
        <v>0</v>
      </c>
      <c r="BY443" s="214">
        <v>0</v>
      </c>
      <c r="BZ443" s="134">
        <v>0</v>
      </c>
      <c r="CA443" s="138">
        <v>1</v>
      </c>
      <c r="CB443" s="136">
        <v>1</v>
      </c>
      <c r="CC443" s="136">
        <v>0</v>
      </c>
      <c r="CD443" s="136">
        <v>0</v>
      </c>
      <c r="CE443" s="137">
        <v>0</v>
      </c>
      <c r="CF443" s="137">
        <v>0</v>
      </c>
      <c r="CG443" s="137">
        <v>0</v>
      </c>
      <c r="CH443" s="214">
        <v>0</v>
      </c>
      <c r="CI443" s="139" t="s">
        <v>48</v>
      </c>
      <c r="CJ443" s="139" t="s">
        <v>1539</v>
      </c>
      <c r="CK443" s="139" t="s">
        <v>50</v>
      </c>
      <c r="CL443" s="139" t="s">
        <v>50</v>
      </c>
      <c r="CM443" s="139" t="s">
        <v>50</v>
      </c>
      <c r="CN443" s="139" t="s">
        <v>51</v>
      </c>
      <c r="CO443" s="139">
        <v>25.656009999999998</v>
      </c>
      <c r="CP443" s="139">
        <v>96.361609999999999</v>
      </c>
      <c r="CQ443" s="139" t="s">
        <v>2055</v>
      </c>
      <c r="CR443" s="449" t="s">
        <v>40</v>
      </c>
      <c r="CS443" s="449"/>
      <c r="CT443" s="24"/>
      <c r="CU443" s="24"/>
      <c r="CV443" s="24"/>
    </row>
    <row r="444" spans="1:100" ht="15.75" customHeight="1" x14ac:dyDescent="0.25">
      <c r="A444" s="293" t="s">
        <v>2691</v>
      </c>
      <c r="B444" s="132" t="s">
        <v>389</v>
      </c>
      <c r="C444" s="132" t="s">
        <v>44</v>
      </c>
      <c r="D444" s="132" t="s">
        <v>294</v>
      </c>
      <c r="E444" s="132" t="s">
        <v>396</v>
      </c>
      <c r="F444" s="132">
        <v>65</v>
      </c>
      <c r="G444" s="214">
        <v>350</v>
      </c>
      <c r="H444" s="132"/>
      <c r="I444" s="132" t="s">
        <v>391</v>
      </c>
      <c r="J444" s="133">
        <v>42947</v>
      </c>
      <c r="K444" s="132">
        <v>0</v>
      </c>
      <c r="L444" s="132" t="s">
        <v>48</v>
      </c>
      <c r="M444" s="134">
        <v>0.2</v>
      </c>
      <c r="N444" s="134">
        <v>1</v>
      </c>
      <c r="O444" s="320">
        <v>2</v>
      </c>
      <c r="P444" s="326">
        <v>1</v>
      </c>
      <c r="Q444" s="326">
        <v>1500</v>
      </c>
      <c r="R444" s="315">
        <v>0</v>
      </c>
      <c r="S444" s="315">
        <v>3</v>
      </c>
      <c r="T444" s="315"/>
      <c r="U444" s="315">
        <v>2</v>
      </c>
      <c r="V444" s="315">
        <v>0</v>
      </c>
      <c r="W444" s="315">
        <v>1</v>
      </c>
      <c r="X444" s="315">
        <v>0</v>
      </c>
      <c r="Y444" s="315">
        <v>0</v>
      </c>
      <c r="Z444" s="315"/>
      <c r="AA444" s="336">
        <v>20</v>
      </c>
      <c r="AB444" s="336">
        <v>20</v>
      </c>
      <c r="AC444" s="337">
        <v>0</v>
      </c>
      <c r="AD444" s="337" t="s">
        <v>2789</v>
      </c>
      <c r="AE444" s="336">
        <v>20</v>
      </c>
      <c r="AF444" s="336" t="s">
        <v>283</v>
      </c>
      <c r="AG444" s="339" t="s">
        <v>283</v>
      </c>
      <c r="AH444" s="339">
        <v>0</v>
      </c>
      <c r="AI444" s="336">
        <v>0</v>
      </c>
      <c r="AJ444" s="336"/>
      <c r="AK444" s="848">
        <v>0.5</v>
      </c>
      <c r="AL444" s="842" t="s">
        <v>376</v>
      </c>
      <c r="AM444" s="836">
        <v>0</v>
      </c>
      <c r="AN444" s="837">
        <v>4</v>
      </c>
      <c r="AO444" s="837">
        <v>0</v>
      </c>
      <c r="AP444" s="843">
        <v>0</v>
      </c>
      <c r="AQ444" s="839">
        <v>0</v>
      </c>
      <c r="AR444" s="839"/>
      <c r="AS444" s="839"/>
      <c r="AT444" s="839">
        <v>1</v>
      </c>
      <c r="AU444" s="839"/>
      <c r="AV444" s="849"/>
      <c r="AW444" s="134">
        <v>0</v>
      </c>
      <c r="AX444" s="136">
        <v>0</v>
      </c>
      <c r="AY444" s="137" t="s">
        <v>2577</v>
      </c>
      <c r="AZ444" s="136">
        <v>1</v>
      </c>
      <c r="BA444" s="136">
        <v>1</v>
      </c>
      <c r="BB444" s="136">
        <v>1</v>
      </c>
      <c r="BC444" s="214">
        <v>350</v>
      </c>
      <c r="BD444" s="136">
        <v>0</v>
      </c>
      <c r="BE444" s="214">
        <v>0</v>
      </c>
      <c r="BF444" s="136">
        <v>1</v>
      </c>
      <c r="BG444" s="214">
        <v>350</v>
      </c>
      <c r="BH444" s="214">
        <v>0.7</v>
      </c>
      <c r="BI444" s="134">
        <v>0</v>
      </c>
      <c r="BJ444" s="214">
        <v>0</v>
      </c>
      <c r="BK444" s="137">
        <v>0.30000000000000004</v>
      </c>
      <c r="BL444" s="137">
        <v>1</v>
      </c>
      <c r="BM444" s="137">
        <v>40</v>
      </c>
      <c r="BN444" s="134">
        <v>1</v>
      </c>
      <c r="BO444" s="351">
        <v>350</v>
      </c>
      <c r="BP444" s="134">
        <v>0</v>
      </c>
      <c r="BQ444" s="214">
        <v>0</v>
      </c>
      <c r="BR444" s="137">
        <v>18</v>
      </c>
      <c r="BS444" s="138">
        <v>0.5</v>
      </c>
      <c r="BT444" s="351">
        <v>0</v>
      </c>
      <c r="BU444" s="214">
        <v>0</v>
      </c>
      <c r="BV444" s="214">
        <v>0</v>
      </c>
      <c r="BW444" s="214">
        <v>0</v>
      </c>
      <c r="BX444" s="214">
        <v>0</v>
      </c>
      <c r="BY444" s="214">
        <v>0</v>
      </c>
      <c r="BZ444" s="134">
        <v>0</v>
      </c>
      <c r="CA444" s="138">
        <v>1</v>
      </c>
      <c r="CB444" s="136">
        <v>0</v>
      </c>
      <c r="CC444" s="136">
        <v>0</v>
      </c>
      <c r="CD444" s="136">
        <v>0</v>
      </c>
      <c r="CE444" s="137">
        <v>0</v>
      </c>
      <c r="CF444" s="137">
        <v>0</v>
      </c>
      <c r="CG444" s="137">
        <v>0</v>
      </c>
      <c r="CH444" s="214">
        <v>32.5</v>
      </c>
      <c r="CI444" s="139" t="s">
        <v>48</v>
      </c>
      <c r="CJ444" s="139" t="s">
        <v>389</v>
      </c>
      <c r="CK444" s="139" t="s">
        <v>50</v>
      </c>
      <c r="CL444" s="139" t="s">
        <v>50</v>
      </c>
      <c r="CM444" s="139" t="s">
        <v>50</v>
      </c>
      <c r="CN444" s="139" t="s">
        <v>51</v>
      </c>
      <c r="CO444" s="139">
        <v>25.635300000000001</v>
      </c>
      <c r="CP444" s="139">
        <v>96.345569999999995</v>
      </c>
      <c r="CQ444" s="139" t="s">
        <v>2051</v>
      </c>
      <c r="CR444" s="449" t="s">
        <v>40</v>
      </c>
      <c r="CS444" s="449"/>
      <c r="CT444" s="24"/>
      <c r="CU444" s="24"/>
      <c r="CV444" s="24"/>
    </row>
    <row r="445" spans="1:100" ht="15.75" customHeight="1" x14ac:dyDescent="0.25">
      <c r="A445" s="293" t="s">
        <v>2691</v>
      </c>
      <c r="B445" s="132" t="s">
        <v>389</v>
      </c>
      <c r="C445" s="132" t="s">
        <v>44</v>
      </c>
      <c r="D445" s="132" t="s">
        <v>294</v>
      </c>
      <c r="E445" s="132" t="s">
        <v>397</v>
      </c>
      <c r="F445" s="132">
        <v>14</v>
      </c>
      <c r="G445" s="214">
        <v>81</v>
      </c>
      <c r="H445" s="132"/>
      <c r="I445" s="132" t="s">
        <v>391</v>
      </c>
      <c r="J445" s="133">
        <v>42947</v>
      </c>
      <c r="K445" s="132">
        <v>0</v>
      </c>
      <c r="L445" s="132" t="s">
        <v>48</v>
      </c>
      <c r="M445" s="134">
        <v>0.5</v>
      </c>
      <c r="N445" s="134">
        <v>0</v>
      </c>
      <c r="O445" s="320">
        <v>1</v>
      </c>
      <c r="P445" s="326">
        <v>0</v>
      </c>
      <c r="Q445" s="326">
        <v>500</v>
      </c>
      <c r="R445" s="315">
        <v>0</v>
      </c>
      <c r="S445" s="315">
        <v>1</v>
      </c>
      <c r="T445" s="315"/>
      <c r="U445" s="315">
        <v>1</v>
      </c>
      <c r="V445" s="315">
        <v>0</v>
      </c>
      <c r="W445" s="315">
        <v>1</v>
      </c>
      <c r="X445" s="315">
        <v>0</v>
      </c>
      <c r="Y445" s="315">
        <v>0</v>
      </c>
      <c r="Z445" s="315"/>
      <c r="AA445" s="336">
        <v>4</v>
      </c>
      <c r="AB445" s="336">
        <v>0</v>
      </c>
      <c r="AC445" s="337">
        <v>0</v>
      </c>
      <c r="AD445" s="337"/>
      <c r="AE445" s="336">
        <v>4</v>
      </c>
      <c r="AF445" s="336" t="s">
        <v>283</v>
      </c>
      <c r="AG445" s="339" t="s">
        <v>1358</v>
      </c>
      <c r="AH445" s="339">
        <v>0</v>
      </c>
      <c r="AI445" s="336">
        <v>0</v>
      </c>
      <c r="AJ445" s="336"/>
      <c r="AK445" s="848">
        <v>0.2</v>
      </c>
      <c r="AL445" s="842" t="s">
        <v>376</v>
      </c>
      <c r="AM445" s="836">
        <v>0</v>
      </c>
      <c r="AN445" s="837">
        <v>2</v>
      </c>
      <c r="AO445" s="837">
        <v>0</v>
      </c>
      <c r="AP445" s="843">
        <v>0</v>
      </c>
      <c r="AQ445" s="839">
        <v>0</v>
      </c>
      <c r="AR445" s="839"/>
      <c r="AS445" s="839"/>
      <c r="AT445" s="839">
        <v>1</v>
      </c>
      <c r="AU445" s="839"/>
      <c r="AV445" s="849"/>
      <c r="AW445" s="134">
        <v>0</v>
      </c>
      <c r="AX445" s="136">
        <v>0</v>
      </c>
      <c r="AY445" s="137" t="s">
        <v>2577</v>
      </c>
      <c r="AZ445" s="136">
        <v>1</v>
      </c>
      <c r="BA445" s="136">
        <v>1</v>
      </c>
      <c r="BB445" s="136">
        <v>1</v>
      </c>
      <c r="BC445" s="214">
        <v>81</v>
      </c>
      <c r="BD445" s="136">
        <v>0</v>
      </c>
      <c r="BE445" s="214">
        <v>0</v>
      </c>
      <c r="BF445" s="136">
        <v>1</v>
      </c>
      <c r="BG445" s="214">
        <v>81</v>
      </c>
      <c r="BH445" s="214">
        <v>0.16200000000000001</v>
      </c>
      <c r="BI445" s="134">
        <v>0</v>
      </c>
      <c r="BJ445" s="214">
        <v>0</v>
      </c>
      <c r="BK445" s="137">
        <v>0.83799999999999997</v>
      </c>
      <c r="BL445" s="137">
        <v>1</v>
      </c>
      <c r="BM445" s="137">
        <v>4</v>
      </c>
      <c r="BN445" s="134">
        <v>0.98765432098765427</v>
      </c>
      <c r="BO445" s="351">
        <v>80</v>
      </c>
      <c r="BP445" s="134">
        <v>0</v>
      </c>
      <c r="BQ445" s="214">
        <v>0</v>
      </c>
      <c r="BR445" s="137">
        <v>4</v>
      </c>
      <c r="BS445" s="138">
        <v>0</v>
      </c>
      <c r="BT445" s="351">
        <v>0</v>
      </c>
      <c r="BU445" s="214">
        <v>0</v>
      </c>
      <c r="BV445" s="214">
        <v>0</v>
      </c>
      <c r="BW445" s="214">
        <v>0</v>
      </c>
      <c r="BX445" s="214">
        <v>0</v>
      </c>
      <c r="BY445" s="214">
        <v>0</v>
      </c>
      <c r="BZ445" s="134">
        <v>0</v>
      </c>
      <c r="CA445" s="138">
        <v>1</v>
      </c>
      <c r="CB445" s="136">
        <v>0</v>
      </c>
      <c r="CC445" s="136">
        <v>0</v>
      </c>
      <c r="CD445" s="136">
        <v>0</v>
      </c>
      <c r="CE445" s="137">
        <v>0</v>
      </c>
      <c r="CF445" s="137">
        <v>0</v>
      </c>
      <c r="CG445" s="137">
        <v>0</v>
      </c>
      <c r="CH445" s="214">
        <v>2.8000000000000003</v>
      </c>
      <c r="CI445" s="139" t="s">
        <v>48</v>
      </c>
      <c r="CJ445" s="139" t="s">
        <v>389</v>
      </c>
      <c r="CK445" s="139" t="s">
        <v>50</v>
      </c>
      <c r="CL445" s="139" t="s">
        <v>50</v>
      </c>
      <c r="CM445" s="139" t="s">
        <v>50</v>
      </c>
      <c r="CN445" s="139" t="s">
        <v>51</v>
      </c>
      <c r="CO445" s="139">
        <v>25.616509000000001</v>
      </c>
      <c r="CP445" s="139">
        <v>96.317350000000005</v>
      </c>
      <c r="CQ445" s="139" t="s">
        <v>2048</v>
      </c>
      <c r="CR445" s="449" t="s">
        <v>40</v>
      </c>
      <c r="CS445" s="449"/>
      <c r="CT445" s="24"/>
      <c r="CU445" s="24"/>
      <c r="CV445" s="24"/>
    </row>
    <row r="446" spans="1:100" ht="15.75" customHeight="1" x14ac:dyDescent="0.25">
      <c r="A446" s="293" t="s">
        <v>2691</v>
      </c>
      <c r="B446" s="132" t="s">
        <v>389</v>
      </c>
      <c r="C446" s="132" t="s">
        <v>44</v>
      </c>
      <c r="D446" s="132" t="s">
        <v>294</v>
      </c>
      <c r="E446" s="132" t="s">
        <v>398</v>
      </c>
      <c r="F446" s="132">
        <v>37</v>
      </c>
      <c r="G446" s="214">
        <v>228</v>
      </c>
      <c r="H446" s="132"/>
      <c r="I446" s="132" t="s">
        <v>391</v>
      </c>
      <c r="J446" s="133">
        <v>42947</v>
      </c>
      <c r="K446" s="132">
        <v>0</v>
      </c>
      <c r="L446" s="132" t="s">
        <v>48</v>
      </c>
      <c r="M446" s="134">
        <v>0.5</v>
      </c>
      <c r="N446" s="134">
        <v>0</v>
      </c>
      <c r="O446" s="320">
        <v>2</v>
      </c>
      <c r="P446" s="326">
        <v>0</v>
      </c>
      <c r="Q446" s="326">
        <v>2000</v>
      </c>
      <c r="R446" s="315">
        <v>0</v>
      </c>
      <c r="S446" s="315">
        <v>2</v>
      </c>
      <c r="T446" s="315"/>
      <c r="U446" s="315">
        <v>1</v>
      </c>
      <c r="V446" s="315">
        <v>0</v>
      </c>
      <c r="W446" s="315">
        <v>2</v>
      </c>
      <c r="X446" s="315">
        <v>0</v>
      </c>
      <c r="Y446" s="315">
        <v>0</v>
      </c>
      <c r="Z446" s="315" t="s">
        <v>399</v>
      </c>
      <c r="AA446" s="336">
        <v>10</v>
      </c>
      <c r="AB446" s="336">
        <v>4</v>
      </c>
      <c r="AC446" s="337">
        <v>0</v>
      </c>
      <c r="AD446" s="337" t="s">
        <v>2789</v>
      </c>
      <c r="AE446" s="336">
        <v>10</v>
      </c>
      <c r="AF446" s="336" t="s">
        <v>283</v>
      </c>
      <c r="AG446" s="339" t="s">
        <v>283</v>
      </c>
      <c r="AH446" s="339">
        <v>0</v>
      </c>
      <c r="AI446" s="336">
        <v>0</v>
      </c>
      <c r="AJ446" s="336"/>
      <c r="AK446" s="848">
        <v>0.6</v>
      </c>
      <c r="AL446" s="842" t="s">
        <v>376</v>
      </c>
      <c r="AM446" s="836">
        <v>0</v>
      </c>
      <c r="AN446" s="837">
        <v>3</v>
      </c>
      <c r="AO446" s="837">
        <v>0</v>
      </c>
      <c r="AP446" s="843">
        <v>0</v>
      </c>
      <c r="AQ446" s="839">
        <v>0</v>
      </c>
      <c r="AR446" s="839"/>
      <c r="AS446" s="839"/>
      <c r="AT446" s="839">
        <v>1</v>
      </c>
      <c r="AU446" s="839"/>
      <c r="AV446" s="849"/>
      <c r="AW446" s="134">
        <v>0</v>
      </c>
      <c r="AX446" s="136">
        <v>0</v>
      </c>
      <c r="AY446" s="137" t="s">
        <v>2577</v>
      </c>
      <c r="AZ446" s="136">
        <v>1</v>
      </c>
      <c r="BA446" s="136">
        <v>1</v>
      </c>
      <c r="BB446" s="136">
        <v>1</v>
      </c>
      <c r="BC446" s="214">
        <v>228</v>
      </c>
      <c r="BD446" s="136">
        <v>0</v>
      </c>
      <c r="BE446" s="214">
        <v>0</v>
      </c>
      <c r="BF446" s="136">
        <v>1</v>
      </c>
      <c r="BG446" s="214">
        <v>228</v>
      </c>
      <c r="BH446" s="214">
        <v>0.45600000000000002</v>
      </c>
      <c r="BI446" s="134">
        <v>0</v>
      </c>
      <c r="BJ446" s="214">
        <v>0</v>
      </c>
      <c r="BK446" s="137">
        <v>0.54400000000000004</v>
      </c>
      <c r="BL446" s="137">
        <v>1</v>
      </c>
      <c r="BM446" s="137">
        <v>14</v>
      </c>
      <c r="BN446" s="134">
        <v>0.8771929824561403</v>
      </c>
      <c r="BO446" s="351">
        <v>200</v>
      </c>
      <c r="BP446" s="134">
        <v>0</v>
      </c>
      <c r="BQ446" s="214">
        <v>0</v>
      </c>
      <c r="BR446" s="137">
        <v>11</v>
      </c>
      <c r="BS446" s="138">
        <v>0.2857142857142857</v>
      </c>
      <c r="BT446" s="351">
        <v>0</v>
      </c>
      <c r="BU446" s="214">
        <v>0</v>
      </c>
      <c r="BV446" s="214">
        <v>0</v>
      </c>
      <c r="BW446" s="214">
        <v>0</v>
      </c>
      <c r="BX446" s="214">
        <v>0</v>
      </c>
      <c r="BY446" s="214">
        <v>0</v>
      </c>
      <c r="BZ446" s="134">
        <v>0</v>
      </c>
      <c r="CA446" s="138">
        <v>1</v>
      </c>
      <c r="CB446" s="136">
        <v>0</v>
      </c>
      <c r="CC446" s="136">
        <v>0</v>
      </c>
      <c r="CD446" s="136">
        <v>0</v>
      </c>
      <c r="CE446" s="137">
        <v>0</v>
      </c>
      <c r="CF446" s="137">
        <v>0</v>
      </c>
      <c r="CG446" s="137">
        <v>0</v>
      </c>
      <c r="CH446" s="214">
        <v>22.2</v>
      </c>
      <c r="CI446" s="139" t="s">
        <v>48</v>
      </c>
      <c r="CJ446" s="139" t="s">
        <v>287</v>
      </c>
      <c r="CK446" s="139" t="s">
        <v>50</v>
      </c>
      <c r="CL446" s="139" t="s">
        <v>50</v>
      </c>
      <c r="CM446" s="139" t="s">
        <v>50</v>
      </c>
      <c r="CN446" s="139" t="s">
        <v>51</v>
      </c>
      <c r="CO446" s="139">
        <v>25.647649999999999</v>
      </c>
      <c r="CP446" s="139">
        <v>96.346469999999997</v>
      </c>
      <c r="CQ446" s="139" t="s">
        <v>2054</v>
      </c>
      <c r="CR446" s="449" t="s">
        <v>40</v>
      </c>
      <c r="CS446" s="449"/>
      <c r="CT446" s="24"/>
      <c r="CU446" s="24"/>
      <c r="CV446" s="24"/>
    </row>
    <row r="447" spans="1:100" ht="15.75" customHeight="1" x14ac:dyDescent="0.25">
      <c r="A447" s="293" t="s">
        <v>2691</v>
      </c>
      <c r="B447" s="132" t="s">
        <v>389</v>
      </c>
      <c r="C447" s="132" t="s">
        <v>44</v>
      </c>
      <c r="D447" s="132" t="s">
        <v>294</v>
      </c>
      <c r="E447" s="132" t="s">
        <v>400</v>
      </c>
      <c r="F447" s="132">
        <v>5</v>
      </c>
      <c r="G447" s="214">
        <v>26</v>
      </c>
      <c r="H447" s="132"/>
      <c r="I447" s="132" t="s">
        <v>391</v>
      </c>
      <c r="J447" s="133">
        <v>42947</v>
      </c>
      <c r="K447" s="132">
        <v>0</v>
      </c>
      <c r="L447" s="132" t="s">
        <v>48</v>
      </c>
      <c r="M447" s="134">
        <v>0.25</v>
      </c>
      <c r="N447" s="134">
        <v>1</v>
      </c>
      <c r="O447" s="320">
        <v>0</v>
      </c>
      <c r="P447" s="326">
        <v>0</v>
      </c>
      <c r="Q447" s="326">
        <v>0</v>
      </c>
      <c r="R447" s="315">
        <v>0</v>
      </c>
      <c r="S447" s="315">
        <v>1</v>
      </c>
      <c r="T447" s="315"/>
      <c r="U447" s="315">
        <v>1</v>
      </c>
      <c r="V447" s="315">
        <v>0</v>
      </c>
      <c r="W447" s="315">
        <v>0</v>
      </c>
      <c r="X447" s="315">
        <v>0</v>
      </c>
      <c r="Y447" s="315">
        <v>0</v>
      </c>
      <c r="Z447" s="315" t="s">
        <v>401</v>
      </c>
      <c r="AA447" s="336">
        <v>2</v>
      </c>
      <c r="AB447" s="336">
        <v>0</v>
      </c>
      <c r="AC447" s="337">
        <v>0</v>
      </c>
      <c r="AD447" s="337" t="s">
        <v>2789</v>
      </c>
      <c r="AE447" s="336">
        <v>2</v>
      </c>
      <c r="AF447" s="336" t="s">
        <v>283</v>
      </c>
      <c r="AG447" s="339" t="s">
        <v>1358</v>
      </c>
      <c r="AH447" s="339">
        <v>0</v>
      </c>
      <c r="AI447" s="336">
        <v>0</v>
      </c>
      <c r="AJ447" s="336"/>
      <c r="AK447" s="848">
        <v>0.5</v>
      </c>
      <c r="AL447" s="842" t="s">
        <v>376</v>
      </c>
      <c r="AM447" s="836">
        <v>0</v>
      </c>
      <c r="AN447" s="837">
        <v>1</v>
      </c>
      <c r="AO447" s="837">
        <v>0</v>
      </c>
      <c r="AP447" s="843">
        <v>0</v>
      </c>
      <c r="AQ447" s="839">
        <v>0</v>
      </c>
      <c r="AR447" s="839"/>
      <c r="AS447" s="839"/>
      <c r="AT447" s="839">
        <v>1</v>
      </c>
      <c r="AU447" s="839"/>
      <c r="AV447" s="849"/>
      <c r="AW447" s="134">
        <v>0</v>
      </c>
      <c r="AX447" s="136" t="s">
        <v>3208</v>
      </c>
      <c r="AY447" s="137" t="s">
        <v>2577</v>
      </c>
      <c r="AZ447" s="136">
        <v>0</v>
      </c>
      <c r="BA447" s="136">
        <v>0</v>
      </c>
      <c r="BB447" s="136">
        <v>0</v>
      </c>
      <c r="BC447" s="214">
        <v>0</v>
      </c>
      <c r="BD447" s="136">
        <v>0</v>
      </c>
      <c r="BE447" s="214">
        <v>0</v>
      </c>
      <c r="BF447" s="136">
        <v>0</v>
      </c>
      <c r="BG447" s="214">
        <v>0</v>
      </c>
      <c r="BH447" s="214">
        <v>0</v>
      </c>
      <c r="BI447" s="134">
        <v>1</v>
      </c>
      <c r="BJ447" s="214">
        <v>26</v>
      </c>
      <c r="BK447" s="137">
        <v>1</v>
      </c>
      <c r="BL447" s="137">
        <v>1</v>
      </c>
      <c r="BM447" s="137">
        <v>2</v>
      </c>
      <c r="BN447" s="134">
        <v>1</v>
      </c>
      <c r="BO447" s="351">
        <v>26</v>
      </c>
      <c r="BP447" s="134">
        <v>0</v>
      </c>
      <c r="BQ447" s="214">
        <v>0</v>
      </c>
      <c r="BR447" s="137">
        <v>1</v>
      </c>
      <c r="BS447" s="138">
        <v>0</v>
      </c>
      <c r="BT447" s="351">
        <v>0</v>
      </c>
      <c r="BU447" s="214">
        <v>0</v>
      </c>
      <c r="BV447" s="214">
        <v>0</v>
      </c>
      <c r="BW447" s="214">
        <v>0</v>
      </c>
      <c r="BX447" s="214">
        <v>0</v>
      </c>
      <c r="BY447" s="214">
        <v>0</v>
      </c>
      <c r="BZ447" s="134">
        <v>0</v>
      </c>
      <c r="CA447" s="138">
        <v>1</v>
      </c>
      <c r="CB447" s="136">
        <v>0</v>
      </c>
      <c r="CC447" s="136">
        <v>0</v>
      </c>
      <c r="CD447" s="136">
        <v>0</v>
      </c>
      <c r="CE447" s="137">
        <v>0</v>
      </c>
      <c r="CF447" s="137">
        <v>0</v>
      </c>
      <c r="CG447" s="137">
        <v>0</v>
      </c>
      <c r="CH447" s="214">
        <v>2.5</v>
      </c>
      <c r="CI447" s="139" t="s">
        <v>48</v>
      </c>
      <c r="CJ447" s="139" t="s">
        <v>2959</v>
      </c>
      <c r="CK447" s="139" t="s">
        <v>50</v>
      </c>
      <c r="CL447" s="139" t="s">
        <v>50</v>
      </c>
      <c r="CM447" s="139" t="s">
        <v>946</v>
      </c>
      <c r="CN447" s="139" t="s">
        <v>51</v>
      </c>
      <c r="CO447" s="139">
        <v>25.582065</v>
      </c>
      <c r="CP447" s="139">
        <v>96.283377000000002</v>
      </c>
      <c r="CQ447" s="139" t="s">
        <v>2041</v>
      </c>
      <c r="CR447" s="449" t="s">
        <v>40</v>
      </c>
      <c r="CS447" s="449"/>
      <c r="CT447" s="24"/>
      <c r="CU447" s="24"/>
      <c r="CV447" s="24"/>
    </row>
    <row r="448" spans="1:100" ht="15.75" customHeight="1" x14ac:dyDescent="0.25">
      <c r="A448" s="293" t="s">
        <v>2691</v>
      </c>
      <c r="B448" s="132" t="s">
        <v>389</v>
      </c>
      <c r="C448" s="132" t="s">
        <v>44</v>
      </c>
      <c r="D448" s="132" t="s">
        <v>294</v>
      </c>
      <c r="E448" s="132" t="s">
        <v>402</v>
      </c>
      <c r="F448" s="132">
        <v>70</v>
      </c>
      <c r="G448" s="214">
        <v>365</v>
      </c>
      <c r="H448" s="201"/>
      <c r="I448" s="201" t="s">
        <v>391</v>
      </c>
      <c r="J448" s="133">
        <v>42947</v>
      </c>
      <c r="K448" s="132">
        <v>0</v>
      </c>
      <c r="L448" s="132" t="s">
        <v>48</v>
      </c>
      <c r="M448" s="134">
        <v>0.56999999999999995</v>
      </c>
      <c r="N448" s="134">
        <v>0</v>
      </c>
      <c r="O448" s="320">
        <v>1</v>
      </c>
      <c r="P448" s="326">
        <v>1</v>
      </c>
      <c r="Q448" s="326">
        <v>0</v>
      </c>
      <c r="R448" s="315">
        <v>0</v>
      </c>
      <c r="S448" s="315">
        <v>2</v>
      </c>
      <c r="T448" s="315"/>
      <c r="U448" s="315">
        <v>2</v>
      </c>
      <c r="V448" s="315">
        <v>1</v>
      </c>
      <c r="W448" s="315">
        <v>1</v>
      </c>
      <c r="X448" s="315">
        <v>0</v>
      </c>
      <c r="Y448" s="315">
        <v>0</v>
      </c>
      <c r="Z448" s="315"/>
      <c r="AA448" s="336">
        <v>22</v>
      </c>
      <c r="AB448" s="336">
        <v>18</v>
      </c>
      <c r="AC448" s="337">
        <v>4</v>
      </c>
      <c r="AD448" s="337" t="s">
        <v>2787</v>
      </c>
      <c r="AE448" s="336">
        <v>22</v>
      </c>
      <c r="AF448" s="336" t="s">
        <v>283</v>
      </c>
      <c r="AG448" s="339" t="s">
        <v>283</v>
      </c>
      <c r="AH448" s="339">
        <v>0</v>
      </c>
      <c r="AI448" s="336">
        <v>0</v>
      </c>
      <c r="AJ448" s="336"/>
      <c r="AK448" s="848">
        <v>0.2</v>
      </c>
      <c r="AL448" s="842" t="s">
        <v>376</v>
      </c>
      <c r="AM448" s="836">
        <v>0</v>
      </c>
      <c r="AN448" s="837">
        <v>3</v>
      </c>
      <c r="AO448" s="837">
        <v>0</v>
      </c>
      <c r="AP448" s="838">
        <v>0</v>
      </c>
      <c r="AQ448" s="839">
        <v>0</v>
      </c>
      <c r="AR448" s="839"/>
      <c r="AS448" s="839"/>
      <c r="AT448" s="839">
        <v>1</v>
      </c>
      <c r="AU448" s="839"/>
      <c r="AV448" s="849"/>
      <c r="AW448" s="134">
        <v>0.5</v>
      </c>
      <c r="AX448" s="136">
        <v>0</v>
      </c>
      <c r="AY448" s="137" t="s">
        <v>2577</v>
      </c>
      <c r="AZ448" s="136">
        <v>1</v>
      </c>
      <c r="BA448" s="136">
        <v>1</v>
      </c>
      <c r="BB448" s="136">
        <v>1</v>
      </c>
      <c r="BC448" s="214">
        <v>365</v>
      </c>
      <c r="BD448" s="136">
        <v>0</v>
      </c>
      <c r="BE448" s="214">
        <v>0</v>
      </c>
      <c r="BF448" s="136">
        <v>1</v>
      </c>
      <c r="BG448" s="214">
        <v>365</v>
      </c>
      <c r="BH448" s="214">
        <v>0.73</v>
      </c>
      <c r="BI448" s="134">
        <v>0</v>
      </c>
      <c r="BJ448" s="214">
        <v>0</v>
      </c>
      <c r="BK448" s="137">
        <v>0.27</v>
      </c>
      <c r="BL448" s="137">
        <v>1</v>
      </c>
      <c r="BM448" s="137">
        <v>40</v>
      </c>
      <c r="BN448" s="134">
        <v>1</v>
      </c>
      <c r="BO448" s="351">
        <v>365</v>
      </c>
      <c r="BP448" s="134">
        <v>0</v>
      </c>
      <c r="BQ448" s="214">
        <v>0</v>
      </c>
      <c r="BR448" s="137">
        <v>18</v>
      </c>
      <c r="BS448" s="138">
        <v>0.45</v>
      </c>
      <c r="BT448" s="351">
        <v>80</v>
      </c>
      <c r="BU448" s="214">
        <v>0</v>
      </c>
      <c r="BV448" s="214">
        <v>0</v>
      </c>
      <c r="BW448" s="214">
        <v>0</v>
      </c>
      <c r="BX448" s="214">
        <v>0</v>
      </c>
      <c r="BY448" s="214">
        <v>0</v>
      </c>
      <c r="BZ448" s="134">
        <v>0</v>
      </c>
      <c r="CA448" s="138">
        <v>1</v>
      </c>
      <c r="CB448" s="136">
        <v>0</v>
      </c>
      <c r="CC448" s="136">
        <v>0</v>
      </c>
      <c r="CD448" s="136">
        <v>0</v>
      </c>
      <c r="CE448" s="137">
        <v>0</v>
      </c>
      <c r="CF448" s="137">
        <v>0</v>
      </c>
      <c r="CG448" s="137">
        <v>0</v>
      </c>
      <c r="CH448" s="214">
        <v>14</v>
      </c>
      <c r="CI448" s="139" t="s">
        <v>48</v>
      </c>
      <c r="CJ448" s="139" t="s">
        <v>389</v>
      </c>
      <c r="CK448" s="139" t="s">
        <v>50</v>
      </c>
      <c r="CL448" s="139" t="s">
        <v>50</v>
      </c>
      <c r="CM448" s="139" t="s">
        <v>50</v>
      </c>
      <c r="CN448" s="139" t="s">
        <v>51</v>
      </c>
      <c r="CO448" s="139">
        <v>25.637309999999999</v>
      </c>
      <c r="CP448" s="139">
        <v>96.35257</v>
      </c>
      <c r="CQ448" s="139" t="s">
        <v>2052</v>
      </c>
      <c r="CR448" s="449" t="s">
        <v>40</v>
      </c>
      <c r="CS448" s="449"/>
      <c r="CT448" s="24"/>
      <c r="CU448" s="24"/>
      <c r="CV448" s="24"/>
    </row>
    <row r="449" spans="1:100" ht="15.75" customHeight="1" x14ac:dyDescent="0.25">
      <c r="A449" s="293" t="s">
        <v>2691</v>
      </c>
      <c r="B449" s="132" t="s">
        <v>287</v>
      </c>
      <c r="C449" s="132" t="s">
        <v>44</v>
      </c>
      <c r="D449" s="132" t="s">
        <v>294</v>
      </c>
      <c r="E449" s="132" t="s">
        <v>295</v>
      </c>
      <c r="F449" s="132">
        <v>13</v>
      </c>
      <c r="G449" s="214">
        <v>46</v>
      </c>
      <c r="H449" s="132"/>
      <c r="I449" s="132" t="s">
        <v>296</v>
      </c>
      <c r="J449" s="133">
        <v>43465</v>
      </c>
      <c r="K449" s="132">
        <v>0</v>
      </c>
      <c r="L449" s="132" t="s">
        <v>48</v>
      </c>
      <c r="M449" s="134">
        <v>0.6</v>
      </c>
      <c r="N449" s="134">
        <v>0.5</v>
      </c>
      <c r="O449" s="320">
        <v>0</v>
      </c>
      <c r="P449" s="326">
        <v>3</v>
      </c>
      <c r="Q449" s="326">
        <v>2000</v>
      </c>
      <c r="R449" s="315">
        <v>0</v>
      </c>
      <c r="S449" s="315">
        <v>0</v>
      </c>
      <c r="T449" s="315"/>
      <c r="U449" s="315">
        <v>0</v>
      </c>
      <c r="V449" s="315">
        <v>0</v>
      </c>
      <c r="W449" s="315">
        <v>0</v>
      </c>
      <c r="X449" s="315">
        <v>0</v>
      </c>
      <c r="Y449" s="315">
        <v>0</v>
      </c>
      <c r="Z449" s="315"/>
      <c r="AA449" s="336">
        <v>9</v>
      </c>
      <c r="AB449" s="336">
        <v>0</v>
      </c>
      <c r="AC449" s="337">
        <v>0</v>
      </c>
      <c r="AD449" s="337"/>
      <c r="AE449" s="336">
        <v>0</v>
      </c>
      <c r="AF449" s="336" t="s">
        <v>283</v>
      </c>
      <c r="AG449" s="339" t="s">
        <v>1358</v>
      </c>
      <c r="AH449" s="339"/>
      <c r="AI449" s="336"/>
      <c r="AJ449" s="336"/>
      <c r="AK449" s="848">
        <v>1</v>
      </c>
      <c r="AL449" s="842" t="s">
        <v>376</v>
      </c>
      <c r="AM449" s="836">
        <v>0</v>
      </c>
      <c r="AN449" s="837">
        <v>2</v>
      </c>
      <c r="AO449" s="837">
        <v>1</v>
      </c>
      <c r="AP449" s="843">
        <v>0</v>
      </c>
      <c r="AQ449" s="839">
        <v>0</v>
      </c>
      <c r="AR449" s="839"/>
      <c r="AS449" s="839"/>
      <c r="AT449" s="839"/>
      <c r="AU449" s="839"/>
      <c r="AV449" s="849"/>
      <c r="AW449" s="134" t="s">
        <v>3208</v>
      </c>
      <c r="AX449" s="136" t="s">
        <v>3208</v>
      </c>
      <c r="AY449" s="137" t="s">
        <v>2576</v>
      </c>
      <c r="AZ449" s="136">
        <v>1</v>
      </c>
      <c r="BA449" s="136">
        <v>1</v>
      </c>
      <c r="BB449" s="136">
        <v>1</v>
      </c>
      <c r="BC449" s="214">
        <v>46</v>
      </c>
      <c r="BD449" s="136">
        <v>0</v>
      </c>
      <c r="BE449" s="214">
        <v>0</v>
      </c>
      <c r="BF449" s="136">
        <v>1</v>
      </c>
      <c r="BG449" s="214">
        <v>46</v>
      </c>
      <c r="BH449" s="214">
        <v>9.1999999999999998E-2</v>
      </c>
      <c r="BI449" s="134">
        <v>0</v>
      </c>
      <c r="BJ449" s="214">
        <v>0</v>
      </c>
      <c r="BK449" s="137">
        <v>0.90800000000000003</v>
      </c>
      <c r="BL449" s="137">
        <v>1</v>
      </c>
      <c r="BM449" s="137">
        <v>9</v>
      </c>
      <c r="BN449" s="134">
        <v>1</v>
      </c>
      <c r="BO449" s="351">
        <v>46</v>
      </c>
      <c r="BP449" s="134">
        <v>0</v>
      </c>
      <c r="BQ449" s="214">
        <v>0</v>
      </c>
      <c r="BR449" s="137">
        <v>2</v>
      </c>
      <c r="BS449" s="138">
        <v>0</v>
      </c>
      <c r="BT449" s="351">
        <v>0</v>
      </c>
      <c r="BU449" s="214">
        <v>46</v>
      </c>
      <c r="BV449" s="214">
        <v>0</v>
      </c>
      <c r="BW449" s="214">
        <v>1</v>
      </c>
      <c r="BX449" s="214">
        <v>0</v>
      </c>
      <c r="BY449" s="214">
        <v>0</v>
      </c>
      <c r="BZ449" s="134">
        <v>0</v>
      </c>
      <c r="CA449" s="138">
        <v>1</v>
      </c>
      <c r="CB449" s="136">
        <v>1</v>
      </c>
      <c r="CC449" s="136">
        <v>0</v>
      </c>
      <c r="CD449" s="136">
        <v>0</v>
      </c>
      <c r="CE449" s="137">
        <v>0</v>
      </c>
      <c r="CF449" s="137">
        <v>0</v>
      </c>
      <c r="CG449" s="137">
        <v>0</v>
      </c>
      <c r="CH449" s="214">
        <v>13</v>
      </c>
      <c r="CI449" s="139" t="s">
        <v>48</v>
      </c>
      <c r="CJ449" s="139" t="s">
        <v>287</v>
      </c>
      <c r="CK449" s="139" t="s">
        <v>50</v>
      </c>
      <c r="CL449" s="139" t="s">
        <v>50</v>
      </c>
      <c r="CM449" s="139" t="s">
        <v>50</v>
      </c>
      <c r="CN449" s="139" t="s">
        <v>51</v>
      </c>
      <c r="CO449" s="139">
        <v>25.51352</v>
      </c>
      <c r="CP449" s="139">
        <v>96.705960000000005</v>
      </c>
      <c r="CQ449" s="139" t="s">
        <v>2036</v>
      </c>
      <c r="CR449" s="449" t="s">
        <v>40</v>
      </c>
      <c r="CS449" s="449"/>
      <c r="CT449" s="24"/>
      <c r="CU449" s="24"/>
      <c r="CV449" s="24"/>
    </row>
    <row r="450" spans="1:100" ht="15.75" customHeight="1" x14ac:dyDescent="0.25">
      <c r="A450" s="293" t="s">
        <v>2691</v>
      </c>
      <c r="B450" s="132" t="s">
        <v>389</v>
      </c>
      <c r="C450" s="132" t="s">
        <v>44</v>
      </c>
      <c r="D450" s="132" t="s">
        <v>294</v>
      </c>
      <c r="E450" s="132" t="s">
        <v>403</v>
      </c>
      <c r="F450" s="132">
        <v>4</v>
      </c>
      <c r="G450" s="214">
        <v>27</v>
      </c>
      <c r="H450" s="132"/>
      <c r="I450" s="132" t="s">
        <v>391</v>
      </c>
      <c r="J450" s="133">
        <v>42947</v>
      </c>
      <c r="K450" s="132">
        <v>0</v>
      </c>
      <c r="L450" s="132" t="s">
        <v>48</v>
      </c>
      <c r="M450" s="134">
        <v>1</v>
      </c>
      <c r="N450" s="134">
        <v>0</v>
      </c>
      <c r="O450" s="320">
        <v>1</v>
      </c>
      <c r="P450" s="326">
        <v>0</v>
      </c>
      <c r="Q450" s="326">
        <v>1000</v>
      </c>
      <c r="R450" s="315">
        <v>0</v>
      </c>
      <c r="S450" s="315">
        <v>1</v>
      </c>
      <c r="T450" s="315"/>
      <c r="U450" s="315">
        <v>0</v>
      </c>
      <c r="V450" s="315">
        <v>0</v>
      </c>
      <c r="W450" s="315">
        <v>0</v>
      </c>
      <c r="X450" s="315">
        <v>0</v>
      </c>
      <c r="Y450" s="315">
        <v>0</v>
      </c>
      <c r="Z450" s="315"/>
      <c r="AA450" s="336">
        <v>0</v>
      </c>
      <c r="AB450" s="336">
        <v>0</v>
      </c>
      <c r="AC450" s="337">
        <v>0</v>
      </c>
      <c r="AD450" s="337"/>
      <c r="AE450" s="336">
        <v>0</v>
      </c>
      <c r="AF450" s="336" t="s">
        <v>283</v>
      </c>
      <c r="AG450" s="339" t="s">
        <v>1358</v>
      </c>
      <c r="AH450" s="339">
        <v>0</v>
      </c>
      <c r="AI450" s="336">
        <v>0</v>
      </c>
      <c r="AJ450" s="336"/>
      <c r="AK450" s="848">
        <v>0.6</v>
      </c>
      <c r="AL450" s="842" t="s">
        <v>376</v>
      </c>
      <c r="AM450" s="836">
        <v>0</v>
      </c>
      <c r="AN450" s="837">
        <v>0</v>
      </c>
      <c r="AO450" s="837">
        <v>0</v>
      </c>
      <c r="AP450" s="843">
        <v>0</v>
      </c>
      <c r="AQ450" s="839">
        <v>0</v>
      </c>
      <c r="AR450" s="839"/>
      <c r="AS450" s="839"/>
      <c r="AT450" s="839"/>
      <c r="AU450" s="839"/>
      <c r="AV450" s="849"/>
      <c r="AW450" s="134" t="s">
        <v>3208</v>
      </c>
      <c r="AX450" s="136" t="s">
        <v>3208</v>
      </c>
      <c r="AY450" s="137" t="s">
        <v>2576</v>
      </c>
      <c r="AZ450" s="136">
        <v>1</v>
      </c>
      <c r="BA450" s="136">
        <v>1</v>
      </c>
      <c r="BB450" s="136">
        <v>1</v>
      </c>
      <c r="BC450" s="214">
        <v>27</v>
      </c>
      <c r="BD450" s="136">
        <v>0</v>
      </c>
      <c r="BE450" s="214">
        <v>0</v>
      </c>
      <c r="BF450" s="136">
        <v>1</v>
      </c>
      <c r="BG450" s="214">
        <v>27</v>
      </c>
      <c r="BH450" s="214">
        <v>5.3999999999999999E-2</v>
      </c>
      <c r="BI450" s="134">
        <v>0</v>
      </c>
      <c r="BJ450" s="214">
        <v>0</v>
      </c>
      <c r="BK450" s="137">
        <v>0.94599999999999995</v>
      </c>
      <c r="BL450" s="137">
        <v>1</v>
      </c>
      <c r="BM450" s="137">
        <v>0</v>
      </c>
      <c r="BN450" s="134">
        <v>0</v>
      </c>
      <c r="BO450" s="351">
        <v>0</v>
      </c>
      <c r="BP450" s="134">
        <v>0.7407407407407407</v>
      </c>
      <c r="BQ450" s="214">
        <v>1</v>
      </c>
      <c r="BR450" s="137">
        <v>1</v>
      </c>
      <c r="BS450" s="138">
        <v>0</v>
      </c>
      <c r="BT450" s="351">
        <v>0</v>
      </c>
      <c r="BU450" s="214">
        <v>0</v>
      </c>
      <c r="BV450" s="214">
        <v>0</v>
      </c>
      <c r="BW450" s="214">
        <v>0</v>
      </c>
      <c r="BX450" s="214">
        <v>0</v>
      </c>
      <c r="BY450" s="214">
        <v>0</v>
      </c>
      <c r="BZ450" s="134">
        <v>0</v>
      </c>
      <c r="CA450" s="138">
        <v>1</v>
      </c>
      <c r="CB450" s="136">
        <v>0</v>
      </c>
      <c r="CC450" s="136">
        <v>0</v>
      </c>
      <c r="CD450" s="136">
        <v>0</v>
      </c>
      <c r="CE450" s="137">
        <v>0</v>
      </c>
      <c r="CF450" s="137">
        <v>0</v>
      </c>
      <c r="CG450" s="137">
        <v>0</v>
      </c>
      <c r="CH450" s="214">
        <v>2.4</v>
      </c>
      <c r="CI450" s="139" t="s">
        <v>48</v>
      </c>
      <c r="CJ450" s="139" t="s">
        <v>2959</v>
      </c>
      <c r="CK450" s="139" t="s">
        <v>50</v>
      </c>
      <c r="CL450" s="139" t="s">
        <v>50</v>
      </c>
      <c r="CM450" s="139" t="s">
        <v>946</v>
      </c>
      <c r="CN450" s="139" t="s">
        <v>51</v>
      </c>
      <c r="CO450" s="139">
        <v>25.615960999999999</v>
      </c>
      <c r="CP450" s="139">
        <v>96.316564</v>
      </c>
      <c r="CQ450" s="139" t="s">
        <v>2047</v>
      </c>
      <c r="CR450" s="449" t="s">
        <v>40</v>
      </c>
      <c r="CS450" s="449"/>
      <c r="CT450" s="24"/>
      <c r="CU450" s="24"/>
      <c r="CV450" s="24"/>
    </row>
    <row r="451" spans="1:100" ht="15.75" customHeight="1" x14ac:dyDescent="0.25">
      <c r="A451" s="293" t="s">
        <v>2691</v>
      </c>
      <c r="B451" s="132" t="s">
        <v>389</v>
      </c>
      <c r="C451" s="132" t="s">
        <v>44</v>
      </c>
      <c r="D451" s="132" t="s">
        <v>294</v>
      </c>
      <c r="E451" s="132" t="s">
        <v>404</v>
      </c>
      <c r="F451" s="132">
        <v>103</v>
      </c>
      <c r="G451" s="214">
        <v>504</v>
      </c>
      <c r="H451" s="132"/>
      <c r="I451" s="132" t="s">
        <v>391</v>
      </c>
      <c r="J451" s="133">
        <v>42947</v>
      </c>
      <c r="K451" s="132">
        <v>0</v>
      </c>
      <c r="L451" s="132" t="s">
        <v>48</v>
      </c>
      <c r="M451" s="134">
        <v>0.56999999999999995</v>
      </c>
      <c r="N451" s="134">
        <v>0</v>
      </c>
      <c r="O451" s="320">
        <v>0</v>
      </c>
      <c r="P451" s="326">
        <v>1</v>
      </c>
      <c r="Q451" s="326">
        <v>4000</v>
      </c>
      <c r="R451" s="315">
        <v>0</v>
      </c>
      <c r="S451" s="315">
        <v>1</v>
      </c>
      <c r="T451" s="315"/>
      <c r="U451" s="315">
        <v>2</v>
      </c>
      <c r="V451" s="315">
        <v>0</v>
      </c>
      <c r="W451" s="315">
        <v>1</v>
      </c>
      <c r="X451" s="315">
        <v>0</v>
      </c>
      <c r="Y451" s="315">
        <v>0</v>
      </c>
      <c r="Z451" s="315"/>
      <c r="AA451" s="336">
        <v>30</v>
      </c>
      <c r="AB451" s="336">
        <v>2</v>
      </c>
      <c r="AC451" s="337">
        <v>0</v>
      </c>
      <c r="AD451" s="337" t="s">
        <v>2782</v>
      </c>
      <c r="AE451" s="336">
        <v>30</v>
      </c>
      <c r="AF451" s="336" t="s">
        <v>283</v>
      </c>
      <c r="AG451" s="339" t="s">
        <v>283</v>
      </c>
      <c r="AH451" s="339">
        <v>0</v>
      </c>
      <c r="AI451" s="336">
        <v>0</v>
      </c>
      <c r="AJ451" s="336"/>
      <c r="AK451" s="848">
        <v>0.5</v>
      </c>
      <c r="AL451" s="842" t="s">
        <v>376</v>
      </c>
      <c r="AM451" s="836">
        <v>0</v>
      </c>
      <c r="AN451" s="837">
        <v>4</v>
      </c>
      <c r="AO451" s="837">
        <v>0</v>
      </c>
      <c r="AP451" s="843">
        <v>0</v>
      </c>
      <c r="AQ451" s="839">
        <v>0</v>
      </c>
      <c r="AR451" s="839"/>
      <c r="AS451" s="839"/>
      <c r="AT451" s="839">
        <v>1</v>
      </c>
      <c r="AU451" s="839"/>
      <c r="AV451" s="849"/>
      <c r="AW451" s="134">
        <v>0</v>
      </c>
      <c r="AX451" s="136">
        <v>0</v>
      </c>
      <c r="AY451" s="137" t="s">
        <v>2577</v>
      </c>
      <c r="AZ451" s="136">
        <v>1</v>
      </c>
      <c r="BA451" s="136">
        <v>1</v>
      </c>
      <c r="BB451" s="136">
        <v>1</v>
      </c>
      <c r="BC451" s="214">
        <v>504</v>
      </c>
      <c r="BD451" s="136">
        <v>0</v>
      </c>
      <c r="BE451" s="214">
        <v>0</v>
      </c>
      <c r="BF451" s="136">
        <v>1</v>
      </c>
      <c r="BG451" s="214">
        <v>504</v>
      </c>
      <c r="BH451" s="214">
        <v>1.008</v>
      </c>
      <c r="BI451" s="134">
        <v>0</v>
      </c>
      <c r="BJ451" s="214">
        <v>0</v>
      </c>
      <c r="BK451" s="137">
        <v>0</v>
      </c>
      <c r="BL451" s="137">
        <v>1</v>
      </c>
      <c r="BM451" s="137">
        <v>32</v>
      </c>
      <c r="BN451" s="134">
        <v>1</v>
      </c>
      <c r="BO451" s="351">
        <v>504</v>
      </c>
      <c r="BP451" s="134">
        <v>0</v>
      </c>
      <c r="BQ451" s="214">
        <v>0</v>
      </c>
      <c r="BR451" s="137">
        <v>25</v>
      </c>
      <c r="BS451" s="138">
        <v>6.25E-2</v>
      </c>
      <c r="BT451" s="351">
        <v>0</v>
      </c>
      <c r="BU451" s="214">
        <v>0</v>
      </c>
      <c r="BV451" s="214">
        <v>0</v>
      </c>
      <c r="BW451" s="214">
        <v>0</v>
      </c>
      <c r="BX451" s="214">
        <v>0</v>
      </c>
      <c r="BY451" s="214">
        <v>0</v>
      </c>
      <c r="BZ451" s="134">
        <v>0</v>
      </c>
      <c r="CA451" s="138">
        <v>1</v>
      </c>
      <c r="CB451" s="136">
        <v>0</v>
      </c>
      <c r="CC451" s="136">
        <v>0</v>
      </c>
      <c r="CD451" s="136">
        <v>0</v>
      </c>
      <c r="CE451" s="137">
        <v>0</v>
      </c>
      <c r="CF451" s="137">
        <v>0</v>
      </c>
      <c r="CG451" s="137">
        <v>0</v>
      </c>
      <c r="CH451" s="214">
        <v>51.5</v>
      </c>
      <c r="CI451" s="139" t="s">
        <v>48</v>
      </c>
      <c r="CJ451" s="139" t="s">
        <v>287</v>
      </c>
      <c r="CK451" s="139" t="s">
        <v>50</v>
      </c>
      <c r="CL451" s="139" t="s">
        <v>50</v>
      </c>
      <c r="CM451" s="139" t="s">
        <v>50</v>
      </c>
      <c r="CN451" s="139" t="s">
        <v>51</v>
      </c>
      <c r="CO451" s="139">
        <v>25.611160000000002</v>
      </c>
      <c r="CP451" s="139">
        <v>96.312790000000007</v>
      </c>
      <c r="CQ451" s="139" t="s">
        <v>2044</v>
      </c>
      <c r="CR451" s="449" t="s">
        <v>40</v>
      </c>
      <c r="CS451" s="449"/>
      <c r="CT451" s="24"/>
      <c r="CU451" s="24"/>
      <c r="CV451" s="24"/>
    </row>
    <row r="452" spans="1:100" ht="15.75" customHeight="1" x14ac:dyDescent="0.25">
      <c r="A452" s="293" t="s">
        <v>2691</v>
      </c>
      <c r="B452" s="132" t="s">
        <v>460</v>
      </c>
      <c r="C452" s="132" t="s">
        <v>44</v>
      </c>
      <c r="D452" s="132" t="s">
        <v>294</v>
      </c>
      <c r="E452" s="132" t="s">
        <v>2686</v>
      </c>
      <c r="F452" s="132">
        <v>13</v>
      </c>
      <c r="G452" s="214">
        <v>56</v>
      </c>
      <c r="H452" s="132"/>
      <c r="I452" s="132"/>
      <c r="J452" s="133"/>
      <c r="K452" s="132"/>
      <c r="L452" s="132"/>
      <c r="M452" s="206"/>
      <c r="N452" s="206"/>
      <c r="O452" s="320"/>
      <c r="P452" s="326"/>
      <c r="Q452" s="326"/>
      <c r="R452" s="315"/>
      <c r="S452" s="315"/>
      <c r="T452" s="315"/>
      <c r="U452" s="315"/>
      <c r="V452" s="315"/>
      <c r="W452" s="315"/>
      <c r="X452" s="315"/>
      <c r="Y452" s="315"/>
      <c r="Z452" s="315"/>
      <c r="AA452" s="336"/>
      <c r="AB452" s="336"/>
      <c r="AC452" s="337"/>
      <c r="AD452" s="337"/>
      <c r="AE452" s="336"/>
      <c r="AF452" s="336"/>
      <c r="AG452" s="339"/>
      <c r="AH452" s="339"/>
      <c r="AI452" s="336"/>
      <c r="AJ452" s="336"/>
      <c r="AK452" s="848"/>
      <c r="AL452" s="836"/>
      <c r="AM452" s="836"/>
      <c r="AN452" s="837"/>
      <c r="AO452" s="837"/>
      <c r="AP452" s="839"/>
      <c r="AQ452" s="839"/>
      <c r="AR452" s="839"/>
      <c r="AS452" s="839"/>
      <c r="AT452" s="839"/>
      <c r="AU452" s="839"/>
      <c r="AV452" s="849"/>
      <c r="AW452" s="134" t="s">
        <v>3208</v>
      </c>
      <c r="AX452" s="136" t="s">
        <v>3208</v>
      </c>
      <c r="AY452" s="137" t="s">
        <v>2576</v>
      </c>
      <c r="AZ452" s="136">
        <v>0</v>
      </c>
      <c r="BA452" s="136">
        <v>0</v>
      </c>
      <c r="BB452" s="136">
        <v>0</v>
      </c>
      <c r="BC452" s="214">
        <v>0</v>
      </c>
      <c r="BD452" s="136">
        <v>0</v>
      </c>
      <c r="BE452" s="214">
        <v>0</v>
      </c>
      <c r="BF452" s="136">
        <v>0</v>
      </c>
      <c r="BG452" s="214">
        <v>0</v>
      </c>
      <c r="BH452" s="214">
        <v>0</v>
      </c>
      <c r="BI452" s="134">
        <v>1</v>
      </c>
      <c r="BJ452" s="214">
        <v>56</v>
      </c>
      <c r="BK452" s="137">
        <v>1</v>
      </c>
      <c r="BL452" s="137">
        <v>1</v>
      </c>
      <c r="BM452" s="137">
        <v>0</v>
      </c>
      <c r="BN452" s="134">
        <v>0</v>
      </c>
      <c r="BO452" s="351">
        <v>0</v>
      </c>
      <c r="BP452" s="134">
        <v>1</v>
      </c>
      <c r="BQ452" s="214">
        <v>3</v>
      </c>
      <c r="BR452" s="137">
        <v>3</v>
      </c>
      <c r="BS452" s="138">
        <v>0</v>
      </c>
      <c r="BT452" s="351">
        <v>0</v>
      </c>
      <c r="BU452" s="214">
        <v>0</v>
      </c>
      <c r="BV452" s="214">
        <v>0</v>
      </c>
      <c r="BW452" s="214">
        <v>0</v>
      </c>
      <c r="BX452" s="214">
        <v>0</v>
      </c>
      <c r="BY452" s="214">
        <v>0</v>
      </c>
      <c r="BZ452" s="134">
        <v>0</v>
      </c>
      <c r="CA452" s="138">
        <v>1</v>
      </c>
      <c r="CB452" s="136">
        <v>0</v>
      </c>
      <c r="CC452" s="136">
        <v>0</v>
      </c>
      <c r="CD452" s="136">
        <v>0</v>
      </c>
      <c r="CE452" s="137">
        <v>0</v>
      </c>
      <c r="CF452" s="137">
        <v>0</v>
      </c>
      <c r="CG452" s="137">
        <v>0</v>
      </c>
      <c r="CH452" s="214">
        <v>0</v>
      </c>
      <c r="CI452" s="139">
        <v>0</v>
      </c>
      <c r="CJ452" s="139" t="s">
        <v>2959</v>
      </c>
      <c r="CK452" s="139" t="s">
        <v>2716</v>
      </c>
      <c r="CL452" s="139" t="s">
        <v>50</v>
      </c>
      <c r="CM452" s="139" t="s">
        <v>946</v>
      </c>
      <c r="CN452" s="139" t="s">
        <v>51</v>
      </c>
      <c r="CO452" s="139">
        <v>0</v>
      </c>
      <c r="CP452" s="139">
        <v>0</v>
      </c>
      <c r="CQ452" s="139" t="s">
        <v>2687</v>
      </c>
      <c r="CR452" s="449" t="s">
        <v>3209</v>
      </c>
      <c r="CS452" s="449"/>
      <c r="CT452" s="24"/>
      <c r="CU452" s="24"/>
      <c r="CV452" s="24"/>
    </row>
    <row r="453" spans="1:100" x14ac:dyDescent="0.25">
      <c r="A453" s="293" t="s">
        <v>2691</v>
      </c>
      <c r="B453" s="132" t="s">
        <v>460</v>
      </c>
      <c r="C453" s="132" t="s">
        <v>44</v>
      </c>
      <c r="D453" s="132" t="s">
        <v>294</v>
      </c>
      <c r="E453" s="132" t="s">
        <v>2684</v>
      </c>
      <c r="F453" s="132">
        <v>39</v>
      </c>
      <c r="G453" s="214">
        <v>171</v>
      </c>
      <c r="H453" s="132"/>
      <c r="I453" s="132"/>
      <c r="J453" s="133"/>
      <c r="K453" s="132"/>
      <c r="L453" s="132"/>
      <c r="M453" s="206"/>
      <c r="N453" s="206"/>
      <c r="O453" s="320"/>
      <c r="P453" s="326"/>
      <c r="Q453" s="326"/>
      <c r="R453" s="315"/>
      <c r="S453" s="315"/>
      <c r="T453" s="315"/>
      <c r="U453" s="315"/>
      <c r="V453" s="315"/>
      <c r="W453" s="315"/>
      <c r="X453" s="315"/>
      <c r="Y453" s="315"/>
      <c r="Z453" s="315"/>
      <c r="AA453" s="336"/>
      <c r="AB453" s="336"/>
      <c r="AC453" s="337"/>
      <c r="AD453" s="337"/>
      <c r="AE453" s="336"/>
      <c r="AF453" s="336"/>
      <c r="AG453" s="339"/>
      <c r="AH453" s="339"/>
      <c r="AI453" s="336"/>
      <c r="AJ453" s="336"/>
      <c r="AK453" s="848"/>
      <c r="AL453" s="836"/>
      <c r="AM453" s="836"/>
      <c r="AN453" s="837"/>
      <c r="AO453" s="837"/>
      <c r="AP453" s="839"/>
      <c r="AQ453" s="839"/>
      <c r="AR453" s="839"/>
      <c r="AS453" s="839"/>
      <c r="AT453" s="839"/>
      <c r="AU453" s="839"/>
      <c r="AV453" s="849"/>
      <c r="AW453" s="134" t="s">
        <v>3208</v>
      </c>
      <c r="AX453" s="136" t="s">
        <v>3208</v>
      </c>
      <c r="AY453" s="137" t="s">
        <v>2576</v>
      </c>
      <c r="AZ453" s="136">
        <v>0</v>
      </c>
      <c r="BA453" s="136">
        <v>0</v>
      </c>
      <c r="BB453" s="136">
        <v>0</v>
      </c>
      <c r="BC453" s="214">
        <v>0</v>
      </c>
      <c r="BD453" s="136">
        <v>0</v>
      </c>
      <c r="BE453" s="214">
        <v>0</v>
      </c>
      <c r="BF453" s="136">
        <v>0</v>
      </c>
      <c r="BG453" s="214">
        <v>0</v>
      </c>
      <c r="BH453" s="214">
        <v>0</v>
      </c>
      <c r="BI453" s="134">
        <v>1</v>
      </c>
      <c r="BJ453" s="214">
        <v>171</v>
      </c>
      <c r="BK453" s="137">
        <v>1</v>
      </c>
      <c r="BL453" s="137">
        <v>1</v>
      </c>
      <c r="BM453" s="137">
        <v>0</v>
      </c>
      <c r="BN453" s="134">
        <v>0</v>
      </c>
      <c r="BO453" s="351">
        <v>0</v>
      </c>
      <c r="BP453" s="134">
        <v>1</v>
      </c>
      <c r="BQ453" s="214">
        <v>9</v>
      </c>
      <c r="BR453" s="137">
        <v>9</v>
      </c>
      <c r="BS453" s="138">
        <v>0</v>
      </c>
      <c r="BT453" s="351">
        <v>0</v>
      </c>
      <c r="BU453" s="214">
        <v>0</v>
      </c>
      <c r="BV453" s="214">
        <v>0</v>
      </c>
      <c r="BW453" s="214">
        <v>0</v>
      </c>
      <c r="BX453" s="214">
        <v>0</v>
      </c>
      <c r="BY453" s="214">
        <v>0</v>
      </c>
      <c r="BZ453" s="134">
        <v>0</v>
      </c>
      <c r="CA453" s="138">
        <v>1</v>
      </c>
      <c r="CB453" s="136">
        <v>0</v>
      </c>
      <c r="CC453" s="136">
        <v>0</v>
      </c>
      <c r="CD453" s="136">
        <v>0</v>
      </c>
      <c r="CE453" s="137">
        <v>0</v>
      </c>
      <c r="CF453" s="137">
        <v>0</v>
      </c>
      <c r="CG453" s="137">
        <v>0</v>
      </c>
      <c r="CH453" s="214">
        <v>0</v>
      </c>
      <c r="CI453" s="139">
        <v>0</v>
      </c>
      <c r="CJ453" s="139" t="s">
        <v>2959</v>
      </c>
      <c r="CK453" s="139" t="s">
        <v>2716</v>
      </c>
      <c r="CL453" s="139" t="s">
        <v>50</v>
      </c>
      <c r="CM453" s="139" t="s">
        <v>946</v>
      </c>
      <c r="CN453" s="139" t="s">
        <v>51</v>
      </c>
      <c r="CO453" s="139">
        <v>0</v>
      </c>
      <c r="CP453" s="139">
        <v>0</v>
      </c>
      <c r="CQ453" s="139" t="s">
        <v>2685</v>
      </c>
      <c r="CR453" s="449" t="s">
        <v>3209</v>
      </c>
      <c r="CS453" s="449"/>
      <c r="CT453" s="24"/>
      <c r="CU453" s="24"/>
      <c r="CV453" s="24"/>
    </row>
    <row r="454" spans="1:100" x14ac:dyDescent="0.25">
      <c r="A454" s="293" t="s">
        <v>2691</v>
      </c>
      <c r="B454" s="132" t="s">
        <v>389</v>
      </c>
      <c r="C454" s="132" t="s">
        <v>44</v>
      </c>
      <c r="D454" s="132" t="s">
        <v>294</v>
      </c>
      <c r="E454" s="206" t="s">
        <v>390</v>
      </c>
      <c r="F454" s="132">
        <v>123</v>
      </c>
      <c r="G454" s="214">
        <v>656</v>
      </c>
      <c r="H454" s="132"/>
      <c r="I454" s="132" t="s">
        <v>391</v>
      </c>
      <c r="J454" s="133">
        <v>42947</v>
      </c>
      <c r="K454" s="132">
        <v>0</v>
      </c>
      <c r="L454" s="132" t="s">
        <v>48</v>
      </c>
      <c r="M454" s="134">
        <v>0.4</v>
      </c>
      <c r="N454" s="134">
        <v>0</v>
      </c>
      <c r="O454" s="320">
        <v>1</v>
      </c>
      <c r="P454" s="326">
        <v>1</v>
      </c>
      <c r="Q454" s="326">
        <v>1500</v>
      </c>
      <c r="R454" s="315"/>
      <c r="S454" s="315">
        <v>2</v>
      </c>
      <c r="T454" s="315"/>
      <c r="U454" s="315">
        <v>2</v>
      </c>
      <c r="V454" s="315">
        <v>0</v>
      </c>
      <c r="W454" s="315">
        <v>2</v>
      </c>
      <c r="X454" s="315">
        <v>0</v>
      </c>
      <c r="Y454" s="315">
        <v>0</v>
      </c>
      <c r="Z454" s="315"/>
      <c r="AA454" s="336">
        <v>28</v>
      </c>
      <c r="AB454" s="336">
        <v>10</v>
      </c>
      <c r="AC454" s="337">
        <v>10</v>
      </c>
      <c r="AD454" s="337" t="s">
        <v>2782</v>
      </c>
      <c r="AE454" s="336">
        <v>28</v>
      </c>
      <c r="AF454" s="336" t="s">
        <v>283</v>
      </c>
      <c r="AG454" s="339" t="s">
        <v>283</v>
      </c>
      <c r="AH454" s="339">
        <v>0</v>
      </c>
      <c r="AI454" s="336">
        <v>0</v>
      </c>
      <c r="AJ454" s="336"/>
      <c r="AK454" s="848">
        <v>0.4</v>
      </c>
      <c r="AL454" s="842" t="s">
        <v>376</v>
      </c>
      <c r="AM454" s="836">
        <v>0</v>
      </c>
      <c r="AN454" s="837">
        <v>4</v>
      </c>
      <c r="AO454" s="837">
        <v>0</v>
      </c>
      <c r="AP454" s="839">
        <v>0</v>
      </c>
      <c r="AQ454" s="839">
        <v>0</v>
      </c>
      <c r="AR454" s="839"/>
      <c r="AS454" s="839"/>
      <c r="AT454" s="839">
        <v>2</v>
      </c>
      <c r="AU454" s="839"/>
      <c r="AV454" s="849"/>
      <c r="AW454" s="134">
        <v>0</v>
      </c>
      <c r="AX454" s="136">
        <v>0</v>
      </c>
      <c r="AY454" s="137" t="s">
        <v>2577</v>
      </c>
      <c r="AZ454" s="136">
        <v>1</v>
      </c>
      <c r="BA454" s="136">
        <v>0.91463414634146345</v>
      </c>
      <c r="BB454" s="136">
        <v>1</v>
      </c>
      <c r="BC454" s="214">
        <v>656</v>
      </c>
      <c r="BD454" s="136">
        <v>0</v>
      </c>
      <c r="BE454" s="214">
        <v>0</v>
      </c>
      <c r="BF454" s="136">
        <v>1</v>
      </c>
      <c r="BG454" s="214">
        <v>656</v>
      </c>
      <c r="BH454" s="214">
        <v>1.3120000000000001</v>
      </c>
      <c r="BI454" s="134">
        <v>0</v>
      </c>
      <c r="BJ454" s="214">
        <v>0</v>
      </c>
      <c r="BK454" s="137">
        <v>0</v>
      </c>
      <c r="BL454" s="137">
        <v>1</v>
      </c>
      <c r="BM454" s="137">
        <v>38</v>
      </c>
      <c r="BN454" s="134">
        <v>0.85365853658536583</v>
      </c>
      <c r="BO454" s="351">
        <v>560</v>
      </c>
      <c r="BP454" s="134">
        <v>0</v>
      </c>
      <c r="BQ454" s="214">
        <v>0</v>
      </c>
      <c r="BR454" s="137">
        <v>33</v>
      </c>
      <c r="BS454" s="138">
        <v>0.26315789473684209</v>
      </c>
      <c r="BT454" s="351">
        <v>200</v>
      </c>
      <c r="BU454" s="214">
        <v>0</v>
      </c>
      <c r="BV454" s="214">
        <v>0</v>
      </c>
      <c r="BW454" s="214">
        <v>0</v>
      </c>
      <c r="BX454" s="214">
        <v>0</v>
      </c>
      <c r="BY454" s="214">
        <v>0</v>
      </c>
      <c r="BZ454" s="134">
        <v>0</v>
      </c>
      <c r="CA454" s="138">
        <v>1</v>
      </c>
      <c r="CB454" s="136">
        <v>0</v>
      </c>
      <c r="CC454" s="136">
        <v>0</v>
      </c>
      <c r="CD454" s="136">
        <v>0</v>
      </c>
      <c r="CE454" s="137">
        <v>0</v>
      </c>
      <c r="CF454" s="137">
        <v>0</v>
      </c>
      <c r="CG454" s="137">
        <v>0</v>
      </c>
      <c r="CH454" s="214">
        <v>49.2</v>
      </c>
      <c r="CI454" s="139" t="s">
        <v>48</v>
      </c>
      <c r="CJ454" s="139" t="s">
        <v>287</v>
      </c>
      <c r="CK454" s="139" t="s">
        <v>50</v>
      </c>
      <c r="CL454" s="139" t="s">
        <v>50</v>
      </c>
      <c r="CM454" s="139" t="s">
        <v>1259</v>
      </c>
      <c r="CN454" s="139" t="s">
        <v>51</v>
      </c>
      <c r="CO454" s="139">
        <v>0</v>
      </c>
      <c r="CP454" s="139">
        <v>0</v>
      </c>
      <c r="CQ454" s="139" t="s">
        <v>2093</v>
      </c>
      <c r="CR454" s="449" t="s">
        <v>40</v>
      </c>
      <c r="CS454" s="449"/>
      <c r="CT454" s="24"/>
      <c r="CU454" s="24"/>
      <c r="CV454" s="24"/>
    </row>
    <row r="455" spans="1:100" x14ac:dyDescent="0.25">
      <c r="A455" s="293" t="s">
        <v>2691</v>
      </c>
      <c r="B455" s="132" t="s">
        <v>389</v>
      </c>
      <c r="C455" s="132" t="s">
        <v>44</v>
      </c>
      <c r="D455" s="132" t="s">
        <v>294</v>
      </c>
      <c r="E455" s="132" t="s">
        <v>405</v>
      </c>
      <c r="F455" s="132">
        <v>19</v>
      </c>
      <c r="G455" s="214">
        <v>102</v>
      </c>
      <c r="H455" s="206"/>
      <c r="I455" s="206" t="s">
        <v>391</v>
      </c>
      <c r="J455" s="133">
        <v>42947</v>
      </c>
      <c r="K455" s="132">
        <v>0</v>
      </c>
      <c r="L455" s="132" t="s">
        <v>48</v>
      </c>
      <c r="M455" s="134">
        <v>0.67</v>
      </c>
      <c r="N455" s="134">
        <v>0</v>
      </c>
      <c r="O455" s="320">
        <v>1</v>
      </c>
      <c r="P455" s="326">
        <v>0</v>
      </c>
      <c r="Q455" s="326">
        <v>0</v>
      </c>
      <c r="R455" s="315">
        <v>0</v>
      </c>
      <c r="S455" s="315">
        <v>1</v>
      </c>
      <c r="T455" s="315"/>
      <c r="U455" s="315">
        <v>2</v>
      </c>
      <c r="V455" s="315">
        <v>0</v>
      </c>
      <c r="W455" s="315">
        <v>1</v>
      </c>
      <c r="X455" s="315">
        <v>0</v>
      </c>
      <c r="Y455" s="315">
        <v>0</v>
      </c>
      <c r="Z455" s="315"/>
      <c r="AA455" s="336">
        <v>8</v>
      </c>
      <c r="AB455" s="336">
        <v>0</v>
      </c>
      <c r="AC455" s="337">
        <v>0</v>
      </c>
      <c r="AD455" s="337" t="s">
        <v>2789</v>
      </c>
      <c r="AE455" s="336">
        <v>8</v>
      </c>
      <c r="AF455" s="336" t="s">
        <v>283</v>
      </c>
      <c r="AG455" s="339" t="s">
        <v>283</v>
      </c>
      <c r="AH455" s="339">
        <v>0</v>
      </c>
      <c r="AI455" s="336">
        <v>0</v>
      </c>
      <c r="AJ455" s="336"/>
      <c r="AK455" s="848">
        <v>0.5</v>
      </c>
      <c r="AL455" s="842" t="s">
        <v>376</v>
      </c>
      <c r="AM455" s="836">
        <v>0</v>
      </c>
      <c r="AN455" s="837">
        <v>4</v>
      </c>
      <c r="AO455" s="837">
        <v>0</v>
      </c>
      <c r="AP455" s="843">
        <v>0</v>
      </c>
      <c r="AQ455" s="839">
        <v>0</v>
      </c>
      <c r="AR455" s="839"/>
      <c r="AS455" s="839"/>
      <c r="AT455" s="839">
        <v>1</v>
      </c>
      <c r="AU455" s="839"/>
      <c r="AV455" s="849"/>
      <c r="AW455" s="134">
        <v>0</v>
      </c>
      <c r="AX455" s="136">
        <v>0</v>
      </c>
      <c r="AY455" s="137" t="s">
        <v>2577</v>
      </c>
      <c r="AZ455" s="136">
        <v>1</v>
      </c>
      <c r="BA455" s="136">
        <v>1</v>
      </c>
      <c r="BB455" s="136">
        <v>1</v>
      </c>
      <c r="BC455" s="214">
        <v>102</v>
      </c>
      <c r="BD455" s="136">
        <v>0</v>
      </c>
      <c r="BE455" s="214">
        <v>0</v>
      </c>
      <c r="BF455" s="136">
        <v>1</v>
      </c>
      <c r="BG455" s="214">
        <v>102</v>
      </c>
      <c r="BH455" s="214">
        <v>0.20399999999999999</v>
      </c>
      <c r="BI455" s="134">
        <v>0</v>
      </c>
      <c r="BJ455" s="214">
        <v>0</v>
      </c>
      <c r="BK455" s="137">
        <v>0.79600000000000004</v>
      </c>
      <c r="BL455" s="137">
        <v>1</v>
      </c>
      <c r="BM455" s="137">
        <v>8</v>
      </c>
      <c r="BN455" s="134">
        <v>1</v>
      </c>
      <c r="BO455" s="351">
        <v>102</v>
      </c>
      <c r="BP455" s="134">
        <v>0</v>
      </c>
      <c r="BQ455" s="214">
        <v>0</v>
      </c>
      <c r="BR455" s="137">
        <v>5</v>
      </c>
      <c r="BS455" s="138">
        <v>0</v>
      </c>
      <c r="BT455" s="351">
        <v>0</v>
      </c>
      <c r="BU455" s="214">
        <v>0</v>
      </c>
      <c r="BV455" s="214">
        <v>0</v>
      </c>
      <c r="BW455" s="214">
        <v>0</v>
      </c>
      <c r="BX455" s="214">
        <v>0</v>
      </c>
      <c r="BY455" s="214">
        <v>0</v>
      </c>
      <c r="BZ455" s="134">
        <v>0</v>
      </c>
      <c r="CA455" s="138">
        <v>1</v>
      </c>
      <c r="CB455" s="136">
        <v>0</v>
      </c>
      <c r="CC455" s="136">
        <v>0</v>
      </c>
      <c r="CD455" s="136">
        <v>0</v>
      </c>
      <c r="CE455" s="137">
        <v>0</v>
      </c>
      <c r="CF455" s="137">
        <v>0</v>
      </c>
      <c r="CG455" s="137">
        <v>0</v>
      </c>
      <c r="CH455" s="214">
        <v>9.5</v>
      </c>
      <c r="CI455" s="139" t="s">
        <v>48</v>
      </c>
      <c r="CJ455" s="139" t="s">
        <v>389</v>
      </c>
      <c r="CK455" s="139" t="s">
        <v>50</v>
      </c>
      <c r="CL455" s="139" t="s">
        <v>50</v>
      </c>
      <c r="CM455" s="139" t="s">
        <v>50</v>
      </c>
      <c r="CN455" s="139" t="s">
        <v>51</v>
      </c>
      <c r="CO455" s="139">
        <v>25.566510000000001</v>
      </c>
      <c r="CP455" s="139">
        <v>96.269199999999998</v>
      </c>
      <c r="CQ455" s="139" t="s">
        <v>2038</v>
      </c>
      <c r="CR455" s="449" t="s">
        <v>40</v>
      </c>
      <c r="CS455" s="449"/>
      <c r="CT455" s="24"/>
      <c r="CU455" s="24"/>
      <c r="CV455" s="24"/>
    </row>
    <row r="456" spans="1:100" x14ac:dyDescent="0.25">
      <c r="A456" s="293" t="s">
        <v>2691</v>
      </c>
      <c r="B456" s="132" t="s">
        <v>389</v>
      </c>
      <c r="C456" s="132" t="s">
        <v>44</v>
      </c>
      <c r="D456" s="132" t="s">
        <v>294</v>
      </c>
      <c r="E456" s="132" t="s">
        <v>406</v>
      </c>
      <c r="F456" s="132">
        <v>12</v>
      </c>
      <c r="G456" s="214">
        <v>62</v>
      </c>
      <c r="H456" s="206"/>
      <c r="I456" s="206" t="s">
        <v>391</v>
      </c>
      <c r="J456" s="133">
        <v>42947</v>
      </c>
      <c r="K456" s="132">
        <v>0</v>
      </c>
      <c r="L456" s="132" t="s">
        <v>48</v>
      </c>
      <c r="M456" s="134">
        <v>0.56999999999999995</v>
      </c>
      <c r="N456" s="134">
        <v>1</v>
      </c>
      <c r="O456" s="320">
        <v>1</v>
      </c>
      <c r="P456" s="326">
        <v>0</v>
      </c>
      <c r="Q456" s="326">
        <v>0</v>
      </c>
      <c r="R456" s="315">
        <v>0</v>
      </c>
      <c r="S456" s="315">
        <v>1</v>
      </c>
      <c r="T456" s="315"/>
      <c r="U456" s="315">
        <v>1</v>
      </c>
      <c r="V456" s="315">
        <v>0</v>
      </c>
      <c r="W456" s="315">
        <v>2</v>
      </c>
      <c r="X456" s="315">
        <v>0</v>
      </c>
      <c r="Y456" s="315">
        <v>0</v>
      </c>
      <c r="Z456" s="315"/>
      <c r="AA456" s="336">
        <v>4</v>
      </c>
      <c r="AB456" s="336">
        <v>0</v>
      </c>
      <c r="AC456" s="337">
        <v>0</v>
      </c>
      <c r="AD456" s="337" t="s">
        <v>2789</v>
      </c>
      <c r="AE456" s="336">
        <v>4</v>
      </c>
      <c r="AF456" s="336" t="s">
        <v>283</v>
      </c>
      <c r="AG456" s="339" t="s">
        <v>1358</v>
      </c>
      <c r="AH456" s="339">
        <v>0</v>
      </c>
      <c r="AI456" s="336">
        <v>0</v>
      </c>
      <c r="AJ456" s="336"/>
      <c r="AK456" s="848">
        <v>0.6</v>
      </c>
      <c r="AL456" s="842" t="s">
        <v>376</v>
      </c>
      <c r="AM456" s="836">
        <v>0</v>
      </c>
      <c r="AN456" s="837">
        <v>2</v>
      </c>
      <c r="AO456" s="837">
        <v>0</v>
      </c>
      <c r="AP456" s="843">
        <v>0</v>
      </c>
      <c r="AQ456" s="839">
        <v>0</v>
      </c>
      <c r="AR456" s="839"/>
      <c r="AS456" s="839"/>
      <c r="AT456" s="839">
        <v>1</v>
      </c>
      <c r="AU456" s="839"/>
      <c r="AV456" s="849"/>
      <c r="AW456" s="134">
        <v>0</v>
      </c>
      <c r="AX456" s="136">
        <v>0</v>
      </c>
      <c r="AY456" s="137" t="s">
        <v>2577</v>
      </c>
      <c r="AZ456" s="136">
        <v>1</v>
      </c>
      <c r="BA456" s="136">
        <v>1</v>
      </c>
      <c r="BB456" s="136">
        <v>1</v>
      </c>
      <c r="BC456" s="214">
        <v>62</v>
      </c>
      <c r="BD456" s="136">
        <v>0</v>
      </c>
      <c r="BE456" s="214">
        <v>0</v>
      </c>
      <c r="BF456" s="136">
        <v>1</v>
      </c>
      <c r="BG456" s="214">
        <v>62</v>
      </c>
      <c r="BH456" s="214">
        <v>0.124</v>
      </c>
      <c r="BI456" s="134">
        <v>0</v>
      </c>
      <c r="BJ456" s="214">
        <v>0</v>
      </c>
      <c r="BK456" s="137">
        <v>0.876</v>
      </c>
      <c r="BL456" s="137">
        <v>1</v>
      </c>
      <c r="BM456" s="137">
        <v>4</v>
      </c>
      <c r="BN456" s="134">
        <v>1</v>
      </c>
      <c r="BO456" s="351">
        <v>62</v>
      </c>
      <c r="BP456" s="134">
        <v>0</v>
      </c>
      <c r="BQ456" s="214">
        <v>0</v>
      </c>
      <c r="BR456" s="137">
        <v>3</v>
      </c>
      <c r="BS456" s="138">
        <v>0</v>
      </c>
      <c r="BT456" s="351">
        <v>0</v>
      </c>
      <c r="BU456" s="214">
        <v>0</v>
      </c>
      <c r="BV456" s="214">
        <v>0</v>
      </c>
      <c r="BW456" s="214">
        <v>0</v>
      </c>
      <c r="BX456" s="214">
        <v>0</v>
      </c>
      <c r="BY456" s="214">
        <v>0</v>
      </c>
      <c r="BZ456" s="134">
        <v>0</v>
      </c>
      <c r="CA456" s="138">
        <v>1</v>
      </c>
      <c r="CB456" s="136">
        <v>0</v>
      </c>
      <c r="CC456" s="136">
        <v>0</v>
      </c>
      <c r="CD456" s="136">
        <v>0</v>
      </c>
      <c r="CE456" s="137">
        <v>0</v>
      </c>
      <c r="CF456" s="137">
        <v>0</v>
      </c>
      <c r="CG456" s="137">
        <v>0</v>
      </c>
      <c r="CH456" s="214">
        <v>7.1999999999999993</v>
      </c>
      <c r="CI456" s="139" t="s">
        <v>48</v>
      </c>
      <c r="CJ456" s="139" t="s">
        <v>389</v>
      </c>
      <c r="CK456" s="139" t="s">
        <v>50</v>
      </c>
      <c r="CL456" s="139" t="s">
        <v>50</v>
      </c>
      <c r="CM456" s="139" t="s">
        <v>50</v>
      </c>
      <c r="CN456" s="139" t="s">
        <v>51</v>
      </c>
      <c r="CO456" s="139">
        <v>25.61842</v>
      </c>
      <c r="CP456" s="139">
        <v>96.316400000000002</v>
      </c>
      <c r="CQ456" s="139" t="s">
        <v>2050</v>
      </c>
      <c r="CR456" s="449" t="s">
        <v>40</v>
      </c>
      <c r="CS456" s="449"/>
      <c r="CT456" s="24"/>
      <c r="CU456" s="24"/>
      <c r="CV456" s="24"/>
    </row>
    <row r="457" spans="1:100" x14ac:dyDescent="0.25">
      <c r="A457" s="293" t="s">
        <v>2691</v>
      </c>
      <c r="B457" s="132" t="s">
        <v>43</v>
      </c>
      <c r="C457" s="132" t="s">
        <v>44</v>
      </c>
      <c r="D457" s="132" t="s">
        <v>294</v>
      </c>
      <c r="E457" s="132" t="s">
        <v>2794</v>
      </c>
      <c r="F457" s="132">
        <v>63</v>
      </c>
      <c r="G457" s="214">
        <v>321</v>
      </c>
      <c r="H457" s="132"/>
      <c r="I457" s="132" t="s">
        <v>372</v>
      </c>
      <c r="J457" s="133">
        <v>43465</v>
      </c>
      <c r="K457" s="132">
        <v>0</v>
      </c>
      <c r="L457" s="132" t="s">
        <v>48</v>
      </c>
      <c r="M457" s="134">
        <v>0.7</v>
      </c>
      <c r="N457" s="134">
        <v>0.7</v>
      </c>
      <c r="O457" s="320">
        <v>1</v>
      </c>
      <c r="P457" s="326">
        <v>1</v>
      </c>
      <c r="Q457" s="326">
        <v>10000</v>
      </c>
      <c r="R457" s="315"/>
      <c r="S457" s="315"/>
      <c r="T457" s="315"/>
      <c r="U457" s="315">
        <v>1</v>
      </c>
      <c r="V457" s="315">
        <v>1</v>
      </c>
      <c r="W457" s="315">
        <v>14</v>
      </c>
      <c r="X457" s="315">
        <v>6</v>
      </c>
      <c r="Y457" s="315"/>
      <c r="Z457" s="315"/>
      <c r="AA457" s="336">
        <v>9</v>
      </c>
      <c r="AB457" s="336">
        <v>0</v>
      </c>
      <c r="AC457" s="337">
        <v>0</v>
      </c>
      <c r="AD457" s="337"/>
      <c r="AE457" s="336">
        <v>0</v>
      </c>
      <c r="AF457" s="336" t="s">
        <v>283</v>
      </c>
      <c r="AG457" s="339" t="s">
        <v>283</v>
      </c>
      <c r="AH457" s="339"/>
      <c r="AI457" s="336"/>
      <c r="AJ457" s="336"/>
      <c r="AK457" s="848"/>
      <c r="AL457" s="842" t="s">
        <v>376</v>
      </c>
      <c r="AM457" s="836"/>
      <c r="AN457" s="837">
        <v>3</v>
      </c>
      <c r="AO457" s="837">
        <v>2</v>
      </c>
      <c r="AP457" s="843">
        <v>0</v>
      </c>
      <c r="AQ457" s="839">
        <v>0</v>
      </c>
      <c r="AR457" s="839"/>
      <c r="AS457" s="839"/>
      <c r="AT457" s="839"/>
      <c r="AU457" s="839"/>
      <c r="AV457" s="849"/>
      <c r="AW457" s="134">
        <v>1</v>
      </c>
      <c r="AX457" s="136">
        <v>0.42857142857142855</v>
      </c>
      <c r="AY457" s="137" t="s">
        <v>2577</v>
      </c>
      <c r="AZ457" s="136">
        <v>1</v>
      </c>
      <c r="BA457" s="136">
        <v>1</v>
      </c>
      <c r="BB457" s="136">
        <v>1</v>
      </c>
      <c r="BC457" s="214">
        <v>321</v>
      </c>
      <c r="BD457" s="136">
        <v>0</v>
      </c>
      <c r="BE457" s="214">
        <v>0</v>
      </c>
      <c r="BF457" s="136">
        <v>1</v>
      </c>
      <c r="BG457" s="214">
        <v>321</v>
      </c>
      <c r="BH457" s="214">
        <v>0.64200000000000002</v>
      </c>
      <c r="BI457" s="134">
        <v>0</v>
      </c>
      <c r="BJ457" s="214">
        <v>0</v>
      </c>
      <c r="BK457" s="137">
        <v>0.35799999999999998</v>
      </c>
      <c r="BL457" s="137">
        <v>1</v>
      </c>
      <c r="BM457" s="137">
        <v>9</v>
      </c>
      <c r="BN457" s="134">
        <v>0.56074766355140182</v>
      </c>
      <c r="BO457" s="351">
        <v>179.99999999999997</v>
      </c>
      <c r="BP457" s="134">
        <v>0.43613707165109034</v>
      </c>
      <c r="BQ457" s="214">
        <v>7</v>
      </c>
      <c r="BR457" s="137">
        <v>16</v>
      </c>
      <c r="BS457" s="138">
        <v>0</v>
      </c>
      <c r="BT457" s="351">
        <v>0</v>
      </c>
      <c r="BU457" s="214">
        <v>321</v>
      </c>
      <c r="BV457" s="214">
        <v>0</v>
      </c>
      <c r="BW457" s="214">
        <v>1</v>
      </c>
      <c r="BX457" s="214">
        <v>0</v>
      </c>
      <c r="BY457" s="214">
        <v>0</v>
      </c>
      <c r="BZ457" s="134">
        <v>0</v>
      </c>
      <c r="CA457" s="138">
        <v>1</v>
      </c>
      <c r="CB457" s="136">
        <v>1</v>
      </c>
      <c r="CC457" s="136">
        <v>0</v>
      </c>
      <c r="CD457" s="136">
        <v>0</v>
      </c>
      <c r="CE457" s="137">
        <v>0</v>
      </c>
      <c r="CF457" s="137">
        <v>0</v>
      </c>
      <c r="CG457" s="137">
        <v>0</v>
      </c>
      <c r="CH457" s="214">
        <v>0</v>
      </c>
      <c r="CI457" s="139">
        <v>0</v>
      </c>
      <c r="CJ457" s="139">
        <v>0</v>
      </c>
      <c r="CK457" s="139" t="s">
        <v>1921</v>
      </c>
      <c r="CL457" s="139" t="s">
        <v>50</v>
      </c>
      <c r="CM457" s="139" t="s">
        <v>946</v>
      </c>
      <c r="CN457" s="812" t="s">
        <v>51</v>
      </c>
      <c r="CO457" s="139">
        <v>0</v>
      </c>
      <c r="CP457" s="139">
        <v>0</v>
      </c>
      <c r="CQ457" s="139">
        <v>0</v>
      </c>
      <c r="CR457" s="449" t="s">
        <v>40</v>
      </c>
      <c r="CS457" s="449"/>
      <c r="CT457" s="24"/>
      <c r="CU457" s="24"/>
      <c r="CV457" s="24"/>
    </row>
    <row r="458" spans="1:100" x14ac:dyDescent="0.25">
      <c r="A458" s="293" t="s">
        <v>2691</v>
      </c>
      <c r="B458" s="132" t="s">
        <v>389</v>
      </c>
      <c r="C458" s="132" t="s">
        <v>44</v>
      </c>
      <c r="D458" s="132" t="s">
        <v>294</v>
      </c>
      <c r="E458" s="132" t="s">
        <v>407</v>
      </c>
      <c r="F458" s="132">
        <v>4</v>
      </c>
      <c r="G458" s="214">
        <v>15</v>
      </c>
      <c r="H458" s="132"/>
      <c r="I458" s="132" t="s">
        <v>391</v>
      </c>
      <c r="J458" s="133">
        <v>42947</v>
      </c>
      <c r="K458" s="132">
        <v>0</v>
      </c>
      <c r="L458" s="132" t="s">
        <v>48</v>
      </c>
      <c r="M458" s="134">
        <v>0.2</v>
      </c>
      <c r="N458" s="134">
        <v>0</v>
      </c>
      <c r="O458" s="320">
        <v>1</v>
      </c>
      <c r="P458" s="326">
        <v>1</v>
      </c>
      <c r="Q458" s="326">
        <v>0</v>
      </c>
      <c r="R458" s="315">
        <v>0</v>
      </c>
      <c r="S458" s="315">
        <v>1</v>
      </c>
      <c r="T458" s="315"/>
      <c r="U458" s="315">
        <v>0</v>
      </c>
      <c r="V458" s="315">
        <v>0</v>
      </c>
      <c r="W458" s="315">
        <v>0</v>
      </c>
      <c r="X458" s="315">
        <v>0</v>
      </c>
      <c r="Y458" s="315">
        <v>0</v>
      </c>
      <c r="Z458" s="315"/>
      <c r="AA458" s="336">
        <v>0</v>
      </c>
      <c r="AB458" s="336">
        <v>0</v>
      </c>
      <c r="AC458" s="337">
        <v>0</v>
      </c>
      <c r="AD458" s="337"/>
      <c r="AE458" s="336">
        <v>0</v>
      </c>
      <c r="AF458" s="336" t="s">
        <v>283</v>
      </c>
      <c r="AG458" s="339" t="s">
        <v>1358</v>
      </c>
      <c r="AH458" s="339">
        <v>0</v>
      </c>
      <c r="AI458" s="336">
        <v>0</v>
      </c>
      <c r="AJ458" s="336"/>
      <c r="AK458" s="848">
        <v>0.6</v>
      </c>
      <c r="AL458" s="842" t="s">
        <v>376</v>
      </c>
      <c r="AM458" s="836">
        <v>0</v>
      </c>
      <c r="AN458" s="837">
        <v>0</v>
      </c>
      <c r="AO458" s="837">
        <v>0</v>
      </c>
      <c r="AP458" s="843">
        <v>0</v>
      </c>
      <c r="AQ458" s="839">
        <v>0</v>
      </c>
      <c r="AR458" s="839"/>
      <c r="AS458" s="839"/>
      <c r="AT458" s="839"/>
      <c r="AU458" s="839"/>
      <c r="AV458" s="849"/>
      <c r="AW458" s="134" t="s">
        <v>3208</v>
      </c>
      <c r="AX458" s="136" t="s">
        <v>3208</v>
      </c>
      <c r="AY458" s="137" t="s">
        <v>2576</v>
      </c>
      <c r="AZ458" s="136">
        <v>1</v>
      </c>
      <c r="BA458" s="136">
        <v>1</v>
      </c>
      <c r="BB458" s="136">
        <v>1</v>
      </c>
      <c r="BC458" s="214">
        <v>15</v>
      </c>
      <c r="BD458" s="136">
        <v>0</v>
      </c>
      <c r="BE458" s="214">
        <v>0</v>
      </c>
      <c r="BF458" s="136">
        <v>1</v>
      </c>
      <c r="BG458" s="214">
        <v>15</v>
      </c>
      <c r="BH458" s="214">
        <v>0.03</v>
      </c>
      <c r="BI458" s="134">
        <v>0</v>
      </c>
      <c r="BJ458" s="214">
        <v>0</v>
      </c>
      <c r="BK458" s="137">
        <v>0.97</v>
      </c>
      <c r="BL458" s="137">
        <v>1</v>
      </c>
      <c r="BM458" s="137">
        <v>0</v>
      </c>
      <c r="BN458" s="134">
        <v>0</v>
      </c>
      <c r="BO458" s="351">
        <v>0</v>
      </c>
      <c r="BP458" s="134">
        <v>1</v>
      </c>
      <c r="BQ458" s="214">
        <v>1</v>
      </c>
      <c r="BR458" s="137">
        <v>1</v>
      </c>
      <c r="BS458" s="138">
        <v>0</v>
      </c>
      <c r="BT458" s="351">
        <v>0</v>
      </c>
      <c r="BU458" s="214">
        <v>0</v>
      </c>
      <c r="BV458" s="214">
        <v>0</v>
      </c>
      <c r="BW458" s="214">
        <v>0</v>
      </c>
      <c r="BX458" s="214">
        <v>0</v>
      </c>
      <c r="BY458" s="214">
        <v>0</v>
      </c>
      <c r="BZ458" s="134">
        <v>0</v>
      </c>
      <c r="CA458" s="138">
        <v>1</v>
      </c>
      <c r="CB458" s="136">
        <v>0</v>
      </c>
      <c r="CC458" s="136">
        <v>0</v>
      </c>
      <c r="CD458" s="136">
        <v>0</v>
      </c>
      <c r="CE458" s="137">
        <v>0</v>
      </c>
      <c r="CF458" s="137">
        <v>0</v>
      </c>
      <c r="CG458" s="137">
        <v>0</v>
      </c>
      <c r="CH458" s="214">
        <v>2.4</v>
      </c>
      <c r="CI458" s="139" t="s">
        <v>48</v>
      </c>
      <c r="CJ458" s="139" t="s">
        <v>2959</v>
      </c>
      <c r="CK458" s="139" t="s">
        <v>50</v>
      </c>
      <c r="CL458" s="139" t="s">
        <v>50</v>
      </c>
      <c r="CM458" s="139" t="s">
        <v>946</v>
      </c>
      <c r="CN458" s="139" t="s">
        <v>51</v>
      </c>
      <c r="CO458" s="139">
        <v>25.6145</v>
      </c>
      <c r="CP458" s="139">
        <v>96.319829999999996</v>
      </c>
      <c r="CQ458" s="139" t="s">
        <v>2046</v>
      </c>
      <c r="CR458" s="449" t="s">
        <v>40</v>
      </c>
      <c r="CS458" s="449"/>
      <c r="CT458" s="24"/>
      <c r="CU458" s="24"/>
      <c r="CV458" s="24"/>
    </row>
    <row r="459" spans="1:100" x14ac:dyDescent="0.25">
      <c r="A459" s="293" t="s">
        <v>2691</v>
      </c>
      <c r="B459" s="132" t="s">
        <v>287</v>
      </c>
      <c r="C459" s="132" t="s">
        <v>44</v>
      </c>
      <c r="D459" s="132" t="s">
        <v>294</v>
      </c>
      <c r="E459" s="132" t="s">
        <v>336</v>
      </c>
      <c r="F459" s="132">
        <v>10</v>
      </c>
      <c r="G459" s="214">
        <v>18</v>
      </c>
      <c r="H459" s="132"/>
      <c r="I459" s="132" t="s">
        <v>296</v>
      </c>
      <c r="J459" s="133">
        <v>43465</v>
      </c>
      <c r="K459" s="132">
        <v>30</v>
      </c>
      <c r="L459" s="132" t="s">
        <v>286</v>
      </c>
      <c r="M459" s="134">
        <v>0</v>
      </c>
      <c r="N459" s="134">
        <v>0.5</v>
      </c>
      <c r="O459" s="320">
        <v>0</v>
      </c>
      <c r="P459" s="326">
        <v>0</v>
      </c>
      <c r="Q459" s="326">
        <v>0</v>
      </c>
      <c r="R459" s="315">
        <v>0</v>
      </c>
      <c r="S459" s="315">
        <v>0</v>
      </c>
      <c r="T459" s="315"/>
      <c r="U459" s="315">
        <v>0</v>
      </c>
      <c r="V459" s="315">
        <v>0</v>
      </c>
      <c r="W459" s="315">
        <v>0</v>
      </c>
      <c r="X459" s="315">
        <v>0</v>
      </c>
      <c r="Y459" s="315">
        <v>0</v>
      </c>
      <c r="Z459" s="315"/>
      <c r="AA459" s="336">
        <v>0</v>
      </c>
      <c r="AB459" s="336">
        <v>0</v>
      </c>
      <c r="AC459" s="337">
        <v>0</v>
      </c>
      <c r="AD459" s="337"/>
      <c r="AE459" s="336">
        <v>0</v>
      </c>
      <c r="AF459" s="336" t="s">
        <v>332</v>
      </c>
      <c r="AG459" s="339" t="s">
        <v>1358</v>
      </c>
      <c r="AH459" s="339"/>
      <c r="AI459" s="336"/>
      <c r="AJ459" s="336"/>
      <c r="AK459" s="848">
        <v>0.2</v>
      </c>
      <c r="AL459" s="836" t="s">
        <v>284</v>
      </c>
      <c r="AM459" s="836">
        <v>0</v>
      </c>
      <c r="AN459" s="837">
        <v>0</v>
      </c>
      <c r="AO459" s="837">
        <v>1</v>
      </c>
      <c r="AP459" s="843">
        <v>0</v>
      </c>
      <c r="AQ459" s="839">
        <v>0</v>
      </c>
      <c r="AR459" s="839"/>
      <c r="AS459" s="839"/>
      <c r="AT459" s="839"/>
      <c r="AU459" s="839"/>
      <c r="AV459" s="849"/>
      <c r="AW459" s="134" t="s">
        <v>3208</v>
      </c>
      <c r="AX459" s="136" t="s">
        <v>3208</v>
      </c>
      <c r="AY459" s="137" t="s">
        <v>2576</v>
      </c>
      <c r="AZ459" s="136">
        <v>0</v>
      </c>
      <c r="BA459" s="136">
        <v>0</v>
      </c>
      <c r="BB459" s="136">
        <v>0</v>
      </c>
      <c r="BC459" s="214">
        <v>0</v>
      </c>
      <c r="BD459" s="136">
        <v>0</v>
      </c>
      <c r="BE459" s="214">
        <v>0</v>
      </c>
      <c r="BF459" s="136">
        <v>0</v>
      </c>
      <c r="BG459" s="214">
        <v>0</v>
      </c>
      <c r="BH459" s="214">
        <v>0</v>
      </c>
      <c r="BI459" s="134">
        <v>1</v>
      </c>
      <c r="BJ459" s="214">
        <v>18</v>
      </c>
      <c r="BK459" s="137">
        <v>1</v>
      </c>
      <c r="BL459" s="137">
        <v>1</v>
      </c>
      <c r="BM459" s="137">
        <v>0</v>
      </c>
      <c r="BN459" s="134">
        <v>0</v>
      </c>
      <c r="BO459" s="351">
        <v>0</v>
      </c>
      <c r="BP459" s="134">
        <v>1</v>
      </c>
      <c r="BQ459" s="214">
        <v>1</v>
      </c>
      <c r="BR459" s="137">
        <v>1</v>
      </c>
      <c r="BS459" s="138">
        <v>0</v>
      </c>
      <c r="BT459" s="351">
        <v>0</v>
      </c>
      <c r="BU459" s="214">
        <v>18</v>
      </c>
      <c r="BV459" s="214">
        <v>0</v>
      </c>
      <c r="BW459" s="214">
        <v>1</v>
      </c>
      <c r="BX459" s="214">
        <v>0</v>
      </c>
      <c r="BY459" s="214">
        <v>0</v>
      </c>
      <c r="BZ459" s="134">
        <v>0</v>
      </c>
      <c r="CA459" s="138">
        <v>1</v>
      </c>
      <c r="CB459" s="136">
        <v>1</v>
      </c>
      <c r="CC459" s="136">
        <v>0</v>
      </c>
      <c r="CD459" s="136">
        <v>0</v>
      </c>
      <c r="CE459" s="137">
        <v>0</v>
      </c>
      <c r="CF459" s="137">
        <v>0</v>
      </c>
      <c r="CG459" s="137">
        <v>0</v>
      </c>
      <c r="CH459" s="214">
        <v>2</v>
      </c>
      <c r="CI459" s="139" t="s">
        <v>48</v>
      </c>
      <c r="CJ459" s="139" t="s">
        <v>1539</v>
      </c>
      <c r="CK459" s="139" t="s">
        <v>50</v>
      </c>
      <c r="CL459" s="139" t="s">
        <v>50</v>
      </c>
      <c r="CM459" s="139" t="s">
        <v>50</v>
      </c>
      <c r="CN459" s="139" t="s">
        <v>51</v>
      </c>
      <c r="CO459" s="139">
        <v>25.920006000000001</v>
      </c>
      <c r="CP459" s="139">
        <v>96.662092000000001</v>
      </c>
      <c r="CQ459" s="139" t="s">
        <v>2068</v>
      </c>
      <c r="CR459" s="449" t="s">
        <v>40</v>
      </c>
      <c r="CS459" s="449"/>
      <c r="CT459" s="24"/>
      <c r="CU459" s="24"/>
      <c r="CV459" s="24"/>
    </row>
    <row r="460" spans="1:100" x14ac:dyDescent="0.25">
      <c r="A460" s="293" t="s">
        <v>2691</v>
      </c>
      <c r="B460" s="132" t="s">
        <v>389</v>
      </c>
      <c r="C460" s="132" t="s">
        <v>44</v>
      </c>
      <c r="D460" s="132" t="s">
        <v>294</v>
      </c>
      <c r="E460" s="132" t="s">
        <v>408</v>
      </c>
      <c r="F460" s="132">
        <v>11</v>
      </c>
      <c r="G460" s="214">
        <v>45</v>
      </c>
      <c r="H460" s="132"/>
      <c r="I460" s="132" t="s">
        <v>391</v>
      </c>
      <c r="J460" s="133">
        <v>42947</v>
      </c>
      <c r="K460" s="132">
        <v>0</v>
      </c>
      <c r="L460" s="132" t="s">
        <v>48</v>
      </c>
      <c r="M460" s="134">
        <v>0.6</v>
      </c>
      <c r="N460" s="134">
        <v>0</v>
      </c>
      <c r="O460" s="320">
        <v>0</v>
      </c>
      <c r="P460" s="326">
        <v>1</v>
      </c>
      <c r="Q460" s="326">
        <v>1000</v>
      </c>
      <c r="R460" s="315">
        <v>0</v>
      </c>
      <c r="S460" s="315">
        <v>1</v>
      </c>
      <c r="T460" s="315"/>
      <c r="U460" s="315">
        <v>1</v>
      </c>
      <c r="V460" s="315">
        <v>0</v>
      </c>
      <c r="W460" s="315">
        <v>2</v>
      </c>
      <c r="X460" s="315">
        <v>0</v>
      </c>
      <c r="Y460" s="315">
        <v>0</v>
      </c>
      <c r="Z460" s="315"/>
      <c r="AA460" s="336">
        <v>5</v>
      </c>
      <c r="AB460" s="336">
        <v>0</v>
      </c>
      <c r="AC460" s="337">
        <v>0</v>
      </c>
      <c r="AD460" s="337" t="s">
        <v>2782</v>
      </c>
      <c r="AE460" s="336">
        <v>5</v>
      </c>
      <c r="AF460" s="336" t="s">
        <v>283</v>
      </c>
      <c r="AG460" s="339" t="s">
        <v>1358</v>
      </c>
      <c r="AH460" s="339">
        <v>0</v>
      </c>
      <c r="AI460" s="336">
        <v>0</v>
      </c>
      <c r="AJ460" s="336"/>
      <c r="AK460" s="848">
        <v>0.6</v>
      </c>
      <c r="AL460" s="842" t="s">
        <v>376</v>
      </c>
      <c r="AM460" s="836">
        <v>0</v>
      </c>
      <c r="AN460" s="837">
        <v>2</v>
      </c>
      <c r="AO460" s="837">
        <v>0</v>
      </c>
      <c r="AP460" s="843">
        <v>0</v>
      </c>
      <c r="AQ460" s="839">
        <v>0</v>
      </c>
      <c r="AR460" s="839"/>
      <c r="AS460" s="839"/>
      <c r="AT460" s="839">
        <v>1</v>
      </c>
      <c r="AU460" s="839"/>
      <c r="AV460" s="849"/>
      <c r="AW460" s="134">
        <v>0</v>
      </c>
      <c r="AX460" s="136">
        <v>0</v>
      </c>
      <c r="AY460" s="137" t="s">
        <v>2577</v>
      </c>
      <c r="AZ460" s="136">
        <v>1</v>
      </c>
      <c r="BA460" s="136">
        <v>1</v>
      </c>
      <c r="BB460" s="136">
        <v>1</v>
      </c>
      <c r="BC460" s="214">
        <v>45</v>
      </c>
      <c r="BD460" s="136">
        <v>0</v>
      </c>
      <c r="BE460" s="214">
        <v>0</v>
      </c>
      <c r="BF460" s="136">
        <v>1</v>
      </c>
      <c r="BG460" s="214">
        <v>45</v>
      </c>
      <c r="BH460" s="214">
        <v>0.09</v>
      </c>
      <c r="BI460" s="134">
        <v>0</v>
      </c>
      <c r="BJ460" s="214">
        <v>0</v>
      </c>
      <c r="BK460" s="137">
        <v>0.91</v>
      </c>
      <c r="BL460" s="137">
        <v>1</v>
      </c>
      <c r="BM460" s="137">
        <v>5</v>
      </c>
      <c r="BN460" s="134">
        <v>1</v>
      </c>
      <c r="BO460" s="351">
        <v>45</v>
      </c>
      <c r="BP460" s="134">
        <v>0</v>
      </c>
      <c r="BQ460" s="214">
        <v>0</v>
      </c>
      <c r="BR460" s="137">
        <v>2</v>
      </c>
      <c r="BS460" s="138">
        <v>0</v>
      </c>
      <c r="BT460" s="351">
        <v>0</v>
      </c>
      <c r="BU460" s="214">
        <v>0</v>
      </c>
      <c r="BV460" s="214">
        <v>0</v>
      </c>
      <c r="BW460" s="214">
        <v>0</v>
      </c>
      <c r="BX460" s="214">
        <v>0</v>
      </c>
      <c r="BY460" s="214">
        <v>0</v>
      </c>
      <c r="BZ460" s="134">
        <v>0</v>
      </c>
      <c r="CA460" s="138">
        <v>1</v>
      </c>
      <c r="CB460" s="136">
        <v>0</v>
      </c>
      <c r="CC460" s="136">
        <v>0</v>
      </c>
      <c r="CD460" s="136">
        <v>0</v>
      </c>
      <c r="CE460" s="137">
        <v>0</v>
      </c>
      <c r="CF460" s="137">
        <v>0</v>
      </c>
      <c r="CG460" s="137">
        <v>0</v>
      </c>
      <c r="CH460" s="214">
        <v>6.6</v>
      </c>
      <c r="CI460" s="139" t="s">
        <v>48</v>
      </c>
      <c r="CJ460" s="139" t="s">
        <v>2959</v>
      </c>
      <c r="CK460" s="139" t="s">
        <v>50</v>
      </c>
      <c r="CL460" s="139" t="s">
        <v>50</v>
      </c>
      <c r="CM460" s="139" t="s">
        <v>946</v>
      </c>
      <c r="CN460" s="139" t="s">
        <v>51</v>
      </c>
      <c r="CO460" s="139">
        <v>25.617998</v>
      </c>
      <c r="CP460" s="139">
        <v>96.339590000000001</v>
      </c>
      <c r="CQ460" s="139" t="s">
        <v>2049</v>
      </c>
      <c r="CR460" s="449" t="s">
        <v>40</v>
      </c>
      <c r="CS460" s="449"/>
      <c r="CT460" s="24"/>
      <c r="CU460" s="24"/>
      <c r="CV460" s="24"/>
    </row>
    <row r="461" spans="1:100" x14ac:dyDescent="0.25">
      <c r="A461" s="293" t="s">
        <v>2691</v>
      </c>
      <c r="B461" s="132" t="s">
        <v>43</v>
      </c>
      <c r="C461" s="132" t="s">
        <v>44</v>
      </c>
      <c r="D461" s="132" t="s">
        <v>294</v>
      </c>
      <c r="E461" s="132" t="s">
        <v>378</v>
      </c>
      <c r="F461" s="132">
        <v>48</v>
      </c>
      <c r="G461" s="214">
        <v>221</v>
      </c>
      <c r="H461" s="132"/>
      <c r="I461" s="132" t="s">
        <v>372</v>
      </c>
      <c r="J461" s="133">
        <v>43465</v>
      </c>
      <c r="K461" s="132">
        <v>0</v>
      </c>
      <c r="L461" s="132" t="s">
        <v>2452</v>
      </c>
      <c r="M461" s="134">
        <v>0.6</v>
      </c>
      <c r="N461" s="134">
        <v>0.1</v>
      </c>
      <c r="O461" s="320">
        <v>1</v>
      </c>
      <c r="P461" s="326">
        <v>1</v>
      </c>
      <c r="Q461" s="326">
        <v>4000</v>
      </c>
      <c r="R461" s="315">
        <v>0</v>
      </c>
      <c r="S461" s="315">
        <v>2</v>
      </c>
      <c r="T461" s="315"/>
      <c r="U461" s="315">
        <v>1</v>
      </c>
      <c r="V461" s="315">
        <v>0</v>
      </c>
      <c r="W461" s="315">
        <v>15</v>
      </c>
      <c r="X461" s="315">
        <v>4</v>
      </c>
      <c r="Y461" s="315">
        <v>0</v>
      </c>
      <c r="Z461" s="315"/>
      <c r="AA461" s="336">
        <v>8</v>
      </c>
      <c r="AB461" s="336">
        <v>0</v>
      </c>
      <c r="AC461" s="337">
        <v>0</v>
      </c>
      <c r="AD461" s="337"/>
      <c r="AE461" s="336">
        <v>0</v>
      </c>
      <c r="AF461" s="336" t="s">
        <v>283</v>
      </c>
      <c r="AG461" s="339" t="s">
        <v>283</v>
      </c>
      <c r="AH461" s="339">
        <v>0</v>
      </c>
      <c r="AI461" s="336">
        <v>0</v>
      </c>
      <c r="AJ461" s="336"/>
      <c r="AK461" s="848">
        <v>0</v>
      </c>
      <c r="AL461" s="842" t="s">
        <v>376</v>
      </c>
      <c r="AM461" s="836">
        <v>0</v>
      </c>
      <c r="AN461" s="837">
        <v>2</v>
      </c>
      <c r="AO461" s="837">
        <v>2</v>
      </c>
      <c r="AP461" s="843">
        <v>0</v>
      </c>
      <c r="AQ461" s="839">
        <v>0</v>
      </c>
      <c r="AR461" s="839" t="s">
        <v>282</v>
      </c>
      <c r="AS461" s="839"/>
      <c r="AT461" s="839"/>
      <c r="AU461" s="839"/>
      <c r="AV461" s="849"/>
      <c r="AW461" s="134">
        <v>0</v>
      </c>
      <c r="AX461" s="136">
        <v>0.26666666666666666</v>
      </c>
      <c r="AY461" s="137" t="s">
        <v>2577</v>
      </c>
      <c r="AZ461" s="136">
        <v>1</v>
      </c>
      <c r="BA461" s="136">
        <v>1</v>
      </c>
      <c r="BB461" s="136">
        <v>1</v>
      </c>
      <c r="BC461" s="214">
        <v>221</v>
      </c>
      <c r="BD461" s="136">
        <v>0</v>
      </c>
      <c r="BE461" s="214">
        <v>0</v>
      </c>
      <c r="BF461" s="136">
        <v>1</v>
      </c>
      <c r="BG461" s="214">
        <v>221</v>
      </c>
      <c r="BH461" s="214">
        <v>0.442</v>
      </c>
      <c r="BI461" s="134">
        <v>0</v>
      </c>
      <c r="BJ461" s="214">
        <v>0</v>
      </c>
      <c r="BK461" s="137">
        <v>0.55800000000000005</v>
      </c>
      <c r="BL461" s="137">
        <v>1</v>
      </c>
      <c r="BM461" s="137">
        <v>8</v>
      </c>
      <c r="BN461" s="134">
        <v>0.72398190045248867</v>
      </c>
      <c r="BO461" s="351">
        <v>160</v>
      </c>
      <c r="BP461" s="134">
        <v>0.27149321266968324</v>
      </c>
      <c r="BQ461" s="214">
        <v>3</v>
      </c>
      <c r="BR461" s="137">
        <v>11</v>
      </c>
      <c r="BS461" s="138">
        <v>0</v>
      </c>
      <c r="BT461" s="351">
        <v>0</v>
      </c>
      <c r="BU461" s="214">
        <v>221</v>
      </c>
      <c r="BV461" s="214">
        <v>0</v>
      </c>
      <c r="BW461" s="214">
        <v>1</v>
      </c>
      <c r="BX461" s="214">
        <v>0</v>
      </c>
      <c r="BY461" s="214">
        <v>0</v>
      </c>
      <c r="BZ461" s="134">
        <v>0</v>
      </c>
      <c r="CA461" s="138">
        <v>1</v>
      </c>
      <c r="CB461" s="136">
        <v>1</v>
      </c>
      <c r="CC461" s="136">
        <v>0</v>
      </c>
      <c r="CD461" s="136">
        <v>0</v>
      </c>
      <c r="CE461" s="137">
        <v>0</v>
      </c>
      <c r="CF461" s="137">
        <v>0</v>
      </c>
      <c r="CG461" s="137">
        <v>0</v>
      </c>
      <c r="CH461" s="214">
        <v>0</v>
      </c>
      <c r="CI461" s="139" t="s">
        <v>48</v>
      </c>
      <c r="CJ461" s="139" t="s">
        <v>1539</v>
      </c>
      <c r="CK461" s="139" t="s">
        <v>50</v>
      </c>
      <c r="CL461" s="139" t="s">
        <v>50</v>
      </c>
      <c r="CM461" s="139" t="s">
        <v>50</v>
      </c>
      <c r="CN461" s="139" t="s">
        <v>51</v>
      </c>
      <c r="CO461" s="139">
        <v>25.613894999999999</v>
      </c>
      <c r="CP461" s="139">
        <v>96.341352999999998</v>
      </c>
      <c r="CQ461" s="139" t="s">
        <v>2045</v>
      </c>
      <c r="CR461" s="449" t="s">
        <v>40</v>
      </c>
      <c r="CS461" s="449"/>
      <c r="CT461" s="24"/>
      <c r="CU461" s="24"/>
      <c r="CV461" s="24"/>
    </row>
    <row r="462" spans="1:100" x14ac:dyDescent="0.25">
      <c r="A462" s="293" t="s">
        <v>2691</v>
      </c>
      <c r="B462" s="132" t="s">
        <v>389</v>
      </c>
      <c r="C462" s="132" t="s">
        <v>44</v>
      </c>
      <c r="D462" s="132" t="s">
        <v>294</v>
      </c>
      <c r="E462" s="132" t="s">
        <v>409</v>
      </c>
      <c r="F462" s="132">
        <v>10</v>
      </c>
      <c r="G462" s="214">
        <v>37</v>
      </c>
      <c r="H462" s="132"/>
      <c r="I462" s="132" t="s">
        <v>391</v>
      </c>
      <c r="J462" s="133">
        <v>42947</v>
      </c>
      <c r="K462" s="132">
        <v>0</v>
      </c>
      <c r="L462" s="132" t="s">
        <v>48</v>
      </c>
      <c r="M462" s="134">
        <v>0.5</v>
      </c>
      <c r="N462" s="134">
        <v>0</v>
      </c>
      <c r="O462" s="320">
        <v>1</v>
      </c>
      <c r="P462" s="326">
        <v>1</v>
      </c>
      <c r="Q462" s="326">
        <v>0</v>
      </c>
      <c r="R462" s="315">
        <v>0</v>
      </c>
      <c r="S462" s="315">
        <v>2</v>
      </c>
      <c r="T462" s="315"/>
      <c r="U462" s="315">
        <v>1</v>
      </c>
      <c r="V462" s="315">
        <v>0</v>
      </c>
      <c r="W462" s="315">
        <v>2</v>
      </c>
      <c r="X462" s="315">
        <v>0</v>
      </c>
      <c r="Y462" s="315">
        <v>0</v>
      </c>
      <c r="Z462" s="315"/>
      <c r="AA462" s="336">
        <v>2</v>
      </c>
      <c r="AB462" s="336">
        <v>2</v>
      </c>
      <c r="AC462" s="337">
        <v>0</v>
      </c>
      <c r="AD462" s="337" t="s">
        <v>2782</v>
      </c>
      <c r="AE462" s="336">
        <v>2</v>
      </c>
      <c r="AF462" s="336" t="s">
        <v>283</v>
      </c>
      <c r="AG462" s="339" t="s">
        <v>283</v>
      </c>
      <c r="AH462" s="339">
        <v>0</v>
      </c>
      <c r="AI462" s="336">
        <v>0</v>
      </c>
      <c r="AJ462" s="336"/>
      <c r="AK462" s="848">
        <v>0.5</v>
      </c>
      <c r="AL462" s="842" t="s">
        <v>376</v>
      </c>
      <c r="AM462" s="836">
        <v>0</v>
      </c>
      <c r="AN462" s="837">
        <v>2</v>
      </c>
      <c r="AO462" s="837">
        <v>0</v>
      </c>
      <c r="AP462" s="843">
        <v>0</v>
      </c>
      <c r="AQ462" s="839">
        <v>0</v>
      </c>
      <c r="AR462" s="839"/>
      <c r="AS462" s="839"/>
      <c r="AT462" s="839">
        <v>1</v>
      </c>
      <c r="AU462" s="839"/>
      <c r="AV462" s="849"/>
      <c r="AW462" s="134">
        <v>0</v>
      </c>
      <c r="AX462" s="136">
        <v>0</v>
      </c>
      <c r="AY462" s="137" t="s">
        <v>2577</v>
      </c>
      <c r="AZ462" s="136">
        <v>1</v>
      </c>
      <c r="BA462" s="136">
        <v>1</v>
      </c>
      <c r="BB462" s="136">
        <v>1</v>
      </c>
      <c r="BC462" s="214">
        <v>37</v>
      </c>
      <c r="BD462" s="136">
        <v>0</v>
      </c>
      <c r="BE462" s="214">
        <v>0</v>
      </c>
      <c r="BF462" s="136">
        <v>1</v>
      </c>
      <c r="BG462" s="214">
        <v>37</v>
      </c>
      <c r="BH462" s="214">
        <v>7.3999999999999996E-2</v>
      </c>
      <c r="BI462" s="134">
        <v>0</v>
      </c>
      <c r="BJ462" s="214">
        <v>0</v>
      </c>
      <c r="BK462" s="137">
        <v>0.92600000000000005</v>
      </c>
      <c r="BL462" s="137">
        <v>1</v>
      </c>
      <c r="BM462" s="137">
        <v>4</v>
      </c>
      <c r="BN462" s="134">
        <v>1</v>
      </c>
      <c r="BO462" s="351">
        <v>37</v>
      </c>
      <c r="BP462" s="134">
        <v>0</v>
      </c>
      <c r="BQ462" s="214">
        <v>0</v>
      </c>
      <c r="BR462" s="137">
        <v>2</v>
      </c>
      <c r="BS462" s="138">
        <v>0.5</v>
      </c>
      <c r="BT462" s="351">
        <v>0</v>
      </c>
      <c r="BU462" s="214">
        <v>0</v>
      </c>
      <c r="BV462" s="214">
        <v>0</v>
      </c>
      <c r="BW462" s="214">
        <v>0</v>
      </c>
      <c r="BX462" s="214">
        <v>0</v>
      </c>
      <c r="BY462" s="214">
        <v>0</v>
      </c>
      <c r="BZ462" s="134">
        <v>0</v>
      </c>
      <c r="CA462" s="138">
        <v>1</v>
      </c>
      <c r="CB462" s="136">
        <v>0</v>
      </c>
      <c r="CC462" s="136">
        <v>0</v>
      </c>
      <c r="CD462" s="136">
        <v>0</v>
      </c>
      <c r="CE462" s="137">
        <v>0</v>
      </c>
      <c r="CF462" s="137">
        <v>0</v>
      </c>
      <c r="CG462" s="137">
        <v>0</v>
      </c>
      <c r="CH462" s="214">
        <v>5</v>
      </c>
      <c r="CI462" s="139" t="s">
        <v>48</v>
      </c>
      <c r="CJ462" s="139" t="s">
        <v>2959</v>
      </c>
      <c r="CK462" s="139" t="s">
        <v>50</v>
      </c>
      <c r="CL462" s="139" t="s">
        <v>50</v>
      </c>
      <c r="CM462" s="139" t="s">
        <v>946</v>
      </c>
      <c r="CN462" s="139" t="s">
        <v>51</v>
      </c>
      <c r="CO462" s="139">
        <v>25.56551</v>
      </c>
      <c r="CP462" s="139">
        <v>96.279200000000003</v>
      </c>
      <c r="CQ462" s="139" t="s">
        <v>2037</v>
      </c>
      <c r="CR462" s="449" t="s">
        <v>40</v>
      </c>
      <c r="CS462" s="449"/>
      <c r="CT462" s="24"/>
      <c r="CU462" s="24"/>
      <c r="CV462" s="24"/>
    </row>
    <row r="463" spans="1:100" x14ac:dyDescent="0.25">
      <c r="A463" s="293" t="s">
        <v>2691</v>
      </c>
      <c r="B463" s="132" t="s">
        <v>389</v>
      </c>
      <c r="C463" s="132" t="s">
        <v>44</v>
      </c>
      <c r="D463" s="132" t="s">
        <v>294</v>
      </c>
      <c r="E463" s="132" t="s">
        <v>410</v>
      </c>
      <c r="F463" s="132">
        <v>8</v>
      </c>
      <c r="G463" s="214">
        <v>25</v>
      </c>
      <c r="H463" s="132"/>
      <c r="I463" s="132" t="s">
        <v>391</v>
      </c>
      <c r="J463" s="133">
        <v>42947</v>
      </c>
      <c r="K463" s="132">
        <v>0</v>
      </c>
      <c r="L463" s="132" t="s">
        <v>48</v>
      </c>
      <c r="M463" s="134">
        <v>0</v>
      </c>
      <c r="N463" s="134">
        <v>0</v>
      </c>
      <c r="O463" s="320">
        <v>1</v>
      </c>
      <c r="P463" s="326">
        <v>0</v>
      </c>
      <c r="Q463" s="326">
        <v>1000</v>
      </c>
      <c r="R463" s="315">
        <v>0</v>
      </c>
      <c r="S463" s="315">
        <v>1</v>
      </c>
      <c r="T463" s="315"/>
      <c r="U463" s="315">
        <v>0</v>
      </c>
      <c r="V463" s="315">
        <v>0</v>
      </c>
      <c r="W463" s="315">
        <v>0</v>
      </c>
      <c r="X463" s="315">
        <v>0</v>
      </c>
      <c r="Y463" s="315">
        <v>0</v>
      </c>
      <c r="Z463" s="315"/>
      <c r="AA463" s="336">
        <v>0</v>
      </c>
      <c r="AB463" s="336">
        <v>0</v>
      </c>
      <c r="AC463" s="337">
        <v>0</v>
      </c>
      <c r="AD463" s="337"/>
      <c r="AE463" s="336">
        <v>0</v>
      </c>
      <c r="AF463" s="336" t="s">
        <v>283</v>
      </c>
      <c r="AG463" s="339" t="s">
        <v>1358</v>
      </c>
      <c r="AH463" s="339">
        <v>0</v>
      </c>
      <c r="AI463" s="336">
        <v>0</v>
      </c>
      <c r="AJ463" s="336"/>
      <c r="AK463" s="848">
        <v>0.6</v>
      </c>
      <c r="AL463" s="842" t="s">
        <v>376</v>
      </c>
      <c r="AM463" s="836">
        <v>0</v>
      </c>
      <c r="AN463" s="837">
        <v>0</v>
      </c>
      <c r="AO463" s="837">
        <v>0</v>
      </c>
      <c r="AP463" s="843">
        <v>0</v>
      </c>
      <c r="AQ463" s="839">
        <v>0</v>
      </c>
      <c r="AR463" s="839"/>
      <c r="AS463" s="839"/>
      <c r="AT463" s="839"/>
      <c r="AU463" s="839"/>
      <c r="AV463" s="849"/>
      <c r="AW463" s="134" t="s">
        <v>3208</v>
      </c>
      <c r="AX463" s="136" t="s">
        <v>3208</v>
      </c>
      <c r="AY463" s="137" t="s">
        <v>2576</v>
      </c>
      <c r="AZ463" s="136">
        <v>1</v>
      </c>
      <c r="BA463" s="136">
        <v>1</v>
      </c>
      <c r="BB463" s="136">
        <v>1</v>
      </c>
      <c r="BC463" s="214">
        <v>25</v>
      </c>
      <c r="BD463" s="136">
        <v>0</v>
      </c>
      <c r="BE463" s="214">
        <v>0</v>
      </c>
      <c r="BF463" s="136">
        <v>1</v>
      </c>
      <c r="BG463" s="214">
        <v>25</v>
      </c>
      <c r="BH463" s="214">
        <v>0.05</v>
      </c>
      <c r="BI463" s="134">
        <v>0</v>
      </c>
      <c r="BJ463" s="214">
        <v>0</v>
      </c>
      <c r="BK463" s="137">
        <v>0.95</v>
      </c>
      <c r="BL463" s="137">
        <v>1</v>
      </c>
      <c r="BM463" s="137">
        <v>0</v>
      </c>
      <c r="BN463" s="134">
        <v>0</v>
      </c>
      <c r="BO463" s="351">
        <v>0</v>
      </c>
      <c r="BP463" s="134">
        <v>0.8</v>
      </c>
      <c r="BQ463" s="214">
        <v>1</v>
      </c>
      <c r="BR463" s="137">
        <v>1</v>
      </c>
      <c r="BS463" s="138">
        <v>0</v>
      </c>
      <c r="BT463" s="351">
        <v>0</v>
      </c>
      <c r="BU463" s="214">
        <v>0</v>
      </c>
      <c r="BV463" s="214">
        <v>0</v>
      </c>
      <c r="BW463" s="214">
        <v>0</v>
      </c>
      <c r="BX463" s="214">
        <v>0</v>
      </c>
      <c r="BY463" s="214">
        <v>0</v>
      </c>
      <c r="BZ463" s="134">
        <v>0</v>
      </c>
      <c r="CA463" s="138">
        <v>1</v>
      </c>
      <c r="CB463" s="136">
        <v>0</v>
      </c>
      <c r="CC463" s="136">
        <v>0</v>
      </c>
      <c r="CD463" s="136">
        <v>0</v>
      </c>
      <c r="CE463" s="137">
        <v>0</v>
      </c>
      <c r="CF463" s="137">
        <v>0</v>
      </c>
      <c r="CG463" s="137">
        <v>0</v>
      </c>
      <c r="CH463" s="214">
        <v>4.8</v>
      </c>
      <c r="CI463" s="139" t="s">
        <v>48</v>
      </c>
      <c r="CJ463" s="139" t="s">
        <v>287</v>
      </c>
      <c r="CK463" s="139" t="s">
        <v>50</v>
      </c>
      <c r="CL463" s="139" t="s">
        <v>50</v>
      </c>
      <c r="CM463" s="139" t="s">
        <v>929</v>
      </c>
      <c r="CN463" s="139" t="s">
        <v>51</v>
      </c>
      <c r="CO463" s="139">
        <v>25.668399999999998</v>
      </c>
      <c r="CP463" s="139">
        <v>96.353030000000004</v>
      </c>
      <c r="CQ463" s="139" t="s">
        <v>2058</v>
      </c>
      <c r="CR463" s="449" t="s">
        <v>40</v>
      </c>
      <c r="CS463" s="449"/>
      <c r="CT463" s="24"/>
      <c r="CU463" s="24"/>
      <c r="CV463" s="24"/>
    </row>
    <row r="464" spans="1:100" x14ac:dyDescent="0.25">
      <c r="A464" s="293" t="s">
        <v>2691</v>
      </c>
      <c r="B464" s="132" t="s">
        <v>287</v>
      </c>
      <c r="C464" s="132" t="s">
        <v>44</v>
      </c>
      <c r="D464" s="132" t="s">
        <v>294</v>
      </c>
      <c r="E464" s="132" t="s">
        <v>334</v>
      </c>
      <c r="F464" s="132">
        <v>30</v>
      </c>
      <c r="G464" s="214">
        <v>120</v>
      </c>
      <c r="H464" s="132"/>
      <c r="I464" s="132" t="s">
        <v>296</v>
      </c>
      <c r="J464" s="133">
        <v>43465</v>
      </c>
      <c r="K464" s="132">
        <v>0</v>
      </c>
      <c r="L464" s="132" t="s">
        <v>48</v>
      </c>
      <c r="M464" s="134">
        <v>0.4</v>
      </c>
      <c r="N464" s="134">
        <v>0.5</v>
      </c>
      <c r="O464" s="320">
        <v>1</v>
      </c>
      <c r="P464" s="326">
        <v>1</v>
      </c>
      <c r="Q464" s="326">
        <v>0</v>
      </c>
      <c r="R464" s="315">
        <v>0</v>
      </c>
      <c r="S464" s="315">
        <v>0</v>
      </c>
      <c r="T464" s="315"/>
      <c r="U464" s="315">
        <v>0</v>
      </c>
      <c r="V464" s="315">
        <v>0</v>
      </c>
      <c r="W464" s="315">
        <v>0</v>
      </c>
      <c r="X464" s="315">
        <v>0</v>
      </c>
      <c r="Y464" s="315">
        <v>0</v>
      </c>
      <c r="Z464" s="315"/>
      <c r="AA464" s="336">
        <v>8</v>
      </c>
      <c r="AB464" s="336">
        <v>0</v>
      </c>
      <c r="AC464" s="337">
        <v>0</v>
      </c>
      <c r="AD464" s="337"/>
      <c r="AE464" s="336">
        <v>0</v>
      </c>
      <c r="AF464" s="336" t="s">
        <v>332</v>
      </c>
      <c r="AG464" s="339" t="s">
        <v>1358</v>
      </c>
      <c r="AH464" s="339"/>
      <c r="AI464" s="336"/>
      <c r="AJ464" s="336"/>
      <c r="AK464" s="848">
        <v>0.2</v>
      </c>
      <c r="AL464" s="842" t="s">
        <v>376</v>
      </c>
      <c r="AM464" s="836">
        <v>0</v>
      </c>
      <c r="AN464" s="837">
        <v>2</v>
      </c>
      <c r="AO464" s="837">
        <v>1</v>
      </c>
      <c r="AP464" s="843">
        <v>0</v>
      </c>
      <c r="AQ464" s="839">
        <v>0</v>
      </c>
      <c r="AR464" s="839"/>
      <c r="AS464" s="839"/>
      <c r="AT464" s="839"/>
      <c r="AU464" s="839"/>
      <c r="AV464" s="849"/>
      <c r="AW464" s="134" t="s">
        <v>3208</v>
      </c>
      <c r="AX464" s="136" t="s">
        <v>3208</v>
      </c>
      <c r="AY464" s="137" t="s">
        <v>2576</v>
      </c>
      <c r="AZ464" s="136">
        <v>1</v>
      </c>
      <c r="BA464" s="136">
        <v>1</v>
      </c>
      <c r="BB464" s="136">
        <v>1</v>
      </c>
      <c r="BC464" s="214">
        <v>120</v>
      </c>
      <c r="BD464" s="136">
        <v>0</v>
      </c>
      <c r="BE464" s="214">
        <v>0</v>
      </c>
      <c r="BF464" s="136">
        <v>1</v>
      </c>
      <c r="BG464" s="214">
        <v>120</v>
      </c>
      <c r="BH464" s="214">
        <v>0.24</v>
      </c>
      <c r="BI464" s="134">
        <v>0</v>
      </c>
      <c r="BJ464" s="214">
        <v>0</v>
      </c>
      <c r="BK464" s="137">
        <v>0.76</v>
      </c>
      <c r="BL464" s="137">
        <v>1</v>
      </c>
      <c r="BM464" s="137">
        <v>8</v>
      </c>
      <c r="BN464" s="134">
        <v>1</v>
      </c>
      <c r="BO464" s="351">
        <v>120</v>
      </c>
      <c r="BP464" s="134">
        <v>0</v>
      </c>
      <c r="BQ464" s="214">
        <v>0</v>
      </c>
      <c r="BR464" s="137">
        <v>6</v>
      </c>
      <c r="BS464" s="138">
        <v>0</v>
      </c>
      <c r="BT464" s="351">
        <v>0</v>
      </c>
      <c r="BU464" s="214">
        <v>120</v>
      </c>
      <c r="BV464" s="214">
        <v>0</v>
      </c>
      <c r="BW464" s="214">
        <v>1</v>
      </c>
      <c r="BX464" s="214">
        <v>0</v>
      </c>
      <c r="BY464" s="214">
        <v>0</v>
      </c>
      <c r="BZ464" s="134">
        <v>0</v>
      </c>
      <c r="CA464" s="138">
        <v>1</v>
      </c>
      <c r="CB464" s="136">
        <v>1</v>
      </c>
      <c r="CC464" s="136">
        <v>0</v>
      </c>
      <c r="CD464" s="136">
        <v>0</v>
      </c>
      <c r="CE464" s="137">
        <v>0</v>
      </c>
      <c r="CF464" s="137">
        <v>0</v>
      </c>
      <c r="CG464" s="137">
        <v>0</v>
      </c>
      <c r="CH464" s="214">
        <v>6</v>
      </c>
      <c r="CI464" s="139" t="s">
        <v>48</v>
      </c>
      <c r="CJ464" s="139" t="s">
        <v>287</v>
      </c>
      <c r="CK464" s="139" t="s">
        <v>50</v>
      </c>
      <c r="CL464" s="139" t="s">
        <v>50</v>
      </c>
      <c r="CM464" s="139" t="s">
        <v>50</v>
      </c>
      <c r="CN464" s="139" t="s">
        <v>51</v>
      </c>
      <c r="CO464" s="139">
        <v>25.920006000000001</v>
      </c>
      <c r="CP464" s="139">
        <v>96.662092000000001</v>
      </c>
      <c r="CQ464" s="139" t="s">
        <v>2069</v>
      </c>
      <c r="CR464" s="449" t="s">
        <v>40</v>
      </c>
      <c r="CS464" s="449"/>
      <c r="CT464" s="24"/>
      <c r="CU464" s="24"/>
      <c r="CV464" s="24"/>
    </row>
    <row r="465" spans="1:100" x14ac:dyDescent="0.25">
      <c r="A465" s="293" t="s">
        <v>2691</v>
      </c>
      <c r="B465" s="132" t="s">
        <v>287</v>
      </c>
      <c r="C465" s="132" t="s">
        <v>44</v>
      </c>
      <c r="D465" s="132" t="s">
        <v>294</v>
      </c>
      <c r="E465" s="132" t="s">
        <v>335</v>
      </c>
      <c r="F465" s="132">
        <v>6</v>
      </c>
      <c r="G465" s="214">
        <v>15</v>
      </c>
      <c r="H465" s="132"/>
      <c r="I465" s="132" t="s">
        <v>296</v>
      </c>
      <c r="J465" s="133">
        <v>43465</v>
      </c>
      <c r="K465" s="132">
        <v>0</v>
      </c>
      <c r="L465" s="132" t="s">
        <v>48</v>
      </c>
      <c r="M465" s="134">
        <v>0.4</v>
      </c>
      <c r="N465" s="134">
        <v>0.5</v>
      </c>
      <c r="O465" s="320">
        <v>0</v>
      </c>
      <c r="P465" s="326">
        <v>1</v>
      </c>
      <c r="Q465" s="326">
        <v>0</v>
      </c>
      <c r="R465" s="315">
        <v>0</v>
      </c>
      <c r="S465" s="315">
        <v>0</v>
      </c>
      <c r="T465" s="315"/>
      <c r="U465" s="315">
        <v>0</v>
      </c>
      <c r="V465" s="315">
        <v>0</v>
      </c>
      <c r="W465" s="315">
        <v>0</v>
      </c>
      <c r="X465" s="315">
        <v>0</v>
      </c>
      <c r="Y465" s="315">
        <v>0</v>
      </c>
      <c r="Z465" s="315"/>
      <c r="AA465" s="336">
        <v>2</v>
      </c>
      <c r="AB465" s="336">
        <v>0</v>
      </c>
      <c r="AC465" s="337">
        <v>0</v>
      </c>
      <c r="AD465" s="337"/>
      <c r="AE465" s="336">
        <v>0</v>
      </c>
      <c r="AF465" s="336" t="s">
        <v>332</v>
      </c>
      <c r="AG465" s="339" t="s">
        <v>283</v>
      </c>
      <c r="AH465" s="339"/>
      <c r="AI465" s="336"/>
      <c r="AJ465" s="336"/>
      <c r="AK465" s="848">
        <v>0.2</v>
      </c>
      <c r="AL465" s="842" t="s">
        <v>376</v>
      </c>
      <c r="AM465" s="836">
        <v>0</v>
      </c>
      <c r="AN465" s="837">
        <v>1</v>
      </c>
      <c r="AO465" s="837">
        <v>1</v>
      </c>
      <c r="AP465" s="843">
        <v>0</v>
      </c>
      <c r="AQ465" s="839">
        <v>0</v>
      </c>
      <c r="AR465" s="839"/>
      <c r="AS465" s="839"/>
      <c r="AT465" s="839"/>
      <c r="AU465" s="839"/>
      <c r="AV465" s="849"/>
      <c r="AW465" s="134" t="s">
        <v>3208</v>
      </c>
      <c r="AX465" s="136" t="s">
        <v>3208</v>
      </c>
      <c r="AY465" s="137" t="s">
        <v>2576</v>
      </c>
      <c r="AZ465" s="136">
        <v>1</v>
      </c>
      <c r="BA465" s="136">
        <v>1</v>
      </c>
      <c r="BB465" s="136">
        <v>1</v>
      </c>
      <c r="BC465" s="214">
        <v>15</v>
      </c>
      <c r="BD465" s="136">
        <v>0</v>
      </c>
      <c r="BE465" s="214">
        <v>0</v>
      </c>
      <c r="BF465" s="136">
        <v>1</v>
      </c>
      <c r="BG465" s="214">
        <v>15</v>
      </c>
      <c r="BH465" s="214">
        <v>0.03</v>
      </c>
      <c r="BI465" s="134">
        <v>0</v>
      </c>
      <c r="BJ465" s="214">
        <v>0</v>
      </c>
      <c r="BK465" s="137">
        <v>0.97</v>
      </c>
      <c r="BL465" s="137">
        <v>1</v>
      </c>
      <c r="BM465" s="137">
        <v>2</v>
      </c>
      <c r="BN465" s="134">
        <v>1</v>
      </c>
      <c r="BO465" s="351">
        <v>15</v>
      </c>
      <c r="BP465" s="134">
        <v>0</v>
      </c>
      <c r="BQ465" s="214">
        <v>0</v>
      </c>
      <c r="BR465" s="137">
        <v>1</v>
      </c>
      <c r="BS465" s="138">
        <v>0</v>
      </c>
      <c r="BT465" s="351">
        <v>0</v>
      </c>
      <c r="BU465" s="214">
        <v>15</v>
      </c>
      <c r="BV465" s="214">
        <v>0</v>
      </c>
      <c r="BW465" s="214">
        <v>1</v>
      </c>
      <c r="BX465" s="214">
        <v>0</v>
      </c>
      <c r="BY465" s="214">
        <v>0</v>
      </c>
      <c r="BZ465" s="134">
        <v>0</v>
      </c>
      <c r="CA465" s="138">
        <v>1</v>
      </c>
      <c r="CB465" s="136">
        <v>1</v>
      </c>
      <c r="CC465" s="136">
        <v>0</v>
      </c>
      <c r="CD465" s="136">
        <v>0</v>
      </c>
      <c r="CE465" s="137">
        <v>0</v>
      </c>
      <c r="CF465" s="137">
        <v>0</v>
      </c>
      <c r="CG465" s="137">
        <v>0</v>
      </c>
      <c r="CH465" s="214">
        <v>1.2000000000000002</v>
      </c>
      <c r="CI465" s="139" t="s">
        <v>48</v>
      </c>
      <c r="CJ465" s="139" t="s">
        <v>2959</v>
      </c>
      <c r="CK465" s="139" t="s">
        <v>50</v>
      </c>
      <c r="CL465" s="139" t="s">
        <v>50</v>
      </c>
      <c r="CM465" s="139" t="s">
        <v>946</v>
      </c>
      <c r="CN465" s="139" t="s">
        <v>51</v>
      </c>
      <c r="CO465" s="139">
        <v>25.920006000000001</v>
      </c>
      <c r="CP465" s="139">
        <v>96.662092000000001</v>
      </c>
      <c r="CQ465" s="139" t="s">
        <v>2070</v>
      </c>
      <c r="CR465" s="449" t="s">
        <v>40</v>
      </c>
      <c r="CS465" s="449"/>
      <c r="CT465" s="24"/>
      <c r="CU465" s="24"/>
      <c r="CV465" s="24"/>
    </row>
    <row r="466" spans="1:100" x14ac:dyDescent="0.25">
      <c r="A466" s="293" t="s">
        <v>2691</v>
      </c>
      <c r="B466" s="132" t="s">
        <v>43</v>
      </c>
      <c r="C466" s="132" t="s">
        <v>44</v>
      </c>
      <c r="D466" s="132" t="s">
        <v>294</v>
      </c>
      <c r="E466" s="132" t="s">
        <v>337</v>
      </c>
      <c r="F466" s="132">
        <v>20</v>
      </c>
      <c r="G466" s="214">
        <v>84</v>
      </c>
      <c r="H466" s="132"/>
      <c r="I466" s="132" t="s">
        <v>388</v>
      </c>
      <c r="J466" s="133">
        <v>43465</v>
      </c>
      <c r="K466" s="132">
        <v>0</v>
      </c>
      <c r="L466" s="132" t="s">
        <v>48</v>
      </c>
      <c r="M466" s="134">
        <v>0.5</v>
      </c>
      <c r="N466" s="134">
        <v>0.5</v>
      </c>
      <c r="O466" s="320">
        <v>0</v>
      </c>
      <c r="P466" s="326">
        <v>1</v>
      </c>
      <c r="Q466" s="326">
        <v>2000</v>
      </c>
      <c r="R466" s="315">
        <v>0</v>
      </c>
      <c r="S466" s="315">
        <v>0</v>
      </c>
      <c r="T466" s="315"/>
      <c r="U466" s="315">
        <v>0</v>
      </c>
      <c r="V466" s="315">
        <v>0</v>
      </c>
      <c r="W466" s="315">
        <v>0</v>
      </c>
      <c r="X466" s="315">
        <v>0</v>
      </c>
      <c r="Y466" s="315">
        <v>0</v>
      </c>
      <c r="Z466" s="315"/>
      <c r="AA466" s="336">
        <v>4</v>
      </c>
      <c r="AB466" s="336">
        <v>0</v>
      </c>
      <c r="AC466" s="337">
        <v>0</v>
      </c>
      <c r="AD466" s="337"/>
      <c r="AE466" s="336">
        <v>0</v>
      </c>
      <c r="AF466" s="336" t="s">
        <v>283</v>
      </c>
      <c r="AG466" s="339" t="s">
        <v>283</v>
      </c>
      <c r="AH466" s="339"/>
      <c r="AI466" s="336"/>
      <c r="AJ466" s="336"/>
      <c r="AK466" s="848">
        <v>0.2</v>
      </c>
      <c r="AL466" s="842" t="s">
        <v>376</v>
      </c>
      <c r="AM466" s="836">
        <v>0</v>
      </c>
      <c r="AN466" s="837">
        <v>1</v>
      </c>
      <c r="AO466" s="837">
        <v>1</v>
      </c>
      <c r="AP466" s="843">
        <v>0</v>
      </c>
      <c r="AQ466" s="839">
        <v>0</v>
      </c>
      <c r="AR466" s="839"/>
      <c r="AS466" s="839"/>
      <c r="AT466" s="839"/>
      <c r="AU466" s="839"/>
      <c r="AV466" s="849"/>
      <c r="AW466" s="134" t="s">
        <v>3208</v>
      </c>
      <c r="AX466" s="136" t="s">
        <v>3208</v>
      </c>
      <c r="AY466" s="137" t="s">
        <v>2576</v>
      </c>
      <c r="AZ466" s="136">
        <v>1</v>
      </c>
      <c r="BA466" s="136">
        <v>1</v>
      </c>
      <c r="BB466" s="136">
        <v>1</v>
      </c>
      <c r="BC466" s="214">
        <v>84</v>
      </c>
      <c r="BD466" s="136">
        <v>0</v>
      </c>
      <c r="BE466" s="214">
        <v>0</v>
      </c>
      <c r="BF466" s="136">
        <v>1</v>
      </c>
      <c r="BG466" s="214">
        <v>84</v>
      </c>
      <c r="BH466" s="214">
        <v>0.16800000000000001</v>
      </c>
      <c r="BI466" s="134">
        <v>0</v>
      </c>
      <c r="BJ466" s="214">
        <v>0</v>
      </c>
      <c r="BK466" s="137">
        <v>0.83199999999999996</v>
      </c>
      <c r="BL466" s="137">
        <v>1</v>
      </c>
      <c r="BM466" s="137">
        <v>4</v>
      </c>
      <c r="BN466" s="134">
        <v>0.95238095238095233</v>
      </c>
      <c r="BO466" s="351">
        <v>80</v>
      </c>
      <c r="BP466" s="134">
        <v>0</v>
      </c>
      <c r="BQ466" s="214">
        <v>0</v>
      </c>
      <c r="BR466" s="137">
        <v>4</v>
      </c>
      <c r="BS466" s="138">
        <v>0</v>
      </c>
      <c r="BT466" s="351">
        <v>0</v>
      </c>
      <c r="BU466" s="214">
        <v>84</v>
      </c>
      <c r="BV466" s="214">
        <v>0</v>
      </c>
      <c r="BW466" s="214">
        <v>1</v>
      </c>
      <c r="BX466" s="214">
        <v>0</v>
      </c>
      <c r="BY466" s="214">
        <v>0</v>
      </c>
      <c r="BZ466" s="134">
        <v>0</v>
      </c>
      <c r="CA466" s="138">
        <v>1</v>
      </c>
      <c r="CB466" s="136">
        <v>1</v>
      </c>
      <c r="CC466" s="136">
        <v>0</v>
      </c>
      <c r="CD466" s="136">
        <v>0</v>
      </c>
      <c r="CE466" s="137">
        <v>0</v>
      </c>
      <c r="CF466" s="137">
        <v>0</v>
      </c>
      <c r="CG466" s="137">
        <v>0</v>
      </c>
      <c r="CH466" s="214">
        <v>4</v>
      </c>
      <c r="CI466" s="139">
        <v>0</v>
      </c>
      <c r="CJ466" s="139">
        <v>0</v>
      </c>
      <c r="CK466" s="139" t="s">
        <v>1921</v>
      </c>
      <c r="CL466" s="139" t="s">
        <v>50</v>
      </c>
      <c r="CM466" s="139" t="s">
        <v>50</v>
      </c>
      <c r="CN466" s="139" t="s">
        <v>51</v>
      </c>
      <c r="CO466" s="139">
        <v>0</v>
      </c>
      <c r="CP466" s="139">
        <v>0</v>
      </c>
      <c r="CQ466" s="139">
        <v>0</v>
      </c>
      <c r="CR466" s="449" t="s">
        <v>40</v>
      </c>
      <c r="CS466" s="449"/>
      <c r="CT466" s="24"/>
      <c r="CU466" s="24"/>
      <c r="CV466" s="24"/>
    </row>
    <row r="467" spans="1:100" x14ac:dyDescent="0.25">
      <c r="A467" s="293" t="s">
        <v>2691</v>
      </c>
      <c r="B467" s="132" t="s">
        <v>389</v>
      </c>
      <c r="C467" s="132" t="s">
        <v>44</v>
      </c>
      <c r="D467" s="132" t="s">
        <v>294</v>
      </c>
      <c r="E467" s="132" t="s">
        <v>411</v>
      </c>
      <c r="F467" s="132">
        <v>32</v>
      </c>
      <c r="G467" s="214">
        <v>173</v>
      </c>
      <c r="H467" s="132"/>
      <c r="I467" s="132" t="s">
        <v>391</v>
      </c>
      <c r="J467" s="133">
        <v>42947</v>
      </c>
      <c r="K467" s="132">
        <v>0</v>
      </c>
      <c r="L467" s="132" t="s">
        <v>48</v>
      </c>
      <c r="M467" s="134">
        <v>0.25</v>
      </c>
      <c r="N467" s="134">
        <v>0</v>
      </c>
      <c r="O467" s="320">
        <v>0</v>
      </c>
      <c r="P467" s="326">
        <v>0</v>
      </c>
      <c r="Q467" s="326">
        <v>500</v>
      </c>
      <c r="R467" s="315">
        <v>0</v>
      </c>
      <c r="S467" s="315">
        <v>1</v>
      </c>
      <c r="T467" s="315"/>
      <c r="U467" s="315">
        <v>1</v>
      </c>
      <c r="V467" s="315">
        <v>0</v>
      </c>
      <c r="W467" s="315">
        <v>1</v>
      </c>
      <c r="X467" s="315">
        <v>1</v>
      </c>
      <c r="Y467" s="315">
        <v>0</v>
      </c>
      <c r="Z467" s="315"/>
      <c r="AA467" s="336">
        <v>10</v>
      </c>
      <c r="AB467" s="336">
        <v>4</v>
      </c>
      <c r="AC467" s="337">
        <v>0</v>
      </c>
      <c r="AD467" s="337" t="s">
        <v>2789</v>
      </c>
      <c r="AE467" s="336">
        <v>10</v>
      </c>
      <c r="AF467" s="336" t="s">
        <v>283</v>
      </c>
      <c r="AG467" s="339" t="s">
        <v>283</v>
      </c>
      <c r="AH467" s="339">
        <v>0</v>
      </c>
      <c r="AI467" s="336">
        <v>0</v>
      </c>
      <c r="AJ467" s="336"/>
      <c r="AK467" s="848">
        <v>0.4</v>
      </c>
      <c r="AL467" s="842" t="s">
        <v>376</v>
      </c>
      <c r="AM467" s="836">
        <v>0</v>
      </c>
      <c r="AN467" s="837">
        <v>3</v>
      </c>
      <c r="AO467" s="837">
        <v>0</v>
      </c>
      <c r="AP467" s="843">
        <v>0</v>
      </c>
      <c r="AQ467" s="839">
        <v>0</v>
      </c>
      <c r="AR467" s="839"/>
      <c r="AS467" s="839"/>
      <c r="AT467" s="839">
        <v>1</v>
      </c>
      <c r="AU467" s="839"/>
      <c r="AV467" s="849"/>
      <c r="AW467" s="134">
        <v>0</v>
      </c>
      <c r="AX467" s="136">
        <v>1</v>
      </c>
      <c r="AY467" s="137" t="s">
        <v>2577</v>
      </c>
      <c r="AZ467" s="136">
        <v>0.19267822736030829</v>
      </c>
      <c r="BA467" s="136">
        <v>0.19267822736030829</v>
      </c>
      <c r="BB467" s="136">
        <v>0.19267822736030829</v>
      </c>
      <c r="BC467" s="214">
        <v>33.333333333333336</v>
      </c>
      <c r="BD467" s="136">
        <v>0</v>
      </c>
      <c r="BE467" s="214">
        <v>0</v>
      </c>
      <c r="BF467" s="136">
        <v>0.19267822736030829</v>
      </c>
      <c r="BG467" s="214">
        <v>33.333333333333336</v>
      </c>
      <c r="BH467" s="214">
        <v>6.6666666666666666E-2</v>
      </c>
      <c r="BI467" s="134">
        <v>0.80732177263969174</v>
      </c>
      <c r="BJ467" s="214">
        <v>139.66666666666666</v>
      </c>
      <c r="BK467" s="137">
        <v>0.93333333333333335</v>
      </c>
      <c r="BL467" s="137">
        <v>1</v>
      </c>
      <c r="BM467" s="137">
        <v>14</v>
      </c>
      <c r="BN467" s="134">
        <v>1</v>
      </c>
      <c r="BO467" s="351">
        <v>173</v>
      </c>
      <c r="BP467" s="134">
        <v>0</v>
      </c>
      <c r="BQ467" s="214">
        <v>0</v>
      </c>
      <c r="BR467" s="137">
        <v>9</v>
      </c>
      <c r="BS467" s="138">
        <v>0.2857142857142857</v>
      </c>
      <c r="BT467" s="351">
        <v>0</v>
      </c>
      <c r="BU467" s="214">
        <v>0</v>
      </c>
      <c r="BV467" s="214">
        <v>0</v>
      </c>
      <c r="BW467" s="214">
        <v>0</v>
      </c>
      <c r="BX467" s="214">
        <v>0</v>
      </c>
      <c r="BY467" s="214">
        <v>0</v>
      </c>
      <c r="BZ467" s="134">
        <v>0</v>
      </c>
      <c r="CA467" s="138">
        <v>1</v>
      </c>
      <c r="CB467" s="136">
        <v>0</v>
      </c>
      <c r="CC467" s="136">
        <v>0</v>
      </c>
      <c r="CD467" s="136">
        <v>0</v>
      </c>
      <c r="CE467" s="137">
        <v>0</v>
      </c>
      <c r="CF467" s="137">
        <v>0</v>
      </c>
      <c r="CG467" s="137">
        <v>0</v>
      </c>
      <c r="CH467" s="214">
        <v>12.8</v>
      </c>
      <c r="CI467" s="139" t="s">
        <v>48</v>
      </c>
      <c r="CJ467" s="139" t="s">
        <v>287</v>
      </c>
      <c r="CK467" s="139" t="s">
        <v>50</v>
      </c>
      <c r="CL467" s="139" t="s">
        <v>50</v>
      </c>
      <c r="CM467" s="139" t="s">
        <v>50</v>
      </c>
      <c r="CN467" s="139" t="s">
        <v>51</v>
      </c>
      <c r="CO467" s="139">
        <v>25.577559999999998</v>
      </c>
      <c r="CP467" s="139">
        <v>96.286680000000004</v>
      </c>
      <c r="CQ467" s="139" t="s">
        <v>2039</v>
      </c>
      <c r="CR467" s="449" t="s">
        <v>40</v>
      </c>
      <c r="CS467" s="449"/>
      <c r="CT467" s="24"/>
      <c r="CU467" s="24"/>
      <c r="CV467" s="24"/>
    </row>
    <row r="468" spans="1:100" x14ac:dyDescent="0.25">
      <c r="A468" s="293" t="s">
        <v>2691</v>
      </c>
      <c r="B468" s="132" t="s">
        <v>389</v>
      </c>
      <c r="C468" s="132" t="s">
        <v>44</v>
      </c>
      <c r="D468" s="132" t="s">
        <v>294</v>
      </c>
      <c r="E468" s="132" t="s">
        <v>412</v>
      </c>
      <c r="F468" s="132">
        <v>16</v>
      </c>
      <c r="G468" s="214">
        <v>67</v>
      </c>
      <c r="H468" s="132"/>
      <c r="I468" s="132" t="s">
        <v>391</v>
      </c>
      <c r="J468" s="133">
        <v>42947</v>
      </c>
      <c r="K468" s="132">
        <v>0</v>
      </c>
      <c r="L468" s="132" t="s">
        <v>48</v>
      </c>
      <c r="M468" s="134">
        <v>0.5</v>
      </c>
      <c r="N468" s="134">
        <v>1</v>
      </c>
      <c r="O468" s="320">
        <v>1</v>
      </c>
      <c r="P468" s="326">
        <v>0</v>
      </c>
      <c r="Q468" s="326">
        <v>0</v>
      </c>
      <c r="R468" s="315">
        <v>0</v>
      </c>
      <c r="S468" s="315">
        <v>1</v>
      </c>
      <c r="T468" s="315"/>
      <c r="U468" s="315">
        <v>1</v>
      </c>
      <c r="V468" s="315">
        <v>0</v>
      </c>
      <c r="W468" s="315">
        <v>2</v>
      </c>
      <c r="X468" s="315">
        <v>0</v>
      </c>
      <c r="Y468" s="315">
        <v>0</v>
      </c>
      <c r="Z468" s="315"/>
      <c r="AA468" s="336">
        <v>2</v>
      </c>
      <c r="AB468" s="336">
        <v>0</v>
      </c>
      <c r="AC468" s="337">
        <v>2</v>
      </c>
      <c r="AD468" s="337" t="s">
        <v>2789</v>
      </c>
      <c r="AE468" s="336">
        <v>2</v>
      </c>
      <c r="AF468" s="336" t="s">
        <v>283</v>
      </c>
      <c r="AG468" s="339" t="s">
        <v>1358</v>
      </c>
      <c r="AH468" s="339">
        <v>0</v>
      </c>
      <c r="AI468" s="336">
        <v>0</v>
      </c>
      <c r="AJ468" s="336"/>
      <c r="AK468" s="848">
        <v>0.6</v>
      </c>
      <c r="AL468" s="842" t="s">
        <v>376</v>
      </c>
      <c r="AM468" s="836">
        <v>0</v>
      </c>
      <c r="AN468" s="837">
        <v>2</v>
      </c>
      <c r="AO468" s="837">
        <v>0</v>
      </c>
      <c r="AP468" s="843">
        <v>0</v>
      </c>
      <c r="AQ468" s="839">
        <v>0</v>
      </c>
      <c r="AR468" s="839"/>
      <c r="AS468" s="839"/>
      <c r="AT468" s="839">
        <v>1</v>
      </c>
      <c r="AU468" s="839"/>
      <c r="AV468" s="849"/>
      <c r="AW468" s="134">
        <v>0</v>
      </c>
      <c r="AX468" s="136">
        <v>0</v>
      </c>
      <c r="AY468" s="137" t="s">
        <v>2577</v>
      </c>
      <c r="AZ468" s="136">
        <v>1</v>
      </c>
      <c r="BA468" s="136">
        <v>1</v>
      </c>
      <c r="BB468" s="136">
        <v>1</v>
      </c>
      <c r="BC468" s="214">
        <v>67</v>
      </c>
      <c r="BD468" s="136">
        <v>0</v>
      </c>
      <c r="BE468" s="214">
        <v>0</v>
      </c>
      <c r="BF468" s="136">
        <v>1</v>
      </c>
      <c r="BG468" s="214">
        <v>67</v>
      </c>
      <c r="BH468" s="214">
        <v>0.13400000000000001</v>
      </c>
      <c r="BI468" s="134">
        <v>0</v>
      </c>
      <c r="BJ468" s="214">
        <v>0</v>
      </c>
      <c r="BK468" s="137">
        <v>0.86599999999999999</v>
      </c>
      <c r="BL468" s="137">
        <v>1</v>
      </c>
      <c r="BM468" s="137">
        <v>2</v>
      </c>
      <c r="BN468" s="134">
        <v>0.59701492537313428</v>
      </c>
      <c r="BO468" s="351">
        <v>40</v>
      </c>
      <c r="BP468" s="134">
        <v>0.29850746268656714</v>
      </c>
      <c r="BQ468" s="214">
        <v>1</v>
      </c>
      <c r="BR468" s="137">
        <v>3</v>
      </c>
      <c r="BS468" s="138">
        <v>0</v>
      </c>
      <c r="BT468" s="351">
        <v>40</v>
      </c>
      <c r="BU468" s="214">
        <v>0</v>
      </c>
      <c r="BV468" s="214">
        <v>0</v>
      </c>
      <c r="BW468" s="214">
        <v>0</v>
      </c>
      <c r="BX468" s="214">
        <v>0</v>
      </c>
      <c r="BY468" s="214">
        <v>0</v>
      </c>
      <c r="BZ468" s="134">
        <v>0</v>
      </c>
      <c r="CA468" s="138">
        <v>1</v>
      </c>
      <c r="CB468" s="136">
        <v>0</v>
      </c>
      <c r="CC468" s="136">
        <v>0</v>
      </c>
      <c r="CD468" s="136">
        <v>0</v>
      </c>
      <c r="CE468" s="137">
        <v>0</v>
      </c>
      <c r="CF468" s="137">
        <v>0</v>
      </c>
      <c r="CG468" s="137">
        <v>0</v>
      </c>
      <c r="CH468" s="214">
        <v>9.6</v>
      </c>
      <c r="CI468" s="139" t="s">
        <v>48</v>
      </c>
      <c r="CJ468" s="139" t="s">
        <v>287</v>
      </c>
      <c r="CK468" s="139" t="s">
        <v>50</v>
      </c>
      <c r="CL468" s="139" t="s">
        <v>50</v>
      </c>
      <c r="CM468" s="139" t="s">
        <v>50</v>
      </c>
      <c r="CN468" s="139" t="s">
        <v>51</v>
      </c>
      <c r="CO468" s="139">
        <v>25.599250000000001</v>
      </c>
      <c r="CP468" s="139">
        <v>96.306910999999999</v>
      </c>
      <c r="CQ468" s="139" t="s">
        <v>2042</v>
      </c>
      <c r="CR468" s="449" t="s">
        <v>40</v>
      </c>
      <c r="CS468" s="449"/>
      <c r="CT468" s="24"/>
      <c r="CU468" s="24"/>
      <c r="CV468" s="24"/>
    </row>
    <row r="469" spans="1:100" x14ac:dyDescent="0.25">
      <c r="A469" s="293" t="s">
        <v>2691</v>
      </c>
      <c r="B469" s="132" t="s">
        <v>441</v>
      </c>
      <c r="C469" s="132" t="s">
        <v>44</v>
      </c>
      <c r="D469" s="132" t="s">
        <v>45</v>
      </c>
      <c r="E469" s="132" t="s">
        <v>2443</v>
      </c>
      <c r="F469" s="132">
        <v>415</v>
      </c>
      <c r="G469" s="214">
        <v>1786</v>
      </c>
      <c r="H469" s="132"/>
      <c r="I469" s="132" t="s">
        <v>2407</v>
      </c>
      <c r="J469" s="133">
        <v>43799</v>
      </c>
      <c r="K469" s="132">
        <v>0</v>
      </c>
      <c r="L469" s="132" t="s">
        <v>48</v>
      </c>
      <c r="M469" s="134">
        <v>0.6</v>
      </c>
      <c r="N469" s="134">
        <v>0.1</v>
      </c>
      <c r="O469" s="320">
        <v>4</v>
      </c>
      <c r="P469" s="326">
        <v>0</v>
      </c>
      <c r="Q469" s="326">
        <v>23166</v>
      </c>
      <c r="R469" s="315">
        <v>0</v>
      </c>
      <c r="S469" s="315">
        <v>0</v>
      </c>
      <c r="T469" s="315"/>
      <c r="U469" s="315">
        <v>3</v>
      </c>
      <c r="V469" s="315">
        <v>0</v>
      </c>
      <c r="W469" s="315">
        <v>44</v>
      </c>
      <c r="X469" s="315">
        <v>10</v>
      </c>
      <c r="Y469" s="315">
        <v>0</v>
      </c>
      <c r="Z469" s="315"/>
      <c r="AA469" s="336">
        <v>160</v>
      </c>
      <c r="AB469" s="336">
        <v>40</v>
      </c>
      <c r="AC469" s="337">
        <v>0</v>
      </c>
      <c r="AD469" s="337"/>
      <c r="AE469" s="336">
        <v>0</v>
      </c>
      <c r="AF469" s="336" t="s">
        <v>332</v>
      </c>
      <c r="AG469" s="339" t="s">
        <v>1358</v>
      </c>
      <c r="AH469" s="339">
        <v>0</v>
      </c>
      <c r="AI469" s="336">
        <v>0</v>
      </c>
      <c r="AJ469" s="336"/>
      <c r="AK469" s="848">
        <v>1</v>
      </c>
      <c r="AL469" s="836" t="s">
        <v>376</v>
      </c>
      <c r="AM469" s="836">
        <v>0</v>
      </c>
      <c r="AN469" s="837">
        <v>13</v>
      </c>
      <c r="AO469" s="837">
        <v>1</v>
      </c>
      <c r="AP469" s="843">
        <v>374</v>
      </c>
      <c r="AQ469" s="839">
        <v>0</v>
      </c>
      <c r="AR469" s="839" t="s">
        <v>282</v>
      </c>
      <c r="AS469" s="839"/>
      <c r="AT469" s="839">
        <v>7</v>
      </c>
      <c r="AU469" s="839"/>
      <c r="AV469" s="849"/>
      <c r="AW469" s="134">
        <v>0</v>
      </c>
      <c r="AX469" s="136">
        <v>0.22727272727272727</v>
      </c>
      <c r="AY469" s="137" t="s">
        <v>2577</v>
      </c>
      <c r="AZ469" s="136">
        <v>1</v>
      </c>
      <c r="BA469" s="136">
        <v>1</v>
      </c>
      <c r="BB469" s="136">
        <v>1</v>
      </c>
      <c r="BC469" s="214">
        <v>1786</v>
      </c>
      <c r="BD469" s="136">
        <v>0</v>
      </c>
      <c r="BE469" s="214">
        <v>0</v>
      </c>
      <c r="BF469" s="136">
        <v>1</v>
      </c>
      <c r="BG469" s="214">
        <v>1786</v>
      </c>
      <c r="BH469" s="214">
        <v>3.5720000000000001</v>
      </c>
      <c r="BI469" s="134">
        <v>0</v>
      </c>
      <c r="BJ469" s="214">
        <v>0</v>
      </c>
      <c r="BK469" s="137">
        <v>0.42799999999999994</v>
      </c>
      <c r="BL469" s="137">
        <v>4</v>
      </c>
      <c r="BM469" s="137">
        <v>200</v>
      </c>
      <c r="BN469" s="134">
        <v>1</v>
      </c>
      <c r="BO469" s="351">
        <v>1786</v>
      </c>
      <c r="BP469" s="134">
        <v>0</v>
      </c>
      <c r="BQ469" s="214">
        <v>0</v>
      </c>
      <c r="BR469" s="137">
        <v>89</v>
      </c>
      <c r="BS469" s="138">
        <v>0.2</v>
      </c>
      <c r="BT469" s="351">
        <v>0</v>
      </c>
      <c r="BU469" s="214">
        <v>500</v>
      </c>
      <c r="BV469" s="214">
        <v>0</v>
      </c>
      <c r="BW469" s="214">
        <v>0</v>
      </c>
      <c r="BX469" s="214">
        <v>0</v>
      </c>
      <c r="BY469" s="214">
        <v>0</v>
      </c>
      <c r="BZ469" s="134">
        <v>0</v>
      </c>
      <c r="CA469" s="138">
        <v>1</v>
      </c>
      <c r="CB469" s="136">
        <v>0.27995520716685329</v>
      </c>
      <c r="CC469" s="136">
        <v>0.90120481927710838</v>
      </c>
      <c r="CD469" s="136">
        <v>0</v>
      </c>
      <c r="CE469" s="137">
        <v>1870</v>
      </c>
      <c r="CF469" s="137">
        <v>0</v>
      </c>
      <c r="CG469" s="137">
        <v>1870</v>
      </c>
      <c r="CH469" s="214">
        <v>415</v>
      </c>
      <c r="CI469" s="139" t="s">
        <v>48</v>
      </c>
      <c r="CJ469" s="139" t="s">
        <v>49</v>
      </c>
      <c r="CK469" s="139" t="s">
        <v>50</v>
      </c>
      <c r="CL469" s="139" t="s">
        <v>50</v>
      </c>
      <c r="CM469" s="139" t="s">
        <v>50</v>
      </c>
      <c r="CN469" s="139" t="s">
        <v>949</v>
      </c>
      <c r="CO469" s="139">
        <v>24.002433</v>
      </c>
      <c r="CP469" s="139">
        <v>97.609832999999995</v>
      </c>
      <c r="CQ469" s="139" t="s">
        <v>1923</v>
      </c>
      <c r="CR469" s="449" t="s">
        <v>40</v>
      </c>
      <c r="CS469" s="449"/>
      <c r="CT469" s="24"/>
      <c r="CU469" s="24"/>
      <c r="CV469" s="24"/>
    </row>
    <row r="470" spans="1:100" x14ac:dyDescent="0.25">
      <c r="A470" s="293" t="s">
        <v>2691</v>
      </c>
      <c r="B470" s="132" t="s">
        <v>441</v>
      </c>
      <c r="C470" s="132" t="s">
        <v>44</v>
      </c>
      <c r="D470" s="132" t="s">
        <v>45</v>
      </c>
      <c r="E470" s="132" t="s">
        <v>444</v>
      </c>
      <c r="F470" s="132">
        <v>567</v>
      </c>
      <c r="G470" s="214">
        <v>2478</v>
      </c>
      <c r="H470" s="132"/>
      <c r="I470" s="132" t="s">
        <v>2407</v>
      </c>
      <c r="J470" s="133">
        <v>43799</v>
      </c>
      <c r="K470" s="132">
        <v>0</v>
      </c>
      <c r="L470" s="132" t="s">
        <v>48</v>
      </c>
      <c r="M470" s="134">
        <v>0.5</v>
      </c>
      <c r="N470" s="134">
        <v>0.1</v>
      </c>
      <c r="O470" s="320">
        <v>1</v>
      </c>
      <c r="P470" s="326">
        <v>0</v>
      </c>
      <c r="Q470" s="326">
        <v>7588</v>
      </c>
      <c r="R470" s="315">
        <v>0</v>
      </c>
      <c r="S470" s="315">
        <v>0</v>
      </c>
      <c r="T470" s="315"/>
      <c r="U470" s="315">
        <v>0</v>
      </c>
      <c r="V470" s="315">
        <v>0</v>
      </c>
      <c r="W470" s="315">
        <v>0</v>
      </c>
      <c r="X470" s="315">
        <v>0</v>
      </c>
      <c r="Y470" s="315">
        <v>0</v>
      </c>
      <c r="Z470" s="315"/>
      <c r="AA470" s="336">
        <v>124</v>
      </c>
      <c r="AB470" s="336">
        <v>15</v>
      </c>
      <c r="AC470" s="337">
        <v>1</v>
      </c>
      <c r="AD470" s="337"/>
      <c r="AE470" s="336">
        <v>0</v>
      </c>
      <c r="AF470" s="336" t="s">
        <v>332</v>
      </c>
      <c r="AG470" s="339" t="s">
        <v>1358</v>
      </c>
      <c r="AH470" s="339">
        <v>0</v>
      </c>
      <c r="AI470" s="336">
        <v>0</v>
      </c>
      <c r="AJ470" s="336"/>
      <c r="AK470" s="848">
        <v>0</v>
      </c>
      <c r="AL470" s="836" t="s">
        <v>376</v>
      </c>
      <c r="AM470" s="836">
        <v>0</v>
      </c>
      <c r="AN470" s="837">
        <v>6</v>
      </c>
      <c r="AO470" s="837"/>
      <c r="AP470" s="843">
        <v>467</v>
      </c>
      <c r="AQ470" s="839">
        <v>0</v>
      </c>
      <c r="AR470" s="839" t="s">
        <v>282</v>
      </c>
      <c r="AS470" s="839"/>
      <c r="AT470" s="839">
        <v>13</v>
      </c>
      <c r="AU470" s="839"/>
      <c r="AV470" s="849"/>
      <c r="AW470" s="134" t="s">
        <v>3208</v>
      </c>
      <c r="AX470" s="136" t="s">
        <v>3208</v>
      </c>
      <c r="AY470" s="137" t="s">
        <v>2576</v>
      </c>
      <c r="AZ470" s="136">
        <v>1</v>
      </c>
      <c r="BA470" s="136">
        <v>0.30503093892924404</v>
      </c>
      <c r="BB470" s="136">
        <v>1</v>
      </c>
      <c r="BC470" s="214">
        <v>2478</v>
      </c>
      <c r="BD470" s="136">
        <v>0</v>
      </c>
      <c r="BE470" s="214">
        <v>0</v>
      </c>
      <c r="BF470" s="136">
        <v>1</v>
      </c>
      <c r="BG470" s="214">
        <v>2478</v>
      </c>
      <c r="BH470" s="214">
        <v>4.9560000000000004</v>
      </c>
      <c r="BI470" s="134">
        <v>0</v>
      </c>
      <c r="BJ470" s="214">
        <v>0</v>
      </c>
      <c r="BK470" s="137">
        <v>4.3999999999999595E-2</v>
      </c>
      <c r="BL470" s="137">
        <v>5</v>
      </c>
      <c r="BM470" s="137">
        <v>139</v>
      </c>
      <c r="BN470" s="134">
        <v>1</v>
      </c>
      <c r="BO470" s="351">
        <v>2478</v>
      </c>
      <c r="BP470" s="134">
        <v>0</v>
      </c>
      <c r="BQ470" s="214">
        <v>0</v>
      </c>
      <c r="BR470" s="137">
        <v>124</v>
      </c>
      <c r="BS470" s="138">
        <v>0.1079136690647482</v>
      </c>
      <c r="BT470" s="351">
        <v>20</v>
      </c>
      <c r="BU470" s="214">
        <v>0</v>
      </c>
      <c r="BV470" s="214">
        <v>0</v>
      </c>
      <c r="BW470" s="214">
        <v>0</v>
      </c>
      <c r="BX470" s="214">
        <v>0</v>
      </c>
      <c r="BY470" s="214">
        <v>0</v>
      </c>
      <c r="BZ470" s="134">
        <v>0</v>
      </c>
      <c r="CA470" s="138">
        <v>1</v>
      </c>
      <c r="CB470" s="136">
        <v>0</v>
      </c>
      <c r="CC470" s="136">
        <v>0.82363315696649031</v>
      </c>
      <c r="CD470" s="136">
        <v>0</v>
      </c>
      <c r="CE470" s="137">
        <v>2335</v>
      </c>
      <c r="CF470" s="137">
        <v>0</v>
      </c>
      <c r="CG470" s="137">
        <v>2335</v>
      </c>
      <c r="CH470" s="214">
        <v>0</v>
      </c>
      <c r="CI470" s="139" t="s">
        <v>48</v>
      </c>
      <c r="CJ470" s="139" t="s">
        <v>49</v>
      </c>
      <c r="CK470" s="139" t="s">
        <v>50</v>
      </c>
      <c r="CL470" s="139" t="s">
        <v>50</v>
      </c>
      <c r="CM470" s="139" t="s">
        <v>50</v>
      </c>
      <c r="CN470" s="139" t="s">
        <v>949</v>
      </c>
      <c r="CO470" s="139">
        <v>24.056132999999999</v>
      </c>
      <c r="CP470" s="139">
        <v>97.625617000000005</v>
      </c>
      <c r="CQ470" s="139" t="s">
        <v>1927</v>
      </c>
      <c r="CR470" s="449" t="s">
        <v>40</v>
      </c>
      <c r="CS470" s="449"/>
      <c r="CT470" s="24"/>
      <c r="CU470" s="24"/>
      <c r="CV470" s="24"/>
    </row>
    <row r="471" spans="1:100" x14ac:dyDescent="0.25">
      <c r="A471" s="293" t="s">
        <v>2691</v>
      </c>
      <c r="B471" s="132" t="s">
        <v>287</v>
      </c>
      <c r="C471" s="132" t="s">
        <v>44</v>
      </c>
      <c r="D471" s="132" t="s">
        <v>45</v>
      </c>
      <c r="E471" s="132" t="s">
        <v>329</v>
      </c>
      <c r="F471" s="132">
        <v>432</v>
      </c>
      <c r="G471" s="214">
        <v>1855</v>
      </c>
      <c r="H471" s="132"/>
      <c r="I471" s="132" t="s">
        <v>290</v>
      </c>
      <c r="J471" s="133">
        <v>43555</v>
      </c>
      <c r="K471" s="132">
        <v>0</v>
      </c>
      <c r="L471" s="132" t="s">
        <v>48</v>
      </c>
      <c r="M471" s="134">
        <v>0.8</v>
      </c>
      <c r="N471" s="134">
        <v>0.5</v>
      </c>
      <c r="O471" s="320">
        <v>0</v>
      </c>
      <c r="P471" s="326">
        <v>4</v>
      </c>
      <c r="Q471" s="326">
        <v>0</v>
      </c>
      <c r="R471" s="315">
        <v>0</v>
      </c>
      <c r="S471" s="315">
        <v>0</v>
      </c>
      <c r="T471" s="315"/>
      <c r="U471" s="315">
        <v>0</v>
      </c>
      <c r="V471" s="315">
        <v>0</v>
      </c>
      <c r="W471" s="315">
        <v>0</v>
      </c>
      <c r="X471" s="315">
        <v>0</v>
      </c>
      <c r="Y471" s="315">
        <v>0</v>
      </c>
      <c r="Z471" s="315"/>
      <c r="AA471" s="336">
        <v>110</v>
      </c>
      <c r="AB471" s="336">
        <v>40</v>
      </c>
      <c r="AC471" s="337">
        <v>0</v>
      </c>
      <c r="AD471" s="337"/>
      <c r="AE471" s="336">
        <v>0</v>
      </c>
      <c r="AF471" s="336" t="s">
        <v>283</v>
      </c>
      <c r="AG471" s="339" t="s">
        <v>1358</v>
      </c>
      <c r="AH471" s="339"/>
      <c r="AI471" s="336"/>
      <c r="AJ471" s="336"/>
      <c r="AK471" s="848">
        <v>0.6</v>
      </c>
      <c r="AL471" s="842" t="s">
        <v>376</v>
      </c>
      <c r="AM471" s="836">
        <v>0</v>
      </c>
      <c r="AN471" s="837">
        <v>10</v>
      </c>
      <c r="AO471" s="837">
        <v>3</v>
      </c>
      <c r="AP471" s="843">
        <v>0</v>
      </c>
      <c r="AQ471" s="839">
        <v>0</v>
      </c>
      <c r="AR471" s="839"/>
      <c r="AS471" s="839"/>
      <c r="AT471" s="839"/>
      <c r="AU471" s="839"/>
      <c r="AV471" s="849"/>
      <c r="AW471" s="134" t="s">
        <v>3208</v>
      </c>
      <c r="AX471" s="136" t="s">
        <v>3208</v>
      </c>
      <c r="AY471" s="137" t="s">
        <v>2576</v>
      </c>
      <c r="AZ471" s="136">
        <v>1</v>
      </c>
      <c r="BA471" s="136">
        <v>0.53908355795148244</v>
      </c>
      <c r="BB471" s="136">
        <v>1</v>
      </c>
      <c r="BC471" s="214">
        <v>1855</v>
      </c>
      <c r="BD471" s="136">
        <v>0</v>
      </c>
      <c r="BE471" s="214">
        <v>0</v>
      </c>
      <c r="BF471" s="136">
        <v>1</v>
      </c>
      <c r="BG471" s="214">
        <v>1855</v>
      </c>
      <c r="BH471" s="214">
        <v>3.71</v>
      </c>
      <c r="BI471" s="134">
        <v>0</v>
      </c>
      <c r="BJ471" s="214">
        <v>0</v>
      </c>
      <c r="BK471" s="137">
        <v>0.29000000000000004</v>
      </c>
      <c r="BL471" s="137">
        <v>4</v>
      </c>
      <c r="BM471" s="137">
        <v>150</v>
      </c>
      <c r="BN471" s="134">
        <v>1</v>
      </c>
      <c r="BO471" s="351">
        <v>1855</v>
      </c>
      <c r="BP471" s="134">
        <v>0</v>
      </c>
      <c r="BQ471" s="214">
        <v>0</v>
      </c>
      <c r="BR471" s="137">
        <v>93</v>
      </c>
      <c r="BS471" s="138">
        <v>0.26666666666666666</v>
      </c>
      <c r="BT471" s="351">
        <v>0</v>
      </c>
      <c r="BU471" s="214">
        <v>1500</v>
      </c>
      <c r="BV471" s="214">
        <v>0</v>
      </c>
      <c r="BW471" s="214">
        <v>0</v>
      </c>
      <c r="BX471" s="214">
        <v>0</v>
      </c>
      <c r="BY471" s="214">
        <v>0</v>
      </c>
      <c r="BZ471" s="134">
        <v>0</v>
      </c>
      <c r="CA471" s="138">
        <v>1</v>
      </c>
      <c r="CB471" s="136">
        <v>0.80862533692722371</v>
      </c>
      <c r="CC471" s="136">
        <v>0</v>
      </c>
      <c r="CD471" s="136">
        <v>0</v>
      </c>
      <c r="CE471" s="137">
        <v>0</v>
      </c>
      <c r="CF471" s="137">
        <v>0</v>
      </c>
      <c r="CG471" s="137">
        <v>0</v>
      </c>
      <c r="CH471" s="214">
        <v>259.2</v>
      </c>
      <c r="CI471" s="139" t="s">
        <v>48</v>
      </c>
      <c r="CJ471" s="139" t="s">
        <v>287</v>
      </c>
      <c r="CK471" s="139" t="s">
        <v>50</v>
      </c>
      <c r="CL471" s="139" t="s">
        <v>50</v>
      </c>
      <c r="CM471" s="139" t="s">
        <v>50</v>
      </c>
      <c r="CN471" s="139" t="s">
        <v>51</v>
      </c>
      <c r="CO471" s="139">
        <v>23.972453000000002</v>
      </c>
      <c r="CP471" s="139">
        <v>97.225881000000001</v>
      </c>
      <c r="CQ471" s="139" t="s">
        <v>1918</v>
      </c>
      <c r="CR471" s="449" t="s">
        <v>40</v>
      </c>
      <c r="CS471" s="449"/>
      <c r="CT471" s="24"/>
      <c r="CU471" s="24"/>
      <c r="CV471" s="24"/>
    </row>
    <row r="472" spans="1:100" x14ac:dyDescent="0.25">
      <c r="A472" s="293" t="s">
        <v>2691</v>
      </c>
      <c r="B472" s="206" t="s">
        <v>43</v>
      </c>
      <c r="C472" s="206" t="s">
        <v>44</v>
      </c>
      <c r="D472" s="206" t="s">
        <v>45</v>
      </c>
      <c r="E472" s="183" t="s">
        <v>46</v>
      </c>
      <c r="F472" s="183">
        <v>172</v>
      </c>
      <c r="G472" s="395">
        <v>803</v>
      </c>
      <c r="H472" s="183"/>
      <c r="I472" s="183" t="s">
        <v>47</v>
      </c>
      <c r="J472" s="194">
        <v>44196</v>
      </c>
      <c r="K472" s="193">
        <v>0</v>
      </c>
      <c r="L472" s="193" t="s">
        <v>282</v>
      </c>
      <c r="M472" s="195">
        <v>0</v>
      </c>
      <c r="N472" s="195">
        <v>0</v>
      </c>
      <c r="O472" s="312">
        <v>3</v>
      </c>
      <c r="P472" s="313">
        <v>2</v>
      </c>
      <c r="Q472" s="313">
        <v>0</v>
      </c>
      <c r="R472" s="314">
        <v>0</v>
      </c>
      <c r="S472" s="314" t="s">
        <v>2455</v>
      </c>
      <c r="T472" s="314"/>
      <c r="U472" s="315"/>
      <c r="V472" s="315"/>
      <c r="W472" s="315"/>
      <c r="X472" s="315"/>
      <c r="Y472" s="315"/>
      <c r="Z472" s="315" t="s">
        <v>2456</v>
      </c>
      <c r="AA472" s="336">
        <v>47</v>
      </c>
      <c r="AB472" s="336">
        <v>0</v>
      </c>
      <c r="AC472" s="337"/>
      <c r="AD472" s="337"/>
      <c r="AE472" s="338">
        <v>0</v>
      </c>
      <c r="AF472" s="338" t="s">
        <v>283</v>
      </c>
      <c r="AG472" s="339" t="s">
        <v>283</v>
      </c>
      <c r="AH472" s="339"/>
      <c r="AI472" s="336"/>
      <c r="AJ472" s="338"/>
      <c r="AK472" s="834">
        <v>0.75</v>
      </c>
      <c r="AL472" s="835" t="s">
        <v>284</v>
      </c>
      <c r="AM472" s="836">
        <v>0</v>
      </c>
      <c r="AN472" s="837">
        <v>4</v>
      </c>
      <c r="AO472" s="837">
        <v>2</v>
      </c>
      <c r="AP472" s="843"/>
      <c r="AQ472" s="839"/>
      <c r="AR472" s="839"/>
      <c r="AS472" s="839"/>
      <c r="AT472" s="839"/>
      <c r="AU472" s="839"/>
      <c r="AV472" s="840" t="s">
        <v>2466</v>
      </c>
      <c r="AW472" s="134" t="s">
        <v>3208</v>
      </c>
      <c r="AX472" s="136" t="s">
        <v>3208</v>
      </c>
      <c r="AY472" s="197" t="s">
        <v>2576</v>
      </c>
      <c r="AZ472" s="204">
        <v>1</v>
      </c>
      <c r="BA472" s="204">
        <v>1</v>
      </c>
      <c r="BB472" s="204">
        <v>1</v>
      </c>
      <c r="BC472" s="214">
        <v>803</v>
      </c>
      <c r="BD472" s="204">
        <v>0</v>
      </c>
      <c r="BE472" s="196">
        <v>0</v>
      </c>
      <c r="BF472" s="204">
        <v>1</v>
      </c>
      <c r="BG472" s="196">
        <v>803</v>
      </c>
      <c r="BH472" s="214">
        <v>2</v>
      </c>
      <c r="BI472" s="134">
        <v>0</v>
      </c>
      <c r="BJ472" s="196">
        <v>0</v>
      </c>
      <c r="BK472" s="137">
        <v>0</v>
      </c>
      <c r="BL472" s="197">
        <v>2</v>
      </c>
      <c r="BM472" s="137">
        <v>47</v>
      </c>
      <c r="BN472" s="195">
        <v>1</v>
      </c>
      <c r="BO472" s="351">
        <v>803</v>
      </c>
      <c r="BP472" s="134">
        <v>0</v>
      </c>
      <c r="BQ472" s="214">
        <v>0</v>
      </c>
      <c r="BR472" s="197">
        <v>40</v>
      </c>
      <c r="BS472" s="198">
        <v>0</v>
      </c>
      <c r="BT472" s="351">
        <v>0</v>
      </c>
      <c r="BU472" s="196">
        <v>803</v>
      </c>
      <c r="BV472" s="196">
        <v>0</v>
      </c>
      <c r="BW472" s="196">
        <v>1</v>
      </c>
      <c r="BX472" s="196">
        <v>0</v>
      </c>
      <c r="BY472" s="196">
        <v>0</v>
      </c>
      <c r="BZ472" s="134">
        <v>0</v>
      </c>
      <c r="CA472" s="198">
        <v>1</v>
      </c>
      <c r="CB472" s="136">
        <v>1</v>
      </c>
      <c r="CC472" s="136">
        <v>0</v>
      </c>
      <c r="CD472" s="136">
        <v>0</v>
      </c>
      <c r="CE472" s="137">
        <v>0</v>
      </c>
      <c r="CF472" s="137">
        <v>0</v>
      </c>
      <c r="CG472" s="137">
        <v>0</v>
      </c>
      <c r="CH472" s="196">
        <v>129</v>
      </c>
      <c r="CI472" s="139" t="s">
        <v>48</v>
      </c>
      <c r="CJ472" s="139" t="s">
        <v>49</v>
      </c>
      <c r="CK472" s="139" t="s">
        <v>50</v>
      </c>
      <c r="CL472" s="139" t="s">
        <v>50</v>
      </c>
      <c r="CM472" s="139" t="s">
        <v>50</v>
      </c>
      <c r="CN472" s="139" t="s">
        <v>51</v>
      </c>
      <c r="CO472" s="139">
        <v>23.976571</v>
      </c>
      <c r="CP472" s="139">
        <v>97.227057000000002</v>
      </c>
      <c r="CQ472" s="139" t="s">
        <v>1919</v>
      </c>
      <c r="CR472" s="449" t="s">
        <v>40</v>
      </c>
      <c r="CS472" s="449" t="s">
        <v>2482</v>
      </c>
      <c r="CT472" s="24"/>
      <c r="CU472" s="24"/>
      <c r="CV472" s="24"/>
    </row>
    <row r="473" spans="1:100" x14ac:dyDescent="0.25">
      <c r="A473" s="293" t="s">
        <v>2691</v>
      </c>
      <c r="B473" s="132" t="s">
        <v>447</v>
      </c>
      <c r="C473" s="132" t="s">
        <v>44</v>
      </c>
      <c r="D473" s="132" t="s">
        <v>45</v>
      </c>
      <c r="E473" s="132" t="s">
        <v>448</v>
      </c>
      <c r="F473" s="132">
        <v>127</v>
      </c>
      <c r="G473" s="214">
        <v>647</v>
      </c>
      <c r="H473" s="132">
        <v>245</v>
      </c>
      <c r="I473" s="132" t="s">
        <v>449</v>
      </c>
      <c r="J473" s="133">
        <v>43421</v>
      </c>
      <c r="K473" s="132"/>
      <c r="L473" s="132" t="s">
        <v>48</v>
      </c>
      <c r="M473" s="134">
        <v>0.2</v>
      </c>
      <c r="N473" s="134">
        <v>0.2</v>
      </c>
      <c r="O473" s="320">
        <v>0</v>
      </c>
      <c r="P473" s="326">
        <v>1</v>
      </c>
      <c r="Q473" s="326">
        <v>9000</v>
      </c>
      <c r="R473" s="315">
        <v>1</v>
      </c>
      <c r="S473" s="315">
        <v>1</v>
      </c>
      <c r="T473" s="315"/>
      <c r="U473" s="315">
        <v>0</v>
      </c>
      <c r="V473" s="315">
        <v>0</v>
      </c>
      <c r="W473" s="315">
        <v>0</v>
      </c>
      <c r="X473" s="315">
        <v>0</v>
      </c>
      <c r="Y473" s="315">
        <v>0</v>
      </c>
      <c r="Z473" s="315"/>
      <c r="AA473" s="336">
        <v>16</v>
      </c>
      <c r="AB473" s="336">
        <v>16</v>
      </c>
      <c r="AC473" s="337">
        <v>10</v>
      </c>
      <c r="AD473" s="337" t="s">
        <v>2785</v>
      </c>
      <c r="AE473" s="336">
        <v>16</v>
      </c>
      <c r="AF473" s="336" t="s">
        <v>283</v>
      </c>
      <c r="AG473" s="339" t="s">
        <v>283</v>
      </c>
      <c r="AH473" s="339">
        <v>0</v>
      </c>
      <c r="AI473" s="336">
        <v>0</v>
      </c>
      <c r="AJ473" s="336"/>
      <c r="AK473" s="848"/>
      <c r="AL473" s="842" t="s">
        <v>376</v>
      </c>
      <c r="AM473" s="836">
        <v>0</v>
      </c>
      <c r="AN473" s="837">
        <v>4</v>
      </c>
      <c r="AO473" s="837">
        <v>1</v>
      </c>
      <c r="AP473" s="843">
        <v>127</v>
      </c>
      <c r="AQ473" s="839">
        <v>0</v>
      </c>
      <c r="AR473" s="839"/>
      <c r="AS473" s="839"/>
      <c r="AT473" s="839"/>
      <c r="AU473" s="839"/>
      <c r="AV473" s="849"/>
      <c r="AW473" s="134" t="s">
        <v>3208</v>
      </c>
      <c r="AX473" s="136" t="s">
        <v>3208</v>
      </c>
      <c r="AY473" s="137" t="s">
        <v>2576</v>
      </c>
      <c r="AZ473" s="136">
        <v>1</v>
      </c>
      <c r="BA473" s="136">
        <v>1</v>
      </c>
      <c r="BB473" s="136">
        <v>1</v>
      </c>
      <c r="BC473" s="214">
        <v>647</v>
      </c>
      <c r="BD473" s="136">
        <v>0.38639876352395675</v>
      </c>
      <c r="BE473" s="214">
        <v>250</v>
      </c>
      <c r="BF473" s="136">
        <v>1</v>
      </c>
      <c r="BG473" s="214">
        <v>647</v>
      </c>
      <c r="BH473" s="214">
        <v>1.294</v>
      </c>
      <c r="BI473" s="134">
        <v>0</v>
      </c>
      <c r="BJ473" s="214">
        <v>0</v>
      </c>
      <c r="BK473" s="137">
        <v>0</v>
      </c>
      <c r="BL473" s="137">
        <v>1</v>
      </c>
      <c r="BM473" s="137">
        <v>32</v>
      </c>
      <c r="BN473" s="134">
        <v>0.49459041731066461</v>
      </c>
      <c r="BO473" s="351">
        <v>320</v>
      </c>
      <c r="BP473" s="134">
        <v>0</v>
      </c>
      <c r="BQ473" s="214">
        <v>0</v>
      </c>
      <c r="BR473" s="137">
        <v>32</v>
      </c>
      <c r="BS473" s="138">
        <v>0.5</v>
      </c>
      <c r="BT473" s="351">
        <v>200</v>
      </c>
      <c r="BU473" s="214">
        <v>500</v>
      </c>
      <c r="BV473" s="214">
        <v>0</v>
      </c>
      <c r="BW473" s="214">
        <v>0</v>
      </c>
      <c r="BX473" s="214">
        <v>1</v>
      </c>
      <c r="BY473" s="214">
        <v>0</v>
      </c>
      <c r="BZ473" s="134">
        <v>0</v>
      </c>
      <c r="CA473" s="138">
        <v>1</v>
      </c>
      <c r="CB473" s="136">
        <v>0.77279752704791349</v>
      </c>
      <c r="CC473" s="136">
        <v>1</v>
      </c>
      <c r="CD473" s="136">
        <v>0</v>
      </c>
      <c r="CE473" s="137">
        <v>635</v>
      </c>
      <c r="CF473" s="137">
        <v>0</v>
      </c>
      <c r="CG473" s="137">
        <v>635</v>
      </c>
      <c r="CH473" s="214">
        <v>0</v>
      </c>
      <c r="CI473" s="139" t="s">
        <v>48</v>
      </c>
      <c r="CJ473" s="139" t="s">
        <v>287</v>
      </c>
      <c r="CK473" s="139" t="s">
        <v>50</v>
      </c>
      <c r="CL473" s="139" t="s">
        <v>50</v>
      </c>
      <c r="CM473" s="139" t="s">
        <v>50</v>
      </c>
      <c r="CN473" s="139" t="s">
        <v>51</v>
      </c>
      <c r="CO473" s="139">
        <v>23.83013</v>
      </c>
      <c r="CP473" s="139">
        <v>97.589979999999997</v>
      </c>
      <c r="CQ473" s="139" t="s">
        <v>1909</v>
      </c>
      <c r="CR473" s="449" t="s">
        <v>40</v>
      </c>
      <c r="CS473" s="449"/>
      <c r="CT473" s="24"/>
      <c r="CU473" s="24"/>
      <c r="CV473" s="24"/>
    </row>
    <row r="474" spans="1:100" x14ac:dyDescent="0.25">
      <c r="A474" s="293" t="s">
        <v>2691</v>
      </c>
      <c r="B474" s="132" t="s">
        <v>447</v>
      </c>
      <c r="C474" s="132" t="s">
        <v>44</v>
      </c>
      <c r="D474" s="132" t="s">
        <v>45</v>
      </c>
      <c r="E474" s="132" t="s">
        <v>450</v>
      </c>
      <c r="F474" s="132">
        <v>117</v>
      </c>
      <c r="G474" s="214">
        <v>524</v>
      </c>
      <c r="H474" s="132">
        <v>190</v>
      </c>
      <c r="I474" s="132" t="s">
        <v>449</v>
      </c>
      <c r="J474" s="133">
        <v>43421</v>
      </c>
      <c r="K474" s="132"/>
      <c r="L474" s="132" t="s">
        <v>48</v>
      </c>
      <c r="M474" s="134">
        <v>0.56999999999999995</v>
      </c>
      <c r="N474" s="134">
        <v>0.43</v>
      </c>
      <c r="O474" s="320"/>
      <c r="P474" s="326">
        <v>3</v>
      </c>
      <c r="Q474" s="326">
        <v>153600</v>
      </c>
      <c r="R474" s="315"/>
      <c r="S474" s="318">
        <v>3</v>
      </c>
      <c r="T474" s="318"/>
      <c r="U474" s="315"/>
      <c r="V474" s="315"/>
      <c r="W474" s="315"/>
      <c r="X474" s="315"/>
      <c r="Y474" s="315"/>
      <c r="Z474" s="315"/>
      <c r="AA474" s="336">
        <v>29</v>
      </c>
      <c r="AB474" s="336">
        <v>8</v>
      </c>
      <c r="AC474" s="337">
        <v>1</v>
      </c>
      <c r="AD474" s="337" t="s">
        <v>2787</v>
      </c>
      <c r="AE474" s="336">
        <v>29</v>
      </c>
      <c r="AF474" s="336" t="s">
        <v>1358</v>
      </c>
      <c r="AG474" s="339" t="s">
        <v>1358</v>
      </c>
      <c r="AH474" s="339"/>
      <c r="AI474" s="336"/>
      <c r="AJ474" s="336"/>
      <c r="AK474" s="848"/>
      <c r="AL474" s="842" t="s">
        <v>376</v>
      </c>
      <c r="AM474" s="836"/>
      <c r="AN474" s="837">
        <v>4</v>
      </c>
      <c r="AO474" s="837">
        <v>1</v>
      </c>
      <c r="AP474" s="843">
        <v>117</v>
      </c>
      <c r="AQ474" s="839"/>
      <c r="AR474" s="839"/>
      <c r="AS474" s="839"/>
      <c r="AT474" s="839"/>
      <c r="AU474" s="839"/>
      <c r="AV474" s="849"/>
      <c r="AW474" s="134" t="s">
        <v>3208</v>
      </c>
      <c r="AX474" s="136" t="s">
        <v>3208</v>
      </c>
      <c r="AY474" s="137" t="s">
        <v>2576</v>
      </c>
      <c r="AZ474" s="136">
        <v>1</v>
      </c>
      <c r="BA474" s="136">
        <v>1</v>
      </c>
      <c r="BB474" s="136">
        <v>1</v>
      </c>
      <c r="BC474" s="214">
        <v>524</v>
      </c>
      <c r="BD474" s="136">
        <v>0</v>
      </c>
      <c r="BE474" s="214">
        <v>0</v>
      </c>
      <c r="BF474" s="136">
        <v>1</v>
      </c>
      <c r="BG474" s="214">
        <v>524</v>
      </c>
      <c r="BH474" s="214">
        <v>1.048</v>
      </c>
      <c r="BI474" s="134">
        <v>0</v>
      </c>
      <c r="BJ474" s="214">
        <v>0</v>
      </c>
      <c r="BK474" s="137">
        <v>0</v>
      </c>
      <c r="BL474" s="137">
        <v>1</v>
      </c>
      <c r="BM474" s="137">
        <v>37</v>
      </c>
      <c r="BN474" s="134">
        <v>1</v>
      </c>
      <c r="BO474" s="351">
        <v>524</v>
      </c>
      <c r="BP474" s="134">
        <v>0</v>
      </c>
      <c r="BQ474" s="214">
        <v>0</v>
      </c>
      <c r="BR474" s="137">
        <v>26</v>
      </c>
      <c r="BS474" s="138">
        <v>0.21621621621621623</v>
      </c>
      <c r="BT474" s="351">
        <v>20</v>
      </c>
      <c r="BU474" s="214">
        <v>500</v>
      </c>
      <c r="BV474" s="214">
        <v>0</v>
      </c>
      <c r="BW474" s="214">
        <v>1</v>
      </c>
      <c r="BX474" s="214">
        <v>1</v>
      </c>
      <c r="BY474" s="214">
        <v>524</v>
      </c>
      <c r="BZ474" s="134">
        <v>1</v>
      </c>
      <c r="CA474" s="138">
        <v>0</v>
      </c>
      <c r="CB474" s="136">
        <v>0.95419847328244278</v>
      </c>
      <c r="CC474" s="136">
        <v>1</v>
      </c>
      <c r="CD474" s="136">
        <v>0</v>
      </c>
      <c r="CE474" s="137">
        <v>585</v>
      </c>
      <c r="CF474" s="137">
        <v>0</v>
      </c>
      <c r="CG474" s="137">
        <v>585</v>
      </c>
      <c r="CH474" s="214">
        <v>0</v>
      </c>
      <c r="CI474" s="139" t="s">
        <v>48</v>
      </c>
      <c r="CJ474" s="139" t="s">
        <v>287</v>
      </c>
      <c r="CK474" s="139" t="s">
        <v>50</v>
      </c>
      <c r="CL474" s="139" t="s">
        <v>50</v>
      </c>
      <c r="CM474" s="139" t="s">
        <v>50</v>
      </c>
      <c r="CN474" s="139" t="s">
        <v>51</v>
      </c>
      <c r="CO474" s="139">
        <v>23.829599000000002</v>
      </c>
      <c r="CP474" s="139">
        <v>97.590767</v>
      </c>
      <c r="CQ474" s="139" t="s">
        <v>1908</v>
      </c>
      <c r="CR474" s="449" t="s">
        <v>40</v>
      </c>
      <c r="CS474" s="449"/>
      <c r="CT474" s="24"/>
      <c r="CU474" s="24"/>
      <c r="CV474" s="24"/>
    </row>
    <row r="475" spans="1:100" x14ac:dyDescent="0.25">
      <c r="A475" s="293" t="s">
        <v>2691</v>
      </c>
      <c r="B475" s="132" t="s">
        <v>447</v>
      </c>
      <c r="C475" s="132" t="s">
        <v>44</v>
      </c>
      <c r="D475" s="132" t="s">
        <v>45</v>
      </c>
      <c r="E475" s="132" t="s">
        <v>451</v>
      </c>
      <c r="F475" s="132">
        <v>443</v>
      </c>
      <c r="G475" s="214">
        <v>2338</v>
      </c>
      <c r="H475" s="132"/>
      <c r="I475" s="132" t="s">
        <v>449</v>
      </c>
      <c r="J475" s="133">
        <v>43421</v>
      </c>
      <c r="K475" s="132"/>
      <c r="L475" s="132" t="s">
        <v>48</v>
      </c>
      <c r="M475" s="134">
        <v>0.14000000000000001</v>
      </c>
      <c r="N475" s="134">
        <v>0.14000000000000001</v>
      </c>
      <c r="O475" s="320">
        <v>1</v>
      </c>
      <c r="P475" s="326">
        <v>3</v>
      </c>
      <c r="Q475" s="326">
        <v>65500</v>
      </c>
      <c r="R475" s="315">
        <v>7</v>
      </c>
      <c r="S475" s="315">
        <v>5</v>
      </c>
      <c r="T475" s="315"/>
      <c r="U475" s="315">
        <v>0</v>
      </c>
      <c r="V475" s="315">
        <v>0</v>
      </c>
      <c r="W475" s="315">
        <v>0</v>
      </c>
      <c r="X475" s="315">
        <v>0</v>
      </c>
      <c r="Y475" s="315">
        <v>0</v>
      </c>
      <c r="Z475" s="315"/>
      <c r="AA475" s="336">
        <v>144</v>
      </c>
      <c r="AB475" s="336">
        <v>10</v>
      </c>
      <c r="AC475" s="337">
        <v>11</v>
      </c>
      <c r="AD475" s="337" t="s">
        <v>2785</v>
      </c>
      <c r="AE475" s="336">
        <v>154</v>
      </c>
      <c r="AF475" s="336" t="s">
        <v>283</v>
      </c>
      <c r="AG475" s="339" t="s">
        <v>283</v>
      </c>
      <c r="AH475" s="339">
        <v>0</v>
      </c>
      <c r="AI475" s="336">
        <v>0</v>
      </c>
      <c r="AJ475" s="336"/>
      <c r="AK475" s="848"/>
      <c r="AL475" s="842" t="s">
        <v>376</v>
      </c>
      <c r="AM475" s="836">
        <v>0</v>
      </c>
      <c r="AN475" s="837">
        <v>16</v>
      </c>
      <c r="AO475" s="837">
        <v>2</v>
      </c>
      <c r="AP475" s="843">
        <v>443</v>
      </c>
      <c r="AQ475" s="839">
        <v>0</v>
      </c>
      <c r="AR475" s="839"/>
      <c r="AS475" s="839"/>
      <c r="AT475" s="839"/>
      <c r="AU475" s="839"/>
      <c r="AV475" s="849"/>
      <c r="AW475" s="134" t="s">
        <v>3208</v>
      </c>
      <c r="AX475" s="136" t="s">
        <v>3208</v>
      </c>
      <c r="AY475" s="137" t="s">
        <v>2576</v>
      </c>
      <c r="AZ475" s="136">
        <v>1</v>
      </c>
      <c r="BA475" s="136">
        <v>1</v>
      </c>
      <c r="BB475" s="136">
        <v>1</v>
      </c>
      <c r="BC475" s="214">
        <v>2338</v>
      </c>
      <c r="BD475" s="136">
        <v>0.74850299401197606</v>
      </c>
      <c r="BE475" s="214">
        <v>1750</v>
      </c>
      <c r="BF475" s="136">
        <v>1</v>
      </c>
      <c r="BG475" s="214">
        <v>2338</v>
      </c>
      <c r="BH475" s="214">
        <v>4.6760000000000002</v>
      </c>
      <c r="BI475" s="134">
        <v>0</v>
      </c>
      <c r="BJ475" s="214">
        <v>0</v>
      </c>
      <c r="BK475" s="137">
        <v>0.32399999999999984</v>
      </c>
      <c r="BL475" s="137">
        <v>5</v>
      </c>
      <c r="BM475" s="137">
        <v>154</v>
      </c>
      <c r="BN475" s="134">
        <v>1</v>
      </c>
      <c r="BO475" s="351">
        <v>2338</v>
      </c>
      <c r="BP475" s="134">
        <v>0</v>
      </c>
      <c r="BQ475" s="214">
        <v>0</v>
      </c>
      <c r="BR475" s="137">
        <v>117</v>
      </c>
      <c r="BS475" s="138">
        <v>6.4935064935064929E-2</v>
      </c>
      <c r="BT475" s="351">
        <v>220</v>
      </c>
      <c r="BU475" s="214">
        <v>1000</v>
      </c>
      <c r="BV475" s="214">
        <v>0</v>
      </c>
      <c r="BW475" s="214">
        <v>0</v>
      </c>
      <c r="BX475" s="214">
        <v>1</v>
      </c>
      <c r="BY475" s="214">
        <v>0</v>
      </c>
      <c r="BZ475" s="134">
        <v>0</v>
      </c>
      <c r="CA475" s="138">
        <v>1</v>
      </c>
      <c r="CB475" s="136">
        <v>0.42771599657827203</v>
      </c>
      <c r="CC475" s="136">
        <v>1</v>
      </c>
      <c r="CD475" s="136">
        <v>0</v>
      </c>
      <c r="CE475" s="137">
        <v>2215</v>
      </c>
      <c r="CF475" s="137">
        <v>0</v>
      </c>
      <c r="CG475" s="137">
        <v>2215</v>
      </c>
      <c r="CH475" s="214">
        <v>0</v>
      </c>
      <c r="CI475" s="139" t="s">
        <v>48</v>
      </c>
      <c r="CJ475" s="139" t="s">
        <v>49</v>
      </c>
      <c r="CK475" s="139" t="s">
        <v>50</v>
      </c>
      <c r="CL475" s="139" t="s">
        <v>50</v>
      </c>
      <c r="CM475" s="139" t="s">
        <v>50</v>
      </c>
      <c r="CN475" s="139" t="s">
        <v>51</v>
      </c>
      <c r="CO475" s="139">
        <v>23.835319999999999</v>
      </c>
      <c r="CP475" s="139">
        <v>97.578490000000002</v>
      </c>
      <c r="CQ475" s="139" t="s">
        <v>1911</v>
      </c>
      <c r="CR475" s="449" t="s">
        <v>40</v>
      </c>
      <c r="CS475" s="449"/>
      <c r="CT475" s="24"/>
      <c r="CU475" s="24"/>
      <c r="CV475" s="24"/>
    </row>
    <row r="476" spans="1:100" x14ac:dyDescent="0.25">
      <c r="A476" s="293" t="s">
        <v>2691</v>
      </c>
      <c r="B476" s="132" t="s">
        <v>447</v>
      </c>
      <c r="C476" s="132" t="s">
        <v>44</v>
      </c>
      <c r="D476" s="132" t="s">
        <v>45</v>
      </c>
      <c r="E476" s="132" t="s">
        <v>452</v>
      </c>
      <c r="F476" s="132">
        <v>119</v>
      </c>
      <c r="G476" s="214">
        <v>637</v>
      </c>
      <c r="H476" s="206">
        <v>177</v>
      </c>
      <c r="I476" s="206" t="s">
        <v>449</v>
      </c>
      <c r="J476" s="133">
        <v>43421</v>
      </c>
      <c r="K476" s="132"/>
      <c r="L476" s="132" t="s">
        <v>48</v>
      </c>
      <c r="M476" s="134">
        <v>0.28999999999999998</v>
      </c>
      <c r="N476" s="134">
        <v>0.28999999999999998</v>
      </c>
      <c r="O476" s="320">
        <v>1</v>
      </c>
      <c r="P476" s="326">
        <v>2</v>
      </c>
      <c r="Q476" s="326">
        <v>14286</v>
      </c>
      <c r="R476" s="315"/>
      <c r="S476" s="315">
        <v>3</v>
      </c>
      <c r="T476" s="315"/>
      <c r="U476" s="315"/>
      <c r="V476" s="315"/>
      <c r="W476" s="315"/>
      <c r="X476" s="315"/>
      <c r="Y476" s="315"/>
      <c r="Z476" s="315"/>
      <c r="AA476" s="336">
        <v>36</v>
      </c>
      <c r="AB476" s="336"/>
      <c r="AC476" s="337"/>
      <c r="AD476" s="337"/>
      <c r="AE476" s="336">
        <v>36</v>
      </c>
      <c r="AF476" s="336" t="s">
        <v>1358</v>
      </c>
      <c r="AG476" s="339" t="s">
        <v>1358</v>
      </c>
      <c r="AH476" s="339"/>
      <c r="AI476" s="336"/>
      <c r="AJ476" s="336"/>
      <c r="AK476" s="848"/>
      <c r="AL476" s="836"/>
      <c r="AM476" s="836"/>
      <c r="AN476" s="837">
        <v>3</v>
      </c>
      <c r="AO476" s="837">
        <v>1</v>
      </c>
      <c r="AP476" s="843">
        <v>119</v>
      </c>
      <c r="AQ476" s="839"/>
      <c r="AR476" s="839"/>
      <c r="AS476" s="839"/>
      <c r="AT476" s="839"/>
      <c r="AU476" s="839"/>
      <c r="AV476" s="849"/>
      <c r="AW476" s="134" t="s">
        <v>3208</v>
      </c>
      <c r="AX476" s="136" t="s">
        <v>3208</v>
      </c>
      <c r="AY476" s="137" t="s">
        <v>2576</v>
      </c>
      <c r="AZ476" s="136">
        <v>1</v>
      </c>
      <c r="BA476" s="136">
        <v>1</v>
      </c>
      <c r="BB476" s="136">
        <v>1</v>
      </c>
      <c r="BC476" s="214">
        <v>637</v>
      </c>
      <c r="BD476" s="136">
        <v>0</v>
      </c>
      <c r="BE476" s="214">
        <v>0</v>
      </c>
      <c r="BF476" s="136">
        <v>1</v>
      </c>
      <c r="BG476" s="214">
        <v>637</v>
      </c>
      <c r="BH476" s="214">
        <v>1.274</v>
      </c>
      <c r="BI476" s="134">
        <v>0</v>
      </c>
      <c r="BJ476" s="214">
        <v>0</v>
      </c>
      <c r="BK476" s="137">
        <v>0</v>
      </c>
      <c r="BL476" s="137">
        <v>1</v>
      </c>
      <c r="BM476" s="137">
        <v>36</v>
      </c>
      <c r="BN476" s="134">
        <v>1</v>
      </c>
      <c r="BO476" s="351">
        <v>637</v>
      </c>
      <c r="BP476" s="134">
        <v>0</v>
      </c>
      <c r="BQ476" s="214">
        <v>0</v>
      </c>
      <c r="BR476" s="137">
        <v>32</v>
      </c>
      <c r="BS476" s="138">
        <v>0</v>
      </c>
      <c r="BT476" s="351">
        <v>0</v>
      </c>
      <c r="BU476" s="214">
        <v>500</v>
      </c>
      <c r="BV476" s="214">
        <v>0</v>
      </c>
      <c r="BW476" s="214">
        <v>0</v>
      </c>
      <c r="BX476" s="214">
        <v>1</v>
      </c>
      <c r="BY476" s="214">
        <v>0</v>
      </c>
      <c r="BZ476" s="134">
        <v>0</v>
      </c>
      <c r="CA476" s="138">
        <v>1</v>
      </c>
      <c r="CB476" s="136">
        <v>0.78492935635792782</v>
      </c>
      <c r="CC476" s="136">
        <v>1</v>
      </c>
      <c r="CD476" s="136">
        <v>0</v>
      </c>
      <c r="CE476" s="137">
        <v>595</v>
      </c>
      <c r="CF476" s="137">
        <v>0</v>
      </c>
      <c r="CG476" s="137">
        <v>595</v>
      </c>
      <c r="CH476" s="214">
        <v>0</v>
      </c>
      <c r="CI476" s="139" t="s">
        <v>48</v>
      </c>
      <c r="CJ476" s="139" t="s">
        <v>49</v>
      </c>
      <c r="CK476" s="139" t="s">
        <v>50</v>
      </c>
      <c r="CL476" s="139" t="s">
        <v>50</v>
      </c>
      <c r="CM476" s="139" t="s">
        <v>50</v>
      </c>
      <c r="CN476" s="139" t="s">
        <v>51</v>
      </c>
      <c r="CO476" s="139">
        <v>23.833477999999999</v>
      </c>
      <c r="CP476" s="139">
        <v>97.578367</v>
      </c>
      <c r="CQ476" s="139" t="s">
        <v>1910</v>
      </c>
      <c r="CR476" s="449" t="s">
        <v>40</v>
      </c>
      <c r="CS476" s="449"/>
      <c r="CT476" s="24"/>
      <c r="CU476" s="24"/>
      <c r="CV476" s="24"/>
    </row>
    <row r="477" spans="1:100" x14ac:dyDescent="0.25">
      <c r="A477" s="293" t="s">
        <v>2691</v>
      </c>
      <c r="B477" s="206" t="s">
        <v>460</v>
      </c>
      <c r="C477" s="206" t="s">
        <v>44</v>
      </c>
      <c r="D477" s="206" t="s">
        <v>45</v>
      </c>
      <c r="E477" s="206" t="s">
        <v>1148</v>
      </c>
      <c r="F477" s="206">
        <v>175</v>
      </c>
      <c r="G477" s="209">
        <v>834</v>
      </c>
      <c r="H477" s="206"/>
      <c r="I477" s="206"/>
      <c r="J477" s="207"/>
      <c r="K477" s="206"/>
      <c r="L477" s="206" t="s">
        <v>282</v>
      </c>
      <c r="M477" s="208">
        <v>0</v>
      </c>
      <c r="N477" s="208">
        <v>0</v>
      </c>
      <c r="O477" s="316"/>
      <c r="P477" s="317"/>
      <c r="Q477" s="317"/>
      <c r="R477" s="318"/>
      <c r="S477" s="318"/>
      <c r="T477" s="318"/>
      <c r="U477" s="318"/>
      <c r="V477" s="318"/>
      <c r="W477" s="318"/>
      <c r="X477" s="318"/>
      <c r="Y477" s="318"/>
      <c r="Z477" s="318"/>
      <c r="AA477" s="310">
        <v>0</v>
      </c>
      <c r="AB477" s="310"/>
      <c r="AC477" s="66"/>
      <c r="AD477" s="337"/>
      <c r="AE477" s="310"/>
      <c r="AF477" s="310" t="s">
        <v>286</v>
      </c>
      <c r="AG477" s="311" t="s">
        <v>286</v>
      </c>
      <c r="AH477" s="311"/>
      <c r="AI477" s="310"/>
      <c r="AJ477" s="310"/>
      <c r="AK477" s="841"/>
      <c r="AL477" s="842"/>
      <c r="AM477" s="842"/>
      <c r="AN477" s="837"/>
      <c r="AO477" s="837"/>
      <c r="AP477" s="843"/>
      <c r="AQ477" s="843"/>
      <c r="AR477" s="843"/>
      <c r="AS477" s="843"/>
      <c r="AT477" s="843"/>
      <c r="AU477" s="843"/>
      <c r="AV477" s="844"/>
      <c r="AW477" s="208" t="s">
        <v>3208</v>
      </c>
      <c r="AX477" s="211" t="s">
        <v>3208</v>
      </c>
      <c r="AY477" s="210" t="s">
        <v>2576</v>
      </c>
      <c r="AZ477" s="136">
        <v>0</v>
      </c>
      <c r="BA477" s="211">
        <v>0</v>
      </c>
      <c r="BB477" s="211">
        <v>0</v>
      </c>
      <c r="BC477" s="209">
        <v>0</v>
      </c>
      <c r="BD477" s="211">
        <v>0</v>
      </c>
      <c r="BE477" s="209">
        <v>0</v>
      </c>
      <c r="BF477" s="211">
        <v>0</v>
      </c>
      <c r="BG477" s="209">
        <v>0</v>
      </c>
      <c r="BH477" s="214">
        <v>0</v>
      </c>
      <c r="BI477" s="208">
        <v>1</v>
      </c>
      <c r="BJ477" s="209">
        <v>834</v>
      </c>
      <c r="BK477" s="210">
        <v>2</v>
      </c>
      <c r="BL477" s="210">
        <v>2</v>
      </c>
      <c r="BM477" s="210">
        <v>0</v>
      </c>
      <c r="BN477" s="208">
        <v>0</v>
      </c>
      <c r="BO477" s="352">
        <v>0</v>
      </c>
      <c r="BP477" s="208">
        <v>1</v>
      </c>
      <c r="BQ477" s="209">
        <v>42</v>
      </c>
      <c r="BR477" s="210">
        <v>42</v>
      </c>
      <c r="BS477" s="212">
        <v>0</v>
      </c>
      <c r="BT477" s="352">
        <v>0</v>
      </c>
      <c r="BU477" s="209">
        <v>0</v>
      </c>
      <c r="BV477" s="209">
        <v>0</v>
      </c>
      <c r="BW477" s="209">
        <v>0</v>
      </c>
      <c r="BX477" s="209">
        <v>0</v>
      </c>
      <c r="BY477" s="209">
        <v>0</v>
      </c>
      <c r="BZ477" s="208">
        <v>0</v>
      </c>
      <c r="CA477" s="212">
        <v>1</v>
      </c>
      <c r="CB477" s="211">
        <v>0</v>
      </c>
      <c r="CC477" s="211">
        <v>0</v>
      </c>
      <c r="CD477" s="211">
        <v>0</v>
      </c>
      <c r="CE477" s="210">
        <v>0</v>
      </c>
      <c r="CF477" s="210">
        <v>0</v>
      </c>
      <c r="CG477" s="210">
        <v>0</v>
      </c>
      <c r="CH477" s="209">
        <v>0</v>
      </c>
      <c r="CI477" s="139">
        <v>0</v>
      </c>
      <c r="CJ477" s="139" t="s">
        <v>2959</v>
      </c>
      <c r="CK477" s="139" t="s">
        <v>50</v>
      </c>
      <c r="CL477" s="139" t="s">
        <v>50</v>
      </c>
      <c r="CM477" s="139" t="s">
        <v>942</v>
      </c>
      <c r="CN477" s="139" t="s">
        <v>51</v>
      </c>
      <c r="CO477" s="139">
        <v>23.827870999999998</v>
      </c>
      <c r="CP477" s="139">
        <v>97.588291999999996</v>
      </c>
      <c r="CQ477" s="139" t="s">
        <v>1905</v>
      </c>
      <c r="CR477" s="660" t="s">
        <v>3209</v>
      </c>
      <c r="CS477" s="660"/>
      <c r="CT477" s="24"/>
      <c r="CU477" s="24"/>
      <c r="CV477" s="24"/>
    </row>
    <row r="478" spans="1:100" x14ac:dyDescent="0.25">
      <c r="A478" s="293" t="s">
        <v>2691</v>
      </c>
      <c r="B478" s="132" t="s">
        <v>338</v>
      </c>
      <c r="C478" s="132" t="s">
        <v>44</v>
      </c>
      <c r="D478" s="132" t="s">
        <v>45</v>
      </c>
      <c r="E478" s="132" t="s">
        <v>339</v>
      </c>
      <c r="F478" s="132">
        <v>185</v>
      </c>
      <c r="G478" s="214">
        <v>823</v>
      </c>
      <c r="H478" s="132"/>
      <c r="I478" s="132" t="s">
        <v>2479</v>
      </c>
      <c r="J478" s="133" t="s">
        <v>2476</v>
      </c>
      <c r="K478" s="132">
        <v>0</v>
      </c>
      <c r="L478" s="132" t="s">
        <v>48</v>
      </c>
      <c r="M478" s="134">
        <v>0.8</v>
      </c>
      <c r="N478" s="134">
        <v>0.8</v>
      </c>
      <c r="O478" s="320">
        <v>3</v>
      </c>
      <c r="P478" s="326">
        <v>6</v>
      </c>
      <c r="Q478" s="326">
        <v>0</v>
      </c>
      <c r="R478" s="315">
        <v>0</v>
      </c>
      <c r="S478" s="315">
        <v>0</v>
      </c>
      <c r="T478" s="315"/>
      <c r="U478" s="315"/>
      <c r="V478" s="315"/>
      <c r="W478" s="315"/>
      <c r="X478" s="315"/>
      <c r="Y478" s="315"/>
      <c r="Z478" s="315"/>
      <c r="AA478" s="336">
        <v>44</v>
      </c>
      <c r="AB478" s="336">
        <v>0</v>
      </c>
      <c r="AC478" s="337">
        <v>2</v>
      </c>
      <c r="AD478" s="337"/>
      <c r="AE478" s="336">
        <v>0</v>
      </c>
      <c r="AF478" s="336" t="s">
        <v>283</v>
      </c>
      <c r="AG478" s="339" t="s">
        <v>283</v>
      </c>
      <c r="AH478" s="339"/>
      <c r="AI478" s="336"/>
      <c r="AJ478" s="336"/>
      <c r="AK478" s="848">
        <v>1</v>
      </c>
      <c r="AL478" s="836" t="s">
        <v>291</v>
      </c>
      <c r="AM478" s="836">
        <v>0</v>
      </c>
      <c r="AN478" s="837">
        <v>7</v>
      </c>
      <c r="AO478" s="837">
        <v>3</v>
      </c>
      <c r="AP478" s="843">
        <v>185</v>
      </c>
      <c r="AQ478" s="839">
        <v>185</v>
      </c>
      <c r="AR478" s="839"/>
      <c r="AS478" s="839"/>
      <c r="AT478" s="839"/>
      <c r="AU478" s="839"/>
      <c r="AV478" s="849"/>
      <c r="AW478" s="134" t="s">
        <v>3208</v>
      </c>
      <c r="AX478" s="136" t="s">
        <v>3208</v>
      </c>
      <c r="AY478" s="137" t="s">
        <v>2576</v>
      </c>
      <c r="AZ478" s="136">
        <v>1</v>
      </c>
      <c r="BA478" s="136">
        <v>1</v>
      </c>
      <c r="BB478" s="136">
        <v>1</v>
      </c>
      <c r="BC478" s="214">
        <v>823</v>
      </c>
      <c r="BD478" s="136">
        <v>0</v>
      </c>
      <c r="BE478" s="214">
        <v>0</v>
      </c>
      <c r="BF478" s="136">
        <v>1</v>
      </c>
      <c r="BG478" s="214">
        <v>823</v>
      </c>
      <c r="BH478" s="214">
        <v>1.6459999999999999</v>
      </c>
      <c r="BI478" s="134">
        <v>0</v>
      </c>
      <c r="BJ478" s="214">
        <v>0</v>
      </c>
      <c r="BK478" s="137">
        <v>0.35400000000000009</v>
      </c>
      <c r="BL478" s="137">
        <v>2</v>
      </c>
      <c r="BM478" s="137">
        <v>44</v>
      </c>
      <c r="BN478" s="134">
        <v>1</v>
      </c>
      <c r="BO478" s="351">
        <v>823</v>
      </c>
      <c r="BP478" s="134">
        <v>0</v>
      </c>
      <c r="BQ478" s="214">
        <v>0</v>
      </c>
      <c r="BR478" s="137">
        <v>41</v>
      </c>
      <c r="BS478" s="138">
        <v>0</v>
      </c>
      <c r="BT478" s="351">
        <v>40</v>
      </c>
      <c r="BU478" s="214">
        <v>823</v>
      </c>
      <c r="BV478" s="214">
        <v>1</v>
      </c>
      <c r="BW478" s="214">
        <v>1</v>
      </c>
      <c r="BX478" s="214">
        <v>1</v>
      </c>
      <c r="BY478" s="214">
        <v>823</v>
      </c>
      <c r="BZ478" s="134">
        <v>1</v>
      </c>
      <c r="CA478" s="138">
        <v>0</v>
      </c>
      <c r="CB478" s="136">
        <v>1</v>
      </c>
      <c r="CC478" s="136">
        <v>1</v>
      </c>
      <c r="CD478" s="136">
        <v>1</v>
      </c>
      <c r="CE478" s="137">
        <v>925</v>
      </c>
      <c r="CF478" s="137">
        <v>925</v>
      </c>
      <c r="CG478" s="137">
        <v>925</v>
      </c>
      <c r="CH478" s="214">
        <v>185</v>
      </c>
      <c r="CI478" s="139" t="s">
        <v>48</v>
      </c>
      <c r="CJ478" s="139" t="s">
        <v>287</v>
      </c>
      <c r="CK478" s="139" t="s">
        <v>50</v>
      </c>
      <c r="CL478" s="139" t="s">
        <v>50</v>
      </c>
      <c r="CM478" s="139" t="s">
        <v>50</v>
      </c>
      <c r="CN478" s="139" t="s">
        <v>51</v>
      </c>
      <c r="CO478" s="139">
        <v>24.129059999999999</v>
      </c>
      <c r="CP478" s="139">
        <v>97.291820000000001</v>
      </c>
      <c r="CQ478" s="139" t="s">
        <v>1931</v>
      </c>
      <c r="CR478" s="449" t="s">
        <v>40</v>
      </c>
      <c r="CS478" s="449"/>
      <c r="CT478" s="24"/>
      <c r="CU478" s="24"/>
      <c r="CV478" s="24"/>
    </row>
    <row r="479" spans="1:100" x14ac:dyDescent="0.25">
      <c r="A479" s="293" t="s">
        <v>2691</v>
      </c>
      <c r="B479" s="206" t="s">
        <v>460</v>
      </c>
      <c r="C479" s="206" t="s">
        <v>44</v>
      </c>
      <c r="D479" s="206" t="s">
        <v>45</v>
      </c>
      <c r="E479" s="206" t="s">
        <v>1166</v>
      </c>
      <c r="F479" s="206">
        <v>80</v>
      </c>
      <c r="G479" s="209">
        <v>290</v>
      </c>
      <c r="H479" s="206"/>
      <c r="I479" s="206"/>
      <c r="J479" s="207"/>
      <c r="K479" s="206"/>
      <c r="L479" s="206" t="s">
        <v>282</v>
      </c>
      <c r="M479" s="208">
        <v>0</v>
      </c>
      <c r="N479" s="208">
        <v>0</v>
      </c>
      <c r="O479" s="316"/>
      <c r="P479" s="317"/>
      <c r="Q479" s="317"/>
      <c r="R479" s="318"/>
      <c r="S479" s="318"/>
      <c r="T479" s="318"/>
      <c r="U479" s="318"/>
      <c r="V479" s="318"/>
      <c r="W479" s="318"/>
      <c r="X479" s="318"/>
      <c r="Y479" s="318"/>
      <c r="Z479" s="318"/>
      <c r="AA479" s="310">
        <v>0</v>
      </c>
      <c r="AB479" s="310"/>
      <c r="AC479" s="66"/>
      <c r="AD479" s="337"/>
      <c r="AE479" s="310"/>
      <c r="AF479" s="310" t="s">
        <v>286</v>
      </c>
      <c r="AG479" s="311" t="s">
        <v>286</v>
      </c>
      <c r="AH479" s="311"/>
      <c r="AI479" s="310"/>
      <c r="AJ479" s="310"/>
      <c r="AK479" s="841"/>
      <c r="AL479" s="842"/>
      <c r="AM479" s="842"/>
      <c r="AN479" s="837"/>
      <c r="AO479" s="837"/>
      <c r="AP479" s="843"/>
      <c r="AQ479" s="843"/>
      <c r="AR479" s="843"/>
      <c r="AS479" s="843"/>
      <c r="AT479" s="843"/>
      <c r="AU479" s="843"/>
      <c r="AV479" s="844"/>
      <c r="AW479" s="208" t="s">
        <v>3208</v>
      </c>
      <c r="AX479" s="211" t="s">
        <v>3208</v>
      </c>
      <c r="AY479" s="210" t="s">
        <v>2576</v>
      </c>
      <c r="AZ479" s="136">
        <v>0</v>
      </c>
      <c r="BA479" s="211">
        <v>0</v>
      </c>
      <c r="BB479" s="211">
        <v>0</v>
      </c>
      <c r="BC479" s="209">
        <v>0</v>
      </c>
      <c r="BD479" s="211">
        <v>0</v>
      </c>
      <c r="BE479" s="209">
        <v>0</v>
      </c>
      <c r="BF479" s="211">
        <v>0</v>
      </c>
      <c r="BG479" s="209">
        <v>0</v>
      </c>
      <c r="BH479" s="214">
        <v>0</v>
      </c>
      <c r="BI479" s="208">
        <v>1</v>
      </c>
      <c r="BJ479" s="209">
        <v>290</v>
      </c>
      <c r="BK479" s="210">
        <v>1</v>
      </c>
      <c r="BL479" s="210">
        <v>1</v>
      </c>
      <c r="BM479" s="210">
        <v>0</v>
      </c>
      <c r="BN479" s="208">
        <v>0</v>
      </c>
      <c r="BO479" s="352">
        <v>0</v>
      </c>
      <c r="BP479" s="208">
        <v>1</v>
      </c>
      <c r="BQ479" s="209">
        <v>15</v>
      </c>
      <c r="BR479" s="210">
        <v>15</v>
      </c>
      <c r="BS479" s="212">
        <v>0</v>
      </c>
      <c r="BT479" s="352">
        <v>0</v>
      </c>
      <c r="BU479" s="209">
        <v>0</v>
      </c>
      <c r="BV479" s="209">
        <v>0</v>
      </c>
      <c r="BW479" s="209">
        <v>0</v>
      </c>
      <c r="BX479" s="209">
        <v>0</v>
      </c>
      <c r="BY479" s="209">
        <v>0</v>
      </c>
      <c r="BZ479" s="208">
        <v>0</v>
      </c>
      <c r="CA479" s="212">
        <v>1</v>
      </c>
      <c r="CB479" s="211">
        <v>0</v>
      </c>
      <c r="CC479" s="211">
        <v>0</v>
      </c>
      <c r="CD479" s="211">
        <v>0</v>
      </c>
      <c r="CE479" s="210">
        <v>0</v>
      </c>
      <c r="CF479" s="210">
        <v>0</v>
      </c>
      <c r="CG479" s="210">
        <v>0</v>
      </c>
      <c r="CH479" s="209">
        <v>0</v>
      </c>
      <c r="CI479" s="139">
        <v>0</v>
      </c>
      <c r="CJ479" s="139" t="s">
        <v>2959</v>
      </c>
      <c r="CK479" s="139" t="s">
        <v>50</v>
      </c>
      <c r="CL479" s="139" t="s">
        <v>50</v>
      </c>
      <c r="CM479" s="139" t="s">
        <v>942</v>
      </c>
      <c r="CN479" s="139" t="s">
        <v>51</v>
      </c>
      <c r="CO479" s="139">
        <v>24.118618999999999</v>
      </c>
      <c r="CP479" s="139">
        <v>97.298055000000005</v>
      </c>
      <c r="CQ479" s="139" t="s">
        <v>1930</v>
      </c>
      <c r="CR479" s="660" t="s">
        <v>3209</v>
      </c>
      <c r="CS479" s="660"/>
      <c r="CT479" s="24"/>
      <c r="CU479" s="24"/>
      <c r="CV479" s="24"/>
    </row>
    <row r="480" spans="1:100" x14ac:dyDescent="0.25">
      <c r="A480" s="293" t="s">
        <v>2691</v>
      </c>
      <c r="B480" s="206" t="s">
        <v>43</v>
      </c>
      <c r="C480" s="183" t="s">
        <v>44</v>
      </c>
      <c r="D480" s="183" t="s">
        <v>45</v>
      </c>
      <c r="E480" s="183" t="s">
        <v>285</v>
      </c>
      <c r="F480" s="206">
        <v>16</v>
      </c>
      <c r="G480" s="209">
        <v>89</v>
      </c>
      <c r="H480" s="206"/>
      <c r="I480" s="206" t="s">
        <v>47</v>
      </c>
      <c r="J480" s="207">
        <v>43008</v>
      </c>
      <c r="K480" s="206">
        <v>0</v>
      </c>
      <c r="L480" s="206" t="s">
        <v>282</v>
      </c>
      <c r="M480" s="208">
        <v>0</v>
      </c>
      <c r="N480" s="208">
        <v>0</v>
      </c>
      <c r="O480" s="320">
        <v>1</v>
      </c>
      <c r="P480" s="326">
        <v>0</v>
      </c>
      <c r="Q480" s="326"/>
      <c r="R480" s="318">
        <v>0</v>
      </c>
      <c r="S480" s="318"/>
      <c r="T480" s="318"/>
      <c r="U480" s="318"/>
      <c r="V480" s="318"/>
      <c r="W480" s="318"/>
      <c r="X480" s="318"/>
      <c r="Y480" s="318"/>
      <c r="Z480" s="318" t="s">
        <v>2457</v>
      </c>
      <c r="AA480" s="310">
        <v>0</v>
      </c>
      <c r="AB480" s="310">
        <v>0</v>
      </c>
      <c r="AC480" s="66"/>
      <c r="AD480" s="337"/>
      <c r="AE480" s="310">
        <v>0</v>
      </c>
      <c r="AF480" s="310" t="s">
        <v>286</v>
      </c>
      <c r="AG480" s="311" t="s">
        <v>286</v>
      </c>
      <c r="AH480" s="311"/>
      <c r="AI480" s="310"/>
      <c r="AJ480" s="310"/>
      <c r="AK480" s="841">
        <v>0</v>
      </c>
      <c r="AL480" s="842"/>
      <c r="AM480" s="842">
        <v>0</v>
      </c>
      <c r="AN480" s="837">
        <v>1</v>
      </c>
      <c r="AO480" s="837">
        <v>0</v>
      </c>
      <c r="AP480" s="843"/>
      <c r="AQ480" s="843"/>
      <c r="AR480" s="843"/>
      <c r="AS480" s="843"/>
      <c r="AT480" s="843"/>
      <c r="AU480" s="843"/>
      <c r="AV480" s="844"/>
      <c r="AW480" s="208" t="s">
        <v>3208</v>
      </c>
      <c r="AX480" s="211" t="s">
        <v>3208</v>
      </c>
      <c r="AY480" s="210" t="s">
        <v>2576</v>
      </c>
      <c r="AZ480" s="211">
        <v>1</v>
      </c>
      <c r="BA480" s="211">
        <v>1</v>
      </c>
      <c r="BB480" s="211">
        <v>1</v>
      </c>
      <c r="BC480" s="209">
        <v>89</v>
      </c>
      <c r="BD480" s="211">
        <v>0</v>
      </c>
      <c r="BE480" s="209">
        <v>0</v>
      </c>
      <c r="BF480" s="211">
        <v>1</v>
      </c>
      <c r="BG480" s="209">
        <v>89</v>
      </c>
      <c r="BH480" s="209">
        <v>0.17799999999999999</v>
      </c>
      <c r="BI480" s="208">
        <v>0</v>
      </c>
      <c r="BJ480" s="209">
        <v>0</v>
      </c>
      <c r="BK480" s="210">
        <v>0.82200000000000006</v>
      </c>
      <c r="BL480" s="210">
        <v>1</v>
      </c>
      <c r="BM480" s="210">
        <v>0</v>
      </c>
      <c r="BN480" s="208">
        <v>0</v>
      </c>
      <c r="BO480" s="352">
        <v>0</v>
      </c>
      <c r="BP480" s="208">
        <v>0.898876404494382</v>
      </c>
      <c r="BQ480" s="209">
        <v>4</v>
      </c>
      <c r="BR480" s="210">
        <v>4</v>
      </c>
      <c r="BS480" s="212">
        <v>0</v>
      </c>
      <c r="BT480" s="352">
        <v>0</v>
      </c>
      <c r="BU480" s="209">
        <v>0</v>
      </c>
      <c r="BV480" s="209">
        <v>0</v>
      </c>
      <c r="BW480" s="209">
        <v>0</v>
      </c>
      <c r="BX480" s="209">
        <v>0</v>
      </c>
      <c r="BY480" s="209">
        <v>0</v>
      </c>
      <c r="BZ480" s="208">
        <v>0</v>
      </c>
      <c r="CA480" s="212">
        <v>1</v>
      </c>
      <c r="CB480" s="211">
        <v>0</v>
      </c>
      <c r="CC480" s="211">
        <v>0</v>
      </c>
      <c r="CD480" s="211">
        <v>0</v>
      </c>
      <c r="CE480" s="210">
        <v>0</v>
      </c>
      <c r="CF480" s="210">
        <v>0</v>
      </c>
      <c r="CG480" s="210">
        <v>0</v>
      </c>
      <c r="CH480" s="209">
        <v>0</v>
      </c>
      <c r="CI480" s="139">
        <v>0</v>
      </c>
      <c r="CJ480" s="139">
        <v>0</v>
      </c>
      <c r="CK480" s="139" t="s">
        <v>1921</v>
      </c>
      <c r="CL480" s="139" t="s">
        <v>50</v>
      </c>
      <c r="CM480" s="139" t="s">
        <v>50</v>
      </c>
      <c r="CN480" s="139" t="s">
        <v>51</v>
      </c>
      <c r="CO480" s="139">
        <v>0</v>
      </c>
      <c r="CP480" s="139">
        <v>0</v>
      </c>
      <c r="CQ480" s="139">
        <v>0</v>
      </c>
      <c r="CR480" s="660" t="s">
        <v>40</v>
      </c>
      <c r="CS480" s="660" t="s">
        <v>2482</v>
      </c>
      <c r="CT480" s="24"/>
      <c r="CU480" s="24"/>
      <c r="CV480" s="24"/>
    </row>
    <row r="481" spans="1:100" x14ac:dyDescent="0.25">
      <c r="A481" s="293" t="s">
        <v>2691</v>
      </c>
      <c r="B481" s="132" t="s">
        <v>43</v>
      </c>
      <c r="C481" s="132" t="s">
        <v>44</v>
      </c>
      <c r="D481" s="132" t="s">
        <v>298</v>
      </c>
      <c r="E481" s="132" t="s">
        <v>2669</v>
      </c>
      <c r="F481" s="132">
        <v>31</v>
      </c>
      <c r="G481" s="214">
        <v>96</v>
      </c>
      <c r="H481" s="132"/>
      <c r="I481" s="132" t="s">
        <v>388</v>
      </c>
      <c r="J481" s="133">
        <v>43465</v>
      </c>
      <c r="K481" s="132">
        <v>0</v>
      </c>
      <c r="L481" s="132" t="s">
        <v>48</v>
      </c>
      <c r="M481" s="211">
        <v>0.5</v>
      </c>
      <c r="N481" s="211">
        <v>0.5</v>
      </c>
      <c r="O481" s="320">
        <v>1</v>
      </c>
      <c r="P481" s="326">
        <v>0</v>
      </c>
      <c r="Q481" s="326">
        <v>5000</v>
      </c>
      <c r="R481" s="315">
        <v>0</v>
      </c>
      <c r="S481" s="315">
        <v>0</v>
      </c>
      <c r="T481" s="315"/>
      <c r="U481" s="315">
        <v>0</v>
      </c>
      <c r="V481" s="315">
        <v>0</v>
      </c>
      <c r="W481" s="315">
        <v>0</v>
      </c>
      <c r="X481" s="315">
        <v>0</v>
      </c>
      <c r="Y481" s="315">
        <v>0</v>
      </c>
      <c r="Z481" s="315"/>
      <c r="AA481" s="336">
        <v>4</v>
      </c>
      <c r="AB481" s="336">
        <v>0</v>
      </c>
      <c r="AC481" s="337">
        <v>0</v>
      </c>
      <c r="AD481" s="337"/>
      <c r="AE481" s="336">
        <v>0</v>
      </c>
      <c r="AF481" s="336" t="s">
        <v>283</v>
      </c>
      <c r="AG481" s="339" t="s">
        <v>1358</v>
      </c>
      <c r="AH481" s="339">
        <v>0</v>
      </c>
      <c r="AI481" s="336"/>
      <c r="AJ481" s="336"/>
      <c r="AK481" s="848"/>
      <c r="AL481" s="836" t="s">
        <v>376</v>
      </c>
      <c r="AM481" s="836">
        <v>0</v>
      </c>
      <c r="AN481" s="837">
        <v>1</v>
      </c>
      <c r="AO481" s="837">
        <v>2</v>
      </c>
      <c r="AP481" s="843">
        <v>0</v>
      </c>
      <c r="AQ481" s="839">
        <v>0</v>
      </c>
      <c r="AR481" s="839"/>
      <c r="AS481" s="839"/>
      <c r="AT481" s="839"/>
      <c r="AU481" s="839"/>
      <c r="AV481" s="849" t="s">
        <v>2795</v>
      </c>
      <c r="AW481" s="134" t="s">
        <v>3208</v>
      </c>
      <c r="AX481" s="136" t="s">
        <v>3208</v>
      </c>
      <c r="AY481" s="137" t="s">
        <v>2576</v>
      </c>
      <c r="AZ481" s="136">
        <v>1</v>
      </c>
      <c r="BA481" s="136">
        <v>1</v>
      </c>
      <c r="BB481" s="136">
        <v>1</v>
      </c>
      <c r="BC481" s="214">
        <v>96</v>
      </c>
      <c r="BD481" s="136">
        <v>0</v>
      </c>
      <c r="BE481" s="214">
        <v>0</v>
      </c>
      <c r="BF481" s="136">
        <v>1</v>
      </c>
      <c r="BG481" s="214">
        <v>96</v>
      </c>
      <c r="BH481" s="214">
        <v>0.192</v>
      </c>
      <c r="BI481" s="134">
        <v>0</v>
      </c>
      <c r="BJ481" s="214">
        <v>0</v>
      </c>
      <c r="BK481" s="137">
        <v>0.80800000000000005</v>
      </c>
      <c r="BL481" s="137">
        <v>1</v>
      </c>
      <c r="BM481" s="137">
        <v>4</v>
      </c>
      <c r="BN481" s="134">
        <v>0.83333333333333337</v>
      </c>
      <c r="BO481" s="351">
        <v>80</v>
      </c>
      <c r="BP481" s="134">
        <v>0.20833333333333334</v>
      </c>
      <c r="BQ481" s="214">
        <v>1</v>
      </c>
      <c r="BR481" s="137">
        <v>5</v>
      </c>
      <c r="BS481" s="138">
        <v>0</v>
      </c>
      <c r="BT481" s="351">
        <v>0</v>
      </c>
      <c r="BU481" s="214">
        <v>96</v>
      </c>
      <c r="BV481" s="214">
        <v>0</v>
      </c>
      <c r="BW481" s="214">
        <v>1</v>
      </c>
      <c r="BX481" s="214">
        <v>0</v>
      </c>
      <c r="BY481" s="214">
        <v>0</v>
      </c>
      <c r="BZ481" s="134">
        <v>0</v>
      </c>
      <c r="CA481" s="138">
        <v>1</v>
      </c>
      <c r="CB481" s="136">
        <v>1</v>
      </c>
      <c r="CC481" s="136">
        <v>0</v>
      </c>
      <c r="CD481" s="136">
        <v>0</v>
      </c>
      <c r="CE481" s="137">
        <v>0</v>
      </c>
      <c r="CF481" s="137">
        <v>0</v>
      </c>
      <c r="CG481" s="137">
        <v>0</v>
      </c>
      <c r="CH481" s="214">
        <v>0</v>
      </c>
      <c r="CI481" s="139">
        <v>0</v>
      </c>
      <c r="CJ481" s="139" t="s">
        <v>2959</v>
      </c>
      <c r="CK481" s="139" t="s">
        <v>2716</v>
      </c>
      <c r="CL481" s="139" t="s">
        <v>50</v>
      </c>
      <c r="CM481" s="139" t="s">
        <v>946</v>
      </c>
      <c r="CN481" s="139" t="s">
        <v>51</v>
      </c>
      <c r="CO481" s="139">
        <v>0</v>
      </c>
      <c r="CP481" s="139">
        <v>0</v>
      </c>
      <c r="CQ481" s="139" t="s">
        <v>2675</v>
      </c>
      <c r="CR481" s="449" t="s">
        <v>40</v>
      </c>
      <c r="CS481" s="449"/>
      <c r="CT481" s="24"/>
      <c r="CU481" s="24"/>
      <c r="CV481" s="24"/>
    </row>
    <row r="482" spans="1:100" x14ac:dyDescent="0.25">
      <c r="A482" s="293" t="s">
        <v>2691</v>
      </c>
      <c r="B482" s="132" t="s">
        <v>287</v>
      </c>
      <c r="C482" s="132" t="s">
        <v>44</v>
      </c>
      <c r="D482" s="132" t="s">
        <v>298</v>
      </c>
      <c r="E482" s="132" t="s">
        <v>299</v>
      </c>
      <c r="F482" s="132">
        <v>13</v>
      </c>
      <c r="G482" s="214">
        <v>66</v>
      </c>
      <c r="H482" s="132"/>
      <c r="I482" s="132" t="s">
        <v>296</v>
      </c>
      <c r="J482" s="133">
        <v>43465</v>
      </c>
      <c r="K482" s="132">
        <v>0</v>
      </c>
      <c r="L482" s="132" t="s">
        <v>48</v>
      </c>
      <c r="M482" s="134">
        <v>0.8</v>
      </c>
      <c r="N482" s="134">
        <v>0.8</v>
      </c>
      <c r="O482" s="320">
        <v>0</v>
      </c>
      <c r="P482" s="326">
        <v>2</v>
      </c>
      <c r="Q482" s="326">
        <v>2000</v>
      </c>
      <c r="R482" s="315">
        <v>0</v>
      </c>
      <c r="S482" s="315">
        <v>0</v>
      </c>
      <c r="T482" s="315"/>
      <c r="U482" s="315">
        <v>0</v>
      </c>
      <c r="V482" s="315">
        <v>0</v>
      </c>
      <c r="W482" s="315">
        <v>0</v>
      </c>
      <c r="X482" s="315">
        <v>0</v>
      </c>
      <c r="Y482" s="315">
        <v>0</v>
      </c>
      <c r="Z482" s="315"/>
      <c r="AA482" s="336">
        <v>6</v>
      </c>
      <c r="AB482" s="336">
        <v>0</v>
      </c>
      <c r="AC482" s="337">
        <v>4</v>
      </c>
      <c r="AD482" s="337"/>
      <c r="AE482" s="336">
        <v>0</v>
      </c>
      <c r="AF482" s="336" t="s">
        <v>283</v>
      </c>
      <c r="AG482" s="339" t="s">
        <v>1358</v>
      </c>
      <c r="AH482" s="339"/>
      <c r="AI482" s="336"/>
      <c r="AJ482" s="336"/>
      <c r="AK482" s="848">
        <v>0.6</v>
      </c>
      <c r="AL482" s="842" t="s">
        <v>376</v>
      </c>
      <c r="AM482" s="836">
        <v>0</v>
      </c>
      <c r="AN482" s="837">
        <v>2</v>
      </c>
      <c r="AO482" s="837">
        <v>1</v>
      </c>
      <c r="AP482" s="843">
        <v>0</v>
      </c>
      <c r="AQ482" s="839">
        <v>0</v>
      </c>
      <c r="AR482" s="839"/>
      <c r="AS482" s="839"/>
      <c r="AT482" s="839"/>
      <c r="AU482" s="839"/>
      <c r="AV482" s="849"/>
      <c r="AW482" s="134" t="s">
        <v>3208</v>
      </c>
      <c r="AX482" s="136" t="s">
        <v>3208</v>
      </c>
      <c r="AY482" s="137" t="s">
        <v>2576</v>
      </c>
      <c r="AZ482" s="136">
        <v>1</v>
      </c>
      <c r="BA482" s="136">
        <v>1</v>
      </c>
      <c r="BB482" s="136">
        <v>1</v>
      </c>
      <c r="BC482" s="214">
        <v>66</v>
      </c>
      <c r="BD482" s="136">
        <v>0</v>
      </c>
      <c r="BE482" s="214">
        <v>0</v>
      </c>
      <c r="BF482" s="136">
        <v>1</v>
      </c>
      <c r="BG482" s="214">
        <v>66</v>
      </c>
      <c r="BH482" s="214">
        <v>0.13200000000000001</v>
      </c>
      <c r="BI482" s="134">
        <v>0</v>
      </c>
      <c r="BJ482" s="214">
        <v>0</v>
      </c>
      <c r="BK482" s="137">
        <v>0.86799999999999999</v>
      </c>
      <c r="BL482" s="137">
        <v>1</v>
      </c>
      <c r="BM482" s="137">
        <v>6</v>
      </c>
      <c r="BN482" s="134">
        <v>1</v>
      </c>
      <c r="BO482" s="351">
        <v>66</v>
      </c>
      <c r="BP482" s="134">
        <v>0</v>
      </c>
      <c r="BQ482" s="214">
        <v>0</v>
      </c>
      <c r="BR482" s="137">
        <v>3</v>
      </c>
      <c r="BS482" s="138">
        <v>0</v>
      </c>
      <c r="BT482" s="351">
        <v>66</v>
      </c>
      <c r="BU482" s="214">
        <v>66</v>
      </c>
      <c r="BV482" s="214">
        <v>0</v>
      </c>
      <c r="BW482" s="214">
        <v>1</v>
      </c>
      <c r="BX482" s="214">
        <v>0</v>
      </c>
      <c r="BY482" s="214">
        <v>0</v>
      </c>
      <c r="BZ482" s="134">
        <v>0</v>
      </c>
      <c r="CA482" s="138">
        <v>1</v>
      </c>
      <c r="CB482" s="136">
        <v>1</v>
      </c>
      <c r="CC482" s="136">
        <v>0</v>
      </c>
      <c r="CD482" s="136">
        <v>0</v>
      </c>
      <c r="CE482" s="137">
        <v>0</v>
      </c>
      <c r="CF482" s="137">
        <v>0</v>
      </c>
      <c r="CG482" s="137">
        <v>0</v>
      </c>
      <c r="CH482" s="214">
        <v>7.8</v>
      </c>
      <c r="CI482" s="139" t="s">
        <v>48</v>
      </c>
      <c r="CJ482" s="139" t="s">
        <v>287</v>
      </c>
      <c r="CK482" s="139" t="s">
        <v>50</v>
      </c>
      <c r="CL482" s="139" t="s">
        <v>50</v>
      </c>
      <c r="CM482" s="139" t="s">
        <v>50</v>
      </c>
      <c r="CN482" s="139" t="s">
        <v>51</v>
      </c>
      <c r="CO482" s="139">
        <v>25.305669999999999</v>
      </c>
      <c r="CP482" s="139">
        <v>96.922619999999995</v>
      </c>
      <c r="CQ482" s="139" t="s">
        <v>1995</v>
      </c>
      <c r="CR482" s="449" t="s">
        <v>40</v>
      </c>
      <c r="CS482" s="449"/>
      <c r="CT482" s="24"/>
      <c r="CU482" s="24"/>
      <c r="CV482" s="24"/>
    </row>
    <row r="483" spans="1:100" x14ac:dyDescent="0.25">
      <c r="A483" s="293" t="s">
        <v>2691</v>
      </c>
      <c r="B483" s="132" t="s">
        <v>460</v>
      </c>
      <c r="C483" s="132" t="s">
        <v>44</v>
      </c>
      <c r="D483" s="132" t="s">
        <v>298</v>
      </c>
      <c r="E483" s="132" t="s">
        <v>2717</v>
      </c>
      <c r="F483" s="132">
        <v>79</v>
      </c>
      <c r="G483" s="214">
        <v>419</v>
      </c>
      <c r="H483" s="132"/>
      <c r="I483" s="132"/>
      <c r="J483" s="133"/>
      <c r="K483" s="132"/>
      <c r="L483" s="132"/>
      <c r="M483" s="206"/>
      <c r="N483" s="206"/>
      <c r="O483" s="320"/>
      <c r="P483" s="326"/>
      <c r="Q483" s="326"/>
      <c r="R483" s="315"/>
      <c r="S483" s="315"/>
      <c r="T483" s="315"/>
      <c r="U483" s="315"/>
      <c r="V483" s="315"/>
      <c r="W483" s="315"/>
      <c r="X483" s="315"/>
      <c r="Y483" s="315"/>
      <c r="Z483" s="315"/>
      <c r="AA483" s="336"/>
      <c r="AB483" s="336"/>
      <c r="AC483" s="337"/>
      <c r="AD483" s="337"/>
      <c r="AE483" s="336"/>
      <c r="AF483" s="336"/>
      <c r="AG483" s="339"/>
      <c r="AH483" s="339"/>
      <c r="AI483" s="336"/>
      <c r="AJ483" s="336"/>
      <c r="AK483" s="848"/>
      <c r="AL483" s="836"/>
      <c r="AM483" s="836"/>
      <c r="AN483" s="837"/>
      <c r="AO483" s="837"/>
      <c r="AP483" s="839"/>
      <c r="AQ483" s="839"/>
      <c r="AR483" s="839"/>
      <c r="AS483" s="839"/>
      <c r="AT483" s="839"/>
      <c r="AU483" s="839"/>
      <c r="AV483" s="849"/>
      <c r="AW483" s="134" t="s">
        <v>3208</v>
      </c>
      <c r="AX483" s="136" t="s">
        <v>3208</v>
      </c>
      <c r="AY483" s="137" t="s">
        <v>2576</v>
      </c>
      <c r="AZ483" s="136">
        <v>0</v>
      </c>
      <c r="BA483" s="136">
        <v>0</v>
      </c>
      <c r="BB483" s="136">
        <v>0</v>
      </c>
      <c r="BC483" s="214">
        <v>0</v>
      </c>
      <c r="BD483" s="136">
        <v>0</v>
      </c>
      <c r="BE483" s="214">
        <v>0</v>
      </c>
      <c r="BF483" s="136">
        <v>0</v>
      </c>
      <c r="BG483" s="214">
        <v>0</v>
      </c>
      <c r="BH483" s="214">
        <v>0</v>
      </c>
      <c r="BI483" s="134">
        <v>1</v>
      </c>
      <c r="BJ483" s="214">
        <v>419</v>
      </c>
      <c r="BK483" s="137">
        <v>1</v>
      </c>
      <c r="BL483" s="137">
        <v>1</v>
      </c>
      <c r="BM483" s="137">
        <v>0</v>
      </c>
      <c r="BN483" s="134">
        <v>0</v>
      </c>
      <c r="BO483" s="351">
        <v>0</v>
      </c>
      <c r="BP483" s="134">
        <v>1</v>
      </c>
      <c r="BQ483" s="214">
        <v>21</v>
      </c>
      <c r="BR483" s="137">
        <v>21</v>
      </c>
      <c r="BS483" s="138">
        <v>0</v>
      </c>
      <c r="BT483" s="351">
        <v>0</v>
      </c>
      <c r="BU483" s="214">
        <v>0</v>
      </c>
      <c r="BV483" s="214">
        <v>0</v>
      </c>
      <c r="BW483" s="214">
        <v>0</v>
      </c>
      <c r="BX483" s="214">
        <v>0</v>
      </c>
      <c r="BY483" s="214">
        <v>0</v>
      </c>
      <c r="BZ483" s="134">
        <v>0</v>
      </c>
      <c r="CA483" s="138">
        <v>1</v>
      </c>
      <c r="CB483" s="136">
        <v>0</v>
      </c>
      <c r="CC483" s="136">
        <v>0</v>
      </c>
      <c r="CD483" s="136">
        <v>0</v>
      </c>
      <c r="CE483" s="137">
        <v>0</v>
      </c>
      <c r="CF483" s="137">
        <v>0</v>
      </c>
      <c r="CG483" s="137">
        <v>0</v>
      </c>
      <c r="CH483" s="214">
        <v>0</v>
      </c>
      <c r="CI483" s="139">
        <v>0</v>
      </c>
      <c r="CJ483" s="139">
        <v>0</v>
      </c>
      <c r="CK483" s="139" t="s">
        <v>2716</v>
      </c>
      <c r="CL483" s="139" t="s">
        <v>50</v>
      </c>
      <c r="CM483" s="139" t="s">
        <v>946</v>
      </c>
      <c r="CN483" s="812" t="s">
        <v>51</v>
      </c>
      <c r="CO483" s="139">
        <v>0</v>
      </c>
      <c r="CP483" s="139">
        <v>0</v>
      </c>
      <c r="CQ483" s="139">
        <v>0</v>
      </c>
      <c r="CR483" s="449" t="s">
        <v>3209</v>
      </c>
      <c r="CS483" s="449"/>
      <c r="CT483" s="24"/>
      <c r="CU483" s="24"/>
      <c r="CV483" s="24"/>
    </row>
    <row r="484" spans="1:100" x14ac:dyDescent="0.25">
      <c r="A484" s="293" t="s">
        <v>2691</v>
      </c>
      <c r="B484" s="132" t="s">
        <v>43</v>
      </c>
      <c r="C484" s="132" t="s">
        <v>44</v>
      </c>
      <c r="D484" s="132" t="s">
        <v>298</v>
      </c>
      <c r="E484" s="132" t="s">
        <v>2668</v>
      </c>
      <c r="F484" s="132">
        <v>79</v>
      </c>
      <c r="G484" s="214">
        <v>321</v>
      </c>
      <c r="H484" s="132"/>
      <c r="I484" s="132" t="s">
        <v>388</v>
      </c>
      <c r="J484" s="133">
        <v>43465</v>
      </c>
      <c r="K484" s="132">
        <v>0</v>
      </c>
      <c r="L484" s="132" t="s">
        <v>48</v>
      </c>
      <c r="M484" s="211">
        <v>0.4</v>
      </c>
      <c r="N484" s="211">
        <v>0.4</v>
      </c>
      <c r="O484" s="320">
        <v>1</v>
      </c>
      <c r="P484" s="326">
        <v>0</v>
      </c>
      <c r="Q484" s="326">
        <v>5000</v>
      </c>
      <c r="R484" s="315">
        <v>0</v>
      </c>
      <c r="S484" s="315">
        <v>0</v>
      </c>
      <c r="T484" s="315"/>
      <c r="U484" s="315">
        <v>0</v>
      </c>
      <c r="V484" s="315">
        <v>0</v>
      </c>
      <c r="W484" s="315">
        <v>0</v>
      </c>
      <c r="X484" s="315">
        <v>0</v>
      </c>
      <c r="Y484" s="315">
        <v>0</v>
      </c>
      <c r="Z484" s="315"/>
      <c r="AA484" s="336">
        <v>8</v>
      </c>
      <c r="AB484" s="336">
        <v>0</v>
      </c>
      <c r="AC484" s="337">
        <v>0</v>
      </c>
      <c r="AD484" s="337"/>
      <c r="AE484" s="336">
        <v>0</v>
      </c>
      <c r="AF484" s="336" t="s">
        <v>283</v>
      </c>
      <c r="AG484" s="339" t="s">
        <v>1358</v>
      </c>
      <c r="AH484" s="339"/>
      <c r="AI484" s="336"/>
      <c r="AJ484" s="336"/>
      <c r="AK484" s="848"/>
      <c r="AL484" s="836" t="s">
        <v>376</v>
      </c>
      <c r="AM484" s="836">
        <v>1</v>
      </c>
      <c r="AN484" s="837">
        <v>0</v>
      </c>
      <c r="AO484" s="837">
        <v>2</v>
      </c>
      <c r="AP484" s="839">
        <v>0</v>
      </c>
      <c r="AQ484" s="839">
        <v>0</v>
      </c>
      <c r="AR484" s="839"/>
      <c r="AS484" s="839"/>
      <c r="AT484" s="839"/>
      <c r="AU484" s="839"/>
      <c r="AV484" s="849" t="s">
        <v>2795</v>
      </c>
      <c r="AW484" s="134" t="s">
        <v>3208</v>
      </c>
      <c r="AX484" s="136" t="s">
        <v>3208</v>
      </c>
      <c r="AY484" s="137" t="s">
        <v>2576</v>
      </c>
      <c r="AZ484" s="136">
        <v>1</v>
      </c>
      <c r="BA484" s="136">
        <v>1</v>
      </c>
      <c r="BB484" s="136">
        <v>1</v>
      </c>
      <c r="BC484" s="214">
        <v>321</v>
      </c>
      <c r="BD484" s="136">
        <v>0</v>
      </c>
      <c r="BE484" s="214">
        <v>0</v>
      </c>
      <c r="BF484" s="136">
        <v>1</v>
      </c>
      <c r="BG484" s="214">
        <v>321</v>
      </c>
      <c r="BH484" s="214">
        <v>0.64200000000000002</v>
      </c>
      <c r="BI484" s="134">
        <v>0</v>
      </c>
      <c r="BJ484" s="214">
        <v>0</v>
      </c>
      <c r="BK484" s="137">
        <v>0.35799999999999998</v>
      </c>
      <c r="BL484" s="137">
        <v>1</v>
      </c>
      <c r="BM484" s="137">
        <v>8</v>
      </c>
      <c r="BN484" s="134">
        <v>0.49844236760124611</v>
      </c>
      <c r="BO484" s="351">
        <v>160</v>
      </c>
      <c r="BP484" s="134">
        <v>0.49844236760124611</v>
      </c>
      <c r="BQ484" s="214">
        <v>8</v>
      </c>
      <c r="BR484" s="137">
        <v>16</v>
      </c>
      <c r="BS484" s="138">
        <v>0</v>
      </c>
      <c r="BT484" s="351">
        <v>0</v>
      </c>
      <c r="BU484" s="214">
        <v>321</v>
      </c>
      <c r="BV484" s="214">
        <v>0</v>
      </c>
      <c r="BW484" s="214">
        <v>1</v>
      </c>
      <c r="BX484" s="214">
        <v>0</v>
      </c>
      <c r="BY484" s="214">
        <v>0</v>
      </c>
      <c r="BZ484" s="134">
        <v>0</v>
      </c>
      <c r="CA484" s="138">
        <v>1</v>
      </c>
      <c r="CB484" s="136">
        <v>1</v>
      </c>
      <c r="CC484" s="136">
        <v>0</v>
      </c>
      <c r="CD484" s="136">
        <v>0</v>
      </c>
      <c r="CE484" s="137">
        <v>0</v>
      </c>
      <c r="CF484" s="137">
        <v>0</v>
      </c>
      <c r="CG484" s="137">
        <v>0</v>
      </c>
      <c r="CH484" s="214">
        <v>0</v>
      </c>
      <c r="CI484" s="139">
        <v>0</v>
      </c>
      <c r="CJ484" s="139" t="s">
        <v>2959</v>
      </c>
      <c r="CK484" s="139" t="s">
        <v>2716</v>
      </c>
      <c r="CL484" s="139" t="s">
        <v>50</v>
      </c>
      <c r="CM484" s="139" t="s">
        <v>946</v>
      </c>
      <c r="CN484" s="139" t="s">
        <v>51</v>
      </c>
      <c r="CO484" s="139">
        <v>97.013800000000003</v>
      </c>
      <c r="CP484" s="139">
        <v>25.383465999999999</v>
      </c>
      <c r="CQ484" s="139" t="s">
        <v>2673</v>
      </c>
      <c r="CR484" s="449" t="s">
        <v>40</v>
      </c>
      <c r="CS484" s="449"/>
      <c r="CT484" s="24"/>
      <c r="CU484" s="24"/>
      <c r="CV484" s="24"/>
    </row>
    <row r="485" spans="1:100" x14ac:dyDescent="0.25">
      <c r="A485" s="293" t="s">
        <v>2691</v>
      </c>
      <c r="B485" s="132" t="s">
        <v>287</v>
      </c>
      <c r="C485" s="132" t="s">
        <v>44</v>
      </c>
      <c r="D485" s="132" t="s">
        <v>298</v>
      </c>
      <c r="E485" s="132" t="s">
        <v>2953</v>
      </c>
      <c r="F485" s="132">
        <v>16</v>
      </c>
      <c r="G485" s="214">
        <v>98</v>
      </c>
      <c r="H485" s="132"/>
      <c r="I485" s="132" t="s">
        <v>296</v>
      </c>
      <c r="J485" s="133">
        <v>43465</v>
      </c>
      <c r="K485" s="132">
        <v>0</v>
      </c>
      <c r="L485" s="132" t="s">
        <v>48</v>
      </c>
      <c r="M485" s="134">
        <v>0.8</v>
      </c>
      <c r="N485" s="134">
        <v>0.8</v>
      </c>
      <c r="O485" s="320">
        <v>0</v>
      </c>
      <c r="P485" s="326">
        <v>2</v>
      </c>
      <c r="Q485" s="326">
        <v>2000</v>
      </c>
      <c r="R485" s="315">
        <v>0</v>
      </c>
      <c r="S485" s="315">
        <v>0</v>
      </c>
      <c r="T485" s="315"/>
      <c r="U485" s="315">
        <v>0</v>
      </c>
      <c r="V485" s="315">
        <v>0</v>
      </c>
      <c r="W485" s="315">
        <v>0</v>
      </c>
      <c r="X485" s="315">
        <v>0</v>
      </c>
      <c r="Y485" s="315">
        <v>0</v>
      </c>
      <c r="Z485" s="315"/>
      <c r="AA485" s="336">
        <v>2</v>
      </c>
      <c r="AB485" s="336">
        <v>0</v>
      </c>
      <c r="AC485" s="337">
        <v>0</v>
      </c>
      <c r="AD485" s="337"/>
      <c r="AE485" s="336">
        <v>0</v>
      </c>
      <c r="AF485" s="336" t="s">
        <v>283</v>
      </c>
      <c r="AG485" s="339" t="s">
        <v>1358</v>
      </c>
      <c r="AH485" s="339"/>
      <c r="AI485" s="336"/>
      <c r="AJ485" s="336"/>
      <c r="AK485" s="848">
        <v>0.6</v>
      </c>
      <c r="AL485" s="842" t="s">
        <v>376</v>
      </c>
      <c r="AM485" s="836">
        <v>0</v>
      </c>
      <c r="AN485" s="837">
        <v>2</v>
      </c>
      <c r="AO485" s="837">
        <v>1</v>
      </c>
      <c r="AP485" s="843">
        <v>0</v>
      </c>
      <c r="AQ485" s="839">
        <v>0</v>
      </c>
      <c r="AR485" s="839"/>
      <c r="AS485" s="839"/>
      <c r="AT485" s="839"/>
      <c r="AU485" s="839"/>
      <c r="AV485" s="849"/>
      <c r="AW485" s="134" t="s">
        <v>3208</v>
      </c>
      <c r="AX485" s="136" t="s">
        <v>3208</v>
      </c>
      <c r="AY485" s="137" t="s">
        <v>2576</v>
      </c>
      <c r="AZ485" s="136">
        <v>1</v>
      </c>
      <c r="BA485" s="136">
        <v>1</v>
      </c>
      <c r="BB485" s="136">
        <v>1</v>
      </c>
      <c r="BC485" s="214">
        <v>98</v>
      </c>
      <c r="BD485" s="136">
        <v>0</v>
      </c>
      <c r="BE485" s="214">
        <v>0</v>
      </c>
      <c r="BF485" s="136">
        <v>1</v>
      </c>
      <c r="BG485" s="214">
        <v>98</v>
      </c>
      <c r="BH485" s="214">
        <v>0.19600000000000001</v>
      </c>
      <c r="BI485" s="134">
        <v>0</v>
      </c>
      <c r="BJ485" s="214">
        <v>0</v>
      </c>
      <c r="BK485" s="137">
        <v>0.80400000000000005</v>
      </c>
      <c r="BL485" s="137">
        <v>1</v>
      </c>
      <c r="BM485" s="137">
        <v>2</v>
      </c>
      <c r="BN485" s="134">
        <v>0.40816326530612246</v>
      </c>
      <c r="BO485" s="351">
        <v>40</v>
      </c>
      <c r="BP485" s="134">
        <v>0.61224489795918358</v>
      </c>
      <c r="BQ485" s="214">
        <v>3</v>
      </c>
      <c r="BR485" s="137">
        <v>5</v>
      </c>
      <c r="BS485" s="138">
        <v>0</v>
      </c>
      <c r="BT485" s="351">
        <v>0</v>
      </c>
      <c r="BU485" s="214">
        <v>98</v>
      </c>
      <c r="BV485" s="214">
        <v>0</v>
      </c>
      <c r="BW485" s="214">
        <v>1</v>
      </c>
      <c r="BX485" s="214">
        <v>0</v>
      </c>
      <c r="BY485" s="214">
        <v>0</v>
      </c>
      <c r="BZ485" s="134">
        <v>0</v>
      </c>
      <c r="CA485" s="138">
        <v>1</v>
      </c>
      <c r="CB485" s="136">
        <v>1</v>
      </c>
      <c r="CC485" s="136">
        <v>0</v>
      </c>
      <c r="CD485" s="136">
        <v>0</v>
      </c>
      <c r="CE485" s="137">
        <v>0</v>
      </c>
      <c r="CF485" s="137">
        <v>0</v>
      </c>
      <c r="CG485" s="137">
        <v>0</v>
      </c>
      <c r="CH485" s="214">
        <v>9.6</v>
      </c>
      <c r="CI485" s="139" t="s">
        <v>48</v>
      </c>
      <c r="CJ485" s="139" t="s">
        <v>287</v>
      </c>
      <c r="CK485" s="139" t="s">
        <v>50</v>
      </c>
      <c r="CL485" s="139" t="s">
        <v>50</v>
      </c>
      <c r="CM485" s="139" t="s">
        <v>50</v>
      </c>
      <c r="CN485" s="139" t="s">
        <v>51</v>
      </c>
      <c r="CO485" s="139">
        <v>25.296579999999999</v>
      </c>
      <c r="CP485" s="139">
        <v>96.942279999999997</v>
      </c>
      <c r="CQ485" s="139" t="s">
        <v>1991</v>
      </c>
      <c r="CR485" s="449" t="s">
        <v>40</v>
      </c>
      <c r="CS485" s="449"/>
      <c r="CT485" s="24"/>
      <c r="CU485" s="24"/>
      <c r="CV485" s="24"/>
    </row>
    <row r="486" spans="1:100" x14ac:dyDescent="0.25">
      <c r="A486" s="293" t="s">
        <v>2691</v>
      </c>
      <c r="B486" s="132" t="s">
        <v>43</v>
      </c>
      <c r="C486" s="132" t="s">
        <v>44</v>
      </c>
      <c r="D486" s="132" t="s">
        <v>298</v>
      </c>
      <c r="E486" s="132" t="s">
        <v>387</v>
      </c>
      <c r="F486" s="132">
        <v>20</v>
      </c>
      <c r="G486" s="214">
        <v>105</v>
      </c>
      <c r="H486" s="206"/>
      <c r="I486" s="206" t="s">
        <v>388</v>
      </c>
      <c r="J486" s="133">
        <v>43465</v>
      </c>
      <c r="K486" s="132">
        <v>0</v>
      </c>
      <c r="L486" s="132" t="s">
        <v>48</v>
      </c>
      <c r="M486" s="134">
        <v>0.4</v>
      </c>
      <c r="N486" s="134">
        <v>0.1</v>
      </c>
      <c r="O486" s="320">
        <v>3</v>
      </c>
      <c r="P486" s="326">
        <v>0</v>
      </c>
      <c r="Q486" s="326">
        <v>6000</v>
      </c>
      <c r="R486" s="315">
        <v>0</v>
      </c>
      <c r="S486" s="315">
        <v>0</v>
      </c>
      <c r="T486" s="315"/>
      <c r="U486" s="315">
        <v>0</v>
      </c>
      <c r="V486" s="315">
        <v>0</v>
      </c>
      <c r="W486" s="315">
        <v>0</v>
      </c>
      <c r="X486" s="315">
        <v>0</v>
      </c>
      <c r="Y486" s="315">
        <v>0</v>
      </c>
      <c r="Z486" s="315"/>
      <c r="AA486" s="336">
        <v>20</v>
      </c>
      <c r="AB486" s="336">
        <v>0</v>
      </c>
      <c r="AC486" s="337">
        <v>0</v>
      </c>
      <c r="AD486" s="337"/>
      <c r="AE486" s="336">
        <v>0</v>
      </c>
      <c r="AF486" s="336" t="s">
        <v>283</v>
      </c>
      <c r="AG486" s="339" t="s">
        <v>1358</v>
      </c>
      <c r="AH486" s="339">
        <v>0</v>
      </c>
      <c r="AI486" s="336">
        <v>0</v>
      </c>
      <c r="AJ486" s="336"/>
      <c r="AK486" s="848">
        <v>0</v>
      </c>
      <c r="AL486" s="842" t="s">
        <v>376</v>
      </c>
      <c r="AM486" s="836">
        <v>0</v>
      </c>
      <c r="AN486" s="837">
        <v>0</v>
      </c>
      <c r="AO486" s="837">
        <v>0</v>
      </c>
      <c r="AP486" s="843">
        <v>0</v>
      </c>
      <c r="AQ486" s="839">
        <v>0</v>
      </c>
      <c r="AR486" s="839" t="s">
        <v>282</v>
      </c>
      <c r="AS486" s="839"/>
      <c r="AT486" s="839"/>
      <c r="AU486" s="839"/>
      <c r="AV486" s="849"/>
      <c r="AW486" s="134" t="s">
        <v>3208</v>
      </c>
      <c r="AX486" s="136" t="s">
        <v>3208</v>
      </c>
      <c r="AY486" s="137" t="s">
        <v>2576</v>
      </c>
      <c r="AZ486" s="136">
        <v>1</v>
      </c>
      <c r="BA486" s="136">
        <v>1</v>
      </c>
      <c r="BB486" s="136">
        <v>1</v>
      </c>
      <c r="BC486" s="214">
        <v>105</v>
      </c>
      <c r="BD486" s="136">
        <v>0</v>
      </c>
      <c r="BE486" s="214">
        <v>0</v>
      </c>
      <c r="BF486" s="136">
        <v>1</v>
      </c>
      <c r="BG486" s="214">
        <v>105</v>
      </c>
      <c r="BH486" s="214">
        <v>0.21</v>
      </c>
      <c r="BI486" s="134">
        <v>0</v>
      </c>
      <c r="BJ486" s="214">
        <v>0</v>
      </c>
      <c r="BK486" s="137">
        <v>0.79</v>
      </c>
      <c r="BL486" s="137">
        <v>1</v>
      </c>
      <c r="BM486" s="137">
        <v>20</v>
      </c>
      <c r="BN486" s="134">
        <v>1</v>
      </c>
      <c r="BO486" s="351">
        <v>105</v>
      </c>
      <c r="BP486" s="134">
        <v>0</v>
      </c>
      <c r="BQ486" s="214">
        <v>0</v>
      </c>
      <c r="BR486" s="137">
        <v>5</v>
      </c>
      <c r="BS486" s="138">
        <v>0</v>
      </c>
      <c r="BT486" s="351">
        <v>0</v>
      </c>
      <c r="BU486" s="214">
        <v>0</v>
      </c>
      <c r="BV486" s="214">
        <v>0</v>
      </c>
      <c r="BW486" s="214">
        <v>0</v>
      </c>
      <c r="BX486" s="214">
        <v>0</v>
      </c>
      <c r="BY486" s="214">
        <v>0</v>
      </c>
      <c r="BZ486" s="134">
        <v>0</v>
      </c>
      <c r="CA486" s="138">
        <v>1</v>
      </c>
      <c r="CB486" s="136">
        <v>0</v>
      </c>
      <c r="CC486" s="136">
        <v>0</v>
      </c>
      <c r="CD486" s="136">
        <v>0</v>
      </c>
      <c r="CE486" s="137">
        <v>0</v>
      </c>
      <c r="CF486" s="137">
        <v>0</v>
      </c>
      <c r="CG486" s="137">
        <v>0</v>
      </c>
      <c r="CH486" s="214">
        <v>0</v>
      </c>
      <c r="CI486" s="139">
        <v>0</v>
      </c>
      <c r="CJ486" s="139">
        <v>0</v>
      </c>
      <c r="CK486" s="139" t="s">
        <v>50</v>
      </c>
      <c r="CL486" s="139" t="s">
        <v>50</v>
      </c>
      <c r="CM486" s="139" t="s">
        <v>929</v>
      </c>
      <c r="CN486" s="139" t="s">
        <v>51</v>
      </c>
      <c r="CO486" s="139">
        <v>25.299679999999999</v>
      </c>
      <c r="CP486" s="139">
        <v>96.942279999999997</v>
      </c>
      <c r="CQ486" s="139" t="s">
        <v>1992</v>
      </c>
      <c r="CR486" s="449" t="s">
        <v>40</v>
      </c>
      <c r="CS486" s="449"/>
      <c r="CT486" s="24"/>
      <c r="CU486" s="24"/>
      <c r="CV486" s="24"/>
    </row>
    <row r="487" spans="1:100" x14ac:dyDescent="0.25">
      <c r="A487" s="293" t="s">
        <v>2691</v>
      </c>
      <c r="B487" s="132" t="s">
        <v>43</v>
      </c>
      <c r="C487" s="132" t="s">
        <v>44</v>
      </c>
      <c r="D487" s="132" t="s">
        <v>298</v>
      </c>
      <c r="E487" s="132" t="s">
        <v>2667</v>
      </c>
      <c r="F487" s="132">
        <v>45</v>
      </c>
      <c r="G487" s="214">
        <v>220</v>
      </c>
      <c r="H487" s="132"/>
      <c r="I487" s="132" t="s">
        <v>388</v>
      </c>
      <c r="J487" s="133">
        <v>43465</v>
      </c>
      <c r="K487" s="132">
        <v>0</v>
      </c>
      <c r="L487" s="132" t="s">
        <v>48</v>
      </c>
      <c r="M487" s="134">
        <v>0.4</v>
      </c>
      <c r="N487" s="134">
        <v>0.4</v>
      </c>
      <c r="O487" s="320">
        <v>3</v>
      </c>
      <c r="P487" s="326">
        <v>0</v>
      </c>
      <c r="Q487" s="326">
        <v>8000</v>
      </c>
      <c r="R487" s="315">
        <v>0</v>
      </c>
      <c r="S487" s="315">
        <v>0</v>
      </c>
      <c r="T487" s="315"/>
      <c r="U487" s="315">
        <v>0</v>
      </c>
      <c r="V487" s="315">
        <v>0</v>
      </c>
      <c r="W487" s="315">
        <v>0</v>
      </c>
      <c r="X487" s="315">
        <v>0</v>
      </c>
      <c r="Y487" s="315">
        <v>0</v>
      </c>
      <c r="Z487" s="315"/>
      <c r="AA487" s="336">
        <v>7</v>
      </c>
      <c r="AB487" s="336">
        <v>1</v>
      </c>
      <c r="AC487" s="337">
        <v>0</v>
      </c>
      <c r="AD487" s="337"/>
      <c r="AE487" s="336">
        <v>0</v>
      </c>
      <c r="AF487" s="336" t="s">
        <v>283</v>
      </c>
      <c r="AG487" s="339" t="s">
        <v>1358</v>
      </c>
      <c r="AH487" s="339">
        <v>0</v>
      </c>
      <c r="AI487" s="336">
        <v>0</v>
      </c>
      <c r="AJ487" s="336"/>
      <c r="AK487" s="848"/>
      <c r="AL487" s="836" t="s">
        <v>376</v>
      </c>
      <c r="AM487" s="836">
        <v>1</v>
      </c>
      <c r="AN487" s="837">
        <v>0</v>
      </c>
      <c r="AO487" s="837">
        <v>2</v>
      </c>
      <c r="AP487" s="843">
        <v>0</v>
      </c>
      <c r="AQ487" s="839">
        <v>0</v>
      </c>
      <c r="AR487" s="839"/>
      <c r="AS487" s="839"/>
      <c r="AT487" s="839"/>
      <c r="AU487" s="839"/>
      <c r="AV487" s="849" t="s">
        <v>2795</v>
      </c>
      <c r="AW487" s="134" t="s">
        <v>3208</v>
      </c>
      <c r="AX487" s="136" t="s">
        <v>3208</v>
      </c>
      <c r="AY487" s="137" t="s">
        <v>2576</v>
      </c>
      <c r="AZ487" s="136">
        <v>1</v>
      </c>
      <c r="BA487" s="136">
        <v>1</v>
      </c>
      <c r="BB487" s="136">
        <v>1</v>
      </c>
      <c r="BC487" s="214">
        <v>220</v>
      </c>
      <c r="BD487" s="136">
        <v>0</v>
      </c>
      <c r="BE487" s="214">
        <v>0</v>
      </c>
      <c r="BF487" s="136">
        <v>1</v>
      </c>
      <c r="BG487" s="214">
        <v>220</v>
      </c>
      <c r="BH487" s="214">
        <v>0.44</v>
      </c>
      <c r="BI487" s="134">
        <v>0</v>
      </c>
      <c r="BJ487" s="214">
        <v>0</v>
      </c>
      <c r="BK487" s="137">
        <v>0.56000000000000005</v>
      </c>
      <c r="BL487" s="137">
        <v>1</v>
      </c>
      <c r="BM487" s="137">
        <v>8</v>
      </c>
      <c r="BN487" s="134">
        <v>0.63636363636363635</v>
      </c>
      <c r="BO487" s="351">
        <v>140</v>
      </c>
      <c r="BP487" s="134">
        <v>0.27272727272727271</v>
      </c>
      <c r="BQ487" s="214">
        <v>3</v>
      </c>
      <c r="BR487" s="137">
        <v>11</v>
      </c>
      <c r="BS487" s="138">
        <v>0.125</v>
      </c>
      <c r="BT487" s="351">
        <v>0</v>
      </c>
      <c r="BU487" s="214">
        <v>220</v>
      </c>
      <c r="BV487" s="214">
        <v>0</v>
      </c>
      <c r="BW487" s="214">
        <v>1</v>
      </c>
      <c r="BX487" s="214">
        <v>0</v>
      </c>
      <c r="BY487" s="214">
        <v>0</v>
      </c>
      <c r="BZ487" s="134">
        <v>0</v>
      </c>
      <c r="CA487" s="138">
        <v>1</v>
      </c>
      <c r="CB487" s="136">
        <v>1</v>
      </c>
      <c r="CC487" s="136">
        <v>0</v>
      </c>
      <c r="CD487" s="136">
        <v>0</v>
      </c>
      <c r="CE487" s="137">
        <v>0</v>
      </c>
      <c r="CF487" s="137">
        <v>0</v>
      </c>
      <c r="CG487" s="137">
        <v>0</v>
      </c>
      <c r="CH487" s="214">
        <v>0</v>
      </c>
      <c r="CI487" s="139">
        <v>0</v>
      </c>
      <c r="CJ487" s="139" t="s">
        <v>2959</v>
      </c>
      <c r="CK487" s="139" t="s">
        <v>2716</v>
      </c>
      <c r="CL487" s="139" t="s">
        <v>50</v>
      </c>
      <c r="CM487" s="139" t="s">
        <v>946</v>
      </c>
      <c r="CN487" s="139" t="s">
        <v>51</v>
      </c>
      <c r="CO487" s="139">
        <v>97.010629910000006</v>
      </c>
      <c r="CP487" s="139">
        <v>25.370330525559201</v>
      </c>
      <c r="CQ487" s="139" t="s">
        <v>2672</v>
      </c>
      <c r="CR487" s="449" t="s">
        <v>40</v>
      </c>
      <c r="CS487" s="449"/>
      <c r="CT487" s="24"/>
      <c r="CU487" s="24"/>
      <c r="CV487" s="24"/>
    </row>
    <row r="488" spans="1:100" x14ac:dyDescent="0.25">
      <c r="A488" s="293" t="s">
        <v>2691</v>
      </c>
      <c r="B488" s="132" t="s">
        <v>287</v>
      </c>
      <c r="C488" s="132" t="s">
        <v>44</v>
      </c>
      <c r="D488" s="132" t="s">
        <v>298</v>
      </c>
      <c r="E488" s="132" t="s">
        <v>2799</v>
      </c>
      <c r="F488" s="132">
        <v>33</v>
      </c>
      <c r="G488" s="214">
        <v>154</v>
      </c>
      <c r="H488" s="206"/>
      <c r="I488" s="206" t="s">
        <v>296</v>
      </c>
      <c r="J488" s="133">
        <v>43465</v>
      </c>
      <c r="K488" s="132"/>
      <c r="L488" s="132"/>
      <c r="M488" s="212"/>
      <c r="N488" s="212"/>
      <c r="O488" s="320"/>
      <c r="P488" s="326"/>
      <c r="Q488" s="326"/>
      <c r="R488" s="315"/>
      <c r="S488" s="315"/>
      <c r="T488" s="315"/>
      <c r="U488" s="315"/>
      <c r="V488" s="315"/>
      <c r="W488" s="315"/>
      <c r="X488" s="315"/>
      <c r="Y488" s="315"/>
      <c r="Z488" s="315"/>
      <c r="AA488" s="336">
        <v>2</v>
      </c>
      <c r="AB488" s="336"/>
      <c r="AC488" s="337"/>
      <c r="AD488" s="337"/>
      <c r="AE488" s="336"/>
      <c r="AF488" s="336"/>
      <c r="AG488" s="339"/>
      <c r="AH488" s="339"/>
      <c r="AI488" s="336"/>
      <c r="AJ488" s="336"/>
      <c r="AK488" s="848"/>
      <c r="AL488" s="836"/>
      <c r="AM488" s="836"/>
      <c r="AN488" s="850"/>
      <c r="AO488" s="850"/>
      <c r="AP488" s="843"/>
      <c r="AQ488" s="839"/>
      <c r="AR488" s="839"/>
      <c r="AS488" s="839"/>
      <c r="AT488" s="839"/>
      <c r="AU488" s="839"/>
      <c r="AV488" s="849"/>
      <c r="AW488" s="134" t="s">
        <v>3208</v>
      </c>
      <c r="AX488" s="136" t="s">
        <v>3208</v>
      </c>
      <c r="AY488" s="137" t="s">
        <v>2576</v>
      </c>
      <c r="AZ488" s="136">
        <v>0</v>
      </c>
      <c r="BA488" s="136">
        <v>0</v>
      </c>
      <c r="BB488" s="136">
        <v>0</v>
      </c>
      <c r="BC488" s="214">
        <v>0</v>
      </c>
      <c r="BD488" s="136">
        <v>0</v>
      </c>
      <c r="BE488" s="214">
        <v>0</v>
      </c>
      <c r="BF488" s="136">
        <v>0</v>
      </c>
      <c r="BG488" s="214">
        <v>0</v>
      </c>
      <c r="BH488" s="214">
        <v>0</v>
      </c>
      <c r="BI488" s="134">
        <v>1</v>
      </c>
      <c r="BJ488" s="214">
        <v>154</v>
      </c>
      <c r="BK488" s="137">
        <v>1</v>
      </c>
      <c r="BL488" s="137">
        <v>1</v>
      </c>
      <c r="BM488" s="137">
        <v>0</v>
      </c>
      <c r="BN488" s="134">
        <v>0</v>
      </c>
      <c r="BO488" s="351">
        <v>0</v>
      </c>
      <c r="BP488" s="134">
        <v>1</v>
      </c>
      <c r="BQ488" s="214">
        <v>8</v>
      </c>
      <c r="BR488" s="137">
        <v>8</v>
      </c>
      <c r="BS488" s="138">
        <v>0</v>
      </c>
      <c r="BT488" s="351">
        <v>0</v>
      </c>
      <c r="BU488" s="214">
        <v>0</v>
      </c>
      <c r="BV488" s="214">
        <v>0</v>
      </c>
      <c r="BW488" s="214">
        <v>0</v>
      </c>
      <c r="BX488" s="214">
        <v>0</v>
      </c>
      <c r="BY488" s="214">
        <v>0</v>
      </c>
      <c r="BZ488" s="134">
        <v>0</v>
      </c>
      <c r="CA488" s="138">
        <v>1</v>
      </c>
      <c r="CB488" s="136">
        <v>0</v>
      </c>
      <c r="CC488" s="136">
        <v>0</v>
      </c>
      <c r="CD488" s="136">
        <v>0</v>
      </c>
      <c r="CE488" s="137">
        <v>0</v>
      </c>
      <c r="CF488" s="137">
        <v>0</v>
      </c>
      <c r="CG488" s="137">
        <v>0</v>
      </c>
      <c r="CH488" s="214">
        <v>0</v>
      </c>
      <c r="CI488" s="139">
        <v>0</v>
      </c>
      <c r="CJ488" s="139">
        <v>0</v>
      </c>
      <c r="CK488" s="139" t="s">
        <v>2716</v>
      </c>
      <c r="CL488" s="139" t="s">
        <v>50</v>
      </c>
      <c r="CM488" s="139" t="s">
        <v>946</v>
      </c>
      <c r="CN488" s="139" t="s">
        <v>51</v>
      </c>
      <c r="CO488" s="139">
        <v>0</v>
      </c>
      <c r="CP488" s="139">
        <v>0</v>
      </c>
      <c r="CQ488" s="139">
        <v>0</v>
      </c>
      <c r="CR488" s="449" t="s">
        <v>40</v>
      </c>
      <c r="CS488" s="449"/>
      <c r="CT488" s="24"/>
      <c r="CU488" s="24"/>
      <c r="CV488" s="24"/>
    </row>
    <row r="489" spans="1:100" x14ac:dyDescent="0.25">
      <c r="A489" s="293" t="s">
        <v>2691</v>
      </c>
      <c r="B489" s="132" t="s">
        <v>3182</v>
      </c>
      <c r="C489" s="132" t="s">
        <v>44</v>
      </c>
      <c r="D489" s="132" t="s">
        <v>298</v>
      </c>
      <c r="E489" s="132" t="s">
        <v>2952</v>
      </c>
      <c r="F489" s="132">
        <v>112</v>
      </c>
      <c r="G489" s="214">
        <v>474</v>
      </c>
      <c r="H489" s="132"/>
      <c r="I489" s="132" t="s">
        <v>3183</v>
      </c>
      <c r="J489" s="133">
        <v>43465</v>
      </c>
      <c r="K489" s="132">
        <v>0</v>
      </c>
      <c r="L489" s="132" t="s">
        <v>48</v>
      </c>
      <c r="M489" s="211">
        <v>0.5</v>
      </c>
      <c r="N489" s="211">
        <v>0.5</v>
      </c>
      <c r="O489" s="320">
        <v>1</v>
      </c>
      <c r="P489" s="326">
        <v>0</v>
      </c>
      <c r="Q489" s="326">
        <v>5000</v>
      </c>
      <c r="R489" s="315">
        <v>0</v>
      </c>
      <c r="S489" s="315">
        <v>0</v>
      </c>
      <c r="T489" s="315">
        <v>0</v>
      </c>
      <c r="U489" s="315">
        <v>0</v>
      </c>
      <c r="V489" s="315">
        <v>0</v>
      </c>
      <c r="W489" s="315">
        <v>0</v>
      </c>
      <c r="X489" s="315">
        <v>0</v>
      </c>
      <c r="Y489" s="315">
        <v>0</v>
      </c>
      <c r="Z489" s="315"/>
      <c r="AA489" s="336">
        <v>16</v>
      </c>
      <c r="AB489" s="336">
        <v>0</v>
      </c>
      <c r="AC489" s="337">
        <v>0</v>
      </c>
      <c r="AD489" s="337"/>
      <c r="AE489" s="336">
        <v>8</v>
      </c>
      <c r="AF489" s="336" t="s">
        <v>283</v>
      </c>
      <c r="AG489" s="339" t="s">
        <v>1358</v>
      </c>
      <c r="AH489" s="339">
        <v>0</v>
      </c>
      <c r="AI489" s="336">
        <v>0</v>
      </c>
      <c r="AJ489" s="336"/>
      <c r="AK489" s="848"/>
      <c r="AL489" s="836" t="s">
        <v>376</v>
      </c>
      <c r="AM489" s="836">
        <v>0</v>
      </c>
      <c r="AN489" s="837">
        <v>1</v>
      </c>
      <c r="AO489" s="837">
        <v>2</v>
      </c>
      <c r="AP489" s="843">
        <v>0</v>
      </c>
      <c r="AQ489" s="839">
        <v>0</v>
      </c>
      <c r="AR489" s="839"/>
      <c r="AS489" s="839"/>
      <c r="AT489" s="839"/>
      <c r="AU489" s="839"/>
      <c r="AV489" s="849" t="s">
        <v>2795</v>
      </c>
      <c r="AW489" s="134" t="s">
        <v>3208</v>
      </c>
      <c r="AX489" s="136" t="s">
        <v>3208</v>
      </c>
      <c r="AY489" s="137" t="s">
        <v>2576</v>
      </c>
      <c r="AZ489" s="136">
        <v>1</v>
      </c>
      <c r="BA489" s="136">
        <v>1</v>
      </c>
      <c r="BB489" s="136">
        <v>1</v>
      </c>
      <c r="BC489" s="214">
        <v>474</v>
      </c>
      <c r="BD489" s="136">
        <v>0</v>
      </c>
      <c r="BE489" s="214">
        <v>0</v>
      </c>
      <c r="BF489" s="136">
        <v>1</v>
      </c>
      <c r="BG489" s="214">
        <v>474</v>
      </c>
      <c r="BH489" s="214">
        <v>0.94799999999999995</v>
      </c>
      <c r="BI489" s="134">
        <v>0</v>
      </c>
      <c r="BJ489" s="214">
        <v>0</v>
      </c>
      <c r="BK489" s="137">
        <v>5.2000000000000046E-2</v>
      </c>
      <c r="BL489" s="137">
        <v>1</v>
      </c>
      <c r="BM489" s="137">
        <v>16</v>
      </c>
      <c r="BN489" s="134">
        <v>0.67510548523206748</v>
      </c>
      <c r="BO489" s="351">
        <v>320</v>
      </c>
      <c r="BP489" s="134">
        <v>0.33755274261603374</v>
      </c>
      <c r="BQ489" s="214">
        <v>8</v>
      </c>
      <c r="BR489" s="137">
        <v>24</v>
      </c>
      <c r="BS489" s="138">
        <v>0</v>
      </c>
      <c r="BT489" s="351">
        <v>0</v>
      </c>
      <c r="BU489" s="214">
        <v>474</v>
      </c>
      <c r="BV489" s="214">
        <v>0</v>
      </c>
      <c r="BW489" s="214">
        <v>1</v>
      </c>
      <c r="BX489" s="214">
        <v>0</v>
      </c>
      <c r="BY489" s="214">
        <v>0</v>
      </c>
      <c r="BZ489" s="134">
        <v>0</v>
      </c>
      <c r="CA489" s="138">
        <v>1</v>
      </c>
      <c r="CB489" s="136">
        <v>1</v>
      </c>
      <c r="CC489" s="136">
        <v>0</v>
      </c>
      <c r="CD489" s="136">
        <v>0</v>
      </c>
      <c r="CE489" s="137">
        <v>0</v>
      </c>
      <c r="CF489" s="137">
        <v>0</v>
      </c>
      <c r="CG489" s="137">
        <v>0</v>
      </c>
      <c r="CH489" s="214">
        <v>0</v>
      </c>
      <c r="CI489" s="139">
        <v>0</v>
      </c>
      <c r="CJ489" s="139" t="s">
        <v>287</v>
      </c>
      <c r="CK489" s="139" t="s">
        <v>2716</v>
      </c>
      <c r="CL489" s="139" t="s">
        <v>50</v>
      </c>
      <c r="CM489" s="139" t="s">
        <v>50</v>
      </c>
      <c r="CN489" s="139" t="s">
        <v>51</v>
      </c>
      <c r="CO489" s="139">
        <v>97.104997409999996</v>
      </c>
      <c r="CP489" s="139">
        <v>25.379014999999999</v>
      </c>
      <c r="CQ489" s="139" t="s">
        <v>2674</v>
      </c>
      <c r="CR489" s="449" t="s">
        <v>40</v>
      </c>
      <c r="CS489" s="449"/>
      <c r="CT489" s="24"/>
      <c r="CU489" s="24"/>
      <c r="CV489" s="24"/>
    </row>
    <row r="490" spans="1:100" x14ac:dyDescent="0.25">
      <c r="A490" s="293" t="s">
        <v>2691</v>
      </c>
      <c r="B490" s="132" t="s">
        <v>287</v>
      </c>
      <c r="C490" s="132" t="s">
        <v>44</v>
      </c>
      <c r="D490" s="132" t="s">
        <v>298</v>
      </c>
      <c r="E490" s="132" t="s">
        <v>301</v>
      </c>
      <c r="F490" s="132">
        <v>11</v>
      </c>
      <c r="G490" s="214">
        <v>33</v>
      </c>
      <c r="H490" s="132"/>
      <c r="I490" s="132" t="s">
        <v>296</v>
      </c>
      <c r="J490" s="133">
        <v>43465</v>
      </c>
      <c r="K490" s="132">
        <v>0</v>
      </c>
      <c r="L490" s="132" t="s">
        <v>48</v>
      </c>
      <c r="M490" s="134">
        <v>0.8</v>
      </c>
      <c r="N490" s="134">
        <v>0.8</v>
      </c>
      <c r="O490" s="320">
        <v>1</v>
      </c>
      <c r="P490" s="326">
        <v>2</v>
      </c>
      <c r="Q490" s="326">
        <v>2000</v>
      </c>
      <c r="R490" s="315">
        <v>0</v>
      </c>
      <c r="S490" s="315">
        <v>0</v>
      </c>
      <c r="T490" s="315"/>
      <c r="U490" s="315">
        <v>0</v>
      </c>
      <c r="V490" s="315">
        <v>0</v>
      </c>
      <c r="W490" s="315">
        <v>0</v>
      </c>
      <c r="X490" s="315">
        <v>0</v>
      </c>
      <c r="Y490" s="315">
        <v>0</v>
      </c>
      <c r="Z490" s="315"/>
      <c r="AA490" s="336">
        <v>3</v>
      </c>
      <c r="AB490" s="336">
        <v>0</v>
      </c>
      <c r="AC490" s="337">
        <v>0</v>
      </c>
      <c r="AD490" s="337"/>
      <c r="AE490" s="336">
        <v>0</v>
      </c>
      <c r="AF490" s="336" t="s">
        <v>283</v>
      </c>
      <c r="AG490" s="339" t="s">
        <v>1358</v>
      </c>
      <c r="AH490" s="339"/>
      <c r="AI490" s="336"/>
      <c r="AJ490" s="336"/>
      <c r="AK490" s="848">
        <v>0.6</v>
      </c>
      <c r="AL490" s="842" t="s">
        <v>376</v>
      </c>
      <c r="AM490" s="836">
        <v>0</v>
      </c>
      <c r="AN490" s="837">
        <v>2</v>
      </c>
      <c r="AO490" s="837">
        <v>1</v>
      </c>
      <c r="AP490" s="843">
        <v>0</v>
      </c>
      <c r="AQ490" s="839">
        <v>0</v>
      </c>
      <c r="AR490" s="839"/>
      <c r="AS490" s="839"/>
      <c r="AT490" s="839"/>
      <c r="AU490" s="839"/>
      <c r="AV490" s="849"/>
      <c r="AW490" s="134" t="s">
        <v>3208</v>
      </c>
      <c r="AX490" s="136" t="s">
        <v>3208</v>
      </c>
      <c r="AY490" s="137" t="s">
        <v>2576</v>
      </c>
      <c r="AZ490" s="136">
        <v>1</v>
      </c>
      <c r="BA490" s="136">
        <v>1</v>
      </c>
      <c r="BB490" s="136">
        <v>1</v>
      </c>
      <c r="BC490" s="214">
        <v>33</v>
      </c>
      <c r="BD490" s="136">
        <v>0</v>
      </c>
      <c r="BE490" s="214">
        <v>0</v>
      </c>
      <c r="BF490" s="136">
        <v>1</v>
      </c>
      <c r="BG490" s="214">
        <v>33</v>
      </c>
      <c r="BH490" s="214">
        <v>6.6000000000000003E-2</v>
      </c>
      <c r="BI490" s="134">
        <v>0</v>
      </c>
      <c r="BJ490" s="214">
        <v>0</v>
      </c>
      <c r="BK490" s="137">
        <v>0.93399999999999994</v>
      </c>
      <c r="BL490" s="137">
        <v>1</v>
      </c>
      <c r="BM490" s="137">
        <v>3</v>
      </c>
      <c r="BN490" s="134">
        <v>1</v>
      </c>
      <c r="BO490" s="351">
        <v>33</v>
      </c>
      <c r="BP490" s="134">
        <v>0</v>
      </c>
      <c r="BQ490" s="214">
        <v>0</v>
      </c>
      <c r="BR490" s="137">
        <v>2</v>
      </c>
      <c r="BS490" s="138">
        <v>0</v>
      </c>
      <c r="BT490" s="351">
        <v>0</v>
      </c>
      <c r="BU490" s="214">
        <v>33</v>
      </c>
      <c r="BV490" s="214">
        <v>0</v>
      </c>
      <c r="BW490" s="214">
        <v>1</v>
      </c>
      <c r="BX490" s="214">
        <v>0</v>
      </c>
      <c r="BY490" s="214">
        <v>0</v>
      </c>
      <c r="BZ490" s="134">
        <v>0</v>
      </c>
      <c r="CA490" s="138">
        <v>1</v>
      </c>
      <c r="CB490" s="136">
        <v>1</v>
      </c>
      <c r="CC490" s="136">
        <v>0</v>
      </c>
      <c r="CD490" s="136">
        <v>0</v>
      </c>
      <c r="CE490" s="137">
        <v>0</v>
      </c>
      <c r="CF490" s="137">
        <v>0</v>
      </c>
      <c r="CG490" s="137">
        <v>0</v>
      </c>
      <c r="CH490" s="214">
        <v>6.6</v>
      </c>
      <c r="CI490" s="139" t="s">
        <v>48</v>
      </c>
      <c r="CJ490" s="139" t="s">
        <v>287</v>
      </c>
      <c r="CK490" s="139" t="s">
        <v>50</v>
      </c>
      <c r="CL490" s="139" t="s">
        <v>50</v>
      </c>
      <c r="CM490" s="139" t="s">
        <v>50</v>
      </c>
      <c r="CN490" s="139" t="s">
        <v>51</v>
      </c>
      <c r="CO490" s="139">
        <v>25.30442</v>
      </c>
      <c r="CP490" s="139">
        <v>96.948740000000001</v>
      </c>
      <c r="CQ490" s="139" t="s">
        <v>1993</v>
      </c>
      <c r="CR490" s="449" t="s">
        <v>40</v>
      </c>
      <c r="CS490" s="449"/>
      <c r="CT490" s="24"/>
      <c r="CU490" s="24"/>
      <c r="CV490" s="24"/>
    </row>
    <row r="491" spans="1:100" x14ac:dyDescent="0.25">
      <c r="A491" s="293" t="s">
        <v>2691</v>
      </c>
      <c r="B491" s="132" t="s">
        <v>287</v>
      </c>
      <c r="C491" s="132" t="s">
        <v>44</v>
      </c>
      <c r="D491" s="132" t="s">
        <v>298</v>
      </c>
      <c r="E491" s="132" t="s">
        <v>302</v>
      </c>
      <c r="F491" s="132">
        <v>28</v>
      </c>
      <c r="G491" s="214">
        <v>129</v>
      </c>
      <c r="H491" s="132"/>
      <c r="I491" s="132" t="s">
        <v>296</v>
      </c>
      <c r="J491" s="133">
        <v>43465</v>
      </c>
      <c r="K491" s="132">
        <v>0</v>
      </c>
      <c r="L491" s="132" t="s">
        <v>48</v>
      </c>
      <c r="M491" s="134">
        <v>0.8</v>
      </c>
      <c r="N491" s="134">
        <v>0.8</v>
      </c>
      <c r="O491" s="320">
        <v>1</v>
      </c>
      <c r="P491" s="326">
        <v>2</v>
      </c>
      <c r="Q491" s="326">
        <v>3000</v>
      </c>
      <c r="R491" s="315">
        <v>0</v>
      </c>
      <c r="S491" s="315">
        <v>0</v>
      </c>
      <c r="T491" s="315"/>
      <c r="U491" s="315">
        <v>0</v>
      </c>
      <c r="V491" s="315">
        <v>0</v>
      </c>
      <c r="W491" s="315">
        <v>0</v>
      </c>
      <c r="X491" s="315">
        <v>0</v>
      </c>
      <c r="Y491" s="315">
        <v>0</v>
      </c>
      <c r="Z491" s="315"/>
      <c r="AA491" s="336">
        <v>8</v>
      </c>
      <c r="AB491" s="336">
        <v>0</v>
      </c>
      <c r="AC491" s="337">
        <v>0</v>
      </c>
      <c r="AD491" s="337"/>
      <c r="AE491" s="336">
        <v>0</v>
      </c>
      <c r="AF491" s="336" t="s">
        <v>283</v>
      </c>
      <c r="AG491" s="339" t="s">
        <v>1358</v>
      </c>
      <c r="AH491" s="339"/>
      <c r="AI491" s="336"/>
      <c r="AJ491" s="336"/>
      <c r="AK491" s="848">
        <v>0.6</v>
      </c>
      <c r="AL491" s="842" t="s">
        <v>376</v>
      </c>
      <c r="AM491" s="836">
        <v>0</v>
      </c>
      <c r="AN491" s="837">
        <v>2</v>
      </c>
      <c r="AO491" s="837">
        <v>1</v>
      </c>
      <c r="AP491" s="843">
        <v>0</v>
      </c>
      <c r="AQ491" s="839">
        <v>0</v>
      </c>
      <c r="AR491" s="839"/>
      <c r="AS491" s="839"/>
      <c r="AT491" s="839"/>
      <c r="AU491" s="839"/>
      <c r="AV491" s="849"/>
      <c r="AW491" s="134" t="s">
        <v>3208</v>
      </c>
      <c r="AX491" s="136" t="s">
        <v>3208</v>
      </c>
      <c r="AY491" s="137" t="s">
        <v>2576</v>
      </c>
      <c r="AZ491" s="136">
        <v>1</v>
      </c>
      <c r="BA491" s="136">
        <v>1</v>
      </c>
      <c r="BB491" s="136">
        <v>1</v>
      </c>
      <c r="BC491" s="214">
        <v>129</v>
      </c>
      <c r="BD491" s="136">
        <v>0</v>
      </c>
      <c r="BE491" s="214">
        <v>0</v>
      </c>
      <c r="BF491" s="136">
        <v>1</v>
      </c>
      <c r="BG491" s="214">
        <v>129</v>
      </c>
      <c r="BH491" s="214">
        <v>0.25800000000000001</v>
      </c>
      <c r="BI491" s="134">
        <v>0</v>
      </c>
      <c r="BJ491" s="214">
        <v>0</v>
      </c>
      <c r="BK491" s="137">
        <v>0.74199999999999999</v>
      </c>
      <c r="BL491" s="137">
        <v>1</v>
      </c>
      <c r="BM491" s="137">
        <v>8</v>
      </c>
      <c r="BN491" s="134">
        <v>1</v>
      </c>
      <c r="BO491" s="351">
        <v>129</v>
      </c>
      <c r="BP491" s="134">
        <v>0</v>
      </c>
      <c r="BQ491" s="214">
        <v>0</v>
      </c>
      <c r="BR491" s="137">
        <v>6</v>
      </c>
      <c r="BS491" s="138">
        <v>0</v>
      </c>
      <c r="BT491" s="351">
        <v>0</v>
      </c>
      <c r="BU491" s="214">
        <v>129</v>
      </c>
      <c r="BV491" s="214">
        <v>0</v>
      </c>
      <c r="BW491" s="214">
        <v>1</v>
      </c>
      <c r="BX491" s="214">
        <v>0</v>
      </c>
      <c r="BY491" s="214">
        <v>0</v>
      </c>
      <c r="BZ491" s="134">
        <v>0</v>
      </c>
      <c r="CA491" s="138">
        <v>1</v>
      </c>
      <c r="CB491" s="136">
        <v>1</v>
      </c>
      <c r="CC491" s="136">
        <v>0</v>
      </c>
      <c r="CD491" s="136">
        <v>0</v>
      </c>
      <c r="CE491" s="137">
        <v>0</v>
      </c>
      <c r="CF491" s="137">
        <v>0</v>
      </c>
      <c r="CG491" s="137">
        <v>0</v>
      </c>
      <c r="CH491" s="214">
        <v>16.8</v>
      </c>
      <c r="CI491" s="139" t="s">
        <v>48</v>
      </c>
      <c r="CJ491" s="139" t="s">
        <v>287</v>
      </c>
      <c r="CK491" s="139" t="s">
        <v>50</v>
      </c>
      <c r="CL491" s="139" t="s">
        <v>50</v>
      </c>
      <c r="CM491" s="139" t="s">
        <v>50</v>
      </c>
      <c r="CN491" s="139" t="s">
        <v>51</v>
      </c>
      <c r="CO491" s="139">
        <v>25.225000000000001</v>
      </c>
      <c r="CP491" s="139">
        <v>96.793999999999997</v>
      </c>
      <c r="CQ491" s="139" t="s">
        <v>1989</v>
      </c>
      <c r="CR491" s="449" t="s">
        <v>40</v>
      </c>
      <c r="CS491" s="449"/>
      <c r="CT491" s="24"/>
      <c r="CU491" s="24"/>
      <c r="CV491" s="24"/>
    </row>
    <row r="492" spans="1:100" x14ac:dyDescent="0.25">
      <c r="A492" s="293" t="s">
        <v>2691</v>
      </c>
      <c r="B492" s="206" t="s">
        <v>460</v>
      </c>
      <c r="C492" s="206" t="s">
        <v>44</v>
      </c>
      <c r="D492" s="206" t="s">
        <v>303</v>
      </c>
      <c r="E492" s="206" t="s">
        <v>1205</v>
      </c>
      <c r="F492" s="206">
        <v>27</v>
      </c>
      <c r="G492" s="209">
        <v>121</v>
      </c>
      <c r="H492" s="206"/>
      <c r="I492" s="206"/>
      <c r="J492" s="207"/>
      <c r="K492" s="206"/>
      <c r="L492" s="206" t="s">
        <v>282</v>
      </c>
      <c r="M492" s="208">
        <v>0</v>
      </c>
      <c r="N492" s="208">
        <v>0</v>
      </c>
      <c r="O492" s="316"/>
      <c r="P492" s="317"/>
      <c r="Q492" s="317"/>
      <c r="R492" s="318"/>
      <c r="S492" s="318"/>
      <c r="T492" s="318"/>
      <c r="U492" s="318"/>
      <c r="V492" s="318"/>
      <c r="W492" s="318"/>
      <c r="X492" s="318"/>
      <c r="Y492" s="318"/>
      <c r="Z492" s="318"/>
      <c r="AA492" s="310">
        <v>0</v>
      </c>
      <c r="AB492" s="310"/>
      <c r="AC492" s="66"/>
      <c r="AD492" s="337"/>
      <c r="AE492" s="310"/>
      <c r="AF492" s="310" t="s">
        <v>286</v>
      </c>
      <c r="AG492" s="311" t="s">
        <v>286</v>
      </c>
      <c r="AH492" s="311"/>
      <c r="AI492" s="310"/>
      <c r="AJ492" s="310"/>
      <c r="AK492" s="841"/>
      <c r="AL492" s="842"/>
      <c r="AM492" s="842"/>
      <c r="AN492" s="837"/>
      <c r="AO492" s="837"/>
      <c r="AP492" s="843"/>
      <c r="AQ492" s="843"/>
      <c r="AR492" s="843"/>
      <c r="AS492" s="843"/>
      <c r="AT492" s="843"/>
      <c r="AU492" s="843"/>
      <c r="AV492" s="844"/>
      <c r="AW492" s="208" t="s">
        <v>3208</v>
      </c>
      <c r="AX492" s="211" t="s">
        <v>3208</v>
      </c>
      <c r="AY492" s="210" t="s">
        <v>2576</v>
      </c>
      <c r="AZ492" s="136">
        <v>0</v>
      </c>
      <c r="BA492" s="211">
        <v>0</v>
      </c>
      <c r="BB492" s="211">
        <v>0</v>
      </c>
      <c r="BC492" s="209">
        <v>0</v>
      </c>
      <c r="BD492" s="211">
        <v>0</v>
      </c>
      <c r="BE492" s="209">
        <v>0</v>
      </c>
      <c r="BF492" s="211">
        <v>0</v>
      </c>
      <c r="BG492" s="209">
        <v>0</v>
      </c>
      <c r="BH492" s="209">
        <v>0</v>
      </c>
      <c r="BI492" s="208">
        <v>1</v>
      </c>
      <c r="BJ492" s="209">
        <v>121</v>
      </c>
      <c r="BK492" s="210">
        <v>1</v>
      </c>
      <c r="BL492" s="210">
        <v>1</v>
      </c>
      <c r="BM492" s="210">
        <v>0</v>
      </c>
      <c r="BN492" s="208">
        <v>0</v>
      </c>
      <c r="BO492" s="352">
        <v>0</v>
      </c>
      <c r="BP492" s="208">
        <v>0.99173553719008267</v>
      </c>
      <c r="BQ492" s="209">
        <v>6</v>
      </c>
      <c r="BR492" s="210">
        <v>6</v>
      </c>
      <c r="BS492" s="212">
        <v>0</v>
      </c>
      <c r="BT492" s="352">
        <v>0</v>
      </c>
      <c r="BU492" s="209">
        <v>0</v>
      </c>
      <c r="BV492" s="209">
        <v>0</v>
      </c>
      <c r="BW492" s="209">
        <v>0</v>
      </c>
      <c r="BX492" s="209">
        <v>0</v>
      </c>
      <c r="BY492" s="209">
        <v>0</v>
      </c>
      <c r="BZ492" s="208">
        <v>0</v>
      </c>
      <c r="CA492" s="212">
        <v>1</v>
      </c>
      <c r="CB492" s="211">
        <v>0</v>
      </c>
      <c r="CC492" s="211">
        <v>0</v>
      </c>
      <c r="CD492" s="211">
        <v>0</v>
      </c>
      <c r="CE492" s="210">
        <v>0</v>
      </c>
      <c r="CF492" s="210">
        <v>0</v>
      </c>
      <c r="CG492" s="210">
        <v>0</v>
      </c>
      <c r="CH492" s="209">
        <v>0</v>
      </c>
      <c r="CI492" s="139">
        <v>0</v>
      </c>
      <c r="CJ492" s="139" t="s">
        <v>2959</v>
      </c>
      <c r="CK492" s="139" t="s">
        <v>50</v>
      </c>
      <c r="CL492" s="139" t="s">
        <v>50</v>
      </c>
      <c r="CM492" s="139" t="s">
        <v>942</v>
      </c>
      <c r="CN492" s="139" t="s">
        <v>51</v>
      </c>
      <c r="CO492" s="139">
        <v>24.996279999999999</v>
      </c>
      <c r="CP492" s="139">
        <v>96.52534</v>
      </c>
      <c r="CQ492" s="139" t="s">
        <v>1981</v>
      </c>
      <c r="CR492" s="660" t="s">
        <v>3209</v>
      </c>
      <c r="CS492" s="660"/>
      <c r="CT492" s="24"/>
      <c r="CU492" s="24"/>
      <c r="CV492" s="24"/>
    </row>
    <row r="493" spans="1:100" x14ac:dyDescent="0.25">
      <c r="A493" s="293" t="s">
        <v>2691</v>
      </c>
      <c r="B493" s="132" t="s">
        <v>287</v>
      </c>
      <c r="C493" s="132" t="s">
        <v>44</v>
      </c>
      <c r="D493" s="132" t="s">
        <v>303</v>
      </c>
      <c r="E493" s="132" t="s">
        <v>2806</v>
      </c>
      <c r="F493" s="132">
        <v>39</v>
      </c>
      <c r="G493" s="214">
        <v>121</v>
      </c>
      <c r="H493" s="132"/>
      <c r="I493" s="132"/>
      <c r="J493" s="133"/>
      <c r="K493" s="132"/>
      <c r="L493" s="132"/>
      <c r="M493" s="134"/>
      <c r="N493" s="134"/>
      <c r="O493" s="320"/>
      <c r="P493" s="326"/>
      <c r="Q493" s="326"/>
      <c r="R493" s="315"/>
      <c r="S493" s="315"/>
      <c r="T493" s="315"/>
      <c r="U493" s="315"/>
      <c r="V493" s="315"/>
      <c r="W493" s="315"/>
      <c r="X493" s="315"/>
      <c r="Y493" s="315"/>
      <c r="Z493" s="315"/>
      <c r="AA493" s="336"/>
      <c r="AB493" s="336"/>
      <c r="AC493" s="337"/>
      <c r="AD493" s="337"/>
      <c r="AE493" s="336"/>
      <c r="AF493" s="336"/>
      <c r="AG493" s="339"/>
      <c r="AH493" s="339"/>
      <c r="AI493" s="336"/>
      <c r="AJ493" s="336"/>
      <c r="AK493" s="848"/>
      <c r="AL493" s="842"/>
      <c r="AM493" s="836"/>
      <c r="AN493" s="850"/>
      <c r="AO493" s="850"/>
      <c r="AP493" s="843"/>
      <c r="AQ493" s="839"/>
      <c r="AR493" s="839"/>
      <c r="AS493" s="839"/>
      <c r="AT493" s="839"/>
      <c r="AU493" s="839"/>
      <c r="AV493" s="849"/>
      <c r="AW493" s="134" t="s">
        <v>3208</v>
      </c>
      <c r="AX493" s="136" t="s">
        <v>3208</v>
      </c>
      <c r="AY493" s="137" t="s">
        <v>2576</v>
      </c>
      <c r="AZ493" s="136">
        <v>0</v>
      </c>
      <c r="BA493" s="136">
        <v>0</v>
      </c>
      <c r="BB493" s="136">
        <v>0</v>
      </c>
      <c r="BC493" s="214">
        <v>0</v>
      </c>
      <c r="BD493" s="136">
        <v>0</v>
      </c>
      <c r="BE493" s="214">
        <v>0</v>
      </c>
      <c r="BF493" s="136">
        <v>0</v>
      </c>
      <c r="BG493" s="214">
        <v>0</v>
      </c>
      <c r="BH493" s="214">
        <v>0</v>
      </c>
      <c r="BI493" s="134">
        <v>1</v>
      </c>
      <c r="BJ493" s="214">
        <v>121</v>
      </c>
      <c r="BK493" s="137">
        <v>1</v>
      </c>
      <c r="BL493" s="137">
        <v>1</v>
      </c>
      <c r="BM493" s="137">
        <v>0</v>
      </c>
      <c r="BN493" s="134">
        <v>0</v>
      </c>
      <c r="BO493" s="351">
        <v>0</v>
      </c>
      <c r="BP493" s="134">
        <v>0.99173553719008267</v>
      </c>
      <c r="BQ493" s="214">
        <v>6</v>
      </c>
      <c r="BR493" s="137">
        <v>6</v>
      </c>
      <c r="BS493" s="138">
        <v>0</v>
      </c>
      <c r="BT493" s="351">
        <v>0</v>
      </c>
      <c r="BU493" s="214">
        <v>0</v>
      </c>
      <c r="BV493" s="214">
        <v>0</v>
      </c>
      <c r="BW493" s="214">
        <v>0</v>
      </c>
      <c r="BX493" s="214">
        <v>0</v>
      </c>
      <c r="BY493" s="214">
        <v>0</v>
      </c>
      <c r="BZ493" s="134">
        <v>0</v>
      </c>
      <c r="CA493" s="138">
        <v>1</v>
      </c>
      <c r="CB493" s="136">
        <v>0</v>
      </c>
      <c r="CC493" s="136">
        <v>0</v>
      </c>
      <c r="CD493" s="136">
        <v>0</v>
      </c>
      <c r="CE493" s="137">
        <v>0</v>
      </c>
      <c r="CF493" s="137">
        <v>0</v>
      </c>
      <c r="CG493" s="137">
        <v>0</v>
      </c>
      <c r="CH493" s="214">
        <v>0</v>
      </c>
      <c r="CI493" s="139">
        <v>0</v>
      </c>
      <c r="CJ493" s="139">
        <v>0</v>
      </c>
      <c r="CK493" s="139" t="s">
        <v>1921</v>
      </c>
      <c r="CL493" s="139" t="s">
        <v>50</v>
      </c>
      <c r="CM493" s="139" t="s">
        <v>946</v>
      </c>
      <c r="CN493" s="812" t="s">
        <v>949</v>
      </c>
      <c r="CO493" s="139">
        <v>0</v>
      </c>
      <c r="CP493" s="139">
        <v>0</v>
      </c>
      <c r="CQ493" s="139">
        <v>0</v>
      </c>
      <c r="CR493" s="449" t="s">
        <v>40</v>
      </c>
      <c r="CS493" s="449"/>
      <c r="CT493" s="24"/>
      <c r="CU493" s="24"/>
      <c r="CV493" s="24"/>
    </row>
    <row r="494" spans="1:100" x14ac:dyDescent="0.25">
      <c r="A494" s="293" t="s">
        <v>2691</v>
      </c>
      <c r="B494" s="206" t="s">
        <v>460</v>
      </c>
      <c r="C494" s="206" t="s">
        <v>44</v>
      </c>
      <c r="D494" s="206" t="s">
        <v>303</v>
      </c>
      <c r="E494" s="206" t="s">
        <v>1201</v>
      </c>
      <c r="F494" s="206">
        <v>14</v>
      </c>
      <c r="G494" s="209">
        <v>63</v>
      </c>
      <c r="H494" s="206"/>
      <c r="I494" s="206"/>
      <c r="J494" s="207"/>
      <c r="K494" s="206"/>
      <c r="L494" s="206" t="s">
        <v>282</v>
      </c>
      <c r="M494" s="208">
        <v>0</v>
      </c>
      <c r="N494" s="208">
        <v>0</v>
      </c>
      <c r="O494" s="316"/>
      <c r="P494" s="317"/>
      <c r="Q494" s="317"/>
      <c r="R494" s="318"/>
      <c r="S494" s="318"/>
      <c r="T494" s="318"/>
      <c r="U494" s="318"/>
      <c r="V494" s="318"/>
      <c r="W494" s="318"/>
      <c r="X494" s="318"/>
      <c r="Y494" s="318"/>
      <c r="Z494" s="318"/>
      <c r="AA494" s="310">
        <v>0</v>
      </c>
      <c r="AB494" s="310"/>
      <c r="AC494" s="66"/>
      <c r="AD494" s="337"/>
      <c r="AE494" s="310"/>
      <c r="AF494" s="310" t="s">
        <v>286</v>
      </c>
      <c r="AG494" s="311" t="s">
        <v>286</v>
      </c>
      <c r="AH494" s="311"/>
      <c r="AI494" s="310"/>
      <c r="AJ494" s="310"/>
      <c r="AK494" s="841"/>
      <c r="AL494" s="842"/>
      <c r="AM494" s="842"/>
      <c r="AN494" s="837"/>
      <c r="AO494" s="837"/>
      <c r="AP494" s="843"/>
      <c r="AQ494" s="843"/>
      <c r="AR494" s="843"/>
      <c r="AS494" s="843"/>
      <c r="AT494" s="843"/>
      <c r="AU494" s="843"/>
      <c r="AV494" s="844"/>
      <c r="AW494" s="208" t="s">
        <v>3208</v>
      </c>
      <c r="AX494" s="211" t="s">
        <v>3208</v>
      </c>
      <c r="AY494" s="210" t="s">
        <v>2576</v>
      </c>
      <c r="AZ494" s="136">
        <v>0</v>
      </c>
      <c r="BA494" s="211">
        <v>0</v>
      </c>
      <c r="BB494" s="211">
        <v>0</v>
      </c>
      <c r="BC494" s="209">
        <v>0</v>
      </c>
      <c r="BD494" s="211">
        <v>0</v>
      </c>
      <c r="BE494" s="209">
        <v>0</v>
      </c>
      <c r="BF494" s="211">
        <v>0</v>
      </c>
      <c r="BG494" s="209">
        <v>0</v>
      </c>
      <c r="BH494" s="209">
        <v>0</v>
      </c>
      <c r="BI494" s="208">
        <v>1</v>
      </c>
      <c r="BJ494" s="209">
        <v>63</v>
      </c>
      <c r="BK494" s="210">
        <v>1</v>
      </c>
      <c r="BL494" s="210">
        <v>1</v>
      </c>
      <c r="BM494" s="210">
        <v>0</v>
      </c>
      <c r="BN494" s="208">
        <v>0</v>
      </c>
      <c r="BO494" s="352">
        <v>0</v>
      </c>
      <c r="BP494" s="208">
        <v>0.95238095238095244</v>
      </c>
      <c r="BQ494" s="209">
        <v>3</v>
      </c>
      <c r="BR494" s="210">
        <v>3</v>
      </c>
      <c r="BS494" s="212">
        <v>0</v>
      </c>
      <c r="BT494" s="352">
        <v>0</v>
      </c>
      <c r="BU494" s="209">
        <v>0</v>
      </c>
      <c r="BV494" s="209">
        <v>0</v>
      </c>
      <c r="BW494" s="209">
        <v>0</v>
      </c>
      <c r="BX494" s="209">
        <v>0</v>
      </c>
      <c r="BY494" s="209">
        <v>0</v>
      </c>
      <c r="BZ494" s="208">
        <v>0</v>
      </c>
      <c r="CA494" s="212">
        <v>1</v>
      </c>
      <c r="CB494" s="211">
        <v>0</v>
      </c>
      <c r="CC494" s="211">
        <v>0</v>
      </c>
      <c r="CD494" s="211">
        <v>0</v>
      </c>
      <c r="CE494" s="210">
        <v>0</v>
      </c>
      <c r="CF494" s="210">
        <v>0</v>
      </c>
      <c r="CG494" s="210">
        <v>0</v>
      </c>
      <c r="CH494" s="209">
        <v>0</v>
      </c>
      <c r="CI494" s="139">
        <v>0</v>
      </c>
      <c r="CJ494" s="139" t="s">
        <v>2959</v>
      </c>
      <c r="CK494" s="139" t="s">
        <v>50</v>
      </c>
      <c r="CL494" s="139" t="s">
        <v>50</v>
      </c>
      <c r="CM494" s="139" t="s">
        <v>942</v>
      </c>
      <c r="CN494" s="139" t="s">
        <v>51</v>
      </c>
      <c r="CO494" s="139">
        <v>24.764959999999999</v>
      </c>
      <c r="CP494" s="139">
        <v>96.366919999999993</v>
      </c>
      <c r="CQ494" s="139" t="s">
        <v>1978</v>
      </c>
      <c r="CR494" s="660" t="s">
        <v>3209</v>
      </c>
      <c r="CS494" s="660"/>
      <c r="CT494" s="24"/>
      <c r="CU494" s="24"/>
      <c r="CV494" s="24"/>
    </row>
    <row r="495" spans="1:100" x14ac:dyDescent="0.25">
      <c r="A495" s="293" t="s">
        <v>2691</v>
      </c>
      <c r="B495" s="132" t="s">
        <v>287</v>
      </c>
      <c r="C495" s="132" t="s">
        <v>44</v>
      </c>
      <c r="D495" s="132" t="s">
        <v>303</v>
      </c>
      <c r="E495" s="132" t="s">
        <v>304</v>
      </c>
      <c r="F495" s="132">
        <v>19</v>
      </c>
      <c r="G495" s="214">
        <v>115</v>
      </c>
      <c r="H495" s="132"/>
      <c r="I495" s="132" t="s">
        <v>296</v>
      </c>
      <c r="J495" s="133">
        <v>43465</v>
      </c>
      <c r="K495" s="132">
        <v>0</v>
      </c>
      <c r="L495" s="132" t="s">
        <v>48</v>
      </c>
      <c r="M495" s="134">
        <v>0.6</v>
      </c>
      <c r="N495" s="134">
        <v>0.5</v>
      </c>
      <c r="O495" s="320">
        <v>0</v>
      </c>
      <c r="P495" s="326">
        <v>2</v>
      </c>
      <c r="Q495" s="326">
        <v>0</v>
      </c>
      <c r="R495" s="315">
        <v>0</v>
      </c>
      <c r="S495" s="315">
        <v>0</v>
      </c>
      <c r="T495" s="315"/>
      <c r="U495" s="315">
        <v>0</v>
      </c>
      <c r="V495" s="315">
        <v>0</v>
      </c>
      <c r="W495" s="315">
        <v>0</v>
      </c>
      <c r="X495" s="315">
        <v>0</v>
      </c>
      <c r="Y495" s="315">
        <v>0</v>
      </c>
      <c r="Z495" s="315"/>
      <c r="AA495" s="336">
        <v>5</v>
      </c>
      <c r="AB495" s="336">
        <v>0</v>
      </c>
      <c r="AC495" s="337">
        <v>0</v>
      </c>
      <c r="AD495" s="337"/>
      <c r="AE495" s="336">
        <v>0</v>
      </c>
      <c r="AF495" s="336" t="s">
        <v>283</v>
      </c>
      <c r="AG495" s="339" t="s">
        <v>1358</v>
      </c>
      <c r="AH495" s="339"/>
      <c r="AI495" s="336"/>
      <c r="AJ495" s="336"/>
      <c r="AK495" s="848">
        <v>0.6</v>
      </c>
      <c r="AL495" s="842" t="s">
        <v>376</v>
      </c>
      <c r="AM495" s="836">
        <v>0</v>
      </c>
      <c r="AN495" s="837">
        <v>2</v>
      </c>
      <c r="AO495" s="837">
        <v>1</v>
      </c>
      <c r="AP495" s="843">
        <v>0</v>
      </c>
      <c r="AQ495" s="839">
        <v>0</v>
      </c>
      <c r="AR495" s="839"/>
      <c r="AS495" s="839"/>
      <c r="AT495" s="839"/>
      <c r="AU495" s="839"/>
      <c r="AV495" s="849"/>
      <c r="AW495" s="134" t="s">
        <v>3208</v>
      </c>
      <c r="AX495" s="136" t="s">
        <v>3208</v>
      </c>
      <c r="AY495" s="137" t="s">
        <v>2576</v>
      </c>
      <c r="AZ495" s="136">
        <v>1</v>
      </c>
      <c r="BA495" s="136">
        <v>1</v>
      </c>
      <c r="BB495" s="136">
        <v>1</v>
      </c>
      <c r="BC495" s="214">
        <v>115</v>
      </c>
      <c r="BD495" s="136">
        <v>0</v>
      </c>
      <c r="BE495" s="214">
        <v>0</v>
      </c>
      <c r="BF495" s="136">
        <v>1</v>
      </c>
      <c r="BG495" s="214">
        <v>115</v>
      </c>
      <c r="BH495" s="214">
        <v>0.23</v>
      </c>
      <c r="BI495" s="134">
        <v>0</v>
      </c>
      <c r="BJ495" s="214">
        <v>0</v>
      </c>
      <c r="BK495" s="137">
        <v>0.77</v>
      </c>
      <c r="BL495" s="137">
        <v>1</v>
      </c>
      <c r="BM495" s="137">
        <v>5</v>
      </c>
      <c r="BN495" s="134">
        <v>0.86956521739130432</v>
      </c>
      <c r="BO495" s="351">
        <v>100</v>
      </c>
      <c r="BP495" s="134">
        <v>0.17391304347826086</v>
      </c>
      <c r="BQ495" s="214">
        <v>1</v>
      </c>
      <c r="BR495" s="137">
        <v>6</v>
      </c>
      <c r="BS495" s="138">
        <v>0</v>
      </c>
      <c r="BT495" s="351">
        <v>0</v>
      </c>
      <c r="BU495" s="214">
        <v>115</v>
      </c>
      <c r="BV495" s="214">
        <v>0</v>
      </c>
      <c r="BW495" s="214">
        <v>1</v>
      </c>
      <c r="BX495" s="214">
        <v>0</v>
      </c>
      <c r="BY495" s="214">
        <v>0</v>
      </c>
      <c r="BZ495" s="134">
        <v>0</v>
      </c>
      <c r="CA495" s="138">
        <v>1</v>
      </c>
      <c r="CB495" s="136">
        <v>1</v>
      </c>
      <c r="CC495" s="136">
        <v>0</v>
      </c>
      <c r="CD495" s="136">
        <v>0</v>
      </c>
      <c r="CE495" s="137">
        <v>0</v>
      </c>
      <c r="CF495" s="137">
        <v>0</v>
      </c>
      <c r="CG495" s="137">
        <v>0</v>
      </c>
      <c r="CH495" s="214">
        <v>11.4</v>
      </c>
      <c r="CI495" s="139" t="s">
        <v>48</v>
      </c>
      <c r="CJ495" s="139" t="s">
        <v>287</v>
      </c>
      <c r="CK495" s="139" t="s">
        <v>50</v>
      </c>
      <c r="CL495" s="139" t="s">
        <v>50</v>
      </c>
      <c r="CM495" s="139" t="s">
        <v>50</v>
      </c>
      <c r="CN495" s="139" t="s">
        <v>51</v>
      </c>
      <c r="CO495" s="139">
        <v>24.998349999999999</v>
      </c>
      <c r="CP495" s="139">
        <v>96.364949999999993</v>
      </c>
      <c r="CQ495" s="139" t="s">
        <v>1983</v>
      </c>
      <c r="CR495" s="449" t="s">
        <v>40</v>
      </c>
      <c r="CS495" s="449"/>
      <c r="CT495" s="24"/>
      <c r="CU495" s="24"/>
      <c r="CV495" s="24"/>
    </row>
    <row r="496" spans="1:100" x14ac:dyDescent="0.25">
      <c r="A496" s="293" t="s">
        <v>2691</v>
      </c>
      <c r="B496" s="132" t="s">
        <v>43</v>
      </c>
      <c r="C496" s="132" t="s">
        <v>44</v>
      </c>
      <c r="D496" s="132" t="s">
        <v>303</v>
      </c>
      <c r="E496" s="132" t="s">
        <v>386</v>
      </c>
      <c r="F496" s="132">
        <v>11</v>
      </c>
      <c r="G496" s="214">
        <v>50</v>
      </c>
      <c r="H496" s="132"/>
      <c r="I496" s="132" t="s">
        <v>372</v>
      </c>
      <c r="J496" s="133">
        <v>43465</v>
      </c>
      <c r="K496" s="132">
        <v>0</v>
      </c>
      <c r="L496" s="132" t="s">
        <v>48</v>
      </c>
      <c r="M496" s="134">
        <v>0.3</v>
      </c>
      <c r="N496" s="134">
        <v>0.6</v>
      </c>
      <c r="O496" s="320">
        <v>1</v>
      </c>
      <c r="P496" s="326">
        <v>1</v>
      </c>
      <c r="Q496" s="326">
        <v>4000</v>
      </c>
      <c r="R496" s="315">
        <v>0</v>
      </c>
      <c r="S496" s="315">
        <v>0</v>
      </c>
      <c r="T496" s="315"/>
      <c r="U496" s="315">
        <v>0</v>
      </c>
      <c r="V496" s="315">
        <v>0</v>
      </c>
      <c r="W496" s="315">
        <v>0</v>
      </c>
      <c r="X496" s="315">
        <v>0</v>
      </c>
      <c r="Y496" s="315">
        <v>0</v>
      </c>
      <c r="Z496" s="315" t="s">
        <v>2478</v>
      </c>
      <c r="AA496" s="336">
        <v>2</v>
      </c>
      <c r="AB496" s="336">
        <v>0</v>
      </c>
      <c r="AC496" s="337">
        <v>0</v>
      </c>
      <c r="AD496" s="337"/>
      <c r="AE496" s="336">
        <v>4</v>
      </c>
      <c r="AF496" s="336" t="s">
        <v>283</v>
      </c>
      <c r="AG496" s="339" t="s">
        <v>1358</v>
      </c>
      <c r="AH496" s="339">
        <v>0</v>
      </c>
      <c r="AI496" s="336">
        <v>0</v>
      </c>
      <c r="AJ496" s="336"/>
      <c r="AK496" s="848">
        <v>0</v>
      </c>
      <c r="AL496" s="842" t="s">
        <v>376</v>
      </c>
      <c r="AM496" s="836">
        <v>0</v>
      </c>
      <c r="AN496" s="837">
        <v>1</v>
      </c>
      <c r="AO496" s="837">
        <v>1</v>
      </c>
      <c r="AP496" s="843">
        <v>0</v>
      </c>
      <c r="AQ496" s="839">
        <v>0</v>
      </c>
      <c r="AR496" s="839" t="s">
        <v>282</v>
      </c>
      <c r="AS496" s="839"/>
      <c r="AT496" s="839"/>
      <c r="AU496" s="839"/>
      <c r="AV496" s="849"/>
      <c r="AW496" s="134" t="s">
        <v>3208</v>
      </c>
      <c r="AX496" s="136" t="s">
        <v>3208</v>
      </c>
      <c r="AY496" s="137" t="s">
        <v>2576</v>
      </c>
      <c r="AZ496" s="136">
        <v>1</v>
      </c>
      <c r="BA496" s="136">
        <v>1</v>
      </c>
      <c r="BB496" s="136">
        <v>1</v>
      </c>
      <c r="BC496" s="214">
        <v>50</v>
      </c>
      <c r="BD496" s="136">
        <v>0</v>
      </c>
      <c r="BE496" s="214">
        <v>0</v>
      </c>
      <c r="BF496" s="136">
        <v>1</v>
      </c>
      <c r="BG496" s="214">
        <v>50</v>
      </c>
      <c r="BH496" s="214">
        <v>0.1</v>
      </c>
      <c r="BI496" s="134">
        <v>0</v>
      </c>
      <c r="BJ496" s="214">
        <v>0</v>
      </c>
      <c r="BK496" s="137">
        <v>0.9</v>
      </c>
      <c r="BL496" s="137">
        <v>1</v>
      </c>
      <c r="BM496" s="137">
        <v>2</v>
      </c>
      <c r="BN496" s="134">
        <v>0.8</v>
      </c>
      <c r="BO496" s="351">
        <v>40</v>
      </c>
      <c r="BP496" s="134">
        <v>0.4</v>
      </c>
      <c r="BQ496" s="214">
        <v>1</v>
      </c>
      <c r="BR496" s="137">
        <v>3</v>
      </c>
      <c r="BS496" s="138">
        <v>0</v>
      </c>
      <c r="BT496" s="351">
        <v>0</v>
      </c>
      <c r="BU496" s="214">
        <v>50</v>
      </c>
      <c r="BV496" s="214">
        <v>0</v>
      </c>
      <c r="BW496" s="214">
        <v>1</v>
      </c>
      <c r="BX496" s="214">
        <v>0</v>
      </c>
      <c r="BY496" s="214">
        <v>0</v>
      </c>
      <c r="BZ496" s="134">
        <v>0</v>
      </c>
      <c r="CA496" s="138">
        <v>1</v>
      </c>
      <c r="CB496" s="136">
        <v>1</v>
      </c>
      <c r="CC496" s="136">
        <v>0</v>
      </c>
      <c r="CD496" s="136">
        <v>0</v>
      </c>
      <c r="CE496" s="137">
        <v>0</v>
      </c>
      <c r="CF496" s="137">
        <v>0</v>
      </c>
      <c r="CG496" s="137">
        <v>0</v>
      </c>
      <c r="CH496" s="214">
        <v>0</v>
      </c>
      <c r="CI496" s="139" t="s">
        <v>48</v>
      </c>
      <c r="CJ496" s="139" t="s">
        <v>1539</v>
      </c>
      <c r="CK496" s="139" t="s">
        <v>50</v>
      </c>
      <c r="CL496" s="139" t="s">
        <v>50</v>
      </c>
      <c r="CM496" s="139" t="s">
        <v>50</v>
      </c>
      <c r="CN496" s="139" t="s">
        <v>51</v>
      </c>
      <c r="CO496" s="139">
        <v>24.764800000000001</v>
      </c>
      <c r="CP496" s="139">
        <v>96.367059999999995</v>
      </c>
      <c r="CQ496" s="139" t="s">
        <v>1977</v>
      </c>
      <c r="CR496" s="449" t="s">
        <v>40</v>
      </c>
      <c r="CS496" s="449"/>
      <c r="CT496" s="24"/>
      <c r="CU496" s="24"/>
      <c r="CV496" s="24"/>
    </row>
    <row r="497" spans="1:100" x14ac:dyDescent="0.25">
      <c r="A497" s="293" t="s">
        <v>2691</v>
      </c>
      <c r="B497" s="132" t="s">
        <v>338</v>
      </c>
      <c r="C497" s="132" t="s">
        <v>44</v>
      </c>
      <c r="D497" s="132" t="s">
        <v>351</v>
      </c>
      <c r="E497" s="132" t="s">
        <v>352</v>
      </c>
      <c r="F497" s="132">
        <v>141</v>
      </c>
      <c r="G497" s="214">
        <v>665</v>
      </c>
      <c r="H497" s="132"/>
      <c r="I497" s="132" t="s">
        <v>340</v>
      </c>
      <c r="J497" s="133" t="s">
        <v>2474</v>
      </c>
      <c r="K497" s="132">
        <v>0</v>
      </c>
      <c r="L497" s="132" t="s">
        <v>48</v>
      </c>
      <c r="M497" s="134">
        <v>0.5</v>
      </c>
      <c r="N497" s="134">
        <v>0.5</v>
      </c>
      <c r="O497" s="320">
        <v>3</v>
      </c>
      <c r="P497" s="326">
        <v>2</v>
      </c>
      <c r="Q497" s="326">
        <v>0</v>
      </c>
      <c r="R497" s="315">
        <v>0</v>
      </c>
      <c r="S497" s="315">
        <v>0</v>
      </c>
      <c r="T497" s="315"/>
      <c r="U497" s="315"/>
      <c r="V497" s="315"/>
      <c r="W497" s="315"/>
      <c r="X497" s="315"/>
      <c r="Y497" s="315"/>
      <c r="Z497" s="315"/>
      <c r="AA497" s="336">
        <v>24</v>
      </c>
      <c r="AB497" s="336">
        <v>0</v>
      </c>
      <c r="AC497" s="337">
        <v>4</v>
      </c>
      <c r="AD497" s="337"/>
      <c r="AE497" s="336">
        <v>0</v>
      </c>
      <c r="AF497" s="336" t="s">
        <v>283</v>
      </c>
      <c r="AG497" s="339" t="s">
        <v>283</v>
      </c>
      <c r="AH497" s="339"/>
      <c r="AI497" s="336"/>
      <c r="AJ497" s="336"/>
      <c r="AK497" s="848">
        <v>1</v>
      </c>
      <c r="AL497" s="836" t="s">
        <v>291</v>
      </c>
      <c r="AM497" s="836">
        <v>0</v>
      </c>
      <c r="AN497" s="837">
        <v>3</v>
      </c>
      <c r="AO497" s="837">
        <v>2</v>
      </c>
      <c r="AP497" s="843">
        <v>141</v>
      </c>
      <c r="AQ497" s="839">
        <v>141</v>
      </c>
      <c r="AR497" s="839"/>
      <c r="AS497" s="839"/>
      <c r="AT497" s="839"/>
      <c r="AU497" s="839"/>
      <c r="AV497" s="849"/>
      <c r="AW497" s="134" t="s">
        <v>3208</v>
      </c>
      <c r="AX497" s="136" t="s">
        <v>3208</v>
      </c>
      <c r="AY497" s="137" t="s">
        <v>2576</v>
      </c>
      <c r="AZ497" s="136">
        <v>1</v>
      </c>
      <c r="BA497" s="136">
        <v>1</v>
      </c>
      <c r="BB497" s="136">
        <v>1</v>
      </c>
      <c r="BC497" s="214">
        <v>665</v>
      </c>
      <c r="BD497" s="136">
        <v>0</v>
      </c>
      <c r="BE497" s="214">
        <v>0</v>
      </c>
      <c r="BF497" s="136">
        <v>1</v>
      </c>
      <c r="BG497" s="214">
        <v>665</v>
      </c>
      <c r="BH497" s="214">
        <v>1.33</v>
      </c>
      <c r="BI497" s="134">
        <v>0</v>
      </c>
      <c r="BJ497" s="214">
        <v>0</v>
      </c>
      <c r="BK497" s="137">
        <v>0</v>
      </c>
      <c r="BL497" s="137">
        <v>1</v>
      </c>
      <c r="BM497" s="137">
        <v>24</v>
      </c>
      <c r="BN497" s="134">
        <v>0.72180451127819545</v>
      </c>
      <c r="BO497" s="351">
        <v>480</v>
      </c>
      <c r="BP497" s="134">
        <v>0.27067669172932329</v>
      </c>
      <c r="BQ497" s="214">
        <v>9</v>
      </c>
      <c r="BR497" s="137">
        <v>33</v>
      </c>
      <c r="BS497" s="138">
        <v>0</v>
      </c>
      <c r="BT497" s="351">
        <v>80</v>
      </c>
      <c r="BU497" s="214">
        <v>665</v>
      </c>
      <c r="BV497" s="214">
        <v>1</v>
      </c>
      <c r="BW497" s="214">
        <v>1</v>
      </c>
      <c r="BX497" s="214">
        <v>1</v>
      </c>
      <c r="BY497" s="214">
        <v>665</v>
      </c>
      <c r="BZ497" s="134">
        <v>1</v>
      </c>
      <c r="CA497" s="138">
        <v>0</v>
      </c>
      <c r="CB497" s="136">
        <v>1</v>
      </c>
      <c r="CC497" s="136">
        <v>1</v>
      </c>
      <c r="CD497" s="136">
        <v>1</v>
      </c>
      <c r="CE497" s="137">
        <v>705</v>
      </c>
      <c r="CF497" s="137">
        <v>705</v>
      </c>
      <c r="CG497" s="137">
        <v>705</v>
      </c>
      <c r="CH497" s="214">
        <v>141</v>
      </c>
      <c r="CI497" s="139">
        <v>0</v>
      </c>
      <c r="CJ497" s="139">
        <v>0</v>
      </c>
      <c r="CK497" s="139" t="s">
        <v>1921</v>
      </c>
      <c r="CL497" s="139" t="s">
        <v>50</v>
      </c>
      <c r="CM497" s="139" t="s">
        <v>50</v>
      </c>
      <c r="CN497" s="139" t="s">
        <v>51</v>
      </c>
      <c r="CO497" s="139">
        <v>0</v>
      </c>
      <c r="CP497" s="139">
        <v>0</v>
      </c>
      <c r="CQ497" s="139">
        <v>0</v>
      </c>
      <c r="CR497" s="449" t="s">
        <v>40</v>
      </c>
      <c r="CS497" s="449"/>
      <c r="CT497" s="24"/>
      <c r="CU497" s="24"/>
      <c r="CV497" s="24"/>
    </row>
    <row r="498" spans="1:100" x14ac:dyDescent="0.25">
      <c r="A498" s="293" t="s">
        <v>2691</v>
      </c>
      <c r="B498" s="132" t="s">
        <v>43</v>
      </c>
      <c r="C498" s="132" t="s">
        <v>44</v>
      </c>
      <c r="D498" s="132" t="s">
        <v>351</v>
      </c>
      <c r="E498" s="132" t="s">
        <v>379</v>
      </c>
      <c r="F498" s="132">
        <v>98</v>
      </c>
      <c r="G498" s="214">
        <v>446</v>
      </c>
      <c r="H498" s="132"/>
      <c r="I498" s="132" t="s">
        <v>372</v>
      </c>
      <c r="J498" s="133">
        <v>43465</v>
      </c>
      <c r="K498" s="132">
        <v>0</v>
      </c>
      <c r="L498" s="132" t="s">
        <v>2452</v>
      </c>
      <c r="M498" s="134">
        <v>0.5</v>
      </c>
      <c r="N498" s="134">
        <v>0.3</v>
      </c>
      <c r="O498" s="320">
        <v>0</v>
      </c>
      <c r="P498" s="326">
        <v>0</v>
      </c>
      <c r="Q498" s="326">
        <v>7000</v>
      </c>
      <c r="R498" s="315">
        <v>0</v>
      </c>
      <c r="S498" s="315">
        <v>8</v>
      </c>
      <c r="T498" s="315"/>
      <c r="U498" s="315">
        <v>0</v>
      </c>
      <c r="V498" s="315">
        <v>0</v>
      </c>
      <c r="W498" s="315">
        <v>0</v>
      </c>
      <c r="X498" s="315">
        <v>0</v>
      </c>
      <c r="Y498" s="315">
        <v>0</v>
      </c>
      <c r="Z498" s="315"/>
      <c r="AA498" s="336">
        <v>93</v>
      </c>
      <c r="AB498" s="336">
        <v>0</v>
      </c>
      <c r="AC498" s="337">
        <v>0</v>
      </c>
      <c r="AD498" s="337"/>
      <c r="AE498" s="336">
        <v>0</v>
      </c>
      <c r="AF498" s="336" t="s">
        <v>283</v>
      </c>
      <c r="AG498" s="339" t="s">
        <v>1358</v>
      </c>
      <c r="AH498" s="339">
        <v>0</v>
      </c>
      <c r="AI498" s="336">
        <v>0</v>
      </c>
      <c r="AJ498" s="336"/>
      <c r="AK498" s="848">
        <v>0</v>
      </c>
      <c r="AL498" s="842" t="s">
        <v>376</v>
      </c>
      <c r="AM498" s="836">
        <v>0</v>
      </c>
      <c r="AN498" s="837">
        <v>2</v>
      </c>
      <c r="AO498" s="837">
        <v>2</v>
      </c>
      <c r="AP498" s="843">
        <v>0</v>
      </c>
      <c r="AQ498" s="839">
        <v>0</v>
      </c>
      <c r="AR498" s="839" t="s">
        <v>282</v>
      </c>
      <c r="AS498" s="839"/>
      <c r="AT498" s="839"/>
      <c r="AU498" s="839"/>
      <c r="AV498" s="849"/>
      <c r="AW498" s="134" t="s">
        <v>3208</v>
      </c>
      <c r="AX498" s="136" t="s">
        <v>3208</v>
      </c>
      <c r="AY498" s="137" t="s">
        <v>2576</v>
      </c>
      <c r="AZ498" s="136">
        <v>1</v>
      </c>
      <c r="BA498" s="136">
        <v>1</v>
      </c>
      <c r="BB498" s="136">
        <v>1</v>
      </c>
      <c r="BC498" s="214">
        <v>446</v>
      </c>
      <c r="BD498" s="136">
        <v>0</v>
      </c>
      <c r="BE498" s="214">
        <v>0</v>
      </c>
      <c r="BF498" s="136">
        <v>1</v>
      </c>
      <c r="BG498" s="214">
        <v>446</v>
      </c>
      <c r="BH498" s="214">
        <v>0.89200000000000002</v>
      </c>
      <c r="BI498" s="134">
        <v>0</v>
      </c>
      <c r="BJ498" s="214">
        <v>0</v>
      </c>
      <c r="BK498" s="137">
        <v>0.10799999999999998</v>
      </c>
      <c r="BL498" s="137">
        <v>1</v>
      </c>
      <c r="BM498" s="137">
        <v>93</v>
      </c>
      <c r="BN498" s="134">
        <v>1</v>
      </c>
      <c r="BO498" s="351">
        <v>446</v>
      </c>
      <c r="BP498" s="134">
        <v>0</v>
      </c>
      <c r="BQ498" s="214">
        <v>0</v>
      </c>
      <c r="BR498" s="137">
        <v>22</v>
      </c>
      <c r="BS498" s="138">
        <v>0</v>
      </c>
      <c r="BT498" s="351">
        <v>0</v>
      </c>
      <c r="BU498" s="214">
        <v>446</v>
      </c>
      <c r="BV498" s="214">
        <v>0</v>
      </c>
      <c r="BW498" s="214">
        <v>1</v>
      </c>
      <c r="BX498" s="214">
        <v>0</v>
      </c>
      <c r="BY498" s="214">
        <v>0</v>
      </c>
      <c r="BZ498" s="134">
        <v>0</v>
      </c>
      <c r="CA498" s="138">
        <v>1</v>
      </c>
      <c r="CB498" s="136">
        <v>1</v>
      </c>
      <c r="CC498" s="136">
        <v>0</v>
      </c>
      <c r="CD498" s="136">
        <v>0</v>
      </c>
      <c r="CE498" s="137">
        <v>0</v>
      </c>
      <c r="CF498" s="137">
        <v>0</v>
      </c>
      <c r="CG498" s="137">
        <v>0</v>
      </c>
      <c r="CH498" s="214">
        <v>0</v>
      </c>
      <c r="CI498" s="139" t="s">
        <v>48</v>
      </c>
      <c r="CJ498" s="139" t="s">
        <v>1539</v>
      </c>
      <c r="CK498" s="139" t="s">
        <v>50</v>
      </c>
      <c r="CL498" s="139" t="s">
        <v>50</v>
      </c>
      <c r="CM498" s="139" t="s">
        <v>50</v>
      </c>
      <c r="CN498" s="139" t="s">
        <v>949</v>
      </c>
      <c r="CO498" s="139">
        <v>24.461033</v>
      </c>
      <c r="CP498" s="139">
        <v>97.537099999999995</v>
      </c>
      <c r="CQ498" s="139" t="s">
        <v>1967</v>
      </c>
      <c r="CR498" s="449" t="s">
        <v>40</v>
      </c>
      <c r="CS498" s="449"/>
      <c r="CT498" s="24"/>
      <c r="CU498" s="24"/>
      <c r="CV498" s="24"/>
    </row>
    <row r="499" spans="1:100" x14ac:dyDescent="0.25">
      <c r="A499" s="293" t="s">
        <v>2691</v>
      </c>
      <c r="B499" s="206" t="s">
        <v>338</v>
      </c>
      <c r="C499" s="183" t="s">
        <v>44</v>
      </c>
      <c r="D499" s="183" t="s">
        <v>351</v>
      </c>
      <c r="E499" s="183" t="s">
        <v>363</v>
      </c>
      <c r="F499" s="206">
        <v>664</v>
      </c>
      <c r="G499" s="209">
        <v>3294</v>
      </c>
      <c r="H499" s="206"/>
      <c r="I499" s="206" t="s">
        <v>364</v>
      </c>
      <c r="J499" s="207">
        <v>43281</v>
      </c>
      <c r="K499" s="206">
        <v>0</v>
      </c>
      <c r="L499" s="206" t="s">
        <v>48</v>
      </c>
      <c r="M499" s="208">
        <v>0.4</v>
      </c>
      <c r="N499" s="208">
        <v>0.4</v>
      </c>
      <c r="O499" s="316">
        <v>3</v>
      </c>
      <c r="P499" s="317">
        <v>0</v>
      </c>
      <c r="Q499" s="317">
        <v>65880</v>
      </c>
      <c r="R499" s="318">
        <v>0</v>
      </c>
      <c r="S499" s="318">
        <v>0</v>
      </c>
      <c r="T499" s="318"/>
      <c r="U499" s="318"/>
      <c r="V499" s="318"/>
      <c r="W499" s="318"/>
      <c r="X499" s="318"/>
      <c r="Y499" s="318"/>
      <c r="Z499" s="318">
        <v>0</v>
      </c>
      <c r="AA499" s="310">
        <v>202</v>
      </c>
      <c r="AB499" s="310">
        <v>4</v>
      </c>
      <c r="AC499" s="66"/>
      <c r="AD499" s="337"/>
      <c r="AE499" s="310">
        <v>1</v>
      </c>
      <c r="AF499" s="310" t="s">
        <v>283</v>
      </c>
      <c r="AG499" s="311" t="s">
        <v>283</v>
      </c>
      <c r="AH499" s="311"/>
      <c r="AI499" s="310"/>
      <c r="AJ499" s="310">
        <v>0</v>
      </c>
      <c r="AK499" s="841">
        <v>0.99</v>
      </c>
      <c r="AL499" s="842" t="s">
        <v>376</v>
      </c>
      <c r="AM499" s="842">
        <v>0</v>
      </c>
      <c r="AN499" s="837">
        <v>21</v>
      </c>
      <c r="AO499" s="837">
        <v>4</v>
      </c>
      <c r="AP499" s="843"/>
      <c r="AQ499" s="843"/>
      <c r="AR499" s="843"/>
      <c r="AS499" s="843"/>
      <c r="AT499" s="843"/>
      <c r="AU499" s="843"/>
      <c r="AV499" s="844">
        <v>0</v>
      </c>
      <c r="AW499" s="208" t="s">
        <v>3208</v>
      </c>
      <c r="AX499" s="211" t="s">
        <v>3208</v>
      </c>
      <c r="AY499" s="210" t="s">
        <v>2576</v>
      </c>
      <c r="AZ499" s="211">
        <v>1</v>
      </c>
      <c r="BA499" s="211">
        <v>1</v>
      </c>
      <c r="BB499" s="211">
        <v>1</v>
      </c>
      <c r="BC499" s="209">
        <v>3294</v>
      </c>
      <c r="BD499" s="211">
        <v>0</v>
      </c>
      <c r="BE499" s="209">
        <v>0</v>
      </c>
      <c r="BF499" s="211">
        <v>1</v>
      </c>
      <c r="BG499" s="209">
        <v>3294</v>
      </c>
      <c r="BH499" s="214">
        <v>7</v>
      </c>
      <c r="BI499" s="208">
        <v>0</v>
      </c>
      <c r="BJ499" s="209">
        <v>0</v>
      </c>
      <c r="BK499" s="210">
        <v>0</v>
      </c>
      <c r="BL499" s="210">
        <v>7</v>
      </c>
      <c r="BM499" s="210">
        <v>206</v>
      </c>
      <c r="BN499" s="208">
        <v>1</v>
      </c>
      <c r="BO499" s="352">
        <v>3294</v>
      </c>
      <c r="BP499" s="208">
        <v>0</v>
      </c>
      <c r="BQ499" s="209">
        <v>0</v>
      </c>
      <c r="BR499" s="210">
        <v>165</v>
      </c>
      <c r="BS499" s="212">
        <v>1.9417475728155338E-2</v>
      </c>
      <c r="BT499" s="352">
        <v>0</v>
      </c>
      <c r="BU499" s="209">
        <v>2000</v>
      </c>
      <c r="BV499" s="209">
        <v>0</v>
      </c>
      <c r="BW499" s="209">
        <v>0</v>
      </c>
      <c r="BX499" s="209">
        <v>0</v>
      </c>
      <c r="BY499" s="209">
        <v>0</v>
      </c>
      <c r="BZ499" s="208">
        <v>0</v>
      </c>
      <c r="CA499" s="212">
        <v>1</v>
      </c>
      <c r="CB499" s="211">
        <v>0.60716454159077105</v>
      </c>
      <c r="CC499" s="211">
        <v>0</v>
      </c>
      <c r="CD499" s="211">
        <v>0</v>
      </c>
      <c r="CE499" s="210">
        <v>0</v>
      </c>
      <c r="CF499" s="210">
        <v>0</v>
      </c>
      <c r="CG499" s="210">
        <v>0</v>
      </c>
      <c r="CH499" s="209">
        <v>657.36</v>
      </c>
      <c r="CI499" s="139" t="s">
        <v>48</v>
      </c>
      <c r="CJ499" s="139" t="s">
        <v>1539</v>
      </c>
      <c r="CK499" s="139" t="s">
        <v>50</v>
      </c>
      <c r="CL499" s="139" t="s">
        <v>50</v>
      </c>
      <c r="CM499" s="139" t="s">
        <v>50</v>
      </c>
      <c r="CN499" s="139" t="s">
        <v>949</v>
      </c>
      <c r="CO499" s="139">
        <v>24.661905999999998</v>
      </c>
      <c r="CP499" s="139">
        <v>97.573126000000002</v>
      </c>
      <c r="CQ499" s="139" t="s">
        <v>1971</v>
      </c>
      <c r="CR499" s="660" t="s">
        <v>40</v>
      </c>
      <c r="CS499" s="660"/>
      <c r="CT499" s="24"/>
      <c r="CU499" s="24"/>
      <c r="CV499" s="24"/>
    </row>
    <row r="500" spans="1:100" x14ac:dyDescent="0.25">
      <c r="A500" s="293" t="s">
        <v>2691</v>
      </c>
      <c r="B500" s="132" t="s">
        <v>1428</v>
      </c>
      <c r="C500" s="132" t="s">
        <v>44</v>
      </c>
      <c r="D500" s="132" t="s">
        <v>351</v>
      </c>
      <c r="E500" s="132" t="s">
        <v>440</v>
      </c>
      <c r="F500" s="132">
        <v>1490</v>
      </c>
      <c r="G500" s="214">
        <v>8486</v>
      </c>
      <c r="H500" s="132"/>
      <c r="I500" s="132" t="s">
        <v>391</v>
      </c>
      <c r="J500" s="133" t="s">
        <v>2813</v>
      </c>
      <c r="K500" s="132">
        <v>0</v>
      </c>
      <c r="L500" s="132" t="s">
        <v>48</v>
      </c>
      <c r="M500" s="134">
        <v>0</v>
      </c>
      <c r="N500" s="134">
        <v>0</v>
      </c>
      <c r="O500" s="320">
        <v>0</v>
      </c>
      <c r="P500" s="326">
        <v>3</v>
      </c>
      <c r="Q500" s="326">
        <v>9331200</v>
      </c>
      <c r="R500" s="315">
        <v>0</v>
      </c>
      <c r="S500" s="315">
        <v>0</v>
      </c>
      <c r="T500" s="315">
        <v>0</v>
      </c>
      <c r="U500" s="315">
        <v>0</v>
      </c>
      <c r="V500" s="315">
        <v>0</v>
      </c>
      <c r="W500" s="315">
        <v>69</v>
      </c>
      <c r="X500" s="315">
        <v>21</v>
      </c>
      <c r="Y500" s="315">
        <v>0</v>
      </c>
      <c r="Z500" s="315"/>
      <c r="AA500" s="336">
        <v>532</v>
      </c>
      <c r="AB500" s="336">
        <v>22</v>
      </c>
      <c r="AC500" s="337">
        <v>187</v>
      </c>
      <c r="AD500" s="337" t="s">
        <v>2787</v>
      </c>
      <c r="AE500" s="336">
        <v>0</v>
      </c>
      <c r="AF500" s="336" t="s">
        <v>283</v>
      </c>
      <c r="AG500" s="339" t="s">
        <v>283</v>
      </c>
      <c r="AH500" s="339">
        <v>0</v>
      </c>
      <c r="AI500" s="336">
        <v>0</v>
      </c>
      <c r="AJ500" s="336"/>
      <c r="AK500" s="848">
        <v>0.95</v>
      </c>
      <c r="AL500" s="836" t="s">
        <v>291</v>
      </c>
      <c r="AM500" s="836">
        <v>0</v>
      </c>
      <c r="AN500" s="837">
        <v>49</v>
      </c>
      <c r="AO500" s="837">
        <v>11</v>
      </c>
      <c r="AP500" s="843">
        <v>0</v>
      </c>
      <c r="AQ500" s="839"/>
      <c r="AR500" s="839"/>
      <c r="AS500" s="839"/>
      <c r="AT500" s="839">
        <v>21</v>
      </c>
      <c r="AU500" s="839">
        <v>0</v>
      </c>
      <c r="AV500" s="849" t="s">
        <v>2461</v>
      </c>
      <c r="AW500" s="134" t="s">
        <v>3208</v>
      </c>
      <c r="AX500" s="136">
        <v>0.30434782608695654</v>
      </c>
      <c r="AY500" s="137" t="s">
        <v>2577</v>
      </c>
      <c r="AZ500" s="136">
        <v>1</v>
      </c>
      <c r="BA500" s="136">
        <v>1</v>
      </c>
      <c r="BB500" s="136">
        <v>1</v>
      </c>
      <c r="BC500" s="214">
        <v>8486</v>
      </c>
      <c r="BD500" s="136">
        <v>0</v>
      </c>
      <c r="BE500" s="214">
        <v>0</v>
      </c>
      <c r="BF500" s="136">
        <v>1</v>
      </c>
      <c r="BG500" s="214">
        <v>8486</v>
      </c>
      <c r="BH500" s="214">
        <v>16.972000000000001</v>
      </c>
      <c r="BI500" s="134">
        <v>0</v>
      </c>
      <c r="BJ500" s="214">
        <v>0</v>
      </c>
      <c r="BK500" s="137">
        <v>2.7999999999998693E-2</v>
      </c>
      <c r="BL500" s="137">
        <v>17</v>
      </c>
      <c r="BM500" s="137">
        <v>554</v>
      </c>
      <c r="BN500" s="134">
        <v>1</v>
      </c>
      <c r="BO500" s="351">
        <v>8486</v>
      </c>
      <c r="BP500" s="134">
        <v>0</v>
      </c>
      <c r="BQ500" s="214">
        <v>0</v>
      </c>
      <c r="BR500" s="137">
        <v>424</v>
      </c>
      <c r="BS500" s="138">
        <v>3.9711191335740074E-2</v>
      </c>
      <c r="BT500" s="351">
        <v>3740</v>
      </c>
      <c r="BU500" s="214">
        <v>5500</v>
      </c>
      <c r="BV500" s="214">
        <v>0</v>
      </c>
      <c r="BW500" s="214">
        <v>0</v>
      </c>
      <c r="BX500" s="214">
        <v>0</v>
      </c>
      <c r="BY500" s="214">
        <v>0</v>
      </c>
      <c r="BZ500" s="134">
        <v>0</v>
      </c>
      <c r="CA500" s="138">
        <v>1</v>
      </c>
      <c r="CB500" s="136">
        <v>0.64812632571293893</v>
      </c>
      <c r="CC500" s="136">
        <v>0</v>
      </c>
      <c r="CD500" s="136">
        <v>0</v>
      </c>
      <c r="CE500" s="137">
        <v>0</v>
      </c>
      <c r="CF500" s="137">
        <v>0</v>
      </c>
      <c r="CG500" s="137">
        <v>0</v>
      </c>
      <c r="CH500" s="214">
        <v>1415.5</v>
      </c>
      <c r="CI500" s="139" t="s">
        <v>48</v>
      </c>
      <c r="CJ500" s="139" t="s">
        <v>1539</v>
      </c>
      <c r="CK500" s="139" t="s">
        <v>50</v>
      </c>
      <c r="CL500" s="139" t="s">
        <v>50</v>
      </c>
      <c r="CM500" s="139" t="s">
        <v>50</v>
      </c>
      <c r="CN500" s="139" t="s">
        <v>949</v>
      </c>
      <c r="CO500" s="139">
        <v>24.688338999999999</v>
      </c>
      <c r="CP500" s="139">
        <v>97.568331999999998</v>
      </c>
      <c r="CQ500" s="139" t="s">
        <v>1972</v>
      </c>
      <c r="CR500" s="449" t="s">
        <v>40</v>
      </c>
      <c r="CS500" s="449"/>
      <c r="CT500" s="24"/>
      <c r="CU500" s="24"/>
      <c r="CV500" s="24"/>
    </row>
    <row r="501" spans="1:100" x14ac:dyDescent="0.25">
      <c r="A501" s="293" t="s">
        <v>2691</v>
      </c>
      <c r="B501" s="132" t="s">
        <v>338</v>
      </c>
      <c r="C501" s="132" t="s">
        <v>44</v>
      </c>
      <c r="D501" s="132" t="s">
        <v>351</v>
      </c>
      <c r="E501" s="132" t="s">
        <v>353</v>
      </c>
      <c r="F501" s="132">
        <v>17</v>
      </c>
      <c r="G501" s="214">
        <v>106</v>
      </c>
      <c r="H501" s="132"/>
      <c r="I501" s="132" t="s">
        <v>354</v>
      </c>
      <c r="J501" s="133" t="s">
        <v>2474</v>
      </c>
      <c r="K501" s="132">
        <v>0</v>
      </c>
      <c r="L501" s="132" t="s">
        <v>282</v>
      </c>
      <c r="M501" s="134">
        <v>0</v>
      </c>
      <c r="N501" s="134">
        <v>0</v>
      </c>
      <c r="O501" s="320">
        <v>1</v>
      </c>
      <c r="P501" s="326">
        <v>0</v>
      </c>
      <c r="Q501" s="326">
        <v>0</v>
      </c>
      <c r="R501" s="315">
        <v>0</v>
      </c>
      <c r="S501" s="315">
        <v>0</v>
      </c>
      <c r="T501" s="315"/>
      <c r="U501" s="315"/>
      <c r="V501" s="315"/>
      <c r="W501" s="315"/>
      <c r="X501" s="315"/>
      <c r="Y501" s="315"/>
      <c r="Z501" s="315"/>
      <c r="AA501" s="336">
        <v>4</v>
      </c>
      <c r="AB501" s="336">
        <v>0</v>
      </c>
      <c r="AC501" s="337">
        <v>2</v>
      </c>
      <c r="AD501" s="337"/>
      <c r="AE501" s="336">
        <v>0</v>
      </c>
      <c r="AF501" s="336" t="s">
        <v>283</v>
      </c>
      <c r="AG501" s="339" t="s">
        <v>283</v>
      </c>
      <c r="AH501" s="339"/>
      <c r="AI501" s="336"/>
      <c r="AJ501" s="336"/>
      <c r="AK501" s="848">
        <v>1</v>
      </c>
      <c r="AL501" s="836" t="s">
        <v>291</v>
      </c>
      <c r="AM501" s="836">
        <v>0</v>
      </c>
      <c r="AN501" s="837">
        <v>2</v>
      </c>
      <c r="AO501" s="837">
        <v>1</v>
      </c>
      <c r="AP501" s="843">
        <v>17</v>
      </c>
      <c r="AQ501" s="839">
        <v>17</v>
      </c>
      <c r="AR501" s="839"/>
      <c r="AS501" s="839"/>
      <c r="AT501" s="839"/>
      <c r="AU501" s="839"/>
      <c r="AV501" s="849"/>
      <c r="AW501" s="134" t="s">
        <v>3208</v>
      </c>
      <c r="AX501" s="136" t="s">
        <v>3208</v>
      </c>
      <c r="AY501" s="137" t="s">
        <v>2576</v>
      </c>
      <c r="AZ501" s="136">
        <v>1</v>
      </c>
      <c r="BA501" s="136">
        <v>1</v>
      </c>
      <c r="BB501" s="136">
        <v>1</v>
      </c>
      <c r="BC501" s="214">
        <v>106</v>
      </c>
      <c r="BD501" s="136">
        <v>0</v>
      </c>
      <c r="BE501" s="214">
        <v>0</v>
      </c>
      <c r="BF501" s="136">
        <v>1</v>
      </c>
      <c r="BG501" s="214">
        <v>106</v>
      </c>
      <c r="BH501" s="214">
        <v>0.21199999999999999</v>
      </c>
      <c r="BI501" s="134">
        <v>0</v>
      </c>
      <c r="BJ501" s="214">
        <v>0</v>
      </c>
      <c r="BK501" s="137">
        <v>0.78800000000000003</v>
      </c>
      <c r="BL501" s="137">
        <v>1</v>
      </c>
      <c r="BM501" s="137">
        <v>4</v>
      </c>
      <c r="BN501" s="134">
        <v>0.75471698113207553</v>
      </c>
      <c r="BO501" s="351">
        <v>80</v>
      </c>
      <c r="BP501" s="134">
        <v>0.18867924528301888</v>
      </c>
      <c r="BQ501" s="214">
        <v>1</v>
      </c>
      <c r="BR501" s="137">
        <v>5</v>
      </c>
      <c r="BS501" s="138">
        <v>0</v>
      </c>
      <c r="BT501" s="351">
        <v>40</v>
      </c>
      <c r="BU501" s="214">
        <v>106</v>
      </c>
      <c r="BV501" s="214">
        <v>1</v>
      </c>
      <c r="BW501" s="214">
        <v>1</v>
      </c>
      <c r="BX501" s="214">
        <v>1</v>
      </c>
      <c r="BY501" s="214">
        <v>106</v>
      </c>
      <c r="BZ501" s="134">
        <v>1</v>
      </c>
      <c r="CA501" s="138">
        <v>0</v>
      </c>
      <c r="CB501" s="136">
        <v>1</v>
      </c>
      <c r="CC501" s="136">
        <v>1</v>
      </c>
      <c r="CD501" s="136">
        <v>1</v>
      </c>
      <c r="CE501" s="137">
        <v>85</v>
      </c>
      <c r="CF501" s="137">
        <v>85</v>
      </c>
      <c r="CG501" s="137">
        <v>85</v>
      </c>
      <c r="CH501" s="214">
        <v>17</v>
      </c>
      <c r="CI501" s="139">
        <v>0</v>
      </c>
      <c r="CJ501" s="139">
        <v>0</v>
      </c>
      <c r="CK501" s="139" t="s">
        <v>1921</v>
      </c>
      <c r="CL501" s="139" t="s">
        <v>50</v>
      </c>
      <c r="CM501" s="139" t="s">
        <v>50</v>
      </c>
      <c r="CN501" s="139" t="s">
        <v>51</v>
      </c>
      <c r="CO501" s="139">
        <v>0</v>
      </c>
      <c r="CP501" s="139">
        <v>0</v>
      </c>
      <c r="CQ501" s="139">
        <v>0</v>
      </c>
      <c r="CR501" s="449" t="s">
        <v>40</v>
      </c>
      <c r="CS501" s="449"/>
      <c r="CT501" s="24"/>
      <c r="CU501" s="24"/>
      <c r="CV501" s="24"/>
    </row>
    <row r="502" spans="1:100" x14ac:dyDescent="0.25">
      <c r="A502" s="293" t="s">
        <v>2691</v>
      </c>
      <c r="B502" s="132" t="s">
        <v>338</v>
      </c>
      <c r="C502" s="132" t="s">
        <v>44</v>
      </c>
      <c r="D502" s="132" t="s">
        <v>351</v>
      </c>
      <c r="E502" s="132" t="s">
        <v>355</v>
      </c>
      <c r="F502" s="132">
        <v>19</v>
      </c>
      <c r="G502" s="214">
        <v>94</v>
      </c>
      <c r="H502" s="132"/>
      <c r="I502" s="132" t="s">
        <v>354</v>
      </c>
      <c r="J502" s="133" t="s">
        <v>2476</v>
      </c>
      <c r="K502" s="132">
        <v>0</v>
      </c>
      <c r="L502" s="132" t="s">
        <v>282</v>
      </c>
      <c r="M502" s="134">
        <v>0</v>
      </c>
      <c r="N502" s="134">
        <v>0</v>
      </c>
      <c r="O502" s="320">
        <v>5</v>
      </c>
      <c r="P502" s="326">
        <v>0</v>
      </c>
      <c r="Q502" s="326">
        <v>1350</v>
      </c>
      <c r="R502" s="315">
        <v>0</v>
      </c>
      <c r="S502" s="315">
        <v>0</v>
      </c>
      <c r="T502" s="315"/>
      <c r="U502" s="315"/>
      <c r="V502" s="315"/>
      <c r="W502" s="315"/>
      <c r="X502" s="315"/>
      <c r="Y502" s="315"/>
      <c r="Z502" s="315"/>
      <c r="AA502" s="336">
        <v>5</v>
      </c>
      <c r="AB502" s="336">
        <v>0</v>
      </c>
      <c r="AC502" s="337"/>
      <c r="AD502" s="337"/>
      <c r="AE502" s="336">
        <v>0</v>
      </c>
      <c r="AF502" s="336" t="s">
        <v>283</v>
      </c>
      <c r="AG502" s="339" t="s">
        <v>283</v>
      </c>
      <c r="AH502" s="339"/>
      <c r="AI502" s="336"/>
      <c r="AJ502" s="336"/>
      <c r="AK502" s="848">
        <v>1</v>
      </c>
      <c r="AL502" s="836" t="s">
        <v>291</v>
      </c>
      <c r="AM502" s="836">
        <v>0</v>
      </c>
      <c r="AN502" s="837">
        <v>1</v>
      </c>
      <c r="AO502" s="837">
        <v>1</v>
      </c>
      <c r="AP502" s="843">
        <v>19</v>
      </c>
      <c r="AQ502" s="839">
        <v>19</v>
      </c>
      <c r="AR502" s="839"/>
      <c r="AS502" s="839"/>
      <c r="AT502" s="839"/>
      <c r="AU502" s="839"/>
      <c r="AV502" s="849"/>
      <c r="AW502" s="134" t="s">
        <v>3208</v>
      </c>
      <c r="AX502" s="136" t="s">
        <v>3208</v>
      </c>
      <c r="AY502" s="137" t="s">
        <v>2576</v>
      </c>
      <c r="AZ502" s="136">
        <v>1</v>
      </c>
      <c r="BA502" s="136">
        <v>1</v>
      </c>
      <c r="BB502" s="136">
        <v>1</v>
      </c>
      <c r="BC502" s="214">
        <v>94</v>
      </c>
      <c r="BD502" s="136">
        <v>0</v>
      </c>
      <c r="BE502" s="214">
        <v>0</v>
      </c>
      <c r="BF502" s="136">
        <v>1</v>
      </c>
      <c r="BG502" s="214">
        <v>94</v>
      </c>
      <c r="BH502" s="214">
        <v>0.188</v>
      </c>
      <c r="BI502" s="134">
        <v>0</v>
      </c>
      <c r="BJ502" s="214">
        <v>0</v>
      </c>
      <c r="BK502" s="137">
        <v>0.81200000000000006</v>
      </c>
      <c r="BL502" s="137">
        <v>1</v>
      </c>
      <c r="BM502" s="137">
        <v>5</v>
      </c>
      <c r="BN502" s="134">
        <v>1</v>
      </c>
      <c r="BO502" s="351">
        <v>94</v>
      </c>
      <c r="BP502" s="134">
        <v>0</v>
      </c>
      <c r="BQ502" s="214">
        <v>0</v>
      </c>
      <c r="BR502" s="137">
        <v>5</v>
      </c>
      <c r="BS502" s="138">
        <v>0</v>
      </c>
      <c r="BT502" s="351">
        <v>0</v>
      </c>
      <c r="BU502" s="214">
        <v>94</v>
      </c>
      <c r="BV502" s="214">
        <v>1</v>
      </c>
      <c r="BW502" s="214">
        <v>1</v>
      </c>
      <c r="BX502" s="214">
        <v>1</v>
      </c>
      <c r="BY502" s="214">
        <v>94</v>
      </c>
      <c r="BZ502" s="134">
        <v>1</v>
      </c>
      <c r="CA502" s="138">
        <v>0</v>
      </c>
      <c r="CB502" s="136">
        <v>1</v>
      </c>
      <c r="CC502" s="136">
        <v>1</v>
      </c>
      <c r="CD502" s="136">
        <v>1</v>
      </c>
      <c r="CE502" s="137">
        <v>95</v>
      </c>
      <c r="CF502" s="137">
        <v>95</v>
      </c>
      <c r="CG502" s="137">
        <v>95</v>
      </c>
      <c r="CH502" s="214">
        <v>19</v>
      </c>
      <c r="CI502" s="139">
        <v>0</v>
      </c>
      <c r="CJ502" s="139">
        <v>0</v>
      </c>
      <c r="CK502" s="139" t="s">
        <v>1921</v>
      </c>
      <c r="CL502" s="139" t="s">
        <v>50</v>
      </c>
      <c r="CM502" s="139" t="s">
        <v>50</v>
      </c>
      <c r="CN502" s="139" t="s">
        <v>51</v>
      </c>
      <c r="CO502" s="139">
        <v>0</v>
      </c>
      <c r="CP502" s="139">
        <v>0</v>
      </c>
      <c r="CQ502" s="139">
        <v>0</v>
      </c>
      <c r="CR502" s="449" t="s">
        <v>40</v>
      </c>
      <c r="CS502" s="449"/>
      <c r="CT502" s="24"/>
      <c r="CU502" s="24"/>
      <c r="CV502" s="24"/>
    </row>
    <row r="503" spans="1:100" x14ac:dyDescent="0.25">
      <c r="A503" s="293" t="s">
        <v>2691</v>
      </c>
      <c r="B503" s="206" t="s">
        <v>460</v>
      </c>
      <c r="C503" s="206" t="s">
        <v>44</v>
      </c>
      <c r="D503" s="206" t="s">
        <v>351</v>
      </c>
      <c r="E503" s="206" t="s">
        <v>1183</v>
      </c>
      <c r="F503" s="206">
        <v>3</v>
      </c>
      <c r="G503" s="209">
        <v>18</v>
      </c>
      <c r="H503" s="206"/>
      <c r="I503" s="206"/>
      <c r="J503" s="207"/>
      <c r="K503" s="206"/>
      <c r="L503" s="206" t="s">
        <v>282</v>
      </c>
      <c r="M503" s="208">
        <v>0</v>
      </c>
      <c r="N503" s="208">
        <v>0</v>
      </c>
      <c r="O503" s="316"/>
      <c r="P503" s="317"/>
      <c r="Q503" s="317"/>
      <c r="R503" s="318"/>
      <c r="S503" s="318"/>
      <c r="T503" s="318"/>
      <c r="U503" s="318"/>
      <c r="V503" s="318"/>
      <c r="W503" s="318"/>
      <c r="X503" s="318"/>
      <c r="Y503" s="318"/>
      <c r="Z503" s="318"/>
      <c r="AA503" s="310">
        <v>0</v>
      </c>
      <c r="AB503" s="310"/>
      <c r="AC503" s="66"/>
      <c r="AD503" s="337"/>
      <c r="AE503" s="310"/>
      <c r="AF503" s="310" t="s">
        <v>286</v>
      </c>
      <c r="AG503" s="311" t="s">
        <v>286</v>
      </c>
      <c r="AH503" s="311"/>
      <c r="AI503" s="310"/>
      <c r="AJ503" s="310"/>
      <c r="AK503" s="841"/>
      <c r="AL503" s="842"/>
      <c r="AM503" s="842"/>
      <c r="AN503" s="837"/>
      <c r="AO503" s="837"/>
      <c r="AP503" s="843"/>
      <c r="AQ503" s="843"/>
      <c r="AR503" s="843"/>
      <c r="AS503" s="843"/>
      <c r="AT503" s="843"/>
      <c r="AU503" s="843"/>
      <c r="AV503" s="844"/>
      <c r="AW503" s="208" t="s">
        <v>3208</v>
      </c>
      <c r="AX503" s="211" t="s">
        <v>3208</v>
      </c>
      <c r="AY503" s="210" t="s">
        <v>2576</v>
      </c>
      <c r="AZ503" s="136">
        <v>0</v>
      </c>
      <c r="BA503" s="211">
        <v>0</v>
      </c>
      <c r="BB503" s="211">
        <v>0</v>
      </c>
      <c r="BC503" s="209">
        <v>0</v>
      </c>
      <c r="BD503" s="211">
        <v>0</v>
      </c>
      <c r="BE503" s="209">
        <v>0</v>
      </c>
      <c r="BF503" s="211">
        <v>0</v>
      </c>
      <c r="BG503" s="209">
        <v>0</v>
      </c>
      <c r="BH503" s="209">
        <v>0</v>
      </c>
      <c r="BI503" s="208">
        <v>1</v>
      </c>
      <c r="BJ503" s="209">
        <v>18</v>
      </c>
      <c r="BK503" s="210">
        <v>1</v>
      </c>
      <c r="BL503" s="210">
        <v>1</v>
      </c>
      <c r="BM503" s="210">
        <v>0</v>
      </c>
      <c r="BN503" s="208">
        <v>0</v>
      </c>
      <c r="BO503" s="352">
        <v>0</v>
      </c>
      <c r="BP503" s="208">
        <v>1</v>
      </c>
      <c r="BQ503" s="209">
        <v>1</v>
      </c>
      <c r="BR503" s="210">
        <v>1</v>
      </c>
      <c r="BS503" s="212">
        <v>0</v>
      </c>
      <c r="BT503" s="352">
        <v>0</v>
      </c>
      <c r="BU503" s="209">
        <v>0</v>
      </c>
      <c r="BV503" s="209">
        <v>0</v>
      </c>
      <c r="BW503" s="209">
        <v>0</v>
      </c>
      <c r="BX503" s="209">
        <v>0</v>
      </c>
      <c r="BY503" s="209">
        <v>0</v>
      </c>
      <c r="BZ503" s="208">
        <v>0</v>
      </c>
      <c r="CA503" s="212">
        <v>1</v>
      </c>
      <c r="CB503" s="211">
        <v>0</v>
      </c>
      <c r="CC503" s="211">
        <v>0</v>
      </c>
      <c r="CD503" s="211">
        <v>0</v>
      </c>
      <c r="CE503" s="210">
        <v>0</v>
      </c>
      <c r="CF503" s="210">
        <v>0</v>
      </c>
      <c r="CG503" s="210">
        <v>0</v>
      </c>
      <c r="CH503" s="209">
        <v>0</v>
      </c>
      <c r="CI503" s="139">
        <v>0</v>
      </c>
      <c r="CJ503" s="139" t="s">
        <v>2959</v>
      </c>
      <c r="CK503" s="139" t="s">
        <v>50</v>
      </c>
      <c r="CL503" s="139" t="s">
        <v>50</v>
      </c>
      <c r="CM503" s="139" t="s">
        <v>942</v>
      </c>
      <c r="CN503" s="139" t="s">
        <v>51</v>
      </c>
      <c r="CO503" s="139">
        <v>24.377054000000001</v>
      </c>
      <c r="CP503" s="139">
        <v>97.343406999999999</v>
      </c>
      <c r="CQ503" s="139" t="s">
        <v>1962</v>
      </c>
      <c r="CR503" s="660" t="s">
        <v>3209</v>
      </c>
      <c r="CS503" s="660"/>
      <c r="CT503" s="24"/>
      <c r="CU503" s="24"/>
      <c r="CV503" s="24"/>
    </row>
    <row r="504" spans="1:100" x14ac:dyDescent="0.25">
      <c r="A504" s="293" t="s">
        <v>2691</v>
      </c>
      <c r="B504" s="132" t="s">
        <v>1428</v>
      </c>
      <c r="C504" s="132" t="s">
        <v>44</v>
      </c>
      <c r="D504" s="132" t="s">
        <v>351</v>
      </c>
      <c r="E504" s="132" t="s">
        <v>439</v>
      </c>
      <c r="F504" s="214">
        <v>440</v>
      </c>
      <c r="G504" s="214">
        <v>2199</v>
      </c>
      <c r="H504" s="206"/>
      <c r="I504" s="206" t="s">
        <v>391</v>
      </c>
      <c r="J504" s="133" t="s">
        <v>2813</v>
      </c>
      <c r="K504" s="132">
        <v>0</v>
      </c>
      <c r="L504" s="132" t="s">
        <v>282</v>
      </c>
      <c r="M504" s="134">
        <v>0</v>
      </c>
      <c r="N504" s="134">
        <v>0</v>
      </c>
      <c r="O504" s="320">
        <v>0</v>
      </c>
      <c r="P504" s="326">
        <v>1</v>
      </c>
      <c r="Q504" s="326">
        <v>0</v>
      </c>
      <c r="R504" s="315">
        <v>0</v>
      </c>
      <c r="S504" s="315">
        <v>0</v>
      </c>
      <c r="T504" s="315">
        <v>0</v>
      </c>
      <c r="U504" s="315">
        <v>0</v>
      </c>
      <c r="V504" s="315">
        <v>0</v>
      </c>
      <c r="W504" s="315"/>
      <c r="X504" s="315"/>
      <c r="Y504" s="315">
        <v>0</v>
      </c>
      <c r="Z504" s="315"/>
      <c r="AA504" s="336">
        <v>16</v>
      </c>
      <c r="AB504" s="336">
        <v>0</v>
      </c>
      <c r="AC504" s="337">
        <v>0</v>
      </c>
      <c r="AD504" s="337"/>
      <c r="AE504" s="336">
        <v>0</v>
      </c>
      <c r="AF504" s="336" t="s">
        <v>283</v>
      </c>
      <c r="AG504" s="339" t="s">
        <v>332</v>
      </c>
      <c r="AH504" s="339">
        <v>0</v>
      </c>
      <c r="AI504" s="336">
        <v>0</v>
      </c>
      <c r="AJ504" s="336"/>
      <c r="AK504" s="848">
        <v>0</v>
      </c>
      <c r="AL504" s="836" t="s">
        <v>291</v>
      </c>
      <c r="AM504" s="836">
        <v>0</v>
      </c>
      <c r="AN504" s="837" t="s">
        <v>2455</v>
      </c>
      <c r="AO504" s="837"/>
      <c r="AP504" s="843">
        <v>0</v>
      </c>
      <c r="AQ504" s="839">
        <v>0</v>
      </c>
      <c r="AR504" s="839"/>
      <c r="AS504" s="839"/>
      <c r="AT504" s="839">
        <v>0</v>
      </c>
      <c r="AU504" s="839">
        <v>0</v>
      </c>
      <c r="AV504" s="849" t="s">
        <v>2461</v>
      </c>
      <c r="AW504" s="134" t="s">
        <v>3208</v>
      </c>
      <c r="AX504" s="136" t="s">
        <v>3208</v>
      </c>
      <c r="AY504" s="137" t="s">
        <v>2576</v>
      </c>
      <c r="AZ504" s="136">
        <v>1</v>
      </c>
      <c r="BA504" s="136">
        <v>0.11368804001819009</v>
      </c>
      <c r="BB504" s="136">
        <v>1</v>
      </c>
      <c r="BC504" s="214">
        <v>2199</v>
      </c>
      <c r="BD504" s="136">
        <v>0</v>
      </c>
      <c r="BE504" s="214">
        <v>0</v>
      </c>
      <c r="BF504" s="136">
        <v>1</v>
      </c>
      <c r="BG504" s="214">
        <v>2199</v>
      </c>
      <c r="BH504" s="214">
        <v>4.3979999999999997</v>
      </c>
      <c r="BI504" s="134">
        <v>0</v>
      </c>
      <c r="BJ504" s="214">
        <v>0</v>
      </c>
      <c r="BK504" s="137">
        <v>0</v>
      </c>
      <c r="BL504" s="137">
        <v>4</v>
      </c>
      <c r="BM504" s="137">
        <v>16</v>
      </c>
      <c r="BN504" s="134">
        <v>0.14552069122328332</v>
      </c>
      <c r="BO504" s="351">
        <v>320</v>
      </c>
      <c r="BP504" s="134">
        <v>0.85493406093678947</v>
      </c>
      <c r="BQ504" s="214">
        <v>94</v>
      </c>
      <c r="BR504" s="137">
        <v>110</v>
      </c>
      <c r="BS504" s="138">
        <v>0</v>
      </c>
      <c r="BT504" s="351">
        <v>0</v>
      </c>
      <c r="BU504" s="214">
        <v>0</v>
      </c>
      <c r="BV504" s="214">
        <v>0</v>
      </c>
      <c r="BW504" s="214">
        <v>0</v>
      </c>
      <c r="BX504" s="214">
        <v>0</v>
      </c>
      <c r="BY504" s="214">
        <v>0</v>
      </c>
      <c r="BZ504" s="134">
        <v>0</v>
      </c>
      <c r="CA504" s="138">
        <v>1</v>
      </c>
      <c r="CB504" s="136">
        <v>0</v>
      </c>
      <c r="CC504" s="136">
        <v>0</v>
      </c>
      <c r="CD504" s="136">
        <v>0</v>
      </c>
      <c r="CE504" s="137">
        <v>0</v>
      </c>
      <c r="CF504" s="137">
        <v>0</v>
      </c>
      <c r="CG504" s="137">
        <v>0</v>
      </c>
      <c r="CH504" s="214">
        <v>0</v>
      </c>
      <c r="CI504" s="139">
        <v>0</v>
      </c>
      <c r="CJ504" s="139">
        <v>0</v>
      </c>
      <c r="CK504" s="139" t="s">
        <v>1921</v>
      </c>
      <c r="CL504" s="139" t="s">
        <v>50</v>
      </c>
      <c r="CM504" s="139" t="s">
        <v>1271</v>
      </c>
      <c r="CN504" s="139" t="s">
        <v>949</v>
      </c>
      <c r="CO504" s="139">
        <v>0</v>
      </c>
      <c r="CP504" s="139">
        <v>0</v>
      </c>
      <c r="CQ504" s="139">
        <v>0</v>
      </c>
      <c r="CR504" s="449" t="s">
        <v>40</v>
      </c>
      <c r="CS504" s="449"/>
      <c r="CT504" s="24"/>
      <c r="CU504" s="24"/>
      <c r="CV504" s="24"/>
    </row>
    <row r="505" spans="1:100" x14ac:dyDescent="0.25">
      <c r="A505" s="293" t="s">
        <v>2691</v>
      </c>
      <c r="B505" s="101" t="s">
        <v>426</v>
      </c>
      <c r="C505" s="101" t="s">
        <v>44</v>
      </c>
      <c r="D505" s="101" t="s">
        <v>351</v>
      </c>
      <c r="E505" s="101" t="s">
        <v>431</v>
      </c>
      <c r="F505" s="101">
        <v>40</v>
      </c>
      <c r="G505" s="396">
        <v>240</v>
      </c>
      <c r="H505" s="101"/>
      <c r="I505" s="101" t="s">
        <v>428</v>
      </c>
      <c r="J505" s="102" t="s">
        <v>2809</v>
      </c>
      <c r="K505" s="101">
        <v>0</v>
      </c>
      <c r="L505" s="101" t="s">
        <v>48</v>
      </c>
      <c r="M505" s="103">
        <v>0.66666666666666663</v>
      </c>
      <c r="N505" s="103">
        <v>1</v>
      </c>
      <c r="O505" s="319">
        <v>0</v>
      </c>
      <c r="P505" s="320">
        <v>1</v>
      </c>
      <c r="Q505" s="321">
        <v>271500</v>
      </c>
      <c r="R505" s="322">
        <v>0</v>
      </c>
      <c r="S505" s="322">
        <v>0</v>
      </c>
      <c r="T505" s="322"/>
      <c r="U505" s="322">
        <v>0</v>
      </c>
      <c r="V505" s="322">
        <v>0</v>
      </c>
      <c r="W505" s="317">
        <v>8</v>
      </c>
      <c r="X505" s="317">
        <v>7</v>
      </c>
      <c r="Y505" s="315">
        <v>0</v>
      </c>
      <c r="Z505" s="318"/>
      <c r="AA505" s="310">
        <v>9</v>
      </c>
      <c r="AB505" s="311">
        <v>0</v>
      </c>
      <c r="AC505" s="337">
        <v>8</v>
      </c>
      <c r="AD505" s="337" t="s">
        <v>2785</v>
      </c>
      <c r="AE505" s="340">
        <v>0</v>
      </c>
      <c r="AF505" s="66" t="s">
        <v>283</v>
      </c>
      <c r="AG505" s="66" t="s">
        <v>283</v>
      </c>
      <c r="AH505" s="66">
        <v>0</v>
      </c>
      <c r="AI505" s="66">
        <v>0</v>
      </c>
      <c r="AJ505" s="341" t="s">
        <v>2460</v>
      </c>
      <c r="AK505" s="845">
        <v>1</v>
      </c>
      <c r="AL505" s="846" t="s">
        <v>291</v>
      </c>
      <c r="AM505" s="844">
        <v>0</v>
      </c>
      <c r="AN505" s="837">
        <v>1</v>
      </c>
      <c r="AO505" s="837">
        <v>1</v>
      </c>
      <c r="AP505" s="843">
        <v>170</v>
      </c>
      <c r="AQ505" s="843">
        <v>0</v>
      </c>
      <c r="AR505" s="843"/>
      <c r="AS505" s="843"/>
      <c r="AT505" s="839">
        <v>1</v>
      </c>
      <c r="AU505" s="839">
        <v>0</v>
      </c>
      <c r="AV505" s="847" t="s">
        <v>2461</v>
      </c>
      <c r="AW505" s="134" t="s">
        <v>3208</v>
      </c>
      <c r="AX505" s="136">
        <v>0.875</v>
      </c>
      <c r="AY505" s="137" t="s">
        <v>2577</v>
      </c>
      <c r="AZ505" s="136">
        <v>1</v>
      </c>
      <c r="BA505" s="136">
        <v>1</v>
      </c>
      <c r="BB505" s="136">
        <v>1</v>
      </c>
      <c r="BC505" s="214">
        <v>240</v>
      </c>
      <c r="BD505" s="136">
        <v>0</v>
      </c>
      <c r="BE505" s="214">
        <v>0</v>
      </c>
      <c r="BF505" s="136">
        <v>1</v>
      </c>
      <c r="BG505" s="214">
        <v>240</v>
      </c>
      <c r="BH505" s="214">
        <v>0</v>
      </c>
      <c r="BI505" s="134">
        <v>0</v>
      </c>
      <c r="BJ505" s="214">
        <v>0</v>
      </c>
      <c r="BK505" s="137">
        <v>1</v>
      </c>
      <c r="BL505" s="137">
        <v>1</v>
      </c>
      <c r="BM505" s="137">
        <v>9</v>
      </c>
      <c r="BN505" s="134">
        <v>0.75</v>
      </c>
      <c r="BO505" s="351">
        <v>180</v>
      </c>
      <c r="BP505" s="134">
        <v>0.25</v>
      </c>
      <c r="BQ505" s="214">
        <v>3</v>
      </c>
      <c r="BR505" s="137">
        <v>12</v>
      </c>
      <c r="BS505" s="138">
        <v>0</v>
      </c>
      <c r="BT505" s="351">
        <v>160</v>
      </c>
      <c r="BU505" s="209">
        <v>240</v>
      </c>
      <c r="BV505" s="209">
        <v>0</v>
      </c>
      <c r="BW505" s="209">
        <v>1</v>
      </c>
      <c r="BX505" s="209">
        <v>1</v>
      </c>
      <c r="BY505" s="209">
        <v>240</v>
      </c>
      <c r="BZ505" s="134">
        <v>1</v>
      </c>
      <c r="CA505" s="138">
        <v>0</v>
      </c>
      <c r="CB505" s="136">
        <v>1</v>
      </c>
      <c r="CC505" s="136">
        <v>1</v>
      </c>
      <c r="CD505" s="136">
        <v>0</v>
      </c>
      <c r="CE505" s="137">
        <v>850</v>
      </c>
      <c r="CF505" s="137">
        <v>0</v>
      </c>
      <c r="CG505" s="351">
        <v>850</v>
      </c>
      <c r="CH505" s="214">
        <v>40</v>
      </c>
      <c r="CI505" s="139" t="s">
        <v>48</v>
      </c>
      <c r="CJ505" s="139" t="s">
        <v>287</v>
      </c>
      <c r="CK505" s="139" t="s">
        <v>50</v>
      </c>
      <c r="CL505" s="139" t="s">
        <v>50</v>
      </c>
      <c r="CM505" s="139" t="s">
        <v>50</v>
      </c>
      <c r="CN505" s="139" t="s">
        <v>51</v>
      </c>
      <c r="CO505" s="139">
        <v>24.200972</v>
      </c>
      <c r="CP505" s="139">
        <v>97.718582999999995</v>
      </c>
      <c r="CQ505" s="139" t="s">
        <v>1937</v>
      </c>
      <c r="CR505" s="449" t="s">
        <v>40</v>
      </c>
      <c r="CS505" s="139" t="s">
        <v>2490</v>
      </c>
      <c r="CT505" s="24"/>
      <c r="CU505" s="24"/>
      <c r="CV505" s="24"/>
    </row>
    <row r="506" spans="1:100" x14ac:dyDescent="0.25">
      <c r="A506" s="293" t="s">
        <v>2691</v>
      </c>
      <c r="B506" s="101" t="s">
        <v>426</v>
      </c>
      <c r="C506" s="101" t="s">
        <v>44</v>
      </c>
      <c r="D506" s="101" t="s">
        <v>351</v>
      </c>
      <c r="E506" s="101" t="s">
        <v>432</v>
      </c>
      <c r="F506" s="101">
        <v>67</v>
      </c>
      <c r="G506" s="396">
        <v>379</v>
      </c>
      <c r="H506" s="101"/>
      <c r="I506" s="101" t="s">
        <v>428</v>
      </c>
      <c r="J506" s="102" t="s">
        <v>2809</v>
      </c>
      <c r="K506" s="101">
        <v>0</v>
      </c>
      <c r="L506" s="101" t="s">
        <v>48</v>
      </c>
      <c r="M506" s="103">
        <v>0.375</v>
      </c>
      <c r="N506" s="103">
        <v>0</v>
      </c>
      <c r="O506" s="319">
        <v>0</v>
      </c>
      <c r="P506" s="320">
        <v>1</v>
      </c>
      <c r="Q506" s="321">
        <v>274980</v>
      </c>
      <c r="R506" s="322">
        <v>0</v>
      </c>
      <c r="S506" s="322">
        <v>0</v>
      </c>
      <c r="T506" s="322"/>
      <c r="U506" s="322">
        <v>0</v>
      </c>
      <c r="V506" s="322">
        <v>0</v>
      </c>
      <c r="W506" s="317">
        <v>9</v>
      </c>
      <c r="X506" s="317">
        <v>8</v>
      </c>
      <c r="Y506" s="315">
        <v>0</v>
      </c>
      <c r="Z506" s="318"/>
      <c r="AA506" s="310">
        <v>13</v>
      </c>
      <c r="AB506" s="311">
        <v>0</v>
      </c>
      <c r="AC506" s="337">
        <v>12</v>
      </c>
      <c r="AD506" s="337" t="s">
        <v>2785</v>
      </c>
      <c r="AE506" s="340">
        <v>0</v>
      </c>
      <c r="AF506" s="66" t="s">
        <v>283</v>
      </c>
      <c r="AG506" s="66" t="s">
        <v>283</v>
      </c>
      <c r="AH506" s="66">
        <v>0</v>
      </c>
      <c r="AI506" s="66">
        <v>0</v>
      </c>
      <c r="AJ506" s="341" t="s">
        <v>2460</v>
      </c>
      <c r="AK506" s="845">
        <v>1</v>
      </c>
      <c r="AL506" s="846" t="s">
        <v>291</v>
      </c>
      <c r="AM506" s="844">
        <v>0</v>
      </c>
      <c r="AN506" s="837">
        <v>2</v>
      </c>
      <c r="AO506" s="837">
        <v>1</v>
      </c>
      <c r="AP506" s="843">
        <v>108</v>
      </c>
      <c r="AQ506" s="843">
        <v>0</v>
      </c>
      <c r="AR506" s="843"/>
      <c r="AS506" s="843"/>
      <c r="AT506" s="839">
        <v>1</v>
      </c>
      <c r="AU506" s="839">
        <v>0</v>
      </c>
      <c r="AV506" s="847" t="s">
        <v>2461</v>
      </c>
      <c r="AW506" s="134" t="s">
        <v>3208</v>
      </c>
      <c r="AX506" s="136">
        <v>0.88888888888888884</v>
      </c>
      <c r="AY506" s="137" t="s">
        <v>2577</v>
      </c>
      <c r="AZ506" s="136">
        <v>1</v>
      </c>
      <c r="BA506" s="136">
        <v>1</v>
      </c>
      <c r="BB506" s="136">
        <v>1</v>
      </c>
      <c r="BC506" s="214">
        <v>379</v>
      </c>
      <c r="BD506" s="136">
        <v>0</v>
      </c>
      <c r="BE506" s="214">
        <v>0</v>
      </c>
      <c r="BF506" s="136">
        <v>1</v>
      </c>
      <c r="BG506" s="214">
        <v>379</v>
      </c>
      <c r="BH506" s="214">
        <v>1</v>
      </c>
      <c r="BI506" s="134">
        <v>0</v>
      </c>
      <c r="BJ506" s="214">
        <v>0</v>
      </c>
      <c r="BK506" s="137">
        <v>0</v>
      </c>
      <c r="BL506" s="137">
        <v>1</v>
      </c>
      <c r="BM506" s="137">
        <v>13</v>
      </c>
      <c r="BN506" s="134">
        <v>0.68601583113456466</v>
      </c>
      <c r="BO506" s="351">
        <v>260</v>
      </c>
      <c r="BP506" s="134">
        <v>0.31662269129287601</v>
      </c>
      <c r="BQ506" s="214">
        <v>6</v>
      </c>
      <c r="BR506" s="137">
        <v>19</v>
      </c>
      <c r="BS506" s="138">
        <v>0</v>
      </c>
      <c r="BT506" s="351">
        <v>240</v>
      </c>
      <c r="BU506" s="209">
        <v>379</v>
      </c>
      <c r="BV506" s="209">
        <v>0</v>
      </c>
      <c r="BW506" s="209">
        <v>1</v>
      </c>
      <c r="BX506" s="209">
        <v>1</v>
      </c>
      <c r="BY506" s="209">
        <v>379</v>
      </c>
      <c r="BZ506" s="134">
        <v>1</v>
      </c>
      <c r="CA506" s="138">
        <v>0</v>
      </c>
      <c r="CB506" s="136">
        <v>1</v>
      </c>
      <c r="CC506" s="136">
        <v>1</v>
      </c>
      <c r="CD506" s="136">
        <v>0</v>
      </c>
      <c r="CE506" s="137">
        <v>540</v>
      </c>
      <c r="CF506" s="137">
        <v>0</v>
      </c>
      <c r="CG506" s="351">
        <v>540</v>
      </c>
      <c r="CH506" s="214">
        <v>67</v>
      </c>
      <c r="CI506" s="139" t="s">
        <v>48</v>
      </c>
      <c r="CJ506" s="139" t="s">
        <v>49</v>
      </c>
      <c r="CK506" s="139" t="s">
        <v>50</v>
      </c>
      <c r="CL506" s="139" t="s">
        <v>50</v>
      </c>
      <c r="CM506" s="139" t="s">
        <v>50</v>
      </c>
      <c r="CN506" s="139" t="s">
        <v>51</v>
      </c>
      <c r="CO506" s="139">
        <v>24.205417000000001</v>
      </c>
      <c r="CP506" s="139">
        <v>97.724566999999993</v>
      </c>
      <c r="CQ506" s="139" t="s">
        <v>1938</v>
      </c>
      <c r="CR506" s="449" t="s">
        <v>40</v>
      </c>
      <c r="CS506" s="139" t="s">
        <v>2490</v>
      </c>
      <c r="CT506" s="24"/>
      <c r="CU506" s="24"/>
      <c r="CV506" s="24"/>
    </row>
    <row r="507" spans="1:100" x14ac:dyDescent="0.25">
      <c r="A507" s="293" t="s">
        <v>2691</v>
      </c>
      <c r="B507" s="132" t="s">
        <v>426</v>
      </c>
      <c r="C507" s="132" t="s">
        <v>44</v>
      </c>
      <c r="D507" s="132" t="s">
        <v>351</v>
      </c>
      <c r="E507" s="132" t="s">
        <v>433</v>
      </c>
      <c r="F507" s="132">
        <v>203</v>
      </c>
      <c r="G507" s="214">
        <v>1138</v>
      </c>
      <c r="H507" s="206"/>
      <c r="I507" s="206" t="s">
        <v>428</v>
      </c>
      <c r="J507" s="133" t="s">
        <v>2809</v>
      </c>
      <c r="K507" s="132">
        <v>0</v>
      </c>
      <c r="L507" s="132" t="s">
        <v>48</v>
      </c>
      <c r="M507" s="134">
        <v>0.6</v>
      </c>
      <c r="N507" s="134">
        <v>0</v>
      </c>
      <c r="O507" s="320">
        <v>2</v>
      </c>
      <c r="P507" s="326">
        <v>3</v>
      </c>
      <c r="Q507" s="326">
        <v>1978965</v>
      </c>
      <c r="R507" s="315">
        <v>0</v>
      </c>
      <c r="S507" s="315">
        <v>0</v>
      </c>
      <c r="T507" s="315"/>
      <c r="U507" s="315">
        <v>0</v>
      </c>
      <c r="V507" s="315">
        <v>0</v>
      </c>
      <c r="W507" s="315">
        <v>34</v>
      </c>
      <c r="X507" s="315">
        <v>34</v>
      </c>
      <c r="Y507" s="315">
        <v>0</v>
      </c>
      <c r="Z507" s="315" t="s">
        <v>2814</v>
      </c>
      <c r="AA507" s="336">
        <v>40</v>
      </c>
      <c r="AB507" s="336">
        <v>0</v>
      </c>
      <c r="AC507" s="337">
        <v>22</v>
      </c>
      <c r="AD507" s="337" t="s">
        <v>2785</v>
      </c>
      <c r="AE507" s="336">
        <v>0</v>
      </c>
      <c r="AF507" s="336" t="s">
        <v>283</v>
      </c>
      <c r="AG507" s="339" t="s">
        <v>283</v>
      </c>
      <c r="AH507" s="339">
        <v>0</v>
      </c>
      <c r="AI507" s="336">
        <v>0</v>
      </c>
      <c r="AJ507" s="336"/>
      <c r="AK507" s="848">
        <v>1</v>
      </c>
      <c r="AL507" s="836" t="s">
        <v>291</v>
      </c>
      <c r="AM507" s="836">
        <v>0</v>
      </c>
      <c r="AN507" s="837">
        <v>5</v>
      </c>
      <c r="AO507" s="837">
        <v>4</v>
      </c>
      <c r="AP507" s="843">
        <v>461</v>
      </c>
      <c r="AQ507" s="839">
        <v>0</v>
      </c>
      <c r="AR507" s="839"/>
      <c r="AS507" s="839"/>
      <c r="AT507" s="839">
        <v>4</v>
      </c>
      <c r="AU507" s="839">
        <v>0</v>
      </c>
      <c r="AV507" s="849" t="s">
        <v>2461</v>
      </c>
      <c r="AW507" s="134" t="s">
        <v>3208</v>
      </c>
      <c r="AX507" s="136">
        <v>1</v>
      </c>
      <c r="AY507" s="137" t="s">
        <v>2577</v>
      </c>
      <c r="AZ507" s="136">
        <v>1</v>
      </c>
      <c r="BA507" s="136">
        <v>1</v>
      </c>
      <c r="BB507" s="136">
        <v>1</v>
      </c>
      <c r="BC507" s="214">
        <v>1138</v>
      </c>
      <c r="BD507" s="136">
        <v>0</v>
      </c>
      <c r="BE507" s="214">
        <v>0</v>
      </c>
      <c r="BF507" s="136">
        <v>1</v>
      </c>
      <c r="BG507" s="214">
        <v>1138</v>
      </c>
      <c r="BH507" s="214">
        <v>2.2759999999999998</v>
      </c>
      <c r="BI507" s="134">
        <v>0</v>
      </c>
      <c r="BJ507" s="214">
        <v>0</v>
      </c>
      <c r="BK507" s="137">
        <v>0</v>
      </c>
      <c r="BL507" s="137">
        <v>2</v>
      </c>
      <c r="BM507" s="137">
        <v>40</v>
      </c>
      <c r="BN507" s="134">
        <v>0.70298769771529002</v>
      </c>
      <c r="BO507" s="351">
        <v>800</v>
      </c>
      <c r="BP507" s="134">
        <v>0.29876977152899825</v>
      </c>
      <c r="BQ507" s="214">
        <v>17</v>
      </c>
      <c r="BR507" s="137">
        <v>57</v>
      </c>
      <c r="BS507" s="138">
        <v>0</v>
      </c>
      <c r="BT507" s="351">
        <v>440</v>
      </c>
      <c r="BU507" s="214">
        <v>1138</v>
      </c>
      <c r="BV507" s="214">
        <v>0</v>
      </c>
      <c r="BW507" s="214">
        <v>1</v>
      </c>
      <c r="BX507" s="214">
        <v>1</v>
      </c>
      <c r="BY507" s="214">
        <v>1138</v>
      </c>
      <c r="BZ507" s="134">
        <v>1</v>
      </c>
      <c r="CA507" s="138">
        <v>0</v>
      </c>
      <c r="CB507" s="136">
        <v>1</v>
      </c>
      <c r="CC507" s="136">
        <v>1</v>
      </c>
      <c r="CD507" s="136">
        <v>0</v>
      </c>
      <c r="CE507" s="137">
        <v>2305</v>
      </c>
      <c r="CF507" s="137">
        <v>0</v>
      </c>
      <c r="CG507" s="137">
        <v>2305</v>
      </c>
      <c r="CH507" s="214">
        <v>203</v>
      </c>
      <c r="CI507" s="139" t="s">
        <v>48</v>
      </c>
      <c r="CJ507" s="139" t="s">
        <v>287</v>
      </c>
      <c r="CK507" s="139" t="s">
        <v>50</v>
      </c>
      <c r="CL507" s="139" t="s">
        <v>50</v>
      </c>
      <c r="CM507" s="139" t="s">
        <v>50</v>
      </c>
      <c r="CN507" s="139" t="s">
        <v>51</v>
      </c>
      <c r="CO507" s="139">
        <v>24.200433</v>
      </c>
      <c r="CP507" s="139">
        <v>97.717133000000004</v>
      </c>
      <c r="CQ507" s="139" t="s">
        <v>1936</v>
      </c>
      <c r="CR507" s="449" t="s">
        <v>40</v>
      </c>
      <c r="CS507" s="449"/>
      <c r="CT507" s="24"/>
      <c r="CU507" s="24"/>
      <c r="CV507" s="24"/>
    </row>
    <row r="508" spans="1:100" x14ac:dyDescent="0.25">
      <c r="A508" s="293" t="s">
        <v>2691</v>
      </c>
      <c r="B508" s="132" t="s">
        <v>426</v>
      </c>
      <c r="C508" s="132" t="s">
        <v>44</v>
      </c>
      <c r="D508" s="132" t="s">
        <v>351</v>
      </c>
      <c r="E508" s="132" t="s">
        <v>438</v>
      </c>
      <c r="F508" s="132">
        <v>470</v>
      </c>
      <c r="G508" s="214">
        <v>2350</v>
      </c>
      <c r="H508" s="132"/>
      <c r="I508" s="132" t="s">
        <v>391</v>
      </c>
      <c r="J508" s="133" t="s">
        <v>2813</v>
      </c>
      <c r="K508" s="132">
        <v>0</v>
      </c>
      <c r="L508" s="132" t="s">
        <v>282</v>
      </c>
      <c r="M508" s="134">
        <v>0</v>
      </c>
      <c r="N508" s="134">
        <v>0</v>
      </c>
      <c r="O508" s="320">
        <v>0</v>
      </c>
      <c r="P508" s="326">
        <v>1</v>
      </c>
      <c r="Q508" s="326">
        <v>0</v>
      </c>
      <c r="R508" s="315">
        <v>0</v>
      </c>
      <c r="S508" s="315">
        <v>0</v>
      </c>
      <c r="T508" s="315"/>
      <c r="U508" s="315">
        <v>0</v>
      </c>
      <c r="V508" s="315">
        <v>0</v>
      </c>
      <c r="W508" s="315">
        <v>0</v>
      </c>
      <c r="X508" s="315">
        <v>0</v>
      </c>
      <c r="Y508" s="315">
        <v>51</v>
      </c>
      <c r="Z508" s="315"/>
      <c r="AA508" s="336">
        <v>0</v>
      </c>
      <c r="AB508" s="336">
        <v>0</v>
      </c>
      <c r="AC508" s="337">
        <v>0</v>
      </c>
      <c r="AD508" s="337" t="s">
        <v>2785</v>
      </c>
      <c r="AE508" s="336">
        <v>0</v>
      </c>
      <c r="AF508" s="336" t="s">
        <v>283</v>
      </c>
      <c r="AG508" s="339" t="s">
        <v>332</v>
      </c>
      <c r="AH508" s="339">
        <v>0</v>
      </c>
      <c r="AI508" s="336">
        <v>0</v>
      </c>
      <c r="AJ508" s="336"/>
      <c r="AK508" s="848">
        <v>1</v>
      </c>
      <c r="AL508" s="836" t="s">
        <v>291</v>
      </c>
      <c r="AM508" s="836">
        <v>0</v>
      </c>
      <c r="AN508" s="837">
        <v>0</v>
      </c>
      <c r="AO508" s="837">
        <v>0</v>
      </c>
      <c r="AP508" s="843">
        <v>0</v>
      </c>
      <c r="AQ508" s="839">
        <v>0</v>
      </c>
      <c r="AR508" s="839"/>
      <c r="AS508" s="839"/>
      <c r="AT508" s="839">
        <v>0</v>
      </c>
      <c r="AU508" s="839">
        <v>0</v>
      </c>
      <c r="AV508" s="849" t="s">
        <v>2461</v>
      </c>
      <c r="AW508" s="134" t="s">
        <v>3208</v>
      </c>
      <c r="AX508" s="136" t="s">
        <v>3208</v>
      </c>
      <c r="AY508" s="137" t="s">
        <v>2576</v>
      </c>
      <c r="AZ508" s="136">
        <v>1</v>
      </c>
      <c r="BA508" s="136">
        <v>0.10638297872340426</v>
      </c>
      <c r="BB508" s="136">
        <v>1</v>
      </c>
      <c r="BC508" s="214">
        <v>2350</v>
      </c>
      <c r="BD508" s="136">
        <v>0</v>
      </c>
      <c r="BE508" s="214">
        <v>0</v>
      </c>
      <c r="BF508" s="136">
        <v>1</v>
      </c>
      <c r="BG508" s="214">
        <v>2350</v>
      </c>
      <c r="BH508" s="214">
        <v>4.7</v>
      </c>
      <c r="BI508" s="134">
        <v>0</v>
      </c>
      <c r="BJ508" s="214">
        <v>0</v>
      </c>
      <c r="BK508" s="137">
        <v>0.29999999999999982</v>
      </c>
      <c r="BL508" s="137">
        <v>5</v>
      </c>
      <c r="BM508" s="137">
        <v>0</v>
      </c>
      <c r="BN508" s="134">
        <v>0</v>
      </c>
      <c r="BO508" s="351">
        <v>0</v>
      </c>
      <c r="BP508" s="134">
        <v>1</v>
      </c>
      <c r="BQ508" s="214">
        <v>118</v>
      </c>
      <c r="BR508" s="137">
        <v>118</v>
      </c>
      <c r="BS508" s="138">
        <v>0</v>
      </c>
      <c r="BT508" s="351">
        <v>0</v>
      </c>
      <c r="BU508" s="214">
        <v>0</v>
      </c>
      <c r="BV508" s="214">
        <v>0</v>
      </c>
      <c r="BW508" s="214">
        <v>0</v>
      </c>
      <c r="BX508" s="214">
        <v>0</v>
      </c>
      <c r="BY508" s="214">
        <v>0</v>
      </c>
      <c r="BZ508" s="134">
        <v>0</v>
      </c>
      <c r="CA508" s="138">
        <v>1</v>
      </c>
      <c r="CB508" s="136">
        <v>0</v>
      </c>
      <c r="CC508" s="136">
        <v>0</v>
      </c>
      <c r="CD508" s="136">
        <v>0</v>
      </c>
      <c r="CE508" s="137">
        <v>0</v>
      </c>
      <c r="CF508" s="137">
        <v>0</v>
      </c>
      <c r="CG508" s="137">
        <v>0</v>
      </c>
      <c r="CH508" s="214">
        <v>470</v>
      </c>
      <c r="CI508" s="139">
        <v>0</v>
      </c>
      <c r="CJ508" s="139">
        <v>0</v>
      </c>
      <c r="CK508" s="139" t="s">
        <v>1921</v>
      </c>
      <c r="CL508" s="139" t="s">
        <v>50</v>
      </c>
      <c r="CM508" s="139" t="s">
        <v>1271</v>
      </c>
      <c r="CN508" s="139" t="s">
        <v>51</v>
      </c>
      <c r="CO508" s="139">
        <v>0</v>
      </c>
      <c r="CP508" s="139">
        <v>0</v>
      </c>
      <c r="CQ508" s="139">
        <v>0</v>
      </c>
      <c r="CR508" s="449" t="s">
        <v>40</v>
      </c>
      <c r="CS508" s="449"/>
      <c r="CT508" s="24"/>
      <c r="CU508" s="24"/>
      <c r="CV508" s="24"/>
    </row>
    <row r="509" spans="1:100" x14ac:dyDescent="0.25">
      <c r="A509" s="293" t="s">
        <v>2691</v>
      </c>
      <c r="B509" s="132" t="s">
        <v>338</v>
      </c>
      <c r="C509" s="132" t="s">
        <v>44</v>
      </c>
      <c r="D509" s="132" t="s">
        <v>351</v>
      </c>
      <c r="E509" s="132" t="s">
        <v>356</v>
      </c>
      <c r="F509" s="132">
        <v>217</v>
      </c>
      <c r="G509" s="214">
        <v>1172</v>
      </c>
      <c r="H509" s="132"/>
      <c r="I509" s="132" t="s">
        <v>2453</v>
      </c>
      <c r="J509" s="133" t="s">
        <v>2476</v>
      </c>
      <c r="K509" s="132">
        <v>0</v>
      </c>
      <c r="L509" s="132" t="s">
        <v>48</v>
      </c>
      <c r="M509" s="134">
        <v>0.6</v>
      </c>
      <c r="N509" s="134">
        <v>0</v>
      </c>
      <c r="O509" s="320">
        <v>1</v>
      </c>
      <c r="P509" s="326">
        <v>3</v>
      </c>
      <c r="Q509" s="326">
        <v>0</v>
      </c>
      <c r="R509" s="315">
        <v>0</v>
      </c>
      <c r="S509" s="315">
        <v>0</v>
      </c>
      <c r="T509" s="315"/>
      <c r="U509" s="315"/>
      <c r="V509" s="315"/>
      <c r="W509" s="315"/>
      <c r="X509" s="315"/>
      <c r="Y509" s="315"/>
      <c r="Z509" s="315"/>
      <c r="AA509" s="336">
        <v>47</v>
      </c>
      <c r="AB509" s="336">
        <v>0</v>
      </c>
      <c r="AC509" s="337">
        <v>3</v>
      </c>
      <c r="AD509" s="337"/>
      <c r="AE509" s="336">
        <v>0</v>
      </c>
      <c r="AF509" s="336" t="s">
        <v>283</v>
      </c>
      <c r="AG509" s="339" t="s">
        <v>283</v>
      </c>
      <c r="AH509" s="339"/>
      <c r="AI509" s="336"/>
      <c r="AJ509" s="336"/>
      <c r="AK509" s="848">
        <v>1</v>
      </c>
      <c r="AL509" s="836" t="s">
        <v>291</v>
      </c>
      <c r="AM509" s="836">
        <v>0</v>
      </c>
      <c r="AN509" s="837">
        <v>7</v>
      </c>
      <c r="AO509" s="837">
        <v>2</v>
      </c>
      <c r="AP509" s="843">
        <v>217</v>
      </c>
      <c r="AQ509" s="839">
        <v>217</v>
      </c>
      <c r="AR509" s="839"/>
      <c r="AS509" s="839"/>
      <c r="AT509" s="839"/>
      <c r="AU509" s="839"/>
      <c r="AV509" s="849"/>
      <c r="AW509" s="134" t="s">
        <v>3208</v>
      </c>
      <c r="AX509" s="136" t="s">
        <v>3208</v>
      </c>
      <c r="AY509" s="137" t="s">
        <v>2576</v>
      </c>
      <c r="AZ509" s="136">
        <v>1</v>
      </c>
      <c r="BA509" s="136">
        <v>0.85324232081911267</v>
      </c>
      <c r="BB509" s="136">
        <v>1</v>
      </c>
      <c r="BC509" s="214">
        <v>1172</v>
      </c>
      <c r="BD509" s="136">
        <v>0</v>
      </c>
      <c r="BE509" s="214">
        <v>0</v>
      </c>
      <c r="BF509" s="136">
        <v>1</v>
      </c>
      <c r="BG509" s="214">
        <v>1172</v>
      </c>
      <c r="BH509" s="214">
        <v>2.3439999999999999</v>
      </c>
      <c r="BI509" s="134">
        <v>0</v>
      </c>
      <c r="BJ509" s="214">
        <v>0</v>
      </c>
      <c r="BK509" s="137">
        <v>0</v>
      </c>
      <c r="BL509" s="137">
        <v>2</v>
      </c>
      <c r="BM509" s="137">
        <v>47</v>
      </c>
      <c r="BN509" s="134">
        <v>0.80204778156996592</v>
      </c>
      <c r="BO509" s="351">
        <v>940.00000000000011</v>
      </c>
      <c r="BP509" s="134">
        <v>0.20477815699658702</v>
      </c>
      <c r="BQ509" s="214">
        <v>12</v>
      </c>
      <c r="BR509" s="137">
        <v>59</v>
      </c>
      <c r="BS509" s="138">
        <v>0</v>
      </c>
      <c r="BT509" s="351">
        <v>60</v>
      </c>
      <c r="BU509" s="214">
        <v>1000</v>
      </c>
      <c r="BV509" s="214">
        <v>1</v>
      </c>
      <c r="BW509" s="214">
        <v>1</v>
      </c>
      <c r="BX509" s="214">
        <v>1</v>
      </c>
      <c r="BY509" s="214">
        <v>1172</v>
      </c>
      <c r="BZ509" s="134">
        <v>1</v>
      </c>
      <c r="CA509" s="138">
        <v>0</v>
      </c>
      <c r="CB509" s="136">
        <v>0.85324232081911267</v>
      </c>
      <c r="CC509" s="136">
        <v>1</v>
      </c>
      <c r="CD509" s="136">
        <v>1</v>
      </c>
      <c r="CE509" s="137">
        <v>1085</v>
      </c>
      <c r="CF509" s="137">
        <v>1085</v>
      </c>
      <c r="CG509" s="137">
        <v>1085</v>
      </c>
      <c r="CH509" s="214">
        <v>217</v>
      </c>
      <c r="CI509" s="139" t="s">
        <v>48</v>
      </c>
      <c r="CJ509" s="139" t="s">
        <v>49</v>
      </c>
      <c r="CK509" s="139" t="s">
        <v>50</v>
      </c>
      <c r="CL509" s="139" t="s">
        <v>50</v>
      </c>
      <c r="CM509" s="139" t="s">
        <v>50</v>
      </c>
      <c r="CN509" s="139" t="s">
        <v>51</v>
      </c>
      <c r="CO509" s="139">
        <v>24.245100000000001</v>
      </c>
      <c r="CP509" s="139">
        <v>97.325019999999995</v>
      </c>
      <c r="CQ509" s="139" t="s">
        <v>1944</v>
      </c>
      <c r="CR509" s="449" t="s">
        <v>40</v>
      </c>
      <c r="CS509" s="449"/>
      <c r="CT509" s="24"/>
      <c r="CU509" s="24"/>
      <c r="CV509" s="24"/>
    </row>
    <row r="510" spans="1:100" x14ac:dyDescent="0.25">
      <c r="A510" s="293" t="s">
        <v>2691</v>
      </c>
      <c r="B510" s="132" t="s">
        <v>426</v>
      </c>
      <c r="C510" s="132" t="s">
        <v>44</v>
      </c>
      <c r="D510" s="132" t="s">
        <v>351</v>
      </c>
      <c r="E510" s="132" t="s">
        <v>437</v>
      </c>
      <c r="F510" s="132">
        <v>117</v>
      </c>
      <c r="G510" s="214">
        <v>650</v>
      </c>
      <c r="H510" s="132"/>
      <c r="I510" s="132" t="s">
        <v>428</v>
      </c>
      <c r="J510" s="133" t="s">
        <v>2809</v>
      </c>
      <c r="K510" s="132">
        <v>0</v>
      </c>
      <c r="L510" s="132" t="s">
        <v>48</v>
      </c>
      <c r="M510" s="134">
        <v>0.5714285714285714</v>
      </c>
      <c r="N510" s="134">
        <v>0</v>
      </c>
      <c r="O510" s="320">
        <v>1</v>
      </c>
      <c r="P510" s="326">
        <v>1</v>
      </c>
      <c r="Q510" s="326">
        <v>4333500</v>
      </c>
      <c r="R510" s="315">
        <v>0</v>
      </c>
      <c r="S510" s="315">
        <v>0</v>
      </c>
      <c r="T510" s="315"/>
      <c r="U510" s="315">
        <v>0</v>
      </c>
      <c r="V510" s="315">
        <v>0</v>
      </c>
      <c r="W510" s="315">
        <v>16</v>
      </c>
      <c r="X510" s="315">
        <v>13</v>
      </c>
      <c r="Y510" s="315">
        <v>0</v>
      </c>
      <c r="Z510" s="315"/>
      <c r="AA510" s="336">
        <v>28</v>
      </c>
      <c r="AB510" s="336">
        <v>0</v>
      </c>
      <c r="AC510" s="337">
        <v>27</v>
      </c>
      <c r="AD510" s="337"/>
      <c r="AE510" s="336">
        <v>0</v>
      </c>
      <c r="AF510" s="336" t="s">
        <v>283</v>
      </c>
      <c r="AG510" s="339" t="s">
        <v>332</v>
      </c>
      <c r="AH510" s="339">
        <v>0</v>
      </c>
      <c r="AI510" s="336">
        <v>0</v>
      </c>
      <c r="AJ510" s="336"/>
      <c r="AK510" s="848">
        <v>1</v>
      </c>
      <c r="AL510" s="836" t="s">
        <v>291</v>
      </c>
      <c r="AM510" s="836">
        <v>0</v>
      </c>
      <c r="AN510" s="837">
        <v>4</v>
      </c>
      <c r="AO510" s="837">
        <v>2</v>
      </c>
      <c r="AP510" s="843">
        <v>0</v>
      </c>
      <c r="AQ510" s="839">
        <v>0</v>
      </c>
      <c r="AR510" s="839"/>
      <c r="AS510" s="839"/>
      <c r="AT510" s="839">
        <v>3</v>
      </c>
      <c r="AU510" s="839">
        <v>0</v>
      </c>
      <c r="AV510" s="849" t="s">
        <v>2461</v>
      </c>
      <c r="AW510" s="134" t="s">
        <v>3208</v>
      </c>
      <c r="AX510" s="136">
        <v>0.8125</v>
      </c>
      <c r="AY510" s="137" t="s">
        <v>2577</v>
      </c>
      <c r="AZ510" s="136">
        <v>1</v>
      </c>
      <c r="BA510" s="136">
        <v>1</v>
      </c>
      <c r="BB510" s="136">
        <v>1</v>
      </c>
      <c r="BC510" s="214">
        <v>650</v>
      </c>
      <c r="BD510" s="136">
        <v>0</v>
      </c>
      <c r="BE510" s="214">
        <v>0</v>
      </c>
      <c r="BF510" s="136">
        <v>1</v>
      </c>
      <c r="BG510" s="214">
        <v>650</v>
      </c>
      <c r="BH510" s="214">
        <v>1.3</v>
      </c>
      <c r="BI510" s="134">
        <v>0</v>
      </c>
      <c r="BJ510" s="214">
        <v>0</v>
      </c>
      <c r="BK510" s="137">
        <v>0</v>
      </c>
      <c r="BL510" s="137">
        <v>1</v>
      </c>
      <c r="BM510" s="137">
        <v>28</v>
      </c>
      <c r="BN510" s="134">
        <v>0.86153846153846159</v>
      </c>
      <c r="BO510" s="351">
        <v>560</v>
      </c>
      <c r="BP510" s="134">
        <v>0.15384615384615385</v>
      </c>
      <c r="BQ510" s="214">
        <v>5</v>
      </c>
      <c r="BR510" s="137">
        <v>33</v>
      </c>
      <c r="BS510" s="138">
        <v>0</v>
      </c>
      <c r="BT510" s="351">
        <v>540</v>
      </c>
      <c r="BU510" s="214">
        <v>650</v>
      </c>
      <c r="BV510" s="214">
        <v>0</v>
      </c>
      <c r="BW510" s="214">
        <v>1</v>
      </c>
      <c r="BX510" s="214">
        <v>0</v>
      </c>
      <c r="BY510" s="214">
        <v>0</v>
      </c>
      <c r="BZ510" s="134">
        <v>0</v>
      </c>
      <c r="CA510" s="138">
        <v>1</v>
      </c>
      <c r="CB510" s="136">
        <v>1</v>
      </c>
      <c r="CC510" s="136">
        <v>0</v>
      </c>
      <c r="CD510" s="136">
        <v>0</v>
      </c>
      <c r="CE510" s="137">
        <v>0</v>
      </c>
      <c r="CF510" s="137">
        <v>0</v>
      </c>
      <c r="CG510" s="137">
        <v>0</v>
      </c>
      <c r="CH510" s="214">
        <v>117</v>
      </c>
      <c r="CI510" s="139">
        <v>0</v>
      </c>
      <c r="CJ510" s="139">
        <v>0</v>
      </c>
      <c r="CK510" s="139" t="s">
        <v>1921</v>
      </c>
      <c r="CL510" s="139" t="s">
        <v>50</v>
      </c>
      <c r="CM510" s="139" t="s">
        <v>50</v>
      </c>
      <c r="CN510" s="139" t="s">
        <v>51</v>
      </c>
      <c r="CO510" s="139">
        <v>0</v>
      </c>
      <c r="CP510" s="139">
        <v>0</v>
      </c>
      <c r="CQ510" s="139">
        <v>0</v>
      </c>
      <c r="CR510" s="449" t="s">
        <v>40</v>
      </c>
      <c r="CS510" s="449"/>
      <c r="CT510" s="24"/>
      <c r="CU510" s="24"/>
      <c r="CV510" s="24"/>
    </row>
    <row r="511" spans="1:100" x14ac:dyDescent="0.25">
      <c r="A511" s="293" t="s">
        <v>2691</v>
      </c>
      <c r="B511" s="132" t="s">
        <v>338</v>
      </c>
      <c r="C511" s="132" t="s">
        <v>44</v>
      </c>
      <c r="D511" s="132" t="s">
        <v>351</v>
      </c>
      <c r="E511" s="132" t="s">
        <v>357</v>
      </c>
      <c r="F511" s="132">
        <v>3</v>
      </c>
      <c r="G511" s="214">
        <v>13</v>
      </c>
      <c r="H511" s="132"/>
      <c r="I511" s="132" t="s">
        <v>2475</v>
      </c>
      <c r="J511" s="133">
        <v>43344</v>
      </c>
      <c r="K511" s="132">
        <v>0</v>
      </c>
      <c r="L511" s="132" t="s">
        <v>282</v>
      </c>
      <c r="M511" s="134">
        <v>0</v>
      </c>
      <c r="N511" s="134">
        <v>0</v>
      </c>
      <c r="O511" s="320">
        <v>2</v>
      </c>
      <c r="P511" s="326">
        <v>0</v>
      </c>
      <c r="Q511" s="326">
        <v>0</v>
      </c>
      <c r="R511" s="315">
        <v>0</v>
      </c>
      <c r="S511" s="315">
        <v>0</v>
      </c>
      <c r="T511" s="315"/>
      <c r="U511" s="315"/>
      <c r="V511" s="315"/>
      <c r="W511" s="315"/>
      <c r="X511" s="315"/>
      <c r="Y511" s="315"/>
      <c r="Z511" s="315"/>
      <c r="AA511" s="336">
        <v>2</v>
      </c>
      <c r="AB511" s="336">
        <v>0</v>
      </c>
      <c r="AC511" s="337">
        <v>0</v>
      </c>
      <c r="AD511" s="337"/>
      <c r="AE511" s="336">
        <v>0</v>
      </c>
      <c r="AF511" s="336" t="s">
        <v>283</v>
      </c>
      <c r="AG511" s="339" t="s">
        <v>283</v>
      </c>
      <c r="AH511" s="339"/>
      <c r="AI511" s="336"/>
      <c r="AJ511" s="336"/>
      <c r="AK511" s="848">
        <v>1</v>
      </c>
      <c r="AL511" s="836" t="s">
        <v>291</v>
      </c>
      <c r="AM511" s="836">
        <v>0</v>
      </c>
      <c r="AN511" s="837">
        <v>1</v>
      </c>
      <c r="AO511" s="837">
        <v>0</v>
      </c>
      <c r="AP511" s="843">
        <v>3</v>
      </c>
      <c r="AQ511" s="839">
        <v>3</v>
      </c>
      <c r="AR511" s="839"/>
      <c r="AS511" s="839"/>
      <c r="AT511" s="839"/>
      <c r="AU511" s="839"/>
      <c r="AV511" s="849"/>
      <c r="AW511" s="134" t="s">
        <v>3208</v>
      </c>
      <c r="AX511" s="136" t="s">
        <v>3208</v>
      </c>
      <c r="AY511" s="137" t="s">
        <v>2576</v>
      </c>
      <c r="AZ511" s="136">
        <v>1</v>
      </c>
      <c r="BA511" s="136">
        <v>1</v>
      </c>
      <c r="BB511" s="136">
        <v>1</v>
      </c>
      <c r="BC511" s="214">
        <v>13</v>
      </c>
      <c r="BD511" s="136">
        <v>0</v>
      </c>
      <c r="BE511" s="214">
        <v>0</v>
      </c>
      <c r="BF511" s="136">
        <v>1</v>
      </c>
      <c r="BG511" s="214">
        <v>13</v>
      </c>
      <c r="BH511" s="214">
        <v>2.5999999999999999E-2</v>
      </c>
      <c r="BI511" s="134">
        <v>0</v>
      </c>
      <c r="BJ511" s="214">
        <v>0</v>
      </c>
      <c r="BK511" s="137">
        <v>0.97399999999999998</v>
      </c>
      <c r="BL511" s="137">
        <v>1</v>
      </c>
      <c r="BM511" s="137">
        <v>2</v>
      </c>
      <c r="BN511" s="134">
        <v>1</v>
      </c>
      <c r="BO511" s="351">
        <v>13</v>
      </c>
      <c r="BP511" s="134">
        <v>0</v>
      </c>
      <c r="BQ511" s="214">
        <v>0</v>
      </c>
      <c r="BR511" s="137">
        <v>1</v>
      </c>
      <c r="BS511" s="138">
        <v>0</v>
      </c>
      <c r="BT511" s="351">
        <v>0</v>
      </c>
      <c r="BU511" s="214">
        <v>0</v>
      </c>
      <c r="BV511" s="214">
        <v>1</v>
      </c>
      <c r="BW511" s="214">
        <v>0</v>
      </c>
      <c r="BX511" s="214">
        <v>1</v>
      </c>
      <c r="BY511" s="214">
        <v>13</v>
      </c>
      <c r="BZ511" s="134">
        <v>1</v>
      </c>
      <c r="CA511" s="138">
        <v>0</v>
      </c>
      <c r="CB511" s="136">
        <v>0</v>
      </c>
      <c r="CC511" s="136">
        <v>1</v>
      </c>
      <c r="CD511" s="136">
        <v>1</v>
      </c>
      <c r="CE511" s="137">
        <v>15</v>
      </c>
      <c r="CF511" s="137">
        <v>15</v>
      </c>
      <c r="CG511" s="137">
        <v>15</v>
      </c>
      <c r="CH511" s="214">
        <v>3</v>
      </c>
      <c r="CI511" s="139">
        <v>0</v>
      </c>
      <c r="CJ511" s="139">
        <v>0</v>
      </c>
      <c r="CK511" s="139" t="s">
        <v>50</v>
      </c>
      <c r="CL511" s="139" t="s">
        <v>50</v>
      </c>
      <c r="CM511" s="139" t="s">
        <v>929</v>
      </c>
      <c r="CN511" s="139" t="s">
        <v>51</v>
      </c>
      <c r="CO511" s="139">
        <v>24.251860000000001</v>
      </c>
      <c r="CP511" s="139">
        <v>97.346940000000004</v>
      </c>
      <c r="CQ511" s="139" t="s">
        <v>1950</v>
      </c>
      <c r="CR511" s="449" t="s">
        <v>40</v>
      </c>
      <c r="CS511" s="449"/>
      <c r="CT511" s="24"/>
      <c r="CU511" s="24"/>
      <c r="CV511" s="24"/>
    </row>
    <row r="512" spans="1:100" x14ac:dyDescent="0.25">
      <c r="A512" s="293" t="s">
        <v>2691</v>
      </c>
      <c r="B512" s="132" t="s">
        <v>338</v>
      </c>
      <c r="C512" s="132" t="s">
        <v>44</v>
      </c>
      <c r="D512" s="132" t="s">
        <v>351</v>
      </c>
      <c r="E512" s="132" t="s">
        <v>359</v>
      </c>
      <c r="F512" s="132">
        <v>109</v>
      </c>
      <c r="G512" s="214">
        <v>453</v>
      </c>
      <c r="H512" s="132"/>
      <c r="I512" s="132" t="s">
        <v>340</v>
      </c>
      <c r="J512" s="133" t="s">
        <v>2476</v>
      </c>
      <c r="K512" s="132">
        <v>0</v>
      </c>
      <c r="L512" s="132" t="s">
        <v>48</v>
      </c>
      <c r="M512" s="134">
        <v>0.5</v>
      </c>
      <c r="N512" s="134">
        <v>0.5</v>
      </c>
      <c r="O512" s="320">
        <v>1</v>
      </c>
      <c r="P512" s="326">
        <v>1</v>
      </c>
      <c r="Q512" s="326">
        <v>0</v>
      </c>
      <c r="R512" s="315">
        <v>0</v>
      </c>
      <c r="S512" s="315">
        <v>0</v>
      </c>
      <c r="T512" s="315"/>
      <c r="U512" s="315"/>
      <c r="V512" s="315"/>
      <c r="W512" s="315"/>
      <c r="X512" s="315"/>
      <c r="Y512" s="315"/>
      <c r="Z512" s="315"/>
      <c r="AA512" s="336">
        <v>10</v>
      </c>
      <c r="AB512" s="336">
        <v>0</v>
      </c>
      <c r="AC512" s="337"/>
      <c r="AD512" s="337"/>
      <c r="AE512" s="336">
        <v>0</v>
      </c>
      <c r="AF512" s="336" t="s">
        <v>283</v>
      </c>
      <c r="AG512" s="339" t="s">
        <v>283</v>
      </c>
      <c r="AH512" s="339"/>
      <c r="AI512" s="336"/>
      <c r="AJ512" s="336"/>
      <c r="AK512" s="848">
        <v>1</v>
      </c>
      <c r="AL512" s="836" t="s">
        <v>291</v>
      </c>
      <c r="AM512" s="836">
        <v>0</v>
      </c>
      <c r="AN512" s="837">
        <v>4</v>
      </c>
      <c r="AO512" s="837">
        <v>2</v>
      </c>
      <c r="AP512" s="843">
        <v>109</v>
      </c>
      <c r="AQ512" s="839">
        <v>109</v>
      </c>
      <c r="AR512" s="839"/>
      <c r="AS512" s="839"/>
      <c r="AT512" s="839"/>
      <c r="AU512" s="839"/>
      <c r="AV512" s="849"/>
      <c r="AW512" s="134" t="s">
        <v>3208</v>
      </c>
      <c r="AX512" s="136" t="s">
        <v>3208</v>
      </c>
      <c r="AY512" s="137" t="s">
        <v>2576</v>
      </c>
      <c r="AZ512" s="136">
        <v>1</v>
      </c>
      <c r="BA512" s="136">
        <v>1</v>
      </c>
      <c r="BB512" s="136">
        <v>1</v>
      </c>
      <c r="BC512" s="214">
        <v>453</v>
      </c>
      <c r="BD512" s="136">
        <v>0</v>
      </c>
      <c r="BE512" s="214">
        <v>0</v>
      </c>
      <c r="BF512" s="136">
        <v>1</v>
      </c>
      <c r="BG512" s="214">
        <v>453</v>
      </c>
      <c r="BH512" s="214">
        <v>0.90600000000000003</v>
      </c>
      <c r="BI512" s="134">
        <v>0</v>
      </c>
      <c r="BJ512" s="214">
        <v>0</v>
      </c>
      <c r="BK512" s="137">
        <v>9.3999999999999972E-2</v>
      </c>
      <c r="BL512" s="137">
        <v>1</v>
      </c>
      <c r="BM512" s="137">
        <v>10</v>
      </c>
      <c r="BN512" s="134">
        <v>0.44150110375275936</v>
      </c>
      <c r="BO512" s="351">
        <v>200</v>
      </c>
      <c r="BP512" s="134">
        <v>0.57395143487858724</v>
      </c>
      <c r="BQ512" s="214">
        <v>13</v>
      </c>
      <c r="BR512" s="137">
        <v>23</v>
      </c>
      <c r="BS512" s="138">
        <v>0</v>
      </c>
      <c r="BT512" s="351">
        <v>0</v>
      </c>
      <c r="BU512" s="214">
        <v>453</v>
      </c>
      <c r="BV512" s="214">
        <v>1</v>
      </c>
      <c r="BW512" s="214">
        <v>1</v>
      </c>
      <c r="BX512" s="214">
        <v>1</v>
      </c>
      <c r="BY512" s="214">
        <v>453</v>
      </c>
      <c r="BZ512" s="134">
        <v>1</v>
      </c>
      <c r="CA512" s="138">
        <v>0</v>
      </c>
      <c r="CB512" s="136">
        <v>1</v>
      </c>
      <c r="CC512" s="136">
        <v>1</v>
      </c>
      <c r="CD512" s="136">
        <v>1</v>
      </c>
      <c r="CE512" s="137">
        <v>545</v>
      </c>
      <c r="CF512" s="137">
        <v>545</v>
      </c>
      <c r="CG512" s="137">
        <v>545</v>
      </c>
      <c r="CH512" s="214">
        <v>109</v>
      </c>
      <c r="CI512" s="139" t="s">
        <v>48</v>
      </c>
      <c r="CJ512" s="139" t="s">
        <v>287</v>
      </c>
      <c r="CK512" s="139" t="s">
        <v>50</v>
      </c>
      <c r="CL512" s="139" t="s">
        <v>50</v>
      </c>
      <c r="CM512" s="139" t="s">
        <v>50</v>
      </c>
      <c r="CN512" s="139" t="s">
        <v>51</v>
      </c>
      <c r="CO512" s="139">
        <v>24.250689999999999</v>
      </c>
      <c r="CP512" s="139">
        <v>97.344359999999995</v>
      </c>
      <c r="CQ512" s="139" t="s">
        <v>1947</v>
      </c>
      <c r="CR512" s="449" t="s">
        <v>40</v>
      </c>
      <c r="CS512" s="449"/>
      <c r="CT512" s="24"/>
      <c r="CU512" s="24"/>
      <c r="CV512" s="24"/>
    </row>
    <row r="513" spans="1:100" x14ac:dyDescent="0.25">
      <c r="A513" s="293" t="s">
        <v>2691</v>
      </c>
      <c r="B513" s="206" t="s">
        <v>460</v>
      </c>
      <c r="C513" s="206" t="s">
        <v>44</v>
      </c>
      <c r="D513" s="206" t="s">
        <v>351</v>
      </c>
      <c r="E513" s="206" t="s">
        <v>1175</v>
      </c>
      <c r="F513" s="206">
        <v>223</v>
      </c>
      <c r="G513" s="209">
        <v>1067</v>
      </c>
      <c r="H513" s="206"/>
      <c r="I513" s="206"/>
      <c r="J513" s="207"/>
      <c r="K513" s="206"/>
      <c r="L513" s="206" t="s">
        <v>282</v>
      </c>
      <c r="M513" s="208">
        <v>0</v>
      </c>
      <c r="N513" s="208">
        <v>0</v>
      </c>
      <c r="O513" s="316"/>
      <c r="P513" s="317"/>
      <c r="Q513" s="317"/>
      <c r="R513" s="318"/>
      <c r="S513" s="318"/>
      <c r="T513" s="318"/>
      <c r="U513" s="318"/>
      <c r="V513" s="318"/>
      <c r="W513" s="318"/>
      <c r="X513" s="318"/>
      <c r="Y513" s="318"/>
      <c r="Z513" s="318"/>
      <c r="AA513" s="310">
        <v>0</v>
      </c>
      <c r="AB513" s="310"/>
      <c r="AC513" s="66"/>
      <c r="AD513" s="337"/>
      <c r="AE513" s="310"/>
      <c r="AF513" s="310" t="s">
        <v>286</v>
      </c>
      <c r="AG513" s="311" t="s">
        <v>286</v>
      </c>
      <c r="AH513" s="311"/>
      <c r="AI513" s="310"/>
      <c r="AJ513" s="310"/>
      <c r="AK513" s="841"/>
      <c r="AL513" s="842"/>
      <c r="AM513" s="842"/>
      <c r="AN513" s="837"/>
      <c r="AO513" s="837"/>
      <c r="AP513" s="843"/>
      <c r="AQ513" s="843"/>
      <c r="AR513" s="843"/>
      <c r="AS513" s="843"/>
      <c r="AT513" s="843"/>
      <c r="AU513" s="843"/>
      <c r="AV513" s="844"/>
      <c r="AW513" s="208" t="s">
        <v>3208</v>
      </c>
      <c r="AX513" s="211" t="s">
        <v>3208</v>
      </c>
      <c r="AY513" s="210" t="s">
        <v>2576</v>
      </c>
      <c r="AZ513" s="136">
        <v>0</v>
      </c>
      <c r="BA513" s="211">
        <v>0</v>
      </c>
      <c r="BB513" s="211">
        <v>0</v>
      </c>
      <c r="BC513" s="209">
        <v>0</v>
      </c>
      <c r="BD513" s="211">
        <v>0</v>
      </c>
      <c r="BE513" s="209">
        <v>0</v>
      </c>
      <c r="BF513" s="211">
        <v>0</v>
      </c>
      <c r="BG513" s="209">
        <v>0</v>
      </c>
      <c r="BH513" s="209">
        <v>0</v>
      </c>
      <c r="BI513" s="208">
        <v>1</v>
      </c>
      <c r="BJ513" s="209">
        <v>1067</v>
      </c>
      <c r="BK513" s="210">
        <v>2</v>
      </c>
      <c r="BL513" s="210">
        <v>2</v>
      </c>
      <c r="BM513" s="210">
        <v>0</v>
      </c>
      <c r="BN513" s="208">
        <v>0</v>
      </c>
      <c r="BO513" s="352">
        <v>0</v>
      </c>
      <c r="BP513" s="208">
        <v>0.99343955014058105</v>
      </c>
      <c r="BQ513" s="209">
        <v>53</v>
      </c>
      <c r="BR513" s="210">
        <v>53</v>
      </c>
      <c r="BS513" s="212">
        <v>0</v>
      </c>
      <c r="BT513" s="352">
        <v>0</v>
      </c>
      <c r="BU513" s="209">
        <v>0</v>
      </c>
      <c r="BV513" s="209">
        <v>0</v>
      </c>
      <c r="BW513" s="209">
        <v>0</v>
      </c>
      <c r="BX513" s="209">
        <v>0</v>
      </c>
      <c r="BY513" s="209">
        <v>0</v>
      </c>
      <c r="BZ513" s="208">
        <v>0</v>
      </c>
      <c r="CA513" s="212">
        <v>1</v>
      </c>
      <c r="CB513" s="211">
        <v>0</v>
      </c>
      <c r="CC513" s="211">
        <v>0</v>
      </c>
      <c r="CD513" s="211">
        <v>0</v>
      </c>
      <c r="CE513" s="210">
        <v>0</v>
      </c>
      <c r="CF513" s="210">
        <v>0</v>
      </c>
      <c r="CG513" s="210">
        <v>0</v>
      </c>
      <c r="CH513" s="209">
        <v>0</v>
      </c>
      <c r="CI513" s="139">
        <v>0</v>
      </c>
      <c r="CJ513" s="139" t="s">
        <v>2959</v>
      </c>
      <c r="CK513" s="139" t="s">
        <v>50</v>
      </c>
      <c r="CL513" s="139" t="s">
        <v>50</v>
      </c>
      <c r="CM513" s="139" t="s">
        <v>942</v>
      </c>
      <c r="CN513" s="139" t="s">
        <v>51</v>
      </c>
      <c r="CO513" s="139">
        <v>24.251232000000002</v>
      </c>
      <c r="CP513" s="139">
        <v>97.348405</v>
      </c>
      <c r="CQ513" s="139" t="s">
        <v>1948</v>
      </c>
      <c r="CR513" s="660" t="s">
        <v>3209</v>
      </c>
      <c r="CS513" s="660"/>
      <c r="CT513" s="24"/>
      <c r="CU513" s="24"/>
      <c r="CV513" s="24"/>
    </row>
    <row r="514" spans="1:100" x14ac:dyDescent="0.25">
      <c r="A514" s="293" t="s">
        <v>2691</v>
      </c>
      <c r="B514" s="206" t="s">
        <v>460</v>
      </c>
      <c r="C514" s="206" t="s">
        <v>44</v>
      </c>
      <c r="D514" s="206" t="s">
        <v>351</v>
      </c>
      <c r="E514" s="206" t="s">
        <v>1185</v>
      </c>
      <c r="F514" s="206">
        <v>47</v>
      </c>
      <c r="G514" s="209">
        <v>153</v>
      </c>
      <c r="H514" s="206"/>
      <c r="I514" s="206"/>
      <c r="J514" s="207"/>
      <c r="K514" s="206"/>
      <c r="L514" s="206" t="s">
        <v>282</v>
      </c>
      <c r="M514" s="208">
        <v>0</v>
      </c>
      <c r="N514" s="208">
        <v>0</v>
      </c>
      <c r="O514" s="316"/>
      <c r="P514" s="317"/>
      <c r="Q514" s="317"/>
      <c r="R514" s="318"/>
      <c r="S514" s="318"/>
      <c r="T514" s="318"/>
      <c r="U514" s="318"/>
      <c r="V514" s="318"/>
      <c r="W514" s="318"/>
      <c r="X514" s="318"/>
      <c r="Y514" s="318"/>
      <c r="Z514" s="318"/>
      <c r="AA514" s="310">
        <v>0</v>
      </c>
      <c r="AB514" s="310"/>
      <c r="AC514" s="66"/>
      <c r="AD514" s="337"/>
      <c r="AE514" s="310"/>
      <c r="AF514" s="310" t="s">
        <v>286</v>
      </c>
      <c r="AG514" s="311" t="s">
        <v>286</v>
      </c>
      <c r="AH514" s="311"/>
      <c r="AI514" s="310"/>
      <c r="AJ514" s="310"/>
      <c r="AK514" s="841"/>
      <c r="AL514" s="842"/>
      <c r="AM514" s="842"/>
      <c r="AN514" s="837"/>
      <c r="AO514" s="837"/>
      <c r="AP514" s="843"/>
      <c r="AQ514" s="843"/>
      <c r="AR514" s="843"/>
      <c r="AS514" s="843"/>
      <c r="AT514" s="843"/>
      <c r="AU514" s="843"/>
      <c r="AV514" s="844"/>
      <c r="AW514" s="208" t="s">
        <v>3208</v>
      </c>
      <c r="AX514" s="211" t="s">
        <v>3208</v>
      </c>
      <c r="AY514" s="210" t="s">
        <v>2576</v>
      </c>
      <c r="AZ514" s="136">
        <v>0</v>
      </c>
      <c r="BA514" s="211">
        <v>0</v>
      </c>
      <c r="BB514" s="211">
        <v>0</v>
      </c>
      <c r="BC514" s="209">
        <v>0</v>
      </c>
      <c r="BD514" s="211">
        <v>0</v>
      </c>
      <c r="BE514" s="209">
        <v>0</v>
      </c>
      <c r="BF514" s="211">
        <v>0</v>
      </c>
      <c r="BG514" s="209">
        <v>0</v>
      </c>
      <c r="BH514" s="209">
        <v>0</v>
      </c>
      <c r="BI514" s="208">
        <v>1</v>
      </c>
      <c r="BJ514" s="209">
        <v>153</v>
      </c>
      <c r="BK514" s="210">
        <v>1</v>
      </c>
      <c r="BL514" s="210">
        <v>1</v>
      </c>
      <c r="BM514" s="210">
        <v>0</v>
      </c>
      <c r="BN514" s="208">
        <v>0</v>
      </c>
      <c r="BO514" s="352">
        <v>0</v>
      </c>
      <c r="BP514" s="208">
        <v>1</v>
      </c>
      <c r="BQ514" s="209">
        <v>8</v>
      </c>
      <c r="BR514" s="210">
        <v>8</v>
      </c>
      <c r="BS514" s="212">
        <v>0</v>
      </c>
      <c r="BT514" s="352">
        <v>0</v>
      </c>
      <c r="BU514" s="209">
        <v>0</v>
      </c>
      <c r="BV514" s="209">
        <v>0</v>
      </c>
      <c r="BW514" s="209">
        <v>0</v>
      </c>
      <c r="BX514" s="209">
        <v>0</v>
      </c>
      <c r="BY514" s="209">
        <v>0</v>
      </c>
      <c r="BZ514" s="208">
        <v>0</v>
      </c>
      <c r="CA514" s="212">
        <v>1</v>
      </c>
      <c r="CB514" s="211">
        <v>0</v>
      </c>
      <c r="CC514" s="211">
        <v>0</v>
      </c>
      <c r="CD514" s="211">
        <v>0</v>
      </c>
      <c r="CE514" s="210">
        <v>0</v>
      </c>
      <c r="CF514" s="210">
        <v>0</v>
      </c>
      <c r="CG514" s="210">
        <v>0</v>
      </c>
      <c r="CH514" s="209">
        <v>0</v>
      </c>
      <c r="CI514" s="139">
        <v>0</v>
      </c>
      <c r="CJ514" s="139" t="s">
        <v>2959</v>
      </c>
      <c r="CK514" s="139" t="s">
        <v>50</v>
      </c>
      <c r="CL514" s="139" t="s">
        <v>50</v>
      </c>
      <c r="CM514" s="139" t="s">
        <v>942</v>
      </c>
      <c r="CN514" s="139" t="s">
        <v>51</v>
      </c>
      <c r="CO514" s="139">
        <v>24.404876999999999</v>
      </c>
      <c r="CP514" s="139">
        <v>97.407787999999996</v>
      </c>
      <c r="CQ514" s="139" t="s">
        <v>1964</v>
      </c>
      <c r="CR514" s="660" t="s">
        <v>3209</v>
      </c>
      <c r="CS514" s="660"/>
      <c r="CT514" s="24"/>
      <c r="CU514" s="24"/>
      <c r="CV514" s="24"/>
    </row>
    <row r="515" spans="1:100" x14ac:dyDescent="0.25">
      <c r="A515" s="293" t="s">
        <v>2691</v>
      </c>
      <c r="B515" s="132" t="s">
        <v>441</v>
      </c>
      <c r="C515" s="132" t="s">
        <v>44</v>
      </c>
      <c r="D515" s="132" t="s">
        <v>351</v>
      </c>
      <c r="E515" s="132" t="s">
        <v>445</v>
      </c>
      <c r="F515" s="132">
        <v>353</v>
      </c>
      <c r="G515" s="214">
        <v>1663</v>
      </c>
      <c r="H515" s="132"/>
      <c r="I515" s="132" t="s">
        <v>2407</v>
      </c>
      <c r="J515" s="133">
        <v>43799</v>
      </c>
      <c r="K515" s="132">
        <v>0</v>
      </c>
      <c r="L515" s="132" t="s">
        <v>48</v>
      </c>
      <c r="M515" s="134">
        <v>0.5</v>
      </c>
      <c r="N515" s="134">
        <v>0.1</v>
      </c>
      <c r="O515" s="320">
        <v>0</v>
      </c>
      <c r="P515" s="326">
        <v>0</v>
      </c>
      <c r="Q515" s="326">
        <v>27096</v>
      </c>
      <c r="R515" s="315">
        <v>0</v>
      </c>
      <c r="S515" s="315">
        <v>0</v>
      </c>
      <c r="T515" s="315"/>
      <c r="U515" s="315">
        <v>3</v>
      </c>
      <c r="V515" s="315">
        <v>0</v>
      </c>
      <c r="W515" s="315">
        <v>45</v>
      </c>
      <c r="X515" s="315">
        <v>10</v>
      </c>
      <c r="Y515" s="315">
        <v>0</v>
      </c>
      <c r="Z515" s="315"/>
      <c r="AA515" s="336">
        <v>107</v>
      </c>
      <c r="AB515" s="336">
        <v>10</v>
      </c>
      <c r="AC515" s="337">
        <v>1</v>
      </c>
      <c r="AD515" s="337"/>
      <c r="AE515" s="336">
        <v>0</v>
      </c>
      <c r="AF515" s="336" t="s">
        <v>332</v>
      </c>
      <c r="AG515" s="339" t="s">
        <v>332</v>
      </c>
      <c r="AH515" s="339">
        <v>0</v>
      </c>
      <c r="AI515" s="336">
        <v>0</v>
      </c>
      <c r="AJ515" s="336"/>
      <c r="AK515" s="848">
        <v>0.24</v>
      </c>
      <c r="AL515" s="836" t="s">
        <v>376</v>
      </c>
      <c r="AM515" s="836">
        <v>0</v>
      </c>
      <c r="AN515" s="837">
        <v>16</v>
      </c>
      <c r="AO515" s="837"/>
      <c r="AP515" s="843">
        <v>269</v>
      </c>
      <c r="AQ515" s="839">
        <v>0</v>
      </c>
      <c r="AR515" s="839" t="s">
        <v>282</v>
      </c>
      <c r="AS515" s="839"/>
      <c r="AT515" s="839">
        <v>9</v>
      </c>
      <c r="AU515" s="839"/>
      <c r="AV515" s="849"/>
      <c r="AW515" s="134">
        <v>0</v>
      </c>
      <c r="AX515" s="136">
        <v>0.22222222222222221</v>
      </c>
      <c r="AY515" s="137" t="s">
        <v>2577</v>
      </c>
      <c r="AZ515" s="136">
        <v>1</v>
      </c>
      <c r="BA515" s="136">
        <v>1</v>
      </c>
      <c r="BB515" s="136">
        <v>1</v>
      </c>
      <c r="BC515" s="214">
        <v>1663</v>
      </c>
      <c r="BD515" s="136">
        <v>0</v>
      </c>
      <c r="BE515" s="214">
        <v>0</v>
      </c>
      <c r="BF515" s="136">
        <v>1</v>
      </c>
      <c r="BG515" s="214">
        <v>1663</v>
      </c>
      <c r="BH515" s="214">
        <v>3.3260000000000001</v>
      </c>
      <c r="BI515" s="134">
        <v>0</v>
      </c>
      <c r="BJ515" s="214">
        <v>0</v>
      </c>
      <c r="BK515" s="137">
        <v>0</v>
      </c>
      <c r="BL515" s="137">
        <v>3</v>
      </c>
      <c r="BM515" s="137">
        <v>117</v>
      </c>
      <c r="BN515" s="134">
        <v>1</v>
      </c>
      <c r="BO515" s="351">
        <v>1663</v>
      </c>
      <c r="BP515" s="134">
        <v>0</v>
      </c>
      <c r="BQ515" s="214">
        <v>0</v>
      </c>
      <c r="BR515" s="137">
        <v>83</v>
      </c>
      <c r="BS515" s="138">
        <v>8.5470085470085472E-2</v>
      </c>
      <c r="BT515" s="351">
        <v>20</v>
      </c>
      <c r="BU515" s="214">
        <v>0</v>
      </c>
      <c r="BV515" s="214">
        <v>0</v>
      </c>
      <c r="BW515" s="214">
        <v>0</v>
      </c>
      <c r="BX515" s="214">
        <v>0</v>
      </c>
      <c r="BY515" s="214">
        <v>0</v>
      </c>
      <c r="BZ515" s="134">
        <v>0</v>
      </c>
      <c r="CA515" s="138">
        <v>1</v>
      </c>
      <c r="CB515" s="136">
        <v>0</v>
      </c>
      <c r="CC515" s="136">
        <v>0.76203966005665724</v>
      </c>
      <c r="CD515" s="136">
        <v>0</v>
      </c>
      <c r="CE515" s="137">
        <v>1345</v>
      </c>
      <c r="CF515" s="137">
        <v>0</v>
      </c>
      <c r="CG515" s="137">
        <v>1345</v>
      </c>
      <c r="CH515" s="214">
        <v>84.72</v>
      </c>
      <c r="CI515" s="139" t="s">
        <v>48</v>
      </c>
      <c r="CJ515" s="139" t="s">
        <v>49</v>
      </c>
      <c r="CK515" s="139" t="s">
        <v>50</v>
      </c>
      <c r="CL515" s="139" t="s">
        <v>50</v>
      </c>
      <c r="CM515" s="139" t="s">
        <v>50</v>
      </c>
      <c r="CN515" s="139" t="s">
        <v>949</v>
      </c>
      <c r="CO515" s="139">
        <v>24.378167000000001</v>
      </c>
      <c r="CP515" s="139">
        <v>97.669366999999994</v>
      </c>
      <c r="CQ515" s="139" t="s">
        <v>1963</v>
      </c>
      <c r="CR515" s="449" t="s">
        <v>40</v>
      </c>
      <c r="CS515" s="449"/>
      <c r="CT515" s="24"/>
      <c r="CU515" s="24"/>
      <c r="CV515" s="24"/>
    </row>
    <row r="516" spans="1:100" x14ac:dyDescent="0.25">
      <c r="A516" s="293" t="s">
        <v>2691</v>
      </c>
      <c r="B516" s="132" t="s">
        <v>426</v>
      </c>
      <c r="C516" s="132" t="s">
        <v>44</v>
      </c>
      <c r="D516" s="132" t="s">
        <v>351</v>
      </c>
      <c r="E516" s="132" t="s">
        <v>434</v>
      </c>
      <c r="F516" s="132">
        <v>49</v>
      </c>
      <c r="G516" s="214">
        <v>300</v>
      </c>
      <c r="H516" s="132"/>
      <c r="I516" s="132" t="s">
        <v>428</v>
      </c>
      <c r="J516" s="133" t="s">
        <v>2809</v>
      </c>
      <c r="K516" s="132">
        <v>0</v>
      </c>
      <c r="L516" s="132" t="s">
        <v>48</v>
      </c>
      <c r="M516" s="134">
        <v>0.63636363636363635</v>
      </c>
      <c r="N516" s="134">
        <v>1</v>
      </c>
      <c r="O516" s="320">
        <v>2</v>
      </c>
      <c r="P516" s="326">
        <v>0</v>
      </c>
      <c r="Q516" s="326">
        <v>106500</v>
      </c>
      <c r="R516" s="315">
        <v>0</v>
      </c>
      <c r="S516" s="315">
        <v>0</v>
      </c>
      <c r="T516" s="315"/>
      <c r="U516" s="315">
        <v>0</v>
      </c>
      <c r="V516" s="315">
        <v>0</v>
      </c>
      <c r="W516" s="315">
        <v>9</v>
      </c>
      <c r="X516" s="315">
        <v>5</v>
      </c>
      <c r="Y516" s="315">
        <v>0</v>
      </c>
      <c r="Z516" s="315"/>
      <c r="AA516" s="336">
        <v>22</v>
      </c>
      <c r="AB516" s="336">
        <v>0</v>
      </c>
      <c r="AC516" s="337">
        <v>13</v>
      </c>
      <c r="AD516" s="337" t="s">
        <v>2785</v>
      </c>
      <c r="AE516" s="336">
        <v>0</v>
      </c>
      <c r="AF516" s="336" t="s">
        <v>283</v>
      </c>
      <c r="AG516" s="339" t="s">
        <v>283</v>
      </c>
      <c r="AH516" s="339">
        <v>0</v>
      </c>
      <c r="AI516" s="336">
        <v>0</v>
      </c>
      <c r="AJ516" s="336"/>
      <c r="AK516" s="848">
        <v>1</v>
      </c>
      <c r="AL516" s="836" t="s">
        <v>291</v>
      </c>
      <c r="AM516" s="836">
        <v>0</v>
      </c>
      <c r="AN516" s="837">
        <v>3</v>
      </c>
      <c r="AO516" s="837">
        <v>1</v>
      </c>
      <c r="AP516" s="843">
        <v>75</v>
      </c>
      <c r="AQ516" s="839">
        <v>0</v>
      </c>
      <c r="AR516" s="839"/>
      <c r="AS516" s="839"/>
      <c r="AT516" s="839">
        <v>2</v>
      </c>
      <c r="AU516" s="839">
        <v>0</v>
      </c>
      <c r="AV516" s="849" t="s">
        <v>2461</v>
      </c>
      <c r="AW516" s="134" t="s">
        <v>3208</v>
      </c>
      <c r="AX516" s="136">
        <v>0.55555555555555558</v>
      </c>
      <c r="AY516" s="137" t="s">
        <v>2577</v>
      </c>
      <c r="AZ516" s="136">
        <v>1</v>
      </c>
      <c r="BA516" s="136">
        <v>1</v>
      </c>
      <c r="BB516" s="136">
        <v>1</v>
      </c>
      <c r="BC516" s="214">
        <v>300</v>
      </c>
      <c r="BD516" s="136">
        <v>0</v>
      </c>
      <c r="BE516" s="214">
        <v>0</v>
      </c>
      <c r="BF516" s="136">
        <v>1</v>
      </c>
      <c r="BG516" s="214">
        <v>300</v>
      </c>
      <c r="BH516" s="214">
        <v>0.6</v>
      </c>
      <c r="BI516" s="134">
        <v>0</v>
      </c>
      <c r="BJ516" s="214">
        <v>0</v>
      </c>
      <c r="BK516" s="137">
        <v>0.4</v>
      </c>
      <c r="BL516" s="137">
        <v>1</v>
      </c>
      <c r="BM516" s="137">
        <v>22</v>
      </c>
      <c r="BN516" s="134">
        <v>1</v>
      </c>
      <c r="BO516" s="351">
        <v>300</v>
      </c>
      <c r="BP516" s="134">
        <v>0</v>
      </c>
      <c r="BQ516" s="214">
        <v>0</v>
      </c>
      <c r="BR516" s="137">
        <v>15</v>
      </c>
      <c r="BS516" s="138">
        <v>0</v>
      </c>
      <c r="BT516" s="351">
        <v>260</v>
      </c>
      <c r="BU516" s="214">
        <v>300</v>
      </c>
      <c r="BV516" s="214">
        <v>0</v>
      </c>
      <c r="BW516" s="214">
        <v>1</v>
      </c>
      <c r="BX516" s="214">
        <v>1</v>
      </c>
      <c r="BY516" s="214">
        <v>300</v>
      </c>
      <c r="BZ516" s="134">
        <v>1</v>
      </c>
      <c r="CA516" s="138">
        <v>0</v>
      </c>
      <c r="CB516" s="136">
        <v>1</v>
      </c>
      <c r="CC516" s="136">
        <v>1</v>
      </c>
      <c r="CD516" s="136">
        <v>0</v>
      </c>
      <c r="CE516" s="137">
        <v>375</v>
      </c>
      <c r="CF516" s="137">
        <v>0</v>
      </c>
      <c r="CG516" s="137">
        <v>375</v>
      </c>
      <c r="CH516" s="214">
        <v>49</v>
      </c>
      <c r="CI516" s="139" t="s">
        <v>48</v>
      </c>
      <c r="CJ516" s="139" t="s">
        <v>287</v>
      </c>
      <c r="CK516" s="139" t="s">
        <v>50</v>
      </c>
      <c r="CL516" s="139" t="s">
        <v>50</v>
      </c>
      <c r="CM516" s="139" t="s">
        <v>50</v>
      </c>
      <c r="CN516" s="139" t="s">
        <v>51</v>
      </c>
      <c r="CO516" s="139">
        <v>24.205417000000001</v>
      </c>
      <c r="CP516" s="139">
        <v>97.724483000000006</v>
      </c>
      <c r="CQ516" s="139" t="s">
        <v>1939</v>
      </c>
      <c r="CR516" s="449" t="s">
        <v>40</v>
      </c>
      <c r="CS516" s="449"/>
      <c r="CT516" s="24"/>
      <c r="CU516" s="24"/>
      <c r="CV516" s="24"/>
    </row>
    <row r="517" spans="1:100" x14ac:dyDescent="0.25">
      <c r="A517" s="293" t="s">
        <v>2691</v>
      </c>
      <c r="B517" s="132" t="s">
        <v>441</v>
      </c>
      <c r="C517" s="132" t="s">
        <v>44</v>
      </c>
      <c r="D517" s="132" t="s">
        <v>351</v>
      </c>
      <c r="E517" s="132" t="s">
        <v>446</v>
      </c>
      <c r="F517" s="132">
        <v>663</v>
      </c>
      <c r="G517" s="214">
        <v>3411</v>
      </c>
      <c r="H517" s="132"/>
      <c r="I517" s="132" t="s">
        <v>2407</v>
      </c>
      <c r="J517" s="133">
        <v>43799</v>
      </c>
      <c r="K517" s="132">
        <v>0</v>
      </c>
      <c r="L517" s="132" t="s">
        <v>48</v>
      </c>
      <c r="M517" s="134">
        <v>0.5</v>
      </c>
      <c r="N517" s="134">
        <v>0.1</v>
      </c>
      <c r="O517" s="320">
        <v>0</v>
      </c>
      <c r="P517" s="326">
        <v>0</v>
      </c>
      <c r="Q517" s="326">
        <v>5290</v>
      </c>
      <c r="R517" s="315">
        <v>0</v>
      </c>
      <c r="S517" s="315">
        <v>0</v>
      </c>
      <c r="T517" s="315"/>
      <c r="U517" s="315">
        <v>0</v>
      </c>
      <c r="V517" s="315">
        <v>0</v>
      </c>
      <c r="W517" s="315">
        <v>0</v>
      </c>
      <c r="X517" s="315">
        <v>0</v>
      </c>
      <c r="Y517" s="315">
        <v>0</v>
      </c>
      <c r="Z517" s="315"/>
      <c r="AA517" s="336">
        <v>243</v>
      </c>
      <c r="AB517" s="336">
        <v>10</v>
      </c>
      <c r="AC517" s="337">
        <v>1</v>
      </c>
      <c r="AD517" s="337"/>
      <c r="AE517" s="336">
        <v>0</v>
      </c>
      <c r="AF517" s="336" t="s">
        <v>332</v>
      </c>
      <c r="AG517" s="339" t="s">
        <v>283</v>
      </c>
      <c r="AH517" s="339">
        <v>0</v>
      </c>
      <c r="AI517" s="336">
        <v>0</v>
      </c>
      <c r="AJ517" s="336"/>
      <c r="AK517" s="848">
        <v>0.53</v>
      </c>
      <c r="AL517" s="836" t="s">
        <v>376</v>
      </c>
      <c r="AM517" s="836">
        <v>0</v>
      </c>
      <c r="AN517" s="837">
        <v>15</v>
      </c>
      <c r="AO517" s="837"/>
      <c r="AP517" s="843">
        <v>513</v>
      </c>
      <c r="AQ517" s="839">
        <v>0</v>
      </c>
      <c r="AR517" s="839" t="s">
        <v>282</v>
      </c>
      <c r="AS517" s="839"/>
      <c r="AT517" s="839">
        <v>9</v>
      </c>
      <c r="AU517" s="839"/>
      <c r="AV517" s="849"/>
      <c r="AW517" s="134" t="s">
        <v>3208</v>
      </c>
      <c r="AX517" s="136" t="s">
        <v>3208</v>
      </c>
      <c r="AY517" s="137" t="s">
        <v>2576</v>
      </c>
      <c r="AZ517" s="21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0.10339098993452556</v>
      </c>
      <c r="BA517" s="136">
        <v>0.10339098993452556</v>
      </c>
      <c r="BB517" s="136">
        <v>0.10339098993452556</v>
      </c>
      <c r="BC517" s="209">
        <f>WWWW[[#This Row],[%Equitable and continuous access to sufficient quantity of safe drinking water]]*WWWW[[#This Row],[Total PoP ]]</f>
        <v>352.66666666666669</v>
      </c>
      <c r="BD517" s="211">
        <f>IF((WWWW[[#This Row],['# Existing protected/fenced ponds ]]*250)/WWWW[[#This Row],[Total PoP ]]&gt;1,1,WWWW[[#This Row],['# Existing protected/fenced ponds ]]*250/WWWW[[#This Row],[Total PoP ]])</f>
        <v>0</v>
      </c>
      <c r="BE517" s="209">
        <f>WWWW[[#This Row],[Access to unimproved water points]]*WWWW[[#This Row],[Total PoP ]]</f>
        <v>0</v>
      </c>
      <c r="BF517" s="21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0.10339098993452556</v>
      </c>
      <c r="BG517" s="20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352.66666666666669</v>
      </c>
      <c r="BH517" s="214">
        <v>0.70533333333333337</v>
      </c>
      <c r="BI517" s="134">
        <v>0.89660901006547444</v>
      </c>
      <c r="BJ517" s="214">
        <v>3058.3333333333335</v>
      </c>
      <c r="BK517" s="137">
        <v>6.2946666666666662</v>
      </c>
      <c r="BL517" s="137">
        <v>7</v>
      </c>
      <c r="BM517" s="137">
        <v>253</v>
      </c>
      <c r="BN517" s="134">
        <v>1</v>
      </c>
      <c r="BO517" s="351">
        <v>3411</v>
      </c>
      <c r="BP517" s="134">
        <v>0</v>
      </c>
      <c r="BQ517" s="214">
        <v>0</v>
      </c>
      <c r="BR517" s="137">
        <v>171</v>
      </c>
      <c r="BS517" s="138">
        <v>3.9525691699604744E-2</v>
      </c>
      <c r="BT517" s="351">
        <v>20</v>
      </c>
      <c r="BU517" s="214">
        <v>0</v>
      </c>
      <c r="BV517" s="214">
        <v>0</v>
      </c>
      <c r="BW517" s="214">
        <v>0</v>
      </c>
      <c r="BX517" s="214">
        <v>0</v>
      </c>
      <c r="BY517" s="214">
        <v>0</v>
      </c>
      <c r="BZ517" s="134">
        <v>0</v>
      </c>
      <c r="CA517" s="138">
        <v>1</v>
      </c>
      <c r="CB517" s="136">
        <v>0</v>
      </c>
      <c r="CC517" s="136">
        <v>0.77375565610859731</v>
      </c>
      <c r="CD517" s="136">
        <v>0</v>
      </c>
      <c r="CE517" s="137">
        <v>2565</v>
      </c>
      <c r="CF517" s="137">
        <v>0</v>
      </c>
      <c r="CG517" s="137">
        <v>2565</v>
      </c>
      <c r="CH517" s="214">
        <v>351.39000000000004</v>
      </c>
      <c r="CI517" s="139" t="s">
        <v>48</v>
      </c>
      <c r="CJ517" s="139" t="s">
        <v>49</v>
      </c>
      <c r="CK517" s="139" t="s">
        <v>50</v>
      </c>
      <c r="CL517" s="139" t="s">
        <v>50</v>
      </c>
      <c r="CM517" s="139" t="s">
        <v>50</v>
      </c>
      <c r="CN517" s="139" t="s">
        <v>949</v>
      </c>
      <c r="CO517" s="139">
        <v>24.2744</v>
      </c>
      <c r="CP517" s="139">
        <v>97.752667000000002</v>
      </c>
      <c r="CQ517" s="139" t="s">
        <v>1959</v>
      </c>
      <c r="CR517" s="449" t="s">
        <v>40</v>
      </c>
      <c r="CS517" s="449"/>
      <c r="CT517" s="24"/>
      <c r="CU517" s="24"/>
      <c r="CV517" s="24"/>
    </row>
    <row r="518" spans="1:100" x14ac:dyDescent="0.25">
      <c r="A518" s="293" t="s">
        <v>2691</v>
      </c>
      <c r="B518" s="132" t="s">
        <v>426</v>
      </c>
      <c r="C518" s="132" t="s">
        <v>44</v>
      </c>
      <c r="D518" s="132" t="s">
        <v>351</v>
      </c>
      <c r="E518" s="132" t="s">
        <v>436</v>
      </c>
      <c r="F518" s="132">
        <v>41</v>
      </c>
      <c r="G518" s="214">
        <v>253</v>
      </c>
      <c r="H518" s="132"/>
      <c r="I518" s="132" t="s">
        <v>428</v>
      </c>
      <c r="J518" s="133" t="s">
        <v>2809</v>
      </c>
      <c r="K518" s="132">
        <v>0</v>
      </c>
      <c r="L518" s="132" t="s">
        <v>48</v>
      </c>
      <c r="M518" s="134">
        <v>0.58333333333333337</v>
      </c>
      <c r="N518" s="134">
        <v>1</v>
      </c>
      <c r="O518" s="320">
        <v>1</v>
      </c>
      <c r="P518" s="326">
        <v>1</v>
      </c>
      <c r="Q518" s="326">
        <v>154500</v>
      </c>
      <c r="R518" s="315">
        <v>0</v>
      </c>
      <c r="S518" s="315">
        <v>0</v>
      </c>
      <c r="T518" s="315"/>
      <c r="U518" s="315">
        <v>0</v>
      </c>
      <c r="V518" s="315">
        <v>0</v>
      </c>
      <c r="W518" s="315">
        <v>8</v>
      </c>
      <c r="X518" s="315">
        <v>7</v>
      </c>
      <c r="Y518" s="315">
        <v>0</v>
      </c>
      <c r="Z518" s="315"/>
      <c r="AA518" s="336">
        <v>18</v>
      </c>
      <c r="AB518" s="336">
        <v>0</v>
      </c>
      <c r="AC518" s="337">
        <v>17</v>
      </c>
      <c r="AD518" s="337" t="s">
        <v>2785</v>
      </c>
      <c r="AE518" s="336">
        <v>0</v>
      </c>
      <c r="AF518" s="336" t="s">
        <v>283</v>
      </c>
      <c r="AG518" s="339" t="s">
        <v>283</v>
      </c>
      <c r="AH518" s="339">
        <v>0</v>
      </c>
      <c r="AI518" s="336">
        <v>0</v>
      </c>
      <c r="AJ518" s="336"/>
      <c r="AK518" s="848">
        <v>1</v>
      </c>
      <c r="AL518" s="836" t="s">
        <v>291</v>
      </c>
      <c r="AM518" s="836">
        <v>0</v>
      </c>
      <c r="AN518" s="837">
        <v>2</v>
      </c>
      <c r="AO518" s="837">
        <v>1</v>
      </c>
      <c r="AP518" s="843">
        <v>124</v>
      </c>
      <c r="AQ518" s="839">
        <v>0</v>
      </c>
      <c r="AR518" s="839"/>
      <c r="AS518" s="839"/>
      <c r="AT518" s="839">
        <v>2</v>
      </c>
      <c r="AU518" s="839">
        <v>0</v>
      </c>
      <c r="AV518" s="849" t="s">
        <v>2461</v>
      </c>
      <c r="AW518" s="134" t="s">
        <v>3208</v>
      </c>
      <c r="AX518" s="136">
        <v>0.875</v>
      </c>
      <c r="AY518" s="137" t="s">
        <v>2577</v>
      </c>
      <c r="AZ518" s="136">
        <v>1</v>
      </c>
      <c r="BA518" s="136">
        <v>1</v>
      </c>
      <c r="BB518" s="136">
        <v>1</v>
      </c>
      <c r="BC518" s="214">
        <v>253</v>
      </c>
      <c r="BD518" s="136">
        <v>0</v>
      </c>
      <c r="BE518" s="214">
        <v>0</v>
      </c>
      <c r="BF518" s="136">
        <v>1</v>
      </c>
      <c r="BG518" s="214">
        <v>253</v>
      </c>
      <c r="BH518" s="214">
        <v>0.50600000000000001</v>
      </c>
      <c r="BI518" s="134">
        <v>0</v>
      </c>
      <c r="BJ518" s="214">
        <v>0</v>
      </c>
      <c r="BK518" s="137">
        <v>0.49399999999999999</v>
      </c>
      <c r="BL518" s="137">
        <v>1</v>
      </c>
      <c r="BM518" s="137">
        <v>18</v>
      </c>
      <c r="BN518" s="134">
        <v>1</v>
      </c>
      <c r="BO518" s="351">
        <v>253</v>
      </c>
      <c r="BP518" s="134">
        <v>0</v>
      </c>
      <c r="BQ518" s="214">
        <v>0</v>
      </c>
      <c r="BR518" s="137">
        <v>13</v>
      </c>
      <c r="BS518" s="138">
        <v>0</v>
      </c>
      <c r="BT518" s="351">
        <v>253</v>
      </c>
      <c r="BU518" s="214">
        <v>253</v>
      </c>
      <c r="BV518" s="214">
        <v>0</v>
      </c>
      <c r="BW518" s="214">
        <v>1</v>
      </c>
      <c r="BX518" s="214">
        <v>1</v>
      </c>
      <c r="BY518" s="214">
        <v>253</v>
      </c>
      <c r="BZ518" s="134">
        <v>1</v>
      </c>
      <c r="CA518" s="138">
        <v>0</v>
      </c>
      <c r="CB518" s="136">
        <v>1</v>
      </c>
      <c r="CC518" s="136">
        <v>1</v>
      </c>
      <c r="CD518" s="136">
        <v>0</v>
      </c>
      <c r="CE518" s="137">
        <v>620</v>
      </c>
      <c r="CF518" s="137">
        <v>0</v>
      </c>
      <c r="CG518" s="137">
        <v>620</v>
      </c>
      <c r="CH518" s="214">
        <v>41</v>
      </c>
      <c r="CI518" s="139" t="s">
        <v>48</v>
      </c>
      <c r="CJ518" s="139" t="s">
        <v>287</v>
      </c>
      <c r="CK518" s="139" t="s">
        <v>50</v>
      </c>
      <c r="CL518" s="139" t="s">
        <v>50</v>
      </c>
      <c r="CM518" s="139" t="s">
        <v>50</v>
      </c>
      <c r="CN518" s="139" t="s">
        <v>51</v>
      </c>
      <c r="CO518" s="139">
        <v>24.207332999999998</v>
      </c>
      <c r="CP518" s="139">
        <v>97.710864000000001</v>
      </c>
      <c r="CQ518" s="139" t="s">
        <v>1941</v>
      </c>
      <c r="CR518" s="449" t="s">
        <v>40</v>
      </c>
      <c r="CS518" s="449"/>
      <c r="CT518" s="24"/>
      <c r="CU518" s="24"/>
      <c r="CV518" s="24"/>
    </row>
    <row r="519" spans="1:100" x14ac:dyDescent="0.25">
      <c r="A519" s="293" t="s">
        <v>2691</v>
      </c>
      <c r="B519" s="132" t="s">
        <v>287</v>
      </c>
      <c r="C519" s="132" t="s">
        <v>44</v>
      </c>
      <c r="D519" s="132" t="s">
        <v>305</v>
      </c>
      <c r="E519" s="132" t="s">
        <v>2803</v>
      </c>
      <c r="F519" s="132">
        <v>24</v>
      </c>
      <c r="G519" s="214">
        <v>103</v>
      </c>
      <c r="H519" s="132"/>
      <c r="I519" s="132"/>
      <c r="J519" s="133"/>
      <c r="K519" s="132"/>
      <c r="L519" s="132"/>
      <c r="M519" s="134"/>
      <c r="N519" s="134"/>
      <c r="O519" s="320"/>
      <c r="P519" s="326"/>
      <c r="Q519" s="326"/>
      <c r="R519" s="315"/>
      <c r="S519" s="315"/>
      <c r="T519" s="315"/>
      <c r="U519" s="315"/>
      <c r="V519" s="315"/>
      <c r="W519" s="315"/>
      <c r="X519" s="315"/>
      <c r="Y519" s="315"/>
      <c r="Z519" s="315"/>
      <c r="AA519" s="336"/>
      <c r="AB519" s="336"/>
      <c r="AC519" s="337"/>
      <c r="AD519" s="337"/>
      <c r="AE519" s="336"/>
      <c r="AF519" s="336"/>
      <c r="AG519" s="339"/>
      <c r="AH519" s="339"/>
      <c r="AI519" s="336"/>
      <c r="AJ519" s="336"/>
      <c r="AK519" s="848"/>
      <c r="AL519" s="842"/>
      <c r="AM519" s="836"/>
      <c r="AN519" s="850"/>
      <c r="AO519" s="850"/>
      <c r="AP519" s="843"/>
      <c r="AQ519" s="839"/>
      <c r="AR519" s="839"/>
      <c r="AS519" s="839"/>
      <c r="AT519" s="839"/>
      <c r="AU519" s="839"/>
      <c r="AV519" s="849"/>
      <c r="AW519" s="134" t="s">
        <v>3208</v>
      </c>
      <c r="AX519" s="136" t="s">
        <v>3208</v>
      </c>
      <c r="AY519" s="137" t="s">
        <v>2576</v>
      </c>
      <c r="AZ519" s="136">
        <v>0</v>
      </c>
      <c r="BA519" s="136">
        <v>0</v>
      </c>
      <c r="BB519" s="136">
        <v>0</v>
      </c>
      <c r="BC519" s="214">
        <v>0</v>
      </c>
      <c r="BD519" s="136">
        <v>0</v>
      </c>
      <c r="BE519" s="214">
        <v>0</v>
      </c>
      <c r="BF519" s="136">
        <v>0</v>
      </c>
      <c r="BG519" s="214">
        <v>0</v>
      </c>
      <c r="BH519" s="214">
        <v>0</v>
      </c>
      <c r="BI519" s="134">
        <v>1</v>
      </c>
      <c r="BJ519" s="214">
        <v>103</v>
      </c>
      <c r="BK519" s="137">
        <v>1</v>
      </c>
      <c r="BL519" s="137">
        <v>1</v>
      </c>
      <c r="BM519" s="137">
        <v>0</v>
      </c>
      <c r="BN519" s="134">
        <v>0</v>
      </c>
      <c r="BO519" s="351">
        <v>0</v>
      </c>
      <c r="BP519" s="134">
        <v>0.97087378640776689</v>
      </c>
      <c r="BQ519" s="214">
        <v>5</v>
      </c>
      <c r="BR519" s="137">
        <v>5</v>
      </c>
      <c r="BS519" s="138">
        <v>0</v>
      </c>
      <c r="BT519" s="351">
        <v>0</v>
      </c>
      <c r="BU519" s="214">
        <v>0</v>
      </c>
      <c r="BV519" s="214">
        <v>0</v>
      </c>
      <c r="BW519" s="214">
        <v>0</v>
      </c>
      <c r="BX519" s="214">
        <v>0</v>
      </c>
      <c r="BY519" s="214">
        <v>0</v>
      </c>
      <c r="BZ519" s="134">
        <v>0</v>
      </c>
      <c r="CA519" s="138">
        <v>1</v>
      </c>
      <c r="CB519" s="136">
        <v>0</v>
      </c>
      <c r="CC519" s="136">
        <v>0</v>
      </c>
      <c r="CD519" s="136">
        <v>0</v>
      </c>
      <c r="CE519" s="137">
        <v>0</v>
      </c>
      <c r="CF519" s="137">
        <v>0</v>
      </c>
      <c r="CG519" s="137">
        <v>0</v>
      </c>
      <c r="CH519" s="214">
        <v>0</v>
      </c>
      <c r="CI519" s="139">
        <v>0</v>
      </c>
      <c r="CJ519" s="139">
        <v>0</v>
      </c>
      <c r="CK519" s="139" t="s">
        <v>1921</v>
      </c>
      <c r="CL519" s="139" t="s">
        <v>50</v>
      </c>
      <c r="CM519" s="139" t="s">
        <v>946</v>
      </c>
      <c r="CN519" s="812" t="s">
        <v>949</v>
      </c>
      <c r="CO519" s="139">
        <v>0</v>
      </c>
      <c r="CP519" s="139">
        <v>0</v>
      </c>
      <c r="CQ519" s="139">
        <v>0</v>
      </c>
      <c r="CR519" s="449" t="s">
        <v>40</v>
      </c>
      <c r="CS519" s="449"/>
      <c r="CT519" s="24"/>
      <c r="CU519" s="24"/>
      <c r="CV519" s="24"/>
    </row>
    <row r="520" spans="1:100" x14ac:dyDescent="0.25">
      <c r="A520" s="293" t="s">
        <v>2691</v>
      </c>
      <c r="B520" s="132" t="s">
        <v>287</v>
      </c>
      <c r="C520" s="132" t="s">
        <v>44</v>
      </c>
      <c r="D520" s="132" t="s">
        <v>305</v>
      </c>
      <c r="E520" s="132" t="s">
        <v>306</v>
      </c>
      <c r="F520" s="132">
        <v>42</v>
      </c>
      <c r="G520" s="214">
        <v>185</v>
      </c>
      <c r="H520" s="132"/>
      <c r="I520" s="132" t="s">
        <v>290</v>
      </c>
      <c r="J520" s="133" t="s">
        <v>2800</v>
      </c>
      <c r="K520" s="132">
        <v>0</v>
      </c>
      <c r="L520" s="132" t="s">
        <v>48</v>
      </c>
      <c r="M520" s="134">
        <v>0.6</v>
      </c>
      <c r="N520" s="134">
        <v>0.5</v>
      </c>
      <c r="O520" s="320">
        <v>0</v>
      </c>
      <c r="P520" s="326">
        <v>3</v>
      </c>
      <c r="Q520" s="326">
        <v>4000</v>
      </c>
      <c r="R520" s="315">
        <v>0</v>
      </c>
      <c r="S520" s="315">
        <v>0</v>
      </c>
      <c r="T520" s="315"/>
      <c r="U520" s="315">
        <v>0</v>
      </c>
      <c r="V520" s="315">
        <v>0</v>
      </c>
      <c r="W520" s="315">
        <v>0</v>
      </c>
      <c r="X520" s="315">
        <v>0</v>
      </c>
      <c r="Y520" s="315">
        <v>0</v>
      </c>
      <c r="Z520" s="315"/>
      <c r="AA520" s="336">
        <v>7</v>
      </c>
      <c r="AB520" s="336">
        <v>0</v>
      </c>
      <c r="AC520" s="337">
        <v>0</v>
      </c>
      <c r="AD520" s="337"/>
      <c r="AE520" s="336">
        <v>0</v>
      </c>
      <c r="AF520" s="336" t="s">
        <v>283</v>
      </c>
      <c r="AG520" s="339" t="s">
        <v>1358</v>
      </c>
      <c r="AH520" s="339"/>
      <c r="AI520" s="336"/>
      <c r="AJ520" s="336"/>
      <c r="AK520" s="848">
        <v>0.6</v>
      </c>
      <c r="AL520" s="842" t="s">
        <v>376</v>
      </c>
      <c r="AM520" s="836">
        <v>0</v>
      </c>
      <c r="AN520" s="837">
        <v>3</v>
      </c>
      <c r="AO520" s="837">
        <v>1</v>
      </c>
      <c r="AP520" s="843">
        <v>0</v>
      </c>
      <c r="AQ520" s="839">
        <v>0</v>
      </c>
      <c r="AR520" s="839"/>
      <c r="AS520" s="839"/>
      <c r="AT520" s="839"/>
      <c r="AU520" s="839"/>
      <c r="AV520" s="849"/>
      <c r="AW520" s="134" t="s">
        <v>3208</v>
      </c>
      <c r="AX520" s="136" t="s">
        <v>3208</v>
      </c>
      <c r="AY520" s="137" t="s">
        <v>2576</v>
      </c>
      <c r="AZ520" s="136">
        <v>1</v>
      </c>
      <c r="BA520" s="136">
        <v>1</v>
      </c>
      <c r="BB520" s="136">
        <v>1</v>
      </c>
      <c r="BC520" s="214">
        <v>185</v>
      </c>
      <c r="BD520" s="136">
        <v>0</v>
      </c>
      <c r="BE520" s="214">
        <v>0</v>
      </c>
      <c r="BF520" s="136">
        <v>1</v>
      </c>
      <c r="BG520" s="214">
        <v>185</v>
      </c>
      <c r="BH520" s="214">
        <v>0.37</v>
      </c>
      <c r="BI520" s="134">
        <v>0</v>
      </c>
      <c r="BJ520" s="214">
        <v>0</v>
      </c>
      <c r="BK520" s="137">
        <v>0.63</v>
      </c>
      <c r="BL520" s="137">
        <v>1</v>
      </c>
      <c r="BM520" s="137">
        <v>7</v>
      </c>
      <c r="BN520" s="134">
        <v>0.7567567567567568</v>
      </c>
      <c r="BO520" s="351">
        <v>140</v>
      </c>
      <c r="BP520" s="134">
        <v>0.21621621621621623</v>
      </c>
      <c r="BQ520" s="214">
        <v>2</v>
      </c>
      <c r="BR520" s="137">
        <v>9</v>
      </c>
      <c r="BS520" s="138">
        <v>0</v>
      </c>
      <c r="BT520" s="351">
        <v>0</v>
      </c>
      <c r="BU520" s="214">
        <v>185</v>
      </c>
      <c r="BV520" s="214">
        <v>0</v>
      </c>
      <c r="BW520" s="214">
        <v>1</v>
      </c>
      <c r="BX520" s="214">
        <v>0</v>
      </c>
      <c r="BY520" s="214">
        <v>0</v>
      </c>
      <c r="BZ520" s="134">
        <v>0</v>
      </c>
      <c r="CA520" s="138">
        <v>1</v>
      </c>
      <c r="CB520" s="136">
        <v>1</v>
      </c>
      <c r="CC520" s="136">
        <v>0</v>
      </c>
      <c r="CD520" s="136">
        <v>0</v>
      </c>
      <c r="CE520" s="137">
        <v>0</v>
      </c>
      <c r="CF520" s="137">
        <v>0</v>
      </c>
      <c r="CG520" s="137">
        <v>0</v>
      </c>
      <c r="CH520" s="214">
        <v>25.2</v>
      </c>
      <c r="CI520" s="139" t="s">
        <v>48</v>
      </c>
      <c r="CJ520" s="139" t="s">
        <v>287</v>
      </c>
      <c r="CK520" s="139" t="s">
        <v>50</v>
      </c>
      <c r="CL520" s="139" t="s">
        <v>50</v>
      </c>
      <c r="CM520" s="139" t="s">
        <v>50</v>
      </c>
      <c r="CN520" s="139" t="s">
        <v>51</v>
      </c>
      <c r="CO520" s="139">
        <v>25.3959740909091</v>
      </c>
      <c r="CP520" s="139">
        <v>97.382997575757599</v>
      </c>
      <c r="CQ520" s="139" t="s">
        <v>2014</v>
      </c>
      <c r="CR520" s="449" t="s">
        <v>40</v>
      </c>
      <c r="CS520" s="449"/>
      <c r="CT520" s="24"/>
      <c r="CU520" s="24"/>
      <c r="CV520" s="24"/>
    </row>
    <row r="521" spans="1:100" x14ac:dyDescent="0.25">
      <c r="A521" s="293" t="s">
        <v>2691</v>
      </c>
      <c r="B521" s="132" t="s">
        <v>287</v>
      </c>
      <c r="C521" s="132" t="s">
        <v>44</v>
      </c>
      <c r="D521" s="132" t="s">
        <v>305</v>
      </c>
      <c r="E521" s="132" t="s">
        <v>307</v>
      </c>
      <c r="F521" s="132">
        <v>198</v>
      </c>
      <c r="G521" s="214">
        <v>1114</v>
      </c>
      <c r="H521" s="132"/>
      <c r="I521" s="132" t="s">
        <v>290</v>
      </c>
      <c r="J521" s="133" t="s">
        <v>2800</v>
      </c>
      <c r="K521" s="132">
        <v>0</v>
      </c>
      <c r="L521" s="132" t="s">
        <v>48</v>
      </c>
      <c r="M521" s="134">
        <v>0.6</v>
      </c>
      <c r="N521" s="134">
        <v>0.5</v>
      </c>
      <c r="O521" s="320">
        <v>1</v>
      </c>
      <c r="P521" s="326">
        <v>4</v>
      </c>
      <c r="Q521" s="326">
        <v>3000</v>
      </c>
      <c r="R521" s="315">
        <v>0</v>
      </c>
      <c r="S521" s="315">
        <v>0</v>
      </c>
      <c r="T521" s="315"/>
      <c r="U521" s="315">
        <v>0</v>
      </c>
      <c r="V521" s="315">
        <v>0</v>
      </c>
      <c r="W521" s="315">
        <v>0</v>
      </c>
      <c r="X521" s="315">
        <v>0</v>
      </c>
      <c r="Y521" s="315">
        <v>0</v>
      </c>
      <c r="Z521" s="315"/>
      <c r="AA521" s="336">
        <v>43</v>
      </c>
      <c r="AB521" s="336">
        <v>0</v>
      </c>
      <c r="AC521" s="337">
        <v>0</v>
      </c>
      <c r="AD521" s="337"/>
      <c r="AE521" s="336">
        <v>0</v>
      </c>
      <c r="AF521" s="336" t="s">
        <v>283</v>
      </c>
      <c r="AG521" s="339" t="s">
        <v>283</v>
      </c>
      <c r="AH521" s="339"/>
      <c r="AI521" s="336"/>
      <c r="AJ521" s="336"/>
      <c r="AK521" s="848">
        <v>0.6</v>
      </c>
      <c r="AL521" s="842" t="s">
        <v>376</v>
      </c>
      <c r="AM521" s="836">
        <v>0</v>
      </c>
      <c r="AN521" s="837">
        <v>3</v>
      </c>
      <c r="AO521" s="837">
        <v>4</v>
      </c>
      <c r="AP521" s="843">
        <v>0</v>
      </c>
      <c r="AQ521" s="839">
        <v>0</v>
      </c>
      <c r="AR521" s="839"/>
      <c r="AS521" s="839"/>
      <c r="AT521" s="839"/>
      <c r="AU521" s="839"/>
      <c r="AV521" s="849"/>
      <c r="AW521" s="134" t="s">
        <v>3208</v>
      </c>
      <c r="AX521" s="136" t="s">
        <v>3208</v>
      </c>
      <c r="AY521" s="137" t="s">
        <v>2576</v>
      </c>
      <c r="AZ521" s="136">
        <v>1</v>
      </c>
      <c r="BA521" s="136">
        <v>1</v>
      </c>
      <c r="BB521" s="136">
        <v>1</v>
      </c>
      <c r="BC521" s="214">
        <v>1114</v>
      </c>
      <c r="BD521" s="136">
        <v>0</v>
      </c>
      <c r="BE521" s="214">
        <v>0</v>
      </c>
      <c r="BF521" s="136">
        <v>1</v>
      </c>
      <c r="BG521" s="214">
        <v>1114</v>
      </c>
      <c r="BH521" s="214">
        <v>2.2280000000000002</v>
      </c>
      <c r="BI521" s="134">
        <v>0</v>
      </c>
      <c r="BJ521" s="214">
        <v>0</v>
      </c>
      <c r="BK521" s="137">
        <v>0</v>
      </c>
      <c r="BL521" s="137">
        <v>2</v>
      </c>
      <c r="BM521" s="137">
        <v>43</v>
      </c>
      <c r="BN521" s="134">
        <v>0.7719928186714542</v>
      </c>
      <c r="BO521" s="351">
        <v>860</v>
      </c>
      <c r="BP521" s="134">
        <v>0.23339317773788149</v>
      </c>
      <c r="BQ521" s="214">
        <v>13</v>
      </c>
      <c r="BR521" s="137">
        <v>56</v>
      </c>
      <c r="BS521" s="138">
        <v>0</v>
      </c>
      <c r="BT521" s="351">
        <v>0</v>
      </c>
      <c r="BU521" s="214">
        <v>1114</v>
      </c>
      <c r="BV521" s="214">
        <v>0</v>
      </c>
      <c r="BW521" s="214">
        <v>1</v>
      </c>
      <c r="BX521" s="214">
        <v>0</v>
      </c>
      <c r="BY521" s="214">
        <v>0</v>
      </c>
      <c r="BZ521" s="134">
        <v>0</v>
      </c>
      <c r="CA521" s="138">
        <v>1</v>
      </c>
      <c r="CB521" s="136">
        <v>1</v>
      </c>
      <c r="CC521" s="136">
        <v>0</v>
      </c>
      <c r="CD521" s="136">
        <v>0</v>
      </c>
      <c r="CE521" s="137">
        <v>0</v>
      </c>
      <c r="CF521" s="137">
        <v>0</v>
      </c>
      <c r="CG521" s="137">
        <v>0</v>
      </c>
      <c r="CH521" s="214">
        <v>118.8</v>
      </c>
      <c r="CI521" s="139" t="s">
        <v>48</v>
      </c>
      <c r="CJ521" s="139" t="s">
        <v>287</v>
      </c>
      <c r="CK521" s="139" t="s">
        <v>50</v>
      </c>
      <c r="CL521" s="139" t="s">
        <v>50</v>
      </c>
      <c r="CM521" s="139" t="s">
        <v>50</v>
      </c>
      <c r="CN521" s="139" t="s">
        <v>51</v>
      </c>
      <c r="CO521" s="139">
        <v>25.403476999999999</v>
      </c>
      <c r="CP521" s="139">
        <v>97.373361000000003</v>
      </c>
      <c r="CQ521" s="139" t="s">
        <v>2018</v>
      </c>
      <c r="CR521" s="449" t="s">
        <v>40</v>
      </c>
      <c r="CS521" s="449"/>
      <c r="CT521" s="24"/>
      <c r="CU521" s="24"/>
      <c r="CV521" s="24"/>
    </row>
    <row r="522" spans="1:100" x14ac:dyDescent="0.25">
      <c r="A522" s="293" t="s">
        <v>2691</v>
      </c>
      <c r="B522" s="132" t="s">
        <v>43</v>
      </c>
      <c r="C522" s="132" t="s">
        <v>44</v>
      </c>
      <c r="D522" s="132" t="s">
        <v>305</v>
      </c>
      <c r="E522" s="132" t="s">
        <v>380</v>
      </c>
      <c r="F522" s="132">
        <v>88</v>
      </c>
      <c r="G522" s="214">
        <v>430</v>
      </c>
      <c r="H522" s="132"/>
      <c r="I522" s="132" t="s">
        <v>372</v>
      </c>
      <c r="J522" s="133">
        <v>43465</v>
      </c>
      <c r="K522" s="132">
        <v>0</v>
      </c>
      <c r="L522" s="132" t="s">
        <v>2452</v>
      </c>
      <c r="M522" s="134">
        <v>0.5</v>
      </c>
      <c r="N522" s="134">
        <v>0.5</v>
      </c>
      <c r="O522" s="320">
        <v>1</v>
      </c>
      <c r="P522" s="326">
        <v>3</v>
      </c>
      <c r="Q522" s="326">
        <v>5000</v>
      </c>
      <c r="R522" s="315">
        <v>0</v>
      </c>
      <c r="S522" s="315">
        <v>4</v>
      </c>
      <c r="T522" s="315"/>
      <c r="U522" s="315">
        <v>3</v>
      </c>
      <c r="V522" s="315">
        <v>1</v>
      </c>
      <c r="W522" s="315">
        <v>12</v>
      </c>
      <c r="X522" s="315">
        <v>0</v>
      </c>
      <c r="Y522" s="315">
        <v>0</v>
      </c>
      <c r="Z522" s="315"/>
      <c r="AA522" s="336">
        <v>22</v>
      </c>
      <c r="AB522" s="336">
        <v>0</v>
      </c>
      <c r="AC522" s="337">
        <v>0</v>
      </c>
      <c r="AD522" s="337"/>
      <c r="AE522" s="336">
        <v>10</v>
      </c>
      <c r="AF522" s="336" t="s">
        <v>283</v>
      </c>
      <c r="AG522" s="339" t="s">
        <v>283</v>
      </c>
      <c r="AH522" s="339">
        <v>0</v>
      </c>
      <c r="AI522" s="336">
        <v>0</v>
      </c>
      <c r="AJ522" s="336"/>
      <c r="AK522" s="848">
        <v>0</v>
      </c>
      <c r="AL522" s="842" t="s">
        <v>376</v>
      </c>
      <c r="AM522" s="836">
        <v>0</v>
      </c>
      <c r="AN522" s="837">
        <v>3</v>
      </c>
      <c r="AO522" s="837">
        <v>2</v>
      </c>
      <c r="AP522" s="843">
        <v>0</v>
      </c>
      <c r="AQ522" s="839">
        <v>0</v>
      </c>
      <c r="AR522" s="839" t="s">
        <v>282</v>
      </c>
      <c r="AS522" s="839"/>
      <c r="AT522" s="839"/>
      <c r="AU522" s="839"/>
      <c r="AV522" s="849"/>
      <c r="AW522" s="134">
        <v>0.33333333333333331</v>
      </c>
      <c r="AX522" s="136">
        <v>0</v>
      </c>
      <c r="AY522" s="137" t="s">
        <v>2577</v>
      </c>
      <c r="AZ522" s="136">
        <v>1</v>
      </c>
      <c r="BA522" s="136">
        <v>1</v>
      </c>
      <c r="BB522" s="136">
        <v>1</v>
      </c>
      <c r="BC522" s="214">
        <v>430</v>
      </c>
      <c r="BD522" s="136">
        <v>0</v>
      </c>
      <c r="BE522" s="214">
        <v>0</v>
      </c>
      <c r="BF522" s="136">
        <v>1</v>
      </c>
      <c r="BG522" s="214">
        <v>430</v>
      </c>
      <c r="BH522" s="214">
        <v>0.86</v>
      </c>
      <c r="BI522" s="134">
        <v>0</v>
      </c>
      <c r="BJ522" s="214">
        <v>0</v>
      </c>
      <c r="BK522" s="137">
        <v>0.14000000000000001</v>
      </c>
      <c r="BL522" s="137">
        <v>1</v>
      </c>
      <c r="BM522" s="137">
        <v>22</v>
      </c>
      <c r="BN522" s="134">
        <v>1</v>
      </c>
      <c r="BO522" s="351">
        <v>430</v>
      </c>
      <c r="BP522" s="134">
        <v>0</v>
      </c>
      <c r="BQ522" s="214">
        <v>0</v>
      </c>
      <c r="BR522" s="137">
        <v>22</v>
      </c>
      <c r="BS522" s="138">
        <v>0</v>
      </c>
      <c r="BT522" s="351">
        <v>0</v>
      </c>
      <c r="BU522" s="214">
        <v>430</v>
      </c>
      <c r="BV522" s="214">
        <v>0</v>
      </c>
      <c r="BW522" s="214">
        <v>1</v>
      </c>
      <c r="BX522" s="214">
        <v>0</v>
      </c>
      <c r="BY522" s="214">
        <v>0</v>
      </c>
      <c r="BZ522" s="134">
        <v>0</v>
      </c>
      <c r="CA522" s="138">
        <v>1</v>
      </c>
      <c r="CB522" s="136">
        <v>1</v>
      </c>
      <c r="CC522" s="136">
        <v>0</v>
      </c>
      <c r="CD522" s="136">
        <v>0</v>
      </c>
      <c r="CE522" s="137">
        <v>0</v>
      </c>
      <c r="CF522" s="137">
        <v>0</v>
      </c>
      <c r="CG522" s="137">
        <v>0</v>
      </c>
      <c r="CH522" s="214">
        <v>0</v>
      </c>
      <c r="CI522" s="139" t="s">
        <v>48</v>
      </c>
      <c r="CJ522" s="139" t="s">
        <v>1539</v>
      </c>
      <c r="CK522" s="139" t="s">
        <v>50</v>
      </c>
      <c r="CL522" s="139" t="s">
        <v>50</v>
      </c>
      <c r="CM522" s="139" t="s">
        <v>50</v>
      </c>
      <c r="CN522" s="139" t="s">
        <v>51</v>
      </c>
      <c r="CO522" s="139">
        <v>25.401061110000001</v>
      </c>
      <c r="CP522" s="139">
        <v>97.379594999999995</v>
      </c>
      <c r="CQ522" s="139" t="s">
        <v>2017</v>
      </c>
      <c r="CR522" s="449" t="s">
        <v>40</v>
      </c>
      <c r="CS522" s="449"/>
      <c r="CT522" s="24"/>
      <c r="CU522" s="24"/>
      <c r="CV522" s="24"/>
    </row>
    <row r="523" spans="1:100" x14ac:dyDescent="0.25">
      <c r="A523" s="293" t="s">
        <v>2691</v>
      </c>
      <c r="B523" s="132" t="s">
        <v>287</v>
      </c>
      <c r="C523" s="132" t="s">
        <v>44</v>
      </c>
      <c r="D523" s="132" t="s">
        <v>305</v>
      </c>
      <c r="E523" s="132" t="s">
        <v>2943</v>
      </c>
      <c r="F523" s="132">
        <v>118</v>
      </c>
      <c r="G523" s="214">
        <v>489</v>
      </c>
      <c r="H523" s="132"/>
      <c r="I523" s="132" t="s">
        <v>296</v>
      </c>
      <c r="J523" s="133">
        <v>43465</v>
      </c>
      <c r="K523" s="132"/>
      <c r="L523" s="132"/>
      <c r="M523" s="206"/>
      <c r="N523" s="206"/>
      <c r="O523" s="320"/>
      <c r="P523" s="326"/>
      <c r="Q523" s="326"/>
      <c r="R523" s="315"/>
      <c r="S523" s="315"/>
      <c r="T523" s="315"/>
      <c r="U523" s="315"/>
      <c r="V523" s="315"/>
      <c r="W523" s="315"/>
      <c r="X523" s="315"/>
      <c r="Y523" s="315"/>
      <c r="Z523" s="315"/>
      <c r="AA523" s="336"/>
      <c r="AB523" s="336"/>
      <c r="AC523" s="337"/>
      <c r="AD523" s="337"/>
      <c r="AE523" s="336"/>
      <c r="AF523" s="336"/>
      <c r="AG523" s="339"/>
      <c r="AH523" s="339"/>
      <c r="AI523" s="336"/>
      <c r="AJ523" s="336"/>
      <c r="AK523" s="848"/>
      <c r="AL523" s="836"/>
      <c r="AM523" s="836"/>
      <c r="AN523" s="837"/>
      <c r="AO523" s="837"/>
      <c r="AP523" s="839"/>
      <c r="AQ523" s="839"/>
      <c r="AR523" s="839"/>
      <c r="AS523" s="839"/>
      <c r="AT523" s="839"/>
      <c r="AU523" s="839"/>
      <c r="AV523" s="849"/>
      <c r="AW523" s="134" t="s">
        <v>3208</v>
      </c>
      <c r="AX523" s="136" t="s">
        <v>3208</v>
      </c>
      <c r="AY523" s="137" t="s">
        <v>2576</v>
      </c>
      <c r="AZ523" s="136">
        <v>0</v>
      </c>
      <c r="BA523" s="136">
        <v>0</v>
      </c>
      <c r="BB523" s="136">
        <v>0</v>
      </c>
      <c r="BC523" s="214">
        <v>0</v>
      </c>
      <c r="BD523" s="136">
        <v>0</v>
      </c>
      <c r="BE523" s="214">
        <v>0</v>
      </c>
      <c r="BF523" s="136">
        <v>0</v>
      </c>
      <c r="BG523" s="214">
        <v>0</v>
      </c>
      <c r="BH523" s="214">
        <v>0</v>
      </c>
      <c r="BI523" s="134">
        <v>1</v>
      </c>
      <c r="BJ523" s="214">
        <v>489</v>
      </c>
      <c r="BK523" s="137">
        <v>1</v>
      </c>
      <c r="BL523" s="137">
        <v>1</v>
      </c>
      <c r="BM523" s="137">
        <v>0</v>
      </c>
      <c r="BN523" s="134">
        <v>0</v>
      </c>
      <c r="BO523" s="351">
        <v>0</v>
      </c>
      <c r="BP523" s="134">
        <v>0.98159509202453987</v>
      </c>
      <c r="BQ523" s="214">
        <v>24</v>
      </c>
      <c r="BR523" s="137">
        <v>24</v>
      </c>
      <c r="BS523" s="138">
        <v>0</v>
      </c>
      <c r="BT523" s="351">
        <v>0</v>
      </c>
      <c r="BU523" s="214">
        <v>0</v>
      </c>
      <c r="BV523" s="214">
        <v>0</v>
      </c>
      <c r="BW523" s="214">
        <v>0</v>
      </c>
      <c r="BX523" s="214">
        <v>0</v>
      </c>
      <c r="BY523" s="214">
        <v>0</v>
      </c>
      <c r="BZ523" s="134">
        <v>0</v>
      </c>
      <c r="CA523" s="138">
        <v>1</v>
      </c>
      <c r="CB523" s="136">
        <v>0</v>
      </c>
      <c r="CC523" s="136">
        <v>0</v>
      </c>
      <c r="CD523" s="136">
        <v>0</v>
      </c>
      <c r="CE523" s="137">
        <v>0</v>
      </c>
      <c r="CF523" s="137">
        <v>0</v>
      </c>
      <c r="CG523" s="137">
        <v>0</v>
      </c>
      <c r="CH523" s="214">
        <v>0</v>
      </c>
      <c r="CI523" s="139">
        <v>0</v>
      </c>
      <c r="CJ523" s="139" t="s">
        <v>287</v>
      </c>
      <c r="CK523" s="139" t="s">
        <v>2716</v>
      </c>
      <c r="CL523" s="139" t="s">
        <v>50</v>
      </c>
      <c r="CM523" s="139" t="s">
        <v>50</v>
      </c>
      <c r="CN523" s="139" t="s">
        <v>51</v>
      </c>
      <c r="CO523" s="139">
        <v>0</v>
      </c>
      <c r="CP523" s="139">
        <v>0</v>
      </c>
      <c r="CQ523" s="139" t="s">
        <v>2678</v>
      </c>
      <c r="CR523" s="449" t="s">
        <v>40</v>
      </c>
      <c r="CS523" s="449"/>
      <c r="CT523" s="24"/>
      <c r="CU523" s="24"/>
      <c r="CV523" s="24"/>
    </row>
    <row r="524" spans="1:100" x14ac:dyDescent="0.25">
      <c r="A524" s="293" t="s">
        <v>2691</v>
      </c>
      <c r="B524" s="132" t="s">
        <v>460</v>
      </c>
      <c r="C524" s="132" t="s">
        <v>44</v>
      </c>
      <c r="D524" s="132" t="s">
        <v>305</v>
      </c>
      <c r="E524" s="132" t="s">
        <v>1274</v>
      </c>
      <c r="F524" s="132">
        <v>19</v>
      </c>
      <c r="G524" s="214">
        <v>46</v>
      </c>
      <c r="H524" s="132"/>
      <c r="I524" s="132"/>
      <c r="J524" s="133"/>
      <c r="K524" s="132"/>
      <c r="L524" s="132"/>
      <c r="M524" s="206"/>
      <c r="N524" s="206"/>
      <c r="O524" s="320"/>
      <c r="P524" s="326"/>
      <c r="Q524" s="326"/>
      <c r="R524" s="315"/>
      <c r="S524" s="315"/>
      <c r="T524" s="315"/>
      <c r="U524" s="315"/>
      <c r="V524" s="315"/>
      <c r="W524" s="315"/>
      <c r="X524" s="315"/>
      <c r="Y524" s="315"/>
      <c r="Z524" s="315"/>
      <c r="AA524" s="336"/>
      <c r="AB524" s="336"/>
      <c r="AC524" s="337"/>
      <c r="AD524" s="337"/>
      <c r="AE524" s="336"/>
      <c r="AF524" s="336"/>
      <c r="AG524" s="339"/>
      <c r="AH524" s="339"/>
      <c r="AI524" s="336"/>
      <c r="AJ524" s="336"/>
      <c r="AK524" s="848"/>
      <c r="AL524" s="836"/>
      <c r="AM524" s="836"/>
      <c r="AN524" s="837"/>
      <c r="AO524" s="837"/>
      <c r="AP524" s="839"/>
      <c r="AQ524" s="839"/>
      <c r="AR524" s="839"/>
      <c r="AS524" s="839"/>
      <c r="AT524" s="839"/>
      <c r="AU524" s="839"/>
      <c r="AV524" s="849"/>
      <c r="AW524" s="134" t="s">
        <v>3208</v>
      </c>
      <c r="AX524" s="136" t="s">
        <v>3208</v>
      </c>
      <c r="AY524" s="137" t="s">
        <v>2576</v>
      </c>
      <c r="AZ524" s="136">
        <v>0</v>
      </c>
      <c r="BA524" s="136">
        <v>0</v>
      </c>
      <c r="BB524" s="136">
        <v>0</v>
      </c>
      <c r="BC524" s="214">
        <v>0</v>
      </c>
      <c r="BD524" s="136">
        <v>0</v>
      </c>
      <c r="BE524" s="214">
        <v>0</v>
      </c>
      <c r="BF524" s="136">
        <v>0</v>
      </c>
      <c r="BG524" s="214">
        <v>0</v>
      </c>
      <c r="BH524" s="214">
        <v>0</v>
      </c>
      <c r="BI524" s="134">
        <v>1</v>
      </c>
      <c r="BJ524" s="214">
        <v>46</v>
      </c>
      <c r="BK524" s="137">
        <v>1</v>
      </c>
      <c r="BL524" s="137">
        <v>1</v>
      </c>
      <c r="BM524" s="137">
        <v>0</v>
      </c>
      <c r="BN524" s="134">
        <v>0</v>
      </c>
      <c r="BO524" s="351">
        <v>0</v>
      </c>
      <c r="BP524" s="134">
        <v>0.86956521739130443</v>
      </c>
      <c r="BQ524" s="214">
        <v>2</v>
      </c>
      <c r="BR524" s="137">
        <v>2</v>
      </c>
      <c r="BS524" s="138">
        <v>0</v>
      </c>
      <c r="BT524" s="351">
        <v>0</v>
      </c>
      <c r="BU524" s="214">
        <v>0</v>
      </c>
      <c r="BV524" s="214">
        <v>0</v>
      </c>
      <c r="BW524" s="214">
        <v>0</v>
      </c>
      <c r="BX524" s="214">
        <v>0</v>
      </c>
      <c r="BY524" s="214">
        <v>0</v>
      </c>
      <c r="BZ524" s="134">
        <v>0</v>
      </c>
      <c r="CA524" s="138">
        <v>1</v>
      </c>
      <c r="CB524" s="136">
        <v>0</v>
      </c>
      <c r="CC524" s="136">
        <v>0</v>
      </c>
      <c r="CD524" s="136">
        <v>0</v>
      </c>
      <c r="CE524" s="137">
        <v>0</v>
      </c>
      <c r="CF524" s="137">
        <v>0</v>
      </c>
      <c r="CG524" s="137">
        <v>0</v>
      </c>
      <c r="CH524" s="214">
        <v>0</v>
      </c>
      <c r="CI524" s="139">
        <v>0</v>
      </c>
      <c r="CJ524" s="139" t="s">
        <v>2959</v>
      </c>
      <c r="CK524" s="139" t="s">
        <v>50</v>
      </c>
      <c r="CL524" s="139" t="s">
        <v>50</v>
      </c>
      <c r="CM524" s="139" t="s">
        <v>946</v>
      </c>
      <c r="CN524" s="139" t="s">
        <v>51</v>
      </c>
      <c r="CO524" s="139">
        <v>0</v>
      </c>
      <c r="CP524" s="139">
        <v>0</v>
      </c>
      <c r="CQ524" s="139" t="s">
        <v>2666</v>
      </c>
      <c r="CR524" s="449" t="s">
        <v>3209</v>
      </c>
      <c r="CS524" s="449"/>
      <c r="CT524" s="24"/>
      <c r="CU524" s="24"/>
      <c r="CV524" s="24"/>
    </row>
    <row r="525" spans="1:100" x14ac:dyDescent="0.25">
      <c r="A525" s="293" t="s">
        <v>2691</v>
      </c>
      <c r="B525" s="132" t="s">
        <v>287</v>
      </c>
      <c r="C525" s="132" t="s">
        <v>44</v>
      </c>
      <c r="D525" s="132" t="s">
        <v>305</v>
      </c>
      <c r="E525" s="132" t="s">
        <v>308</v>
      </c>
      <c r="F525" s="132">
        <v>44</v>
      </c>
      <c r="G525" s="214">
        <v>195</v>
      </c>
      <c r="H525" s="132"/>
      <c r="I525" s="132" t="s">
        <v>290</v>
      </c>
      <c r="J525" s="133" t="s">
        <v>2800</v>
      </c>
      <c r="K525" s="132">
        <v>0</v>
      </c>
      <c r="L525" s="132" t="s">
        <v>48</v>
      </c>
      <c r="M525" s="134">
        <v>0.6</v>
      </c>
      <c r="N525" s="134">
        <v>0.5</v>
      </c>
      <c r="O525" s="320">
        <v>1</v>
      </c>
      <c r="P525" s="326">
        <v>1</v>
      </c>
      <c r="Q525" s="326">
        <v>3000</v>
      </c>
      <c r="R525" s="315">
        <v>0</v>
      </c>
      <c r="S525" s="315">
        <v>0</v>
      </c>
      <c r="T525" s="315"/>
      <c r="U525" s="315">
        <v>0</v>
      </c>
      <c r="V525" s="315">
        <v>0</v>
      </c>
      <c r="W525" s="315">
        <v>0</v>
      </c>
      <c r="X525" s="315">
        <v>0</v>
      </c>
      <c r="Y525" s="315">
        <v>0</v>
      </c>
      <c r="Z525" s="315"/>
      <c r="AA525" s="336">
        <v>8</v>
      </c>
      <c r="AB525" s="336">
        <v>0</v>
      </c>
      <c r="AC525" s="337">
        <v>0</v>
      </c>
      <c r="AD525" s="337"/>
      <c r="AE525" s="336">
        <v>0</v>
      </c>
      <c r="AF525" s="336" t="s">
        <v>283</v>
      </c>
      <c r="AG525" s="339" t="s">
        <v>283</v>
      </c>
      <c r="AH525" s="339"/>
      <c r="AI525" s="336"/>
      <c r="AJ525" s="336"/>
      <c r="AK525" s="848">
        <v>0.6</v>
      </c>
      <c r="AL525" s="842" t="s">
        <v>376</v>
      </c>
      <c r="AM525" s="836">
        <v>0</v>
      </c>
      <c r="AN525" s="837">
        <v>1</v>
      </c>
      <c r="AO525" s="837">
        <v>1</v>
      </c>
      <c r="AP525" s="839">
        <v>0</v>
      </c>
      <c r="AQ525" s="839">
        <v>0</v>
      </c>
      <c r="AR525" s="839"/>
      <c r="AS525" s="839"/>
      <c r="AT525" s="839"/>
      <c r="AU525" s="839"/>
      <c r="AV525" s="849"/>
      <c r="AW525" s="134" t="s">
        <v>3208</v>
      </c>
      <c r="AX525" s="136" t="s">
        <v>3208</v>
      </c>
      <c r="AY525" s="137" t="s">
        <v>2576</v>
      </c>
      <c r="AZ525" s="136">
        <v>1</v>
      </c>
      <c r="BA525" s="136">
        <v>1</v>
      </c>
      <c r="BB525" s="136">
        <v>1</v>
      </c>
      <c r="BC525" s="214">
        <v>195</v>
      </c>
      <c r="BD525" s="136">
        <v>0</v>
      </c>
      <c r="BE525" s="214">
        <v>0</v>
      </c>
      <c r="BF525" s="136">
        <v>1</v>
      </c>
      <c r="BG525" s="214">
        <v>195</v>
      </c>
      <c r="BH525" s="214">
        <v>0.39</v>
      </c>
      <c r="BI525" s="134">
        <v>0</v>
      </c>
      <c r="BJ525" s="214">
        <v>0</v>
      </c>
      <c r="BK525" s="137">
        <v>0.61</v>
      </c>
      <c r="BL525" s="137">
        <v>1</v>
      </c>
      <c r="BM525" s="137">
        <v>8</v>
      </c>
      <c r="BN525" s="134">
        <v>0.82051282051282048</v>
      </c>
      <c r="BO525" s="351">
        <v>160</v>
      </c>
      <c r="BP525" s="134">
        <v>0.20512820512820512</v>
      </c>
      <c r="BQ525" s="214">
        <v>2</v>
      </c>
      <c r="BR525" s="137">
        <v>10</v>
      </c>
      <c r="BS525" s="138">
        <v>0</v>
      </c>
      <c r="BT525" s="351">
        <v>0</v>
      </c>
      <c r="BU525" s="214">
        <v>195</v>
      </c>
      <c r="BV525" s="214">
        <v>0</v>
      </c>
      <c r="BW525" s="214">
        <v>1</v>
      </c>
      <c r="BX525" s="214">
        <v>0</v>
      </c>
      <c r="BY525" s="214">
        <v>0</v>
      </c>
      <c r="BZ525" s="134">
        <v>0</v>
      </c>
      <c r="CA525" s="138">
        <v>1</v>
      </c>
      <c r="CB525" s="136">
        <v>1</v>
      </c>
      <c r="CC525" s="136">
        <v>0</v>
      </c>
      <c r="CD525" s="136">
        <v>0</v>
      </c>
      <c r="CE525" s="137">
        <v>0</v>
      </c>
      <c r="CF525" s="137">
        <v>0</v>
      </c>
      <c r="CG525" s="137">
        <v>0</v>
      </c>
      <c r="CH525" s="214">
        <v>26.4</v>
      </c>
      <c r="CI525" s="139" t="s">
        <v>48</v>
      </c>
      <c r="CJ525" s="139" t="s">
        <v>287</v>
      </c>
      <c r="CK525" s="139" t="s">
        <v>50</v>
      </c>
      <c r="CL525" s="139" t="s">
        <v>50</v>
      </c>
      <c r="CM525" s="139" t="s">
        <v>50</v>
      </c>
      <c r="CN525" s="139" t="s">
        <v>51</v>
      </c>
      <c r="CO525" s="139">
        <v>25.3660036111111</v>
      </c>
      <c r="CP525" s="139">
        <v>97.405202777777802</v>
      </c>
      <c r="CQ525" s="139" t="s">
        <v>2009</v>
      </c>
      <c r="CR525" s="449" t="s">
        <v>40</v>
      </c>
      <c r="CS525" s="449"/>
      <c r="CT525" s="24"/>
      <c r="CU525" s="24"/>
      <c r="CV525" s="24"/>
    </row>
    <row r="526" spans="1:100" x14ac:dyDescent="0.25">
      <c r="A526" s="293" t="s">
        <v>2691</v>
      </c>
      <c r="B526" s="206" t="s">
        <v>460</v>
      </c>
      <c r="C526" s="206" t="s">
        <v>44</v>
      </c>
      <c r="D526" s="206" t="s">
        <v>305</v>
      </c>
      <c r="E526" s="206" t="s">
        <v>941</v>
      </c>
      <c r="F526" s="206">
        <v>375</v>
      </c>
      <c r="G526" s="209">
        <v>1691</v>
      </c>
      <c r="H526" s="206"/>
      <c r="I526" s="206"/>
      <c r="J526" s="207"/>
      <c r="K526" s="206"/>
      <c r="L526" s="206" t="s">
        <v>282</v>
      </c>
      <c r="M526" s="208">
        <v>0</v>
      </c>
      <c r="N526" s="208">
        <v>0</v>
      </c>
      <c r="O526" s="316"/>
      <c r="P526" s="317"/>
      <c r="Q526" s="317"/>
      <c r="R526" s="318"/>
      <c r="S526" s="318"/>
      <c r="T526" s="318"/>
      <c r="U526" s="318"/>
      <c r="V526" s="318"/>
      <c r="W526" s="318"/>
      <c r="X526" s="318"/>
      <c r="Y526" s="318"/>
      <c r="Z526" s="318"/>
      <c r="AA526" s="310">
        <v>0</v>
      </c>
      <c r="AB526" s="310"/>
      <c r="AC526" s="66"/>
      <c r="AD526" s="337"/>
      <c r="AE526" s="310"/>
      <c r="AF526" s="310" t="s">
        <v>286</v>
      </c>
      <c r="AG526" s="311" t="s">
        <v>286</v>
      </c>
      <c r="AH526" s="311"/>
      <c r="AI526" s="310"/>
      <c r="AJ526" s="310"/>
      <c r="AK526" s="841"/>
      <c r="AL526" s="842"/>
      <c r="AM526" s="842"/>
      <c r="AN526" s="837"/>
      <c r="AO526" s="837"/>
      <c r="AP526" s="843"/>
      <c r="AQ526" s="843"/>
      <c r="AR526" s="843"/>
      <c r="AS526" s="843"/>
      <c r="AT526" s="843"/>
      <c r="AU526" s="843"/>
      <c r="AV526" s="844"/>
      <c r="AW526" s="208" t="s">
        <v>3208</v>
      </c>
      <c r="AX526" s="211" t="s">
        <v>3208</v>
      </c>
      <c r="AY526" s="210" t="s">
        <v>2576</v>
      </c>
      <c r="AZ526" s="136">
        <v>0</v>
      </c>
      <c r="BA526" s="211">
        <v>0</v>
      </c>
      <c r="BB526" s="211">
        <v>0</v>
      </c>
      <c r="BC526" s="209">
        <v>0</v>
      </c>
      <c r="BD526" s="211">
        <v>0</v>
      </c>
      <c r="BE526" s="209">
        <v>0</v>
      </c>
      <c r="BF526" s="211">
        <v>0</v>
      </c>
      <c r="BG526" s="209">
        <v>0</v>
      </c>
      <c r="BH526" s="209">
        <v>0</v>
      </c>
      <c r="BI526" s="208">
        <v>1</v>
      </c>
      <c r="BJ526" s="209">
        <v>1691</v>
      </c>
      <c r="BK526" s="210">
        <v>3</v>
      </c>
      <c r="BL526" s="210">
        <v>3</v>
      </c>
      <c r="BM526" s="210">
        <v>0</v>
      </c>
      <c r="BN526" s="208">
        <v>0</v>
      </c>
      <c r="BO526" s="352">
        <v>0</v>
      </c>
      <c r="BP526" s="208">
        <v>1</v>
      </c>
      <c r="BQ526" s="209">
        <v>85</v>
      </c>
      <c r="BR526" s="210">
        <v>85</v>
      </c>
      <c r="BS526" s="212">
        <v>0</v>
      </c>
      <c r="BT526" s="352">
        <v>0</v>
      </c>
      <c r="BU526" s="209">
        <v>0</v>
      </c>
      <c r="BV526" s="209">
        <v>0</v>
      </c>
      <c r="BW526" s="209">
        <v>0</v>
      </c>
      <c r="BX526" s="209">
        <v>0</v>
      </c>
      <c r="BY526" s="209">
        <v>0</v>
      </c>
      <c r="BZ526" s="208">
        <v>0</v>
      </c>
      <c r="CA526" s="212">
        <v>1</v>
      </c>
      <c r="CB526" s="211">
        <v>0</v>
      </c>
      <c r="CC526" s="211">
        <v>0</v>
      </c>
      <c r="CD526" s="211">
        <v>0</v>
      </c>
      <c r="CE526" s="210">
        <v>0</v>
      </c>
      <c r="CF526" s="210">
        <v>0</v>
      </c>
      <c r="CG526" s="210">
        <v>0</v>
      </c>
      <c r="CH526" s="209">
        <v>0</v>
      </c>
      <c r="CI526" s="139">
        <v>0</v>
      </c>
      <c r="CJ526" s="139" t="s">
        <v>2959</v>
      </c>
      <c r="CK526" s="139" t="s">
        <v>50</v>
      </c>
      <c r="CL526" s="139" t="s">
        <v>50</v>
      </c>
      <c r="CM526" s="139" t="s">
        <v>942</v>
      </c>
      <c r="CN526" s="139" t="s">
        <v>51</v>
      </c>
      <c r="CO526" s="139">
        <v>0</v>
      </c>
      <c r="CP526" s="139">
        <v>0</v>
      </c>
      <c r="CQ526" s="139" t="s">
        <v>1542</v>
      </c>
      <c r="CR526" s="660" t="s">
        <v>3209</v>
      </c>
      <c r="CS526" s="660"/>
      <c r="CT526" s="24"/>
      <c r="CU526" s="24"/>
      <c r="CV526" s="24"/>
    </row>
    <row r="527" spans="1:100" x14ac:dyDescent="0.25">
      <c r="A527" s="293" t="s">
        <v>2691</v>
      </c>
      <c r="B527" s="132" t="s">
        <v>287</v>
      </c>
      <c r="C527" s="132" t="s">
        <v>44</v>
      </c>
      <c r="D527" s="132" t="s">
        <v>305</v>
      </c>
      <c r="E527" s="132" t="s">
        <v>2807</v>
      </c>
      <c r="F527" s="132">
        <v>51</v>
      </c>
      <c r="G527" s="214">
        <v>252</v>
      </c>
      <c r="H527" s="132"/>
      <c r="I527" s="132"/>
      <c r="J527" s="133"/>
      <c r="K527" s="132"/>
      <c r="L527" s="132"/>
      <c r="M527" s="134"/>
      <c r="N527" s="134"/>
      <c r="O527" s="320"/>
      <c r="P527" s="326"/>
      <c r="Q527" s="326"/>
      <c r="R527" s="315"/>
      <c r="S527" s="315"/>
      <c r="T527" s="315"/>
      <c r="U527" s="315"/>
      <c r="V527" s="315"/>
      <c r="W527" s="315"/>
      <c r="X527" s="315"/>
      <c r="Y527" s="315"/>
      <c r="Z527" s="315"/>
      <c r="AA527" s="336"/>
      <c r="AB527" s="336"/>
      <c r="AC527" s="337"/>
      <c r="AD527" s="337"/>
      <c r="AE527" s="336"/>
      <c r="AF527" s="336"/>
      <c r="AG527" s="339"/>
      <c r="AH527" s="339"/>
      <c r="AI527" s="336"/>
      <c r="AJ527" s="336"/>
      <c r="AK527" s="848"/>
      <c r="AL527" s="842"/>
      <c r="AM527" s="836"/>
      <c r="AN527" s="850"/>
      <c r="AO527" s="850"/>
      <c r="AP527" s="843"/>
      <c r="AQ527" s="839"/>
      <c r="AR527" s="839"/>
      <c r="AS527" s="839"/>
      <c r="AT527" s="839"/>
      <c r="AU527" s="839"/>
      <c r="AV527" s="849"/>
      <c r="AW527" s="134" t="s">
        <v>3208</v>
      </c>
      <c r="AX527" s="136" t="s">
        <v>3208</v>
      </c>
      <c r="AY527" s="137" t="s">
        <v>2576</v>
      </c>
      <c r="AZ527" s="136">
        <v>0</v>
      </c>
      <c r="BA527" s="136">
        <v>0</v>
      </c>
      <c r="BB527" s="136">
        <v>0</v>
      </c>
      <c r="BC527" s="214">
        <v>0</v>
      </c>
      <c r="BD527" s="136">
        <v>0</v>
      </c>
      <c r="BE527" s="214">
        <v>0</v>
      </c>
      <c r="BF527" s="136">
        <v>0</v>
      </c>
      <c r="BG527" s="214">
        <v>0</v>
      </c>
      <c r="BH527" s="214">
        <v>0</v>
      </c>
      <c r="BI527" s="134">
        <v>1</v>
      </c>
      <c r="BJ527" s="214">
        <v>252</v>
      </c>
      <c r="BK527" s="137">
        <v>1</v>
      </c>
      <c r="BL527" s="137">
        <v>1</v>
      </c>
      <c r="BM527" s="137">
        <v>0</v>
      </c>
      <c r="BN527" s="134">
        <v>0</v>
      </c>
      <c r="BO527" s="351">
        <v>0</v>
      </c>
      <c r="BP527" s="134">
        <v>1</v>
      </c>
      <c r="BQ527" s="214">
        <v>13</v>
      </c>
      <c r="BR527" s="137">
        <v>13</v>
      </c>
      <c r="BS527" s="138">
        <v>0</v>
      </c>
      <c r="BT527" s="351">
        <v>0</v>
      </c>
      <c r="BU527" s="214">
        <v>0</v>
      </c>
      <c r="BV527" s="214">
        <v>0</v>
      </c>
      <c r="BW527" s="214">
        <v>0</v>
      </c>
      <c r="BX527" s="214">
        <v>0</v>
      </c>
      <c r="BY527" s="214">
        <v>0</v>
      </c>
      <c r="BZ527" s="134">
        <v>0</v>
      </c>
      <c r="CA527" s="138">
        <v>1</v>
      </c>
      <c r="CB527" s="136">
        <v>0</v>
      </c>
      <c r="CC527" s="136">
        <v>0</v>
      </c>
      <c r="CD527" s="136">
        <v>0</v>
      </c>
      <c r="CE527" s="137">
        <v>0</v>
      </c>
      <c r="CF527" s="137">
        <v>0</v>
      </c>
      <c r="CG527" s="137">
        <v>0</v>
      </c>
      <c r="CH527" s="214">
        <v>0</v>
      </c>
      <c r="CI527" s="139">
        <v>0</v>
      </c>
      <c r="CJ527" s="139">
        <v>0</v>
      </c>
      <c r="CK527" s="139" t="s">
        <v>1921</v>
      </c>
      <c r="CL527" s="139" t="s">
        <v>50</v>
      </c>
      <c r="CM527" s="139" t="s">
        <v>946</v>
      </c>
      <c r="CN527" s="812" t="s">
        <v>949</v>
      </c>
      <c r="CO527" s="139">
        <v>0</v>
      </c>
      <c r="CP527" s="139">
        <v>0</v>
      </c>
      <c r="CQ527" s="139">
        <v>0</v>
      </c>
      <c r="CR527" s="449" t="s">
        <v>40</v>
      </c>
      <c r="CS527" s="449"/>
      <c r="CT527" s="24"/>
      <c r="CU527" s="24"/>
      <c r="CV527" s="24"/>
    </row>
    <row r="528" spans="1:100" x14ac:dyDescent="0.25">
      <c r="A528" s="293" t="s">
        <v>2691</v>
      </c>
      <c r="B528" s="132" t="s">
        <v>287</v>
      </c>
      <c r="C528" s="132" t="s">
        <v>44</v>
      </c>
      <c r="D528" s="132" t="s">
        <v>305</v>
      </c>
      <c r="E528" s="132" t="s">
        <v>309</v>
      </c>
      <c r="F528" s="132">
        <v>105</v>
      </c>
      <c r="G528" s="214">
        <v>578</v>
      </c>
      <c r="H528" s="206"/>
      <c r="I528" s="132" t="s">
        <v>290</v>
      </c>
      <c r="J528" s="133" t="s">
        <v>2800</v>
      </c>
      <c r="K528" s="132">
        <v>0</v>
      </c>
      <c r="L528" s="132" t="s">
        <v>48</v>
      </c>
      <c r="M528" s="134">
        <v>0.6</v>
      </c>
      <c r="N528" s="134">
        <v>0.5</v>
      </c>
      <c r="O528" s="320">
        <v>1</v>
      </c>
      <c r="P528" s="326">
        <v>1</v>
      </c>
      <c r="Q528" s="326">
        <v>4000</v>
      </c>
      <c r="R528" s="315">
        <v>0</v>
      </c>
      <c r="S528" s="315">
        <v>0</v>
      </c>
      <c r="T528" s="315"/>
      <c r="U528" s="315">
        <v>0</v>
      </c>
      <c r="V528" s="315">
        <v>0</v>
      </c>
      <c r="W528" s="315">
        <v>0</v>
      </c>
      <c r="X528" s="315">
        <v>0</v>
      </c>
      <c r="Y528" s="315">
        <v>0</v>
      </c>
      <c r="Z528" s="315"/>
      <c r="AA528" s="336">
        <v>8</v>
      </c>
      <c r="AB528" s="336">
        <v>0</v>
      </c>
      <c r="AC528" s="337">
        <v>0</v>
      </c>
      <c r="AD528" s="337"/>
      <c r="AE528" s="336">
        <v>0</v>
      </c>
      <c r="AF528" s="336" t="s">
        <v>283</v>
      </c>
      <c r="AG528" s="339" t="s">
        <v>283</v>
      </c>
      <c r="AH528" s="339"/>
      <c r="AI528" s="336"/>
      <c r="AJ528" s="336"/>
      <c r="AK528" s="848">
        <v>0.6</v>
      </c>
      <c r="AL528" s="842" t="s">
        <v>376</v>
      </c>
      <c r="AM528" s="836">
        <v>0</v>
      </c>
      <c r="AN528" s="837">
        <v>2</v>
      </c>
      <c r="AO528" s="837">
        <v>1</v>
      </c>
      <c r="AP528" s="843">
        <v>0</v>
      </c>
      <c r="AQ528" s="839">
        <v>0</v>
      </c>
      <c r="AR528" s="839"/>
      <c r="AS528" s="839"/>
      <c r="AT528" s="839"/>
      <c r="AU528" s="839"/>
      <c r="AV528" s="849"/>
      <c r="AW528" s="134" t="s">
        <v>3208</v>
      </c>
      <c r="AX528" s="136" t="s">
        <v>3208</v>
      </c>
      <c r="AY528" s="137" t="s">
        <v>2576</v>
      </c>
      <c r="AZ528" s="136">
        <v>1</v>
      </c>
      <c r="BA528" s="136">
        <v>1</v>
      </c>
      <c r="BB528" s="136">
        <v>1</v>
      </c>
      <c r="BC528" s="214">
        <v>578</v>
      </c>
      <c r="BD528" s="136">
        <v>0</v>
      </c>
      <c r="BE528" s="214">
        <v>0</v>
      </c>
      <c r="BF528" s="136">
        <v>1</v>
      </c>
      <c r="BG528" s="214">
        <v>578</v>
      </c>
      <c r="BH528" s="214">
        <v>1.1559999999999999</v>
      </c>
      <c r="BI528" s="134">
        <v>0</v>
      </c>
      <c r="BJ528" s="214">
        <v>0</v>
      </c>
      <c r="BK528" s="137">
        <v>0</v>
      </c>
      <c r="BL528" s="137">
        <v>1</v>
      </c>
      <c r="BM528" s="137">
        <v>8</v>
      </c>
      <c r="BN528" s="134">
        <v>0.27681660899653981</v>
      </c>
      <c r="BO528" s="351">
        <v>160</v>
      </c>
      <c r="BP528" s="134">
        <v>0.72664359861591699</v>
      </c>
      <c r="BQ528" s="214">
        <v>21</v>
      </c>
      <c r="BR528" s="137">
        <v>29</v>
      </c>
      <c r="BS528" s="138">
        <v>0</v>
      </c>
      <c r="BT528" s="351">
        <v>0</v>
      </c>
      <c r="BU528" s="214">
        <v>500</v>
      </c>
      <c r="BV528" s="214">
        <v>0</v>
      </c>
      <c r="BW528" s="214">
        <v>1</v>
      </c>
      <c r="BX528" s="214">
        <v>0</v>
      </c>
      <c r="BY528" s="214">
        <v>0</v>
      </c>
      <c r="BZ528" s="134">
        <v>0</v>
      </c>
      <c r="CA528" s="138">
        <v>1</v>
      </c>
      <c r="CB528" s="136">
        <v>0.86505190311418689</v>
      </c>
      <c r="CC528" s="136">
        <v>0</v>
      </c>
      <c r="CD528" s="136">
        <v>0</v>
      </c>
      <c r="CE528" s="137">
        <v>0</v>
      </c>
      <c r="CF528" s="137">
        <v>0</v>
      </c>
      <c r="CG528" s="137">
        <v>0</v>
      </c>
      <c r="CH528" s="214">
        <v>63</v>
      </c>
      <c r="CI528" s="139" t="s">
        <v>48</v>
      </c>
      <c r="CJ528" s="139" t="s">
        <v>287</v>
      </c>
      <c r="CK528" s="139" t="s">
        <v>50</v>
      </c>
      <c r="CL528" s="139" t="s">
        <v>50</v>
      </c>
      <c r="CM528" s="139" t="s">
        <v>50</v>
      </c>
      <c r="CN528" s="139" t="s">
        <v>51</v>
      </c>
      <c r="CO528" s="139">
        <v>25.362420757575801</v>
      </c>
      <c r="CP528" s="139">
        <v>97.409035000000003</v>
      </c>
      <c r="CQ528" s="139" t="s">
        <v>2008</v>
      </c>
      <c r="CR528" s="449" t="s">
        <v>40</v>
      </c>
      <c r="CS528" s="449"/>
      <c r="CT528" s="24"/>
      <c r="CU528" s="24"/>
      <c r="CV528" s="24"/>
    </row>
    <row r="529" spans="1:100" x14ac:dyDescent="0.25">
      <c r="A529" s="293" t="s">
        <v>2691</v>
      </c>
      <c r="B529" s="132" t="s">
        <v>287</v>
      </c>
      <c r="C529" s="132" t="s">
        <v>44</v>
      </c>
      <c r="D529" s="132" t="s">
        <v>305</v>
      </c>
      <c r="E529" s="132" t="s">
        <v>310</v>
      </c>
      <c r="F529" s="132">
        <v>138</v>
      </c>
      <c r="G529" s="214">
        <v>697</v>
      </c>
      <c r="H529" s="206"/>
      <c r="I529" s="206" t="s">
        <v>290</v>
      </c>
      <c r="J529" s="133" t="s">
        <v>2800</v>
      </c>
      <c r="K529" s="132">
        <v>0</v>
      </c>
      <c r="L529" s="132" t="s">
        <v>48</v>
      </c>
      <c r="M529" s="134">
        <v>0.6</v>
      </c>
      <c r="N529" s="134">
        <v>0.5</v>
      </c>
      <c r="O529" s="320">
        <v>0</v>
      </c>
      <c r="P529" s="326">
        <v>2</v>
      </c>
      <c r="Q529" s="326">
        <v>2000</v>
      </c>
      <c r="R529" s="315">
        <v>0</v>
      </c>
      <c r="S529" s="315">
        <v>0</v>
      </c>
      <c r="T529" s="315"/>
      <c r="U529" s="315">
        <v>0</v>
      </c>
      <c r="V529" s="315">
        <v>0</v>
      </c>
      <c r="W529" s="315">
        <v>0</v>
      </c>
      <c r="X529" s="315">
        <v>0</v>
      </c>
      <c r="Y529" s="315">
        <v>0</v>
      </c>
      <c r="Z529" s="315"/>
      <c r="AA529" s="336">
        <v>32</v>
      </c>
      <c r="AB529" s="336">
        <v>0</v>
      </c>
      <c r="AC529" s="337">
        <v>0</v>
      </c>
      <c r="AD529" s="337"/>
      <c r="AE529" s="336">
        <v>0</v>
      </c>
      <c r="AF529" s="336" t="s">
        <v>283</v>
      </c>
      <c r="AG529" s="339" t="s">
        <v>283</v>
      </c>
      <c r="AH529" s="339"/>
      <c r="AI529" s="336"/>
      <c r="AJ529" s="336"/>
      <c r="AK529" s="848">
        <v>0.6</v>
      </c>
      <c r="AL529" s="842" t="s">
        <v>376</v>
      </c>
      <c r="AM529" s="836">
        <v>0</v>
      </c>
      <c r="AN529" s="837">
        <v>2</v>
      </c>
      <c r="AO529" s="837">
        <v>1</v>
      </c>
      <c r="AP529" s="843">
        <v>0</v>
      </c>
      <c r="AQ529" s="839">
        <v>0</v>
      </c>
      <c r="AR529" s="839"/>
      <c r="AS529" s="839"/>
      <c r="AT529" s="839"/>
      <c r="AU529" s="839"/>
      <c r="AV529" s="849"/>
      <c r="AW529" s="134" t="s">
        <v>3208</v>
      </c>
      <c r="AX529" s="136" t="s">
        <v>3208</v>
      </c>
      <c r="AY529" s="137" t="s">
        <v>2576</v>
      </c>
      <c r="AZ529" s="136">
        <v>1</v>
      </c>
      <c r="BA529" s="136">
        <v>0.90865614538498329</v>
      </c>
      <c r="BB529" s="136">
        <v>1</v>
      </c>
      <c r="BC529" s="214">
        <v>697</v>
      </c>
      <c r="BD529" s="136">
        <v>0</v>
      </c>
      <c r="BE529" s="214">
        <v>0</v>
      </c>
      <c r="BF529" s="136">
        <v>1</v>
      </c>
      <c r="BG529" s="214">
        <v>697</v>
      </c>
      <c r="BH529" s="214">
        <v>1.3939999999999999</v>
      </c>
      <c r="BI529" s="134">
        <v>0</v>
      </c>
      <c r="BJ529" s="214">
        <v>0</v>
      </c>
      <c r="BK529" s="137">
        <v>0</v>
      </c>
      <c r="BL529" s="137">
        <v>1</v>
      </c>
      <c r="BM529" s="137">
        <v>32</v>
      </c>
      <c r="BN529" s="134">
        <v>0.9182209469153515</v>
      </c>
      <c r="BO529" s="351">
        <v>640</v>
      </c>
      <c r="BP529" s="134">
        <v>8.6083213773314196E-2</v>
      </c>
      <c r="BQ529" s="214">
        <v>3</v>
      </c>
      <c r="BR529" s="137">
        <v>35</v>
      </c>
      <c r="BS529" s="138">
        <v>0</v>
      </c>
      <c r="BT529" s="351">
        <v>0</v>
      </c>
      <c r="BU529" s="214">
        <v>500</v>
      </c>
      <c r="BV529" s="214">
        <v>0</v>
      </c>
      <c r="BW529" s="214">
        <v>0</v>
      </c>
      <c r="BX529" s="214">
        <v>0</v>
      </c>
      <c r="BY529" s="214">
        <v>0</v>
      </c>
      <c r="BZ529" s="134">
        <v>0</v>
      </c>
      <c r="CA529" s="138">
        <v>1</v>
      </c>
      <c r="CB529" s="136">
        <v>0.71736011477761841</v>
      </c>
      <c r="CC529" s="136">
        <v>0</v>
      </c>
      <c r="CD529" s="136">
        <v>0</v>
      </c>
      <c r="CE529" s="137">
        <v>0</v>
      </c>
      <c r="CF529" s="137">
        <v>0</v>
      </c>
      <c r="CG529" s="137">
        <v>0</v>
      </c>
      <c r="CH529" s="214">
        <v>82.8</v>
      </c>
      <c r="CI529" s="139" t="s">
        <v>48</v>
      </c>
      <c r="CJ529" s="139" t="s">
        <v>287</v>
      </c>
      <c r="CK529" s="139" t="s">
        <v>50</v>
      </c>
      <c r="CL529" s="139" t="s">
        <v>50</v>
      </c>
      <c r="CM529" s="139" t="s">
        <v>50</v>
      </c>
      <c r="CN529" s="139" t="s">
        <v>51</v>
      </c>
      <c r="CO529" s="139">
        <v>25.3510167948718</v>
      </c>
      <c r="CP529" s="139">
        <v>97.403402307692303</v>
      </c>
      <c r="CQ529" s="139" t="s">
        <v>2000</v>
      </c>
      <c r="CR529" s="449" t="s">
        <v>40</v>
      </c>
      <c r="CS529" s="449"/>
      <c r="CT529" s="24"/>
      <c r="CU529" s="24"/>
      <c r="CV529" s="24"/>
    </row>
    <row r="530" spans="1:100" x14ac:dyDescent="0.25">
      <c r="A530" s="293" t="s">
        <v>2691</v>
      </c>
      <c r="B530" s="132" t="s">
        <v>287</v>
      </c>
      <c r="C530" s="132" t="s">
        <v>44</v>
      </c>
      <c r="D530" s="132" t="s">
        <v>305</v>
      </c>
      <c r="E530" s="132" t="s">
        <v>311</v>
      </c>
      <c r="F530" s="132">
        <v>61</v>
      </c>
      <c r="G530" s="214">
        <v>304</v>
      </c>
      <c r="H530" s="132"/>
      <c r="I530" s="132" t="s">
        <v>290</v>
      </c>
      <c r="J530" s="133" t="s">
        <v>2800</v>
      </c>
      <c r="K530" s="132">
        <v>0</v>
      </c>
      <c r="L530" s="132" t="s">
        <v>48</v>
      </c>
      <c r="M530" s="134">
        <v>0.6</v>
      </c>
      <c r="N530" s="134">
        <v>0.5</v>
      </c>
      <c r="O530" s="320">
        <v>1</v>
      </c>
      <c r="P530" s="326">
        <v>1</v>
      </c>
      <c r="Q530" s="326">
        <v>2000</v>
      </c>
      <c r="R530" s="315">
        <v>0</v>
      </c>
      <c r="S530" s="315">
        <v>0</v>
      </c>
      <c r="T530" s="315"/>
      <c r="U530" s="315">
        <v>0</v>
      </c>
      <c r="V530" s="315">
        <v>0</v>
      </c>
      <c r="W530" s="315">
        <v>0</v>
      </c>
      <c r="X530" s="315">
        <v>0</v>
      </c>
      <c r="Y530" s="315">
        <v>0</v>
      </c>
      <c r="Z530" s="315"/>
      <c r="AA530" s="336">
        <v>7</v>
      </c>
      <c r="AB530" s="336">
        <v>0</v>
      </c>
      <c r="AC530" s="337">
        <v>0</v>
      </c>
      <c r="AD530" s="337"/>
      <c r="AE530" s="336">
        <v>0</v>
      </c>
      <c r="AF530" s="336" t="s">
        <v>283</v>
      </c>
      <c r="AG530" s="339" t="s">
        <v>283</v>
      </c>
      <c r="AH530" s="339"/>
      <c r="AI530" s="336"/>
      <c r="AJ530" s="336"/>
      <c r="AK530" s="848">
        <v>0.6</v>
      </c>
      <c r="AL530" s="842" t="s">
        <v>376</v>
      </c>
      <c r="AM530" s="836">
        <v>0</v>
      </c>
      <c r="AN530" s="837">
        <v>3</v>
      </c>
      <c r="AO530" s="837">
        <v>2</v>
      </c>
      <c r="AP530" s="843">
        <v>0</v>
      </c>
      <c r="AQ530" s="839">
        <v>0</v>
      </c>
      <c r="AR530" s="839"/>
      <c r="AS530" s="839"/>
      <c r="AT530" s="839"/>
      <c r="AU530" s="839"/>
      <c r="AV530" s="849"/>
      <c r="AW530" s="134" t="s">
        <v>3208</v>
      </c>
      <c r="AX530" s="136" t="s">
        <v>3208</v>
      </c>
      <c r="AY530" s="137" t="s">
        <v>2576</v>
      </c>
      <c r="AZ530" s="136">
        <v>1</v>
      </c>
      <c r="BA530" s="136">
        <v>1</v>
      </c>
      <c r="BB530" s="136">
        <v>1</v>
      </c>
      <c r="BC530" s="214">
        <v>304</v>
      </c>
      <c r="BD530" s="136">
        <v>0</v>
      </c>
      <c r="BE530" s="214">
        <v>0</v>
      </c>
      <c r="BF530" s="136">
        <v>1</v>
      </c>
      <c r="BG530" s="214">
        <v>304</v>
      </c>
      <c r="BH530" s="214">
        <v>0.60799999999999998</v>
      </c>
      <c r="BI530" s="134">
        <v>0</v>
      </c>
      <c r="BJ530" s="214">
        <v>0</v>
      </c>
      <c r="BK530" s="137">
        <v>0.39200000000000002</v>
      </c>
      <c r="BL530" s="137">
        <v>1</v>
      </c>
      <c r="BM530" s="137">
        <v>7</v>
      </c>
      <c r="BN530" s="134">
        <v>0.46052631578947367</v>
      </c>
      <c r="BO530" s="351">
        <v>140</v>
      </c>
      <c r="BP530" s="134">
        <v>0.52631578947368418</v>
      </c>
      <c r="BQ530" s="214">
        <v>8</v>
      </c>
      <c r="BR530" s="137">
        <v>15</v>
      </c>
      <c r="BS530" s="138">
        <v>0</v>
      </c>
      <c r="BT530" s="351">
        <v>0</v>
      </c>
      <c r="BU530" s="214">
        <v>304</v>
      </c>
      <c r="BV530" s="214">
        <v>0</v>
      </c>
      <c r="BW530" s="214">
        <v>1</v>
      </c>
      <c r="BX530" s="214">
        <v>0</v>
      </c>
      <c r="BY530" s="214">
        <v>0</v>
      </c>
      <c r="BZ530" s="134">
        <v>0</v>
      </c>
      <c r="CA530" s="138">
        <v>1</v>
      </c>
      <c r="CB530" s="136">
        <v>1</v>
      </c>
      <c r="CC530" s="136">
        <v>0</v>
      </c>
      <c r="CD530" s="136">
        <v>0</v>
      </c>
      <c r="CE530" s="137">
        <v>0</v>
      </c>
      <c r="CF530" s="137">
        <v>0</v>
      </c>
      <c r="CG530" s="137">
        <v>0</v>
      </c>
      <c r="CH530" s="214">
        <v>36.6</v>
      </c>
      <c r="CI530" s="139" t="s">
        <v>48</v>
      </c>
      <c r="CJ530" s="139" t="s">
        <v>287</v>
      </c>
      <c r="CK530" s="139" t="s">
        <v>50</v>
      </c>
      <c r="CL530" s="139" t="s">
        <v>50</v>
      </c>
      <c r="CM530" s="139" t="s">
        <v>50</v>
      </c>
      <c r="CN530" s="139" t="s">
        <v>51</v>
      </c>
      <c r="CO530" s="139">
        <v>25.360463124999999</v>
      </c>
      <c r="CP530" s="139">
        <v>97.4113064583333</v>
      </c>
      <c r="CQ530" s="139" t="s">
        <v>2007</v>
      </c>
      <c r="CR530" s="449" t="s">
        <v>40</v>
      </c>
      <c r="CS530" s="449"/>
      <c r="CT530" s="24"/>
      <c r="CU530" s="24"/>
      <c r="CV530" s="24"/>
    </row>
    <row r="531" spans="1:100" x14ac:dyDescent="0.25">
      <c r="A531" s="293" t="s">
        <v>2691</v>
      </c>
      <c r="B531" s="132" t="s">
        <v>287</v>
      </c>
      <c r="C531" s="132" t="s">
        <v>44</v>
      </c>
      <c r="D531" s="132" t="s">
        <v>305</v>
      </c>
      <c r="E531" s="132" t="s">
        <v>312</v>
      </c>
      <c r="F531" s="132">
        <v>103</v>
      </c>
      <c r="G531" s="214">
        <v>581</v>
      </c>
      <c r="H531" s="132"/>
      <c r="I531" s="132" t="s">
        <v>290</v>
      </c>
      <c r="J531" s="133" t="s">
        <v>2800</v>
      </c>
      <c r="K531" s="132">
        <v>0</v>
      </c>
      <c r="L531" s="132" t="s">
        <v>48</v>
      </c>
      <c r="M531" s="134">
        <v>0.6</v>
      </c>
      <c r="N531" s="134">
        <v>0.5</v>
      </c>
      <c r="O531" s="320">
        <v>1</v>
      </c>
      <c r="P531" s="326">
        <v>2</v>
      </c>
      <c r="Q531" s="326">
        <v>2000</v>
      </c>
      <c r="R531" s="315">
        <v>0</v>
      </c>
      <c r="S531" s="315">
        <v>0</v>
      </c>
      <c r="T531" s="315"/>
      <c r="U531" s="315">
        <v>0</v>
      </c>
      <c r="V531" s="315">
        <v>0</v>
      </c>
      <c r="W531" s="315">
        <v>0</v>
      </c>
      <c r="X531" s="315">
        <v>0</v>
      </c>
      <c r="Y531" s="315">
        <v>0</v>
      </c>
      <c r="Z531" s="315"/>
      <c r="AA531" s="336">
        <v>30</v>
      </c>
      <c r="AB531" s="336">
        <v>0</v>
      </c>
      <c r="AC531" s="337">
        <v>0</v>
      </c>
      <c r="AD531" s="337"/>
      <c r="AE531" s="336">
        <v>0</v>
      </c>
      <c r="AF531" s="336" t="s">
        <v>283</v>
      </c>
      <c r="AG531" s="339" t="s">
        <v>283</v>
      </c>
      <c r="AH531" s="339"/>
      <c r="AI531" s="336"/>
      <c r="AJ531" s="336"/>
      <c r="AK531" s="848">
        <v>0.6</v>
      </c>
      <c r="AL531" s="842" t="s">
        <v>376</v>
      </c>
      <c r="AM531" s="836">
        <v>0</v>
      </c>
      <c r="AN531" s="837">
        <v>2</v>
      </c>
      <c r="AO531" s="837">
        <v>2</v>
      </c>
      <c r="AP531" s="843">
        <v>0</v>
      </c>
      <c r="AQ531" s="839">
        <v>0</v>
      </c>
      <c r="AR531" s="839"/>
      <c r="AS531" s="839"/>
      <c r="AT531" s="839"/>
      <c r="AU531" s="839"/>
      <c r="AV531" s="849"/>
      <c r="AW531" s="134" t="s">
        <v>3208</v>
      </c>
      <c r="AX531" s="136" t="s">
        <v>3208</v>
      </c>
      <c r="AY531" s="137" t="s">
        <v>2576</v>
      </c>
      <c r="AZ531" s="136">
        <v>1</v>
      </c>
      <c r="BA531" s="136">
        <v>1</v>
      </c>
      <c r="BB531" s="136">
        <v>1</v>
      </c>
      <c r="BC531" s="214">
        <v>581</v>
      </c>
      <c r="BD531" s="136">
        <v>0</v>
      </c>
      <c r="BE531" s="214">
        <v>0</v>
      </c>
      <c r="BF531" s="136">
        <v>1</v>
      </c>
      <c r="BG531" s="214">
        <v>581</v>
      </c>
      <c r="BH531" s="214">
        <v>1.1619999999999999</v>
      </c>
      <c r="BI531" s="134">
        <v>0</v>
      </c>
      <c r="BJ531" s="214">
        <v>0</v>
      </c>
      <c r="BK531" s="137">
        <v>0</v>
      </c>
      <c r="BL531" s="137">
        <v>1</v>
      </c>
      <c r="BM531" s="137">
        <v>30</v>
      </c>
      <c r="BN531" s="134">
        <v>1</v>
      </c>
      <c r="BO531" s="351">
        <v>581</v>
      </c>
      <c r="BP531" s="134">
        <v>0</v>
      </c>
      <c r="BQ531" s="214">
        <v>0</v>
      </c>
      <c r="BR531" s="137">
        <v>29</v>
      </c>
      <c r="BS531" s="138">
        <v>0</v>
      </c>
      <c r="BT531" s="351">
        <v>0</v>
      </c>
      <c r="BU531" s="214">
        <v>581</v>
      </c>
      <c r="BV531" s="214">
        <v>0</v>
      </c>
      <c r="BW531" s="214">
        <v>1</v>
      </c>
      <c r="BX531" s="214">
        <v>0</v>
      </c>
      <c r="BY531" s="214">
        <v>0</v>
      </c>
      <c r="BZ531" s="134">
        <v>0</v>
      </c>
      <c r="CA531" s="138">
        <v>1</v>
      </c>
      <c r="CB531" s="136">
        <v>1</v>
      </c>
      <c r="CC531" s="136">
        <v>0</v>
      </c>
      <c r="CD531" s="136">
        <v>0</v>
      </c>
      <c r="CE531" s="137">
        <v>0</v>
      </c>
      <c r="CF531" s="137">
        <v>0</v>
      </c>
      <c r="CG531" s="137">
        <v>0</v>
      </c>
      <c r="CH531" s="214">
        <v>61.8</v>
      </c>
      <c r="CI531" s="139" t="s">
        <v>48</v>
      </c>
      <c r="CJ531" s="139" t="s">
        <v>287</v>
      </c>
      <c r="CK531" s="139" t="s">
        <v>50</v>
      </c>
      <c r="CL531" s="139" t="s">
        <v>50</v>
      </c>
      <c r="CM531" s="139" t="s">
        <v>50</v>
      </c>
      <c r="CN531" s="139" t="s">
        <v>51</v>
      </c>
      <c r="CO531" s="139">
        <v>25.428910999999999</v>
      </c>
      <c r="CP531" s="139">
        <v>97.418694000000002</v>
      </c>
      <c r="CQ531" s="139" t="s">
        <v>2033</v>
      </c>
      <c r="CR531" s="449" t="s">
        <v>40</v>
      </c>
      <c r="CS531" s="449"/>
      <c r="CT531" s="24"/>
      <c r="CU531" s="24"/>
      <c r="CV531" s="24"/>
    </row>
    <row r="532" spans="1:100" x14ac:dyDescent="0.25">
      <c r="A532" s="293" t="s">
        <v>2691</v>
      </c>
      <c r="B532" s="132" t="s">
        <v>389</v>
      </c>
      <c r="C532" s="132" t="s">
        <v>44</v>
      </c>
      <c r="D532" s="132" t="s">
        <v>305</v>
      </c>
      <c r="E532" s="132" t="s">
        <v>413</v>
      </c>
      <c r="F532" s="132">
        <v>24</v>
      </c>
      <c r="G532" s="214">
        <v>97</v>
      </c>
      <c r="H532" s="132"/>
      <c r="I532" s="132" t="s">
        <v>391</v>
      </c>
      <c r="J532" s="133">
        <v>42947</v>
      </c>
      <c r="K532" s="132">
        <v>0</v>
      </c>
      <c r="L532" s="132" t="s">
        <v>48</v>
      </c>
      <c r="M532" s="134">
        <v>1</v>
      </c>
      <c r="N532" s="134">
        <v>1</v>
      </c>
      <c r="O532" s="320">
        <v>1</v>
      </c>
      <c r="P532" s="326">
        <v>1</v>
      </c>
      <c r="Q532" s="326">
        <v>1000</v>
      </c>
      <c r="R532" s="315">
        <v>0</v>
      </c>
      <c r="S532" s="315">
        <v>1</v>
      </c>
      <c r="T532" s="315"/>
      <c r="U532" s="315">
        <v>2</v>
      </c>
      <c r="V532" s="315">
        <v>0</v>
      </c>
      <c r="W532" s="315">
        <v>4</v>
      </c>
      <c r="X532" s="315">
        <v>2</v>
      </c>
      <c r="Y532" s="315">
        <v>0</v>
      </c>
      <c r="Z532" s="315"/>
      <c r="AA532" s="336">
        <v>3</v>
      </c>
      <c r="AB532" s="336">
        <v>0</v>
      </c>
      <c r="AC532" s="337">
        <v>2</v>
      </c>
      <c r="AD532" s="337" t="s">
        <v>2782</v>
      </c>
      <c r="AE532" s="336">
        <v>3</v>
      </c>
      <c r="AF532" s="336" t="s">
        <v>283</v>
      </c>
      <c r="AG532" s="339" t="s">
        <v>1358</v>
      </c>
      <c r="AH532" s="339">
        <v>0</v>
      </c>
      <c r="AI532" s="336">
        <v>0</v>
      </c>
      <c r="AJ532" s="336"/>
      <c r="AK532" s="848">
        <v>0.6</v>
      </c>
      <c r="AL532" s="842" t="s">
        <v>376</v>
      </c>
      <c r="AM532" s="836">
        <v>0</v>
      </c>
      <c r="AN532" s="837">
        <v>2</v>
      </c>
      <c r="AO532" s="837">
        <v>0</v>
      </c>
      <c r="AP532" s="843">
        <v>0</v>
      </c>
      <c r="AQ532" s="839">
        <v>0</v>
      </c>
      <c r="AR532" s="839"/>
      <c r="AS532" s="839"/>
      <c r="AT532" s="839">
        <v>1</v>
      </c>
      <c r="AU532" s="839"/>
      <c r="AV532" s="849"/>
      <c r="AW532" s="134">
        <v>0</v>
      </c>
      <c r="AX532" s="136">
        <v>0.5</v>
      </c>
      <c r="AY532" s="137" t="s">
        <v>2577</v>
      </c>
      <c r="AZ532" s="136">
        <v>1</v>
      </c>
      <c r="BA532" s="136">
        <v>1</v>
      </c>
      <c r="BB532" s="136">
        <v>1</v>
      </c>
      <c r="BC532" s="214">
        <v>97</v>
      </c>
      <c r="BD532" s="136">
        <v>0</v>
      </c>
      <c r="BE532" s="214">
        <v>0</v>
      </c>
      <c r="BF532" s="136">
        <v>1</v>
      </c>
      <c r="BG532" s="214">
        <v>97</v>
      </c>
      <c r="BH532" s="214">
        <v>0.19400000000000001</v>
      </c>
      <c r="BI532" s="134">
        <v>0</v>
      </c>
      <c r="BJ532" s="214">
        <v>0</v>
      </c>
      <c r="BK532" s="137">
        <v>0.80600000000000005</v>
      </c>
      <c r="BL532" s="137">
        <v>1</v>
      </c>
      <c r="BM532" s="137">
        <v>3</v>
      </c>
      <c r="BN532" s="134">
        <v>0.61855670103092786</v>
      </c>
      <c r="BO532" s="351">
        <v>60</v>
      </c>
      <c r="BP532" s="134">
        <v>0.41237113402061859</v>
      </c>
      <c r="BQ532" s="214">
        <v>2</v>
      </c>
      <c r="BR532" s="137">
        <v>5</v>
      </c>
      <c r="BS532" s="138">
        <v>0</v>
      </c>
      <c r="BT532" s="351">
        <v>40</v>
      </c>
      <c r="BU532" s="214">
        <v>0</v>
      </c>
      <c r="BV532" s="214">
        <v>0</v>
      </c>
      <c r="BW532" s="214">
        <v>0</v>
      </c>
      <c r="BX532" s="214">
        <v>0</v>
      </c>
      <c r="BY532" s="214">
        <v>0</v>
      </c>
      <c r="BZ532" s="134">
        <v>0</v>
      </c>
      <c r="CA532" s="138">
        <v>1</v>
      </c>
      <c r="CB532" s="136">
        <v>0</v>
      </c>
      <c r="CC532" s="136">
        <v>0</v>
      </c>
      <c r="CD532" s="136">
        <v>0</v>
      </c>
      <c r="CE532" s="137">
        <v>0</v>
      </c>
      <c r="CF532" s="137">
        <v>0</v>
      </c>
      <c r="CG532" s="137">
        <v>0</v>
      </c>
      <c r="CH532" s="214">
        <v>14.399999999999999</v>
      </c>
      <c r="CI532" s="139" t="s">
        <v>48</v>
      </c>
      <c r="CJ532" s="139" t="s">
        <v>389</v>
      </c>
      <c r="CK532" s="139" t="s">
        <v>50</v>
      </c>
      <c r="CL532" s="139" t="s">
        <v>50</v>
      </c>
      <c r="CM532" s="139" t="s">
        <v>50</v>
      </c>
      <c r="CN532" s="139" t="s">
        <v>51</v>
      </c>
      <c r="CO532" s="139">
        <v>25.374343974359</v>
      </c>
      <c r="CP532" s="139">
        <v>97.2843958974359</v>
      </c>
      <c r="CQ532" s="139" t="s">
        <v>2011</v>
      </c>
      <c r="CR532" s="449" t="s">
        <v>40</v>
      </c>
      <c r="CS532" s="449"/>
      <c r="CT532" s="24"/>
      <c r="CU532" s="24"/>
      <c r="CV532" s="24"/>
    </row>
    <row r="533" spans="1:100" x14ac:dyDescent="0.25">
      <c r="A533" s="293" t="s">
        <v>2691</v>
      </c>
      <c r="B533" s="132" t="s">
        <v>389</v>
      </c>
      <c r="C533" s="132" t="s">
        <v>44</v>
      </c>
      <c r="D533" s="132" t="s">
        <v>305</v>
      </c>
      <c r="E533" s="132" t="s">
        <v>414</v>
      </c>
      <c r="F533" s="132">
        <v>14</v>
      </c>
      <c r="G533" s="214">
        <v>76</v>
      </c>
      <c r="H533" s="132"/>
      <c r="I533" s="132" t="s">
        <v>391</v>
      </c>
      <c r="J533" s="133">
        <v>42947</v>
      </c>
      <c r="K533" s="132">
        <v>0</v>
      </c>
      <c r="L533" s="132" t="s">
        <v>48</v>
      </c>
      <c r="M533" s="134">
        <v>0.6</v>
      </c>
      <c r="N533" s="134">
        <v>1</v>
      </c>
      <c r="O533" s="320">
        <v>1</v>
      </c>
      <c r="P533" s="326">
        <v>0</v>
      </c>
      <c r="Q533" s="326">
        <v>1000</v>
      </c>
      <c r="R533" s="315">
        <v>0</v>
      </c>
      <c r="S533" s="315">
        <v>1</v>
      </c>
      <c r="T533" s="315"/>
      <c r="U533" s="315">
        <v>2</v>
      </c>
      <c r="V533" s="315">
        <v>1</v>
      </c>
      <c r="W533" s="315">
        <v>4</v>
      </c>
      <c r="X533" s="315">
        <v>2</v>
      </c>
      <c r="Y533" s="315">
        <v>0</v>
      </c>
      <c r="Z533" s="315"/>
      <c r="AA533" s="336">
        <v>3</v>
      </c>
      <c r="AB533" s="336">
        <v>0</v>
      </c>
      <c r="AC533" s="337">
        <v>3</v>
      </c>
      <c r="AD533" s="337" t="s">
        <v>2782</v>
      </c>
      <c r="AE533" s="336">
        <v>3</v>
      </c>
      <c r="AF533" s="336" t="s">
        <v>283</v>
      </c>
      <c r="AG533" s="339" t="s">
        <v>1358</v>
      </c>
      <c r="AH533" s="339">
        <v>0</v>
      </c>
      <c r="AI533" s="336">
        <v>0</v>
      </c>
      <c r="AJ533" s="336"/>
      <c r="AK533" s="848">
        <v>0.6</v>
      </c>
      <c r="AL533" s="842" t="s">
        <v>376</v>
      </c>
      <c r="AM533" s="836">
        <v>0</v>
      </c>
      <c r="AN533" s="837">
        <v>1</v>
      </c>
      <c r="AO533" s="837">
        <v>0</v>
      </c>
      <c r="AP533" s="843">
        <v>0</v>
      </c>
      <c r="AQ533" s="839">
        <v>0</v>
      </c>
      <c r="AR533" s="839"/>
      <c r="AS533" s="839"/>
      <c r="AT533" s="839">
        <v>1</v>
      </c>
      <c r="AU533" s="839"/>
      <c r="AV533" s="849"/>
      <c r="AW533" s="134">
        <v>0.5</v>
      </c>
      <c r="AX533" s="136">
        <v>0.5</v>
      </c>
      <c r="AY533" s="137" t="s">
        <v>2577</v>
      </c>
      <c r="AZ533" s="136">
        <v>1</v>
      </c>
      <c r="BA533" s="136">
        <v>1</v>
      </c>
      <c r="BB533" s="136">
        <v>1</v>
      </c>
      <c r="BC533" s="214">
        <v>76</v>
      </c>
      <c r="BD533" s="136">
        <v>0</v>
      </c>
      <c r="BE533" s="214">
        <v>0</v>
      </c>
      <c r="BF533" s="136">
        <v>1</v>
      </c>
      <c r="BG533" s="214">
        <v>76</v>
      </c>
      <c r="BH533" s="214">
        <v>0.152</v>
      </c>
      <c r="BI533" s="134">
        <v>0</v>
      </c>
      <c r="BJ533" s="214">
        <v>0</v>
      </c>
      <c r="BK533" s="137">
        <v>0.84799999999999998</v>
      </c>
      <c r="BL533" s="137">
        <v>1</v>
      </c>
      <c r="BM533" s="137">
        <v>3</v>
      </c>
      <c r="BN533" s="134">
        <v>0.78947368421052633</v>
      </c>
      <c r="BO533" s="351">
        <v>60</v>
      </c>
      <c r="BP533" s="134">
        <v>0.26315789473684209</v>
      </c>
      <c r="BQ533" s="214">
        <v>1</v>
      </c>
      <c r="BR533" s="137">
        <v>4</v>
      </c>
      <c r="BS533" s="138">
        <v>0</v>
      </c>
      <c r="BT533" s="351">
        <v>60</v>
      </c>
      <c r="BU533" s="214">
        <v>0</v>
      </c>
      <c r="BV533" s="214">
        <v>0</v>
      </c>
      <c r="BW533" s="214">
        <v>0</v>
      </c>
      <c r="BX533" s="214">
        <v>0</v>
      </c>
      <c r="BY533" s="214">
        <v>0</v>
      </c>
      <c r="BZ533" s="134">
        <v>0</v>
      </c>
      <c r="CA533" s="138">
        <v>1</v>
      </c>
      <c r="CB533" s="136">
        <v>0</v>
      </c>
      <c r="CC533" s="136">
        <v>0</v>
      </c>
      <c r="CD533" s="136">
        <v>0</v>
      </c>
      <c r="CE533" s="137">
        <v>0</v>
      </c>
      <c r="CF533" s="137">
        <v>0</v>
      </c>
      <c r="CG533" s="137">
        <v>0</v>
      </c>
      <c r="CH533" s="214">
        <v>8.4</v>
      </c>
      <c r="CI533" s="139" t="s">
        <v>48</v>
      </c>
      <c r="CJ533" s="139" t="s">
        <v>389</v>
      </c>
      <c r="CK533" s="139" t="s">
        <v>50</v>
      </c>
      <c r="CL533" s="139" t="s">
        <v>50</v>
      </c>
      <c r="CM533" s="139" t="s">
        <v>50</v>
      </c>
      <c r="CN533" s="139" t="s">
        <v>51</v>
      </c>
      <c r="CO533" s="139">
        <v>25.371049444444399</v>
      </c>
      <c r="CP533" s="139">
        <v>97.290952037037002</v>
      </c>
      <c r="CQ533" s="139" t="s">
        <v>2010</v>
      </c>
      <c r="CR533" s="449" t="s">
        <v>40</v>
      </c>
      <c r="CS533" s="449"/>
      <c r="CT533" s="24"/>
      <c r="CU533" s="24"/>
      <c r="CV533" s="24"/>
    </row>
    <row r="534" spans="1:100" x14ac:dyDescent="0.25">
      <c r="A534" s="293" t="s">
        <v>2691</v>
      </c>
      <c r="B534" s="132" t="s">
        <v>43</v>
      </c>
      <c r="C534" s="132" t="s">
        <v>44</v>
      </c>
      <c r="D534" s="132" t="s">
        <v>305</v>
      </c>
      <c r="E534" s="132" t="s">
        <v>381</v>
      </c>
      <c r="F534" s="132">
        <v>63</v>
      </c>
      <c r="G534" s="214">
        <v>311</v>
      </c>
      <c r="H534" s="132"/>
      <c r="I534" s="132" t="s">
        <v>372</v>
      </c>
      <c r="J534" s="133">
        <v>43465</v>
      </c>
      <c r="K534" s="132">
        <v>0</v>
      </c>
      <c r="L534" s="132" t="s">
        <v>2452</v>
      </c>
      <c r="M534" s="134">
        <v>0.5</v>
      </c>
      <c r="N534" s="134">
        <v>0.2</v>
      </c>
      <c r="O534" s="320">
        <v>0</v>
      </c>
      <c r="P534" s="326">
        <v>0</v>
      </c>
      <c r="Q534" s="326">
        <v>5000</v>
      </c>
      <c r="R534" s="315">
        <v>0</v>
      </c>
      <c r="S534" s="315">
        <v>4</v>
      </c>
      <c r="T534" s="315"/>
      <c r="U534" s="315">
        <v>4</v>
      </c>
      <c r="V534" s="315">
        <v>2</v>
      </c>
      <c r="W534" s="315">
        <v>11</v>
      </c>
      <c r="X534" s="315">
        <v>1</v>
      </c>
      <c r="Y534" s="315">
        <v>0</v>
      </c>
      <c r="Z534" s="315"/>
      <c r="AA534" s="336">
        <v>20</v>
      </c>
      <c r="AB534" s="336">
        <v>0</v>
      </c>
      <c r="AC534" s="337">
        <v>0</v>
      </c>
      <c r="AD534" s="337"/>
      <c r="AE534" s="336">
        <v>13</v>
      </c>
      <c r="AF534" s="336" t="s">
        <v>283</v>
      </c>
      <c r="AG534" s="339" t="s">
        <v>283</v>
      </c>
      <c r="AH534" s="339">
        <v>0</v>
      </c>
      <c r="AI534" s="336">
        <v>0</v>
      </c>
      <c r="AJ534" s="336"/>
      <c r="AK534" s="848">
        <v>0</v>
      </c>
      <c r="AL534" s="842" t="s">
        <v>376</v>
      </c>
      <c r="AM534" s="836">
        <v>0</v>
      </c>
      <c r="AN534" s="837">
        <v>3</v>
      </c>
      <c r="AO534" s="837">
        <v>2</v>
      </c>
      <c r="AP534" s="843">
        <v>0</v>
      </c>
      <c r="AQ534" s="839">
        <v>0</v>
      </c>
      <c r="AR534" s="839" t="s">
        <v>282</v>
      </c>
      <c r="AS534" s="839"/>
      <c r="AT534" s="839"/>
      <c r="AU534" s="839"/>
      <c r="AV534" s="849"/>
      <c r="AW534" s="134">
        <v>0.5</v>
      </c>
      <c r="AX534" s="136">
        <v>9.0909090909090912E-2</v>
      </c>
      <c r="AY534" s="137" t="s">
        <v>2577</v>
      </c>
      <c r="AZ534" s="136">
        <v>1</v>
      </c>
      <c r="BA534" s="136">
        <v>1</v>
      </c>
      <c r="BB534" s="136">
        <v>1</v>
      </c>
      <c r="BC534" s="214">
        <v>311</v>
      </c>
      <c r="BD534" s="136">
        <v>0</v>
      </c>
      <c r="BE534" s="214">
        <v>0</v>
      </c>
      <c r="BF534" s="136">
        <v>1</v>
      </c>
      <c r="BG534" s="214">
        <v>311</v>
      </c>
      <c r="BH534" s="214">
        <v>0.622</v>
      </c>
      <c r="BI534" s="134">
        <v>0</v>
      </c>
      <c r="BJ534" s="214">
        <v>0</v>
      </c>
      <c r="BK534" s="137">
        <v>0.378</v>
      </c>
      <c r="BL534" s="137">
        <v>1</v>
      </c>
      <c r="BM534" s="137">
        <v>20</v>
      </c>
      <c r="BN534" s="134">
        <v>1</v>
      </c>
      <c r="BO534" s="351">
        <v>311</v>
      </c>
      <c r="BP534" s="134">
        <v>0</v>
      </c>
      <c r="BQ534" s="214">
        <v>0</v>
      </c>
      <c r="BR534" s="137">
        <v>16</v>
      </c>
      <c r="BS534" s="138">
        <v>0</v>
      </c>
      <c r="BT534" s="351">
        <v>0</v>
      </c>
      <c r="BU534" s="214">
        <v>311</v>
      </c>
      <c r="BV534" s="214">
        <v>0</v>
      </c>
      <c r="BW534" s="214">
        <v>1</v>
      </c>
      <c r="BX534" s="214">
        <v>0</v>
      </c>
      <c r="BY534" s="214">
        <v>0</v>
      </c>
      <c r="BZ534" s="134">
        <v>0</v>
      </c>
      <c r="CA534" s="138">
        <v>1</v>
      </c>
      <c r="CB534" s="136">
        <v>1</v>
      </c>
      <c r="CC534" s="136">
        <v>0</v>
      </c>
      <c r="CD534" s="136">
        <v>0</v>
      </c>
      <c r="CE534" s="137">
        <v>0</v>
      </c>
      <c r="CF534" s="137">
        <v>0</v>
      </c>
      <c r="CG534" s="137">
        <v>0</v>
      </c>
      <c r="CH534" s="214">
        <v>0</v>
      </c>
      <c r="CI534" s="139" t="s">
        <v>48</v>
      </c>
      <c r="CJ534" s="139" t="s">
        <v>1539</v>
      </c>
      <c r="CK534" s="139" t="s">
        <v>50</v>
      </c>
      <c r="CL534" s="139" t="s">
        <v>50</v>
      </c>
      <c r="CM534" s="139" t="s">
        <v>50</v>
      </c>
      <c r="CN534" s="139" t="s">
        <v>51</v>
      </c>
      <c r="CO534" s="139">
        <v>25.410569299999999</v>
      </c>
      <c r="CP534" s="139">
        <v>97.359320179999997</v>
      </c>
      <c r="CQ534" s="139" t="s">
        <v>2022</v>
      </c>
      <c r="CR534" s="449" t="s">
        <v>40</v>
      </c>
      <c r="CS534" s="449"/>
      <c r="CT534" s="24"/>
      <c r="CU534" s="24"/>
      <c r="CV534" s="24"/>
    </row>
    <row r="535" spans="1:100" x14ac:dyDescent="0.25">
      <c r="A535" s="293" t="s">
        <v>2691</v>
      </c>
      <c r="B535" s="132" t="s">
        <v>287</v>
      </c>
      <c r="C535" s="132" t="s">
        <v>44</v>
      </c>
      <c r="D535" s="132" t="s">
        <v>305</v>
      </c>
      <c r="E535" s="132" t="s">
        <v>313</v>
      </c>
      <c r="F535" s="132">
        <v>67</v>
      </c>
      <c r="G535" s="214">
        <v>295</v>
      </c>
      <c r="H535" s="132"/>
      <c r="I535" s="132" t="s">
        <v>290</v>
      </c>
      <c r="J535" s="133" t="s">
        <v>2800</v>
      </c>
      <c r="K535" s="132">
        <v>0</v>
      </c>
      <c r="L535" s="132" t="s">
        <v>48</v>
      </c>
      <c r="M535" s="134">
        <v>0.6</v>
      </c>
      <c r="N535" s="134">
        <v>0.5</v>
      </c>
      <c r="O535" s="320">
        <v>1</v>
      </c>
      <c r="P535" s="326">
        <v>2</v>
      </c>
      <c r="Q535" s="326">
        <v>1500</v>
      </c>
      <c r="R535" s="315">
        <v>0</v>
      </c>
      <c r="S535" s="315">
        <v>0</v>
      </c>
      <c r="T535" s="315"/>
      <c r="U535" s="315">
        <v>0</v>
      </c>
      <c r="V535" s="315">
        <v>0</v>
      </c>
      <c r="W535" s="315">
        <v>0</v>
      </c>
      <c r="X535" s="315">
        <v>0</v>
      </c>
      <c r="Y535" s="315">
        <v>0</v>
      </c>
      <c r="Z535" s="315"/>
      <c r="AA535" s="336">
        <v>10</v>
      </c>
      <c r="AB535" s="336">
        <v>0</v>
      </c>
      <c r="AC535" s="337">
        <v>8</v>
      </c>
      <c r="AD535" s="337"/>
      <c r="AE535" s="336">
        <v>0</v>
      </c>
      <c r="AF535" s="336" t="s">
        <v>283</v>
      </c>
      <c r="AG535" s="339" t="s">
        <v>283</v>
      </c>
      <c r="AH535" s="339"/>
      <c r="AI535" s="336"/>
      <c r="AJ535" s="336"/>
      <c r="AK535" s="848">
        <v>0.6</v>
      </c>
      <c r="AL535" s="842" t="s">
        <v>376</v>
      </c>
      <c r="AM535" s="836">
        <v>0</v>
      </c>
      <c r="AN535" s="837">
        <v>2</v>
      </c>
      <c r="AO535" s="837">
        <v>1</v>
      </c>
      <c r="AP535" s="843">
        <v>0</v>
      </c>
      <c r="AQ535" s="839">
        <v>0</v>
      </c>
      <c r="AR535" s="839"/>
      <c r="AS535" s="839"/>
      <c r="AT535" s="839"/>
      <c r="AU535" s="839"/>
      <c r="AV535" s="849"/>
      <c r="AW535" s="134" t="s">
        <v>3208</v>
      </c>
      <c r="AX535" s="136" t="s">
        <v>3208</v>
      </c>
      <c r="AY535" s="137" t="s">
        <v>2576</v>
      </c>
      <c r="AZ535" s="136">
        <v>1</v>
      </c>
      <c r="BA535" s="136">
        <v>1</v>
      </c>
      <c r="BB535" s="136">
        <v>1</v>
      </c>
      <c r="BC535" s="214">
        <v>295</v>
      </c>
      <c r="BD535" s="136">
        <v>0</v>
      </c>
      <c r="BE535" s="214">
        <v>0</v>
      </c>
      <c r="BF535" s="136">
        <v>1</v>
      </c>
      <c r="BG535" s="214">
        <v>295</v>
      </c>
      <c r="BH535" s="214">
        <v>0.59</v>
      </c>
      <c r="BI535" s="134">
        <v>0</v>
      </c>
      <c r="BJ535" s="214">
        <v>0</v>
      </c>
      <c r="BK535" s="137">
        <v>0.41000000000000003</v>
      </c>
      <c r="BL535" s="137">
        <v>1</v>
      </c>
      <c r="BM535" s="137">
        <v>10</v>
      </c>
      <c r="BN535" s="134">
        <v>0.67796610169491522</v>
      </c>
      <c r="BO535" s="351">
        <v>200</v>
      </c>
      <c r="BP535" s="134">
        <v>0.33898305084745761</v>
      </c>
      <c r="BQ535" s="214">
        <v>5</v>
      </c>
      <c r="BR535" s="137">
        <v>15</v>
      </c>
      <c r="BS535" s="138">
        <v>0</v>
      </c>
      <c r="BT535" s="351">
        <v>160</v>
      </c>
      <c r="BU535" s="214">
        <v>295</v>
      </c>
      <c r="BV535" s="214">
        <v>0</v>
      </c>
      <c r="BW535" s="214">
        <v>1</v>
      </c>
      <c r="BX535" s="214">
        <v>0</v>
      </c>
      <c r="BY535" s="214">
        <v>0</v>
      </c>
      <c r="BZ535" s="134">
        <v>0</v>
      </c>
      <c r="CA535" s="138">
        <v>1</v>
      </c>
      <c r="CB535" s="136">
        <v>1</v>
      </c>
      <c r="CC535" s="136">
        <v>0</v>
      </c>
      <c r="CD535" s="136">
        <v>0</v>
      </c>
      <c r="CE535" s="137">
        <v>0</v>
      </c>
      <c r="CF535" s="137">
        <v>0</v>
      </c>
      <c r="CG535" s="137">
        <v>0</v>
      </c>
      <c r="CH535" s="214">
        <v>40.199999999999996</v>
      </c>
      <c r="CI535" s="139" t="s">
        <v>48</v>
      </c>
      <c r="CJ535" s="139" t="s">
        <v>287</v>
      </c>
      <c r="CK535" s="139" t="s">
        <v>50</v>
      </c>
      <c r="CL535" s="139" t="s">
        <v>50</v>
      </c>
      <c r="CM535" s="139" t="s">
        <v>50</v>
      </c>
      <c r="CN535" s="139" t="s">
        <v>51</v>
      </c>
      <c r="CO535" s="139">
        <v>25.422194000000001</v>
      </c>
      <c r="CP535" s="139">
        <v>97.394547000000003</v>
      </c>
      <c r="CQ535" s="139" t="s">
        <v>2029</v>
      </c>
      <c r="CR535" s="449" t="s">
        <v>40</v>
      </c>
      <c r="CS535" s="449"/>
      <c r="CT535" s="24"/>
      <c r="CU535" s="24"/>
      <c r="CV535" s="24"/>
    </row>
    <row r="536" spans="1:100" x14ac:dyDescent="0.25">
      <c r="A536" s="293" t="s">
        <v>2691</v>
      </c>
      <c r="B536" s="132" t="s">
        <v>43</v>
      </c>
      <c r="C536" s="132" t="s">
        <v>44</v>
      </c>
      <c r="D536" s="132" t="s">
        <v>305</v>
      </c>
      <c r="E536" s="132" t="s">
        <v>382</v>
      </c>
      <c r="F536" s="132">
        <v>49</v>
      </c>
      <c r="G536" s="214">
        <v>289</v>
      </c>
      <c r="H536" s="132"/>
      <c r="I536" s="132" t="s">
        <v>372</v>
      </c>
      <c r="J536" s="133">
        <v>43465</v>
      </c>
      <c r="K536" s="132">
        <v>0</v>
      </c>
      <c r="L536" s="132" t="s">
        <v>2452</v>
      </c>
      <c r="M536" s="134">
        <v>0.6</v>
      </c>
      <c r="N536" s="134">
        <v>0.5</v>
      </c>
      <c r="O536" s="320">
        <v>2</v>
      </c>
      <c r="P536" s="326">
        <v>0</v>
      </c>
      <c r="Q536" s="326">
        <v>6000</v>
      </c>
      <c r="R536" s="315">
        <v>0</v>
      </c>
      <c r="S536" s="315">
        <v>0</v>
      </c>
      <c r="T536" s="315"/>
      <c r="U536" s="315">
        <v>2</v>
      </c>
      <c r="V536" s="315">
        <v>2</v>
      </c>
      <c r="W536" s="315">
        <v>14</v>
      </c>
      <c r="X536" s="315">
        <v>1</v>
      </c>
      <c r="Y536" s="315">
        <v>0</v>
      </c>
      <c r="Z536" s="315"/>
      <c r="AA536" s="336">
        <v>12</v>
      </c>
      <c r="AB536" s="336">
        <v>0</v>
      </c>
      <c r="AC536" s="337">
        <v>0</v>
      </c>
      <c r="AD536" s="337"/>
      <c r="AE536" s="336">
        <v>12</v>
      </c>
      <c r="AF536" s="336" t="s">
        <v>283</v>
      </c>
      <c r="AG536" s="339" t="s">
        <v>283</v>
      </c>
      <c r="AH536" s="339">
        <v>0</v>
      </c>
      <c r="AI536" s="336">
        <v>0</v>
      </c>
      <c r="AJ536" s="336"/>
      <c r="AK536" s="848">
        <v>0</v>
      </c>
      <c r="AL536" s="842" t="s">
        <v>376</v>
      </c>
      <c r="AM536" s="836">
        <v>0</v>
      </c>
      <c r="AN536" s="837">
        <v>3</v>
      </c>
      <c r="AO536" s="837">
        <v>2</v>
      </c>
      <c r="AP536" s="843">
        <v>0</v>
      </c>
      <c r="AQ536" s="839">
        <v>0</v>
      </c>
      <c r="AR536" s="839" t="s">
        <v>282</v>
      </c>
      <c r="AS536" s="839"/>
      <c r="AT536" s="839"/>
      <c r="AU536" s="839"/>
      <c r="AV536" s="849"/>
      <c r="AW536" s="134">
        <v>1</v>
      </c>
      <c r="AX536" s="136">
        <v>7.1428571428571425E-2</v>
      </c>
      <c r="AY536" s="137" t="s">
        <v>2577</v>
      </c>
      <c r="AZ536" s="136">
        <v>1</v>
      </c>
      <c r="BA536" s="136">
        <v>1</v>
      </c>
      <c r="BB536" s="136">
        <v>1</v>
      </c>
      <c r="BC536" s="214">
        <v>289</v>
      </c>
      <c r="BD536" s="136">
        <v>0</v>
      </c>
      <c r="BE536" s="214">
        <v>0</v>
      </c>
      <c r="BF536" s="136">
        <v>1</v>
      </c>
      <c r="BG536" s="214">
        <v>289</v>
      </c>
      <c r="BH536" s="214">
        <v>0.57799999999999996</v>
      </c>
      <c r="BI536" s="134">
        <v>0</v>
      </c>
      <c r="BJ536" s="214">
        <v>0</v>
      </c>
      <c r="BK536" s="137">
        <v>0.42200000000000004</v>
      </c>
      <c r="BL536" s="137">
        <v>1</v>
      </c>
      <c r="BM536" s="137">
        <v>12</v>
      </c>
      <c r="BN536" s="134">
        <v>0.83044982698961933</v>
      </c>
      <c r="BO536" s="351">
        <v>240</v>
      </c>
      <c r="BP536" s="134">
        <v>0.13840830449826991</v>
      </c>
      <c r="BQ536" s="214">
        <v>2</v>
      </c>
      <c r="BR536" s="137">
        <v>14</v>
      </c>
      <c r="BS536" s="138">
        <v>0</v>
      </c>
      <c r="BT536" s="351">
        <v>0</v>
      </c>
      <c r="BU536" s="214">
        <v>289</v>
      </c>
      <c r="BV536" s="214">
        <v>0</v>
      </c>
      <c r="BW536" s="214">
        <v>1</v>
      </c>
      <c r="BX536" s="214">
        <v>0</v>
      </c>
      <c r="BY536" s="214">
        <v>0</v>
      </c>
      <c r="BZ536" s="134">
        <v>0</v>
      </c>
      <c r="CA536" s="138">
        <v>1</v>
      </c>
      <c r="CB536" s="136">
        <v>1</v>
      </c>
      <c r="CC536" s="136">
        <v>0</v>
      </c>
      <c r="CD536" s="136">
        <v>0</v>
      </c>
      <c r="CE536" s="137">
        <v>0</v>
      </c>
      <c r="CF536" s="137">
        <v>0</v>
      </c>
      <c r="CG536" s="137">
        <v>0</v>
      </c>
      <c r="CH536" s="214">
        <v>0</v>
      </c>
      <c r="CI536" s="139" t="s">
        <v>48</v>
      </c>
      <c r="CJ536" s="139" t="s">
        <v>1539</v>
      </c>
      <c r="CK536" s="139" t="s">
        <v>50</v>
      </c>
      <c r="CL536" s="139" t="s">
        <v>50</v>
      </c>
      <c r="CM536" s="139" t="s">
        <v>50</v>
      </c>
      <c r="CN536" s="139" t="s">
        <v>51</v>
      </c>
      <c r="CO536" s="139">
        <v>25.493819999999999</v>
      </c>
      <c r="CP536" s="139">
        <v>97.4345</v>
      </c>
      <c r="CQ536" s="139" t="s">
        <v>2035</v>
      </c>
      <c r="CR536" s="449" t="s">
        <v>40</v>
      </c>
      <c r="CS536" s="449"/>
      <c r="CT536" s="24"/>
      <c r="CU536" s="24"/>
      <c r="CV536" s="24"/>
    </row>
    <row r="537" spans="1:100" x14ac:dyDescent="0.25">
      <c r="A537" s="293" t="s">
        <v>2691</v>
      </c>
      <c r="B537" s="132" t="s">
        <v>460</v>
      </c>
      <c r="C537" s="132" t="s">
        <v>44</v>
      </c>
      <c r="D537" s="132" t="s">
        <v>305</v>
      </c>
      <c r="E537" s="132" t="s">
        <v>2944</v>
      </c>
      <c r="F537" s="132">
        <v>46</v>
      </c>
      <c r="G537" s="214">
        <v>212</v>
      </c>
      <c r="H537" s="132"/>
      <c r="I537" s="132"/>
      <c r="J537" s="133"/>
      <c r="K537" s="132"/>
      <c r="L537" s="132"/>
      <c r="M537" s="206"/>
      <c r="N537" s="206"/>
      <c r="O537" s="320"/>
      <c r="P537" s="326"/>
      <c r="Q537" s="326"/>
      <c r="R537" s="315"/>
      <c r="S537" s="315"/>
      <c r="T537" s="315"/>
      <c r="U537" s="315"/>
      <c r="V537" s="315"/>
      <c r="W537" s="315"/>
      <c r="X537" s="315"/>
      <c r="Y537" s="315"/>
      <c r="Z537" s="315"/>
      <c r="AA537" s="336"/>
      <c r="AB537" s="336"/>
      <c r="AC537" s="337"/>
      <c r="AD537" s="337"/>
      <c r="AE537" s="336"/>
      <c r="AF537" s="336"/>
      <c r="AG537" s="339"/>
      <c r="AH537" s="339"/>
      <c r="AI537" s="336"/>
      <c r="AJ537" s="336"/>
      <c r="AK537" s="848"/>
      <c r="AL537" s="836"/>
      <c r="AM537" s="836"/>
      <c r="AN537" s="837"/>
      <c r="AO537" s="837"/>
      <c r="AP537" s="839"/>
      <c r="AQ537" s="839"/>
      <c r="AR537" s="839"/>
      <c r="AS537" s="839"/>
      <c r="AT537" s="839"/>
      <c r="AU537" s="839"/>
      <c r="AV537" s="849"/>
      <c r="AW537" s="134" t="s">
        <v>3208</v>
      </c>
      <c r="AX537" s="136" t="s">
        <v>3208</v>
      </c>
      <c r="AY537" s="137" t="s">
        <v>2576</v>
      </c>
      <c r="AZ537" s="136">
        <v>0</v>
      </c>
      <c r="BA537" s="136">
        <v>0</v>
      </c>
      <c r="BB537" s="136">
        <v>0</v>
      </c>
      <c r="BC537" s="214">
        <v>0</v>
      </c>
      <c r="BD537" s="136">
        <v>0</v>
      </c>
      <c r="BE537" s="214">
        <v>0</v>
      </c>
      <c r="BF537" s="136">
        <v>0</v>
      </c>
      <c r="BG537" s="214">
        <v>0</v>
      </c>
      <c r="BH537" s="214">
        <v>0</v>
      </c>
      <c r="BI537" s="134">
        <v>1</v>
      </c>
      <c r="BJ537" s="214">
        <v>212</v>
      </c>
      <c r="BK537" s="137">
        <v>1</v>
      </c>
      <c r="BL537" s="137">
        <v>1</v>
      </c>
      <c r="BM537" s="137">
        <v>0</v>
      </c>
      <c r="BN537" s="134">
        <v>0</v>
      </c>
      <c r="BO537" s="351">
        <v>0</v>
      </c>
      <c r="BP537" s="134">
        <v>1</v>
      </c>
      <c r="BQ537" s="214">
        <v>11</v>
      </c>
      <c r="BR537" s="137">
        <v>11</v>
      </c>
      <c r="BS537" s="138">
        <v>0</v>
      </c>
      <c r="BT537" s="351">
        <v>0</v>
      </c>
      <c r="BU537" s="214">
        <v>0</v>
      </c>
      <c r="BV537" s="214">
        <v>0</v>
      </c>
      <c r="BW537" s="214">
        <v>0</v>
      </c>
      <c r="BX537" s="214">
        <v>0</v>
      </c>
      <c r="BY537" s="214">
        <v>0</v>
      </c>
      <c r="BZ537" s="134">
        <v>0</v>
      </c>
      <c r="CA537" s="138">
        <v>1</v>
      </c>
      <c r="CB537" s="136">
        <v>0</v>
      </c>
      <c r="CC537" s="136">
        <v>0</v>
      </c>
      <c r="CD537" s="136">
        <v>0</v>
      </c>
      <c r="CE537" s="137">
        <v>0</v>
      </c>
      <c r="CF537" s="137">
        <v>0</v>
      </c>
      <c r="CG537" s="137">
        <v>0</v>
      </c>
      <c r="CH537" s="214">
        <v>0</v>
      </c>
      <c r="CI537" s="139">
        <v>0</v>
      </c>
      <c r="CJ537" s="139" t="s">
        <v>2959</v>
      </c>
      <c r="CK537" s="139" t="s">
        <v>2716</v>
      </c>
      <c r="CL537" s="139" t="s">
        <v>50</v>
      </c>
      <c r="CM537" s="139" t="s">
        <v>946</v>
      </c>
      <c r="CN537" s="812" t="s">
        <v>51</v>
      </c>
      <c r="CO537" s="139">
        <v>25.493819999999999</v>
      </c>
      <c r="CP537" s="139">
        <v>97.4345</v>
      </c>
      <c r="CQ537" s="139" t="s">
        <v>2945</v>
      </c>
      <c r="CR537" s="449" t="s">
        <v>3209</v>
      </c>
      <c r="CS537" s="449"/>
      <c r="CT537" s="24"/>
      <c r="CU537" s="24"/>
      <c r="CV537" s="24"/>
    </row>
    <row r="538" spans="1:100" x14ac:dyDescent="0.25">
      <c r="A538" s="293" t="s">
        <v>2691</v>
      </c>
      <c r="B538" s="132" t="s">
        <v>287</v>
      </c>
      <c r="C538" s="132" t="s">
        <v>44</v>
      </c>
      <c r="D538" s="132" t="s">
        <v>305</v>
      </c>
      <c r="E538" s="132" t="s">
        <v>314</v>
      </c>
      <c r="F538" s="132">
        <v>119</v>
      </c>
      <c r="G538" s="214">
        <v>569</v>
      </c>
      <c r="H538" s="132"/>
      <c r="I538" s="132" t="s">
        <v>290</v>
      </c>
      <c r="J538" s="133" t="s">
        <v>2800</v>
      </c>
      <c r="K538" s="132">
        <v>0</v>
      </c>
      <c r="L538" s="132" t="s">
        <v>48</v>
      </c>
      <c r="M538" s="134">
        <v>0.6</v>
      </c>
      <c r="N538" s="134">
        <v>0.5</v>
      </c>
      <c r="O538" s="320">
        <v>1</v>
      </c>
      <c r="P538" s="326">
        <v>1</v>
      </c>
      <c r="Q538" s="326">
        <v>3000</v>
      </c>
      <c r="R538" s="315">
        <v>0</v>
      </c>
      <c r="S538" s="315">
        <v>0</v>
      </c>
      <c r="T538" s="315"/>
      <c r="U538" s="315">
        <v>0</v>
      </c>
      <c r="V538" s="315">
        <v>0</v>
      </c>
      <c r="W538" s="315">
        <v>0</v>
      </c>
      <c r="X538" s="315">
        <v>0</v>
      </c>
      <c r="Y538" s="315">
        <v>0</v>
      </c>
      <c r="Z538" s="315"/>
      <c r="AA538" s="336">
        <v>13</v>
      </c>
      <c r="AB538" s="336">
        <v>0</v>
      </c>
      <c r="AC538" s="337">
        <v>0</v>
      </c>
      <c r="AD538" s="337"/>
      <c r="AE538" s="336">
        <v>0</v>
      </c>
      <c r="AF538" s="336" t="s">
        <v>283</v>
      </c>
      <c r="AG538" s="339" t="s">
        <v>283</v>
      </c>
      <c r="AH538" s="339"/>
      <c r="AI538" s="336"/>
      <c r="AJ538" s="336"/>
      <c r="AK538" s="848">
        <v>0.6</v>
      </c>
      <c r="AL538" s="836" t="s">
        <v>291</v>
      </c>
      <c r="AM538" s="836">
        <v>0</v>
      </c>
      <c r="AN538" s="837">
        <v>2</v>
      </c>
      <c r="AO538" s="837">
        <v>2</v>
      </c>
      <c r="AP538" s="843">
        <v>0</v>
      </c>
      <c r="AQ538" s="839">
        <v>0</v>
      </c>
      <c r="AR538" s="839"/>
      <c r="AS538" s="839"/>
      <c r="AT538" s="839"/>
      <c r="AU538" s="839"/>
      <c r="AV538" s="849"/>
      <c r="AW538" s="134" t="s">
        <v>3208</v>
      </c>
      <c r="AX538" s="136" t="s">
        <v>3208</v>
      </c>
      <c r="AY538" s="137" t="s">
        <v>2576</v>
      </c>
      <c r="AZ538" s="136">
        <v>1</v>
      </c>
      <c r="BA538" s="136">
        <v>1</v>
      </c>
      <c r="BB538" s="136">
        <v>1</v>
      </c>
      <c r="BC538" s="214">
        <v>569</v>
      </c>
      <c r="BD538" s="136">
        <v>0</v>
      </c>
      <c r="BE538" s="214">
        <v>0</v>
      </c>
      <c r="BF538" s="136">
        <v>1</v>
      </c>
      <c r="BG538" s="214">
        <v>569</v>
      </c>
      <c r="BH538" s="214">
        <v>1.1379999999999999</v>
      </c>
      <c r="BI538" s="134">
        <v>0</v>
      </c>
      <c r="BJ538" s="214">
        <v>0</v>
      </c>
      <c r="BK538" s="137">
        <v>0</v>
      </c>
      <c r="BL538" s="137">
        <v>1</v>
      </c>
      <c r="BM538" s="137">
        <v>13</v>
      </c>
      <c r="BN538" s="134">
        <v>0.45694200351493847</v>
      </c>
      <c r="BO538" s="351">
        <v>260</v>
      </c>
      <c r="BP538" s="134">
        <v>0.52724077328646746</v>
      </c>
      <c r="BQ538" s="214">
        <v>15</v>
      </c>
      <c r="BR538" s="137">
        <v>28</v>
      </c>
      <c r="BS538" s="138">
        <v>0</v>
      </c>
      <c r="BT538" s="351">
        <v>0</v>
      </c>
      <c r="BU538" s="214">
        <v>569</v>
      </c>
      <c r="BV538" s="214">
        <v>0</v>
      </c>
      <c r="BW538" s="214">
        <v>1</v>
      </c>
      <c r="BX538" s="214">
        <v>0</v>
      </c>
      <c r="BY538" s="214">
        <v>0</v>
      </c>
      <c r="BZ538" s="134">
        <v>0</v>
      </c>
      <c r="CA538" s="138">
        <v>1</v>
      </c>
      <c r="CB538" s="136">
        <v>1</v>
      </c>
      <c r="CC538" s="136">
        <v>0</v>
      </c>
      <c r="CD538" s="136">
        <v>0</v>
      </c>
      <c r="CE538" s="137">
        <v>0</v>
      </c>
      <c r="CF538" s="137">
        <v>0</v>
      </c>
      <c r="CG538" s="137">
        <v>0</v>
      </c>
      <c r="CH538" s="214">
        <v>71.399999999999991</v>
      </c>
      <c r="CI538" s="139" t="s">
        <v>48</v>
      </c>
      <c r="CJ538" s="139" t="s">
        <v>287</v>
      </c>
      <c r="CK538" s="139" t="s">
        <v>50</v>
      </c>
      <c r="CL538" s="139" t="s">
        <v>50</v>
      </c>
      <c r="CM538" s="139" t="s">
        <v>50</v>
      </c>
      <c r="CN538" s="139" t="s">
        <v>51</v>
      </c>
      <c r="CO538" s="139">
        <v>25.412313000000001</v>
      </c>
      <c r="CP538" s="139">
        <v>97.399628000000007</v>
      </c>
      <c r="CQ538" s="139" t="s">
        <v>2024</v>
      </c>
      <c r="CR538" s="449" t="s">
        <v>40</v>
      </c>
      <c r="CS538" s="449"/>
      <c r="CT538" s="24"/>
      <c r="CU538" s="24"/>
      <c r="CV538" s="24"/>
    </row>
    <row r="539" spans="1:100" x14ac:dyDescent="0.25">
      <c r="A539" s="293" t="s">
        <v>2691</v>
      </c>
      <c r="B539" s="132" t="s">
        <v>389</v>
      </c>
      <c r="C539" s="132" t="s">
        <v>44</v>
      </c>
      <c r="D539" s="132" t="s">
        <v>305</v>
      </c>
      <c r="E539" s="132" t="s">
        <v>415</v>
      </c>
      <c r="F539" s="132">
        <v>23</v>
      </c>
      <c r="G539" s="214">
        <v>114</v>
      </c>
      <c r="H539" s="132"/>
      <c r="I539" s="132" t="s">
        <v>391</v>
      </c>
      <c r="J539" s="133">
        <v>42947</v>
      </c>
      <c r="K539" s="132">
        <v>0</v>
      </c>
      <c r="L539" s="132" t="s">
        <v>48</v>
      </c>
      <c r="M539" s="134">
        <v>0.71</v>
      </c>
      <c r="N539" s="134">
        <v>1</v>
      </c>
      <c r="O539" s="320">
        <v>1</v>
      </c>
      <c r="P539" s="326">
        <v>0</v>
      </c>
      <c r="Q539" s="326">
        <v>0</v>
      </c>
      <c r="R539" s="315">
        <v>0</v>
      </c>
      <c r="S539" s="315">
        <v>2</v>
      </c>
      <c r="T539" s="315"/>
      <c r="U539" s="315">
        <v>1</v>
      </c>
      <c r="V539" s="315">
        <v>0</v>
      </c>
      <c r="W539" s="315">
        <v>3</v>
      </c>
      <c r="X539" s="315">
        <v>0</v>
      </c>
      <c r="Y539" s="315">
        <v>0</v>
      </c>
      <c r="Z539" s="315"/>
      <c r="AA539" s="336">
        <v>7</v>
      </c>
      <c r="AB539" s="336">
        <v>0</v>
      </c>
      <c r="AC539" s="337">
        <v>0</v>
      </c>
      <c r="AD539" s="337" t="s">
        <v>2789</v>
      </c>
      <c r="AE539" s="336">
        <v>7</v>
      </c>
      <c r="AF539" s="336" t="s">
        <v>283</v>
      </c>
      <c r="AG539" s="339" t="s">
        <v>1358</v>
      </c>
      <c r="AH539" s="339">
        <v>0</v>
      </c>
      <c r="AI539" s="336">
        <v>0</v>
      </c>
      <c r="AJ539" s="336"/>
      <c r="AK539" s="848">
        <v>0.6</v>
      </c>
      <c r="AL539" s="842" t="s">
        <v>376</v>
      </c>
      <c r="AM539" s="836">
        <v>0</v>
      </c>
      <c r="AN539" s="837">
        <v>2</v>
      </c>
      <c r="AO539" s="837">
        <v>0</v>
      </c>
      <c r="AP539" s="843">
        <v>0</v>
      </c>
      <c r="AQ539" s="839">
        <v>0</v>
      </c>
      <c r="AR539" s="839"/>
      <c r="AS539" s="839"/>
      <c r="AT539" s="839">
        <v>1</v>
      </c>
      <c r="AU539" s="839"/>
      <c r="AV539" s="849"/>
      <c r="AW539" s="134">
        <v>0</v>
      </c>
      <c r="AX539" s="136">
        <v>0</v>
      </c>
      <c r="AY539" s="137" t="s">
        <v>2577</v>
      </c>
      <c r="AZ539" s="136">
        <v>1</v>
      </c>
      <c r="BA539" s="136">
        <v>1</v>
      </c>
      <c r="BB539" s="136">
        <v>1</v>
      </c>
      <c r="BC539" s="214">
        <v>114</v>
      </c>
      <c r="BD539" s="136">
        <v>0</v>
      </c>
      <c r="BE539" s="214">
        <v>0</v>
      </c>
      <c r="BF539" s="136">
        <v>1</v>
      </c>
      <c r="BG539" s="214">
        <v>114</v>
      </c>
      <c r="BH539" s="214">
        <v>0.22800000000000001</v>
      </c>
      <c r="BI539" s="134">
        <v>0</v>
      </c>
      <c r="BJ539" s="214">
        <v>0</v>
      </c>
      <c r="BK539" s="137">
        <v>0.77200000000000002</v>
      </c>
      <c r="BL539" s="137">
        <v>1</v>
      </c>
      <c r="BM539" s="137">
        <v>7</v>
      </c>
      <c r="BN539" s="134">
        <v>1</v>
      </c>
      <c r="BO539" s="351">
        <v>114</v>
      </c>
      <c r="BP539" s="134">
        <v>0</v>
      </c>
      <c r="BQ539" s="214">
        <v>0</v>
      </c>
      <c r="BR539" s="137">
        <v>6</v>
      </c>
      <c r="BS539" s="138">
        <v>0</v>
      </c>
      <c r="BT539" s="351">
        <v>0</v>
      </c>
      <c r="BU539" s="214">
        <v>0</v>
      </c>
      <c r="BV539" s="214">
        <v>0</v>
      </c>
      <c r="BW539" s="214">
        <v>0</v>
      </c>
      <c r="BX539" s="214">
        <v>0</v>
      </c>
      <c r="BY539" s="214">
        <v>0</v>
      </c>
      <c r="BZ539" s="134">
        <v>0</v>
      </c>
      <c r="CA539" s="138">
        <v>1</v>
      </c>
      <c r="CB539" s="136">
        <v>0</v>
      </c>
      <c r="CC539" s="136">
        <v>0</v>
      </c>
      <c r="CD539" s="136">
        <v>0</v>
      </c>
      <c r="CE539" s="137">
        <v>0</v>
      </c>
      <c r="CF539" s="137">
        <v>0</v>
      </c>
      <c r="CG539" s="137">
        <v>0</v>
      </c>
      <c r="CH539" s="214">
        <v>13.799999999999999</v>
      </c>
      <c r="CI539" s="139" t="s">
        <v>48</v>
      </c>
      <c r="CJ539" s="139" t="s">
        <v>389</v>
      </c>
      <c r="CK539" s="139" t="s">
        <v>50</v>
      </c>
      <c r="CL539" s="139" t="s">
        <v>50</v>
      </c>
      <c r="CM539" s="139" t="s">
        <v>50</v>
      </c>
      <c r="CN539" s="139" t="s">
        <v>51</v>
      </c>
      <c r="CO539" s="139">
        <v>25.423817</v>
      </c>
      <c r="CP539" s="139">
        <v>97.418004999999994</v>
      </c>
      <c r="CQ539" s="139" t="s">
        <v>2031</v>
      </c>
      <c r="CR539" s="449" t="s">
        <v>40</v>
      </c>
      <c r="CS539" s="449"/>
      <c r="CT539" s="24"/>
      <c r="CU539" s="24"/>
      <c r="CV539" s="24"/>
    </row>
    <row r="540" spans="1:100" x14ac:dyDescent="0.25">
      <c r="A540" s="293" t="s">
        <v>2691</v>
      </c>
      <c r="B540" s="132" t="s">
        <v>287</v>
      </c>
      <c r="C540" s="132" t="s">
        <v>44</v>
      </c>
      <c r="D540" s="132" t="s">
        <v>305</v>
      </c>
      <c r="E540" s="132" t="s">
        <v>315</v>
      </c>
      <c r="F540" s="132">
        <v>91</v>
      </c>
      <c r="G540" s="214">
        <v>501</v>
      </c>
      <c r="H540" s="132"/>
      <c r="I540" s="132" t="s">
        <v>290</v>
      </c>
      <c r="J540" s="133" t="s">
        <v>2800</v>
      </c>
      <c r="K540" s="132">
        <v>0</v>
      </c>
      <c r="L540" s="132" t="s">
        <v>48</v>
      </c>
      <c r="M540" s="134">
        <v>0.6</v>
      </c>
      <c r="N540" s="134">
        <v>0.5</v>
      </c>
      <c r="O540" s="320">
        <v>1</v>
      </c>
      <c r="P540" s="326">
        <v>1</v>
      </c>
      <c r="Q540" s="326">
        <v>0</v>
      </c>
      <c r="R540" s="315">
        <v>0</v>
      </c>
      <c r="S540" s="315">
        <v>0</v>
      </c>
      <c r="T540" s="315"/>
      <c r="U540" s="315">
        <v>0</v>
      </c>
      <c r="V540" s="315">
        <v>0</v>
      </c>
      <c r="W540" s="315">
        <v>0</v>
      </c>
      <c r="X540" s="315">
        <v>0</v>
      </c>
      <c r="Y540" s="315">
        <v>0</v>
      </c>
      <c r="Z540" s="315"/>
      <c r="AA540" s="336">
        <v>17</v>
      </c>
      <c r="AB540" s="336">
        <v>0</v>
      </c>
      <c r="AC540" s="337">
        <v>0</v>
      </c>
      <c r="AD540" s="337"/>
      <c r="AE540" s="336">
        <v>0</v>
      </c>
      <c r="AF540" s="336" t="s">
        <v>283</v>
      </c>
      <c r="AG540" s="339" t="s">
        <v>283</v>
      </c>
      <c r="AH540" s="339"/>
      <c r="AI540" s="336"/>
      <c r="AJ540" s="336"/>
      <c r="AK540" s="848">
        <v>0.6</v>
      </c>
      <c r="AL540" s="836" t="s">
        <v>291</v>
      </c>
      <c r="AM540" s="836">
        <v>0</v>
      </c>
      <c r="AN540" s="837">
        <v>2</v>
      </c>
      <c r="AO540" s="837">
        <v>2</v>
      </c>
      <c r="AP540" s="843">
        <v>0</v>
      </c>
      <c r="AQ540" s="839">
        <v>0</v>
      </c>
      <c r="AR540" s="839"/>
      <c r="AS540" s="839"/>
      <c r="AT540" s="839"/>
      <c r="AU540" s="839"/>
      <c r="AV540" s="849"/>
      <c r="AW540" s="134" t="s">
        <v>3208</v>
      </c>
      <c r="AX540" s="136" t="s">
        <v>3208</v>
      </c>
      <c r="AY540" s="137" t="s">
        <v>2576</v>
      </c>
      <c r="AZ540" s="136">
        <v>1</v>
      </c>
      <c r="BA540" s="136">
        <v>0.99800399201596801</v>
      </c>
      <c r="BB540" s="136">
        <v>1</v>
      </c>
      <c r="BC540" s="214">
        <v>501</v>
      </c>
      <c r="BD540" s="136">
        <v>0</v>
      </c>
      <c r="BE540" s="214">
        <v>0</v>
      </c>
      <c r="BF540" s="136">
        <v>1</v>
      </c>
      <c r="BG540" s="214">
        <v>501</v>
      </c>
      <c r="BH540" s="214">
        <v>1.002</v>
      </c>
      <c r="BI540" s="134">
        <v>0</v>
      </c>
      <c r="BJ540" s="214">
        <v>0</v>
      </c>
      <c r="BK540" s="137">
        <v>0</v>
      </c>
      <c r="BL540" s="137">
        <v>1</v>
      </c>
      <c r="BM540" s="137">
        <v>17</v>
      </c>
      <c r="BN540" s="134">
        <v>0.67864271457085823</v>
      </c>
      <c r="BO540" s="351">
        <v>340</v>
      </c>
      <c r="BP540" s="134">
        <v>0.31936127744510978</v>
      </c>
      <c r="BQ540" s="214">
        <v>8</v>
      </c>
      <c r="BR540" s="137">
        <v>25</v>
      </c>
      <c r="BS540" s="138">
        <v>0</v>
      </c>
      <c r="BT540" s="351">
        <v>0</v>
      </c>
      <c r="BU540" s="214">
        <v>501</v>
      </c>
      <c r="BV540" s="214">
        <v>0</v>
      </c>
      <c r="BW540" s="214">
        <v>1</v>
      </c>
      <c r="BX540" s="214">
        <v>0</v>
      </c>
      <c r="BY540" s="214">
        <v>0</v>
      </c>
      <c r="BZ540" s="134">
        <v>0</v>
      </c>
      <c r="CA540" s="138">
        <v>1</v>
      </c>
      <c r="CB540" s="136">
        <v>1</v>
      </c>
      <c r="CC540" s="136">
        <v>0</v>
      </c>
      <c r="CD540" s="136">
        <v>0</v>
      </c>
      <c r="CE540" s="137">
        <v>0</v>
      </c>
      <c r="CF540" s="137">
        <v>0</v>
      </c>
      <c r="CG540" s="137">
        <v>0</v>
      </c>
      <c r="CH540" s="214">
        <v>54.6</v>
      </c>
      <c r="CI540" s="139" t="s">
        <v>48</v>
      </c>
      <c r="CJ540" s="139" t="s">
        <v>287</v>
      </c>
      <c r="CK540" s="139" t="s">
        <v>50</v>
      </c>
      <c r="CL540" s="139" t="s">
        <v>50</v>
      </c>
      <c r="CM540" s="139" t="s">
        <v>50</v>
      </c>
      <c r="CN540" s="139" t="s">
        <v>51</v>
      </c>
      <c r="CO540" s="139">
        <v>25.440928</v>
      </c>
      <c r="CP540" s="139">
        <v>97.419403000000003</v>
      </c>
      <c r="CQ540" s="139" t="s">
        <v>2034</v>
      </c>
      <c r="CR540" s="449" t="s">
        <v>40</v>
      </c>
      <c r="CS540" s="449"/>
      <c r="CT540" s="24"/>
      <c r="CU540" s="24"/>
      <c r="CV540" s="24"/>
    </row>
    <row r="541" spans="1:100" x14ac:dyDescent="0.25">
      <c r="A541" s="293" t="s">
        <v>2691</v>
      </c>
      <c r="B541" s="132" t="s">
        <v>460</v>
      </c>
      <c r="C541" s="132" t="s">
        <v>44</v>
      </c>
      <c r="D541" s="132" t="s">
        <v>305</v>
      </c>
      <c r="E541" s="132" t="s">
        <v>2670</v>
      </c>
      <c r="F541" s="132">
        <v>235</v>
      </c>
      <c r="G541" s="214">
        <v>1043</v>
      </c>
      <c r="H541" s="132"/>
      <c r="I541" s="132"/>
      <c r="J541" s="133"/>
      <c r="K541" s="132"/>
      <c r="L541" s="132"/>
      <c r="M541" s="206"/>
      <c r="N541" s="206"/>
      <c r="O541" s="320"/>
      <c r="P541" s="326"/>
      <c r="Q541" s="326"/>
      <c r="R541" s="315"/>
      <c r="S541" s="315"/>
      <c r="T541" s="315"/>
      <c r="U541" s="315"/>
      <c r="V541" s="315"/>
      <c r="W541" s="315"/>
      <c r="X541" s="315"/>
      <c r="Y541" s="315"/>
      <c r="Z541" s="315"/>
      <c r="AA541" s="336"/>
      <c r="AB541" s="336"/>
      <c r="AC541" s="337"/>
      <c r="AD541" s="337"/>
      <c r="AE541" s="336"/>
      <c r="AF541" s="336"/>
      <c r="AG541" s="339"/>
      <c r="AH541" s="339"/>
      <c r="AI541" s="336"/>
      <c r="AJ541" s="336"/>
      <c r="AK541" s="848"/>
      <c r="AL541" s="836"/>
      <c r="AM541" s="836"/>
      <c r="AN541" s="837"/>
      <c r="AO541" s="837"/>
      <c r="AP541" s="839"/>
      <c r="AQ541" s="839"/>
      <c r="AR541" s="839"/>
      <c r="AS541" s="839"/>
      <c r="AT541" s="839"/>
      <c r="AU541" s="839"/>
      <c r="AV541" s="849"/>
      <c r="AW541" s="134" t="s">
        <v>3208</v>
      </c>
      <c r="AX541" s="136" t="s">
        <v>3208</v>
      </c>
      <c r="AY541" s="137" t="s">
        <v>2576</v>
      </c>
      <c r="AZ541" s="136">
        <v>0</v>
      </c>
      <c r="BA541" s="136">
        <v>0</v>
      </c>
      <c r="BB541" s="136">
        <v>0</v>
      </c>
      <c r="BC541" s="214">
        <v>0</v>
      </c>
      <c r="BD541" s="136">
        <v>0</v>
      </c>
      <c r="BE541" s="214">
        <v>0</v>
      </c>
      <c r="BF541" s="136">
        <v>0</v>
      </c>
      <c r="BG541" s="214">
        <v>0</v>
      </c>
      <c r="BH541" s="214">
        <v>0</v>
      </c>
      <c r="BI541" s="134">
        <v>1</v>
      </c>
      <c r="BJ541" s="214">
        <v>1043</v>
      </c>
      <c r="BK541" s="137">
        <v>2</v>
      </c>
      <c r="BL541" s="137">
        <v>2</v>
      </c>
      <c r="BM541" s="137">
        <v>0</v>
      </c>
      <c r="BN541" s="134">
        <v>0</v>
      </c>
      <c r="BO541" s="351">
        <v>0</v>
      </c>
      <c r="BP541" s="134">
        <v>0.99712368168744014</v>
      </c>
      <c r="BQ541" s="214">
        <v>52</v>
      </c>
      <c r="BR541" s="137">
        <v>52</v>
      </c>
      <c r="BS541" s="138">
        <v>0</v>
      </c>
      <c r="BT541" s="351">
        <v>0</v>
      </c>
      <c r="BU541" s="214">
        <v>0</v>
      </c>
      <c r="BV541" s="214">
        <v>0</v>
      </c>
      <c r="BW541" s="214">
        <v>0</v>
      </c>
      <c r="BX541" s="214">
        <v>0</v>
      </c>
      <c r="BY541" s="214">
        <v>0</v>
      </c>
      <c r="BZ541" s="134">
        <v>0</v>
      </c>
      <c r="CA541" s="138">
        <v>1</v>
      </c>
      <c r="CB541" s="136">
        <v>0</v>
      </c>
      <c r="CC541" s="136">
        <v>0</v>
      </c>
      <c r="CD541" s="136">
        <v>0</v>
      </c>
      <c r="CE541" s="137">
        <v>0</v>
      </c>
      <c r="CF541" s="137">
        <v>0</v>
      </c>
      <c r="CG541" s="137">
        <v>0</v>
      </c>
      <c r="CH541" s="214">
        <v>0</v>
      </c>
      <c r="CI541" s="139">
        <v>0</v>
      </c>
      <c r="CJ541" s="139" t="s">
        <v>2959</v>
      </c>
      <c r="CK541" s="139" t="s">
        <v>2716</v>
      </c>
      <c r="CL541" s="139" t="s">
        <v>50</v>
      </c>
      <c r="CM541" s="139" t="s">
        <v>946</v>
      </c>
      <c r="CN541" s="139" t="s">
        <v>51</v>
      </c>
      <c r="CO541" s="139">
        <v>97.49136</v>
      </c>
      <c r="CP541" s="139">
        <v>25.717300000000002</v>
      </c>
      <c r="CQ541" s="139" t="s">
        <v>2677</v>
      </c>
      <c r="CR541" s="449" t="s">
        <v>3209</v>
      </c>
      <c r="CS541" s="449"/>
      <c r="CT541" s="24"/>
      <c r="CU541" s="24"/>
      <c r="CV541" s="24"/>
    </row>
    <row r="542" spans="1:100" x14ac:dyDescent="0.25">
      <c r="A542" s="293" t="s">
        <v>2691</v>
      </c>
      <c r="B542" s="132" t="s">
        <v>287</v>
      </c>
      <c r="C542" s="132" t="s">
        <v>44</v>
      </c>
      <c r="D542" s="132" t="s">
        <v>305</v>
      </c>
      <c r="E542" s="132" t="s">
        <v>316</v>
      </c>
      <c r="F542" s="132">
        <v>69</v>
      </c>
      <c r="G542" s="214">
        <v>369</v>
      </c>
      <c r="H542" s="132"/>
      <c r="I542" s="132" t="s">
        <v>290</v>
      </c>
      <c r="J542" s="133" t="s">
        <v>2800</v>
      </c>
      <c r="K542" s="132">
        <v>0</v>
      </c>
      <c r="L542" s="132" t="s">
        <v>48</v>
      </c>
      <c r="M542" s="134">
        <v>0.6</v>
      </c>
      <c r="N542" s="134">
        <v>0.5</v>
      </c>
      <c r="O542" s="320">
        <v>0</v>
      </c>
      <c r="P542" s="326">
        <v>2</v>
      </c>
      <c r="Q542" s="326">
        <v>1500</v>
      </c>
      <c r="R542" s="315">
        <v>0</v>
      </c>
      <c r="S542" s="315">
        <v>0</v>
      </c>
      <c r="T542" s="315"/>
      <c r="U542" s="315">
        <v>0</v>
      </c>
      <c r="V542" s="315">
        <v>0</v>
      </c>
      <c r="W542" s="315">
        <v>0</v>
      </c>
      <c r="X542" s="315">
        <v>0</v>
      </c>
      <c r="Y542" s="315">
        <v>0</v>
      </c>
      <c r="Z542" s="315"/>
      <c r="AA542" s="336">
        <v>11</v>
      </c>
      <c r="AB542" s="336">
        <v>8</v>
      </c>
      <c r="AC542" s="337">
        <v>0</v>
      </c>
      <c r="AD542" s="337"/>
      <c r="AE542" s="336">
        <v>0</v>
      </c>
      <c r="AF542" s="336" t="s">
        <v>283</v>
      </c>
      <c r="AG542" s="339" t="s">
        <v>283</v>
      </c>
      <c r="AH542" s="339"/>
      <c r="AI542" s="336"/>
      <c r="AJ542" s="336"/>
      <c r="AK542" s="848">
        <v>0.6</v>
      </c>
      <c r="AL542" s="836" t="s">
        <v>291</v>
      </c>
      <c r="AM542" s="836">
        <v>0</v>
      </c>
      <c r="AN542" s="837">
        <v>2</v>
      </c>
      <c r="AO542" s="837">
        <v>2</v>
      </c>
      <c r="AP542" s="843">
        <v>0</v>
      </c>
      <c r="AQ542" s="839">
        <v>0</v>
      </c>
      <c r="AR542" s="839"/>
      <c r="AS542" s="839"/>
      <c r="AT542" s="839"/>
      <c r="AU542" s="839"/>
      <c r="AV542" s="849"/>
      <c r="AW542" s="134" t="s">
        <v>3208</v>
      </c>
      <c r="AX542" s="136" t="s">
        <v>3208</v>
      </c>
      <c r="AY542" s="137" t="s">
        <v>2576</v>
      </c>
      <c r="AZ542" s="136">
        <v>1</v>
      </c>
      <c r="BA542" s="136">
        <v>1</v>
      </c>
      <c r="BB542" s="136">
        <v>1</v>
      </c>
      <c r="BC542" s="214">
        <v>369</v>
      </c>
      <c r="BD542" s="136">
        <v>0</v>
      </c>
      <c r="BE542" s="214">
        <v>0</v>
      </c>
      <c r="BF542" s="136">
        <v>1</v>
      </c>
      <c r="BG542" s="214">
        <v>369</v>
      </c>
      <c r="BH542" s="214">
        <v>0.73799999999999999</v>
      </c>
      <c r="BI542" s="134">
        <v>0</v>
      </c>
      <c r="BJ542" s="214">
        <v>0</v>
      </c>
      <c r="BK542" s="137">
        <v>0.26200000000000001</v>
      </c>
      <c r="BL542" s="137">
        <v>1</v>
      </c>
      <c r="BM542" s="137">
        <v>19</v>
      </c>
      <c r="BN542" s="134">
        <v>0.59620596205962062</v>
      </c>
      <c r="BO542" s="351">
        <v>220</v>
      </c>
      <c r="BP542" s="134">
        <v>0</v>
      </c>
      <c r="BQ542" s="214">
        <v>0</v>
      </c>
      <c r="BR542" s="137">
        <v>18</v>
      </c>
      <c r="BS542" s="138">
        <v>0.42105263157894735</v>
      </c>
      <c r="BT542" s="351">
        <v>0</v>
      </c>
      <c r="BU542" s="214">
        <v>369</v>
      </c>
      <c r="BV542" s="214">
        <v>0</v>
      </c>
      <c r="BW542" s="214">
        <v>1</v>
      </c>
      <c r="BX542" s="214">
        <v>0</v>
      </c>
      <c r="BY542" s="214">
        <v>0</v>
      </c>
      <c r="BZ542" s="134">
        <v>0</v>
      </c>
      <c r="CA542" s="138">
        <v>1</v>
      </c>
      <c r="CB542" s="136">
        <v>1</v>
      </c>
      <c r="CC542" s="136">
        <v>0</v>
      </c>
      <c r="CD542" s="136">
        <v>0</v>
      </c>
      <c r="CE542" s="137">
        <v>0</v>
      </c>
      <c r="CF542" s="137">
        <v>0</v>
      </c>
      <c r="CG542" s="137">
        <v>0</v>
      </c>
      <c r="CH542" s="214">
        <v>41.4</v>
      </c>
      <c r="CI542" s="139" t="s">
        <v>48</v>
      </c>
      <c r="CJ542" s="139" t="s">
        <v>287</v>
      </c>
      <c r="CK542" s="139" t="s">
        <v>50</v>
      </c>
      <c r="CL542" s="139" t="s">
        <v>50</v>
      </c>
      <c r="CM542" s="139" t="s">
        <v>50</v>
      </c>
      <c r="CN542" s="139" t="s">
        <v>51</v>
      </c>
      <c r="CO542" s="139">
        <v>25.415482000000001</v>
      </c>
      <c r="CP542" s="139">
        <v>97.386718999999999</v>
      </c>
      <c r="CQ542" s="139" t="s">
        <v>2025</v>
      </c>
      <c r="CR542" s="449" t="s">
        <v>40</v>
      </c>
      <c r="CS542" s="449"/>
      <c r="CT542" s="24"/>
      <c r="CU542" s="24"/>
      <c r="CV542" s="24"/>
    </row>
    <row r="543" spans="1:100" x14ac:dyDescent="0.25">
      <c r="A543" s="293" t="s">
        <v>2691</v>
      </c>
      <c r="B543" s="132" t="s">
        <v>389</v>
      </c>
      <c r="C543" s="132" t="s">
        <v>44</v>
      </c>
      <c r="D543" s="132" t="s">
        <v>305</v>
      </c>
      <c r="E543" s="132" t="s">
        <v>416</v>
      </c>
      <c r="F543" s="132">
        <v>54</v>
      </c>
      <c r="G543" s="214">
        <v>266</v>
      </c>
      <c r="H543" s="132"/>
      <c r="I543" s="132" t="s">
        <v>391</v>
      </c>
      <c r="J543" s="133">
        <v>42947</v>
      </c>
      <c r="K543" s="132">
        <v>0</v>
      </c>
      <c r="L543" s="132" t="s">
        <v>48</v>
      </c>
      <c r="M543" s="134">
        <v>0.71</v>
      </c>
      <c r="N543" s="134">
        <v>1</v>
      </c>
      <c r="O543" s="320">
        <v>1</v>
      </c>
      <c r="P543" s="326">
        <v>4</v>
      </c>
      <c r="Q543" s="326">
        <v>2000</v>
      </c>
      <c r="R543" s="315">
        <v>0</v>
      </c>
      <c r="S543" s="315">
        <v>1</v>
      </c>
      <c r="T543" s="315"/>
      <c r="U543" s="315">
        <v>4</v>
      </c>
      <c r="V543" s="315">
        <v>4</v>
      </c>
      <c r="W543" s="315">
        <v>4</v>
      </c>
      <c r="X543" s="315">
        <v>1</v>
      </c>
      <c r="Y543" s="315">
        <v>0</v>
      </c>
      <c r="Z543" s="315"/>
      <c r="AA543" s="336">
        <v>10</v>
      </c>
      <c r="AB543" s="336">
        <v>2</v>
      </c>
      <c r="AC543" s="337">
        <v>4</v>
      </c>
      <c r="AD543" s="337" t="s">
        <v>2782</v>
      </c>
      <c r="AE543" s="336">
        <v>10</v>
      </c>
      <c r="AF543" s="336" t="s">
        <v>283</v>
      </c>
      <c r="AG543" s="339" t="s">
        <v>283</v>
      </c>
      <c r="AH543" s="339">
        <v>0</v>
      </c>
      <c r="AI543" s="336">
        <v>0</v>
      </c>
      <c r="AJ543" s="336"/>
      <c r="AK543" s="848">
        <v>0.5</v>
      </c>
      <c r="AL543" s="842" t="s">
        <v>376</v>
      </c>
      <c r="AM543" s="836">
        <v>0</v>
      </c>
      <c r="AN543" s="837">
        <v>4</v>
      </c>
      <c r="AO543" s="837">
        <v>0</v>
      </c>
      <c r="AP543" s="843">
        <v>0</v>
      </c>
      <c r="AQ543" s="839">
        <v>0</v>
      </c>
      <c r="AR543" s="839"/>
      <c r="AS543" s="839"/>
      <c r="AT543" s="839">
        <v>1</v>
      </c>
      <c r="AU543" s="839"/>
      <c r="AV543" s="849"/>
      <c r="AW543" s="134">
        <v>1</v>
      </c>
      <c r="AX543" s="136">
        <v>0.25</v>
      </c>
      <c r="AY543" s="137" t="s">
        <v>2577</v>
      </c>
      <c r="AZ543" s="136">
        <v>1</v>
      </c>
      <c r="BA543" s="136">
        <v>1</v>
      </c>
      <c r="BB543" s="136">
        <v>1</v>
      </c>
      <c r="BC543" s="214">
        <v>266</v>
      </c>
      <c r="BD543" s="136">
        <v>0</v>
      </c>
      <c r="BE543" s="214">
        <v>0</v>
      </c>
      <c r="BF543" s="136">
        <v>1</v>
      </c>
      <c r="BG543" s="214">
        <v>266</v>
      </c>
      <c r="BH543" s="214">
        <v>0.53200000000000003</v>
      </c>
      <c r="BI543" s="134">
        <v>0</v>
      </c>
      <c r="BJ543" s="214">
        <v>0</v>
      </c>
      <c r="BK543" s="137">
        <v>0.46799999999999997</v>
      </c>
      <c r="BL543" s="137">
        <v>1</v>
      </c>
      <c r="BM543" s="137">
        <v>12</v>
      </c>
      <c r="BN543" s="134">
        <v>0.75187969924812026</v>
      </c>
      <c r="BO543" s="351">
        <v>200</v>
      </c>
      <c r="BP543" s="134">
        <v>7.5187969924812026E-2</v>
      </c>
      <c r="BQ543" s="214">
        <v>1</v>
      </c>
      <c r="BR543" s="137">
        <v>13</v>
      </c>
      <c r="BS543" s="138">
        <v>0.16666666666666666</v>
      </c>
      <c r="BT543" s="351">
        <v>80</v>
      </c>
      <c r="BU543" s="214">
        <v>0</v>
      </c>
      <c r="BV543" s="214">
        <v>0</v>
      </c>
      <c r="BW543" s="214">
        <v>0</v>
      </c>
      <c r="BX543" s="214">
        <v>0</v>
      </c>
      <c r="BY543" s="214">
        <v>0</v>
      </c>
      <c r="BZ543" s="134">
        <v>0</v>
      </c>
      <c r="CA543" s="138">
        <v>1</v>
      </c>
      <c r="CB543" s="136">
        <v>0</v>
      </c>
      <c r="CC543" s="136">
        <v>0</v>
      </c>
      <c r="CD543" s="136">
        <v>0</v>
      </c>
      <c r="CE543" s="137">
        <v>0</v>
      </c>
      <c r="CF543" s="137">
        <v>0</v>
      </c>
      <c r="CG543" s="137">
        <v>0</v>
      </c>
      <c r="CH543" s="214">
        <v>27</v>
      </c>
      <c r="CI543" s="139" t="s">
        <v>48</v>
      </c>
      <c r="CJ543" s="139" t="s">
        <v>389</v>
      </c>
      <c r="CK543" s="139" t="s">
        <v>50</v>
      </c>
      <c r="CL543" s="139" t="s">
        <v>50</v>
      </c>
      <c r="CM543" s="139" t="s">
        <v>50</v>
      </c>
      <c r="CN543" s="139" t="s">
        <v>51</v>
      </c>
      <c r="CO543" s="139">
        <v>25.423209</v>
      </c>
      <c r="CP543" s="139">
        <v>97.379987</v>
      </c>
      <c r="CQ543" s="139" t="s">
        <v>2030</v>
      </c>
      <c r="CR543" s="449" t="s">
        <v>40</v>
      </c>
      <c r="CS543" s="449"/>
      <c r="CT543" s="24"/>
      <c r="CU543" s="24"/>
      <c r="CV543" s="24"/>
    </row>
    <row r="544" spans="1:100" x14ac:dyDescent="0.25">
      <c r="A544" s="293" t="s">
        <v>2691</v>
      </c>
      <c r="B544" s="132" t="s">
        <v>389</v>
      </c>
      <c r="C544" s="132" t="s">
        <v>44</v>
      </c>
      <c r="D544" s="132" t="s">
        <v>305</v>
      </c>
      <c r="E544" s="132" t="s">
        <v>417</v>
      </c>
      <c r="F544" s="132">
        <v>7</v>
      </c>
      <c r="G544" s="214">
        <v>31</v>
      </c>
      <c r="H544" s="132"/>
      <c r="I544" s="132" t="s">
        <v>391</v>
      </c>
      <c r="J544" s="133">
        <v>42947</v>
      </c>
      <c r="K544" s="132">
        <v>0</v>
      </c>
      <c r="L544" s="132" t="s">
        <v>48</v>
      </c>
      <c r="M544" s="134">
        <v>0.5</v>
      </c>
      <c r="N544" s="134">
        <v>1</v>
      </c>
      <c r="O544" s="320">
        <v>0</v>
      </c>
      <c r="P544" s="326">
        <v>1</v>
      </c>
      <c r="Q544" s="326">
        <v>400</v>
      </c>
      <c r="R544" s="315">
        <v>0</v>
      </c>
      <c r="S544" s="315">
        <v>0</v>
      </c>
      <c r="T544" s="315"/>
      <c r="U544" s="315">
        <v>1</v>
      </c>
      <c r="V544" s="315">
        <v>0</v>
      </c>
      <c r="W544" s="315">
        <v>2</v>
      </c>
      <c r="X544" s="315">
        <v>0</v>
      </c>
      <c r="Y544" s="315">
        <v>0</v>
      </c>
      <c r="Z544" s="315"/>
      <c r="AA544" s="336">
        <v>2</v>
      </c>
      <c r="AB544" s="336">
        <v>0</v>
      </c>
      <c r="AC544" s="337">
        <v>0</v>
      </c>
      <c r="AD544" s="337" t="s">
        <v>2789</v>
      </c>
      <c r="AE544" s="336">
        <v>2</v>
      </c>
      <c r="AF544" s="336" t="s">
        <v>283</v>
      </c>
      <c r="AG544" s="339" t="s">
        <v>1358</v>
      </c>
      <c r="AH544" s="339">
        <v>0</v>
      </c>
      <c r="AI544" s="336">
        <v>0</v>
      </c>
      <c r="AJ544" s="336"/>
      <c r="AK544" s="848">
        <v>0.5</v>
      </c>
      <c r="AL544" s="842" t="s">
        <v>376</v>
      </c>
      <c r="AM544" s="836">
        <v>0</v>
      </c>
      <c r="AN544" s="837">
        <v>2</v>
      </c>
      <c r="AO544" s="837">
        <v>0</v>
      </c>
      <c r="AP544" s="843">
        <v>0</v>
      </c>
      <c r="AQ544" s="839">
        <v>0</v>
      </c>
      <c r="AR544" s="839"/>
      <c r="AS544" s="839"/>
      <c r="AT544" s="839">
        <v>1</v>
      </c>
      <c r="AU544" s="839"/>
      <c r="AV544" s="849"/>
      <c r="AW544" s="134">
        <v>0</v>
      </c>
      <c r="AX544" s="136">
        <v>0</v>
      </c>
      <c r="AY544" s="137" t="s">
        <v>2577</v>
      </c>
      <c r="AZ544" s="136">
        <v>1</v>
      </c>
      <c r="BA544" s="136">
        <v>1</v>
      </c>
      <c r="BB544" s="136">
        <v>1</v>
      </c>
      <c r="BC544" s="214">
        <v>31</v>
      </c>
      <c r="BD544" s="136">
        <v>0</v>
      </c>
      <c r="BE544" s="214">
        <v>0</v>
      </c>
      <c r="BF544" s="136">
        <v>1</v>
      </c>
      <c r="BG544" s="214">
        <v>31</v>
      </c>
      <c r="BH544" s="214">
        <v>6.2E-2</v>
      </c>
      <c r="BI544" s="134">
        <v>0</v>
      </c>
      <c r="BJ544" s="214">
        <v>0</v>
      </c>
      <c r="BK544" s="137">
        <v>0.93799999999999994</v>
      </c>
      <c r="BL544" s="137">
        <v>1</v>
      </c>
      <c r="BM544" s="137">
        <v>2</v>
      </c>
      <c r="BN544" s="134">
        <v>1</v>
      </c>
      <c r="BO544" s="351">
        <v>31</v>
      </c>
      <c r="BP544" s="134">
        <v>0</v>
      </c>
      <c r="BQ544" s="214">
        <v>0</v>
      </c>
      <c r="BR544" s="137">
        <v>2</v>
      </c>
      <c r="BS544" s="138">
        <v>0</v>
      </c>
      <c r="BT544" s="351">
        <v>0</v>
      </c>
      <c r="BU544" s="214">
        <v>0</v>
      </c>
      <c r="BV544" s="214">
        <v>0</v>
      </c>
      <c r="BW544" s="214">
        <v>0</v>
      </c>
      <c r="BX544" s="214">
        <v>0</v>
      </c>
      <c r="BY544" s="214">
        <v>0</v>
      </c>
      <c r="BZ544" s="134">
        <v>0</v>
      </c>
      <c r="CA544" s="138">
        <v>1</v>
      </c>
      <c r="CB544" s="136">
        <v>0</v>
      </c>
      <c r="CC544" s="136">
        <v>0</v>
      </c>
      <c r="CD544" s="136">
        <v>0</v>
      </c>
      <c r="CE544" s="137">
        <v>0</v>
      </c>
      <c r="CF544" s="137">
        <v>0</v>
      </c>
      <c r="CG544" s="137">
        <v>0</v>
      </c>
      <c r="CH544" s="214">
        <v>3.5</v>
      </c>
      <c r="CI544" s="139" t="s">
        <v>48</v>
      </c>
      <c r="CJ544" s="139" t="s">
        <v>2959</v>
      </c>
      <c r="CK544" s="139" t="s">
        <v>50</v>
      </c>
      <c r="CL544" s="139" t="s">
        <v>50</v>
      </c>
      <c r="CM544" s="139" t="s">
        <v>946</v>
      </c>
      <c r="CN544" s="139" t="s">
        <v>51</v>
      </c>
      <c r="CO544" s="139">
        <v>25.417733999999999</v>
      </c>
      <c r="CP544" s="139">
        <v>97.389778000000007</v>
      </c>
      <c r="CQ544" s="139" t="s">
        <v>2027</v>
      </c>
      <c r="CR544" s="449" t="s">
        <v>40</v>
      </c>
      <c r="CS544" s="449"/>
      <c r="CT544" s="24"/>
      <c r="CU544" s="24"/>
      <c r="CV544" s="24"/>
    </row>
    <row r="545" spans="1:100" x14ac:dyDescent="0.25">
      <c r="A545" s="293" t="s">
        <v>2691</v>
      </c>
      <c r="B545" s="132" t="s">
        <v>287</v>
      </c>
      <c r="C545" s="132" t="s">
        <v>44</v>
      </c>
      <c r="D545" s="132" t="s">
        <v>305</v>
      </c>
      <c r="E545" s="132" t="s">
        <v>317</v>
      </c>
      <c r="F545" s="132">
        <v>30</v>
      </c>
      <c r="G545" s="214">
        <v>171</v>
      </c>
      <c r="H545" s="132"/>
      <c r="I545" s="132" t="s">
        <v>290</v>
      </c>
      <c r="J545" s="133" t="s">
        <v>2800</v>
      </c>
      <c r="K545" s="132">
        <v>0</v>
      </c>
      <c r="L545" s="132" t="s">
        <v>48</v>
      </c>
      <c r="M545" s="134">
        <v>0.6</v>
      </c>
      <c r="N545" s="134">
        <v>0.5</v>
      </c>
      <c r="O545" s="320">
        <v>0</v>
      </c>
      <c r="P545" s="326">
        <v>3</v>
      </c>
      <c r="Q545" s="326">
        <v>0</v>
      </c>
      <c r="R545" s="315">
        <v>0</v>
      </c>
      <c r="S545" s="315">
        <v>0</v>
      </c>
      <c r="T545" s="315"/>
      <c r="U545" s="315">
        <v>0</v>
      </c>
      <c r="V545" s="315">
        <v>0</v>
      </c>
      <c r="W545" s="315">
        <v>0</v>
      </c>
      <c r="X545" s="315">
        <v>0</v>
      </c>
      <c r="Y545" s="315">
        <v>0</v>
      </c>
      <c r="Z545" s="315"/>
      <c r="AA545" s="336">
        <v>5</v>
      </c>
      <c r="AB545" s="336">
        <v>0</v>
      </c>
      <c r="AC545" s="337">
        <v>0</v>
      </c>
      <c r="AD545" s="337"/>
      <c r="AE545" s="336">
        <v>0</v>
      </c>
      <c r="AF545" s="336" t="s">
        <v>283</v>
      </c>
      <c r="AG545" s="339" t="s">
        <v>1358</v>
      </c>
      <c r="AH545" s="339"/>
      <c r="AI545" s="336"/>
      <c r="AJ545" s="336"/>
      <c r="AK545" s="848">
        <v>0.6</v>
      </c>
      <c r="AL545" s="836" t="s">
        <v>291</v>
      </c>
      <c r="AM545" s="836">
        <v>0</v>
      </c>
      <c r="AN545" s="837">
        <v>2</v>
      </c>
      <c r="AO545" s="837">
        <v>1</v>
      </c>
      <c r="AP545" s="843">
        <v>0</v>
      </c>
      <c r="AQ545" s="839">
        <v>0</v>
      </c>
      <c r="AR545" s="839"/>
      <c r="AS545" s="839"/>
      <c r="AT545" s="839"/>
      <c r="AU545" s="839"/>
      <c r="AV545" s="849"/>
      <c r="AW545" s="134" t="s">
        <v>3208</v>
      </c>
      <c r="AX545" s="136" t="s">
        <v>3208</v>
      </c>
      <c r="AY545" s="137" t="s">
        <v>2576</v>
      </c>
      <c r="AZ545" s="136">
        <v>1</v>
      </c>
      <c r="BA545" s="136">
        <v>1</v>
      </c>
      <c r="BB545" s="136">
        <v>1</v>
      </c>
      <c r="BC545" s="214">
        <v>171</v>
      </c>
      <c r="BD545" s="136">
        <v>0</v>
      </c>
      <c r="BE545" s="214">
        <v>0</v>
      </c>
      <c r="BF545" s="136">
        <v>1</v>
      </c>
      <c r="BG545" s="214">
        <v>171</v>
      </c>
      <c r="BH545" s="214">
        <v>0.34200000000000003</v>
      </c>
      <c r="BI545" s="134">
        <v>0</v>
      </c>
      <c r="BJ545" s="214">
        <v>0</v>
      </c>
      <c r="BK545" s="137">
        <v>0.65799999999999992</v>
      </c>
      <c r="BL545" s="137">
        <v>1</v>
      </c>
      <c r="BM545" s="137">
        <v>5</v>
      </c>
      <c r="BN545" s="134">
        <v>0.58479532163742687</v>
      </c>
      <c r="BO545" s="351">
        <v>100</v>
      </c>
      <c r="BP545" s="134">
        <v>0.46783625730994149</v>
      </c>
      <c r="BQ545" s="214">
        <v>4</v>
      </c>
      <c r="BR545" s="137">
        <v>9</v>
      </c>
      <c r="BS545" s="138">
        <v>0</v>
      </c>
      <c r="BT545" s="351">
        <v>0</v>
      </c>
      <c r="BU545" s="214">
        <v>171</v>
      </c>
      <c r="BV545" s="214">
        <v>0</v>
      </c>
      <c r="BW545" s="214">
        <v>1</v>
      </c>
      <c r="BX545" s="214">
        <v>0</v>
      </c>
      <c r="BY545" s="214">
        <v>0</v>
      </c>
      <c r="BZ545" s="134">
        <v>0</v>
      </c>
      <c r="CA545" s="138">
        <v>1</v>
      </c>
      <c r="CB545" s="136">
        <v>1</v>
      </c>
      <c r="CC545" s="136">
        <v>0</v>
      </c>
      <c r="CD545" s="136">
        <v>0</v>
      </c>
      <c r="CE545" s="137">
        <v>0</v>
      </c>
      <c r="CF545" s="137">
        <v>0</v>
      </c>
      <c r="CG545" s="137">
        <v>0</v>
      </c>
      <c r="CH545" s="214">
        <v>18</v>
      </c>
      <c r="CI545" s="139" t="s">
        <v>48</v>
      </c>
      <c r="CJ545" s="139" t="s">
        <v>287</v>
      </c>
      <c r="CK545" s="139" t="s">
        <v>50</v>
      </c>
      <c r="CL545" s="139" t="s">
        <v>50</v>
      </c>
      <c r="CM545" s="139" t="s">
        <v>50</v>
      </c>
      <c r="CN545" s="139" t="s">
        <v>51</v>
      </c>
      <c r="CO545" s="139">
        <v>25.404752999999999</v>
      </c>
      <c r="CP545" s="139">
        <v>97.377662999999998</v>
      </c>
      <c r="CQ545" s="139" t="s">
        <v>2020</v>
      </c>
      <c r="CR545" s="449" t="s">
        <v>40</v>
      </c>
      <c r="CS545" s="449"/>
      <c r="CT545" s="24"/>
      <c r="CU545" s="24"/>
      <c r="CV545" s="24"/>
    </row>
    <row r="546" spans="1:100" x14ac:dyDescent="0.25">
      <c r="A546" s="293" t="s">
        <v>2691</v>
      </c>
      <c r="B546" s="132" t="s">
        <v>287</v>
      </c>
      <c r="C546" s="132" t="s">
        <v>44</v>
      </c>
      <c r="D546" s="132" t="s">
        <v>305</v>
      </c>
      <c r="E546" s="132" t="s">
        <v>318</v>
      </c>
      <c r="F546" s="132">
        <v>46</v>
      </c>
      <c r="G546" s="214">
        <v>239</v>
      </c>
      <c r="H546" s="132"/>
      <c r="I546" s="132" t="s">
        <v>290</v>
      </c>
      <c r="J546" s="133" t="s">
        <v>2800</v>
      </c>
      <c r="K546" s="132">
        <v>0</v>
      </c>
      <c r="L546" s="132" t="s">
        <v>48</v>
      </c>
      <c r="M546" s="134">
        <v>0.6</v>
      </c>
      <c r="N546" s="134">
        <v>0.5</v>
      </c>
      <c r="O546" s="320">
        <v>0</v>
      </c>
      <c r="P546" s="326">
        <v>3</v>
      </c>
      <c r="Q546" s="326">
        <v>2000</v>
      </c>
      <c r="R546" s="315">
        <v>0</v>
      </c>
      <c r="S546" s="315">
        <v>0</v>
      </c>
      <c r="T546" s="315"/>
      <c r="U546" s="315">
        <v>0</v>
      </c>
      <c r="V546" s="315">
        <v>0</v>
      </c>
      <c r="W546" s="315">
        <v>0</v>
      </c>
      <c r="X546" s="315">
        <v>0</v>
      </c>
      <c r="Y546" s="315">
        <v>0</v>
      </c>
      <c r="Z546" s="315"/>
      <c r="AA546" s="336">
        <v>13</v>
      </c>
      <c r="AB546" s="336">
        <v>0</v>
      </c>
      <c r="AC546" s="337">
        <v>0</v>
      </c>
      <c r="AD546" s="337"/>
      <c r="AE546" s="336">
        <v>0</v>
      </c>
      <c r="AF546" s="336" t="s">
        <v>283</v>
      </c>
      <c r="AG546" s="339" t="s">
        <v>283</v>
      </c>
      <c r="AH546" s="339"/>
      <c r="AI546" s="336"/>
      <c r="AJ546" s="336"/>
      <c r="AK546" s="848">
        <v>0.6</v>
      </c>
      <c r="AL546" s="836" t="s">
        <v>291</v>
      </c>
      <c r="AM546" s="836">
        <v>0</v>
      </c>
      <c r="AN546" s="837">
        <v>3</v>
      </c>
      <c r="AO546" s="837">
        <v>1</v>
      </c>
      <c r="AP546" s="843">
        <v>0</v>
      </c>
      <c r="AQ546" s="839">
        <v>0</v>
      </c>
      <c r="AR546" s="839"/>
      <c r="AS546" s="839"/>
      <c r="AT546" s="839"/>
      <c r="AU546" s="839"/>
      <c r="AV546" s="849"/>
      <c r="AW546" s="134" t="s">
        <v>3208</v>
      </c>
      <c r="AX546" s="136" t="s">
        <v>3208</v>
      </c>
      <c r="AY546" s="137" t="s">
        <v>2576</v>
      </c>
      <c r="AZ546" s="136">
        <v>1</v>
      </c>
      <c r="BA546" s="136">
        <v>1</v>
      </c>
      <c r="BB546" s="136">
        <v>1</v>
      </c>
      <c r="BC546" s="214">
        <v>239</v>
      </c>
      <c r="BD546" s="136">
        <v>0</v>
      </c>
      <c r="BE546" s="214">
        <v>0</v>
      </c>
      <c r="BF546" s="136">
        <v>1</v>
      </c>
      <c r="BG546" s="214">
        <v>239</v>
      </c>
      <c r="BH546" s="214">
        <v>0.47799999999999998</v>
      </c>
      <c r="BI546" s="134">
        <v>0</v>
      </c>
      <c r="BJ546" s="214">
        <v>0</v>
      </c>
      <c r="BK546" s="137">
        <v>0.52200000000000002</v>
      </c>
      <c r="BL546" s="137">
        <v>1</v>
      </c>
      <c r="BM546" s="137">
        <v>13</v>
      </c>
      <c r="BN546" s="134">
        <v>1</v>
      </c>
      <c r="BO546" s="351">
        <v>239</v>
      </c>
      <c r="BP546" s="134">
        <v>0</v>
      </c>
      <c r="BQ546" s="214">
        <v>0</v>
      </c>
      <c r="BR546" s="137">
        <v>12</v>
      </c>
      <c r="BS546" s="138">
        <v>0</v>
      </c>
      <c r="BT546" s="351">
        <v>0</v>
      </c>
      <c r="BU546" s="214">
        <v>239</v>
      </c>
      <c r="BV546" s="214">
        <v>0</v>
      </c>
      <c r="BW546" s="214">
        <v>1</v>
      </c>
      <c r="BX546" s="214">
        <v>0</v>
      </c>
      <c r="BY546" s="214">
        <v>0</v>
      </c>
      <c r="BZ546" s="134">
        <v>0</v>
      </c>
      <c r="CA546" s="138">
        <v>1</v>
      </c>
      <c r="CB546" s="136">
        <v>1</v>
      </c>
      <c r="CC546" s="136">
        <v>0</v>
      </c>
      <c r="CD546" s="136">
        <v>0</v>
      </c>
      <c r="CE546" s="137">
        <v>0</v>
      </c>
      <c r="CF546" s="137">
        <v>0</v>
      </c>
      <c r="CG546" s="137">
        <v>0</v>
      </c>
      <c r="CH546" s="214">
        <v>27.599999999999998</v>
      </c>
      <c r="CI546" s="139" t="s">
        <v>48</v>
      </c>
      <c r="CJ546" s="139" t="s">
        <v>287</v>
      </c>
      <c r="CK546" s="139" t="s">
        <v>50</v>
      </c>
      <c r="CL546" s="139" t="s">
        <v>50</v>
      </c>
      <c r="CM546" s="139" t="s">
        <v>50</v>
      </c>
      <c r="CN546" s="139" t="s">
        <v>51</v>
      </c>
      <c r="CO546" s="139">
        <v>25.404015000000001</v>
      </c>
      <c r="CP546" s="139">
        <v>97.382192000000003</v>
      </c>
      <c r="CQ546" s="139" t="s">
        <v>2019</v>
      </c>
      <c r="CR546" s="449" t="s">
        <v>40</v>
      </c>
      <c r="CS546" s="449"/>
      <c r="CT546" s="24"/>
      <c r="CU546" s="24"/>
      <c r="CV546" s="24"/>
    </row>
    <row r="547" spans="1:100" x14ac:dyDescent="0.25">
      <c r="A547" s="293" t="s">
        <v>2691</v>
      </c>
      <c r="B547" s="132" t="s">
        <v>287</v>
      </c>
      <c r="C547" s="132" t="s">
        <v>44</v>
      </c>
      <c r="D547" s="132" t="s">
        <v>305</v>
      </c>
      <c r="E547" s="132" t="s">
        <v>2671</v>
      </c>
      <c r="F547" s="132">
        <v>18</v>
      </c>
      <c r="G547" s="214">
        <v>87</v>
      </c>
      <c r="H547" s="132"/>
      <c r="I547" s="132" t="s">
        <v>296</v>
      </c>
      <c r="J547" s="133">
        <v>43465</v>
      </c>
      <c r="K547" s="132"/>
      <c r="L547" s="132"/>
      <c r="M547" s="206"/>
      <c r="N547" s="206"/>
      <c r="O547" s="320"/>
      <c r="P547" s="326"/>
      <c r="Q547" s="326"/>
      <c r="R547" s="315"/>
      <c r="S547" s="315"/>
      <c r="T547" s="315"/>
      <c r="U547" s="315"/>
      <c r="V547" s="315"/>
      <c r="W547" s="315"/>
      <c r="X547" s="315"/>
      <c r="Y547" s="315"/>
      <c r="Z547" s="315"/>
      <c r="AA547" s="336"/>
      <c r="AB547" s="336"/>
      <c r="AC547" s="337"/>
      <c r="AD547" s="337"/>
      <c r="AE547" s="336"/>
      <c r="AF547" s="336"/>
      <c r="AG547" s="339"/>
      <c r="AH547" s="339"/>
      <c r="AI547" s="336"/>
      <c r="AJ547" s="336"/>
      <c r="AK547" s="848"/>
      <c r="AL547" s="836"/>
      <c r="AM547" s="836"/>
      <c r="AN547" s="837"/>
      <c r="AO547" s="837"/>
      <c r="AP547" s="839"/>
      <c r="AQ547" s="839"/>
      <c r="AR547" s="839"/>
      <c r="AS547" s="839"/>
      <c r="AT547" s="839"/>
      <c r="AU547" s="839"/>
      <c r="AV547" s="849"/>
      <c r="AW547" s="134" t="s">
        <v>3208</v>
      </c>
      <c r="AX547" s="136" t="s">
        <v>3208</v>
      </c>
      <c r="AY547" s="137" t="s">
        <v>2576</v>
      </c>
      <c r="AZ547" s="136">
        <v>0</v>
      </c>
      <c r="BA547" s="136">
        <v>0</v>
      </c>
      <c r="BB547" s="136">
        <v>0</v>
      </c>
      <c r="BC547" s="214">
        <v>0</v>
      </c>
      <c r="BD547" s="136">
        <v>0</v>
      </c>
      <c r="BE547" s="214">
        <v>0</v>
      </c>
      <c r="BF547" s="136">
        <v>0</v>
      </c>
      <c r="BG547" s="214">
        <v>0</v>
      </c>
      <c r="BH547" s="214">
        <v>0</v>
      </c>
      <c r="BI547" s="134">
        <v>1</v>
      </c>
      <c r="BJ547" s="214">
        <v>87</v>
      </c>
      <c r="BK547" s="137">
        <v>1</v>
      </c>
      <c r="BL547" s="137">
        <v>1</v>
      </c>
      <c r="BM547" s="137">
        <v>0</v>
      </c>
      <c r="BN547" s="134">
        <v>0</v>
      </c>
      <c r="BO547" s="351">
        <v>0</v>
      </c>
      <c r="BP547" s="134">
        <v>0.91954022988505757</v>
      </c>
      <c r="BQ547" s="214">
        <v>4</v>
      </c>
      <c r="BR547" s="137">
        <v>4</v>
      </c>
      <c r="BS547" s="138">
        <v>0</v>
      </c>
      <c r="BT547" s="351">
        <v>0</v>
      </c>
      <c r="BU547" s="214">
        <v>0</v>
      </c>
      <c r="BV547" s="214">
        <v>0</v>
      </c>
      <c r="BW547" s="214">
        <v>0</v>
      </c>
      <c r="BX547" s="214">
        <v>0</v>
      </c>
      <c r="BY547" s="214">
        <v>0</v>
      </c>
      <c r="BZ547" s="134">
        <v>0</v>
      </c>
      <c r="CA547" s="138">
        <v>1</v>
      </c>
      <c r="CB547" s="136">
        <v>0</v>
      </c>
      <c r="CC547" s="136">
        <v>0</v>
      </c>
      <c r="CD547" s="136">
        <v>0</v>
      </c>
      <c r="CE547" s="137">
        <v>0</v>
      </c>
      <c r="CF547" s="137">
        <v>0</v>
      </c>
      <c r="CG547" s="137">
        <v>0</v>
      </c>
      <c r="CH547" s="214">
        <v>0</v>
      </c>
      <c r="CI547" s="139">
        <v>0</v>
      </c>
      <c r="CJ547" s="139" t="s">
        <v>2959</v>
      </c>
      <c r="CK547" s="139" t="s">
        <v>2716</v>
      </c>
      <c r="CL547" s="139" t="s">
        <v>50</v>
      </c>
      <c r="CM547" s="139" t="s">
        <v>946</v>
      </c>
      <c r="CN547" s="139" t="s">
        <v>51</v>
      </c>
      <c r="CO547" s="139">
        <v>0</v>
      </c>
      <c r="CP547" s="139">
        <v>0</v>
      </c>
      <c r="CQ547" s="139" t="s">
        <v>2679</v>
      </c>
      <c r="CR547" s="449" t="s">
        <v>40</v>
      </c>
      <c r="CS547" s="449"/>
      <c r="CT547" s="24"/>
      <c r="CU547" s="24"/>
      <c r="CV547" s="24"/>
    </row>
    <row r="548" spans="1:100" x14ac:dyDescent="0.25">
      <c r="A548" s="293" t="s">
        <v>2691</v>
      </c>
      <c r="B548" s="132" t="s">
        <v>287</v>
      </c>
      <c r="C548" s="132" t="s">
        <v>44</v>
      </c>
      <c r="D548" s="132" t="s">
        <v>305</v>
      </c>
      <c r="E548" s="132" t="s">
        <v>2954</v>
      </c>
      <c r="F548" s="132">
        <v>169</v>
      </c>
      <c r="G548" s="214">
        <v>724</v>
      </c>
      <c r="H548" s="132"/>
      <c r="I548" s="132" t="s">
        <v>296</v>
      </c>
      <c r="J548" s="133">
        <v>43465</v>
      </c>
      <c r="K548" s="132"/>
      <c r="L548" s="132"/>
      <c r="M548" s="206"/>
      <c r="N548" s="206"/>
      <c r="O548" s="320"/>
      <c r="P548" s="326"/>
      <c r="Q548" s="326"/>
      <c r="R548" s="315"/>
      <c r="S548" s="315"/>
      <c r="T548" s="315"/>
      <c r="U548" s="315"/>
      <c r="V548" s="315"/>
      <c r="W548" s="315"/>
      <c r="X548" s="315"/>
      <c r="Y548" s="315"/>
      <c r="Z548" s="315"/>
      <c r="AA548" s="336"/>
      <c r="AB548" s="336"/>
      <c r="AC548" s="337"/>
      <c r="AD548" s="337"/>
      <c r="AE548" s="336"/>
      <c r="AF548" s="336"/>
      <c r="AG548" s="339"/>
      <c r="AH548" s="339"/>
      <c r="AI548" s="336"/>
      <c r="AJ548" s="336"/>
      <c r="AK548" s="848"/>
      <c r="AL548" s="836"/>
      <c r="AM548" s="836"/>
      <c r="AN548" s="837"/>
      <c r="AO548" s="837"/>
      <c r="AP548" s="839"/>
      <c r="AQ548" s="839"/>
      <c r="AR548" s="839"/>
      <c r="AS548" s="839"/>
      <c r="AT548" s="839"/>
      <c r="AU548" s="839"/>
      <c r="AV548" s="849"/>
      <c r="AW548" s="134" t="s">
        <v>3208</v>
      </c>
      <c r="AX548" s="136" t="s">
        <v>3208</v>
      </c>
      <c r="AY548" s="137" t="s">
        <v>2576</v>
      </c>
      <c r="AZ548" s="136">
        <v>0</v>
      </c>
      <c r="BA548" s="136">
        <v>0</v>
      </c>
      <c r="BB548" s="136">
        <v>0</v>
      </c>
      <c r="BC548" s="214">
        <v>0</v>
      </c>
      <c r="BD548" s="136">
        <v>0</v>
      </c>
      <c r="BE548" s="214">
        <v>0</v>
      </c>
      <c r="BF548" s="136">
        <v>0</v>
      </c>
      <c r="BG548" s="214">
        <v>0</v>
      </c>
      <c r="BH548" s="214">
        <v>0</v>
      </c>
      <c r="BI548" s="134">
        <v>1</v>
      </c>
      <c r="BJ548" s="214">
        <v>724</v>
      </c>
      <c r="BK548" s="137">
        <v>1</v>
      </c>
      <c r="BL548" s="137">
        <v>1</v>
      </c>
      <c r="BM548" s="137">
        <v>0</v>
      </c>
      <c r="BN548" s="134">
        <v>0</v>
      </c>
      <c r="BO548" s="351">
        <v>0</v>
      </c>
      <c r="BP548" s="134">
        <v>0.99447513812154686</v>
      </c>
      <c r="BQ548" s="214">
        <v>36</v>
      </c>
      <c r="BR548" s="137">
        <v>36</v>
      </c>
      <c r="BS548" s="138">
        <v>0</v>
      </c>
      <c r="BT548" s="351">
        <v>0</v>
      </c>
      <c r="BU548" s="214">
        <v>0</v>
      </c>
      <c r="BV548" s="214">
        <v>0</v>
      </c>
      <c r="BW548" s="214">
        <v>0</v>
      </c>
      <c r="BX548" s="214">
        <v>0</v>
      </c>
      <c r="BY548" s="214">
        <v>0</v>
      </c>
      <c r="BZ548" s="134">
        <v>0</v>
      </c>
      <c r="CA548" s="138">
        <v>1</v>
      </c>
      <c r="CB548" s="136">
        <v>0</v>
      </c>
      <c r="CC548" s="136">
        <v>0</v>
      </c>
      <c r="CD548" s="136">
        <v>0</v>
      </c>
      <c r="CE548" s="137">
        <v>0</v>
      </c>
      <c r="CF548" s="137">
        <v>0</v>
      </c>
      <c r="CG548" s="137">
        <v>0</v>
      </c>
      <c r="CH548" s="214">
        <v>0</v>
      </c>
      <c r="CI548" s="139">
        <v>0</v>
      </c>
      <c r="CJ548" s="139" t="s">
        <v>287</v>
      </c>
      <c r="CK548" s="139" t="s">
        <v>2716</v>
      </c>
      <c r="CL548" s="139" t="s">
        <v>50</v>
      </c>
      <c r="CM548" s="139" t="s">
        <v>50</v>
      </c>
      <c r="CN548" s="139" t="s">
        <v>51</v>
      </c>
      <c r="CO548" s="139">
        <v>97.431079999999994</v>
      </c>
      <c r="CP548" s="139">
        <v>25.480989999999998</v>
      </c>
      <c r="CQ548" s="139" t="s">
        <v>2676</v>
      </c>
      <c r="CR548" s="449" t="s">
        <v>40</v>
      </c>
      <c r="CS548" s="449"/>
      <c r="CT548" s="24"/>
      <c r="CU548" s="24"/>
      <c r="CV548" s="24"/>
    </row>
    <row r="549" spans="1:100" x14ac:dyDescent="0.25">
      <c r="A549" s="293" t="s">
        <v>2691</v>
      </c>
      <c r="B549" s="206" t="s">
        <v>460</v>
      </c>
      <c r="C549" s="206" t="s">
        <v>44</v>
      </c>
      <c r="D549" s="206" t="s">
        <v>319</v>
      </c>
      <c r="E549" s="206" t="s">
        <v>1246</v>
      </c>
      <c r="F549" s="206">
        <v>10</v>
      </c>
      <c r="G549" s="209">
        <v>56</v>
      </c>
      <c r="H549" s="206"/>
      <c r="I549" s="206"/>
      <c r="J549" s="207"/>
      <c r="K549" s="206"/>
      <c r="L549" s="206" t="s">
        <v>282</v>
      </c>
      <c r="M549" s="208">
        <v>0</v>
      </c>
      <c r="N549" s="208">
        <v>0</v>
      </c>
      <c r="O549" s="316"/>
      <c r="P549" s="317"/>
      <c r="Q549" s="317"/>
      <c r="R549" s="318"/>
      <c r="S549" s="318"/>
      <c r="T549" s="318"/>
      <c r="U549" s="318"/>
      <c r="V549" s="318"/>
      <c r="W549" s="318"/>
      <c r="X549" s="318"/>
      <c r="Y549" s="318"/>
      <c r="Z549" s="318"/>
      <c r="AA549" s="310">
        <v>0</v>
      </c>
      <c r="AB549" s="310"/>
      <c r="AC549" s="66"/>
      <c r="AD549" s="337"/>
      <c r="AE549" s="310"/>
      <c r="AF549" s="310" t="s">
        <v>286</v>
      </c>
      <c r="AG549" s="311" t="s">
        <v>286</v>
      </c>
      <c r="AH549" s="311"/>
      <c r="AI549" s="310"/>
      <c r="AJ549" s="310"/>
      <c r="AK549" s="841"/>
      <c r="AL549" s="842"/>
      <c r="AM549" s="842"/>
      <c r="AN549" s="837"/>
      <c r="AO549" s="837"/>
      <c r="AP549" s="843"/>
      <c r="AQ549" s="843"/>
      <c r="AR549" s="843"/>
      <c r="AS549" s="843"/>
      <c r="AT549" s="843"/>
      <c r="AU549" s="843"/>
      <c r="AV549" s="844"/>
      <c r="AW549" s="208" t="s">
        <v>3208</v>
      </c>
      <c r="AX549" s="211" t="s">
        <v>3208</v>
      </c>
      <c r="AY549" s="210" t="s">
        <v>2576</v>
      </c>
      <c r="AZ549" s="136">
        <v>0</v>
      </c>
      <c r="BA549" s="211">
        <v>0</v>
      </c>
      <c r="BB549" s="211">
        <v>0</v>
      </c>
      <c r="BC549" s="209">
        <v>0</v>
      </c>
      <c r="BD549" s="211">
        <v>0</v>
      </c>
      <c r="BE549" s="209">
        <v>0</v>
      </c>
      <c r="BF549" s="211">
        <v>0</v>
      </c>
      <c r="BG549" s="209">
        <v>0</v>
      </c>
      <c r="BH549" s="209">
        <v>0</v>
      </c>
      <c r="BI549" s="208">
        <v>1</v>
      </c>
      <c r="BJ549" s="209">
        <v>56</v>
      </c>
      <c r="BK549" s="210">
        <v>1</v>
      </c>
      <c r="BL549" s="210">
        <v>1</v>
      </c>
      <c r="BM549" s="210">
        <v>0</v>
      </c>
      <c r="BN549" s="208">
        <v>0</v>
      </c>
      <c r="BO549" s="352">
        <v>0</v>
      </c>
      <c r="BP549" s="208">
        <v>1</v>
      </c>
      <c r="BQ549" s="209">
        <v>3</v>
      </c>
      <c r="BR549" s="210">
        <v>3</v>
      </c>
      <c r="BS549" s="212">
        <v>0</v>
      </c>
      <c r="BT549" s="352">
        <v>0</v>
      </c>
      <c r="BU549" s="209">
        <v>0</v>
      </c>
      <c r="BV549" s="209">
        <v>0</v>
      </c>
      <c r="BW549" s="209">
        <v>0</v>
      </c>
      <c r="BX549" s="209">
        <v>0</v>
      </c>
      <c r="BY549" s="209">
        <v>0</v>
      </c>
      <c r="BZ549" s="208">
        <v>0</v>
      </c>
      <c r="CA549" s="212">
        <v>1</v>
      </c>
      <c r="CB549" s="211">
        <v>0</v>
      </c>
      <c r="CC549" s="211">
        <v>0</v>
      </c>
      <c r="CD549" s="211">
        <v>0</v>
      </c>
      <c r="CE549" s="210">
        <v>0</v>
      </c>
      <c r="CF549" s="210">
        <v>0</v>
      </c>
      <c r="CG549" s="210">
        <v>0</v>
      </c>
      <c r="CH549" s="209">
        <v>0</v>
      </c>
      <c r="CI549" s="139">
        <v>0</v>
      </c>
      <c r="CJ549" s="139" t="s">
        <v>2959</v>
      </c>
      <c r="CK549" s="139" t="s">
        <v>50</v>
      </c>
      <c r="CL549" s="139" t="s">
        <v>50</v>
      </c>
      <c r="CM549" s="139" t="s">
        <v>942</v>
      </c>
      <c r="CN549" s="139" t="s">
        <v>51</v>
      </c>
      <c r="CO549" s="139">
        <v>27.248964999999998</v>
      </c>
      <c r="CP549" s="139">
        <v>97.561105999999995</v>
      </c>
      <c r="CQ549" s="139" t="s">
        <v>2076</v>
      </c>
      <c r="CR549" s="660" t="s">
        <v>3209</v>
      </c>
      <c r="CS549" s="660"/>
      <c r="CT549" s="24"/>
      <c r="CU549" s="24"/>
      <c r="CV549" s="24"/>
    </row>
    <row r="550" spans="1:100" x14ac:dyDescent="0.25">
      <c r="A550" s="293" t="s">
        <v>2691</v>
      </c>
      <c r="B550" s="132" t="s">
        <v>287</v>
      </c>
      <c r="C550" s="132" t="s">
        <v>44</v>
      </c>
      <c r="D550" s="132" t="s">
        <v>319</v>
      </c>
      <c r="E550" s="132" t="s">
        <v>320</v>
      </c>
      <c r="F550" s="132">
        <v>61</v>
      </c>
      <c r="G550" s="214">
        <v>281</v>
      </c>
      <c r="H550" s="206"/>
      <c r="I550" s="206" t="s">
        <v>296</v>
      </c>
      <c r="J550" s="133">
        <v>43465</v>
      </c>
      <c r="K550" s="132">
        <v>0</v>
      </c>
      <c r="L550" s="132" t="s">
        <v>48</v>
      </c>
      <c r="M550" s="134">
        <v>0.6</v>
      </c>
      <c r="N550" s="134">
        <v>0.5</v>
      </c>
      <c r="O550" s="320">
        <v>1</v>
      </c>
      <c r="P550" s="326">
        <v>0</v>
      </c>
      <c r="Q550" s="326">
        <v>2000</v>
      </c>
      <c r="R550" s="315">
        <v>1</v>
      </c>
      <c r="S550" s="315">
        <v>0</v>
      </c>
      <c r="T550" s="315"/>
      <c r="U550" s="315">
        <v>0</v>
      </c>
      <c r="V550" s="315">
        <v>0</v>
      </c>
      <c r="W550" s="315">
        <v>0</v>
      </c>
      <c r="X550" s="315">
        <v>0</v>
      </c>
      <c r="Y550" s="315">
        <v>0</v>
      </c>
      <c r="Z550" s="315"/>
      <c r="AA550" s="336">
        <v>8</v>
      </c>
      <c r="AB550" s="336">
        <v>0</v>
      </c>
      <c r="AC550" s="337">
        <v>0</v>
      </c>
      <c r="AD550" s="337"/>
      <c r="AE550" s="336">
        <v>0</v>
      </c>
      <c r="AF550" s="336" t="s">
        <v>283</v>
      </c>
      <c r="AG550" s="339" t="s">
        <v>283</v>
      </c>
      <c r="AH550" s="339"/>
      <c r="AI550" s="336"/>
      <c r="AJ550" s="336"/>
      <c r="AK550" s="848">
        <v>0.6</v>
      </c>
      <c r="AL550" s="836" t="s">
        <v>291</v>
      </c>
      <c r="AM550" s="836">
        <v>0</v>
      </c>
      <c r="AN550" s="837">
        <v>2</v>
      </c>
      <c r="AO550" s="837">
        <v>2</v>
      </c>
      <c r="AP550" s="843">
        <v>0</v>
      </c>
      <c r="AQ550" s="839">
        <v>0</v>
      </c>
      <c r="AR550" s="839"/>
      <c r="AS550" s="839"/>
      <c r="AT550" s="839"/>
      <c r="AU550" s="839"/>
      <c r="AV550" s="849"/>
      <c r="AW550" s="134" t="s">
        <v>3208</v>
      </c>
      <c r="AX550" s="136" t="s">
        <v>3208</v>
      </c>
      <c r="AY550" s="137" t="s">
        <v>2576</v>
      </c>
      <c r="AZ550" s="136">
        <v>1</v>
      </c>
      <c r="BA550" s="136">
        <v>1</v>
      </c>
      <c r="BB550" s="136">
        <v>1</v>
      </c>
      <c r="BC550" s="214">
        <v>281</v>
      </c>
      <c r="BD550" s="136">
        <v>0.88967971530249113</v>
      </c>
      <c r="BE550" s="214">
        <v>250</v>
      </c>
      <c r="BF550" s="136">
        <v>1</v>
      </c>
      <c r="BG550" s="214">
        <v>281</v>
      </c>
      <c r="BH550" s="214">
        <v>0.56200000000000006</v>
      </c>
      <c r="BI550" s="134">
        <v>0</v>
      </c>
      <c r="BJ550" s="214">
        <v>0</v>
      </c>
      <c r="BK550" s="137">
        <v>0.43799999999999994</v>
      </c>
      <c r="BL550" s="137">
        <v>1</v>
      </c>
      <c r="BM550" s="137">
        <v>8</v>
      </c>
      <c r="BN550" s="134">
        <v>0.56939501779359436</v>
      </c>
      <c r="BO550" s="351">
        <v>160.00000000000003</v>
      </c>
      <c r="BP550" s="134">
        <v>0.42704626334519569</v>
      </c>
      <c r="BQ550" s="214">
        <v>6</v>
      </c>
      <c r="BR550" s="137">
        <v>14</v>
      </c>
      <c r="BS550" s="138">
        <v>0</v>
      </c>
      <c r="BT550" s="351">
        <v>0</v>
      </c>
      <c r="BU550" s="214">
        <v>281</v>
      </c>
      <c r="BV550" s="214">
        <v>0</v>
      </c>
      <c r="BW550" s="214">
        <v>1</v>
      </c>
      <c r="BX550" s="214">
        <v>0</v>
      </c>
      <c r="BY550" s="214">
        <v>0</v>
      </c>
      <c r="BZ550" s="134">
        <v>0</v>
      </c>
      <c r="CA550" s="138">
        <v>1</v>
      </c>
      <c r="CB550" s="136">
        <v>1</v>
      </c>
      <c r="CC550" s="136">
        <v>0</v>
      </c>
      <c r="CD550" s="136">
        <v>0</v>
      </c>
      <c r="CE550" s="137">
        <v>0</v>
      </c>
      <c r="CF550" s="137">
        <v>0</v>
      </c>
      <c r="CG550" s="137">
        <v>0</v>
      </c>
      <c r="CH550" s="214">
        <v>36.6</v>
      </c>
      <c r="CI550" s="139" t="s">
        <v>48</v>
      </c>
      <c r="CJ550" s="139" t="s">
        <v>287</v>
      </c>
      <c r="CK550" s="139" t="s">
        <v>50</v>
      </c>
      <c r="CL550" s="139" t="s">
        <v>50</v>
      </c>
      <c r="CM550" s="139" t="s">
        <v>50</v>
      </c>
      <c r="CN550" s="139" t="s">
        <v>51</v>
      </c>
      <c r="CO550" s="139">
        <v>27.337499999999999</v>
      </c>
      <c r="CP550" s="139">
        <v>97.416121000000004</v>
      </c>
      <c r="CQ550" s="139" t="s">
        <v>2080</v>
      </c>
      <c r="CR550" s="449" t="s">
        <v>40</v>
      </c>
      <c r="CS550" s="449"/>
      <c r="CT550" s="24"/>
      <c r="CU550" s="24"/>
      <c r="CV550" s="24"/>
    </row>
    <row r="551" spans="1:100" x14ac:dyDescent="0.25">
      <c r="A551" s="293" t="s">
        <v>2691</v>
      </c>
      <c r="B551" s="206" t="s">
        <v>460</v>
      </c>
      <c r="C551" s="206" t="s">
        <v>44</v>
      </c>
      <c r="D551" s="206" t="s">
        <v>319</v>
      </c>
      <c r="E551" s="206" t="s">
        <v>1252</v>
      </c>
      <c r="F551" s="206">
        <v>14</v>
      </c>
      <c r="G551" s="209">
        <v>75</v>
      </c>
      <c r="H551" s="206"/>
      <c r="I551" s="206"/>
      <c r="J551" s="207"/>
      <c r="K551" s="206"/>
      <c r="L551" s="206" t="s">
        <v>282</v>
      </c>
      <c r="M551" s="208">
        <v>0</v>
      </c>
      <c r="N551" s="208">
        <v>0</v>
      </c>
      <c r="O551" s="316"/>
      <c r="P551" s="317"/>
      <c r="Q551" s="317"/>
      <c r="R551" s="318"/>
      <c r="S551" s="318"/>
      <c r="T551" s="318"/>
      <c r="U551" s="318"/>
      <c r="V551" s="318"/>
      <c r="W551" s="318"/>
      <c r="X551" s="318"/>
      <c r="Y551" s="318"/>
      <c r="Z551" s="318"/>
      <c r="AA551" s="310">
        <v>0</v>
      </c>
      <c r="AB551" s="310"/>
      <c r="AC551" s="66"/>
      <c r="AD551" s="337"/>
      <c r="AE551" s="310"/>
      <c r="AF551" s="310" t="s">
        <v>286</v>
      </c>
      <c r="AG551" s="311" t="s">
        <v>286</v>
      </c>
      <c r="AH551" s="311"/>
      <c r="AI551" s="310"/>
      <c r="AJ551" s="310"/>
      <c r="AK551" s="841"/>
      <c r="AL551" s="842"/>
      <c r="AM551" s="842"/>
      <c r="AN551" s="837"/>
      <c r="AO551" s="837"/>
      <c r="AP551" s="843"/>
      <c r="AQ551" s="843"/>
      <c r="AR551" s="843"/>
      <c r="AS551" s="843"/>
      <c r="AT551" s="843"/>
      <c r="AU551" s="843"/>
      <c r="AV551" s="844"/>
      <c r="AW551" s="208" t="s">
        <v>3208</v>
      </c>
      <c r="AX551" s="211" t="s">
        <v>3208</v>
      </c>
      <c r="AY551" s="210" t="s">
        <v>2576</v>
      </c>
      <c r="AZ551" s="136">
        <v>0</v>
      </c>
      <c r="BA551" s="211">
        <v>0</v>
      </c>
      <c r="BB551" s="211">
        <v>0</v>
      </c>
      <c r="BC551" s="209">
        <v>0</v>
      </c>
      <c r="BD551" s="211">
        <v>0</v>
      </c>
      <c r="BE551" s="209">
        <v>0</v>
      </c>
      <c r="BF551" s="211">
        <v>0</v>
      </c>
      <c r="BG551" s="209">
        <v>0</v>
      </c>
      <c r="BH551" s="209">
        <v>0</v>
      </c>
      <c r="BI551" s="208">
        <v>1</v>
      </c>
      <c r="BJ551" s="209">
        <v>75</v>
      </c>
      <c r="BK551" s="210">
        <v>1</v>
      </c>
      <c r="BL551" s="210">
        <v>1</v>
      </c>
      <c r="BM551" s="210">
        <v>0</v>
      </c>
      <c r="BN551" s="208">
        <v>0</v>
      </c>
      <c r="BO551" s="352">
        <v>0</v>
      </c>
      <c r="BP551" s="208">
        <v>1</v>
      </c>
      <c r="BQ551" s="209">
        <v>4</v>
      </c>
      <c r="BR551" s="210">
        <v>4</v>
      </c>
      <c r="BS551" s="212">
        <v>0</v>
      </c>
      <c r="BT551" s="352">
        <v>0</v>
      </c>
      <c r="BU551" s="209">
        <v>0</v>
      </c>
      <c r="BV551" s="209">
        <v>0</v>
      </c>
      <c r="BW551" s="209">
        <v>0</v>
      </c>
      <c r="BX551" s="209">
        <v>0</v>
      </c>
      <c r="BY551" s="209">
        <v>0</v>
      </c>
      <c r="BZ551" s="208">
        <v>0</v>
      </c>
      <c r="CA551" s="212">
        <v>1</v>
      </c>
      <c r="CB551" s="211">
        <v>0</v>
      </c>
      <c r="CC551" s="211">
        <v>0</v>
      </c>
      <c r="CD551" s="211">
        <v>0</v>
      </c>
      <c r="CE551" s="210">
        <v>0</v>
      </c>
      <c r="CF551" s="210">
        <v>0</v>
      </c>
      <c r="CG551" s="210">
        <v>0</v>
      </c>
      <c r="CH551" s="209">
        <v>0</v>
      </c>
      <c r="CI551" s="139">
        <v>0</v>
      </c>
      <c r="CJ551" s="139" t="s">
        <v>2959</v>
      </c>
      <c r="CK551" s="139" t="s">
        <v>50</v>
      </c>
      <c r="CL551" s="139" t="s">
        <v>50</v>
      </c>
      <c r="CM551" s="139" t="s">
        <v>942</v>
      </c>
      <c r="CN551" s="139" t="s">
        <v>51</v>
      </c>
      <c r="CO551" s="139">
        <v>27.311699999999998</v>
      </c>
      <c r="CP551" s="139">
        <v>97.415289999999999</v>
      </c>
      <c r="CQ551" s="139" t="s">
        <v>2079</v>
      </c>
      <c r="CR551" s="660" t="s">
        <v>3209</v>
      </c>
      <c r="CS551" s="660"/>
      <c r="CT551" s="24"/>
      <c r="CU551" s="24"/>
      <c r="CV551" s="24"/>
    </row>
    <row r="552" spans="1:100" x14ac:dyDescent="0.25">
      <c r="A552" s="293" t="s">
        <v>2691</v>
      </c>
      <c r="B552" s="132" t="s">
        <v>287</v>
      </c>
      <c r="C552" s="132" t="s">
        <v>44</v>
      </c>
      <c r="D552" s="132" t="s">
        <v>360</v>
      </c>
      <c r="E552" s="132" t="s">
        <v>2805</v>
      </c>
      <c r="F552" s="132">
        <v>86</v>
      </c>
      <c r="G552" s="214">
        <v>381</v>
      </c>
      <c r="H552" s="132"/>
      <c r="I552" s="132"/>
      <c r="J552" s="133"/>
      <c r="K552" s="132"/>
      <c r="L552" s="132"/>
      <c r="M552" s="134"/>
      <c r="N552" s="134"/>
      <c r="O552" s="320"/>
      <c r="P552" s="326"/>
      <c r="Q552" s="326"/>
      <c r="R552" s="315"/>
      <c r="S552" s="315"/>
      <c r="T552" s="315"/>
      <c r="U552" s="315"/>
      <c r="V552" s="315"/>
      <c r="W552" s="315"/>
      <c r="X552" s="315"/>
      <c r="Y552" s="315"/>
      <c r="Z552" s="315"/>
      <c r="AA552" s="336"/>
      <c r="AB552" s="336"/>
      <c r="AC552" s="337"/>
      <c r="AD552" s="337"/>
      <c r="AE552" s="336"/>
      <c r="AF552" s="336"/>
      <c r="AG552" s="339"/>
      <c r="AH552" s="339"/>
      <c r="AI552" s="336"/>
      <c r="AJ552" s="336"/>
      <c r="AK552" s="848"/>
      <c r="AL552" s="842"/>
      <c r="AM552" s="836"/>
      <c r="AN552" s="850"/>
      <c r="AO552" s="850"/>
      <c r="AP552" s="843"/>
      <c r="AQ552" s="839"/>
      <c r="AR552" s="839"/>
      <c r="AS552" s="839"/>
      <c r="AT552" s="839"/>
      <c r="AU552" s="839"/>
      <c r="AV552" s="849"/>
      <c r="AW552" s="134" t="s">
        <v>3208</v>
      </c>
      <c r="AX552" s="136" t="s">
        <v>3208</v>
      </c>
      <c r="AY552" s="137" t="s">
        <v>2576</v>
      </c>
      <c r="AZ552" s="136">
        <v>0</v>
      </c>
      <c r="BA552" s="136">
        <v>0</v>
      </c>
      <c r="BB552" s="136">
        <v>0</v>
      </c>
      <c r="BC552" s="214">
        <v>0</v>
      </c>
      <c r="BD552" s="136">
        <v>0</v>
      </c>
      <c r="BE552" s="214">
        <v>0</v>
      </c>
      <c r="BF552" s="136">
        <v>0</v>
      </c>
      <c r="BG552" s="214">
        <v>0</v>
      </c>
      <c r="BH552" s="214">
        <v>0</v>
      </c>
      <c r="BI552" s="134">
        <v>1</v>
      </c>
      <c r="BJ552" s="214">
        <v>381</v>
      </c>
      <c r="BK552" s="137">
        <v>1</v>
      </c>
      <c r="BL552" s="137">
        <v>1</v>
      </c>
      <c r="BM552" s="137">
        <v>0</v>
      </c>
      <c r="BN552" s="134">
        <v>0</v>
      </c>
      <c r="BO552" s="351">
        <v>0</v>
      </c>
      <c r="BP552" s="134">
        <v>0.99737532808398943</v>
      </c>
      <c r="BQ552" s="214">
        <v>19</v>
      </c>
      <c r="BR552" s="137">
        <v>19</v>
      </c>
      <c r="BS552" s="138">
        <v>0</v>
      </c>
      <c r="BT552" s="351">
        <v>0</v>
      </c>
      <c r="BU552" s="214">
        <v>0</v>
      </c>
      <c r="BV552" s="214">
        <v>0</v>
      </c>
      <c r="BW552" s="214">
        <v>0</v>
      </c>
      <c r="BX552" s="214">
        <v>0</v>
      </c>
      <c r="BY552" s="214">
        <v>0</v>
      </c>
      <c r="BZ552" s="134">
        <v>0</v>
      </c>
      <c r="CA552" s="138">
        <v>1</v>
      </c>
      <c r="CB552" s="136">
        <v>0</v>
      </c>
      <c r="CC552" s="136">
        <v>0</v>
      </c>
      <c r="CD552" s="136">
        <v>0</v>
      </c>
      <c r="CE552" s="137">
        <v>0</v>
      </c>
      <c r="CF552" s="137">
        <v>0</v>
      </c>
      <c r="CG552" s="137">
        <v>0</v>
      </c>
      <c r="CH552" s="214">
        <v>0</v>
      </c>
      <c r="CI552" s="139">
        <v>0</v>
      </c>
      <c r="CJ552" s="139">
        <v>0</v>
      </c>
      <c r="CK552" s="139" t="s">
        <v>1921</v>
      </c>
      <c r="CL552" s="139" t="s">
        <v>50</v>
      </c>
      <c r="CM552" s="139" t="s">
        <v>946</v>
      </c>
      <c r="CN552" s="812" t="s">
        <v>949</v>
      </c>
      <c r="CO552" s="139">
        <v>0</v>
      </c>
      <c r="CP552" s="139">
        <v>0</v>
      </c>
      <c r="CQ552" s="139">
        <v>0</v>
      </c>
      <c r="CR552" s="449" t="s">
        <v>40</v>
      </c>
      <c r="CS552" s="449"/>
      <c r="CT552" s="24"/>
      <c r="CU552" s="24"/>
      <c r="CV552" s="24"/>
    </row>
    <row r="553" spans="1:100" x14ac:dyDescent="0.25">
      <c r="A553" s="293" t="s">
        <v>2691</v>
      </c>
      <c r="B553" s="132" t="s">
        <v>287</v>
      </c>
      <c r="C553" s="132" t="s">
        <v>44</v>
      </c>
      <c r="D553" s="132" t="s">
        <v>360</v>
      </c>
      <c r="E553" s="132" t="s">
        <v>2790</v>
      </c>
      <c r="F553" s="132">
        <v>228</v>
      </c>
      <c r="G553" s="214">
        <v>1015</v>
      </c>
      <c r="H553" s="132">
        <v>0</v>
      </c>
      <c r="I553" s="132" t="s">
        <v>449</v>
      </c>
      <c r="J553" s="133">
        <v>43315</v>
      </c>
      <c r="K553" s="132">
        <v>0</v>
      </c>
      <c r="L553" s="132" t="s">
        <v>48</v>
      </c>
      <c r="M553" s="134">
        <v>0.4</v>
      </c>
      <c r="N553" s="134">
        <v>0.4</v>
      </c>
      <c r="O553" s="320">
        <v>13</v>
      </c>
      <c r="P553" s="326">
        <v>1</v>
      </c>
      <c r="Q553" s="326">
        <v>20300</v>
      </c>
      <c r="R553" s="315">
        <v>0</v>
      </c>
      <c r="S553" s="315"/>
      <c r="T553" s="315"/>
      <c r="U553" s="315">
        <v>15</v>
      </c>
      <c r="V553" s="315">
        <v>0</v>
      </c>
      <c r="W553" s="315">
        <v>24</v>
      </c>
      <c r="X553" s="315">
        <v>8</v>
      </c>
      <c r="Y553" s="315">
        <v>6</v>
      </c>
      <c r="Z553" s="315"/>
      <c r="AA553" s="336">
        <v>16</v>
      </c>
      <c r="AB553" s="336">
        <v>0</v>
      </c>
      <c r="AC553" s="337">
        <v>0</v>
      </c>
      <c r="AD553" s="337"/>
      <c r="AE553" s="336"/>
      <c r="AF553" s="336" t="s">
        <v>283</v>
      </c>
      <c r="AG553" s="339" t="s">
        <v>332</v>
      </c>
      <c r="AH553" s="339">
        <v>0</v>
      </c>
      <c r="AI553" s="336"/>
      <c r="AJ553" s="336"/>
      <c r="AK553" s="848">
        <v>0</v>
      </c>
      <c r="AL553" s="842" t="s">
        <v>291</v>
      </c>
      <c r="AM553" s="836"/>
      <c r="AN553" s="837"/>
      <c r="AO553" s="837"/>
      <c r="AP553" s="843"/>
      <c r="AQ553" s="839"/>
      <c r="AR553" s="839" t="s">
        <v>282</v>
      </c>
      <c r="AS553" s="839"/>
      <c r="AT553" s="839"/>
      <c r="AU553" s="839"/>
      <c r="AV553" s="849"/>
      <c r="AW553" s="134">
        <v>0</v>
      </c>
      <c r="AX553" s="136">
        <v>0.33333333333333331</v>
      </c>
      <c r="AY553" s="137" t="s">
        <v>2577</v>
      </c>
      <c r="AZ553" s="136">
        <v>1</v>
      </c>
      <c r="BA553" s="136">
        <v>1</v>
      </c>
      <c r="BB553" s="136">
        <v>1</v>
      </c>
      <c r="BC553" s="214">
        <v>1015</v>
      </c>
      <c r="BD553" s="136">
        <v>0</v>
      </c>
      <c r="BE553" s="214">
        <v>0</v>
      </c>
      <c r="BF553" s="136">
        <v>1</v>
      </c>
      <c r="BG553" s="214">
        <v>1015</v>
      </c>
      <c r="BH553" s="214">
        <v>2.0299999999999998</v>
      </c>
      <c r="BI553" s="134">
        <v>0</v>
      </c>
      <c r="BJ553" s="214">
        <v>0</v>
      </c>
      <c r="BK553" s="137">
        <v>0</v>
      </c>
      <c r="BL553" s="137">
        <v>2</v>
      </c>
      <c r="BM553" s="137">
        <v>16</v>
      </c>
      <c r="BN553" s="134">
        <v>0.31527093596059114</v>
      </c>
      <c r="BO553" s="351">
        <v>320</v>
      </c>
      <c r="BP553" s="134">
        <v>0.68965517241379315</v>
      </c>
      <c r="BQ553" s="214">
        <v>35</v>
      </c>
      <c r="BR553" s="137">
        <v>51</v>
      </c>
      <c r="BS553" s="138">
        <v>0</v>
      </c>
      <c r="BT553" s="351">
        <v>0</v>
      </c>
      <c r="BU553" s="214">
        <v>0</v>
      </c>
      <c r="BV553" s="214">
        <v>0</v>
      </c>
      <c r="BW553" s="214">
        <v>0</v>
      </c>
      <c r="BX553" s="214">
        <v>0</v>
      </c>
      <c r="BY553" s="214">
        <v>0</v>
      </c>
      <c r="BZ553" s="134">
        <v>0</v>
      </c>
      <c r="CA553" s="138">
        <v>1</v>
      </c>
      <c r="CB553" s="136">
        <v>0</v>
      </c>
      <c r="CC553" s="136">
        <v>0</v>
      </c>
      <c r="CD553" s="136">
        <v>0</v>
      </c>
      <c r="CE553" s="137">
        <v>0</v>
      </c>
      <c r="CF553" s="137">
        <v>0</v>
      </c>
      <c r="CG553" s="137">
        <v>0</v>
      </c>
      <c r="CH553" s="214">
        <v>0</v>
      </c>
      <c r="CI553" s="139">
        <v>0</v>
      </c>
      <c r="CJ553" s="139">
        <v>0</v>
      </c>
      <c r="CK553" s="139" t="s">
        <v>1921</v>
      </c>
      <c r="CL553" s="139" t="s">
        <v>50</v>
      </c>
      <c r="CM553" s="139" t="s">
        <v>946</v>
      </c>
      <c r="CN553" s="812" t="s">
        <v>949</v>
      </c>
      <c r="CO553" s="139">
        <v>0</v>
      </c>
      <c r="CP553" s="139">
        <v>0</v>
      </c>
      <c r="CQ553" s="139">
        <v>0</v>
      </c>
      <c r="CR553" s="449" t="s">
        <v>40</v>
      </c>
      <c r="CS553" s="449"/>
      <c r="CT553" s="24"/>
      <c r="CU553" s="24"/>
      <c r="CV553" s="24"/>
    </row>
    <row r="554" spans="1:100" x14ac:dyDescent="0.25">
      <c r="A554" s="293" t="s">
        <v>2691</v>
      </c>
      <c r="B554" s="132" t="s">
        <v>338</v>
      </c>
      <c r="C554" s="132" t="s">
        <v>44</v>
      </c>
      <c r="D554" s="132" t="s">
        <v>360</v>
      </c>
      <c r="E554" s="132" t="s">
        <v>361</v>
      </c>
      <c r="F554" s="132">
        <v>45</v>
      </c>
      <c r="G554" s="214">
        <v>259</v>
      </c>
      <c r="H554" s="132"/>
      <c r="I554" s="132" t="s">
        <v>340</v>
      </c>
      <c r="J554" s="133" t="s">
        <v>2476</v>
      </c>
      <c r="K554" s="132">
        <v>0</v>
      </c>
      <c r="L554" s="132" t="s">
        <v>48</v>
      </c>
      <c r="M554" s="134">
        <v>0.8</v>
      </c>
      <c r="N554" s="134">
        <v>0.6</v>
      </c>
      <c r="O554" s="320">
        <v>0</v>
      </c>
      <c r="P554" s="326">
        <v>1</v>
      </c>
      <c r="Q554" s="326">
        <v>0</v>
      </c>
      <c r="R554" s="315">
        <v>0</v>
      </c>
      <c r="S554" s="315">
        <v>0</v>
      </c>
      <c r="T554" s="315"/>
      <c r="U554" s="315"/>
      <c r="V554" s="315"/>
      <c r="W554" s="315"/>
      <c r="X554" s="315"/>
      <c r="Y554" s="315"/>
      <c r="Z554" s="315"/>
      <c r="AA554" s="336">
        <v>13</v>
      </c>
      <c r="AB554" s="336">
        <v>0</v>
      </c>
      <c r="AC554" s="337"/>
      <c r="AD554" s="337"/>
      <c r="AE554" s="336">
        <v>0</v>
      </c>
      <c r="AF554" s="336" t="s">
        <v>283</v>
      </c>
      <c r="AG554" s="339" t="s">
        <v>283</v>
      </c>
      <c r="AH554" s="339"/>
      <c r="AI554" s="336"/>
      <c r="AJ554" s="336"/>
      <c r="AK554" s="848">
        <v>1</v>
      </c>
      <c r="AL554" s="836" t="s">
        <v>291</v>
      </c>
      <c r="AM554" s="836">
        <v>0</v>
      </c>
      <c r="AN554" s="837">
        <v>5</v>
      </c>
      <c r="AO554" s="837">
        <v>1</v>
      </c>
      <c r="AP554" s="843">
        <v>45</v>
      </c>
      <c r="AQ554" s="839">
        <v>45</v>
      </c>
      <c r="AR554" s="839"/>
      <c r="AS554" s="839"/>
      <c r="AT554" s="839"/>
      <c r="AU554" s="839"/>
      <c r="AV554" s="849"/>
      <c r="AW554" s="134" t="s">
        <v>3208</v>
      </c>
      <c r="AX554" s="136" t="s">
        <v>3208</v>
      </c>
      <c r="AY554" s="137" t="s">
        <v>2576</v>
      </c>
      <c r="AZ554" s="136">
        <v>1</v>
      </c>
      <c r="BA554" s="136">
        <v>0.96525096525096521</v>
      </c>
      <c r="BB554" s="136">
        <v>1</v>
      </c>
      <c r="BC554" s="214">
        <v>259</v>
      </c>
      <c r="BD554" s="136">
        <v>0</v>
      </c>
      <c r="BE554" s="214">
        <v>0</v>
      </c>
      <c r="BF554" s="136">
        <v>1</v>
      </c>
      <c r="BG554" s="214">
        <v>259</v>
      </c>
      <c r="BH554" s="214">
        <v>0.51800000000000002</v>
      </c>
      <c r="BI554" s="134">
        <v>0</v>
      </c>
      <c r="BJ554" s="214">
        <v>0</v>
      </c>
      <c r="BK554" s="137">
        <v>0.48199999999999998</v>
      </c>
      <c r="BL554" s="137">
        <v>1</v>
      </c>
      <c r="BM554" s="137">
        <v>13</v>
      </c>
      <c r="BN554" s="134">
        <v>1</v>
      </c>
      <c r="BO554" s="351">
        <v>259</v>
      </c>
      <c r="BP554" s="134">
        <v>0</v>
      </c>
      <c r="BQ554" s="214">
        <v>0</v>
      </c>
      <c r="BR554" s="137">
        <v>13</v>
      </c>
      <c r="BS554" s="138">
        <v>0</v>
      </c>
      <c r="BT554" s="351">
        <v>0</v>
      </c>
      <c r="BU554" s="214">
        <v>259</v>
      </c>
      <c r="BV554" s="214">
        <v>1</v>
      </c>
      <c r="BW554" s="214">
        <v>1</v>
      </c>
      <c r="BX554" s="214">
        <v>1</v>
      </c>
      <c r="BY554" s="214">
        <v>259</v>
      </c>
      <c r="BZ554" s="134">
        <v>1</v>
      </c>
      <c r="CA554" s="138">
        <v>0</v>
      </c>
      <c r="CB554" s="136">
        <v>1</v>
      </c>
      <c r="CC554" s="136">
        <v>1</v>
      </c>
      <c r="CD554" s="136">
        <v>1</v>
      </c>
      <c r="CE554" s="137">
        <v>225</v>
      </c>
      <c r="CF554" s="137">
        <v>225</v>
      </c>
      <c r="CG554" s="137">
        <v>225</v>
      </c>
      <c r="CH554" s="214">
        <v>45</v>
      </c>
      <c r="CI554" s="139" t="s">
        <v>48</v>
      </c>
      <c r="CJ554" s="139" t="s">
        <v>287</v>
      </c>
      <c r="CK554" s="139" t="s">
        <v>50</v>
      </c>
      <c r="CL554" s="139" t="s">
        <v>50</v>
      </c>
      <c r="CM554" s="139" t="s">
        <v>50</v>
      </c>
      <c r="CN554" s="139" t="s">
        <v>51</v>
      </c>
      <c r="CO554" s="139">
        <v>24.200361000000001</v>
      </c>
      <c r="CP554" s="139">
        <v>96.807353000000006</v>
      </c>
      <c r="CQ554" s="139" t="s">
        <v>1934</v>
      </c>
      <c r="CR554" s="449" t="s">
        <v>40</v>
      </c>
      <c r="CS554" s="449"/>
      <c r="CT554" s="24"/>
      <c r="CU554" s="24"/>
      <c r="CV554" s="24"/>
    </row>
    <row r="555" spans="1:100" x14ac:dyDescent="0.25">
      <c r="A555" s="293" t="s">
        <v>2691</v>
      </c>
      <c r="B555" s="132" t="s">
        <v>338</v>
      </c>
      <c r="C555" s="132" t="s">
        <v>44</v>
      </c>
      <c r="D555" s="132" t="s">
        <v>360</v>
      </c>
      <c r="E555" s="132" t="s">
        <v>362</v>
      </c>
      <c r="F555" s="132">
        <v>33</v>
      </c>
      <c r="G555" s="214">
        <v>169</v>
      </c>
      <c r="H555" s="132"/>
      <c r="I555" s="132" t="s">
        <v>340</v>
      </c>
      <c r="J555" s="133" t="s">
        <v>2476</v>
      </c>
      <c r="K555" s="132">
        <v>0</v>
      </c>
      <c r="L555" s="132" t="s">
        <v>48</v>
      </c>
      <c r="M555" s="134">
        <v>0.8</v>
      </c>
      <c r="N555" s="134">
        <v>0.6</v>
      </c>
      <c r="O555" s="320">
        <v>0</v>
      </c>
      <c r="P555" s="326">
        <v>1</v>
      </c>
      <c r="Q555" s="326">
        <v>0</v>
      </c>
      <c r="R555" s="315">
        <v>0</v>
      </c>
      <c r="S555" s="315">
        <v>0</v>
      </c>
      <c r="T555" s="315"/>
      <c r="U555" s="315"/>
      <c r="V555" s="315"/>
      <c r="W555" s="315"/>
      <c r="X555" s="315"/>
      <c r="Y555" s="315"/>
      <c r="Z555" s="315"/>
      <c r="AA555" s="336">
        <v>14</v>
      </c>
      <c r="AB555" s="336">
        <v>0</v>
      </c>
      <c r="AC555" s="337">
        <v>0</v>
      </c>
      <c r="AD555" s="337"/>
      <c r="AE555" s="336">
        <v>0</v>
      </c>
      <c r="AF555" s="336" t="s">
        <v>283</v>
      </c>
      <c r="AG555" s="339" t="s">
        <v>283</v>
      </c>
      <c r="AH555" s="339"/>
      <c r="AI555" s="336"/>
      <c r="AJ555" s="336"/>
      <c r="AK555" s="848">
        <v>1</v>
      </c>
      <c r="AL555" s="836" t="s">
        <v>291</v>
      </c>
      <c r="AM555" s="836">
        <v>0</v>
      </c>
      <c r="AN555" s="837">
        <v>3</v>
      </c>
      <c r="AO555" s="837">
        <v>1</v>
      </c>
      <c r="AP555" s="843">
        <v>33</v>
      </c>
      <c r="AQ555" s="839">
        <v>33</v>
      </c>
      <c r="AR555" s="839"/>
      <c r="AS555" s="839"/>
      <c r="AT555" s="839"/>
      <c r="AU555" s="839"/>
      <c r="AV555" s="849"/>
      <c r="AW555" s="134" t="s">
        <v>3208</v>
      </c>
      <c r="AX555" s="136" t="s">
        <v>3208</v>
      </c>
      <c r="AY555" s="137" t="s">
        <v>2576</v>
      </c>
      <c r="AZ555" s="136">
        <v>1</v>
      </c>
      <c r="BA555" s="136">
        <v>1</v>
      </c>
      <c r="BB555" s="136">
        <v>1</v>
      </c>
      <c r="BC555" s="214">
        <v>169</v>
      </c>
      <c r="BD555" s="136">
        <v>0</v>
      </c>
      <c r="BE555" s="214">
        <v>0</v>
      </c>
      <c r="BF555" s="136">
        <v>1</v>
      </c>
      <c r="BG555" s="214">
        <v>169</v>
      </c>
      <c r="BH555" s="214">
        <v>0.33800000000000002</v>
      </c>
      <c r="BI555" s="134">
        <v>0</v>
      </c>
      <c r="BJ555" s="214">
        <v>0</v>
      </c>
      <c r="BK555" s="137">
        <v>0.66199999999999992</v>
      </c>
      <c r="BL555" s="137">
        <v>1</v>
      </c>
      <c r="BM555" s="137">
        <v>14</v>
      </c>
      <c r="BN555" s="134">
        <v>1</v>
      </c>
      <c r="BO555" s="351">
        <v>169</v>
      </c>
      <c r="BP555" s="134">
        <v>0</v>
      </c>
      <c r="BQ555" s="214">
        <v>0</v>
      </c>
      <c r="BR555" s="137">
        <v>8</v>
      </c>
      <c r="BS555" s="138">
        <v>0</v>
      </c>
      <c r="BT555" s="351">
        <v>0</v>
      </c>
      <c r="BU555" s="214">
        <v>169</v>
      </c>
      <c r="BV555" s="214">
        <v>1</v>
      </c>
      <c r="BW555" s="214">
        <v>1</v>
      </c>
      <c r="BX555" s="214">
        <v>1</v>
      </c>
      <c r="BY555" s="214">
        <v>169</v>
      </c>
      <c r="BZ555" s="134">
        <v>1</v>
      </c>
      <c r="CA555" s="138">
        <v>0</v>
      </c>
      <c r="CB555" s="136">
        <v>1</v>
      </c>
      <c r="CC555" s="136">
        <v>1</v>
      </c>
      <c r="CD555" s="136">
        <v>1</v>
      </c>
      <c r="CE555" s="137">
        <v>165</v>
      </c>
      <c r="CF555" s="137">
        <v>165</v>
      </c>
      <c r="CG555" s="137">
        <v>165</v>
      </c>
      <c r="CH555" s="214">
        <v>33</v>
      </c>
      <c r="CI555" s="139" t="s">
        <v>48</v>
      </c>
      <c r="CJ555" s="139" t="s">
        <v>49</v>
      </c>
      <c r="CK555" s="139" t="s">
        <v>50</v>
      </c>
      <c r="CL555" s="139" t="s">
        <v>50</v>
      </c>
      <c r="CM555" s="139" t="s">
        <v>50</v>
      </c>
      <c r="CN555" s="139" t="s">
        <v>51</v>
      </c>
      <c r="CO555" s="139">
        <v>24.200367</v>
      </c>
      <c r="CP555" s="139">
        <v>96.807353000000006</v>
      </c>
      <c r="CQ555" s="139" t="s">
        <v>1935</v>
      </c>
      <c r="CR555" s="449" t="s">
        <v>40</v>
      </c>
      <c r="CS555" s="449"/>
      <c r="CT555" s="24"/>
      <c r="CU555" s="24"/>
      <c r="CV555" s="24"/>
    </row>
    <row r="556" spans="1:100" x14ac:dyDescent="0.25">
      <c r="A556" s="293" t="s">
        <v>2691</v>
      </c>
      <c r="B556" s="132" t="s">
        <v>287</v>
      </c>
      <c r="C556" s="132" t="s">
        <v>44</v>
      </c>
      <c r="D556" s="132" t="s">
        <v>360</v>
      </c>
      <c r="E556" s="132" t="s">
        <v>2804</v>
      </c>
      <c r="F556" s="132">
        <v>63</v>
      </c>
      <c r="G556" s="214">
        <v>270</v>
      </c>
      <c r="H556" s="132"/>
      <c r="I556" s="132"/>
      <c r="J556" s="133"/>
      <c r="K556" s="132"/>
      <c r="L556" s="132"/>
      <c r="M556" s="134"/>
      <c r="N556" s="134"/>
      <c r="O556" s="320"/>
      <c r="P556" s="326"/>
      <c r="Q556" s="326"/>
      <c r="R556" s="315"/>
      <c r="S556" s="315"/>
      <c r="T556" s="315"/>
      <c r="U556" s="315"/>
      <c r="V556" s="315"/>
      <c r="W556" s="315"/>
      <c r="X556" s="315"/>
      <c r="Y556" s="315"/>
      <c r="Z556" s="315"/>
      <c r="AA556" s="336"/>
      <c r="AB556" s="336"/>
      <c r="AC556" s="337"/>
      <c r="AD556" s="337"/>
      <c r="AE556" s="336"/>
      <c r="AF556" s="336"/>
      <c r="AG556" s="339"/>
      <c r="AH556" s="339"/>
      <c r="AI556" s="336"/>
      <c r="AJ556" s="336"/>
      <c r="AK556" s="848"/>
      <c r="AL556" s="842"/>
      <c r="AM556" s="836"/>
      <c r="AN556" s="850"/>
      <c r="AO556" s="850"/>
      <c r="AP556" s="843"/>
      <c r="AQ556" s="839"/>
      <c r="AR556" s="839"/>
      <c r="AS556" s="839"/>
      <c r="AT556" s="839"/>
      <c r="AU556" s="839"/>
      <c r="AV556" s="849"/>
      <c r="AW556" s="134" t="s">
        <v>3208</v>
      </c>
      <c r="AX556" s="136" t="s">
        <v>3208</v>
      </c>
      <c r="AY556" s="137" t="s">
        <v>2576</v>
      </c>
      <c r="AZ556" s="136">
        <v>0</v>
      </c>
      <c r="BA556" s="136">
        <v>0</v>
      </c>
      <c r="BB556" s="136">
        <v>0</v>
      </c>
      <c r="BC556" s="214">
        <v>0</v>
      </c>
      <c r="BD556" s="136">
        <v>0</v>
      </c>
      <c r="BE556" s="214">
        <v>0</v>
      </c>
      <c r="BF556" s="136">
        <v>0</v>
      </c>
      <c r="BG556" s="214">
        <v>0</v>
      </c>
      <c r="BH556" s="214">
        <v>0</v>
      </c>
      <c r="BI556" s="134">
        <v>1</v>
      </c>
      <c r="BJ556" s="214">
        <v>270</v>
      </c>
      <c r="BK556" s="137">
        <v>1</v>
      </c>
      <c r="BL556" s="137">
        <v>1</v>
      </c>
      <c r="BM556" s="137">
        <v>0</v>
      </c>
      <c r="BN556" s="134">
        <v>0</v>
      </c>
      <c r="BO556" s="351">
        <v>0</v>
      </c>
      <c r="BP556" s="134">
        <v>1</v>
      </c>
      <c r="BQ556" s="214">
        <v>14</v>
      </c>
      <c r="BR556" s="137">
        <v>14</v>
      </c>
      <c r="BS556" s="138">
        <v>0</v>
      </c>
      <c r="BT556" s="351">
        <v>0</v>
      </c>
      <c r="BU556" s="214">
        <v>0</v>
      </c>
      <c r="BV556" s="214">
        <v>0</v>
      </c>
      <c r="BW556" s="214">
        <v>0</v>
      </c>
      <c r="BX556" s="214">
        <v>0</v>
      </c>
      <c r="BY556" s="214">
        <v>0</v>
      </c>
      <c r="BZ556" s="134">
        <v>0</v>
      </c>
      <c r="CA556" s="138">
        <v>1</v>
      </c>
      <c r="CB556" s="136">
        <v>0</v>
      </c>
      <c r="CC556" s="136">
        <v>0</v>
      </c>
      <c r="CD556" s="136">
        <v>0</v>
      </c>
      <c r="CE556" s="137">
        <v>0</v>
      </c>
      <c r="CF556" s="137">
        <v>0</v>
      </c>
      <c r="CG556" s="137">
        <v>0</v>
      </c>
      <c r="CH556" s="214">
        <v>0</v>
      </c>
      <c r="CI556" s="139">
        <v>0</v>
      </c>
      <c r="CJ556" s="139">
        <v>0</v>
      </c>
      <c r="CK556" s="139" t="s">
        <v>1921</v>
      </c>
      <c r="CL556" s="139" t="s">
        <v>50</v>
      </c>
      <c r="CM556" s="139" t="s">
        <v>946</v>
      </c>
      <c r="CN556" s="812" t="s">
        <v>949</v>
      </c>
      <c r="CO556" s="139">
        <v>0</v>
      </c>
      <c r="CP556" s="139">
        <v>0</v>
      </c>
      <c r="CQ556" s="139">
        <v>0</v>
      </c>
      <c r="CR556" s="449" t="s">
        <v>40</v>
      </c>
      <c r="CS556" s="449"/>
      <c r="CT556" s="24"/>
      <c r="CU556" s="24"/>
      <c r="CV556" s="24"/>
    </row>
    <row r="557" spans="1:100" x14ac:dyDescent="0.25">
      <c r="A557" s="293" t="s">
        <v>2691</v>
      </c>
      <c r="B557" s="132" t="s">
        <v>287</v>
      </c>
      <c r="C557" s="132" t="s">
        <v>44</v>
      </c>
      <c r="D557" s="132" t="s">
        <v>360</v>
      </c>
      <c r="E557" s="132" t="s">
        <v>2802</v>
      </c>
      <c r="F557" s="132">
        <v>78</v>
      </c>
      <c r="G557" s="214">
        <v>324</v>
      </c>
      <c r="H557" s="132"/>
      <c r="I557" s="132"/>
      <c r="J557" s="133"/>
      <c r="K557" s="132"/>
      <c r="L557" s="132"/>
      <c r="M557" s="134"/>
      <c r="N557" s="134"/>
      <c r="O557" s="320"/>
      <c r="P557" s="326"/>
      <c r="Q557" s="326"/>
      <c r="R557" s="315"/>
      <c r="S557" s="315"/>
      <c r="T557" s="315"/>
      <c r="U557" s="315"/>
      <c r="V557" s="315"/>
      <c r="W557" s="315"/>
      <c r="X557" s="315"/>
      <c r="Y557" s="315"/>
      <c r="Z557" s="315"/>
      <c r="AA557" s="336"/>
      <c r="AB557" s="336"/>
      <c r="AC557" s="337"/>
      <c r="AD557" s="337"/>
      <c r="AE557" s="336"/>
      <c r="AF557" s="336"/>
      <c r="AG557" s="339"/>
      <c r="AH557" s="339"/>
      <c r="AI557" s="336"/>
      <c r="AJ557" s="336"/>
      <c r="AK557" s="848"/>
      <c r="AL557" s="842"/>
      <c r="AM557" s="836"/>
      <c r="AN557" s="850"/>
      <c r="AO557" s="850"/>
      <c r="AP557" s="843"/>
      <c r="AQ557" s="839"/>
      <c r="AR557" s="839"/>
      <c r="AS557" s="839"/>
      <c r="AT557" s="839"/>
      <c r="AU557" s="839"/>
      <c r="AV557" s="849"/>
      <c r="AW557" s="134" t="s">
        <v>3208</v>
      </c>
      <c r="AX557" s="136" t="s">
        <v>3208</v>
      </c>
      <c r="AY557" s="137" t="s">
        <v>2576</v>
      </c>
      <c r="AZ557" s="136">
        <v>0</v>
      </c>
      <c r="BA557" s="136">
        <v>0</v>
      </c>
      <c r="BB557" s="136">
        <v>0</v>
      </c>
      <c r="BC557" s="214">
        <v>0</v>
      </c>
      <c r="BD557" s="136">
        <v>0</v>
      </c>
      <c r="BE557" s="214">
        <v>0</v>
      </c>
      <c r="BF557" s="136">
        <v>0</v>
      </c>
      <c r="BG557" s="214">
        <v>0</v>
      </c>
      <c r="BH557" s="214">
        <v>0</v>
      </c>
      <c r="BI557" s="134">
        <v>1</v>
      </c>
      <c r="BJ557" s="214">
        <v>324</v>
      </c>
      <c r="BK557" s="137">
        <v>1</v>
      </c>
      <c r="BL557" s="137">
        <v>1</v>
      </c>
      <c r="BM557" s="137">
        <v>0</v>
      </c>
      <c r="BN557" s="134">
        <v>0</v>
      </c>
      <c r="BO557" s="351">
        <v>0</v>
      </c>
      <c r="BP557" s="134">
        <v>0.98765432098765438</v>
      </c>
      <c r="BQ557" s="214">
        <v>16</v>
      </c>
      <c r="BR557" s="137">
        <v>16</v>
      </c>
      <c r="BS557" s="138">
        <v>0</v>
      </c>
      <c r="BT557" s="351">
        <v>0</v>
      </c>
      <c r="BU557" s="214">
        <v>0</v>
      </c>
      <c r="BV557" s="214">
        <v>0</v>
      </c>
      <c r="BW557" s="214">
        <v>0</v>
      </c>
      <c r="BX557" s="214">
        <v>0</v>
      </c>
      <c r="BY557" s="214">
        <v>0</v>
      </c>
      <c r="BZ557" s="134">
        <v>0</v>
      </c>
      <c r="CA557" s="138">
        <v>1</v>
      </c>
      <c r="CB557" s="136">
        <v>0</v>
      </c>
      <c r="CC557" s="136">
        <v>0</v>
      </c>
      <c r="CD557" s="136">
        <v>0</v>
      </c>
      <c r="CE557" s="137">
        <v>0</v>
      </c>
      <c r="CF557" s="137">
        <v>0</v>
      </c>
      <c r="CG557" s="137">
        <v>0</v>
      </c>
      <c r="CH557" s="214">
        <v>0</v>
      </c>
      <c r="CI557" s="139">
        <v>0</v>
      </c>
      <c r="CJ557" s="139">
        <v>0</v>
      </c>
      <c r="CK557" s="139" t="s">
        <v>1921</v>
      </c>
      <c r="CL557" s="139" t="s">
        <v>50</v>
      </c>
      <c r="CM557" s="139" t="s">
        <v>946</v>
      </c>
      <c r="CN557" s="812" t="s">
        <v>949</v>
      </c>
      <c r="CO557" s="139">
        <v>0</v>
      </c>
      <c r="CP557" s="139">
        <v>0</v>
      </c>
      <c r="CQ557" s="139">
        <v>0</v>
      </c>
      <c r="CR557" s="449" t="s">
        <v>40</v>
      </c>
      <c r="CS557" s="449"/>
      <c r="CT557" s="24"/>
      <c r="CU557" s="24"/>
      <c r="CV557" s="24"/>
    </row>
    <row r="558" spans="1:100" x14ac:dyDescent="0.25">
      <c r="A558" s="293" t="s">
        <v>2691</v>
      </c>
      <c r="B558" s="132" t="s">
        <v>287</v>
      </c>
      <c r="C558" s="132" t="s">
        <v>44</v>
      </c>
      <c r="D558" s="132" t="s">
        <v>330</v>
      </c>
      <c r="E558" s="132" t="s">
        <v>331</v>
      </c>
      <c r="F558" s="132">
        <v>127</v>
      </c>
      <c r="G558" s="214">
        <v>547</v>
      </c>
      <c r="H558" s="132"/>
      <c r="I558" s="132" t="s">
        <v>296</v>
      </c>
      <c r="J558" s="133">
        <v>43465</v>
      </c>
      <c r="K558" s="132">
        <v>0</v>
      </c>
      <c r="L558" s="132" t="s">
        <v>48</v>
      </c>
      <c r="M558" s="134">
        <v>0.5</v>
      </c>
      <c r="N558" s="134">
        <v>0.5</v>
      </c>
      <c r="O558" s="320">
        <v>0</v>
      </c>
      <c r="P558" s="326">
        <v>0</v>
      </c>
      <c r="Q558" s="326">
        <v>0</v>
      </c>
      <c r="R558" s="315">
        <v>0</v>
      </c>
      <c r="S558" s="315">
        <v>0</v>
      </c>
      <c r="T558" s="315"/>
      <c r="U558" s="315">
        <v>0</v>
      </c>
      <c r="V558" s="315">
        <v>0</v>
      </c>
      <c r="W558" s="315">
        <v>0</v>
      </c>
      <c r="X558" s="315">
        <v>0</v>
      </c>
      <c r="Y558" s="315">
        <v>0</v>
      </c>
      <c r="Z558" s="315"/>
      <c r="AA558" s="336">
        <v>74</v>
      </c>
      <c r="AB558" s="336">
        <v>0</v>
      </c>
      <c r="AC558" s="337">
        <v>0</v>
      </c>
      <c r="AD558" s="337"/>
      <c r="AE558" s="336">
        <v>0</v>
      </c>
      <c r="AF558" s="336" t="s">
        <v>332</v>
      </c>
      <c r="AG558" s="339" t="s">
        <v>283</v>
      </c>
      <c r="AH558" s="339"/>
      <c r="AI558" s="336"/>
      <c r="AJ558" s="336"/>
      <c r="AK558" s="848">
        <v>0.2</v>
      </c>
      <c r="AL558" s="836" t="s">
        <v>284</v>
      </c>
      <c r="AM558" s="836">
        <v>0</v>
      </c>
      <c r="AN558" s="837">
        <v>0</v>
      </c>
      <c r="AO558" s="837">
        <v>2</v>
      </c>
      <c r="AP558" s="843">
        <v>0</v>
      </c>
      <c r="AQ558" s="839">
        <v>0</v>
      </c>
      <c r="AR558" s="839"/>
      <c r="AS558" s="839"/>
      <c r="AT558" s="839"/>
      <c r="AU558" s="839"/>
      <c r="AV558" s="849"/>
      <c r="AW558" s="134" t="s">
        <v>3208</v>
      </c>
      <c r="AX558" s="136" t="s">
        <v>3208</v>
      </c>
      <c r="AY558" s="137" t="s">
        <v>2576</v>
      </c>
      <c r="AZ558" s="136">
        <v>0</v>
      </c>
      <c r="BA558" s="136">
        <v>0</v>
      </c>
      <c r="BB558" s="136">
        <v>0</v>
      </c>
      <c r="BC558" s="214">
        <v>0</v>
      </c>
      <c r="BD558" s="136">
        <v>0</v>
      </c>
      <c r="BE558" s="214">
        <v>0</v>
      </c>
      <c r="BF558" s="136">
        <v>0</v>
      </c>
      <c r="BG558" s="214">
        <v>0</v>
      </c>
      <c r="BH558" s="214">
        <v>0</v>
      </c>
      <c r="BI558" s="134">
        <v>1</v>
      </c>
      <c r="BJ558" s="214">
        <v>547</v>
      </c>
      <c r="BK558" s="137">
        <v>1</v>
      </c>
      <c r="BL558" s="137">
        <v>1</v>
      </c>
      <c r="BM558" s="137">
        <v>74</v>
      </c>
      <c r="BN558" s="134">
        <v>1</v>
      </c>
      <c r="BO558" s="351">
        <v>547</v>
      </c>
      <c r="BP558" s="134">
        <v>0</v>
      </c>
      <c r="BQ558" s="214">
        <v>0</v>
      </c>
      <c r="BR558" s="137">
        <v>27</v>
      </c>
      <c r="BS558" s="138">
        <v>0</v>
      </c>
      <c r="BT558" s="351">
        <v>0</v>
      </c>
      <c r="BU558" s="214">
        <v>547</v>
      </c>
      <c r="BV558" s="214">
        <v>0</v>
      </c>
      <c r="BW558" s="214">
        <v>1</v>
      </c>
      <c r="BX558" s="214">
        <v>0</v>
      </c>
      <c r="BY558" s="214">
        <v>0</v>
      </c>
      <c r="BZ558" s="134">
        <v>0</v>
      </c>
      <c r="CA558" s="138">
        <v>1</v>
      </c>
      <c r="CB558" s="136">
        <v>1</v>
      </c>
      <c r="CC558" s="136">
        <v>0</v>
      </c>
      <c r="CD558" s="136">
        <v>0</v>
      </c>
      <c r="CE558" s="137">
        <v>0</v>
      </c>
      <c r="CF558" s="137">
        <v>0</v>
      </c>
      <c r="CG558" s="137">
        <v>0</v>
      </c>
      <c r="CH558" s="214">
        <v>25.400000000000002</v>
      </c>
      <c r="CI558" s="139" t="s">
        <v>48</v>
      </c>
      <c r="CJ558" s="139" t="s">
        <v>287</v>
      </c>
      <c r="CK558" s="139" t="s">
        <v>50</v>
      </c>
      <c r="CL558" s="139" t="s">
        <v>50</v>
      </c>
      <c r="CM558" s="139" t="s">
        <v>50</v>
      </c>
      <c r="CN558" s="139" t="s">
        <v>949</v>
      </c>
      <c r="CO558" s="139">
        <v>26.569633</v>
      </c>
      <c r="CP558" s="139">
        <v>97.745480999999998</v>
      </c>
      <c r="CQ558" s="139" t="s">
        <v>2074</v>
      </c>
      <c r="CR558" s="449" t="s">
        <v>40</v>
      </c>
      <c r="CS558" s="449"/>
      <c r="CT558" s="24"/>
      <c r="CU558" s="24"/>
      <c r="CV558" s="24"/>
    </row>
    <row r="559" spans="1:100" x14ac:dyDescent="0.25">
      <c r="A559" s="293" t="s">
        <v>2691</v>
      </c>
      <c r="B559" s="132" t="s">
        <v>287</v>
      </c>
      <c r="C559" s="132" t="s">
        <v>44</v>
      </c>
      <c r="D559" s="132" t="s">
        <v>330</v>
      </c>
      <c r="E559" s="132" t="s">
        <v>333</v>
      </c>
      <c r="F559" s="132">
        <v>68</v>
      </c>
      <c r="G559" s="214">
        <v>268</v>
      </c>
      <c r="H559" s="132"/>
      <c r="I559" s="132" t="s">
        <v>296</v>
      </c>
      <c r="J559" s="133">
        <v>43465</v>
      </c>
      <c r="K559" s="132">
        <v>0</v>
      </c>
      <c r="L559" s="132" t="s">
        <v>48</v>
      </c>
      <c r="M559" s="134">
        <v>0.4</v>
      </c>
      <c r="N559" s="134">
        <v>0.5</v>
      </c>
      <c r="O559" s="320">
        <v>0</v>
      </c>
      <c r="P559" s="326">
        <v>0</v>
      </c>
      <c r="Q559" s="326">
        <v>0</v>
      </c>
      <c r="R559" s="315">
        <v>0</v>
      </c>
      <c r="S559" s="315">
        <v>0</v>
      </c>
      <c r="T559" s="315"/>
      <c r="U559" s="315">
        <v>0</v>
      </c>
      <c r="V559" s="315">
        <v>0</v>
      </c>
      <c r="W559" s="315">
        <v>0</v>
      </c>
      <c r="X559" s="315">
        <v>0</v>
      </c>
      <c r="Y559" s="315">
        <v>0</v>
      </c>
      <c r="Z559" s="315"/>
      <c r="AA559" s="336">
        <v>65</v>
      </c>
      <c r="AB559" s="336">
        <v>0</v>
      </c>
      <c r="AC559" s="337">
        <v>0</v>
      </c>
      <c r="AD559" s="337"/>
      <c r="AE559" s="336">
        <v>0</v>
      </c>
      <c r="AF559" s="336" t="s">
        <v>332</v>
      </c>
      <c r="AG559" s="339" t="s">
        <v>283</v>
      </c>
      <c r="AH559" s="339"/>
      <c r="AI559" s="336"/>
      <c r="AJ559" s="336"/>
      <c r="AK559" s="848">
        <v>0.2</v>
      </c>
      <c r="AL559" s="836" t="s">
        <v>284</v>
      </c>
      <c r="AM559" s="836">
        <v>0</v>
      </c>
      <c r="AN559" s="837">
        <v>0</v>
      </c>
      <c r="AO559" s="837">
        <v>1</v>
      </c>
      <c r="AP559" s="843">
        <v>0</v>
      </c>
      <c r="AQ559" s="839">
        <v>0</v>
      </c>
      <c r="AR559" s="839"/>
      <c r="AS559" s="839"/>
      <c r="AT559" s="839"/>
      <c r="AU559" s="839"/>
      <c r="AV559" s="849"/>
      <c r="AW559" s="134" t="s">
        <v>3208</v>
      </c>
      <c r="AX559" s="136" t="s">
        <v>3208</v>
      </c>
      <c r="AY559" s="137" t="s">
        <v>2576</v>
      </c>
      <c r="AZ559" s="136">
        <v>0</v>
      </c>
      <c r="BA559" s="136">
        <v>0</v>
      </c>
      <c r="BB559" s="136">
        <v>0</v>
      </c>
      <c r="BC559" s="214">
        <v>0</v>
      </c>
      <c r="BD559" s="136">
        <v>0</v>
      </c>
      <c r="BE559" s="214">
        <v>0</v>
      </c>
      <c r="BF559" s="136">
        <v>0</v>
      </c>
      <c r="BG559" s="214">
        <v>0</v>
      </c>
      <c r="BH559" s="214">
        <v>0</v>
      </c>
      <c r="BI559" s="134">
        <v>1</v>
      </c>
      <c r="BJ559" s="214">
        <v>268</v>
      </c>
      <c r="BK559" s="137">
        <v>1</v>
      </c>
      <c r="BL559" s="137">
        <v>1</v>
      </c>
      <c r="BM559" s="137">
        <v>65</v>
      </c>
      <c r="BN559" s="134">
        <v>1</v>
      </c>
      <c r="BO559" s="351">
        <v>268</v>
      </c>
      <c r="BP559" s="134">
        <v>0</v>
      </c>
      <c r="BQ559" s="214">
        <v>0</v>
      </c>
      <c r="BR559" s="137">
        <v>13</v>
      </c>
      <c r="BS559" s="138">
        <v>0</v>
      </c>
      <c r="BT559" s="351">
        <v>0</v>
      </c>
      <c r="BU559" s="214">
        <v>268</v>
      </c>
      <c r="BV559" s="214">
        <v>0</v>
      </c>
      <c r="BW559" s="214">
        <v>1</v>
      </c>
      <c r="BX559" s="214">
        <v>0</v>
      </c>
      <c r="BY559" s="214">
        <v>0</v>
      </c>
      <c r="BZ559" s="134">
        <v>0</v>
      </c>
      <c r="CA559" s="138">
        <v>1</v>
      </c>
      <c r="CB559" s="136">
        <v>1</v>
      </c>
      <c r="CC559" s="136">
        <v>0</v>
      </c>
      <c r="CD559" s="136">
        <v>0</v>
      </c>
      <c r="CE559" s="137">
        <v>0</v>
      </c>
      <c r="CF559" s="137">
        <v>0</v>
      </c>
      <c r="CG559" s="137">
        <v>0</v>
      </c>
      <c r="CH559" s="214">
        <v>13.600000000000001</v>
      </c>
      <c r="CI559" s="139" t="s">
        <v>48</v>
      </c>
      <c r="CJ559" s="139" t="s">
        <v>287</v>
      </c>
      <c r="CK559" s="139" t="s">
        <v>50</v>
      </c>
      <c r="CL559" s="139" t="s">
        <v>50</v>
      </c>
      <c r="CM559" s="139" t="s">
        <v>50</v>
      </c>
      <c r="CN559" s="139" t="s">
        <v>949</v>
      </c>
      <c r="CO559" s="139">
        <v>26.548506</v>
      </c>
      <c r="CP559" s="139">
        <v>97.75609</v>
      </c>
      <c r="CQ559" s="139" t="s">
        <v>2073</v>
      </c>
      <c r="CR559" s="449" t="s">
        <v>40</v>
      </c>
      <c r="CS559" s="449"/>
      <c r="CT559" s="24"/>
      <c r="CU559" s="24"/>
      <c r="CV559" s="24"/>
    </row>
    <row r="560" spans="1:100" x14ac:dyDescent="0.25">
      <c r="A560" s="293" t="s">
        <v>2691</v>
      </c>
      <c r="B560" s="206" t="s">
        <v>460</v>
      </c>
      <c r="C560" s="206" t="s">
        <v>44</v>
      </c>
      <c r="D560" s="206" t="s">
        <v>330</v>
      </c>
      <c r="E560" s="206" t="s">
        <v>330</v>
      </c>
      <c r="F560" s="206">
        <v>5</v>
      </c>
      <c r="G560" s="209">
        <v>32</v>
      </c>
      <c r="H560" s="206"/>
      <c r="I560" s="206"/>
      <c r="J560" s="207"/>
      <c r="K560" s="206"/>
      <c r="L560" s="206" t="s">
        <v>282</v>
      </c>
      <c r="M560" s="208">
        <v>0</v>
      </c>
      <c r="N560" s="208">
        <v>0</v>
      </c>
      <c r="O560" s="316"/>
      <c r="P560" s="317"/>
      <c r="Q560" s="317"/>
      <c r="R560" s="318"/>
      <c r="S560" s="318"/>
      <c r="T560" s="318"/>
      <c r="U560" s="318"/>
      <c r="V560" s="318"/>
      <c r="W560" s="318"/>
      <c r="X560" s="318"/>
      <c r="Y560" s="318"/>
      <c r="Z560" s="318"/>
      <c r="AA560" s="310">
        <v>0</v>
      </c>
      <c r="AB560" s="310"/>
      <c r="AC560" s="66"/>
      <c r="AD560" s="337"/>
      <c r="AE560" s="310"/>
      <c r="AF560" s="310" t="s">
        <v>286</v>
      </c>
      <c r="AG560" s="311" t="s">
        <v>286</v>
      </c>
      <c r="AH560" s="311"/>
      <c r="AI560" s="310"/>
      <c r="AJ560" s="310"/>
      <c r="AK560" s="841"/>
      <c r="AL560" s="842"/>
      <c r="AM560" s="842"/>
      <c r="AN560" s="837"/>
      <c r="AO560" s="837"/>
      <c r="AP560" s="843"/>
      <c r="AQ560" s="843"/>
      <c r="AR560" s="843"/>
      <c r="AS560" s="843"/>
      <c r="AT560" s="843"/>
      <c r="AU560" s="843"/>
      <c r="AV560" s="844"/>
      <c r="AW560" s="208" t="s">
        <v>3208</v>
      </c>
      <c r="AX560" s="211" t="s">
        <v>3208</v>
      </c>
      <c r="AY560" s="210" t="s">
        <v>2576</v>
      </c>
      <c r="AZ560" s="136">
        <v>0</v>
      </c>
      <c r="BA560" s="211">
        <v>0</v>
      </c>
      <c r="BB560" s="211">
        <v>0</v>
      </c>
      <c r="BC560" s="209">
        <v>0</v>
      </c>
      <c r="BD560" s="211">
        <v>0</v>
      </c>
      <c r="BE560" s="209">
        <v>0</v>
      </c>
      <c r="BF560" s="211">
        <v>0</v>
      </c>
      <c r="BG560" s="209">
        <v>0</v>
      </c>
      <c r="BH560" s="209">
        <v>0</v>
      </c>
      <c r="BI560" s="208">
        <v>1</v>
      </c>
      <c r="BJ560" s="209">
        <v>32</v>
      </c>
      <c r="BK560" s="210">
        <v>1</v>
      </c>
      <c r="BL560" s="210">
        <v>1</v>
      </c>
      <c r="BM560" s="210">
        <v>0</v>
      </c>
      <c r="BN560" s="208">
        <v>0</v>
      </c>
      <c r="BO560" s="352">
        <v>0</v>
      </c>
      <c r="BP560" s="208">
        <v>1</v>
      </c>
      <c r="BQ560" s="209">
        <v>2</v>
      </c>
      <c r="BR560" s="210">
        <v>2</v>
      </c>
      <c r="BS560" s="212">
        <v>0</v>
      </c>
      <c r="BT560" s="352">
        <v>0</v>
      </c>
      <c r="BU560" s="209">
        <v>0</v>
      </c>
      <c r="BV560" s="209">
        <v>0</v>
      </c>
      <c r="BW560" s="209">
        <v>0</v>
      </c>
      <c r="BX560" s="209">
        <v>0</v>
      </c>
      <c r="BY560" s="209">
        <v>0</v>
      </c>
      <c r="BZ560" s="208">
        <v>0</v>
      </c>
      <c r="CA560" s="212">
        <v>1</v>
      </c>
      <c r="CB560" s="211">
        <v>0</v>
      </c>
      <c r="CC560" s="211">
        <v>0</v>
      </c>
      <c r="CD560" s="211">
        <v>0</v>
      </c>
      <c r="CE560" s="210">
        <v>0</v>
      </c>
      <c r="CF560" s="210">
        <v>0</v>
      </c>
      <c r="CG560" s="210">
        <v>0</v>
      </c>
      <c r="CH560" s="209">
        <v>0</v>
      </c>
      <c r="CI560" s="139">
        <v>0</v>
      </c>
      <c r="CJ560" s="139" t="s">
        <v>2959</v>
      </c>
      <c r="CK560" s="139" t="s">
        <v>50</v>
      </c>
      <c r="CL560" s="139" t="s">
        <v>50</v>
      </c>
      <c r="CM560" s="139" t="s">
        <v>946</v>
      </c>
      <c r="CN560" s="139" t="s">
        <v>51</v>
      </c>
      <c r="CO560" s="139">
        <v>26.541930000000001</v>
      </c>
      <c r="CP560" s="139">
        <v>97.568836000000005</v>
      </c>
      <c r="CQ560" s="139" t="s">
        <v>2072</v>
      </c>
      <c r="CR560" s="660" t="s">
        <v>3209</v>
      </c>
      <c r="CS560" s="660"/>
      <c r="CT560" s="24"/>
      <c r="CU560" s="24"/>
      <c r="CV560" s="24"/>
    </row>
    <row r="561" spans="1:100" x14ac:dyDescent="0.25">
      <c r="A561" s="293" t="s">
        <v>2691</v>
      </c>
      <c r="B561" s="132" t="s">
        <v>460</v>
      </c>
      <c r="C561" s="132" t="s">
        <v>44</v>
      </c>
      <c r="D561" s="132" t="s">
        <v>1311</v>
      </c>
      <c r="E561" s="132" t="s">
        <v>2718</v>
      </c>
      <c r="F561" s="132">
        <v>72</v>
      </c>
      <c r="G561" s="214">
        <v>228</v>
      </c>
      <c r="H561" s="132"/>
      <c r="I561" s="132"/>
      <c r="J561" s="133"/>
      <c r="K561" s="132"/>
      <c r="L561" s="132"/>
      <c r="M561" s="206"/>
      <c r="N561" s="206"/>
      <c r="O561" s="320"/>
      <c r="P561" s="326"/>
      <c r="Q561" s="326"/>
      <c r="R561" s="315"/>
      <c r="S561" s="315"/>
      <c r="T561" s="315"/>
      <c r="U561" s="315"/>
      <c r="V561" s="315"/>
      <c r="W561" s="315"/>
      <c r="X561" s="315"/>
      <c r="Y561" s="315"/>
      <c r="Z561" s="315"/>
      <c r="AA561" s="336"/>
      <c r="AB561" s="336"/>
      <c r="AC561" s="337"/>
      <c r="AD561" s="337"/>
      <c r="AE561" s="336"/>
      <c r="AF561" s="336"/>
      <c r="AG561" s="339"/>
      <c r="AH561" s="339"/>
      <c r="AI561" s="336"/>
      <c r="AJ561" s="336"/>
      <c r="AK561" s="848"/>
      <c r="AL561" s="836"/>
      <c r="AM561" s="836"/>
      <c r="AN561" s="837"/>
      <c r="AO561" s="837"/>
      <c r="AP561" s="839"/>
      <c r="AQ561" s="839"/>
      <c r="AR561" s="839"/>
      <c r="AS561" s="839"/>
      <c r="AT561" s="839"/>
      <c r="AU561" s="839"/>
      <c r="AV561" s="849"/>
      <c r="AW561" s="134" t="s">
        <v>3208</v>
      </c>
      <c r="AX561" s="136" t="s">
        <v>3208</v>
      </c>
      <c r="AY561" s="137" t="s">
        <v>2576</v>
      </c>
      <c r="AZ561" s="136">
        <v>0</v>
      </c>
      <c r="BA561" s="136">
        <v>0</v>
      </c>
      <c r="BB561" s="136">
        <v>0</v>
      </c>
      <c r="BC561" s="214">
        <v>0</v>
      </c>
      <c r="BD561" s="136">
        <v>0</v>
      </c>
      <c r="BE561" s="214">
        <v>0</v>
      </c>
      <c r="BF561" s="136">
        <v>0</v>
      </c>
      <c r="BG561" s="214">
        <v>0</v>
      </c>
      <c r="BH561" s="214">
        <v>0</v>
      </c>
      <c r="BI561" s="134">
        <v>1</v>
      </c>
      <c r="BJ561" s="214">
        <v>228</v>
      </c>
      <c r="BK561" s="137">
        <v>1</v>
      </c>
      <c r="BL561" s="137">
        <v>1</v>
      </c>
      <c r="BM561" s="137">
        <v>0</v>
      </c>
      <c r="BN561" s="134">
        <v>0</v>
      </c>
      <c r="BO561" s="351">
        <v>0</v>
      </c>
      <c r="BP561" s="134">
        <v>0.96491228070175439</v>
      </c>
      <c r="BQ561" s="214">
        <v>11</v>
      </c>
      <c r="BR561" s="137">
        <v>11</v>
      </c>
      <c r="BS561" s="138">
        <v>0</v>
      </c>
      <c r="BT561" s="351">
        <v>0</v>
      </c>
      <c r="BU561" s="214">
        <v>0</v>
      </c>
      <c r="BV561" s="214">
        <v>0</v>
      </c>
      <c r="BW561" s="214">
        <v>0</v>
      </c>
      <c r="BX561" s="214">
        <v>0</v>
      </c>
      <c r="BY561" s="214">
        <v>0</v>
      </c>
      <c r="BZ561" s="134">
        <v>0</v>
      </c>
      <c r="CA561" s="138">
        <v>1</v>
      </c>
      <c r="CB561" s="136">
        <v>0</v>
      </c>
      <c r="CC561" s="136">
        <v>0</v>
      </c>
      <c r="CD561" s="136">
        <v>0</v>
      </c>
      <c r="CE561" s="137">
        <v>0</v>
      </c>
      <c r="CF561" s="137">
        <v>0</v>
      </c>
      <c r="CG561" s="137">
        <v>0</v>
      </c>
      <c r="CH561" s="214">
        <v>0</v>
      </c>
      <c r="CI561" s="139">
        <v>0</v>
      </c>
      <c r="CJ561" s="139">
        <v>0</v>
      </c>
      <c r="CK561" s="139" t="s">
        <v>2716</v>
      </c>
      <c r="CL561" s="139" t="s">
        <v>50</v>
      </c>
      <c r="CM561" s="139" t="s">
        <v>946</v>
      </c>
      <c r="CN561" s="812" t="s">
        <v>51</v>
      </c>
      <c r="CO561" s="139">
        <v>0</v>
      </c>
      <c r="CP561" s="139">
        <v>0</v>
      </c>
      <c r="CQ561" s="139">
        <v>0</v>
      </c>
      <c r="CR561" s="449" t="s">
        <v>3209</v>
      </c>
      <c r="CS561" s="449"/>
      <c r="CT561" s="24"/>
      <c r="CU561" s="24"/>
      <c r="CV561" s="24"/>
    </row>
    <row r="562" spans="1:100" x14ac:dyDescent="0.25">
      <c r="A562" s="293" t="s">
        <v>2691</v>
      </c>
      <c r="B562" s="132" t="s">
        <v>460</v>
      </c>
      <c r="C562" s="132" t="s">
        <v>44</v>
      </c>
      <c r="D562" s="132" t="s">
        <v>1311</v>
      </c>
      <c r="E562" s="132" t="s">
        <v>2719</v>
      </c>
      <c r="F562" s="132">
        <v>110</v>
      </c>
      <c r="G562" s="214">
        <v>566</v>
      </c>
      <c r="H562" s="132"/>
      <c r="I562" s="132"/>
      <c r="J562" s="133"/>
      <c r="K562" s="132"/>
      <c r="L562" s="132"/>
      <c r="M562" s="206"/>
      <c r="N562" s="206"/>
      <c r="O562" s="320"/>
      <c r="P562" s="326"/>
      <c r="Q562" s="326"/>
      <c r="R562" s="315"/>
      <c r="S562" s="315"/>
      <c r="T562" s="315"/>
      <c r="U562" s="315"/>
      <c r="V562" s="315"/>
      <c r="W562" s="315"/>
      <c r="X562" s="315"/>
      <c r="Y562" s="315"/>
      <c r="Z562" s="315"/>
      <c r="AA562" s="336"/>
      <c r="AB562" s="336"/>
      <c r="AC562" s="337"/>
      <c r="AD562" s="337"/>
      <c r="AE562" s="336"/>
      <c r="AF562" s="336"/>
      <c r="AG562" s="339"/>
      <c r="AH562" s="339"/>
      <c r="AI562" s="336"/>
      <c r="AJ562" s="336"/>
      <c r="AK562" s="848"/>
      <c r="AL562" s="836"/>
      <c r="AM562" s="836"/>
      <c r="AN562" s="837"/>
      <c r="AO562" s="837"/>
      <c r="AP562" s="839"/>
      <c r="AQ562" s="839"/>
      <c r="AR562" s="839"/>
      <c r="AS562" s="839"/>
      <c r="AT562" s="839"/>
      <c r="AU562" s="839"/>
      <c r="AV562" s="849"/>
      <c r="AW562" s="134" t="s">
        <v>3208</v>
      </c>
      <c r="AX562" s="136" t="s">
        <v>3208</v>
      </c>
      <c r="AY562" s="137" t="s">
        <v>2576</v>
      </c>
      <c r="AZ562" s="136">
        <v>0</v>
      </c>
      <c r="BA562" s="136">
        <v>0</v>
      </c>
      <c r="BB562" s="136">
        <v>0</v>
      </c>
      <c r="BC562" s="214">
        <v>0</v>
      </c>
      <c r="BD562" s="136">
        <v>0</v>
      </c>
      <c r="BE562" s="214">
        <v>0</v>
      </c>
      <c r="BF562" s="136">
        <v>0</v>
      </c>
      <c r="BG562" s="214">
        <v>0</v>
      </c>
      <c r="BH562" s="214">
        <v>0</v>
      </c>
      <c r="BI562" s="134">
        <v>1</v>
      </c>
      <c r="BJ562" s="214">
        <v>566</v>
      </c>
      <c r="BK562" s="137">
        <v>1</v>
      </c>
      <c r="BL562" s="137">
        <v>1</v>
      </c>
      <c r="BM562" s="137">
        <v>0</v>
      </c>
      <c r="BN562" s="134">
        <v>0</v>
      </c>
      <c r="BO562" s="351">
        <v>0</v>
      </c>
      <c r="BP562" s="134">
        <v>0.98939929328621901</v>
      </c>
      <c r="BQ562" s="214">
        <v>28</v>
      </c>
      <c r="BR562" s="137">
        <v>28</v>
      </c>
      <c r="BS562" s="138">
        <v>0</v>
      </c>
      <c r="BT562" s="351">
        <v>0</v>
      </c>
      <c r="BU562" s="214">
        <v>0</v>
      </c>
      <c r="BV562" s="214">
        <v>0</v>
      </c>
      <c r="BW562" s="214">
        <v>0</v>
      </c>
      <c r="BX562" s="214">
        <v>0</v>
      </c>
      <c r="BY562" s="214">
        <v>0</v>
      </c>
      <c r="BZ562" s="134">
        <v>0</v>
      </c>
      <c r="CA562" s="138">
        <v>1</v>
      </c>
      <c r="CB562" s="136">
        <v>0</v>
      </c>
      <c r="CC562" s="136">
        <v>0</v>
      </c>
      <c r="CD562" s="136">
        <v>0</v>
      </c>
      <c r="CE562" s="137">
        <v>0</v>
      </c>
      <c r="CF562" s="137">
        <v>0</v>
      </c>
      <c r="CG562" s="137">
        <v>0</v>
      </c>
      <c r="CH562" s="214">
        <v>0</v>
      </c>
      <c r="CI562" s="139">
        <v>0</v>
      </c>
      <c r="CJ562" s="139">
        <v>0</v>
      </c>
      <c r="CK562" s="139" t="s">
        <v>2716</v>
      </c>
      <c r="CL562" s="139" t="s">
        <v>50</v>
      </c>
      <c r="CM562" s="139" t="s">
        <v>946</v>
      </c>
      <c r="CN562" s="812" t="s">
        <v>51</v>
      </c>
      <c r="CO562" s="139">
        <v>0</v>
      </c>
      <c r="CP562" s="139">
        <v>0</v>
      </c>
      <c r="CQ562" s="139">
        <v>0</v>
      </c>
      <c r="CR562" s="449" t="s">
        <v>3209</v>
      </c>
      <c r="CS562" s="449"/>
      <c r="CT562" s="24"/>
      <c r="CU562" s="24"/>
      <c r="CV562" s="24"/>
    </row>
    <row r="563" spans="1:100" x14ac:dyDescent="0.25">
      <c r="A563" s="293" t="s">
        <v>2691</v>
      </c>
      <c r="B563" s="132" t="s">
        <v>43</v>
      </c>
      <c r="C563" s="132" t="s">
        <v>44</v>
      </c>
      <c r="D563" s="132" t="s">
        <v>1311</v>
      </c>
      <c r="E563" s="132" t="s">
        <v>2690</v>
      </c>
      <c r="F563" s="132">
        <v>42</v>
      </c>
      <c r="G563" s="214">
        <v>205</v>
      </c>
      <c r="H563" s="132"/>
      <c r="I563" s="132" t="s">
        <v>388</v>
      </c>
      <c r="J563" s="133">
        <v>43465</v>
      </c>
      <c r="K563" s="132">
        <v>0</v>
      </c>
      <c r="L563" s="132" t="s">
        <v>48</v>
      </c>
      <c r="M563" s="134">
        <v>0.7</v>
      </c>
      <c r="N563" s="134">
        <v>0.7</v>
      </c>
      <c r="O563" s="320">
        <v>0</v>
      </c>
      <c r="P563" s="326">
        <v>0</v>
      </c>
      <c r="Q563" s="326">
        <v>2000</v>
      </c>
      <c r="R563" s="315">
        <v>0</v>
      </c>
      <c r="S563" s="315">
        <v>0</v>
      </c>
      <c r="T563" s="315"/>
      <c r="U563" s="315">
        <v>0</v>
      </c>
      <c r="V563" s="315">
        <v>0</v>
      </c>
      <c r="W563" s="315">
        <v>0</v>
      </c>
      <c r="X563" s="315">
        <v>0</v>
      </c>
      <c r="Y563" s="315">
        <v>0</v>
      </c>
      <c r="Z563" s="315" t="s">
        <v>2480</v>
      </c>
      <c r="AA563" s="336">
        <v>2</v>
      </c>
      <c r="AB563" s="336">
        <v>0</v>
      </c>
      <c r="AC563" s="337">
        <v>0</v>
      </c>
      <c r="AD563" s="337"/>
      <c r="AE563" s="336">
        <v>0</v>
      </c>
      <c r="AF563" s="336" t="s">
        <v>283</v>
      </c>
      <c r="AG563" s="339" t="s">
        <v>1358</v>
      </c>
      <c r="AH563" s="339">
        <v>0</v>
      </c>
      <c r="AI563" s="336">
        <v>0</v>
      </c>
      <c r="AJ563" s="336"/>
      <c r="AK563" s="848">
        <v>0</v>
      </c>
      <c r="AL563" s="842" t="s">
        <v>376</v>
      </c>
      <c r="AM563" s="836">
        <v>0</v>
      </c>
      <c r="AN563" s="837">
        <v>0</v>
      </c>
      <c r="AO563" s="837">
        <v>2</v>
      </c>
      <c r="AP563" s="843">
        <v>0</v>
      </c>
      <c r="AQ563" s="839">
        <v>0</v>
      </c>
      <c r="AR563" s="839" t="s">
        <v>282</v>
      </c>
      <c r="AS563" s="839"/>
      <c r="AT563" s="839"/>
      <c r="AU563" s="839"/>
      <c r="AV563" s="849" t="s">
        <v>2796</v>
      </c>
      <c r="AW563" s="134" t="s">
        <v>3208</v>
      </c>
      <c r="AX563" s="136" t="s">
        <v>3208</v>
      </c>
      <c r="AY563" s="137" t="s">
        <v>2576</v>
      </c>
      <c r="AZ563" s="136">
        <v>0.65040650406504075</v>
      </c>
      <c r="BA563" s="136">
        <v>0.65040650406504075</v>
      </c>
      <c r="BB563" s="136">
        <v>0.65040650406504075</v>
      </c>
      <c r="BC563" s="214">
        <v>133.33333333333334</v>
      </c>
      <c r="BD563" s="136">
        <v>0</v>
      </c>
      <c r="BE563" s="214">
        <v>0</v>
      </c>
      <c r="BF563" s="136">
        <v>0.65040650406504075</v>
      </c>
      <c r="BG563" s="214">
        <v>133.33333333333334</v>
      </c>
      <c r="BH563" s="214">
        <v>0.26666666666666666</v>
      </c>
      <c r="BI563" s="134">
        <v>0.34959349593495925</v>
      </c>
      <c r="BJ563" s="214">
        <v>71.666666666666643</v>
      </c>
      <c r="BK563" s="137">
        <v>0.73333333333333339</v>
      </c>
      <c r="BL563" s="137">
        <v>1</v>
      </c>
      <c r="BM563" s="137">
        <v>2</v>
      </c>
      <c r="BN563" s="134">
        <v>0.1951219512195122</v>
      </c>
      <c r="BO563" s="351">
        <v>40</v>
      </c>
      <c r="BP563" s="134">
        <v>0.78048780487804881</v>
      </c>
      <c r="BQ563" s="214">
        <v>8</v>
      </c>
      <c r="BR563" s="137">
        <v>10</v>
      </c>
      <c r="BS563" s="138">
        <v>0</v>
      </c>
      <c r="BT563" s="351">
        <v>0</v>
      </c>
      <c r="BU563" s="214">
        <v>205</v>
      </c>
      <c r="BV563" s="214">
        <v>0</v>
      </c>
      <c r="BW563" s="214">
        <v>1</v>
      </c>
      <c r="BX563" s="214">
        <v>0</v>
      </c>
      <c r="BY563" s="214">
        <v>0</v>
      </c>
      <c r="BZ563" s="134">
        <v>0</v>
      </c>
      <c r="CA563" s="138">
        <v>1</v>
      </c>
      <c r="CB563" s="136">
        <v>1</v>
      </c>
      <c r="CC563" s="136">
        <v>0</v>
      </c>
      <c r="CD563" s="136">
        <v>0</v>
      </c>
      <c r="CE563" s="137">
        <v>0</v>
      </c>
      <c r="CF563" s="137">
        <v>0</v>
      </c>
      <c r="CG563" s="137">
        <v>0</v>
      </c>
      <c r="CH563" s="214">
        <v>0</v>
      </c>
      <c r="CI563" s="139">
        <v>0</v>
      </c>
      <c r="CJ563" s="139" t="s">
        <v>2959</v>
      </c>
      <c r="CK563" s="139" t="s">
        <v>50</v>
      </c>
      <c r="CL563" s="139" t="s">
        <v>50</v>
      </c>
      <c r="CM563" s="139" t="s">
        <v>946</v>
      </c>
      <c r="CN563" s="139" t="s">
        <v>51</v>
      </c>
      <c r="CO563" s="139">
        <v>0</v>
      </c>
      <c r="CP563" s="139">
        <v>0</v>
      </c>
      <c r="CQ563" s="139" t="s">
        <v>2098</v>
      </c>
      <c r="CR563" s="449" t="s">
        <v>40</v>
      </c>
      <c r="CS563" s="449"/>
      <c r="CT563" s="24"/>
      <c r="CU563" s="24"/>
      <c r="CV563" s="24"/>
    </row>
    <row r="564" spans="1:100" x14ac:dyDescent="0.25">
      <c r="A564" s="293" t="s">
        <v>2691</v>
      </c>
      <c r="B564" s="132" t="s">
        <v>43</v>
      </c>
      <c r="C564" s="132" t="s">
        <v>44</v>
      </c>
      <c r="D564" s="132" t="s">
        <v>1311</v>
      </c>
      <c r="E564" s="132" t="s">
        <v>1313</v>
      </c>
      <c r="F564" s="132">
        <v>36</v>
      </c>
      <c r="G564" s="214">
        <v>152</v>
      </c>
      <c r="H564" s="132"/>
      <c r="I564" s="132" t="s">
        <v>388</v>
      </c>
      <c r="J564" s="133">
        <v>43465</v>
      </c>
      <c r="K564" s="132">
        <v>0</v>
      </c>
      <c r="L564" s="132" t="s">
        <v>48</v>
      </c>
      <c r="M564" s="134">
        <v>0.7</v>
      </c>
      <c r="N564" s="134">
        <v>0.7</v>
      </c>
      <c r="O564" s="320">
        <v>0</v>
      </c>
      <c r="P564" s="326">
        <v>2</v>
      </c>
      <c r="Q564" s="326">
        <v>3500</v>
      </c>
      <c r="R564" s="315">
        <v>0</v>
      </c>
      <c r="S564" s="315">
        <v>0</v>
      </c>
      <c r="T564" s="315"/>
      <c r="U564" s="315">
        <v>1</v>
      </c>
      <c r="V564" s="315">
        <v>1</v>
      </c>
      <c r="W564" s="315">
        <v>0</v>
      </c>
      <c r="X564" s="315">
        <v>0</v>
      </c>
      <c r="Y564" s="315">
        <v>0</v>
      </c>
      <c r="Z564" s="315" t="s">
        <v>2480</v>
      </c>
      <c r="AA564" s="336">
        <v>8</v>
      </c>
      <c r="AB564" s="336">
        <v>0</v>
      </c>
      <c r="AC564" s="337">
        <v>0</v>
      </c>
      <c r="AD564" s="337"/>
      <c r="AE564" s="336">
        <v>0</v>
      </c>
      <c r="AF564" s="336" t="s">
        <v>283</v>
      </c>
      <c r="AG564" s="339" t="s">
        <v>1358</v>
      </c>
      <c r="AH564" s="339">
        <v>0</v>
      </c>
      <c r="AI564" s="336">
        <v>0</v>
      </c>
      <c r="AJ564" s="336"/>
      <c r="AK564" s="848">
        <v>0</v>
      </c>
      <c r="AL564" s="842" t="s">
        <v>376</v>
      </c>
      <c r="AM564" s="836">
        <v>2</v>
      </c>
      <c r="AN564" s="837">
        <v>0</v>
      </c>
      <c r="AO564" s="837">
        <v>2</v>
      </c>
      <c r="AP564" s="843">
        <v>0</v>
      </c>
      <c r="AQ564" s="839">
        <v>0</v>
      </c>
      <c r="AR564" s="839" t="s">
        <v>282</v>
      </c>
      <c r="AS564" s="839"/>
      <c r="AT564" s="839"/>
      <c r="AU564" s="839"/>
      <c r="AV564" s="849" t="s">
        <v>2796</v>
      </c>
      <c r="AW564" s="134">
        <v>1</v>
      </c>
      <c r="AX564" s="136" t="s">
        <v>3208</v>
      </c>
      <c r="AY564" s="137" t="s">
        <v>2577</v>
      </c>
      <c r="AZ564" s="136">
        <v>1</v>
      </c>
      <c r="BA564" s="136">
        <v>1</v>
      </c>
      <c r="BB564" s="136">
        <v>1</v>
      </c>
      <c r="BC564" s="214">
        <v>152</v>
      </c>
      <c r="BD564" s="136">
        <v>0</v>
      </c>
      <c r="BE564" s="214">
        <v>0</v>
      </c>
      <c r="BF564" s="136">
        <v>1</v>
      </c>
      <c r="BG564" s="214">
        <v>152</v>
      </c>
      <c r="BH564" s="214">
        <v>0.30399999999999999</v>
      </c>
      <c r="BI564" s="134">
        <v>0</v>
      </c>
      <c r="BJ564" s="214">
        <v>0</v>
      </c>
      <c r="BK564" s="137">
        <v>0.69599999999999995</v>
      </c>
      <c r="BL564" s="137">
        <v>1</v>
      </c>
      <c r="BM564" s="137">
        <v>8</v>
      </c>
      <c r="BN564" s="134">
        <v>1</v>
      </c>
      <c r="BO564" s="351">
        <v>152</v>
      </c>
      <c r="BP564" s="134">
        <v>0</v>
      </c>
      <c r="BQ564" s="214">
        <v>0</v>
      </c>
      <c r="BR564" s="137">
        <v>8</v>
      </c>
      <c r="BS564" s="138">
        <v>0</v>
      </c>
      <c r="BT564" s="351">
        <v>0</v>
      </c>
      <c r="BU564" s="214">
        <v>152</v>
      </c>
      <c r="BV564" s="214">
        <v>0</v>
      </c>
      <c r="BW564" s="214">
        <v>1</v>
      </c>
      <c r="BX564" s="214">
        <v>0</v>
      </c>
      <c r="BY564" s="214">
        <v>0</v>
      </c>
      <c r="BZ564" s="134">
        <v>0</v>
      </c>
      <c r="CA564" s="138">
        <v>1</v>
      </c>
      <c r="CB564" s="136">
        <v>1</v>
      </c>
      <c r="CC564" s="136">
        <v>0</v>
      </c>
      <c r="CD564" s="136">
        <v>0</v>
      </c>
      <c r="CE564" s="137">
        <v>0</v>
      </c>
      <c r="CF564" s="137">
        <v>0</v>
      </c>
      <c r="CG564" s="137">
        <v>0</v>
      </c>
      <c r="CH564" s="214">
        <v>0</v>
      </c>
      <c r="CI564" s="139">
        <v>0</v>
      </c>
      <c r="CJ564" s="139" t="s">
        <v>2959</v>
      </c>
      <c r="CK564" s="139" t="s">
        <v>50</v>
      </c>
      <c r="CL564" s="139" t="s">
        <v>50</v>
      </c>
      <c r="CM564" s="139" t="s">
        <v>946</v>
      </c>
      <c r="CN564" s="139" t="s">
        <v>51</v>
      </c>
      <c r="CO564" s="139">
        <v>0</v>
      </c>
      <c r="CP564" s="139">
        <v>0</v>
      </c>
      <c r="CQ564" s="139" t="s">
        <v>2099</v>
      </c>
      <c r="CR564" s="449" t="s">
        <v>40</v>
      </c>
      <c r="CS564" s="449"/>
      <c r="CT564" s="24"/>
      <c r="CU564" s="24"/>
      <c r="CV564" s="24"/>
    </row>
    <row r="565" spans="1:100" x14ac:dyDescent="0.25">
      <c r="A565" s="293" t="s">
        <v>2691</v>
      </c>
      <c r="B565" s="132" t="s">
        <v>43</v>
      </c>
      <c r="C565" s="132" t="s">
        <v>44</v>
      </c>
      <c r="D565" s="132" t="s">
        <v>1311</v>
      </c>
      <c r="E565" s="132" t="s">
        <v>2955</v>
      </c>
      <c r="F565" s="132">
        <v>127</v>
      </c>
      <c r="G565" s="214">
        <v>450</v>
      </c>
      <c r="H565" s="132"/>
      <c r="I565" s="132" t="s">
        <v>388</v>
      </c>
      <c r="J565" s="133">
        <v>43465</v>
      </c>
      <c r="K565" s="132">
        <v>0</v>
      </c>
      <c r="L565" s="132" t="s">
        <v>48</v>
      </c>
      <c r="M565" s="134">
        <v>0.7</v>
      </c>
      <c r="N565" s="134">
        <v>0.7</v>
      </c>
      <c r="O565" s="320">
        <v>1</v>
      </c>
      <c r="P565" s="326">
        <v>1</v>
      </c>
      <c r="Q565" s="326">
        <v>2000</v>
      </c>
      <c r="R565" s="315">
        <v>0</v>
      </c>
      <c r="S565" s="315">
        <v>0</v>
      </c>
      <c r="T565" s="315"/>
      <c r="U565" s="315">
        <v>1</v>
      </c>
      <c r="V565" s="315">
        <v>1</v>
      </c>
      <c r="W565" s="315">
        <v>0</v>
      </c>
      <c r="X565" s="315">
        <v>0</v>
      </c>
      <c r="Y565" s="315">
        <v>0</v>
      </c>
      <c r="Z565" s="315" t="s">
        <v>2480</v>
      </c>
      <c r="AA565" s="336">
        <v>19</v>
      </c>
      <c r="AB565" s="336">
        <v>0</v>
      </c>
      <c r="AC565" s="337">
        <v>0</v>
      </c>
      <c r="AD565" s="337"/>
      <c r="AE565" s="336">
        <v>0</v>
      </c>
      <c r="AF565" s="336" t="s">
        <v>283</v>
      </c>
      <c r="AG565" s="339" t="s">
        <v>1358</v>
      </c>
      <c r="AH565" s="339">
        <v>0</v>
      </c>
      <c r="AI565" s="336">
        <v>0</v>
      </c>
      <c r="AJ565" s="336"/>
      <c r="AK565" s="848">
        <v>0</v>
      </c>
      <c r="AL565" s="842" t="s">
        <v>376</v>
      </c>
      <c r="AM565" s="836">
        <v>4</v>
      </c>
      <c r="AN565" s="837">
        <v>0</v>
      </c>
      <c r="AO565" s="837">
        <v>2</v>
      </c>
      <c r="AP565" s="843">
        <v>0</v>
      </c>
      <c r="AQ565" s="839">
        <v>0</v>
      </c>
      <c r="AR565" s="839" t="s">
        <v>282</v>
      </c>
      <c r="AS565" s="839"/>
      <c r="AT565" s="839"/>
      <c r="AU565" s="839"/>
      <c r="AV565" s="849" t="s">
        <v>2796</v>
      </c>
      <c r="AW565" s="134">
        <v>1</v>
      </c>
      <c r="AX565" s="136" t="s">
        <v>3208</v>
      </c>
      <c r="AY565" s="137" t="s">
        <v>2577</v>
      </c>
      <c r="AZ565" s="136">
        <v>1</v>
      </c>
      <c r="BA565" s="136">
        <v>1</v>
      </c>
      <c r="BB565" s="136">
        <v>1</v>
      </c>
      <c r="BC565" s="214">
        <v>450</v>
      </c>
      <c r="BD565" s="136">
        <v>0</v>
      </c>
      <c r="BE565" s="214">
        <v>0</v>
      </c>
      <c r="BF565" s="136">
        <v>1</v>
      </c>
      <c r="BG565" s="214">
        <v>450</v>
      </c>
      <c r="BH565" s="214">
        <v>0.9</v>
      </c>
      <c r="BI565" s="134">
        <v>0</v>
      </c>
      <c r="BJ565" s="214">
        <v>0</v>
      </c>
      <c r="BK565" s="137">
        <v>9.9999999999999978E-2</v>
      </c>
      <c r="BL565" s="137">
        <v>1</v>
      </c>
      <c r="BM565" s="137">
        <v>19</v>
      </c>
      <c r="BN565" s="134">
        <v>0.84444444444444444</v>
      </c>
      <c r="BO565" s="351">
        <v>380</v>
      </c>
      <c r="BP565" s="134">
        <v>0.17777777777777778</v>
      </c>
      <c r="BQ565" s="214">
        <v>4</v>
      </c>
      <c r="BR565" s="137">
        <v>23</v>
      </c>
      <c r="BS565" s="138">
        <v>0</v>
      </c>
      <c r="BT565" s="351">
        <v>0</v>
      </c>
      <c r="BU565" s="214">
        <v>450</v>
      </c>
      <c r="BV565" s="214">
        <v>0</v>
      </c>
      <c r="BW565" s="214">
        <v>1</v>
      </c>
      <c r="BX565" s="214">
        <v>0</v>
      </c>
      <c r="BY565" s="214">
        <v>0</v>
      </c>
      <c r="BZ565" s="134">
        <v>0</v>
      </c>
      <c r="CA565" s="138">
        <v>1</v>
      </c>
      <c r="CB565" s="136">
        <v>1</v>
      </c>
      <c r="CC565" s="136">
        <v>0</v>
      </c>
      <c r="CD565" s="136">
        <v>0</v>
      </c>
      <c r="CE565" s="137">
        <v>0</v>
      </c>
      <c r="CF565" s="137">
        <v>0</v>
      </c>
      <c r="CG565" s="137">
        <v>0</v>
      </c>
      <c r="CH565" s="214">
        <v>0</v>
      </c>
      <c r="CI565" s="139">
        <v>0</v>
      </c>
      <c r="CJ565" s="139" t="s">
        <v>2959</v>
      </c>
      <c r="CK565" s="139" t="s">
        <v>50</v>
      </c>
      <c r="CL565" s="139" t="s">
        <v>50</v>
      </c>
      <c r="CM565" s="139" t="s">
        <v>50</v>
      </c>
      <c r="CN565" s="139" t="s">
        <v>51</v>
      </c>
      <c r="CO565" s="139">
        <v>0</v>
      </c>
      <c r="CP565" s="139">
        <v>0</v>
      </c>
      <c r="CQ565" s="139" t="s">
        <v>2100</v>
      </c>
      <c r="CR565" s="449" t="s">
        <v>40</v>
      </c>
      <c r="CS565" s="449"/>
      <c r="CT565" s="24"/>
      <c r="CU565" s="24"/>
      <c r="CV565" s="24"/>
    </row>
    <row r="566" spans="1:100" x14ac:dyDescent="0.25">
      <c r="A566" s="293" t="s">
        <v>2691</v>
      </c>
      <c r="B566" s="132" t="s">
        <v>43</v>
      </c>
      <c r="C566" s="132" t="s">
        <v>44</v>
      </c>
      <c r="D566" s="132" t="s">
        <v>1311</v>
      </c>
      <c r="E566" s="132" t="s">
        <v>1315</v>
      </c>
      <c r="F566" s="132">
        <v>31</v>
      </c>
      <c r="G566" s="214">
        <v>129</v>
      </c>
      <c r="H566" s="132"/>
      <c r="I566" s="132" t="s">
        <v>388</v>
      </c>
      <c r="J566" s="133">
        <v>43465</v>
      </c>
      <c r="K566" s="132">
        <v>0</v>
      </c>
      <c r="L566" s="132" t="s">
        <v>48</v>
      </c>
      <c r="M566" s="134">
        <v>0.7</v>
      </c>
      <c r="N566" s="134">
        <v>0.7</v>
      </c>
      <c r="O566" s="320">
        <v>1</v>
      </c>
      <c r="P566" s="326">
        <v>4</v>
      </c>
      <c r="Q566" s="326">
        <v>10000</v>
      </c>
      <c r="R566" s="315">
        <v>0</v>
      </c>
      <c r="S566" s="315">
        <v>0</v>
      </c>
      <c r="T566" s="315"/>
      <c r="U566" s="315">
        <v>1</v>
      </c>
      <c r="V566" s="315">
        <v>0</v>
      </c>
      <c r="W566" s="315">
        <v>0</v>
      </c>
      <c r="X566" s="315">
        <v>0</v>
      </c>
      <c r="Y566" s="315">
        <v>0</v>
      </c>
      <c r="Z566" s="315" t="s">
        <v>2480</v>
      </c>
      <c r="AA566" s="336">
        <v>33</v>
      </c>
      <c r="AB566" s="336">
        <v>0</v>
      </c>
      <c r="AC566" s="337">
        <v>0</v>
      </c>
      <c r="AD566" s="337"/>
      <c r="AE566" s="336">
        <v>0</v>
      </c>
      <c r="AF566" s="336" t="s">
        <v>283</v>
      </c>
      <c r="AG566" s="339" t="s">
        <v>1358</v>
      </c>
      <c r="AH566" s="339">
        <v>0</v>
      </c>
      <c r="AI566" s="336">
        <v>0</v>
      </c>
      <c r="AJ566" s="336"/>
      <c r="AK566" s="848">
        <v>0</v>
      </c>
      <c r="AL566" s="842" t="s">
        <v>376</v>
      </c>
      <c r="AM566" s="836">
        <v>3</v>
      </c>
      <c r="AN566" s="837">
        <v>2</v>
      </c>
      <c r="AO566" s="837">
        <v>2</v>
      </c>
      <c r="AP566" s="843">
        <v>0</v>
      </c>
      <c r="AQ566" s="839">
        <v>0</v>
      </c>
      <c r="AR566" s="839" t="s">
        <v>282</v>
      </c>
      <c r="AS566" s="839"/>
      <c r="AT566" s="839"/>
      <c r="AU566" s="839"/>
      <c r="AV566" s="849" t="s">
        <v>2796</v>
      </c>
      <c r="AW566" s="134">
        <v>0</v>
      </c>
      <c r="AX566" s="136" t="s">
        <v>3208</v>
      </c>
      <c r="AY566" s="137" t="s">
        <v>2577</v>
      </c>
      <c r="AZ566" s="136">
        <v>1</v>
      </c>
      <c r="BA566" s="136">
        <v>1</v>
      </c>
      <c r="BB566" s="136">
        <v>1</v>
      </c>
      <c r="BC566" s="214">
        <v>129</v>
      </c>
      <c r="BD566" s="136">
        <v>0</v>
      </c>
      <c r="BE566" s="214">
        <v>0</v>
      </c>
      <c r="BF566" s="136">
        <v>1</v>
      </c>
      <c r="BG566" s="214">
        <v>129</v>
      </c>
      <c r="BH566" s="214">
        <v>0.25800000000000001</v>
      </c>
      <c r="BI566" s="134">
        <v>0</v>
      </c>
      <c r="BJ566" s="214">
        <v>0</v>
      </c>
      <c r="BK566" s="137">
        <v>0.74199999999999999</v>
      </c>
      <c r="BL566" s="137">
        <v>1</v>
      </c>
      <c r="BM566" s="137">
        <v>33</v>
      </c>
      <c r="BN566" s="134">
        <v>1</v>
      </c>
      <c r="BO566" s="351">
        <v>129</v>
      </c>
      <c r="BP566" s="134">
        <v>0</v>
      </c>
      <c r="BQ566" s="214">
        <v>0</v>
      </c>
      <c r="BR566" s="137">
        <v>6</v>
      </c>
      <c r="BS566" s="138">
        <v>0</v>
      </c>
      <c r="BT566" s="351">
        <v>0</v>
      </c>
      <c r="BU566" s="214">
        <v>129</v>
      </c>
      <c r="BV566" s="214">
        <v>0</v>
      </c>
      <c r="BW566" s="214">
        <v>1</v>
      </c>
      <c r="BX566" s="214">
        <v>0</v>
      </c>
      <c r="BY566" s="214">
        <v>0</v>
      </c>
      <c r="BZ566" s="134">
        <v>0</v>
      </c>
      <c r="CA566" s="138">
        <v>1</v>
      </c>
      <c r="CB566" s="136">
        <v>1</v>
      </c>
      <c r="CC566" s="136">
        <v>0</v>
      </c>
      <c r="CD566" s="136">
        <v>0</v>
      </c>
      <c r="CE566" s="137">
        <v>0</v>
      </c>
      <c r="CF566" s="137">
        <v>0</v>
      </c>
      <c r="CG566" s="137">
        <v>0</v>
      </c>
      <c r="CH566" s="214">
        <v>0</v>
      </c>
      <c r="CI566" s="139">
        <v>0</v>
      </c>
      <c r="CJ566" s="139" t="s">
        <v>2959</v>
      </c>
      <c r="CK566" s="139" t="s">
        <v>50</v>
      </c>
      <c r="CL566" s="139" t="s">
        <v>50</v>
      </c>
      <c r="CM566" s="139" t="s">
        <v>946</v>
      </c>
      <c r="CN566" s="139" t="s">
        <v>51</v>
      </c>
      <c r="CO566" s="139">
        <v>0</v>
      </c>
      <c r="CP566" s="139">
        <v>0</v>
      </c>
      <c r="CQ566" s="139" t="s">
        <v>2101</v>
      </c>
      <c r="CR566" s="449" t="s">
        <v>40</v>
      </c>
      <c r="CS566" s="449"/>
      <c r="CT566" s="24"/>
      <c r="CU566" s="24"/>
      <c r="CV566" s="24"/>
    </row>
    <row r="567" spans="1:100" x14ac:dyDescent="0.25">
      <c r="A567" s="293" t="s">
        <v>2691</v>
      </c>
      <c r="B567" s="132" t="s">
        <v>43</v>
      </c>
      <c r="C567" s="132" t="s">
        <v>44</v>
      </c>
      <c r="D567" s="132" t="s">
        <v>288</v>
      </c>
      <c r="E567" s="132" t="s">
        <v>383</v>
      </c>
      <c r="F567" s="132">
        <v>130</v>
      </c>
      <c r="G567" s="214">
        <v>527</v>
      </c>
      <c r="H567" s="132"/>
      <c r="I567" s="132" t="s">
        <v>372</v>
      </c>
      <c r="J567" s="133">
        <v>43465</v>
      </c>
      <c r="K567" s="132">
        <v>0</v>
      </c>
      <c r="L567" s="132" t="s">
        <v>2452</v>
      </c>
      <c r="M567" s="134">
        <v>0.6</v>
      </c>
      <c r="N567" s="134">
        <v>0.3</v>
      </c>
      <c r="O567" s="320">
        <v>0</v>
      </c>
      <c r="P567" s="326">
        <v>0</v>
      </c>
      <c r="Q567" s="326">
        <v>10000</v>
      </c>
      <c r="R567" s="315">
        <v>0</v>
      </c>
      <c r="S567" s="315">
        <v>6</v>
      </c>
      <c r="T567" s="315"/>
      <c r="U567" s="315">
        <v>0</v>
      </c>
      <c r="V567" s="315">
        <v>0</v>
      </c>
      <c r="W567" s="315">
        <v>0</v>
      </c>
      <c r="X567" s="315">
        <v>0</v>
      </c>
      <c r="Y567" s="315">
        <v>0</v>
      </c>
      <c r="Z567" s="315"/>
      <c r="AA567" s="336">
        <v>90</v>
      </c>
      <c r="AB567" s="336">
        <v>0</v>
      </c>
      <c r="AC567" s="337">
        <v>0</v>
      </c>
      <c r="AD567" s="337"/>
      <c r="AE567" s="336">
        <v>25</v>
      </c>
      <c r="AF567" s="336" t="s">
        <v>283</v>
      </c>
      <c r="AG567" s="339" t="s">
        <v>1358</v>
      </c>
      <c r="AH567" s="339">
        <v>0</v>
      </c>
      <c r="AI567" s="336">
        <v>0</v>
      </c>
      <c r="AJ567" s="336"/>
      <c r="AK567" s="848">
        <v>0</v>
      </c>
      <c r="AL567" s="842" t="s">
        <v>376</v>
      </c>
      <c r="AM567" s="836">
        <v>0</v>
      </c>
      <c r="AN567" s="837">
        <v>2</v>
      </c>
      <c r="AO567" s="837">
        <v>2</v>
      </c>
      <c r="AP567" s="843">
        <v>0</v>
      </c>
      <c r="AQ567" s="839">
        <v>0</v>
      </c>
      <c r="AR567" s="839" t="s">
        <v>282</v>
      </c>
      <c r="AS567" s="839"/>
      <c r="AT567" s="839"/>
      <c r="AU567" s="839"/>
      <c r="AV567" s="849"/>
      <c r="AW567" s="134" t="s">
        <v>3208</v>
      </c>
      <c r="AX567" s="136" t="s">
        <v>3208</v>
      </c>
      <c r="AY567" s="137" t="s">
        <v>2576</v>
      </c>
      <c r="AZ567" s="136">
        <v>1</v>
      </c>
      <c r="BA567" s="136">
        <v>1</v>
      </c>
      <c r="BB567" s="136">
        <v>1</v>
      </c>
      <c r="BC567" s="214">
        <v>527</v>
      </c>
      <c r="BD567" s="136">
        <v>0</v>
      </c>
      <c r="BE567" s="214">
        <v>0</v>
      </c>
      <c r="BF567" s="136">
        <v>1</v>
      </c>
      <c r="BG567" s="214">
        <v>527</v>
      </c>
      <c r="BH567" s="214">
        <v>1.054</v>
      </c>
      <c r="BI567" s="134">
        <v>0</v>
      </c>
      <c r="BJ567" s="214">
        <v>0</v>
      </c>
      <c r="BK567" s="137">
        <v>0</v>
      </c>
      <c r="BL567" s="137">
        <v>1</v>
      </c>
      <c r="BM567" s="137">
        <v>90</v>
      </c>
      <c r="BN567" s="134">
        <v>1</v>
      </c>
      <c r="BO567" s="351">
        <v>527</v>
      </c>
      <c r="BP567" s="134">
        <v>0</v>
      </c>
      <c r="BQ567" s="214">
        <v>0</v>
      </c>
      <c r="BR567" s="137">
        <v>26</v>
      </c>
      <c r="BS567" s="138">
        <v>0</v>
      </c>
      <c r="BT567" s="351">
        <v>0</v>
      </c>
      <c r="BU567" s="214">
        <v>527</v>
      </c>
      <c r="BV567" s="214">
        <v>0</v>
      </c>
      <c r="BW567" s="214">
        <v>1</v>
      </c>
      <c r="BX567" s="214">
        <v>0</v>
      </c>
      <c r="BY567" s="214">
        <v>0</v>
      </c>
      <c r="BZ567" s="134">
        <v>0</v>
      </c>
      <c r="CA567" s="138">
        <v>1</v>
      </c>
      <c r="CB567" s="136">
        <v>1</v>
      </c>
      <c r="CC567" s="136">
        <v>0</v>
      </c>
      <c r="CD567" s="136">
        <v>0</v>
      </c>
      <c r="CE567" s="137">
        <v>0</v>
      </c>
      <c r="CF567" s="137">
        <v>0</v>
      </c>
      <c r="CG567" s="137">
        <v>0</v>
      </c>
      <c r="CH567" s="214">
        <v>0</v>
      </c>
      <c r="CI567" s="139" t="s">
        <v>48</v>
      </c>
      <c r="CJ567" s="139" t="s">
        <v>1539</v>
      </c>
      <c r="CK567" s="139" t="s">
        <v>50</v>
      </c>
      <c r="CL567" s="139" t="s">
        <v>50</v>
      </c>
      <c r="CM567" s="139" t="s">
        <v>50</v>
      </c>
      <c r="CN567" s="139" t="s">
        <v>949</v>
      </c>
      <c r="CO567" s="139">
        <v>25.220278</v>
      </c>
      <c r="CP567" s="139">
        <v>97.915833000000006</v>
      </c>
      <c r="CQ567" s="139" t="s">
        <v>1987</v>
      </c>
      <c r="CR567" s="449" t="s">
        <v>40</v>
      </c>
      <c r="CS567" s="449"/>
      <c r="CT567" s="24"/>
      <c r="CU567" s="24"/>
      <c r="CV567" s="24"/>
    </row>
    <row r="568" spans="1:100" x14ac:dyDescent="0.25">
      <c r="A568" s="293" t="s">
        <v>2691</v>
      </c>
      <c r="B568" s="206" t="s">
        <v>460</v>
      </c>
      <c r="C568" s="206" t="s">
        <v>44</v>
      </c>
      <c r="D568" s="206" t="s">
        <v>288</v>
      </c>
      <c r="E568" s="206" t="s">
        <v>1215</v>
      </c>
      <c r="F568" s="206">
        <v>62</v>
      </c>
      <c r="G568" s="209">
        <v>410</v>
      </c>
      <c r="H568" s="206"/>
      <c r="I568" s="206"/>
      <c r="J568" s="207"/>
      <c r="K568" s="206">
        <v>0</v>
      </c>
      <c r="L568" s="206" t="s">
        <v>282</v>
      </c>
      <c r="M568" s="208">
        <v>0</v>
      </c>
      <c r="N568" s="208">
        <v>0</v>
      </c>
      <c r="O568" s="316">
        <v>0</v>
      </c>
      <c r="P568" s="317">
        <v>2</v>
      </c>
      <c r="Q568" s="317"/>
      <c r="R568" s="318"/>
      <c r="S568" s="318">
        <v>0</v>
      </c>
      <c r="T568" s="318"/>
      <c r="U568" s="318"/>
      <c r="V568" s="318"/>
      <c r="W568" s="318"/>
      <c r="X568" s="318"/>
      <c r="Y568" s="318"/>
      <c r="Z568" s="318"/>
      <c r="AA568" s="310">
        <v>10</v>
      </c>
      <c r="AB568" s="310"/>
      <c r="AC568" s="66"/>
      <c r="AD568" s="337"/>
      <c r="AE568" s="310">
        <v>0</v>
      </c>
      <c r="AF568" s="310" t="s">
        <v>286</v>
      </c>
      <c r="AG568" s="311" t="s">
        <v>286</v>
      </c>
      <c r="AH568" s="311"/>
      <c r="AI568" s="310"/>
      <c r="AJ568" s="310"/>
      <c r="AK568" s="841">
        <v>1</v>
      </c>
      <c r="AL568" s="842" t="s">
        <v>291</v>
      </c>
      <c r="AM568" s="842">
        <v>0</v>
      </c>
      <c r="AN568" s="837">
        <v>3</v>
      </c>
      <c r="AO568" s="837">
        <v>3</v>
      </c>
      <c r="AP568" s="843"/>
      <c r="AQ568" s="843"/>
      <c r="AR568" s="843"/>
      <c r="AS568" s="843"/>
      <c r="AT568" s="843"/>
      <c r="AU568" s="843"/>
      <c r="AV568" s="844"/>
      <c r="AW568" s="208" t="s">
        <v>3208</v>
      </c>
      <c r="AX568" s="211" t="s">
        <v>3208</v>
      </c>
      <c r="AY568" s="210" t="s">
        <v>2576</v>
      </c>
      <c r="AZ568" s="136">
        <v>1</v>
      </c>
      <c r="BA568" s="211">
        <v>1</v>
      </c>
      <c r="BB568" s="211">
        <v>1</v>
      </c>
      <c r="BC568" s="209">
        <v>410</v>
      </c>
      <c r="BD568" s="211">
        <v>0</v>
      </c>
      <c r="BE568" s="209">
        <v>0</v>
      </c>
      <c r="BF568" s="211">
        <v>1</v>
      </c>
      <c r="BG568" s="209">
        <v>410</v>
      </c>
      <c r="BH568" s="214">
        <v>1</v>
      </c>
      <c r="BI568" s="208">
        <v>0</v>
      </c>
      <c r="BJ568" s="209">
        <v>0</v>
      </c>
      <c r="BK568" s="210">
        <v>0</v>
      </c>
      <c r="BL568" s="210">
        <v>1</v>
      </c>
      <c r="BM568" s="210">
        <v>10</v>
      </c>
      <c r="BN568" s="208">
        <v>0.48780487804878048</v>
      </c>
      <c r="BO568" s="352">
        <v>200</v>
      </c>
      <c r="BP568" s="208">
        <v>0.53658536585365857</v>
      </c>
      <c r="BQ568" s="209">
        <v>11</v>
      </c>
      <c r="BR568" s="210">
        <v>21</v>
      </c>
      <c r="BS568" s="212">
        <v>0</v>
      </c>
      <c r="BT568" s="352">
        <v>0</v>
      </c>
      <c r="BU568" s="209">
        <v>410</v>
      </c>
      <c r="BV568" s="209">
        <v>0</v>
      </c>
      <c r="BW568" s="209">
        <v>1</v>
      </c>
      <c r="BX568" s="209">
        <v>0</v>
      </c>
      <c r="BY568" s="209">
        <v>0</v>
      </c>
      <c r="BZ568" s="208">
        <v>0</v>
      </c>
      <c r="CA568" s="212">
        <v>1</v>
      </c>
      <c r="CB568" s="211">
        <v>1</v>
      </c>
      <c r="CC568" s="211">
        <v>0</v>
      </c>
      <c r="CD568" s="211">
        <v>0</v>
      </c>
      <c r="CE568" s="210">
        <v>0</v>
      </c>
      <c r="CF568" s="210">
        <v>0</v>
      </c>
      <c r="CG568" s="210">
        <v>0</v>
      </c>
      <c r="CH568" s="209">
        <v>62</v>
      </c>
      <c r="CI568" s="139">
        <v>0</v>
      </c>
      <c r="CJ568" s="139" t="s">
        <v>2959</v>
      </c>
      <c r="CK568" s="139" t="s">
        <v>50</v>
      </c>
      <c r="CL568" s="139" t="s">
        <v>50</v>
      </c>
      <c r="CM568" s="139" t="s">
        <v>946</v>
      </c>
      <c r="CN568" s="139" t="s">
        <v>51</v>
      </c>
      <c r="CO568" s="139">
        <v>25.305008999999998</v>
      </c>
      <c r="CP568" s="139">
        <v>97.430321000000006</v>
      </c>
      <c r="CQ568" s="139" t="s">
        <v>1994</v>
      </c>
      <c r="CR568" s="660" t="s">
        <v>3209</v>
      </c>
      <c r="CS568" s="660"/>
      <c r="CT568" s="24"/>
      <c r="CU568" s="24"/>
      <c r="CV568" s="24"/>
    </row>
    <row r="569" spans="1:100" x14ac:dyDescent="0.25">
      <c r="A569" s="293" t="s">
        <v>2691</v>
      </c>
      <c r="B569" s="132" t="s">
        <v>389</v>
      </c>
      <c r="C569" s="132" t="s">
        <v>44</v>
      </c>
      <c r="D569" s="132" t="s">
        <v>288</v>
      </c>
      <c r="E569" s="132" t="s">
        <v>418</v>
      </c>
      <c r="F569" s="132">
        <v>103</v>
      </c>
      <c r="G569" s="214">
        <v>503</v>
      </c>
      <c r="H569" s="132"/>
      <c r="I569" s="132" t="s">
        <v>391</v>
      </c>
      <c r="J569" s="133">
        <v>42947</v>
      </c>
      <c r="K569" s="132">
        <v>0</v>
      </c>
      <c r="L569" s="132" t="s">
        <v>48</v>
      </c>
      <c r="M569" s="134">
        <v>1</v>
      </c>
      <c r="N569" s="134">
        <v>1</v>
      </c>
      <c r="O569" s="320">
        <v>2</v>
      </c>
      <c r="P569" s="326">
        <v>0</v>
      </c>
      <c r="Q569" s="326">
        <v>2000</v>
      </c>
      <c r="R569" s="315">
        <v>0</v>
      </c>
      <c r="S569" s="315">
        <v>2</v>
      </c>
      <c r="T569" s="315"/>
      <c r="U569" s="315">
        <v>2</v>
      </c>
      <c r="V569" s="315">
        <v>0</v>
      </c>
      <c r="W569" s="315">
        <v>4</v>
      </c>
      <c r="X569" s="315">
        <v>1</v>
      </c>
      <c r="Y569" s="315">
        <v>0</v>
      </c>
      <c r="Z569" s="315"/>
      <c r="AA569" s="336">
        <v>16</v>
      </c>
      <c r="AB569" s="336">
        <v>6</v>
      </c>
      <c r="AC569" s="337">
        <v>4</v>
      </c>
      <c r="AD569" s="337" t="s">
        <v>2782</v>
      </c>
      <c r="AE569" s="336">
        <v>16</v>
      </c>
      <c r="AF569" s="336" t="s">
        <v>283</v>
      </c>
      <c r="AG569" s="339" t="s">
        <v>283</v>
      </c>
      <c r="AH569" s="339">
        <v>0</v>
      </c>
      <c r="AI569" s="336">
        <v>0</v>
      </c>
      <c r="AJ569" s="336"/>
      <c r="AK569" s="848">
        <v>0.5</v>
      </c>
      <c r="AL569" s="842" t="s">
        <v>376</v>
      </c>
      <c r="AM569" s="836">
        <v>0</v>
      </c>
      <c r="AN569" s="837">
        <v>4</v>
      </c>
      <c r="AO569" s="837">
        <v>0</v>
      </c>
      <c r="AP569" s="843">
        <v>0</v>
      </c>
      <c r="AQ569" s="839">
        <v>0</v>
      </c>
      <c r="AR569" s="839"/>
      <c r="AS569" s="839"/>
      <c r="AT569" s="839">
        <v>1</v>
      </c>
      <c r="AU569" s="839"/>
      <c r="AV569" s="849"/>
      <c r="AW569" s="134">
        <v>0</v>
      </c>
      <c r="AX569" s="136">
        <v>0.25</v>
      </c>
      <c r="AY569" s="137" t="s">
        <v>2577</v>
      </c>
      <c r="AZ569" s="136">
        <v>1</v>
      </c>
      <c r="BA569" s="136">
        <v>1</v>
      </c>
      <c r="BB569" s="136">
        <v>1</v>
      </c>
      <c r="BC569" s="214">
        <v>503</v>
      </c>
      <c r="BD569" s="136">
        <v>0</v>
      </c>
      <c r="BE569" s="214">
        <v>0</v>
      </c>
      <c r="BF569" s="136">
        <v>1</v>
      </c>
      <c r="BG569" s="214">
        <v>503</v>
      </c>
      <c r="BH569" s="214">
        <v>1.006</v>
      </c>
      <c r="BI569" s="134">
        <v>0</v>
      </c>
      <c r="BJ569" s="214">
        <v>0</v>
      </c>
      <c r="BK569" s="137">
        <v>0</v>
      </c>
      <c r="BL569" s="137">
        <v>1</v>
      </c>
      <c r="BM569" s="137">
        <v>22</v>
      </c>
      <c r="BN569" s="134">
        <v>0.63618290258449306</v>
      </c>
      <c r="BO569" s="351">
        <v>320</v>
      </c>
      <c r="BP569" s="134">
        <v>0.11928429423459246</v>
      </c>
      <c r="BQ569" s="214">
        <v>3</v>
      </c>
      <c r="BR569" s="137">
        <v>25</v>
      </c>
      <c r="BS569" s="138">
        <v>0.27272727272727271</v>
      </c>
      <c r="BT569" s="351">
        <v>80</v>
      </c>
      <c r="BU569" s="214">
        <v>0</v>
      </c>
      <c r="BV569" s="214">
        <v>0</v>
      </c>
      <c r="BW569" s="214">
        <v>0</v>
      </c>
      <c r="BX569" s="214">
        <v>0</v>
      </c>
      <c r="BY569" s="214">
        <v>0</v>
      </c>
      <c r="BZ569" s="134">
        <v>0</v>
      </c>
      <c r="CA569" s="138">
        <v>1</v>
      </c>
      <c r="CB569" s="136">
        <v>0</v>
      </c>
      <c r="CC569" s="136">
        <v>0</v>
      </c>
      <c r="CD569" s="136">
        <v>0</v>
      </c>
      <c r="CE569" s="137">
        <v>0</v>
      </c>
      <c r="CF569" s="137">
        <v>0</v>
      </c>
      <c r="CG569" s="137">
        <v>0</v>
      </c>
      <c r="CH569" s="214">
        <v>51.5</v>
      </c>
      <c r="CI569" s="139" t="s">
        <v>48</v>
      </c>
      <c r="CJ569" s="139" t="s">
        <v>389</v>
      </c>
      <c r="CK569" s="139" t="s">
        <v>50</v>
      </c>
      <c r="CL569" s="139" t="s">
        <v>50</v>
      </c>
      <c r="CM569" s="139" t="s">
        <v>50</v>
      </c>
      <c r="CN569" s="139" t="s">
        <v>51</v>
      </c>
      <c r="CO569" s="139">
        <v>25.321710740740698</v>
      </c>
      <c r="CP569" s="139">
        <v>97.404195925926004</v>
      </c>
      <c r="CQ569" s="139" t="s">
        <v>1996</v>
      </c>
      <c r="CR569" s="449" t="s">
        <v>40</v>
      </c>
      <c r="CS569" s="449"/>
      <c r="CT569" s="24"/>
      <c r="CU569" s="24"/>
      <c r="CV569" s="24"/>
    </row>
    <row r="570" spans="1:100" x14ac:dyDescent="0.25">
      <c r="A570" s="293" t="s">
        <v>2691</v>
      </c>
      <c r="B570" s="206" t="s">
        <v>287</v>
      </c>
      <c r="C570" s="183" t="s">
        <v>44</v>
      </c>
      <c r="D570" s="183" t="s">
        <v>288</v>
      </c>
      <c r="E570" s="183" t="s">
        <v>321</v>
      </c>
      <c r="F570" s="132">
        <v>154</v>
      </c>
      <c r="G570" s="214">
        <v>903</v>
      </c>
      <c r="H570" s="132"/>
      <c r="I570" s="132" t="s">
        <v>296</v>
      </c>
      <c r="J570" s="133">
        <v>43465</v>
      </c>
      <c r="K570" s="132">
        <v>0</v>
      </c>
      <c r="L570" s="132" t="s">
        <v>48</v>
      </c>
      <c r="M570" s="134">
        <v>0.6</v>
      </c>
      <c r="N570" s="134">
        <v>0.5</v>
      </c>
      <c r="O570" s="320">
        <v>0</v>
      </c>
      <c r="P570" s="326">
        <v>0</v>
      </c>
      <c r="Q570" s="326">
        <v>116640</v>
      </c>
      <c r="R570" s="315">
        <v>0</v>
      </c>
      <c r="S570" s="315">
        <v>0</v>
      </c>
      <c r="T570" s="315"/>
      <c r="U570" s="315">
        <v>0</v>
      </c>
      <c r="V570" s="315">
        <v>0</v>
      </c>
      <c r="W570" s="315">
        <v>0</v>
      </c>
      <c r="X570" s="315">
        <v>0</v>
      </c>
      <c r="Y570" s="315">
        <v>0</v>
      </c>
      <c r="Z570" s="315"/>
      <c r="AA570" s="336">
        <v>50</v>
      </c>
      <c r="AB570" s="336">
        <v>0</v>
      </c>
      <c r="AC570" s="337">
        <v>0</v>
      </c>
      <c r="AD570" s="337"/>
      <c r="AE570" s="336">
        <v>0</v>
      </c>
      <c r="AF570" s="336" t="s">
        <v>283</v>
      </c>
      <c r="AG570" s="339" t="s">
        <v>283</v>
      </c>
      <c r="AH570" s="339"/>
      <c r="AI570" s="336"/>
      <c r="AJ570" s="336"/>
      <c r="AK570" s="848">
        <v>0.6</v>
      </c>
      <c r="AL570" s="836" t="s">
        <v>291</v>
      </c>
      <c r="AM570" s="836">
        <v>0</v>
      </c>
      <c r="AN570" s="837">
        <v>4</v>
      </c>
      <c r="AO570" s="837">
        <v>3</v>
      </c>
      <c r="AP570" s="843">
        <v>0</v>
      </c>
      <c r="AQ570" s="839">
        <v>0</v>
      </c>
      <c r="AR570" s="839"/>
      <c r="AS570" s="839"/>
      <c r="AT570" s="839"/>
      <c r="AU570" s="839"/>
      <c r="AV570" s="849"/>
      <c r="AW570" s="134" t="s">
        <v>3208</v>
      </c>
      <c r="AX570" s="136" t="s">
        <v>3208</v>
      </c>
      <c r="AY570" s="137" t="s">
        <v>2576</v>
      </c>
      <c r="AZ570" s="136">
        <v>1</v>
      </c>
      <c r="BA570" s="136">
        <v>1</v>
      </c>
      <c r="BB570" s="136">
        <v>1</v>
      </c>
      <c r="BC570" s="214">
        <v>903</v>
      </c>
      <c r="BD570" s="136">
        <v>0</v>
      </c>
      <c r="BE570" s="214">
        <v>0</v>
      </c>
      <c r="BF570" s="136">
        <v>1</v>
      </c>
      <c r="BG570" s="214">
        <v>903</v>
      </c>
      <c r="BH570" s="214">
        <v>1.806</v>
      </c>
      <c r="BI570" s="134">
        <v>0</v>
      </c>
      <c r="BJ570" s="214">
        <v>0</v>
      </c>
      <c r="BK570" s="137">
        <v>0.19399999999999995</v>
      </c>
      <c r="BL570" s="137">
        <v>2</v>
      </c>
      <c r="BM570" s="137">
        <v>50</v>
      </c>
      <c r="BN570" s="134">
        <v>1</v>
      </c>
      <c r="BO570" s="351">
        <v>903</v>
      </c>
      <c r="BP570" s="134">
        <v>0</v>
      </c>
      <c r="BQ570" s="214">
        <v>0</v>
      </c>
      <c r="BR570" s="137">
        <v>45</v>
      </c>
      <c r="BS570" s="138">
        <v>0</v>
      </c>
      <c r="BT570" s="351">
        <v>0</v>
      </c>
      <c r="BU570" s="214">
        <v>903</v>
      </c>
      <c r="BV570" s="214">
        <v>0</v>
      </c>
      <c r="BW570" s="214">
        <v>1</v>
      </c>
      <c r="BX570" s="214">
        <v>0</v>
      </c>
      <c r="BY570" s="214">
        <v>0</v>
      </c>
      <c r="BZ570" s="134">
        <v>0</v>
      </c>
      <c r="CA570" s="138">
        <v>1</v>
      </c>
      <c r="CB570" s="136">
        <v>1</v>
      </c>
      <c r="CC570" s="136">
        <v>0</v>
      </c>
      <c r="CD570" s="136">
        <v>0</v>
      </c>
      <c r="CE570" s="137">
        <v>0</v>
      </c>
      <c r="CF570" s="137">
        <v>0</v>
      </c>
      <c r="CG570" s="137">
        <v>0</v>
      </c>
      <c r="CH570" s="214">
        <v>92.399999999999991</v>
      </c>
      <c r="CI570" s="139" t="s">
        <v>48</v>
      </c>
      <c r="CJ570" s="139" t="s">
        <v>287</v>
      </c>
      <c r="CK570" s="139" t="s">
        <v>50</v>
      </c>
      <c r="CL570" s="139" t="s">
        <v>50</v>
      </c>
      <c r="CM570" s="139" t="s">
        <v>50</v>
      </c>
      <c r="CN570" s="139" t="s">
        <v>949</v>
      </c>
      <c r="CO570" s="139">
        <v>25.200333000000001</v>
      </c>
      <c r="CP570" s="139">
        <v>97.807182999999995</v>
      </c>
      <c r="CQ570" s="139" t="s">
        <v>1986</v>
      </c>
      <c r="CR570" s="449" t="s">
        <v>40</v>
      </c>
      <c r="CS570" s="449"/>
      <c r="CT570" s="24"/>
      <c r="CU570" s="24"/>
      <c r="CV570" s="24"/>
    </row>
    <row r="571" spans="1:100" x14ac:dyDescent="0.25">
      <c r="A571" s="293" t="s">
        <v>2691</v>
      </c>
      <c r="B571" s="206" t="s">
        <v>338</v>
      </c>
      <c r="C571" s="183" t="s">
        <v>44</v>
      </c>
      <c r="D571" s="183" t="s">
        <v>288</v>
      </c>
      <c r="E571" s="206" t="s">
        <v>370</v>
      </c>
      <c r="F571" s="206">
        <v>144</v>
      </c>
      <c r="G571" s="209">
        <v>862</v>
      </c>
      <c r="H571" s="206"/>
      <c r="I571" s="206" t="s">
        <v>364</v>
      </c>
      <c r="J571" s="207">
        <v>43281</v>
      </c>
      <c r="K571" s="206">
        <v>0</v>
      </c>
      <c r="L571" s="206" t="s">
        <v>48</v>
      </c>
      <c r="M571" s="208">
        <v>0.5</v>
      </c>
      <c r="N571" s="208">
        <v>0.5</v>
      </c>
      <c r="O571" s="316">
        <v>0</v>
      </c>
      <c r="P571" s="317">
        <v>0</v>
      </c>
      <c r="Q571" s="317">
        <v>5172</v>
      </c>
      <c r="R571" s="318">
        <v>0</v>
      </c>
      <c r="S571" s="318">
        <v>0</v>
      </c>
      <c r="T571" s="318"/>
      <c r="U571" s="318"/>
      <c r="V571" s="318"/>
      <c r="W571" s="318"/>
      <c r="X571" s="318"/>
      <c r="Y571" s="318"/>
      <c r="Z571" s="318">
        <v>0</v>
      </c>
      <c r="AA571" s="310">
        <v>20</v>
      </c>
      <c r="AB571" s="310">
        <v>0</v>
      </c>
      <c r="AC571" s="66"/>
      <c r="AD571" s="337"/>
      <c r="AE571" s="310">
        <v>0</v>
      </c>
      <c r="AF571" s="310" t="s">
        <v>283</v>
      </c>
      <c r="AG571" s="311" t="s">
        <v>283</v>
      </c>
      <c r="AH571" s="311"/>
      <c r="AI571" s="310"/>
      <c r="AJ571" s="310">
        <v>0</v>
      </c>
      <c r="AK571" s="841">
        <v>1</v>
      </c>
      <c r="AL571" s="842" t="s">
        <v>376</v>
      </c>
      <c r="AM571" s="842">
        <v>0</v>
      </c>
      <c r="AN571" s="837">
        <v>0</v>
      </c>
      <c r="AO571" s="837">
        <v>0</v>
      </c>
      <c r="AP571" s="843"/>
      <c r="AQ571" s="843"/>
      <c r="AR571" s="843"/>
      <c r="AS571" s="843"/>
      <c r="AT571" s="843"/>
      <c r="AU571" s="843"/>
      <c r="AV571" s="844">
        <v>0</v>
      </c>
      <c r="AW571" s="208" t="s">
        <v>3208</v>
      </c>
      <c r="AX571" s="211" t="s">
        <v>3208</v>
      </c>
      <c r="AY571" s="210" t="s">
        <v>2576</v>
      </c>
      <c r="AZ571" s="211">
        <v>0.4</v>
      </c>
      <c r="BA571" s="211">
        <v>0.4</v>
      </c>
      <c r="BB571" s="211">
        <v>0.4</v>
      </c>
      <c r="BC571" s="209">
        <v>344.8</v>
      </c>
      <c r="BD571" s="211">
        <v>0</v>
      </c>
      <c r="BE571" s="209">
        <v>0</v>
      </c>
      <c r="BF571" s="211">
        <v>0.4</v>
      </c>
      <c r="BG571" s="209">
        <v>344.8</v>
      </c>
      <c r="BH571" s="214">
        <v>1</v>
      </c>
      <c r="BI571" s="208">
        <v>0.6</v>
      </c>
      <c r="BJ571" s="209">
        <v>517.19999999999993</v>
      </c>
      <c r="BK571" s="210">
        <v>1</v>
      </c>
      <c r="BL571" s="210">
        <v>2</v>
      </c>
      <c r="BM571" s="210">
        <v>20</v>
      </c>
      <c r="BN571" s="208">
        <v>0.46403712296983757</v>
      </c>
      <c r="BO571" s="352">
        <v>400</v>
      </c>
      <c r="BP571" s="208">
        <v>0.53364269141531318</v>
      </c>
      <c r="BQ571" s="209">
        <v>23</v>
      </c>
      <c r="BR571" s="210">
        <v>43</v>
      </c>
      <c r="BS571" s="212">
        <v>0</v>
      </c>
      <c r="BT571" s="352">
        <v>0</v>
      </c>
      <c r="BU571" s="209">
        <v>0</v>
      </c>
      <c r="BV571" s="209">
        <v>0</v>
      </c>
      <c r="BW571" s="209">
        <v>0</v>
      </c>
      <c r="BX571" s="209">
        <v>0</v>
      </c>
      <c r="BY571" s="209">
        <v>0</v>
      </c>
      <c r="BZ571" s="208">
        <v>0</v>
      </c>
      <c r="CA571" s="212">
        <v>1</v>
      </c>
      <c r="CB571" s="211">
        <v>0</v>
      </c>
      <c r="CC571" s="211">
        <v>0</v>
      </c>
      <c r="CD571" s="211">
        <v>0</v>
      </c>
      <c r="CE571" s="210">
        <v>0</v>
      </c>
      <c r="CF571" s="210">
        <v>0</v>
      </c>
      <c r="CG571" s="210">
        <v>0</v>
      </c>
      <c r="CH571" s="209">
        <v>144</v>
      </c>
      <c r="CI571" s="139">
        <v>0</v>
      </c>
      <c r="CJ571" s="139" t="s">
        <v>2959</v>
      </c>
      <c r="CK571" s="139" t="s">
        <v>50</v>
      </c>
      <c r="CL571" s="139" t="s">
        <v>50</v>
      </c>
      <c r="CM571" s="139" t="s">
        <v>1198</v>
      </c>
      <c r="CN571" s="139" t="s">
        <v>949</v>
      </c>
      <c r="CO571" s="139">
        <v>24.752471</v>
      </c>
      <c r="CP571" s="139">
        <v>97.541793999999996</v>
      </c>
      <c r="CQ571" s="139" t="s">
        <v>1974</v>
      </c>
      <c r="CR571" s="660" t="s">
        <v>40</v>
      </c>
      <c r="CS571" s="660"/>
      <c r="CT571" s="24"/>
      <c r="CU571" s="24"/>
      <c r="CV571" s="24"/>
    </row>
    <row r="572" spans="1:100" x14ac:dyDescent="0.25">
      <c r="A572" s="293" t="s">
        <v>2691</v>
      </c>
      <c r="B572" s="183" t="s">
        <v>287</v>
      </c>
      <c r="C572" s="183" t="s">
        <v>44</v>
      </c>
      <c r="D572" s="183" t="s">
        <v>288</v>
      </c>
      <c r="E572" s="183" t="s">
        <v>322</v>
      </c>
      <c r="F572" s="132">
        <v>31</v>
      </c>
      <c r="G572" s="214">
        <v>178</v>
      </c>
      <c r="H572" s="132"/>
      <c r="I572" s="132" t="s">
        <v>290</v>
      </c>
      <c r="J572" s="133">
        <v>43555</v>
      </c>
      <c r="K572" s="132">
        <v>0</v>
      </c>
      <c r="L572" s="132" t="s">
        <v>48</v>
      </c>
      <c r="M572" s="134">
        <v>0.6</v>
      </c>
      <c r="N572" s="134">
        <v>0.5</v>
      </c>
      <c r="O572" s="320">
        <v>2</v>
      </c>
      <c r="P572" s="326">
        <v>1</v>
      </c>
      <c r="Q572" s="326">
        <v>0</v>
      </c>
      <c r="R572" s="315">
        <v>0</v>
      </c>
      <c r="S572" s="315">
        <v>0</v>
      </c>
      <c r="T572" s="315"/>
      <c r="U572" s="315">
        <v>0</v>
      </c>
      <c r="V572" s="315">
        <v>0</v>
      </c>
      <c r="W572" s="315">
        <v>0</v>
      </c>
      <c r="X572" s="315">
        <v>0</v>
      </c>
      <c r="Y572" s="315">
        <v>0</v>
      </c>
      <c r="Z572" s="315"/>
      <c r="AA572" s="336">
        <v>6</v>
      </c>
      <c r="AB572" s="336">
        <v>0</v>
      </c>
      <c r="AC572" s="337">
        <v>0</v>
      </c>
      <c r="AD572" s="337"/>
      <c r="AE572" s="336">
        <v>0</v>
      </c>
      <c r="AF572" s="336" t="s">
        <v>283</v>
      </c>
      <c r="AG572" s="339" t="s">
        <v>1358</v>
      </c>
      <c r="AH572" s="339"/>
      <c r="AI572" s="336"/>
      <c r="AJ572" s="336"/>
      <c r="AK572" s="848">
        <v>0.6</v>
      </c>
      <c r="AL572" s="836" t="s">
        <v>291</v>
      </c>
      <c r="AM572" s="836">
        <v>0</v>
      </c>
      <c r="AN572" s="837">
        <v>3</v>
      </c>
      <c r="AO572" s="837">
        <v>1</v>
      </c>
      <c r="AP572" s="843">
        <v>0</v>
      </c>
      <c r="AQ572" s="839">
        <v>0</v>
      </c>
      <c r="AR572" s="839"/>
      <c r="AS572" s="839"/>
      <c r="AT572" s="839"/>
      <c r="AU572" s="839"/>
      <c r="AV572" s="849"/>
      <c r="AW572" s="134" t="s">
        <v>3208</v>
      </c>
      <c r="AX572" s="136" t="s">
        <v>3208</v>
      </c>
      <c r="AY572" s="137" t="s">
        <v>2576</v>
      </c>
      <c r="AZ572" s="136">
        <v>1</v>
      </c>
      <c r="BA572" s="136">
        <v>1</v>
      </c>
      <c r="BB572" s="136">
        <v>1</v>
      </c>
      <c r="BC572" s="214">
        <v>178</v>
      </c>
      <c r="BD572" s="136">
        <v>0</v>
      </c>
      <c r="BE572" s="214">
        <v>0</v>
      </c>
      <c r="BF572" s="136">
        <v>1</v>
      </c>
      <c r="BG572" s="214">
        <v>178</v>
      </c>
      <c r="BH572" s="214">
        <v>0.35599999999999998</v>
      </c>
      <c r="BI572" s="134">
        <v>0</v>
      </c>
      <c r="BJ572" s="214">
        <v>0</v>
      </c>
      <c r="BK572" s="137">
        <v>0.64400000000000002</v>
      </c>
      <c r="BL572" s="137">
        <v>1</v>
      </c>
      <c r="BM572" s="137">
        <v>6</v>
      </c>
      <c r="BN572" s="134">
        <v>0.6741573033707865</v>
      </c>
      <c r="BO572" s="351">
        <v>120</v>
      </c>
      <c r="BP572" s="134">
        <v>0.33707865168539325</v>
      </c>
      <c r="BQ572" s="214">
        <v>3</v>
      </c>
      <c r="BR572" s="137">
        <v>9</v>
      </c>
      <c r="BS572" s="138">
        <v>0</v>
      </c>
      <c r="BT572" s="351">
        <v>0</v>
      </c>
      <c r="BU572" s="214">
        <v>178</v>
      </c>
      <c r="BV572" s="214">
        <v>0</v>
      </c>
      <c r="BW572" s="214">
        <v>1</v>
      </c>
      <c r="BX572" s="214">
        <v>0</v>
      </c>
      <c r="BY572" s="214">
        <v>0</v>
      </c>
      <c r="BZ572" s="134">
        <v>0</v>
      </c>
      <c r="CA572" s="138">
        <v>1</v>
      </c>
      <c r="CB572" s="136">
        <v>1</v>
      </c>
      <c r="CC572" s="136">
        <v>0</v>
      </c>
      <c r="CD572" s="136">
        <v>0</v>
      </c>
      <c r="CE572" s="137">
        <v>0</v>
      </c>
      <c r="CF572" s="137">
        <v>0</v>
      </c>
      <c r="CG572" s="137">
        <v>0</v>
      </c>
      <c r="CH572" s="214">
        <v>18.599999999999998</v>
      </c>
      <c r="CI572" s="139" t="s">
        <v>48</v>
      </c>
      <c r="CJ572" s="139" t="s">
        <v>287</v>
      </c>
      <c r="CK572" s="139" t="s">
        <v>50</v>
      </c>
      <c r="CL572" s="139" t="s">
        <v>50</v>
      </c>
      <c r="CM572" s="139" t="s">
        <v>50</v>
      </c>
      <c r="CN572" s="139" t="s">
        <v>51</v>
      </c>
      <c r="CO572" s="139">
        <v>25.356632000000001</v>
      </c>
      <c r="CP572" s="139">
        <v>97.451965000000001</v>
      </c>
      <c r="CQ572" s="139" t="s">
        <v>2006</v>
      </c>
      <c r="CR572" s="449" t="s">
        <v>40</v>
      </c>
      <c r="CS572" s="449"/>
      <c r="CT572" s="24"/>
      <c r="CU572" s="24"/>
      <c r="CV572" s="24"/>
    </row>
    <row r="573" spans="1:100" x14ac:dyDescent="0.25">
      <c r="A573" s="293" t="s">
        <v>2691</v>
      </c>
      <c r="B573" s="132" t="s">
        <v>287</v>
      </c>
      <c r="C573" s="132" t="s">
        <v>44</v>
      </c>
      <c r="D573" s="132" t="s">
        <v>288</v>
      </c>
      <c r="E573" s="132" t="s">
        <v>323</v>
      </c>
      <c r="F573" s="132">
        <v>440</v>
      </c>
      <c r="G573" s="214">
        <v>1723</v>
      </c>
      <c r="H573" s="132"/>
      <c r="I573" s="132" t="s">
        <v>290</v>
      </c>
      <c r="J573" s="133">
        <v>43555</v>
      </c>
      <c r="K573" s="132">
        <v>0</v>
      </c>
      <c r="L573" s="132" t="s">
        <v>48</v>
      </c>
      <c r="M573" s="134">
        <v>0.6</v>
      </c>
      <c r="N573" s="134">
        <v>0.5</v>
      </c>
      <c r="O573" s="320">
        <v>0</v>
      </c>
      <c r="P573" s="326">
        <v>0</v>
      </c>
      <c r="Q573" s="326">
        <v>349920</v>
      </c>
      <c r="R573" s="315">
        <v>0</v>
      </c>
      <c r="S573" s="315">
        <v>0</v>
      </c>
      <c r="T573" s="315"/>
      <c r="U573" s="315">
        <v>0</v>
      </c>
      <c r="V573" s="315">
        <v>0</v>
      </c>
      <c r="W573" s="315">
        <v>0</v>
      </c>
      <c r="X573" s="315">
        <v>0</v>
      </c>
      <c r="Y573" s="315">
        <v>0</v>
      </c>
      <c r="Z573" s="315"/>
      <c r="AA573" s="336">
        <v>500</v>
      </c>
      <c r="AB573" s="336">
        <v>0</v>
      </c>
      <c r="AC573" s="337">
        <v>0</v>
      </c>
      <c r="AD573" s="337"/>
      <c r="AE573" s="336">
        <v>0</v>
      </c>
      <c r="AF573" s="336" t="s">
        <v>283</v>
      </c>
      <c r="AG573" s="339" t="s">
        <v>283</v>
      </c>
      <c r="AH573" s="339"/>
      <c r="AI573" s="336"/>
      <c r="AJ573" s="336"/>
      <c r="AK573" s="848">
        <v>0.6</v>
      </c>
      <c r="AL573" s="836" t="s">
        <v>284</v>
      </c>
      <c r="AM573" s="836">
        <v>0</v>
      </c>
      <c r="AN573" s="837">
        <v>12</v>
      </c>
      <c r="AO573" s="837">
        <v>6</v>
      </c>
      <c r="AP573" s="843">
        <v>0</v>
      </c>
      <c r="AQ573" s="839">
        <v>0</v>
      </c>
      <c r="AR573" s="839"/>
      <c r="AS573" s="839"/>
      <c r="AT573" s="839"/>
      <c r="AU573" s="839"/>
      <c r="AV573" s="849"/>
      <c r="AW573" s="134" t="s">
        <v>3208</v>
      </c>
      <c r="AX573" s="136" t="s">
        <v>3208</v>
      </c>
      <c r="AY573" s="137" t="s">
        <v>2576</v>
      </c>
      <c r="AZ573" s="136">
        <v>1</v>
      </c>
      <c r="BA573" s="136">
        <v>1</v>
      </c>
      <c r="BB573" s="136">
        <v>1</v>
      </c>
      <c r="BC573" s="214">
        <v>1723</v>
      </c>
      <c r="BD573" s="136">
        <v>0</v>
      </c>
      <c r="BE573" s="214">
        <v>0</v>
      </c>
      <c r="BF573" s="136">
        <v>1</v>
      </c>
      <c r="BG573" s="214">
        <v>1723</v>
      </c>
      <c r="BH573" s="214">
        <v>3.4460000000000002</v>
      </c>
      <c r="BI573" s="134">
        <v>0</v>
      </c>
      <c r="BJ573" s="214">
        <v>0</v>
      </c>
      <c r="BK573" s="137">
        <v>0</v>
      </c>
      <c r="BL573" s="137">
        <v>3</v>
      </c>
      <c r="BM573" s="137">
        <v>500</v>
      </c>
      <c r="BN573" s="134">
        <v>1</v>
      </c>
      <c r="BO573" s="351">
        <v>1723</v>
      </c>
      <c r="BP573" s="134">
        <v>0</v>
      </c>
      <c r="BQ573" s="214">
        <v>0</v>
      </c>
      <c r="BR573" s="137">
        <v>287</v>
      </c>
      <c r="BS573" s="138">
        <v>0</v>
      </c>
      <c r="BT573" s="351">
        <v>0</v>
      </c>
      <c r="BU573" s="214">
        <v>1723</v>
      </c>
      <c r="BV573" s="214">
        <v>0</v>
      </c>
      <c r="BW573" s="214">
        <v>1</v>
      </c>
      <c r="BX573" s="214">
        <v>0</v>
      </c>
      <c r="BY573" s="214">
        <v>0</v>
      </c>
      <c r="BZ573" s="134">
        <v>0</v>
      </c>
      <c r="CA573" s="138">
        <v>1</v>
      </c>
      <c r="CB573" s="136">
        <v>1</v>
      </c>
      <c r="CC573" s="136">
        <v>0</v>
      </c>
      <c r="CD573" s="136">
        <v>0</v>
      </c>
      <c r="CE573" s="137">
        <v>0</v>
      </c>
      <c r="CF573" s="137">
        <v>0</v>
      </c>
      <c r="CG573" s="137">
        <v>0</v>
      </c>
      <c r="CH573" s="214">
        <v>264</v>
      </c>
      <c r="CI573" s="139" t="s">
        <v>48</v>
      </c>
      <c r="CJ573" s="139" t="s">
        <v>1539</v>
      </c>
      <c r="CK573" s="139" t="s">
        <v>50</v>
      </c>
      <c r="CL573" s="139" t="s">
        <v>1139</v>
      </c>
      <c r="CM573" s="139" t="s">
        <v>50</v>
      </c>
      <c r="CN573" s="139" t="s">
        <v>949</v>
      </c>
      <c r="CO573" s="139">
        <v>24.980250000000002</v>
      </c>
      <c r="CP573" s="139">
        <v>97.715230000000005</v>
      </c>
      <c r="CQ573" s="139" t="s">
        <v>1980</v>
      </c>
      <c r="CR573" s="449" t="s">
        <v>40</v>
      </c>
      <c r="CS573" s="449"/>
      <c r="CT573" s="24"/>
      <c r="CU573" s="24"/>
      <c r="CV573" s="24"/>
    </row>
    <row r="574" spans="1:100" x14ac:dyDescent="0.25">
      <c r="A574" s="293" t="s">
        <v>2691</v>
      </c>
      <c r="B574" s="132" t="s">
        <v>389</v>
      </c>
      <c r="C574" s="132" t="s">
        <v>44</v>
      </c>
      <c r="D574" s="132" t="s">
        <v>288</v>
      </c>
      <c r="E574" s="132" t="s">
        <v>419</v>
      </c>
      <c r="F574" s="132">
        <v>333</v>
      </c>
      <c r="G574" s="214">
        <v>1801</v>
      </c>
      <c r="H574" s="132"/>
      <c r="I574" s="132" t="s">
        <v>391</v>
      </c>
      <c r="J574" s="133">
        <v>42947</v>
      </c>
      <c r="K574" s="132">
        <v>0</v>
      </c>
      <c r="L574" s="132" t="s">
        <v>48</v>
      </c>
      <c r="M574" s="134">
        <v>0.69</v>
      </c>
      <c r="N574" s="134">
        <v>1</v>
      </c>
      <c r="O574" s="320">
        <v>4</v>
      </c>
      <c r="P574" s="326">
        <v>3</v>
      </c>
      <c r="Q574" s="326">
        <v>4000</v>
      </c>
      <c r="R574" s="315">
        <v>0</v>
      </c>
      <c r="S574" s="315">
        <v>4</v>
      </c>
      <c r="T574" s="315"/>
      <c r="U574" s="315">
        <v>5</v>
      </c>
      <c r="V574" s="315">
        <v>0</v>
      </c>
      <c r="W574" s="315">
        <v>12</v>
      </c>
      <c r="X574" s="315">
        <v>1</v>
      </c>
      <c r="Y574" s="315">
        <v>0</v>
      </c>
      <c r="Z574" s="315"/>
      <c r="AA574" s="336">
        <v>29</v>
      </c>
      <c r="AB574" s="336">
        <v>6</v>
      </c>
      <c r="AC574" s="337">
        <v>9</v>
      </c>
      <c r="AD574" s="337" t="s">
        <v>2782</v>
      </c>
      <c r="AE574" s="336">
        <v>29</v>
      </c>
      <c r="AF574" s="336" t="s">
        <v>283</v>
      </c>
      <c r="AG574" s="339" t="s">
        <v>283</v>
      </c>
      <c r="AH574" s="339">
        <v>0</v>
      </c>
      <c r="AI574" s="336">
        <v>0</v>
      </c>
      <c r="AJ574" s="336"/>
      <c r="AK574" s="848">
        <v>0.5</v>
      </c>
      <c r="AL574" s="842" t="s">
        <v>376</v>
      </c>
      <c r="AM574" s="836">
        <v>0</v>
      </c>
      <c r="AN574" s="837">
        <v>7</v>
      </c>
      <c r="AO574" s="837">
        <v>0</v>
      </c>
      <c r="AP574" s="843">
        <v>0</v>
      </c>
      <c r="AQ574" s="839">
        <v>0</v>
      </c>
      <c r="AR574" s="839"/>
      <c r="AS574" s="839"/>
      <c r="AT574" s="839">
        <v>1</v>
      </c>
      <c r="AU574" s="839"/>
      <c r="AV574" s="849"/>
      <c r="AW574" s="134">
        <v>0</v>
      </c>
      <c r="AX574" s="136">
        <v>8.3333333333333329E-2</v>
      </c>
      <c r="AY574" s="137" t="s">
        <v>2577</v>
      </c>
      <c r="AZ574" s="136">
        <v>1</v>
      </c>
      <c r="BA574" s="136">
        <v>1</v>
      </c>
      <c r="BB574" s="136">
        <v>1</v>
      </c>
      <c r="BC574" s="214">
        <v>1801</v>
      </c>
      <c r="BD574" s="136">
        <v>0</v>
      </c>
      <c r="BE574" s="214">
        <v>0</v>
      </c>
      <c r="BF574" s="136">
        <v>1</v>
      </c>
      <c r="BG574" s="214">
        <v>1801</v>
      </c>
      <c r="BH574" s="214">
        <v>3.6019999999999999</v>
      </c>
      <c r="BI574" s="134">
        <v>0</v>
      </c>
      <c r="BJ574" s="214">
        <v>0</v>
      </c>
      <c r="BK574" s="137">
        <v>0.39800000000000013</v>
      </c>
      <c r="BL574" s="137">
        <v>4</v>
      </c>
      <c r="BM574" s="137">
        <v>35</v>
      </c>
      <c r="BN574" s="134">
        <v>0.32204330927262631</v>
      </c>
      <c r="BO574" s="351">
        <v>580</v>
      </c>
      <c r="BP574" s="134">
        <v>0.61077179344808441</v>
      </c>
      <c r="BQ574" s="214">
        <v>55</v>
      </c>
      <c r="BR574" s="137">
        <v>90</v>
      </c>
      <c r="BS574" s="138">
        <v>0.17142857142857143</v>
      </c>
      <c r="BT574" s="351">
        <v>180</v>
      </c>
      <c r="BU574" s="214">
        <v>0</v>
      </c>
      <c r="BV574" s="214">
        <v>0</v>
      </c>
      <c r="BW574" s="214">
        <v>0</v>
      </c>
      <c r="BX574" s="214">
        <v>0</v>
      </c>
      <c r="BY574" s="214">
        <v>0</v>
      </c>
      <c r="BZ574" s="134">
        <v>0</v>
      </c>
      <c r="CA574" s="138">
        <v>1</v>
      </c>
      <c r="CB574" s="136">
        <v>0</v>
      </c>
      <c r="CC574" s="136">
        <v>0</v>
      </c>
      <c r="CD574" s="136">
        <v>0</v>
      </c>
      <c r="CE574" s="137">
        <v>0</v>
      </c>
      <c r="CF574" s="137">
        <v>0</v>
      </c>
      <c r="CG574" s="137">
        <v>0</v>
      </c>
      <c r="CH574" s="214">
        <v>166.5</v>
      </c>
      <c r="CI574" s="139" t="s">
        <v>48</v>
      </c>
      <c r="CJ574" s="139" t="s">
        <v>389</v>
      </c>
      <c r="CK574" s="139" t="s">
        <v>50</v>
      </c>
      <c r="CL574" s="139" t="s">
        <v>50</v>
      </c>
      <c r="CM574" s="139" t="s">
        <v>50</v>
      </c>
      <c r="CN574" s="139" t="s">
        <v>51</v>
      </c>
      <c r="CO574" s="139">
        <v>25.424529444444399</v>
      </c>
      <c r="CP574" s="139">
        <v>97.433419259259296</v>
      </c>
      <c r="CQ574" s="139" t="s">
        <v>2032</v>
      </c>
      <c r="CR574" s="449" t="s">
        <v>40</v>
      </c>
      <c r="CS574" s="449"/>
      <c r="CT574" s="24"/>
      <c r="CU574" s="24"/>
      <c r="CV574" s="24"/>
    </row>
    <row r="575" spans="1:100" x14ac:dyDescent="0.25">
      <c r="A575" s="293" t="s">
        <v>2691</v>
      </c>
      <c r="B575" s="132" t="s">
        <v>43</v>
      </c>
      <c r="C575" s="132" t="s">
        <v>44</v>
      </c>
      <c r="D575" s="132" t="s">
        <v>288</v>
      </c>
      <c r="E575" s="132" t="s">
        <v>384</v>
      </c>
      <c r="F575" s="132">
        <v>284</v>
      </c>
      <c r="G575" s="214">
        <v>1492</v>
      </c>
      <c r="H575" s="132"/>
      <c r="I575" s="132" t="s">
        <v>372</v>
      </c>
      <c r="J575" s="133">
        <v>43465</v>
      </c>
      <c r="K575" s="132">
        <v>0</v>
      </c>
      <c r="L575" s="132" t="s">
        <v>2452</v>
      </c>
      <c r="M575" s="134">
        <v>0.6</v>
      </c>
      <c r="N575" s="134">
        <v>0.2</v>
      </c>
      <c r="O575" s="320">
        <v>10</v>
      </c>
      <c r="P575" s="326">
        <v>5</v>
      </c>
      <c r="Q575" s="326">
        <v>12000</v>
      </c>
      <c r="R575" s="315">
        <v>0</v>
      </c>
      <c r="S575" s="315">
        <v>10</v>
      </c>
      <c r="T575" s="315"/>
      <c r="U575" s="315">
        <v>10</v>
      </c>
      <c r="V575" s="315">
        <v>1</v>
      </c>
      <c r="W575" s="315">
        <v>9</v>
      </c>
      <c r="X575" s="315">
        <v>2</v>
      </c>
      <c r="Y575" s="315">
        <v>0</v>
      </c>
      <c r="Z575" s="315" t="s">
        <v>2478</v>
      </c>
      <c r="AA575" s="336">
        <v>87</v>
      </c>
      <c r="AB575" s="336">
        <v>0</v>
      </c>
      <c r="AC575" s="337">
        <v>0</v>
      </c>
      <c r="AD575" s="337"/>
      <c r="AE575" s="336">
        <v>40</v>
      </c>
      <c r="AF575" s="336" t="s">
        <v>283</v>
      </c>
      <c r="AG575" s="339" t="s">
        <v>283</v>
      </c>
      <c r="AH575" s="339">
        <v>0</v>
      </c>
      <c r="AI575" s="336">
        <v>0</v>
      </c>
      <c r="AJ575" s="336"/>
      <c r="AK575" s="848">
        <v>0</v>
      </c>
      <c r="AL575" s="842" t="s">
        <v>376</v>
      </c>
      <c r="AM575" s="836">
        <v>0</v>
      </c>
      <c r="AN575" s="837">
        <v>6</v>
      </c>
      <c r="AO575" s="837">
        <v>4</v>
      </c>
      <c r="AP575" s="843">
        <v>0</v>
      </c>
      <c r="AQ575" s="839">
        <v>0</v>
      </c>
      <c r="AR575" s="839" t="s">
        <v>282</v>
      </c>
      <c r="AS575" s="839"/>
      <c r="AT575" s="839"/>
      <c r="AU575" s="839"/>
      <c r="AV575" s="849"/>
      <c r="AW575" s="134">
        <v>0.1</v>
      </c>
      <c r="AX575" s="136">
        <v>0.22222222222222221</v>
      </c>
      <c r="AY575" s="137" t="s">
        <v>2577</v>
      </c>
      <c r="AZ575" s="136">
        <v>1</v>
      </c>
      <c r="BA575" s="136">
        <v>1</v>
      </c>
      <c r="BB575" s="136">
        <v>1</v>
      </c>
      <c r="BC575" s="214">
        <v>1492</v>
      </c>
      <c r="BD575" s="136">
        <v>0</v>
      </c>
      <c r="BE575" s="214">
        <v>0</v>
      </c>
      <c r="BF575" s="136">
        <v>1</v>
      </c>
      <c r="BG575" s="214">
        <v>1492</v>
      </c>
      <c r="BH575" s="214">
        <v>2.984</v>
      </c>
      <c r="BI575" s="134">
        <v>0</v>
      </c>
      <c r="BJ575" s="214">
        <v>0</v>
      </c>
      <c r="BK575" s="137">
        <v>1.6000000000000014E-2</v>
      </c>
      <c r="BL575" s="137">
        <v>3</v>
      </c>
      <c r="BM575" s="137">
        <v>87</v>
      </c>
      <c r="BN575" s="134">
        <v>1</v>
      </c>
      <c r="BO575" s="351">
        <v>1492</v>
      </c>
      <c r="BP575" s="134">
        <v>0</v>
      </c>
      <c r="BQ575" s="214">
        <v>0</v>
      </c>
      <c r="BR575" s="137">
        <v>75</v>
      </c>
      <c r="BS575" s="138">
        <v>0</v>
      </c>
      <c r="BT575" s="351">
        <v>0</v>
      </c>
      <c r="BU575" s="214">
        <v>1492</v>
      </c>
      <c r="BV575" s="214">
        <v>0</v>
      </c>
      <c r="BW575" s="214">
        <v>1</v>
      </c>
      <c r="BX575" s="214">
        <v>0</v>
      </c>
      <c r="BY575" s="214">
        <v>0</v>
      </c>
      <c r="BZ575" s="134">
        <v>0</v>
      </c>
      <c r="CA575" s="138">
        <v>1</v>
      </c>
      <c r="CB575" s="136">
        <v>1</v>
      </c>
      <c r="CC575" s="136">
        <v>0</v>
      </c>
      <c r="CD575" s="136">
        <v>0</v>
      </c>
      <c r="CE575" s="137">
        <v>0</v>
      </c>
      <c r="CF575" s="137">
        <v>0</v>
      </c>
      <c r="CG575" s="137">
        <v>0</v>
      </c>
      <c r="CH575" s="214">
        <v>0</v>
      </c>
      <c r="CI575" s="139" t="s">
        <v>48</v>
      </c>
      <c r="CJ575" s="139" t="s">
        <v>1539</v>
      </c>
      <c r="CK575" s="139" t="s">
        <v>50</v>
      </c>
      <c r="CL575" s="139" t="s">
        <v>50</v>
      </c>
      <c r="CM575" s="139" t="s">
        <v>50</v>
      </c>
      <c r="CN575" s="139" t="s">
        <v>51</v>
      </c>
      <c r="CO575" s="139">
        <v>25.415667500000001</v>
      </c>
      <c r="CP575" s="139">
        <v>97.437782499999997</v>
      </c>
      <c r="CQ575" s="139" t="s">
        <v>2026</v>
      </c>
      <c r="CR575" s="449" t="s">
        <v>40</v>
      </c>
      <c r="CS575" s="449"/>
      <c r="CT575" s="24"/>
      <c r="CU575" s="24"/>
      <c r="CV575" s="24"/>
    </row>
    <row r="576" spans="1:100" x14ac:dyDescent="0.25">
      <c r="A576" s="293" t="s">
        <v>2691</v>
      </c>
      <c r="B576" s="132" t="s">
        <v>287</v>
      </c>
      <c r="C576" s="132" t="s">
        <v>44</v>
      </c>
      <c r="D576" s="132" t="s">
        <v>288</v>
      </c>
      <c r="E576" s="132" t="s">
        <v>324</v>
      </c>
      <c r="F576" s="132">
        <v>499</v>
      </c>
      <c r="G576" s="214">
        <v>2551</v>
      </c>
      <c r="H576" s="132"/>
      <c r="I576" s="132" t="s">
        <v>290</v>
      </c>
      <c r="J576" s="133">
        <v>43555</v>
      </c>
      <c r="K576" s="132">
        <v>0</v>
      </c>
      <c r="L576" s="132" t="s">
        <v>48</v>
      </c>
      <c r="M576" s="134">
        <v>0.6</v>
      </c>
      <c r="N576" s="134">
        <v>0.5</v>
      </c>
      <c r="O576" s="320">
        <v>9</v>
      </c>
      <c r="P576" s="326">
        <v>0</v>
      </c>
      <c r="Q576" s="326">
        <v>0</v>
      </c>
      <c r="R576" s="315">
        <v>0</v>
      </c>
      <c r="S576" s="315">
        <v>0</v>
      </c>
      <c r="T576" s="315"/>
      <c r="U576" s="315">
        <v>0</v>
      </c>
      <c r="V576" s="315">
        <v>0</v>
      </c>
      <c r="W576" s="315">
        <v>0</v>
      </c>
      <c r="X576" s="315">
        <v>0</v>
      </c>
      <c r="Y576" s="315">
        <v>0</v>
      </c>
      <c r="Z576" s="315"/>
      <c r="AA576" s="336">
        <v>130</v>
      </c>
      <c r="AB576" s="336">
        <v>0</v>
      </c>
      <c r="AC576" s="337">
        <v>0</v>
      </c>
      <c r="AD576" s="337"/>
      <c r="AE576" s="336">
        <v>0</v>
      </c>
      <c r="AF576" s="336" t="s">
        <v>283</v>
      </c>
      <c r="AG576" s="339" t="s">
        <v>283</v>
      </c>
      <c r="AH576" s="339"/>
      <c r="AI576" s="336"/>
      <c r="AJ576" s="336"/>
      <c r="AK576" s="848">
        <v>0.6</v>
      </c>
      <c r="AL576" s="836" t="s">
        <v>291</v>
      </c>
      <c r="AM576" s="836">
        <v>0</v>
      </c>
      <c r="AN576" s="837">
        <v>6</v>
      </c>
      <c r="AO576" s="837">
        <v>6</v>
      </c>
      <c r="AP576" s="843">
        <v>0</v>
      </c>
      <c r="AQ576" s="839">
        <v>0</v>
      </c>
      <c r="AR576" s="839"/>
      <c r="AS576" s="839"/>
      <c r="AT576" s="839"/>
      <c r="AU576" s="839"/>
      <c r="AV576" s="849"/>
      <c r="AW576" s="134" t="s">
        <v>3208</v>
      </c>
      <c r="AX576" s="136" t="s">
        <v>3208</v>
      </c>
      <c r="AY576" s="137" t="s">
        <v>2576</v>
      </c>
      <c r="AZ576" s="136">
        <v>1</v>
      </c>
      <c r="BA576" s="136">
        <v>0.88200705605644847</v>
      </c>
      <c r="BB576" s="136">
        <v>1</v>
      </c>
      <c r="BC576" s="214">
        <v>2551</v>
      </c>
      <c r="BD576" s="136">
        <v>0</v>
      </c>
      <c r="BE576" s="214">
        <v>0</v>
      </c>
      <c r="BF576" s="136">
        <v>1</v>
      </c>
      <c r="BG576" s="214">
        <v>2551</v>
      </c>
      <c r="BH576" s="214">
        <v>5.1020000000000003</v>
      </c>
      <c r="BI576" s="134">
        <v>0</v>
      </c>
      <c r="BJ576" s="214">
        <v>0</v>
      </c>
      <c r="BK576" s="137">
        <v>0</v>
      </c>
      <c r="BL576" s="137">
        <v>5</v>
      </c>
      <c r="BM576" s="137">
        <v>130</v>
      </c>
      <c r="BN576" s="134">
        <v>1</v>
      </c>
      <c r="BO576" s="351">
        <v>2551</v>
      </c>
      <c r="BP576" s="134">
        <v>0</v>
      </c>
      <c r="BQ576" s="214">
        <v>0</v>
      </c>
      <c r="BR576" s="137">
        <v>128</v>
      </c>
      <c r="BS576" s="138">
        <v>0</v>
      </c>
      <c r="BT576" s="351">
        <v>0</v>
      </c>
      <c r="BU576" s="214">
        <v>2551</v>
      </c>
      <c r="BV576" s="214">
        <v>0</v>
      </c>
      <c r="BW576" s="214">
        <v>1</v>
      </c>
      <c r="BX576" s="214">
        <v>0</v>
      </c>
      <c r="BY576" s="214">
        <v>0</v>
      </c>
      <c r="BZ576" s="134">
        <v>0</v>
      </c>
      <c r="CA576" s="138">
        <v>1</v>
      </c>
      <c r="CB576" s="136">
        <v>1</v>
      </c>
      <c r="CC576" s="136">
        <v>0</v>
      </c>
      <c r="CD576" s="136">
        <v>0</v>
      </c>
      <c r="CE576" s="137">
        <v>0</v>
      </c>
      <c r="CF576" s="137">
        <v>0</v>
      </c>
      <c r="CG576" s="137">
        <v>0</v>
      </c>
      <c r="CH576" s="214">
        <v>299.39999999999998</v>
      </c>
      <c r="CI576" s="139" t="s">
        <v>48</v>
      </c>
      <c r="CJ576" s="139" t="s">
        <v>287</v>
      </c>
      <c r="CK576" s="139" t="s">
        <v>50</v>
      </c>
      <c r="CL576" s="139" t="s">
        <v>50</v>
      </c>
      <c r="CM576" s="139" t="s">
        <v>50</v>
      </c>
      <c r="CN576" s="139" t="s">
        <v>51</v>
      </c>
      <c r="CO576" s="139">
        <v>25.4118005797101</v>
      </c>
      <c r="CP576" s="139">
        <v>97.434855869565197</v>
      </c>
      <c r="CQ576" s="139" t="s">
        <v>2023</v>
      </c>
      <c r="CR576" s="449" t="s">
        <v>40</v>
      </c>
      <c r="CS576" s="449"/>
      <c r="CT576" s="24"/>
      <c r="CU576" s="24"/>
      <c r="CV576" s="24"/>
    </row>
    <row r="577" spans="1:100" x14ac:dyDescent="0.25">
      <c r="A577" s="293" t="s">
        <v>2691</v>
      </c>
      <c r="B577" s="132" t="s">
        <v>287</v>
      </c>
      <c r="C577" s="132" t="s">
        <v>44</v>
      </c>
      <c r="D577" s="132" t="s">
        <v>288</v>
      </c>
      <c r="E577" s="132" t="s">
        <v>325</v>
      </c>
      <c r="F577" s="132">
        <v>46</v>
      </c>
      <c r="G577" s="214">
        <v>193</v>
      </c>
      <c r="H577" s="132"/>
      <c r="I577" s="132" t="s">
        <v>290</v>
      </c>
      <c r="J577" s="133">
        <v>43555</v>
      </c>
      <c r="K577" s="132">
        <v>0</v>
      </c>
      <c r="L577" s="132" t="s">
        <v>48</v>
      </c>
      <c r="M577" s="134">
        <v>0.6</v>
      </c>
      <c r="N577" s="134">
        <v>0.5</v>
      </c>
      <c r="O577" s="320">
        <v>2</v>
      </c>
      <c r="P577" s="326">
        <v>0</v>
      </c>
      <c r="Q577" s="326">
        <v>2000</v>
      </c>
      <c r="R577" s="315">
        <v>0</v>
      </c>
      <c r="S577" s="315">
        <v>0</v>
      </c>
      <c r="T577" s="315"/>
      <c r="U577" s="315">
        <v>0</v>
      </c>
      <c r="V577" s="315">
        <v>0</v>
      </c>
      <c r="W577" s="315">
        <v>0</v>
      </c>
      <c r="X577" s="315">
        <v>0</v>
      </c>
      <c r="Y577" s="315">
        <v>0</v>
      </c>
      <c r="Z577" s="315"/>
      <c r="AA577" s="336">
        <v>10</v>
      </c>
      <c r="AB577" s="336">
        <v>0</v>
      </c>
      <c r="AC577" s="337">
        <v>0</v>
      </c>
      <c r="AD577" s="337"/>
      <c r="AE577" s="336">
        <v>0</v>
      </c>
      <c r="AF577" s="336" t="s">
        <v>283</v>
      </c>
      <c r="AG577" s="339" t="s">
        <v>283</v>
      </c>
      <c r="AH577" s="339"/>
      <c r="AI577" s="336"/>
      <c r="AJ577" s="336"/>
      <c r="AK577" s="848">
        <v>0.6</v>
      </c>
      <c r="AL577" s="842" t="s">
        <v>376</v>
      </c>
      <c r="AM577" s="836">
        <v>0</v>
      </c>
      <c r="AN577" s="837">
        <v>2</v>
      </c>
      <c r="AO577" s="837">
        <v>1</v>
      </c>
      <c r="AP577" s="843">
        <v>0</v>
      </c>
      <c r="AQ577" s="839">
        <v>0</v>
      </c>
      <c r="AR577" s="839"/>
      <c r="AS577" s="839"/>
      <c r="AT577" s="839"/>
      <c r="AU577" s="839"/>
      <c r="AV577" s="849"/>
      <c r="AW577" s="134" t="s">
        <v>3208</v>
      </c>
      <c r="AX577" s="136" t="s">
        <v>3208</v>
      </c>
      <c r="AY577" s="137" t="s">
        <v>2576</v>
      </c>
      <c r="AZ577" s="136">
        <v>1</v>
      </c>
      <c r="BA577" s="136">
        <v>1</v>
      </c>
      <c r="BB577" s="136">
        <v>1</v>
      </c>
      <c r="BC577" s="214">
        <v>193</v>
      </c>
      <c r="BD577" s="136">
        <v>0</v>
      </c>
      <c r="BE577" s="214">
        <v>0</v>
      </c>
      <c r="BF577" s="136">
        <v>1</v>
      </c>
      <c r="BG577" s="214">
        <v>193</v>
      </c>
      <c r="BH577" s="214">
        <v>0.38600000000000001</v>
      </c>
      <c r="BI577" s="134">
        <v>0</v>
      </c>
      <c r="BJ577" s="214">
        <v>0</v>
      </c>
      <c r="BK577" s="137">
        <v>0.61399999999999999</v>
      </c>
      <c r="BL577" s="137">
        <v>1</v>
      </c>
      <c r="BM577" s="137">
        <v>10</v>
      </c>
      <c r="BN577" s="134">
        <v>1</v>
      </c>
      <c r="BO577" s="351">
        <v>193</v>
      </c>
      <c r="BP577" s="134">
        <v>0</v>
      </c>
      <c r="BQ577" s="214">
        <v>0</v>
      </c>
      <c r="BR577" s="137">
        <v>10</v>
      </c>
      <c r="BS577" s="138">
        <v>0</v>
      </c>
      <c r="BT577" s="351">
        <v>0</v>
      </c>
      <c r="BU577" s="214">
        <v>193</v>
      </c>
      <c r="BV577" s="214">
        <v>0</v>
      </c>
      <c r="BW577" s="214">
        <v>1</v>
      </c>
      <c r="BX577" s="214">
        <v>0</v>
      </c>
      <c r="BY577" s="214">
        <v>0</v>
      </c>
      <c r="BZ577" s="134">
        <v>0</v>
      </c>
      <c r="CA577" s="138">
        <v>1</v>
      </c>
      <c r="CB577" s="136">
        <v>1</v>
      </c>
      <c r="CC577" s="136">
        <v>0</v>
      </c>
      <c r="CD577" s="136">
        <v>0</v>
      </c>
      <c r="CE577" s="137">
        <v>0</v>
      </c>
      <c r="CF577" s="137">
        <v>0</v>
      </c>
      <c r="CG577" s="137">
        <v>0</v>
      </c>
      <c r="CH577" s="214">
        <v>27.599999999999998</v>
      </c>
      <c r="CI577" s="139" t="s">
        <v>48</v>
      </c>
      <c r="CJ577" s="139" t="s">
        <v>287</v>
      </c>
      <c r="CK577" s="139" t="s">
        <v>50</v>
      </c>
      <c r="CL577" s="139" t="s">
        <v>50</v>
      </c>
      <c r="CM577" s="139" t="s">
        <v>50</v>
      </c>
      <c r="CN577" s="139" t="s">
        <v>51</v>
      </c>
      <c r="CO577" s="139">
        <v>25.409612685185198</v>
      </c>
      <c r="CP577" s="139">
        <v>97.426536944444507</v>
      </c>
      <c r="CQ577" s="139" t="s">
        <v>2021</v>
      </c>
      <c r="CR577" s="449" t="s">
        <v>40</v>
      </c>
      <c r="CS577" s="449"/>
      <c r="CT577" s="24"/>
      <c r="CU577" s="24"/>
      <c r="CV577" s="24"/>
    </row>
    <row r="578" spans="1:100" x14ac:dyDescent="0.25">
      <c r="A578" s="293" t="s">
        <v>2691</v>
      </c>
      <c r="B578" s="132" t="s">
        <v>389</v>
      </c>
      <c r="C578" s="132" t="s">
        <v>44</v>
      </c>
      <c r="D578" s="132" t="s">
        <v>288</v>
      </c>
      <c r="E578" s="132" t="s">
        <v>420</v>
      </c>
      <c r="F578" s="132">
        <v>20</v>
      </c>
      <c r="G578" s="214">
        <v>86</v>
      </c>
      <c r="H578" s="132"/>
      <c r="I578" s="132" t="s">
        <v>391</v>
      </c>
      <c r="J578" s="133">
        <v>42947</v>
      </c>
      <c r="K578" s="132">
        <v>0</v>
      </c>
      <c r="L578" s="132" t="s">
        <v>48</v>
      </c>
      <c r="M578" s="134">
        <v>0.8</v>
      </c>
      <c r="N578" s="134">
        <v>1</v>
      </c>
      <c r="O578" s="320">
        <v>1</v>
      </c>
      <c r="P578" s="326">
        <v>1</v>
      </c>
      <c r="Q578" s="326">
        <v>0</v>
      </c>
      <c r="R578" s="315">
        <v>0</v>
      </c>
      <c r="S578" s="315">
        <v>1</v>
      </c>
      <c r="T578" s="315"/>
      <c r="U578" s="315">
        <v>1</v>
      </c>
      <c r="V578" s="315">
        <v>0</v>
      </c>
      <c r="W578" s="315">
        <v>2</v>
      </c>
      <c r="X578" s="315">
        <v>0</v>
      </c>
      <c r="Y578" s="315">
        <v>0</v>
      </c>
      <c r="Z578" s="315"/>
      <c r="AA578" s="336">
        <v>4</v>
      </c>
      <c r="AB578" s="336">
        <v>2</v>
      </c>
      <c r="AC578" s="337">
        <v>3</v>
      </c>
      <c r="AD578" s="337" t="s">
        <v>2782</v>
      </c>
      <c r="AE578" s="336">
        <v>4</v>
      </c>
      <c r="AF578" s="336" t="s">
        <v>283</v>
      </c>
      <c r="AG578" s="339" t="s">
        <v>1358</v>
      </c>
      <c r="AH578" s="339">
        <v>0</v>
      </c>
      <c r="AI578" s="336">
        <v>0</v>
      </c>
      <c r="AJ578" s="336"/>
      <c r="AK578" s="848">
        <v>0.5</v>
      </c>
      <c r="AL578" s="842" t="s">
        <v>376</v>
      </c>
      <c r="AM578" s="836">
        <v>0</v>
      </c>
      <c r="AN578" s="837">
        <v>2</v>
      </c>
      <c r="AO578" s="837">
        <v>0</v>
      </c>
      <c r="AP578" s="843">
        <v>0</v>
      </c>
      <c r="AQ578" s="839">
        <v>0</v>
      </c>
      <c r="AR578" s="839"/>
      <c r="AS578" s="839"/>
      <c r="AT578" s="839">
        <v>1</v>
      </c>
      <c r="AU578" s="839"/>
      <c r="AV578" s="849"/>
      <c r="AW578" s="134">
        <v>0</v>
      </c>
      <c r="AX578" s="136">
        <v>0</v>
      </c>
      <c r="AY578" s="137" t="s">
        <v>2577</v>
      </c>
      <c r="AZ578" s="136">
        <v>1</v>
      </c>
      <c r="BA578" s="136">
        <v>1</v>
      </c>
      <c r="BB578" s="136">
        <v>1</v>
      </c>
      <c r="BC578" s="214">
        <v>86</v>
      </c>
      <c r="BD578" s="136">
        <v>0</v>
      </c>
      <c r="BE578" s="214">
        <v>0</v>
      </c>
      <c r="BF578" s="136">
        <v>1</v>
      </c>
      <c r="BG578" s="214">
        <v>86</v>
      </c>
      <c r="BH578" s="214">
        <v>0.17199999999999999</v>
      </c>
      <c r="BI578" s="134">
        <v>0</v>
      </c>
      <c r="BJ578" s="214">
        <v>0</v>
      </c>
      <c r="BK578" s="137">
        <v>0.82800000000000007</v>
      </c>
      <c r="BL578" s="137">
        <v>1</v>
      </c>
      <c r="BM578" s="137">
        <v>6</v>
      </c>
      <c r="BN578" s="134">
        <v>0.93023255813953487</v>
      </c>
      <c r="BO578" s="351">
        <v>80</v>
      </c>
      <c r="BP578" s="134">
        <v>0</v>
      </c>
      <c r="BQ578" s="214">
        <v>0</v>
      </c>
      <c r="BR578" s="137">
        <v>4</v>
      </c>
      <c r="BS578" s="138">
        <v>0.33333333333333331</v>
      </c>
      <c r="BT578" s="351">
        <v>60</v>
      </c>
      <c r="BU578" s="214">
        <v>0</v>
      </c>
      <c r="BV578" s="214">
        <v>0</v>
      </c>
      <c r="BW578" s="214">
        <v>0</v>
      </c>
      <c r="BX578" s="214">
        <v>0</v>
      </c>
      <c r="BY578" s="214">
        <v>0</v>
      </c>
      <c r="BZ578" s="134">
        <v>0</v>
      </c>
      <c r="CA578" s="138">
        <v>1</v>
      </c>
      <c r="CB578" s="136">
        <v>0</v>
      </c>
      <c r="CC578" s="136">
        <v>0</v>
      </c>
      <c r="CD578" s="136">
        <v>0</v>
      </c>
      <c r="CE578" s="137">
        <v>0</v>
      </c>
      <c r="CF578" s="137">
        <v>0</v>
      </c>
      <c r="CG578" s="137">
        <v>0</v>
      </c>
      <c r="CH578" s="214">
        <v>10</v>
      </c>
      <c r="CI578" s="139" t="s">
        <v>48</v>
      </c>
      <c r="CJ578" s="139" t="s">
        <v>389</v>
      </c>
      <c r="CK578" s="139" t="s">
        <v>50</v>
      </c>
      <c r="CL578" s="139" t="s">
        <v>50</v>
      </c>
      <c r="CM578" s="139" t="s">
        <v>50</v>
      </c>
      <c r="CN578" s="139" t="s">
        <v>51</v>
      </c>
      <c r="CO578" s="139">
        <v>25.351965</v>
      </c>
      <c r="CP578" s="139">
        <v>97.345039</v>
      </c>
      <c r="CQ578" s="139" t="s">
        <v>2003</v>
      </c>
      <c r="CR578" s="449" t="s">
        <v>40</v>
      </c>
      <c r="CS578" s="449"/>
      <c r="CT578" s="24"/>
      <c r="CU578" s="24"/>
      <c r="CV578" s="24"/>
    </row>
    <row r="579" spans="1:100" x14ac:dyDescent="0.25">
      <c r="A579" s="293" t="s">
        <v>2691</v>
      </c>
      <c r="B579" s="132" t="s">
        <v>287</v>
      </c>
      <c r="C579" s="132" t="s">
        <v>44</v>
      </c>
      <c r="D579" s="132" t="s">
        <v>288</v>
      </c>
      <c r="E579" s="132" t="s">
        <v>326</v>
      </c>
      <c r="F579" s="132">
        <v>183</v>
      </c>
      <c r="G579" s="214">
        <v>895</v>
      </c>
      <c r="H579" s="132"/>
      <c r="I579" s="132" t="s">
        <v>296</v>
      </c>
      <c r="J579" s="133">
        <v>43465</v>
      </c>
      <c r="K579" s="132">
        <v>0</v>
      </c>
      <c r="L579" s="132" t="s">
        <v>48</v>
      </c>
      <c r="M579" s="134">
        <v>0.6</v>
      </c>
      <c r="N579" s="134">
        <v>0.5</v>
      </c>
      <c r="O579" s="320">
        <v>0</v>
      </c>
      <c r="P579" s="326">
        <v>0</v>
      </c>
      <c r="Q579" s="326">
        <v>194400</v>
      </c>
      <c r="R579" s="315">
        <v>0</v>
      </c>
      <c r="S579" s="315">
        <v>0</v>
      </c>
      <c r="T579" s="315"/>
      <c r="U579" s="315">
        <v>0</v>
      </c>
      <c r="V579" s="315">
        <v>0</v>
      </c>
      <c r="W579" s="315">
        <v>0</v>
      </c>
      <c r="X579" s="315">
        <v>0</v>
      </c>
      <c r="Y579" s="315">
        <v>0</v>
      </c>
      <c r="Z579" s="315"/>
      <c r="AA579" s="336">
        <v>150</v>
      </c>
      <c r="AB579" s="336">
        <v>0</v>
      </c>
      <c r="AC579" s="337">
        <v>0</v>
      </c>
      <c r="AD579" s="337"/>
      <c r="AE579" s="336">
        <v>0</v>
      </c>
      <c r="AF579" s="336" t="s">
        <v>283</v>
      </c>
      <c r="AG579" s="339" t="s">
        <v>283</v>
      </c>
      <c r="AH579" s="339"/>
      <c r="AI579" s="336"/>
      <c r="AJ579" s="336"/>
      <c r="AK579" s="848">
        <v>0.6</v>
      </c>
      <c r="AL579" s="836" t="s">
        <v>284</v>
      </c>
      <c r="AM579" s="836">
        <v>150</v>
      </c>
      <c r="AN579" s="837">
        <v>4</v>
      </c>
      <c r="AO579" s="837">
        <v>3</v>
      </c>
      <c r="AP579" s="843">
        <v>0</v>
      </c>
      <c r="AQ579" s="839">
        <v>0</v>
      </c>
      <c r="AR579" s="839"/>
      <c r="AS579" s="839"/>
      <c r="AT579" s="839"/>
      <c r="AU579" s="839"/>
      <c r="AV579" s="849"/>
      <c r="AW579" s="134" t="s">
        <v>3208</v>
      </c>
      <c r="AX579" s="136" t="s">
        <v>3208</v>
      </c>
      <c r="AY579" s="137" t="s">
        <v>2576</v>
      </c>
      <c r="AZ579" s="136">
        <v>1</v>
      </c>
      <c r="BA579" s="136">
        <v>1</v>
      </c>
      <c r="BB579" s="136">
        <v>1</v>
      </c>
      <c r="BC579" s="214">
        <v>895</v>
      </c>
      <c r="BD579" s="136">
        <v>0</v>
      </c>
      <c r="BE579" s="214">
        <v>0</v>
      </c>
      <c r="BF579" s="136">
        <v>1</v>
      </c>
      <c r="BG579" s="214">
        <v>895</v>
      </c>
      <c r="BH579" s="214">
        <v>1.79</v>
      </c>
      <c r="BI579" s="134">
        <v>0</v>
      </c>
      <c r="BJ579" s="214">
        <v>0</v>
      </c>
      <c r="BK579" s="137">
        <v>0.20999999999999996</v>
      </c>
      <c r="BL579" s="137">
        <v>2</v>
      </c>
      <c r="BM579" s="137">
        <v>150</v>
      </c>
      <c r="BN579" s="134">
        <v>1</v>
      </c>
      <c r="BO579" s="351">
        <v>895</v>
      </c>
      <c r="BP579" s="134">
        <v>0</v>
      </c>
      <c r="BQ579" s="214">
        <v>0</v>
      </c>
      <c r="BR579" s="137">
        <v>149</v>
      </c>
      <c r="BS579" s="138">
        <v>0</v>
      </c>
      <c r="BT579" s="351">
        <v>0</v>
      </c>
      <c r="BU579" s="214">
        <v>895</v>
      </c>
      <c r="BV579" s="214">
        <v>0</v>
      </c>
      <c r="BW579" s="214">
        <v>1</v>
      </c>
      <c r="BX579" s="214">
        <v>0</v>
      </c>
      <c r="BY579" s="214">
        <v>0</v>
      </c>
      <c r="BZ579" s="134">
        <v>0</v>
      </c>
      <c r="CA579" s="138">
        <v>1</v>
      </c>
      <c r="CB579" s="136">
        <v>1</v>
      </c>
      <c r="CC579" s="136">
        <v>0</v>
      </c>
      <c r="CD579" s="136">
        <v>0</v>
      </c>
      <c r="CE579" s="137">
        <v>0</v>
      </c>
      <c r="CF579" s="137">
        <v>0</v>
      </c>
      <c r="CG579" s="137">
        <v>0</v>
      </c>
      <c r="CH579" s="214">
        <v>109.8</v>
      </c>
      <c r="CI579" s="139" t="s">
        <v>48</v>
      </c>
      <c r="CJ579" s="139" t="s">
        <v>287</v>
      </c>
      <c r="CK579" s="139" t="s">
        <v>50</v>
      </c>
      <c r="CL579" s="139" t="s">
        <v>1139</v>
      </c>
      <c r="CM579" s="139" t="s">
        <v>50</v>
      </c>
      <c r="CN579" s="139" t="s">
        <v>949</v>
      </c>
      <c r="CO579" s="139">
        <v>24.831944</v>
      </c>
      <c r="CP579" s="139">
        <v>97.751389000000003</v>
      </c>
      <c r="CQ579" s="139" t="s">
        <v>1979</v>
      </c>
      <c r="CR579" s="449" t="s">
        <v>40</v>
      </c>
      <c r="CS579" s="449"/>
      <c r="CT579" s="24"/>
      <c r="CU579" s="24"/>
      <c r="CV579" s="24"/>
    </row>
    <row r="580" spans="1:100" x14ac:dyDescent="0.25">
      <c r="A580" s="293" t="s">
        <v>2691</v>
      </c>
      <c r="B580" s="132" t="s">
        <v>43</v>
      </c>
      <c r="C580" s="132" t="s">
        <v>44</v>
      </c>
      <c r="D580" s="132" t="s">
        <v>288</v>
      </c>
      <c r="E580" s="132" t="s">
        <v>385</v>
      </c>
      <c r="F580" s="132">
        <v>89</v>
      </c>
      <c r="G580" s="214">
        <v>550</v>
      </c>
      <c r="H580" s="132"/>
      <c r="I580" s="132" t="s">
        <v>372</v>
      </c>
      <c r="J580" s="133">
        <v>43465</v>
      </c>
      <c r="K580" s="132">
        <v>0</v>
      </c>
      <c r="L580" s="132" t="s">
        <v>2452</v>
      </c>
      <c r="M580" s="134">
        <v>0.5</v>
      </c>
      <c r="N580" s="134">
        <v>0.1</v>
      </c>
      <c r="O580" s="320">
        <v>0</v>
      </c>
      <c r="P580" s="326">
        <v>0</v>
      </c>
      <c r="Q580" s="326">
        <v>10000</v>
      </c>
      <c r="R580" s="315">
        <v>0</v>
      </c>
      <c r="S580" s="315">
        <v>10</v>
      </c>
      <c r="T580" s="315"/>
      <c r="U580" s="315">
        <v>0</v>
      </c>
      <c r="V580" s="315">
        <v>0</v>
      </c>
      <c r="W580" s="315">
        <v>0</v>
      </c>
      <c r="X580" s="315">
        <v>0</v>
      </c>
      <c r="Y580" s="315">
        <v>0</v>
      </c>
      <c r="Z580" s="315"/>
      <c r="AA580" s="336">
        <v>98</v>
      </c>
      <c r="AB580" s="336">
        <v>0</v>
      </c>
      <c r="AC580" s="337">
        <v>0</v>
      </c>
      <c r="AD580" s="337"/>
      <c r="AE580" s="336">
        <v>27</v>
      </c>
      <c r="AF580" s="336" t="s">
        <v>283</v>
      </c>
      <c r="AG580" s="339" t="s">
        <v>1358</v>
      </c>
      <c r="AH580" s="339">
        <v>0</v>
      </c>
      <c r="AI580" s="336">
        <v>0</v>
      </c>
      <c r="AJ580" s="336"/>
      <c r="AK580" s="848">
        <v>0</v>
      </c>
      <c r="AL580" s="842" t="s">
        <v>376</v>
      </c>
      <c r="AM580" s="836">
        <v>0</v>
      </c>
      <c r="AN580" s="837">
        <v>2</v>
      </c>
      <c r="AO580" s="837">
        <v>2</v>
      </c>
      <c r="AP580" s="843">
        <v>0</v>
      </c>
      <c r="AQ580" s="839">
        <v>0</v>
      </c>
      <c r="AR580" s="839" t="s">
        <v>282</v>
      </c>
      <c r="AS580" s="839"/>
      <c r="AT580" s="839"/>
      <c r="AU580" s="839"/>
      <c r="AV580" s="849"/>
      <c r="AW580" s="134" t="s">
        <v>3208</v>
      </c>
      <c r="AX580" s="136" t="s">
        <v>3208</v>
      </c>
      <c r="AY580" s="137" t="s">
        <v>2576</v>
      </c>
      <c r="AZ580" s="136">
        <v>1</v>
      </c>
      <c r="BA580" s="136">
        <v>1</v>
      </c>
      <c r="BB580" s="136">
        <v>1</v>
      </c>
      <c r="BC580" s="214">
        <v>550</v>
      </c>
      <c r="BD580" s="136">
        <v>0</v>
      </c>
      <c r="BE580" s="214">
        <v>0</v>
      </c>
      <c r="BF580" s="136">
        <v>1</v>
      </c>
      <c r="BG580" s="214">
        <v>550</v>
      </c>
      <c r="BH580" s="214">
        <v>1.1000000000000001</v>
      </c>
      <c r="BI580" s="134">
        <v>0</v>
      </c>
      <c r="BJ580" s="214">
        <v>0</v>
      </c>
      <c r="BK580" s="137">
        <v>0</v>
      </c>
      <c r="BL580" s="137">
        <v>1</v>
      </c>
      <c r="BM580" s="137">
        <v>98</v>
      </c>
      <c r="BN580" s="134">
        <v>1</v>
      </c>
      <c r="BO580" s="351">
        <v>550</v>
      </c>
      <c r="BP580" s="134">
        <v>0</v>
      </c>
      <c r="BQ580" s="214">
        <v>0</v>
      </c>
      <c r="BR580" s="137">
        <v>28</v>
      </c>
      <c r="BS580" s="138">
        <v>0</v>
      </c>
      <c r="BT580" s="351">
        <v>0</v>
      </c>
      <c r="BU580" s="214">
        <v>550</v>
      </c>
      <c r="BV580" s="214">
        <v>0</v>
      </c>
      <c r="BW580" s="214">
        <v>1</v>
      </c>
      <c r="BX580" s="214">
        <v>0</v>
      </c>
      <c r="BY580" s="214">
        <v>0</v>
      </c>
      <c r="BZ580" s="134">
        <v>0</v>
      </c>
      <c r="CA580" s="138">
        <v>1</v>
      </c>
      <c r="CB580" s="136">
        <v>1</v>
      </c>
      <c r="CC580" s="136">
        <v>0</v>
      </c>
      <c r="CD580" s="136">
        <v>0</v>
      </c>
      <c r="CE580" s="137">
        <v>0</v>
      </c>
      <c r="CF580" s="137">
        <v>0</v>
      </c>
      <c r="CG580" s="137">
        <v>0</v>
      </c>
      <c r="CH580" s="214">
        <v>0</v>
      </c>
      <c r="CI580" s="139" t="s">
        <v>48</v>
      </c>
      <c r="CJ580" s="139" t="s">
        <v>1539</v>
      </c>
      <c r="CK580" s="139" t="s">
        <v>50</v>
      </c>
      <c r="CL580" s="139" t="s">
        <v>50</v>
      </c>
      <c r="CM580" s="139" t="s">
        <v>50</v>
      </c>
      <c r="CN580" s="139" t="s">
        <v>949</v>
      </c>
      <c r="CO580" s="139">
        <v>25.265277999999999</v>
      </c>
      <c r="CP580" s="139">
        <v>97.990555999999998</v>
      </c>
      <c r="CQ580" s="139" t="s">
        <v>1990</v>
      </c>
      <c r="CR580" s="449" t="s">
        <v>40</v>
      </c>
      <c r="CS580" s="449"/>
      <c r="CT580" s="24"/>
      <c r="CU580" s="24"/>
      <c r="CV580" s="24"/>
    </row>
    <row r="581" spans="1:100" x14ac:dyDescent="0.25">
      <c r="A581" s="293" t="s">
        <v>2691</v>
      </c>
      <c r="B581" s="132" t="s">
        <v>389</v>
      </c>
      <c r="C581" s="132" t="s">
        <v>44</v>
      </c>
      <c r="D581" s="132" t="s">
        <v>288</v>
      </c>
      <c r="E581" s="132" t="s">
        <v>421</v>
      </c>
      <c r="F581" s="132">
        <v>115</v>
      </c>
      <c r="G581" s="214">
        <v>460</v>
      </c>
      <c r="H581" s="132"/>
      <c r="I581" s="132" t="s">
        <v>391</v>
      </c>
      <c r="J581" s="133">
        <v>42947</v>
      </c>
      <c r="K581" s="132">
        <v>0</v>
      </c>
      <c r="L581" s="132" t="s">
        <v>48</v>
      </c>
      <c r="M581" s="134">
        <v>0.6</v>
      </c>
      <c r="N581" s="134">
        <v>1</v>
      </c>
      <c r="O581" s="320">
        <v>5</v>
      </c>
      <c r="P581" s="326">
        <v>0</v>
      </c>
      <c r="Q581" s="326">
        <v>1000</v>
      </c>
      <c r="R581" s="315">
        <v>0</v>
      </c>
      <c r="S581" s="315">
        <v>3</v>
      </c>
      <c r="T581" s="315"/>
      <c r="U581" s="315">
        <v>3</v>
      </c>
      <c r="V581" s="315">
        <v>2</v>
      </c>
      <c r="W581" s="315">
        <v>7</v>
      </c>
      <c r="X581" s="315">
        <v>2</v>
      </c>
      <c r="Y581" s="315">
        <v>0</v>
      </c>
      <c r="Z581" s="315"/>
      <c r="AA581" s="336">
        <v>4</v>
      </c>
      <c r="AB581" s="336">
        <v>0</v>
      </c>
      <c r="AC581" s="337">
        <v>6</v>
      </c>
      <c r="AD581" s="337" t="s">
        <v>2787</v>
      </c>
      <c r="AE581" s="336">
        <v>4</v>
      </c>
      <c r="AF581" s="336" t="s">
        <v>283</v>
      </c>
      <c r="AG581" s="339" t="s">
        <v>283</v>
      </c>
      <c r="AH581" s="339">
        <v>0</v>
      </c>
      <c r="AI581" s="336">
        <v>0</v>
      </c>
      <c r="AJ581" s="336"/>
      <c r="AK581" s="848">
        <v>0.5</v>
      </c>
      <c r="AL581" s="842" t="s">
        <v>376</v>
      </c>
      <c r="AM581" s="836">
        <v>0</v>
      </c>
      <c r="AN581" s="837">
        <v>2</v>
      </c>
      <c r="AO581" s="837">
        <v>0</v>
      </c>
      <c r="AP581" s="843">
        <v>0</v>
      </c>
      <c r="AQ581" s="839">
        <v>0</v>
      </c>
      <c r="AR581" s="839"/>
      <c r="AS581" s="839"/>
      <c r="AT581" s="839">
        <v>2</v>
      </c>
      <c r="AU581" s="839"/>
      <c r="AV581" s="849"/>
      <c r="AW581" s="134">
        <v>0.66666666666666663</v>
      </c>
      <c r="AX581" s="136">
        <v>0.2857142857142857</v>
      </c>
      <c r="AY581" s="137" t="s">
        <v>2577</v>
      </c>
      <c r="AZ581" s="136">
        <v>1</v>
      </c>
      <c r="BA581" s="136">
        <v>1</v>
      </c>
      <c r="BB581" s="136">
        <v>1</v>
      </c>
      <c r="BC581" s="214">
        <v>460</v>
      </c>
      <c r="BD581" s="136">
        <v>0</v>
      </c>
      <c r="BE581" s="214">
        <v>0</v>
      </c>
      <c r="BF581" s="136">
        <v>1</v>
      </c>
      <c r="BG581" s="214">
        <v>460</v>
      </c>
      <c r="BH581" s="214">
        <v>0.92</v>
      </c>
      <c r="BI581" s="134">
        <v>0</v>
      </c>
      <c r="BJ581" s="214">
        <v>0</v>
      </c>
      <c r="BK581" s="137">
        <v>7.999999999999996E-2</v>
      </c>
      <c r="BL581" s="137">
        <v>1</v>
      </c>
      <c r="BM581" s="137">
        <v>4</v>
      </c>
      <c r="BN581" s="134">
        <v>0.17391304347826086</v>
      </c>
      <c r="BO581" s="351">
        <v>80</v>
      </c>
      <c r="BP581" s="134">
        <v>0.82608695652173914</v>
      </c>
      <c r="BQ581" s="214">
        <v>19</v>
      </c>
      <c r="BR581" s="137">
        <v>23</v>
      </c>
      <c r="BS581" s="138">
        <v>0</v>
      </c>
      <c r="BT581" s="351">
        <v>120</v>
      </c>
      <c r="BU581" s="214">
        <v>0</v>
      </c>
      <c r="BV581" s="214">
        <v>0</v>
      </c>
      <c r="BW581" s="214">
        <v>0</v>
      </c>
      <c r="BX581" s="214">
        <v>0</v>
      </c>
      <c r="BY581" s="214">
        <v>0</v>
      </c>
      <c r="BZ581" s="134">
        <v>0</v>
      </c>
      <c r="CA581" s="138">
        <v>1</v>
      </c>
      <c r="CB581" s="136">
        <v>0</v>
      </c>
      <c r="CC581" s="136">
        <v>0</v>
      </c>
      <c r="CD581" s="136">
        <v>0</v>
      </c>
      <c r="CE581" s="137">
        <v>0</v>
      </c>
      <c r="CF581" s="137">
        <v>0</v>
      </c>
      <c r="CG581" s="137">
        <v>0</v>
      </c>
      <c r="CH581" s="214">
        <v>57.5</v>
      </c>
      <c r="CI581" s="139" t="s">
        <v>48</v>
      </c>
      <c r="CJ581" s="139" t="s">
        <v>389</v>
      </c>
      <c r="CK581" s="139" t="s">
        <v>50</v>
      </c>
      <c r="CL581" s="139" t="s">
        <v>50</v>
      </c>
      <c r="CM581" s="139" t="s">
        <v>50</v>
      </c>
      <c r="CN581" s="139" t="s">
        <v>51</v>
      </c>
      <c r="CO581" s="139">
        <v>25.3540362037037</v>
      </c>
      <c r="CP581" s="139">
        <v>97.441166388888902</v>
      </c>
      <c r="CQ581" s="139" t="s">
        <v>2004</v>
      </c>
      <c r="CR581" s="449" t="s">
        <v>40</v>
      </c>
      <c r="CS581" s="449"/>
      <c r="CT581" s="24"/>
      <c r="CU581" s="24"/>
      <c r="CV581" s="24"/>
    </row>
    <row r="582" spans="1:100" x14ac:dyDescent="0.25">
      <c r="A582" s="293" t="s">
        <v>2691</v>
      </c>
      <c r="B582" s="132" t="s">
        <v>287</v>
      </c>
      <c r="C582" s="132" t="s">
        <v>44</v>
      </c>
      <c r="D582" s="132" t="s">
        <v>288</v>
      </c>
      <c r="E582" s="132" t="s">
        <v>327</v>
      </c>
      <c r="F582" s="132">
        <v>64</v>
      </c>
      <c r="G582" s="214">
        <v>322</v>
      </c>
      <c r="H582" s="132"/>
      <c r="I582" s="132" t="s">
        <v>290</v>
      </c>
      <c r="J582" s="133">
        <v>43555</v>
      </c>
      <c r="K582" s="132">
        <v>0</v>
      </c>
      <c r="L582" s="132" t="s">
        <v>48</v>
      </c>
      <c r="M582" s="134">
        <v>0.6</v>
      </c>
      <c r="N582" s="134">
        <v>0.5</v>
      </c>
      <c r="O582" s="320">
        <v>1</v>
      </c>
      <c r="P582" s="326">
        <v>0</v>
      </c>
      <c r="Q582" s="326">
        <v>0</v>
      </c>
      <c r="R582" s="315">
        <v>0</v>
      </c>
      <c r="S582" s="315">
        <v>0</v>
      </c>
      <c r="T582" s="315"/>
      <c r="U582" s="315">
        <v>0</v>
      </c>
      <c r="V582" s="315">
        <v>0</v>
      </c>
      <c r="W582" s="315">
        <v>0</v>
      </c>
      <c r="X582" s="315">
        <v>0</v>
      </c>
      <c r="Y582" s="315">
        <v>0</v>
      </c>
      <c r="Z582" s="315"/>
      <c r="AA582" s="336">
        <v>10</v>
      </c>
      <c r="AB582" s="336">
        <v>0</v>
      </c>
      <c r="AC582" s="337">
        <v>0</v>
      </c>
      <c r="AD582" s="337"/>
      <c r="AE582" s="336">
        <v>0</v>
      </c>
      <c r="AF582" s="336" t="s">
        <v>283</v>
      </c>
      <c r="AG582" s="339" t="s">
        <v>283</v>
      </c>
      <c r="AH582" s="339"/>
      <c r="AI582" s="336"/>
      <c r="AJ582" s="336"/>
      <c r="AK582" s="848">
        <v>0.6</v>
      </c>
      <c r="AL582" s="842" t="s">
        <v>376</v>
      </c>
      <c r="AM582" s="836">
        <v>0</v>
      </c>
      <c r="AN582" s="837">
        <v>2</v>
      </c>
      <c r="AO582" s="837">
        <v>1</v>
      </c>
      <c r="AP582" s="843">
        <v>0</v>
      </c>
      <c r="AQ582" s="839">
        <v>0</v>
      </c>
      <c r="AR582" s="839"/>
      <c r="AS582" s="839"/>
      <c r="AT582" s="839"/>
      <c r="AU582" s="839"/>
      <c r="AV582" s="849"/>
      <c r="AW582" s="134" t="s">
        <v>3208</v>
      </c>
      <c r="AX582" s="136" t="s">
        <v>3208</v>
      </c>
      <c r="AY582" s="137" t="s">
        <v>2576</v>
      </c>
      <c r="AZ582" s="136">
        <v>1</v>
      </c>
      <c r="BA582" s="136">
        <v>0.77639751552795033</v>
      </c>
      <c r="BB582" s="136">
        <v>1</v>
      </c>
      <c r="BC582" s="214">
        <v>322</v>
      </c>
      <c r="BD582" s="136">
        <v>0</v>
      </c>
      <c r="BE582" s="214">
        <v>0</v>
      </c>
      <c r="BF582" s="136">
        <v>1</v>
      </c>
      <c r="BG582" s="214">
        <v>322</v>
      </c>
      <c r="BH582" s="214">
        <v>0.64400000000000002</v>
      </c>
      <c r="BI582" s="134">
        <v>0</v>
      </c>
      <c r="BJ582" s="214">
        <v>0</v>
      </c>
      <c r="BK582" s="137">
        <v>0.35599999999999998</v>
      </c>
      <c r="BL582" s="137">
        <v>1</v>
      </c>
      <c r="BM582" s="137">
        <v>10</v>
      </c>
      <c r="BN582" s="134">
        <v>0.6211180124223602</v>
      </c>
      <c r="BO582" s="351">
        <v>199.99999999999997</v>
      </c>
      <c r="BP582" s="134">
        <v>0.37267080745341613</v>
      </c>
      <c r="BQ582" s="214">
        <v>6</v>
      </c>
      <c r="BR582" s="137">
        <v>16</v>
      </c>
      <c r="BS582" s="138">
        <v>0</v>
      </c>
      <c r="BT582" s="351">
        <v>0</v>
      </c>
      <c r="BU582" s="214">
        <v>322</v>
      </c>
      <c r="BV582" s="214">
        <v>0</v>
      </c>
      <c r="BW582" s="214">
        <v>1</v>
      </c>
      <c r="BX582" s="214">
        <v>0</v>
      </c>
      <c r="BY582" s="214">
        <v>0</v>
      </c>
      <c r="BZ582" s="134">
        <v>0</v>
      </c>
      <c r="CA582" s="138">
        <v>1</v>
      </c>
      <c r="CB582" s="136">
        <v>1</v>
      </c>
      <c r="CC582" s="136">
        <v>0</v>
      </c>
      <c r="CD582" s="136">
        <v>0</v>
      </c>
      <c r="CE582" s="137">
        <v>0</v>
      </c>
      <c r="CF582" s="137">
        <v>0</v>
      </c>
      <c r="CG582" s="137">
        <v>0</v>
      </c>
      <c r="CH582" s="214">
        <v>38.4</v>
      </c>
      <c r="CI582" s="139" t="s">
        <v>48</v>
      </c>
      <c r="CJ582" s="139" t="s">
        <v>287</v>
      </c>
      <c r="CK582" s="139" t="s">
        <v>50</v>
      </c>
      <c r="CL582" s="139" t="s">
        <v>50</v>
      </c>
      <c r="CM582" s="139" t="s">
        <v>50</v>
      </c>
      <c r="CN582" s="139" t="s">
        <v>51</v>
      </c>
      <c r="CO582" s="139">
        <v>25.351724999999998</v>
      </c>
      <c r="CP582" s="139">
        <v>97.438432380952406</v>
      </c>
      <c r="CQ582" s="139" t="s">
        <v>2002</v>
      </c>
      <c r="CR582" s="449" t="s">
        <v>40</v>
      </c>
      <c r="CS582" s="449"/>
      <c r="CT582" s="24"/>
      <c r="CU582" s="24"/>
      <c r="CV582" s="24"/>
    </row>
    <row r="583" spans="1:100" x14ac:dyDescent="0.25">
      <c r="A583" s="293" t="s">
        <v>2691</v>
      </c>
      <c r="B583" s="132" t="s">
        <v>389</v>
      </c>
      <c r="C583" s="132" t="s">
        <v>44</v>
      </c>
      <c r="D583" s="132" t="s">
        <v>288</v>
      </c>
      <c r="E583" s="132" t="s">
        <v>422</v>
      </c>
      <c r="F583" s="132">
        <v>29</v>
      </c>
      <c r="G583" s="214">
        <v>159</v>
      </c>
      <c r="H583" s="132"/>
      <c r="I583" s="132" t="s">
        <v>391</v>
      </c>
      <c r="J583" s="133">
        <v>42947</v>
      </c>
      <c r="K583" s="132">
        <v>0</v>
      </c>
      <c r="L583" s="132" t="s">
        <v>48</v>
      </c>
      <c r="M583" s="134">
        <v>0.8</v>
      </c>
      <c r="N583" s="134">
        <v>1</v>
      </c>
      <c r="O583" s="320">
        <v>2</v>
      </c>
      <c r="P583" s="326">
        <v>0</v>
      </c>
      <c r="Q583" s="326">
        <v>2000</v>
      </c>
      <c r="R583" s="315">
        <v>0</v>
      </c>
      <c r="S583" s="315">
        <v>2</v>
      </c>
      <c r="T583" s="315"/>
      <c r="U583" s="315">
        <v>2</v>
      </c>
      <c r="V583" s="315">
        <v>0</v>
      </c>
      <c r="W583" s="315">
        <v>2</v>
      </c>
      <c r="X583" s="315">
        <v>0</v>
      </c>
      <c r="Y583" s="315">
        <v>0</v>
      </c>
      <c r="Z583" s="315"/>
      <c r="AA583" s="336">
        <v>3</v>
      </c>
      <c r="AB583" s="336">
        <v>1</v>
      </c>
      <c r="AC583" s="337">
        <v>9</v>
      </c>
      <c r="AD583" s="337" t="s">
        <v>2787</v>
      </c>
      <c r="AE583" s="336">
        <v>3</v>
      </c>
      <c r="AF583" s="336" t="s">
        <v>283</v>
      </c>
      <c r="AG583" s="339" t="s">
        <v>1358</v>
      </c>
      <c r="AH583" s="339">
        <v>0</v>
      </c>
      <c r="AI583" s="336">
        <v>0</v>
      </c>
      <c r="AJ583" s="336"/>
      <c r="AK583" s="848">
        <v>0.5</v>
      </c>
      <c r="AL583" s="842" t="s">
        <v>376</v>
      </c>
      <c r="AM583" s="836">
        <v>0</v>
      </c>
      <c r="AN583" s="837">
        <v>5</v>
      </c>
      <c r="AO583" s="837">
        <v>0</v>
      </c>
      <c r="AP583" s="843">
        <v>0</v>
      </c>
      <c r="AQ583" s="839">
        <v>0</v>
      </c>
      <c r="AR583" s="839"/>
      <c r="AS583" s="839"/>
      <c r="AT583" s="839">
        <v>1</v>
      </c>
      <c r="AU583" s="839"/>
      <c r="AV583" s="849"/>
      <c r="AW583" s="134">
        <v>0</v>
      </c>
      <c r="AX583" s="136">
        <v>0</v>
      </c>
      <c r="AY583" s="137" t="s">
        <v>2577</v>
      </c>
      <c r="AZ583" s="136">
        <v>1</v>
      </c>
      <c r="BA583" s="136">
        <v>1</v>
      </c>
      <c r="BB583" s="136">
        <v>1</v>
      </c>
      <c r="BC583" s="214">
        <v>159</v>
      </c>
      <c r="BD583" s="136">
        <v>0</v>
      </c>
      <c r="BE583" s="214">
        <v>0</v>
      </c>
      <c r="BF583" s="136">
        <v>1</v>
      </c>
      <c r="BG583" s="214">
        <v>159</v>
      </c>
      <c r="BH583" s="214">
        <v>0.318</v>
      </c>
      <c r="BI583" s="134">
        <v>0</v>
      </c>
      <c r="BJ583" s="214">
        <v>0</v>
      </c>
      <c r="BK583" s="137">
        <v>0.68199999999999994</v>
      </c>
      <c r="BL583" s="137">
        <v>1</v>
      </c>
      <c r="BM583" s="137">
        <v>4</v>
      </c>
      <c r="BN583" s="134">
        <v>0.37735849056603776</v>
      </c>
      <c r="BO583" s="351">
        <v>60.000000000000007</v>
      </c>
      <c r="BP583" s="134">
        <v>0.50314465408805031</v>
      </c>
      <c r="BQ583" s="214">
        <v>4</v>
      </c>
      <c r="BR583" s="137">
        <v>8</v>
      </c>
      <c r="BS583" s="138">
        <v>0.25</v>
      </c>
      <c r="BT583" s="351">
        <v>159</v>
      </c>
      <c r="BU583" s="214">
        <v>0</v>
      </c>
      <c r="BV583" s="214">
        <v>0</v>
      </c>
      <c r="BW583" s="214">
        <v>0</v>
      </c>
      <c r="BX583" s="214">
        <v>0</v>
      </c>
      <c r="BY583" s="214">
        <v>0</v>
      </c>
      <c r="BZ583" s="134">
        <v>0</v>
      </c>
      <c r="CA583" s="138">
        <v>1</v>
      </c>
      <c r="CB583" s="136">
        <v>0</v>
      </c>
      <c r="CC583" s="136">
        <v>0</v>
      </c>
      <c r="CD583" s="136">
        <v>0</v>
      </c>
      <c r="CE583" s="137">
        <v>0</v>
      </c>
      <c r="CF583" s="137">
        <v>0</v>
      </c>
      <c r="CG583" s="137">
        <v>0</v>
      </c>
      <c r="CH583" s="214">
        <v>14.5</v>
      </c>
      <c r="CI583" s="139" t="s">
        <v>48</v>
      </c>
      <c r="CJ583" s="139" t="s">
        <v>389</v>
      </c>
      <c r="CK583" s="139" t="s">
        <v>50</v>
      </c>
      <c r="CL583" s="139" t="s">
        <v>50</v>
      </c>
      <c r="CM583" s="139" t="s">
        <v>50</v>
      </c>
      <c r="CN583" s="139" t="s">
        <v>51</v>
      </c>
      <c r="CO583" s="139">
        <v>25.345918166666699</v>
      </c>
      <c r="CP583" s="139">
        <v>97.437472666666693</v>
      </c>
      <c r="CQ583" s="139" t="s">
        <v>1998</v>
      </c>
      <c r="CR583" s="449" t="s">
        <v>40</v>
      </c>
      <c r="CS583" s="449"/>
      <c r="CT583" s="24"/>
      <c r="CU583" s="24"/>
      <c r="CV583" s="24"/>
    </row>
    <row r="584" spans="1:100" x14ac:dyDescent="0.25">
      <c r="A584" s="293" t="s">
        <v>2691</v>
      </c>
      <c r="B584" s="132" t="s">
        <v>389</v>
      </c>
      <c r="C584" s="132" t="s">
        <v>44</v>
      </c>
      <c r="D584" s="132" t="s">
        <v>288</v>
      </c>
      <c r="E584" s="132" t="s">
        <v>423</v>
      </c>
      <c r="F584" s="132">
        <v>90</v>
      </c>
      <c r="G584" s="214">
        <v>492</v>
      </c>
      <c r="H584" s="132"/>
      <c r="I584" s="132" t="s">
        <v>391</v>
      </c>
      <c r="J584" s="133">
        <v>42947</v>
      </c>
      <c r="K584" s="132">
        <v>0</v>
      </c>
      <c r="L584" s="132" t="s">
        <v>48</v>
      </c>
      <c r="M584" s="134">
        <v>0.75</v>
      </c>
      <c r="N584" s="134">
        <v>1</v>
      </c>
      <c r="O584" s="320">
        <v>1</v>
      </c>
      <c r="P584" s="326">
        <v>0</v>
      </c>
      <c r="Q584" s="326">
        <v>2000</v>
      </c>
      <c r="R584" s="315">
        <v>0</v>
      </c>
      <c r="S584" s="315">
        <v>3</v>
      </c>
      <c r="T584" s="315"/>
      <c r="U584" s="315">
        <v>0</v>
      </c>
      <c r="V584" s="315">
        <v>0</v>
      </c>
      <c r="W584" s="315">
        <v>0</v>
      </c>
      <c r="X584" s="315">
        <v>0</v>
      </c>
      <c r="Y584" s="315">
        <v>0</v>
      </c>
      <c r="Z584" s="315"/>
      <c r="AA584" s="336">
        <v>16</v>
      </c>
      <c r="AB584" s="336">
        <v>3</v>
      </c>
      <c r="AC584" s="337">
        <v>6</v>
      </c>
      <c r="AD584" s="337"/>
      <c r="AE584" s="336">
        <v>16</v>
      </c>
      <c r="AF584" s="336" t="s">
        <v>283</v>
      </c>
      <c r="AG584" s="339" t="s">
        <v>283</v>
      </c>
      <c r="AH584" s="339">
        <v>0</v>
      </c>
      <c r="AI584" s="336">
        <v>0</v>
      </c>
      <c r="AJ584" s="336"/>
      <c r="AK584" s="848">
        <v>0.5</v>
      </c>
      <c r="AL584" s="842" t="s">
        <v>376</v>
      </c>
      <c r="AM584" s="836">
        <v>0</v>
      </c>
      <c r="AN584" s="837">
        <v>4</v>
      </c>
      <c r="AO584" s="837">
        <v>0</v>
      </c>
      <c r="AP584" s="843">
        <v>0</v>
      </c>
      <c r="AQ584" s="839">
        <v>0</v>
      </c>
      <c r="AR584" s="839"/>
      <c r="AS584" s="839"/>
      <c r="AT584" s="839"/>
      <c r="AU584" s="839"/>
      <c r="AV584" s="849"/>
      <c r="AW584" s="134" t="s">
        <v>3208</v>
      </c>
      <c r="AX584" s="136" t="s">
        <v>3208</v>
      </c>
      <c r="AY584" s="137" t="s">
        <v>2576</v>
      </c>
      <c r="AZ584" s="136">
        <v>1</v>
      </c>
      <c r="BA584" s="136">
        <v>0.77913279132791335</v>
      </c>
      <c r="BB584" s="136">
        <v>1</v>
      </c>
      <c r="BC584" s="214">
        <v>492</v>
      </c>
      <c r="BD584" s="136">
        <v>0</v>
      </c>
      <c r="BE584" s="214">
        <v>0</v>
      </c>
      <c r="BF584" s="136">
        <v>1</v>
      </c>
      <c r="BG584" s="214">
        <v>492</v>
      </c>
      <c r="BH584" s="214">
        <v>0.98399999999999999</v>
      </c>
      <c r="BI584" s="134">
        <v>0</v>
      </c>
      <c r="BJ584" s="214">
        <v>0</v>
      </c>
      <c r="BK584" s="137">
        <v>1.6000000000000014E-2</v>
      </c>
      <c r="BL584" s="137">
        <v>1</v>
      </c>
      <c r="BM584" s="137">
        <v>19</v>
      </c>
      <c r="BN584" s="134">
        <v>0.65040650406504064</v>
      </c>
      <c r="BO584" s="351">
        <v>320</v>
      </c>
      <c r="BP584" s="134">
        <v>0.24390243902439024</v>
      </c>
      <c r="BQ584" s="214">
        <v>6</v>
      </c>
      <c r="BR584" s="137">
        <v>25</v>
      </c>
      <c r="BS584" s="138">
        <v>0.15789473684210525</v>
      </c>
      <c r="BT584" s="351">
        <v>120</v>
      </c>
      <c r="BU584" s="214">
        <v>0</v>
      </c>
      <c r="BV584" s="214">
        <v>0</v>
      </c>
      <c r="BW584" s="214">
        <v>0</v>
      </c>
      <c r="BX584" s="214">
        <v>0</v>
      </c>
      <c r="BY584" s="214">
        <v>0</v>
      </c>
      <c r="BZ584" s="134">
        <v>0</v>
      </c>
      <c r="CA584" s="138">
        <v>1</v>
      </c>
      <c r="CB584" s="136">
        <v>0</v>
      </c>
      <c r="CC584" s="136">
        <v>0</v>
      </c>
      <c r="CD584" s="136">
        <v>0</v>
      </c>
      <c r="CE584" s="137">
        <v>0</v>
      </c>
      <c r="CF584" s="137">
        <v>0</v>
      </c>
      <c r="CG584" s="137">
        <v>0</v>
      </c>
      <c r="CH584" s="214">
        <v>45</v>
      </c>
      <c r="CI584" s="139" t="s">
        <v>48</v>
      </c>
      <c r="CJ584" s="139" t="s">
        <v>389</v>
      </c>
      <c r="CK584" s="139" t="s">
        <v>50</v>
      </c>
      <c r="CL584" s="139" t="s">
        <v>50</v>
      </c>
      <c r="CM584" s="139" t="s">
        <v>929</v>
      </c>
      <c r="CN584" s="139" t="s">
        <v>51</v>
      </c>
      <c r="CO584" s="139">
        <v>25.350809000000002</v>
      </c>
      <c r="CP584" s="139">
        <v>97.432495000000003</v>
      </c>
      <c r="CQ584" s="139" t="s">
        <v>1999</v>
      </c>
      <c r="CR584" s="449" t="s">
        <v>40</v>
      </c>
      <c r="CS584" s="449"/>
      <c r="CT584" s="24"/>
      <c r="CU584" s="24"/>
      <c r="CV584" s="24"/>
    </row>
    <row r="585" spans="1:100" x14ac:dyDescent="0.25">
      <c r="A585" s="293" t="s">
        <v>2691</v>
      </c>
      <c r="B585" s="132" t="s">
        <v>460</v>
      </c>
      <c r="C585" s="132" t="s">
        <v>44</v>
      </c>
      <c r="D585" s="132" t="s">
        <v>288</v>
      </c>
      <c r="E585" s="132" t="s">
        <v>1222</v>
      </c>
      <c r="F585" s="132">
        <v>80</v>
      </c>
      <c r="G585" s="214">
        <v>449</v>
      </c>
      <c r="H585" s="132"/>
      <c r="I585" s="132"/>
      <c r="J585" s="133"/>
      <c r="K585" s="132"/>
      <c r="L585" s="132"/>
      <c r="M585" s="206"/>
      <c r="N585" s="206"/>
      <c r="O585" s="320"/>
      <c r="P585" s="326"/>
      <c r="Q585" s="326"/>
      <c r="R585" s="315"/>
      <c r="S585" s="315"/>
      <c r="T585" s="315"/>
      <c r="U585" s="315"/>
      <c r="V585" s="315"/>
      <c r="W585" s="315"/>
      <c r="X585" s="315"/>
      <c r="Y585" s="315"/>
      <c r="Z585" s="315"/>
      <c r="AA585" s="336"/>
      <c r="AB585" s="336"/>
      <c r="AC585" s="337"/>
      <c r="AD585" s="337"/>
      <c r="AE585" s="336"/>
      <c r="AF585" s="336"/>
      <c r="AG585" s="339"/>
      <c r="AH585" s="339"/>
      <c r="AI585" s="336"/>
      <c r="AJ585" s="336"/>
      <c r="AK585" s="848"/>
      <c r="AL585" s="836"/>
      <c r="AM585" s="836"/>
      <c r="AN585" s="837"/>
      <c r="AO585" s="837"/>
      <c r="AP585" s="839"/>
      <c r="AQ585" s="839"/>
      <c r="AR585" s="839"/>
      <c r="AS585" s="839"/>
      <c r="AT585" s="839"/>
      <c r="AU585" s="839"/>
      <c r="AV585" s="849"/>
      <c r="AW585" s="134" t="s">
        <v>3208</v>
      </c>
      <c r="AX585" s="136" t="s">
        <v>3208</v>
      </c>
      <c r="AY585" s="137" t="s">
        <v>2576</v>
      </c>
      <c r="AZ585" s="136">
        <v>0</v>
      </c>
      <c r="BA585" s="136">
        <v>0</v>
      </c>
      <c r="BB585" s="136">
        <v>0</v>
      </c>
      <c r="BC585" s="214">
        <v>0</v>
      </c>
      <c r="BD585" s="136">
        <v>0</v>
      </c>
      <c r="BE585" s="214">
        <v>0</v>
      </c>
      <c r="BF585" s="136">
        <v>0</v>
      </c>
      <c r="BG585" s="214">
        <v>0</v>
      </c>
      <c r="BH585" s="214">
        <v>0</v>
      </c>
      <c r="BI585" s="134">
        <v>1</v>
      </c>
      <c r="BJ585" s="214">
        <v>449</v>
      </c>
      <c r="BK585" s="137">
        <v>1</v>
      </c>
      <c r="BL585" s="137">
        <v>1</v>
      </c>
      <c r="BM585" s="137">
        <v>0</v>
      </c>
      <c r="BN585" s="134">
        <v>0</v>
      </c>
      <c r="BO585" s="351">
        <v>0</v>
      </c>
      <c r="BP585" s="134">
        <v>0.97995545657015593</v>
      </c>
      <c r="BQ585" s="214">
        <v>22</v>
      </c>
      <c r="BR585" s="137">
        <v>22</v>
      </c>
      <c r="BS585" s="138">
        <v>0</v>
      </c>
      <c r="BT585" s="351">
        <v>0</v>
      </c>
      <c r="BU585" s="214">
        <v>0</v>
      </c>
      <c r="BV585" s="214">
        <v>0</v>
      </c>
      <c r="BW585" s="214">
        <v>0</v>
      </c>
      <c r="BX585" s="214">
        <v>0</v>
      </c>
      <c r="BY585" s="214">
        <v>0</v>
      </c>
      <c r="BZ585" s="134">
        <v>0</v>
      </c>
      <c r="CA585" s="138">
        <v>1</v>
      </c>
      <c r="CB585" s="136">
        <v>0</v>
      </c>
      <c r="CC585" s="136">
        <v>0</v>
      </c>
      <c r="CD585" s="136">
        <v>0</v>
      </c>
      <c r="CE585" s="137">
        <v>0</v>
      </c>
      <c r="CF585" s="137">
        <v>0</v>
      </c>
      <c r="CG585" s="137">
        <v>0</v>
      </c>
      <c r="CH585" s="214">
        <v>0</v>
      </c>
      <c r="CI585" s="139">
        <v>0</v>
      </c>
      <c r="CJ585" s="139" t="s">
        <v>2959</v>
      </c>
      <c r="CK585" s="139" t="s">
        <v>50</v>
      </c>
      <c r="CL585" s="139" t="s">
        <v>50</v>
      </c>
      <c r="CM585" s="139" t="s">
        <v>946</v>
      </c>
      <c r="CN585" s="139" t="s">
        <v>51</v>
      </c>
      <c r="CO585" s="139">
        <v>0</v>
      </c>
      <c r="CP585" s="139">
        <v>0</v>
      </c>
      <c r="CQ585" s="139" t="s">
        <v>2683</v>
      </c>
      <c r="CR585" s="449" t="s">
        <v>3209</v>
      </c>
      <c r="CS585" s="449"/>
      <c r="CT585" s="24"/>
      <c r="CU585" s="24"/>
      <c r="CV585" s="24"/>
    </row>
    <row r="586" spans="1:100" x14ac:dyDescent="0.25">
      <c r="A586" s="293" t="s">
        <v>2691</v>
      </c>
      <c r="B586" s="132" t="s">
        <v>287</v>
      </c>
      <c r="C586" s="132" t="s">
        <v>44</v>
      </c>
      <c r="D586" s="132" t="s">
        <v>288</v>
      </c>
      <c r="E586" s="132" t="s">
        <v>289</v>
      </c>
      <c r="F586" s="132">
        <v>413</v>
      </c>
      <c r="G586" s="214">
        <v>1893</v>
      </c>
      <c r="H586" s="132"/>
      <c r="I586" s="132" t="s">
        <v>290</v>
      </c>
      <c r="J586" s="133">
        <v>43555</v>
      </c>
      <c r="K586" s="132">
        <v>0</v>
      </c>
      <c r="L586" s="132" t="s">
        <v>48</v>
      </c>
      <c r="M586" s="134">
        <v>0.8</v>
      </c>
      <c r="N586" s="134">
        <v>0.5</v>
      </c>
      <c r="O586" s="320">
        <v>0</v>
      </c>
      <c r="P586" s="326">
        <v>0</v>
      </c>
      <c r="Q586" s="326">
        <v>38880</v>
      </c>
      <c r="R586" s="315">
        <v>0</v>
      </c>
      <c r="S586" s="315">
        <v>0</v>
      </c>
      <c r="T586" s="315"/>
      <c r="U586" s="315">
        <v>0</v>
      </c>
      <c r="V586" s="315">
        <v>0</v>
      </c>
      <c r="W586" s="315">
        <v>0</v>
      </c>
      <c r="X586" s="315">
        <v>0</v>
      </c>
      <c r="Y586" s="315">
        <v>0</v>
      </c>
      <c r="Z586" s="315"/>
      <c r="AA586" s="336">
        <v>413</v>
      </c>
      <c r="AB586" s="336">
        <v>0</v>
      </c>
      <c r="AC586" s="337">
        <v>0</v>
      </c>
      <c r="AD586" s="337"/>
      <c r="AE586" s="336">
        <v>0</v>
      </c>
      <c r="AF586" s="336" t="s">
        <v>283</v>
      </c>
      <c r="AG586" s="339" t="s">
        <v>283</v>
      </c>
      <c r="AH586" s="339"/>
      <c r="AI586" s="336">
        <v>30</v>
      </c>
      <c r="AJ586" s="336"/>
      <c r="AK586" s="848">
        <v>1</v>
      </c>
      <c r="AL586" s="836" t="s">
        <v>284</v>
      </c>
      <c r="AM586" s="836">
        <v>400</v>
      </c>
      <c r="AN586" s="837">
        <v>9</v>
      </c>
      <c r="AO586" s="837">
        <v>6</v>
      </c>
      <c r="AP586" s="843">
        <v>0</v>
      </c>
      <c r="AQ586" s="839">
        <v>0</v>
      </c>
      <c r="AR586" s="839"/>
      <c r="AS586" s="839"/>
      <c r="AT586" s="839"/>
      <c r="AU586" s="839"/>
      <c r="AV586" s="849"/>
      <c r="AW586" s="134" t="s">
        <v>3208</v>
      </c>
      <c r="AX586" s="136" t="s">
        <v>3208</v>
      </c>
      <c r="AY586" s="137" t="s">
        <v>2576</v>
      </c>
      <c r="AZ586" s="136">
        <v>1</v>
      </c>
      <c r="BA586" s="136">
        <v>1</v>
      </c>
      <c r="BB586" s="136">
        <v>1</v>
      </c>
      <c r="BC586" s="214">
        <v>1893</v>
      </c>
      <c r="BD586" s="136">
        <v>0</v>
      </c>
      <c r="BE586" s="214">
        <v>0</v>
      </c>
      <c r="BF586" s="136">
        <v>1</v>
      </c>
      <c r="BG586" s="214">
        <v>1893</v>
      </c>
      <c r="BH586" s="214">
        <v>3.786</v>
      </c>
      <c r="BI586" s="134">
        <v>0</v>
      </c>
      <c r="BJ586" s="214">
        <v>0</v>
      </c>
      <c r="BK586" s="137">
        <v>0.21399999999999997</v>
      </c>
      <c r="BL586" s="137">
        <v>4</v>
      </c>
      <c r="BM586" s="137">
        <v>413</v>
      </c>
      <c r="BN586" s="134">
        <v>1</v>
      </c>
      <c r="BO586" s="351">
        <v>1893</v>
      </c>
      <c r="BP586" s="134">
        <v>0</v>
      </c>
      <c r="BQ586" s="214">
        <v>0</v>
      </c>
      <c r="BR586" s="137">
        <v>95</v>
      </c>
      <c r="BS586" s="138">
        <v>0</v>
      </c>
      <c r="BT586" s="351">
        <v>0</v>
      </c>
      <c r="BU586" s="214">
        <v>1893</v>
      </c>
      <c r="BV586" s="214">
        <v>0</v>
      </c>
      <c r="BW586" s="214">
        <v>1</v>
      </c>
      <c r="BX586" s="214">
        <v>0</v>
      </c>
      <c r="BY586" s="214">
        <v>0</v>
      </c>
      <c r="BZ586" s="134">
        <v>0</v>
      </c>
      <c r="CA586" s="138">
        <v>1</v>
      </c>
      <c r="CB586" s="136">
        <v>1</v>
      </c>
      <c r="CC586" s="136">
        <v>0</v>
      </c>
      <c r="CD586" s="136">
        <v>0</v>
      </c>
      <c r="CE586" s="137">
        <v>0</v>
      </c>
      <c r="CF586" s="137">
        <v>0</v>
      </c>
      <c r="CG586" s="137">
        <v>0</v>
      </c>
      <c r="CH586" s="214">
        <v>413</v>
      </c>
      <c r="CI586" s="139" t="s">
        <v>48</v>
      </c>
      <c r="CJ586" s="139" t="s">
        <v>287</v>
      </c>
      <c r="CK586" s="139" t="s">
        <v>50</v>
      </c>
      <c r="CL586" s="139" t="s">
        <v>50</v>
      </c>
      <c r="CM586" s="139" t="s">
        <v>50</v>
      </c>
      <c r="CN586" s="139" t="s">
        <v>949</v>
      </c>
      <c r="CO586" s="139">
        <v>0</v>
      </c>
      <c r="CP586" s="139">
        <v>0</v>
      </c>
      <c r="CQ586" s="139" t="s">
        <v>2096</v>
      </c>
      <c r="CR586" s="449" t="s">
        <v>40</v>
      </c>
      <c r="CS586" s="449"/>
      <c r="CT586" s="24"/>
      <c r="CU586" s="24"/>
      <c r="CV586" s="24"/>
    </row>
    <row r="587" spans="1:100" x14ac:dyDescent="0.25">
      <c r="A587" s="293" t="s">
        <v>2691</v>
      </c>
      <c r="B587" s="132" t="s">
        <v>287</v>
      </c>
      <c r="C587" s="132" t="s">
        <v>44</v>
      </c>
      <c r="D587" s="132" t="s">
        <v>288</v>
      </c>
      <c r="E587" s="132" t="s">
        <v>328</v>
      </c>
      <c r="F587" s="132">
        <v>179</v>
      </c>
      <c r="G587" s="214">
        <v>962</v>
      </c>
      <c r="H587" s="132"/>
      <c r="I587" s="132" t="s">
        <v>296</v>
      </c>
      <c r="J587" s="133">
        <v>43465</v>
      </c>
      <c r="K587" s="132">
        <v>0</v>
      </c>
      <c r="L587" s="132" t="s">
        <v>48</v>
      </c>
      <c r="M587" s="134">
        <v>0.6</v>
      </c>
      <c r="N587" s="134">
        <v>0.5</v>
      </c>
      <c r="O587" s="320">
        <v>0</v>
      </c>
      <c r="P587" s="326">
        <v>0</v>
      </c>
      <c r="Q587" s="326">
        <v>272160</v>
      </c>
      <c r="R587" s="315">
        <v>0</v>
      </c>
      <c r="S587" s="315">
        <v>0</v>
      </c>
      <c r="T587" s="315"/>
      <c r="U587" s="315">
        <v>0</v>
      </c>
      <c r="V587" s="315">
        <v>0</v>
      </c>
      <c r="W587" s="315">
        <v>0</v>
      </c>
      <c r="X587" s="315">
        <v>0</v>
      </c>
      <c r="Y587" s="315">
        <v>0</v>
      </c>
      <c r="Z587" s="315"/>
      <c r="AA587" s="336">
        <v>150</v>
      </c>
      <c r="AB587" s="336">
        <v>0</v>
      </c>
      <c r="AC587" s="337">
        <v>0</v>
      </c>
      <c r="AD587" s="337"/>
      <c r="AE587" s="336">
        <v>0</v>
      </c>
      <c r="AF587" s="336" t="s">
        <v>283</v>
      </c>
      <c r="AG587" s="339" t="s">
        <v>283</v>
      </c>
      <c r="AH587" s="339"/>
      <c r="AI587" s="336"/>
      <c r="AJ587" s="336"/>
      <c r="AK587" s="848">
        <v>1</v>
      </c>
      <c r="AL587" s="836" t="s">
        <v>291</v>
      </c>
      <c r="AM587" s="836">
        <v>0</v>
      </c>
      <c r="AN587" s="837">
        <v>4</v>
      </c>
      <c r="AO587" s="837">
        <v>3</v>
      </c>
      <c r="AP587" s="843">
        <v>0</v>
      </c>
      <c r="AQ587" s="839">
        <v>0</v>
      </c>
      <c r="AR587" s="839"/>
      <c r="AS587" s="839"/>
      <c r="AT587" s="839"/>
      <c r="AU587" s="839"/>
      <c r="AV587" s="849"/>
      <c r="AW587" s="134" t="s">
        <v>3208</v>
      </c>
      <c r="AX587" s="136" t="s">
        <v>3208</v>
      </c>
      <c r="AY587" s="137" t="s">
        <v>2576</v>
      </c>
      <c r="AZ587" s="136">
        <v>1</v>
      </c>
      <c r="BA587" s="136">
        <v>1</v>
      </c>
      <c r="BB587" s="136">
        <v>1</v>
      </c>
      <c r="BC587" s="214">
        <v>962</v>
      </c>
      <c r="BD587" s="136">
        <v>0</v>
      </c>
      <c r="BE587" s="214">
        <v>0</v>
      </c>
      <c r="BF587" s="136">
        <v>1</v>
      </c>
      <c r="BG587" s="214">
        <v>962</v>
      </c>
      <c r="BH587" s="214">
        <v>1.9239999999999999</v>
      </c>
      <c r="BI587" s="134">
        <v>0</v>
      </c>
      <c r="BJ587" s="214">
        <v>0</v>
      </c>
      <c r="BK587" s="137">
        <v>7.6000000000000068E-2</v>
      </c>
      <c r="BL587" s="137">
        <v>2</v>
      </c>
      <c r="BM587" s="137">
        <v>150</v>
      </c>
      <c r="BN587" s="134">
        <v>1</v>
      </c>
      <c r="BO587" s="351">
        <v>962</v>
      </c>
      <c r="BP587" s="134">
        <v>0</v>
      </c>
      <c r="BQ587" s="214">
        <v>0</v>
      </c>
      <c r="BR587" s="137">
        <v>48</v>
      </c>
      <c r="BS587" s="138">
        <v>0</v>
      </c>
      <c r="BT587" s="351">
        <v>0</v>
      </c>
      <c r="BU587" s="214">
        <v>962</v>
      </c>
      <c r="BV587" s="214">
        <v>0</v>
      </c>
      <c r="BW587" s="214">
        <v>1</v>
      </c>
      <c r="BX587" s="214">
        <v>0</v>
      </c>
      <c r="BY587" s="214">
        <v>0</v>
      </c>
      <c r="BZ587" s="134">
        <v>0</v>
      </c>
      <c r="CA587" s="138">
        <v>1</v>
      </c>
      <c r="CB587" s="136">
        <v>1</v>
      </c>
      <c r="CC587" s="136">
        <v>0</v>
      </c>
      <c r="CD587" s="136">
        <v>0</v>
      </c>
      <c r="CE587" s="137">
        <v>0</v>
      </c>
      <c r="CF587" s="137">
        <v>0</v>
      </c>
      <c r="CG587" s="137">
        <v>0</v>
      </c>
      <c r="CH587" s="214">
        <v>179</v>
      </c>
      <c r="CI587" s="139" t="s">
        <v>48</v>
      </c>
      <c r="CJ587" s="139" t="s">
        <v>287</v>
      </c>
      <c r="CK587" s="139" t="s">
        <v>50</v>
      </c>
      <c r="CL587" s="139" t="s">
        <v>50</v>
      </c>
      <c r="CM587" s="139" t="s">
        <v>50</v>
      </c>
      <c r="CN587" s="139" t="s">
        <v>51</v>
      </c>
      <c r="CO587" s="139">
        <v>25.418084</v>
      </c>
      <c r="CP587" s="139">
        <v>98.025662999999994</v>
      </c>
      <c r="CQ587" s="139" t="s">
        <v>2028</v>
      </c>
      <c r="CR587" s="449" t="s">
        <v>40</v>
      </c>
      <c r="CS587" s="449"/>
      <c r="CT587" s="24"/>
      <c r="CU587" s="24"/>
      <c r="CV587" s="24"/>
    </row>
    <row r="588" spans="1:100" x14ac:dyDescent="0.25">
      <c r="A588" s="293" t="s">
        <v>2691</v>
      </c>
      <c r="B588" s="132" t="s">
        <v>389</v>
      </c>
      <c r="C588" s="132" t="s">
        <v>44</v>
      </c>
      <c r="D588" s="132" t="s">
        <v>288</v>
      </c>
      <c r="E588" s="132" t="s">
        <v>424</v>
      </c>
      <c r="F588" s="132">
        <v>46</v>
      </c>
      <c r="G588" s="214">
        <v>190</v>
      </c>
      <c r="H588" s="132"/>
      <c r="I588" s="132" t="s">
        <v>391</v>
      </c>
      <c r="J588" s="133">
        <v>42947</v>
      </c>
      <c r="K588" s="132">
        <v>0</v>
      </c>
      <c r="L588" s="132" t="s">
        <v>48</v>
      </c>
      <c r="M588" s="134">
        <v>1</v>
      </c>
      <c r="N588" s="134">
        <v>1</v>
      </c>
      <c r="O588" s="320">
        <v>1</v>
      </c>
      <c r="P588" s="326">
        <v>0</v>
      </c>
      <c r="Q588" s="326">
        <v>1000</v>
      </c>
      <c r="R588" s="315">
        <v>0</v>
      </c>
      <c r="S588" s="315">
        <v>2</v>
      </c>
      <c r="T588" s="315"/>
      <c r="U588" s="315">
        <v>1</v>
      </c>
      <c r="V588" s="315">
        <v>0</v>
      </c>
      <c r="W588" s="315">
        <v>2</v>
      </c>
      <c r="X588" s="315">
        <v>1</v>
      </c>
      <c r="Y588" s="315">
        <v>0</v>
      </c>
      <c r="Z588" s="315"/>
      <c r="AA588" s="336">
        <v>4</v>
      </c>
      <c r="AB588" s="336">
        <v>2</v>
      </c>
      <c r="AC588" s="337">
        <v>2</v>
      </c>
      <c r="AD588" s="337" t="s">
        <v>2782</v>
      </c>
      <c r="AE588" s="336">
        <v>4</v>
      </c>
      <c r="AF588" s="336" t="s">
        <v>283</v>
      </c>
      <c r="AG588" s="339" t="s">
        <v>283</v>
      </c>
      <c r="AH588" s="339">
        <v>0</v>
      </c>
      <c r="AI588" s="336">
        <v>0</v>
      </c>
      <c r="AJ588" s="336"/>
      <c r="AK588" s="848">
        <v>0.5</v>
      </c>
      <c r="AL588" s="842" t="s">
        <v>376</v>
      </c>
      <c r="AM588" s="836">
        <v>0</v>
      </c>
      <c r="AN588" s="837">
        <v>2</v>
      </c>
      <c r="AO588" s="837">
        <v>0</v>
      </c>
      <c r="AP588" s="843">
        <v>0</v>
      </c>
      <c r="AQ588" s="839">
        <v>0</v>
      </c>
      <c r="AR588" s="839"/>
      <c r="AS588" s="839"/>
      <c r="AT588" s="839">
        <v>1</v>
      </c>
      <c r="AU588" s="839"/>
      <c r="AV588" s="849"/>
      <c r="AW588" s="134">
        <v>0</v>
      </c>
      <c r="AX588" s="136">
        <v>0.5</v>
      </c>
      <c r="AY588" s="137" t="s">
        <v>2577</v>
      </c>
      <c r="AZ588" s="136">
        <v>1</v>
      </c>
      <c r="BA588" s="136">
        <v>1</v>
      </c>
      <c r="BB588" s="136">
        <v>1</v>
      </c>
      <c r="BC588" s="214">
        <v>190</v>
      </c>
      <c r="BD588" s="136">
        <v>0</v>
      </c>
      <c r="BE588" s="214">
        <v>0</v>
      </c>
      <c r="BF588" s="136">
        <v>1</v>
      </c>
      <c r="BG588" s="214">
        <v>190</v>
      </c>
      <c r="BH588" s="214">
        <v>0.38</v>
      </c>
      <c r="BI588" s="134">
        <v>0</v>
      </c>
      <c r="BJ588" s="214">
        <v>0</v>
      </c>
      <c r="BK588" s="137">
        <v>0.62</v>
      </c>
      <c r="BL588" s="137">
        <v>1</v>
      </c>
      <c r="BM588" s="137">
        <v>6</v>
      </c>
      <c r="BN588" s="134">
        <v>0.42105263157894735</v>
      </c>
      <c r="BO588" s="351">
        <v>80</v>
      </c>
      <c r="BP588" s="134">
        <v>0.42105263157894735</v>
      </c>
      <c r="BQ588" s="214">
        <v>4</v>
      </c>
      <c r="BR588" s="137">
        <v>10</v>
      </c>
      <c r="BS588" s="138">
        <v>0.33333333333333331</v>
      </c>
      <c r="BT588" s="351">
        <v>40</v>
      </c>
      <c r="BU588" s="214">
        <v>0</v>
      </c>
      <c r="BV588" s="214">
        <v>0</v>
      </c>
      <c r="BW588" s="214">
        <v>0</v>
      </c>
      <c r="BX588" s="214">
        <v>0</v>
      </c>
      <c r="BY588" s="214">
        <v>0</v>
      </c>
      <c r="BZ588" s="134">
        <v>0</v>
      </c>
      <c r="CA588" s="138">
        <v>1</v>
      </c>
      <c r="CB588" s="136">
        <v>0</v>
      </c>
      <c r="CC588" s="136">
        <v>0</v>
      </c>
      <c r="CD588" s="136">
        <v>0</v>
      </c>
      <c r="CE588" s="137">
        <v>0</v>
      </c>
      <c r="CF588" s="137">
        <v>0</v>
      </c>
      <c r="CG588" s="137">
        <v>0</v>
      </c>
      <c r="CH588" s="214">
        <v>23</v>
      </c>
      <c r="CI588" s="139" t="s">
        <v>48</v>
      </c>
      <c r="CJ588" s="139" t="s">
        <v>389</v>
      </c>
      <c r="CK588" s="139" t="s">
        <v>50</v>
      </c>
      <c r="CL588" s="139" t="s">
        <v>50</v>
      </c>
      <c r="CM588" s="139" t="s">
        <v>50</v>
      </c>
      <c r="CN588" s="139" t="s">
        <v>51</v>
      </c>
      <c r="CO588" s="139">
        <v>25.333683333333301</v>
      </c>
      <c r="CP588" s="139">
        <v>97.428251153846105</v>
      </c>
      <c r="CQ588" s="139" t="s">
        <v>1997</v>
      </c>
      <c r="CR588" s="449" t="s">
        <v>40</v>
      </c>
      <c r="CS588" s="449"/>
      <c r="CT588" s="24"/>
      <c r="CU588" s="24"/>
      <c r="CV588" s="24"/>
    </row>
    <row r="589" spans="1:100" x14ac:dyDescent="0.25">
      <c r="A589" s="293" t="s">
        <v>2691</v>
      </c>
      <c r="B589" s="132" t="s">
        <v>287</v>
      </c>
      <c r="C589" s="132" t="s">
        <v>44</v>
      </c>
      <c r="D589" s="132" t="s">
        <v>288</v>
      </c>
      <c r="E589" s="132" t="s">
        <v>2951</v>
      </c>
      <c r="F589" s="132">
        <v>80</v>
      </c>
      <c r="G589" s="214">
        <v>344</v>
      </c>
      <c r="H589" s="132"/>
      <c r="I589" s="132" t="s">
        <v>296</v>
      </c>
      <c r="J589" s="133">
        <v>43465</v>
      </c>
      <c r="K589" s="132"/>
      <c r="L589" s="132"/>
      <c r="M589" s="206"/>
      <c r="N589" s="206"/>
      <c r="O589" s="320"/>
      <c r="P589" s="326"/>
      <c r="Q589" s="326"/>
      <c r="R589" s="315"/>
      <c r="S589" s="315"/>
      <c r="T589" s="315"/>
      <c r="U589" s="315"/>
      <c r="V589" s="315"/>
      <c r="W589" s="315"/>
      <c r="X589" s="315"/>
      <c r="Y589" s="315"/>
      <c r="Z589" s="315"/>
      <c r="AA589" s="336"/>
      <c r="AB589" s="336"/>
      <c r="AC589" s="337"/>
      <c r="AD589" s="337"/>
      <c r="AE589" s="336"/>
      <c r="AF589" s="336"/>
      <c r="AG589" s="339"/>
      <c r="AH589" s="339"/>
      <c r="AI589" s="336"/>
      <c r="AJ589" s="336"/>
      <c r="AK589" s="848"/>
      <c r="AL589" s="836"/>
      <c r="AM589" s="836"/>
      <c r="AN589" s="837"/>
      <c r="AO589" s="837"/>
      <c r="AP589" s="839"/>
      <c r="AQ589" s="839"/>
      <c r="AR589" s="839"/>
      <c r="AS589" s="839"/>
      <c r="AT589" s="839"/>
      <c r="AU589" s="839"/>
      <c r="AV589" s="849"/>
      <c r="AW589" s="134" t="s">
        <v>3208</v>
      </c>
      <c r="AX589" s="136" t="s">
        <v>3208</v>
      </c>
      <c r="AY589" s="137" t="s">
        <v>2576</v>
      </c>
      <c r="AZ589" s="136">
        <v>0</v>
      </c>
      <c r="BA589" s="136">
        <v>0</v>
      </c>
      <c r="BB589" s="136">
        <v>0</v>
      </c>
      <c r="BC589" s="214">
        <v>0</v>
      </c>
      <c r="BD589" s="136">
        <v>0</v>
      </c>
      <c r="BE589" s="214">
        <v>0</v>
      </c>
      <c r="BF589" s="136">
        <v>0</v>
      </c>
      <c r="BG589" s="214">
        <v>0</v>
      </c>
      <c r="BH589" s="214">
        <v>0</v>
      </c>
      <c r="BI589" s="134">
        <v>1</v>
      </c>
      <c r="BJ589" s="214">
        <v>344</v>
      </c>
      <c r="BK589" s="137">
        <v>1</v>
      </c>
      <c r="BL589" s="137">
        <v>1</v>
      </c>
      <c r="BM589" s="137">
        <v>0</v>
      </c>
      <c r="BN589" s="134">
        <v>0</v>
      </c>
      <c r="BO589" s="351">
        <v>0</v>
      </c>
      <c r="BP589" s="134">
        <v>0.9883720930232559</v>
      </c>
      <c r="BQ589" s="214">
        <v>17</v>
      </c>
      <c r="BR589" s="137">
        <v>17</v>
      </c>
      <c r="BS589" s="138">
        <v>0</v>
      </c>
      <c r="BT589" s="351">
        <v>0</v>
      </c>
      <c r="BU589" s="214">
        <v>0</v>
      </c>
      <c r="BV589" s="214">
        <v>0</v>
      </c>
      <c r="BW589" s="214">
        <v>0</v>
      </c>
      <c r="BX589" s="214">
        <v>0</v>
      </c>
      <c r="BY589" s="214">
        <v>0</v>
      </c>
      <c r="BZ589" s="134">
        <v>0</v>
      </c>
      <c r="CA589" s="138">
        <v>1</v>
      </c>
      <c r="CB589" s="136">
        <v>0</v>
      </c>
      <c r="CC589" s="136">
        <v>0</v>
      </c>
      <c r="CD589" s="136">
        <v>0</v>
      </c>
      <c r="CE589" s="137">
        <v>0</v>
      </c>
      <c r="CF589" s="137">
        <v>0</v>
      </c>
      <c r="CG589" s="137">
        <v>0</v>
      </c>
      <c r="CH589" s="214">
        <v>0</v>
      </c>
      <c r="CI589" s="139">
        <v>0</v>
      </c>
      <c r="CJ589" s="139" t="s">
        <v>287</v>
      </c>
      <c r="CK589" s="139" t="s">
        <v>2716</v>
      </c>
      <c r="CL589" s="139" t="s">
        <v>50</v>
      </c>
      <c r="CM589" s="139" t="s">
        <v>50</v>
      </c>
      <c r="CN589" s="139" t="s">
        <v>51</v>
      </c>
      <c r="CO589" s="139">
        <v>0</v>
      </c>
      <c r="CP589" s="139">
        <v>0</v>
      </c>
      <c r="CQ589" s="139" t="s">
        <v>2680</v>
      </c>
      <c r="CR589" s="449" t="s">
        <v>40</v>
      </c>
      <c r="CS589" s="449"/>
      <c r="CT589" s="24"/>
      <c r="CU589" s="24"/>
      <c r="CV589" s="24"/>
    </row>
    <row r="590" spans="1:100" x14ac:dyDescent="0.25">
      <c r="A590" s="293" t="s">
        <v>2691</v>
      </c>
      <c r="B590" s="132" t="s">
        <v>389</v>
      </c>
      <c r="C590" s="132" t="s">
        <v>44</v>
      </c>
      <c r="D590" s="132" t="s">
        <v>288</v>
      </c>
      <c r="E590" s="132" t="s">
        <v>425</v>
      </c>
      <c r="F590" s="132">
        <v>69</v>
      </c>
      <c r="G590" s="214">
        <v>291</v>
      </c>
      <c r="H590" s="132"/>
      <c r="I590" s="132" t="s">
        <v>391</v>
      </c>
      <c r="J590" s="133">
        <v>42947</v>
      </c>
      <c r="K590" s="132">
        <v>0</v>
      </c>
      <c r="L590" s="132" t="s">
        <v>48</v>
      </c>
      <c r="M590" s="134">
        <v>0.43</v>
      </c>
      <c r="N590" s="134">
        <v>0</v>
      </c>
      <c r="O590" s="320">
        <v>2</v>
      </c>
      <c r="P590" s="326">
        <v>0</v>
      </c>
      <c r="Q590" s="326">
        <v>3000</v>
      </c>
      <c r="R590" s="315">
        <v>0</v>
      </c>
      <c r="S590" s="315">
        <v>4</v>
      </c>
      <c r="T590" s="315"/>
      <c r="U590" s="315">
        <v>2</v>
      </c>
      <c r="V590" s="315">
        <v>1</v>
      </c>
      <c r="W590" s="315">
        <v>4</v>
      </c>
      <c r="X590" s="315">
        <v>1</v>
      </c>
      <c r="Y590" s="315">
        <v>0</v>
      </c>
      <c r="Z590" s="315"/>
      <c r="AA590" s="336">
        <v>8</v>
      </c>
      <c r="AB590" s="336">
        <v>1</v>
      </c>
      <c r="AC590" s="337">
        <v>0</v>
      </c>
      <c r="AD590" s="337" t="s">
        <v>2782</v>
      </c>
      <c r="AE590" s="336">
        <v>8</v>
      </c>
      <c r="AF590" s="336" t="s">
        <v>283</v>
      </c>
      <c r="AG590" s="339" t="s">
        <v>283</v>
      </c>
      <c r="AH590" s="339">
        <v>0</v>
      </c>
      <c r="AI590" s="336">
        <v>0</v>
      </c>
      <c r="AJ590" s="336"/>
      <c r="AK590" s="848">
        <v>0.5</v>
      </c>
      <c r="AL590" s="842" t="s">
        <v>376</v>
      </c>
      <c r="AM590" s="836">
        <v>0</v>
      </c>
      <c r="AN590" s="837">
        <v>4</v>
      </c>
      <c r="AO590" s="837">
        <v>0</v>
      </c>
      <c r="AP590" s="843">
        <v>0</v>
      </c>
      <c r="AQ590" s="839">
        <v>0</v>
      </c>
      <c r="AR590" s="839"/>
      <c r="AS590" s="839"/>
      <c r="AT590" s="839">
        <v>1</v>
      </c>
      <c r="AU590" s="839"/>
      <c r="AV590" s="849"/>
      <c r="AW590" s="134">
        <v>0.5</v>
      </c>
      <c r="AX590" s="136">
        <v>0.25</v>
      </c>
      <c r="AY590" s="137" t="s">
        <v>2577</v>
      </c>
      <c r="AZ590" s="136">
        <v>1</v>
      </c>
      <c r="BA590" s="136">
        <v>1</v>
      </c>
      <c r="BB590" s="136">
        <v>1</v>
      </c>
      <c r="BC590" s="214">
        <v>291</v>
      </c>
      <c r="BD590" s="136">
        <v>0</v>
      </c>
      <c r="BE590" s="214">
        <v>0</v>
      </c>
      <c r="BF590" s="136">
        <v>1</v>
      </c>
      <c r="BG590" s="214">
        <v>291</v>
      </c>
      <c r="BH590" s="214">
        <v>0.58199999999999996</v>
      </c>
      <c r="BI590" s="134">
        <v>0</v>
      </c>
      <c r="BJ590" s="214">
        <v>0</v>
      </c>
      <c r="BK590" s="137">
        <v>0.41800000000000004</v>
      </c>
      <c r="BL590" s="137">
        <v>1</v>
      </c>
      <c r="BM590" s="137">
        <v>9</v>
      </c>
      <c r="BN590" s="134">
        <v>0.54982817869415812</v>
      </c>
      <c r="BO590" s="351">
        <v>160</v>
      </c>
      <c r="BP590" s="134">
        <v>0.41237113402061853</v>
      </c>
      <c r="BQ590" s="214">
        <v>6</v>
      </c>
      <c r="BR590" s="137">
        <v>15</v>
      </c>
      <c r="BS590" s="138">
        <v>0.1111111111111111</v>
      </c>
      <c r="BT590" s="351">
        <v>0</v>
      </c>
      <c r="BU590" s="214">
        <v>0</v>
      </c>
      <c r="BV590" s="214">
        <v>0</v>
      </c>
      <c r="BW590" s="214">
        <v>0</v>
      </c>
      <c r="BX590" s="214">
        <v>0</v>
      </c>
      <c r="BY590" s="214">
        <v>0</v>
      </c>
      <c r="BZ590" s="134">
        <v>0</v>
      </c>
      <c r="CA590" s="138">
        <v>1</v>
      </c>
      <c r="CB590" s="136">
        <v>0</v>
      </c>
      <c r="CC590" s="136">
        <v>0</v>
      </c>
      <c r="CD590" s="136">
        <v>0</v>
      </c>
      <c r="CE590" s="137">
        <v>0</v>
      </c>
      <c r="CF590" s="137">
        <v>0</v>
      </c>
      <c r="CG590" s="137">
        <v>0</v>
      </c>
      <c r="CH590" s="214">
        <v>34.5</v>
      </c>
      <c r="CI590" s="139" t="s">
        <v>48</v>
      </c>
      <c r="CJ590" s="139" t="s">
        <v>389</v>
      </c>
      <c r="CK590" s="139" t="s">
        <v>50</v>
      </c>
      <c r="CL590" s="139" t="s">
        <v>50</v>
      </c>
      <c r="CM590" s="139" t="s">
        <v>50</v>
      </c>
      <c r="CN590" s="139" t="s">
        <v>51</v>
      </c>
      <c r="CO590" s="139">
        <v>25.351250396825399</v>
      </c>
      <c r="CP590" s="139">
        <v>97.444283730158702</v>
      </c>
      <c r="CQ590" s="139" t="s">
        <v>2001</v>
      </c>
      <c r="CR590" s="449" t="s">
        <v>40</v>
      </c>
      <c r="CS590" s="449"/>
      <c r="CT590" s="24"/>
      <c r="CU590" s="24"/>
      <c r="CV590" s="24"/>
    </row>
    <row r="591" spans="1:100" x14ac:dyDescent="0.25">
      <c r="A591" s="293" t="s">
        <v>2691</v>
      </c>
      <c r="B591" s="206" t="s">
        <v>338</v>
      </c>
      <c r="C591" s="183" t="s">
        <v>44</v>
      </c>
      <c r="D591" s="183" t="s">
        <v>288</v>
      </c>
      <c r="E591" s="206" t="s">
        <v>367</v>
      </c>
      <c r="F591" s="206">
        <v>560</v>
      </c>
      <c r="G591" s="209">
        <v>2902</v>
      </c>
      <c r="H591" s="206"/>
      <c r="I591" s="206" t="s">
        <v>364</v>
      </c>
      <c r="J591" s="207">
        <v>43281</v>
      </c>
      <c r="K591" s="206">
        <v>0</v>
      </c>
      <c r="L591" s="206" t="s">
        <v>48</v>
      </c>
      <c r="M591" s="208">
        <v>0.31</v>
      </c>
      <c r="N591" s="208">
        <v>0.31</v>
      </c>
      <c r="O591" s="323">
        <v>0</v>
      </c>
      <c r="P591" s="317">
        <v>0</v>
      </c>
      <c r="Q591" s="317">
        <v>58040</v>
      </c>
      <c r="R591" s="318">
        <v>0</v>
      </c>
      <c r="S591" s="318">
        <v>0</v>
      </c>
      <c r="T591" s="318"/>
      <c r="U591" s="318"/>
      <c r="V591" s="318"/>
      <c r="W591" s="318"/>
      <c r="X591" s="318"/>
      <c r="Y591" s="318"/>
      <c r="Z591" s="318">
        <v>0</v>
      </c>
      <c r="AA591" s="310">
        <v>78</v>
      </c>
      <c r="AB591" s="310">
        <v>8</v>
      </c>
      <c r="AC591" s="66"/>
      <c r="AD591" s="337"/>
      <c r="AE591" s="310">
        <v>1</v>
      </c>
      <c r="AF591" s="310" t="s">
        <v>283</v>
      </c>
      <c r="AG591" s="311" t="s">
        <v>283</v>
      </c>
      <c r="AH591" s="311"/>
      <c r="AI591" s="310"/>
      <c r="AJ591" s="310">
        <v>0</v>
      </c>
      <c r="AK591" s="841">
        <v>0.99</v>
      </c>
      <c r="AL591" s="842" t="s">
        <v>376</v>
      </c>
      <c r="AM591" s="842">
        <v>0</v>
      </c>
      <c r="AN591" s="837">
        <v>5</v>
      </c>
      <c r="AO591" s="837">
        <v>5</v>
      </c>
      <c r="AP591" s="843"/>
      <c r="AQ591" s="843"/>
      <c r="AR591" s="843"/>
      <c r="AS591" s="843"/>
      <c r="AT591" s="843"/>
      <c r="AU591" s="843"/>
      <c r="AV591" s="844">
        <v>0</v>
      </c>
      <c r="AW591" s="208" t="s">
        <v>3208</v>
      </c>
      <c r="AX591" s="211" t="s">
        <v>3208</v>
      </c>
      <c r="AY591" s="210" t="s">
        <v>2576</v>
      </c>
      <c r="AZ591" s="211">
        <v>1</v>
      </c>
      <c r="BA591" s="211">
        <v>1</v>
      </c>
      <c r="BB591" s="211">
        <v>1</v>
      </c>
      <c r="BC591" s="209">
        <v>2902</v>
      </c>
      <c r="BD591" s="211">
        <v>0</v>
      </c>
      <c r="BE591" s="209">
        <v>0</v>
      </c>
      <c r="BF591" s="211">
        <v>1</v>
      </c>
      <c r="BG591" s="209">
        <v>2902</v>
      </c>
      <c r="BH591" s="214">
        <v>6</v>
      </c>
      <c r="BI591" s="208">
        <v>0</v>
      </c>
      <c r="BJ591" s="209">
        <v>0</v>
      </c>
      <c r="BK591" s="210">
        <v>0</v>
      </c>
      <c r="BL591" s="210">
        <v>6</v>
      </c>
      <c r="BM591" s="210">
        <v>86</v>
      </c>
      <c r="BN591" s="208">
        <v>0.53756030323914539</v>
      </c>
      <c r="BO591" s="352">
        <v>1560</v>
      </c>
      <c r="BP591" s="208">
        <v>0.4066161268090972</v>
      </c>
      <c r="BQ591" s="209">
        <v>59</v>
      </c>
      <c r="BR591" s="210">
        <v>145</v>
      </c>
      <c r="BS591" s="212">
        <v>9.3023255813953487E-2</v>
      </c>
      <c r="BT591" s="352">
        <v>0</v>
      </c>
      <c r="BU591" s="209">
        <v>2500</v>
      </c>
      <c r="BV591" s="209">
        <v>0</v>
      </c>
      <c r="BW591" s="209">
        <v>1</v>
      </c>
      <c r="BX591" s="209">
        <v>0</v>
      </c>
      <c r="BY591" s="209">
        <v>0</v>
      </c>
      <c r="BZ591" s="208">
        <v>0</v>
      </c>
      <c r="CA591" s="212">
        <v>1</v>
      </c>
      <c r="CB591" s="211">
        <v>0.86147484493452786</v>
      </c>
      <c r="CC591" s="211">
        <v>0</v>
      </c>
      <c r="CD591" s="211">
        <v>0</v>
      </c>
      <c r="CE591" s="210">
        <v>0</v>
      </c>
      <c r="CF591" s="210">
        <v>0</v>
      </c>
      <c r="CG591" s="210">
        <v>0</v>
      </c>
      <c r="CH591" s="209">
        <v>554.4</v>
      </c>
      <c r="CI591" s="139" t="s">
        <v>48</v>
      </c>
      <c r="CJ591" s="139" t="s">
        <v>1539</v>
      </c>
      <c r="CK591" s="139" t="s">
        <v>50</v>
      </c>
      <c r="CL591" s="139" t="s">
        <v>50</v>
      </c>
      <c r="CM591" s="139" t="s">
        <v>50</v>
      </c>
      <c r="CN591" s="139" t="s">
        <v>949</v>
      </c>
      <c r="CO591" s="139">
        <v>24.755253</v>
      </c>
      <c r="CP591" s="139">
        <v>97.546893999999995</v>
      </c>
      <c r="CQ591" s="139" t="s">
        <v>1975</v>
      </c>
      <c r="CR591" s="449" t="s">
        <v>40</v>
      </c>
      <c r="CS591" s="660"/>
      <c r="CT591" s="24"/>
      <c r="CU591" s="24"/>
      <c r="CV591" s="24"/>
    </row>
    <row r="592" spans="1:100" x14ac:dyDescent="0.25">
      <c r="A592" s="293" t="s">
        <v>2691</v>
      </c>
      <c r="B592" s="183" t="s">
        <v>338</v>
      </c>
      <c r="C592" s="183" t="s">
        <v>44</v>
      </c>
      <c r="D592" s="183" t="s">
        <v>288</v>
      </c>
      <c r="E592" s="183" t="s">
        <v>369</v>
      </c>
      <c r="F592" s="183">
        <v>134</v>
      </c>
      <c r="G592" s="395">
        <v>709</v>
      </c>
      <c r="H592" s="183"/>
      <c r="I592" s="183" t="s">
        <v>364</v>
      </c>
      <c r="J592" s="184">
        <v>43281</v>
      </c>
      <c r="K592" s="183">
        <v>0</v>
      </c>
      <c r="L592" s="183" t="s">
        <v>48</v>
      </c>
      <c r="M592" s="185">
        <v>0.3</v>
      </c>
      <c r="N592" s="185">
        <v>0.3</v>
      </c>
      <c r="O592" s="320">
        <v>0</v>
      </c>
      <c r="P592" s="326">
        <v>0</v>
      </c>
      <c r="Q592" s="326">
        <v>14180</v>
      </c>
      <c r="R592" s="325">
        <v>0</v>
      </c>
      <c r="S592" s="325">
        <v>0</v>
      </c>
      <c r="T592" s="325"/>
      <c r="U592" s="315"/>
      <c r="V592" s="315"/>
      <c r="W592" s="315"/>
      <c r="X592" s="315"/>
      <c r="Y592" s="315"/>
      <c r="Z592" s="315">
        <v>0</v>
      </c>
      <c r="AA592" s="336">
        <v>44</v>
      </c>
      <c r="AB592" s="336">
        <v>0</v>
      </c>
      <c r="AC592" s="342"/>
      <c r="AD592" s="337"/>
      <c r="AE592" s="342">
        <v>1</v>
      </c>
      <c r="AF592" s="310" t="s">
        <v>283</v>
      </c>
      <c r="AG592" s="311" t="s">
        <v>1358</v>
      </c>
      <c r="AH592" s="337"/>
      <c r="AI592" s="337"/>
      <c r="AJ592" s="342">
        <v>0</v>
      </c>
      <c r="AK592" s="851">
        <v>1</v>
      </c>
      <c r="AL592" s="842" t="s">
        <v>376</v>
      </c>
      <c r="AM592" s="836">
        <v>0</v>
      </c>
      <c r="AN592" s="837">
        <v>7</v>
      </c>
      <c r="AO592" s="837">
        <v>0</v>
      </c>
      <c r="AP592" s="843"/>
      <c r="AQ592" s="839"/>
      <c r="AR592" s="839"/>
      <c r="AS592" s="839"/>
      <c r="AT592" s="839"/>
      <c r="AU592" s="839"/>
      <c r="AV592" s="852">
        <v>0</v>
      </c>
      <c r="AW592" s="134" t="s">
        <v>3208</v>
      </c>
      <c r="AX592" s="136" t="s">
        <v>3208</v>
      </c>
      <c r="AY592" s="137" t="s">
        <v>2576</v>
      </c>
      <c r="AZ592" s="136">
        <v>1</v>
      </c>
      <c r="BA592" s="136">
        <v>1</v>
      </c>
      <c r="BB592" s="136">
        <v>1</v>
      </c>
      <c r="BC592" s="214">
        <v>709</v>
      </c>
      <c r="BD592" s="136">
        <v>0</v>
      </c>
      <c r="BE592" s="214">
        <v>0</v>
      </c>
      <c r="BF592" s="136">
        <v>1</v>
      </c>
      <c r="BG592" s="214">
        <v>709</v>
      </c>
      <c r="BH592" s="214">
        <v>1.4179999999999999</v>
      </c>
      <c r="BI592" s="134">
        <v>0</v>
      </c>
      <c r="BJ592" s="214">
        <v>0</v>
      </c>
      <c r="BK592" s="137">
        <v>0</v>
      </c>
      <c r="BL592" s="137">
        <v>1</v>
      </c>
      <c r="BM592" s="137">
        <v>44</v>
      </c>
      <c r="BN592" s="134">
        <v>1</v>
      </c>
      <c r="BO592" s="351">
        <v>709</v>
      </c>
      <c r="BP592" s="134">
        <v>0</v>
      </c>
      <c r="BQ592" s="214">
        <v>0</v>
      </c>
      <c r="BR592" s="137">
        <v>35</v>
      </c>
      <c r="BS592" s="138">
        <v>0</v>
      </c>
      <c r="BT592" s="351">
        <v>0</v>
      </c>
      <c r="BU592" s="209">
        <v>0</v>
      </c>
      <c r="BV592" s="209">
        <v>0</v>
      </c>
      <c r="BW592" s="209">
        <v>0</v>
      </c>
      <c r="BX592" s="209">
        <v>0</v>
      </c>
      <c r="BY592" s="209">
        <v>0</v>
      </c>
      <c r="BZ592" s="134">
        <v>0</v>
      </c>
      <c r="CA592" s="138">
        <v>1</v>
      </c>
      <c r="CB592" s="136">
        <v>0</v>
      </c>
      <c r="CC592" s="136">
        <v>0</v>
      </c>
      <c r="CD592" s="136">
        <v>0</v>
      </c>
      <c r="CE592" s="137">
        <v>0</v>
      </c>
      <c r="CF592" s="137">
        <v>0</v>
      </c>
      <c r="CG592" s="351">
        <v>0</v>
      </c>
      <c r="CH592" s="214">
        <v>134</v>
      </c>
      <c r="CI592" s="139">
        <v>0</v>
      </c>
      <c r="CJ592" s="139">
        <v>0</v>
      </c>
      <c r="CK592" s="139" t="s">
        <v>1921</v>
      </c>
      <c r="CL592" s="139" t="s">
        <v>50</v>
      </c>
      <c r="CM592" s="139" t="s">
        <v>1323</v>
      </c>
      <c r="CN592" s="139" t="s">
        <v>949</v>
      </c>
      <c r="CO592" s="139">
        <v>0</v>
      </c>
      <c r="CP592" s="139">
        <v>0</v>
      </c>
      <c r="CQ592" s="139">
        <v>0</v>
      </c>
      <c r="CR592" s="449" t="s">
        <v>40</v>
      </c>
      <c r="CS592" s="139"/>
      <c r="CT592" s="24"/>
      <c r="CU592" s="24"/>
      <c r="CV592" s="24"/>
    </row>
    <row r="593" spans="1:100" x14ac:dyDescent="0.25">
      <c r="A593" s="293" t="s">
        <v>2691</v>
      </c>
      <c r="B593" s="101" t="s">
        <v>338</v>
      </c>
      <c r="C593" s="101" t="s">
        <v>44</v>
      </c>
      <c r="D593" s="101" t="s">
        <v>288</v>
      </c>
      <c r="E593" s="101" t="s">
        <v>368</v>
      </c>
      <c r="F593" s="132">
        <v>546</v>
      </c>
      <c r="G593" s="214">
        <v>2550</v>
      </c>
      <c r="H593" s="132"/>
      <c r="I593" s="101" t="s">
        <v>364</v>
      </c>
      <c r="J593" s="133">
        <v>43281</v>
      </c>
      <c r="K593" s="101">
        <v>0</v>
      </c>
      <c r="L593" s="101" t="s">
        <v>282</v>
      </c>
      <c r="M593" s="103">
        <v>0</v>
      </c>
      <c r="N593" s="103">
        <v>0</v>
      </c>
      <c r="O593" s="320">
        <v>3</v>
      </c>
      <c r="P593" s="326">
        <v>0</v>
      </c>
      <c r="Q593" s="326">
        <v>0</v>
      </c>
      <c r="R593" s="322">
        <v>0</v>
      </c>
      <c r="S593" s="322">
        <v>0</v>
      </c>
      <c r="T593" s="322"/>
      <c r="U593" s="317"/>
      <c r="V593" s="317"/>
      <c r="W593" s="317"/>
      <c r="X593" s="317"/>
      <c r="Y593" s="317"/>
      <c r="Z593" s="315">
        <v>0</v>
      </c>
      <c r="AA593" s="310">
        <v>357</v>
      </c>
      <c r="AB593" s="311">
        <v>0</v>
      </c>
      <c r="AC593" s="337"/>
      <c r="AD593" s="337"/>
      <c r="AE593" s="340">
        <v>0</v>
      </c>
      <c r="AF593" s="310" t="s">
        <v>332</v>
      </c>
      <c r="AG593" s="310" t="s">
        <v>332</v>
      </c>
      <c r="AH593" s="66"/>
      <c r="AI593" s="66"/>
      <c r="AJ593" s="341">
        <v>0</v>
      </c>
      <c r="AK593" s="845">
        <v>1</v>
      </c>
      <c r="AL593" s="846"/>
      <c r="AM593" s="844">
        <v>0</v>
      </c>
      <c r="AN593" s="837">
        <v>0</v>
      </c>
      <c r="AO593" s="837">
        <v>0</v>
      </c>
      <c r="AP593" s="843"/>
      <c r="AQ593" s="843"/>
      <c r="AR593" s="843"/>
      <c r="AS593" s="843"/>
      <c r="AT593" s="843"/>
      <c r="AU593" s="843"/>
      <c r="AV593" s="849">
        <v>0</v>
      </c>
      <c r="AW593" s="134" t="s">
        <v>3208</v>
      </c>
      <c r="AX593" s="136" t="s">
        <v>3208</v>
      </c>
      <c r="AY593" s="137" t="s">
        <v>2576</v>
      </c>
      <c r="AZ593" s="136">
        <v>1</v>
      </c>
      <c r="BA593" s="136">
        <v>0.29411764705882354</v>
      </c>
      <c r="BB593" s="136">
        <v>1</v>
      </c>
      <c r="BC593" s="214">
        <v>2550</v>
      </c>
      <c r="BD593" s="136">
        <v>0</v>
      </c>
      <c r="BE593" s="214">
        <v>0</v>
      </c>
      <c r="BF593" s="136">
        <v>1</v>
      </c>
      <c r="BG593" s="214">
        <v>2550</v>
      </c>
      <c r="BH593" s="214">
        <v>5.0999999999999996</v>
      </c>
      <c r="BI593" s="134">
        <v>0</v>
      </c>
      <c r="BJ593" s="214">
        <v>0</v>
      </c>
      <c r="BK593" s="137">
        <v>0</v>
      </c>
      <c r="BL593" s="137">
        <v>5</v>
      </c>
      <c r="BM593" s="137">
        <v>357</v>
      </c>
      <c r="BN593" s="134">
        <v>1</v>
      </c>
      <c r="BO593" s="351">
        <v>2550</v>
      </c>
      <c r="BP593" s="134">
        <v>0</v>
      </c>
      <c r="BQ593" s="214">
        <v>0</v>
      </c>
      <c r="BR593" s="137">
        <v>128</v>
      </c>
      <c r="BS593" s="138">
        <v>0</v>
      </c>
      <c r="BT593" s="351">
        <v>0</v>
      </c>
      <c r="BU593" s="209">
        <v>0</v>
      </c>
      <c r="BV593" s="209">
        <v>0</v>
      </c>
      <c r="BW593" s="209">
        <v>0</v>
      </c>
      <c r="BX593" s="209">
        <v>0</v>
      </c>
      <c r="BY593" s="209">
        <v>0</v>
      </c>
      <c r="BZ593" s="134">
        <v>0</v>
      </c>
      <c r="CA593" s="138">
        <v>1</v>
      </c>
      <c r="CB593" s="136">
        <v>0</v>
      </c>
      <c r="CC593" s="136">
        <v>0</v>
      </c>
      <c r="CD593" s="136">
        <v>0</v>
      </c>
      <c r="CE593" s="137">
        <v>0</v>
      </c>
      <c r="CF593" s="137">
        <v>0</v>
      </c>
      <c r="CG593" s="351">
        <v>0</v>
      </c>
      <c r="CH593" s="214">
        <v>546</v>
      </c>
      <c r="CI593" s="139">
        <v>0</v>
      </c>
      <c r="CJ593" s="139">
        <v>0</v>
      </c>
      <c r="CK593" s="139" t="s">
        <v>1921</v>
      </c>
      <c r="CL593" s="139" t="s">
        <v>50</v>
      </c>
      <c r="CM593" s="139" t="s">
        <v>942</v>
      </c>
      <c r="CN593" s="139" t="s">
        <v>949</v>
      </c>
      <c r="CO593" s="139">
        <v>0</v>
      </c>
      <c r="CP593" s="139">
        <v>0</v>
      </c>
      <c r="CQ593" s="139">
        <v>0</v>
      </c>
      <c r="CR593" s="449" t="s">
        <v>40</v>
      </c>
      <c r="CS593" s="139"/>
      <c r="CT593" s="24"/>
      <c r="CU593" s="24"/>
      <c r="CV593" s="24"/>
    </row>
    <row r="594" spans="1:100" x14ac:dyDescent="0.25">
      <c r="A594" s="293" t="s">
        <v>2691</v>
      </c>
      <c r="B594" s="101" t="s">
        <v>2444</v>
      </c>
      <c r="C594" s="101" t="s">
        <v>454</v>
      </c>
      <c r="D594" s="101" t="s">
        <v>486</v>
      </c>
      <c r="E594" s="101" t="s">
        <v>545</v>
      </c>
      <c r="F594" s="206">
        <f>ROUND(WWWW[[#This Row],[Total PoP ]]/5,0)</f>
        <v>68</v>
      </c>
      <c r="G594" s="396">
        <v>342</v>
      </c>
      <c r="H594" s="101"/>
      <c r="I594" s="101" t="s">
        <v>488</v>
      </c>
      <c r="J594" s="102">
        <v>43586</v>
      </c>
      <c r="K594" s="101"/>
      <c r="L594" s="101" t="s">
        <v>48</v>
      </c>
      <c r="M594" s="103">
        <v>0</v>
      </c>
      <c r="N594" s="195">
        <v>0</v>
      </c>
      <c r="O594" s="319">
        <v>0</v>
      </c>
      <c r="P594" s="320">
        <v>0</v>
      </c>
      <c r="Q594" s="326"/>
      <c r="R594" s="315"/>
      <c r="S594" s="315">
        <v>0</v>
      </c>
      <c r="T594" s="315"/>
      <c r="U594" s="315"/>
      <c r="V594" s="315"/>
      <c r="W594" s="315"/>
      <c r="X594" s="315"/>
      <c r="Y594" s="315"/>
      <c r="Z594" s="315"/>
      <c r="AA594" s="336">
        <v>0</v>
      </c>
      <c r="AB594" s="336"/>
      <c r="AC594" s="336"/>
      <c r="AD594" s="337"/>
      <c r="AE594" s="336">
        <v>0</v>
      </c>
      <c r="AF594" s="336" t="s">
        <v>286</v>
      </c>
      <c r="AG594" s="339" t="s">
        <v>286</v>
      </c>
      <c r="AH594" s="337"/>
      <c r="AI594" s="337"/>
      <c r="AJ594" s="336"/>
      <c r="AK594" s="848">
        <v>0</v>
      </c>
      <c r="AL594" s="836"/>
      <c r="AM594" s="836">
        <v>0</v>
      </c>
      <c r="AN594" s="837"/>
      <c r="AO594" s="837">
        <v>0</v>
      </c>
      <c r="AP594" s="843"/>
      <c r="AQ594" s="839"/>
      <c r="AR594" s="839"/>
      <c r="AS594" s="839"/>
      <c r="AT594" s="839"/>
      <c r="AU594" s="839"/>
      <c r="AV594" s="849"/>
      <c r="AW594" s="134" t="s">
        <v>3208</v>
      </c>
      <c r="AX594" s="136" t="s">
        <v>3208</v>
      </c>
      <c r="AY594" s="137" t="s">
        <v>2576</v>
      </c>
      <c r="AZ594" s="136">
        <v>0</v>
      </c>
      <c r="BA594" s="136">
        <v>0</v>
      </c>
      <c r="BB594" s="136">
        <v>0</v>
      </c>
      <c r="BC594" s="214">
        <v>0</v>
      </c>
      <c r="BD594" s="136">
        <v>0</v>
      </c>
      <c r="BE594" s="214">
        <v>0</v>
      </c>
      <c r="BF594" s="136">
        <v>0</v>
      </c>
      <c r="BG594" s="214">
        <v>0</v>
      </c>
      <c r="BH594" s="214">
        <v>0</v>
      </c>
      <c r="BI594" s="134">
        <v>1</v>
      </c>
      <c r="BJ594" s="214">
        <v>342</v>
      </c>
      <c r="BK594" s="137">
        <v>1</v>
      </c>
      <c r="BL594" s="137">
        <v>1</v>
      </c>
      <c r="BM594" s="137">
        <v>0</v>
      </c>
      <c r="BN594" s="134">
        <v>0</v>
      </c>
      <c r="BO594" s="351">
        <v>0</v>
      </c>
      <c r="BP594" s="134">
        <v>1</v>
      </c>
      <c r="BQ594" s="214">
        <v>57</v>
      </c>
      <c r="BR594" s="137">
        <v>57</v>
      </c>
      <c r="BS594" s="138">
        <v>0</v>
      </c>
      <c r="BT594" s="351" t="s">
        <v>103</v>
      </c>
      <c r="BU594" s="209">
        <v>0</v>
      </c>
      <c r="BV594" s="209">
        <v>0</v>
      </c>
      <c r="BW594" s="209">
        <v>0</v>
      </c>
      <c r="BX594" s="209">
        <v>0</v>
      </c>
      <c r="BY594" s="209">
        <v>0</v>
      </c>
      <c r="BZ594" s="134">
        <v>0</v>
      </c>
      <c r="CA594" s="138">
        <v>1</v>
      </c>
      <c r="CB594" s="136">
        <v>0</v>
      </c>
      <c r="CC594" s="136">
        <v>0</v>
      </c>
      <c r="CD594" s="136">
        <v>0</v>
      </c>
      <c r="CE594" s="137">
        <v>0</v>
      </c>
      <c r="CF594" s="137">
        <v>0</v>
      </c>
      <c r="CG594" s="351">
        <v>0</v>
      </c>
      <c r="CH594" s="214">
        <v>0</v>
      </c>
      <c r="CI594" s="139">
        <v>0</v>
      </c>
      <c r="CJ594" s="139">
        <v>0</v>
      </c>
      <c r="CK594" s="139" t="s">
        <v>975</v>
      </c>
      <c r="CL594" s="139" t="s">
        <v>969</v>
      </c>
      <c r="CM594" s="139" t="s">
        <v>975</v>
      </c>
      <c r="CN594" s="139" t="s">
        <v>978</v>
      </c>
      <c r="CO594" s="139">
        <v>19.726810455322301</v>
      </c>
      <c r="CP594" s="139">
        <v>94.0286865234375</v>
      </c>
      <c r="CQ594" s="139" t="s">
        <v>1584</v>
      </c>
      <c r="CR594" s="449" t="s">
        <v>40</v>
      </c>
      <c r="CS594" s="139"/>
      <c r="CT594" s="24"/>
      <c r="CU594" s="24"/>
      <c r="CV594" s="24"/>
    </row>
    <row r="595" spans="1:100" x14ac:dyDescent="0.25">
      <c r="A595" s="293" t="s">
        <v>2691</v>
      </c>
      <c r="B595" s="206" t="s">
        <v>2444</v>
      </c>
      <c r="C595" s="183" t="s">
        <v>454</v>
      </c>
      <c r="D595" s="183" t="s">
        <v>486</v>
      </c>
      <c r="E595" s="183" t="s">
        <v>557</v>
      </c>
      <c r="F595" s="206">
        <f>ROUND(WWWW[[#This Row],[Total PoP ]]/5,0)</f>
        <v>80</v>
      </c>
      <c r="G595" s="209">
        <v>398</v>
      </c>
      <c r="H595" s="206"/>
      <c r="I595" s="206" t="s">
        <v>488</v>
      </c>
      <c r="J595" s="207">
        <v>43586</v>
      </c>
      <c r="K595" s="206"/>
      <c r="L595" s="206" t="s">
        <v>48</v>
      </c>
      <c r="M595" s="208">
        <v>0</v>
      </c>
      <c r="N595" s="195">
        <v>0</v>
      </c>
      <c r="O595" s="316">
        <v>0</v>
      </c>
      <c r="P595" s="317">
        <v>0</v>
      </c>
      <c r="Q595" s="317"/>
      <c r="R595" s="318"/>
      <c r="S595" s="318">
        <v>0</v>
      </c>
      <c r="T595" s="318"/>
      <c r="U595" s="318"/>
      <c r="V595" s="318"/>
      <c r="W595" s="318"/>
      <c r="X595" s="318"/>
      <c r="Y595" s="318"/>
      <c r="Z595" s="318"/>
      <c r="AA595" s="310">
        <v>0</v>
      </c>
      <c r="AB595" s="310"/>
      <c r="AC595" s="66"/>
      <c r="AD595" s="337"/>
      <c r="AE595" s="310">
        <v>0</v>
      </c>
      <c r="AF595" s="310" t="s">
        <v>286</v>
      </c>
      <c r="AG595" s="311" t="s">
        <v>286</v>
      </c>
      <c r="AH595" s="311"/>
      <c r="AI595" s="310"/>
      <c r="AJ595" s="310"/>
      <c r="AK595" s="841">
        <v>0</v>
      </c>
      <c r="AL595" s="842"/>
      <c r="AM595" s="842">
        <v>0</v>
      </c>
      <c r="AN595" s="837"/>
      <c r="AO595" s="837">
        <v>0</v>
      </c>
      <c r="AP595" s="843"/>
      <c r="AQ595" s="843"/>
      <c r="AR595" s="843"/>
      <c r="AS595" s="843"/>
      <c r="AT595" s="843"/>
      <c r="AU595" s="843"/>
      <c r="AV595" s="844"/>
      <c r="AW595" s="208" t="s">
        <v>3208</v>
      </c>
      <c r="AX595" s="211" t="s">
        <v>3208</v>
      </c>
      <c r="AY595" s="210" t="s">
        <v>2576</v>
      </c>
      <c r="AZ595" s="211">
        <v>0</v>
      </c>
      <c r="BA595" s="211">
        <v>0</v>
      </c>
      <c r="BB595" s="211">
        <v>0</v>
      </c>
      <c r="BC595" s="209">
        <v>0</v>
      </c>
      <c r="BD595" s="211">
        <v>0</v>
      </c>
      <c r="BE595" s="209">
        <v>0</v>
      </c>
      <c r="BF595" s="211">
        <v>0</v>
      </c>
      <c r="BG595" s="209">
        <v>0</v>
      </c>
      <c r="BH595" s="214">
        <v>0</v>
      </c>
      <c r="BI595" s="208">
        <v>1</v>
      </c>
      <c r="BJ595" s="209">
        <v>398</v>
      </c>
      <c r="BK595" s="210">
        <v>1</v>
      </c>
      <c r="BL595" s="210">
        <v>1</v>
      </c>
      <c r="BM595" s="210">
        <v>0</v>
      </c>
      <c r="BN595" s="208">
        <v>0</v>
      </c>
      <c r="BO595" s="352">
        <v>0</v>
      </c>
      <c r="BP595" s="208">
        <v>0.99497487437185939</v>
      </c>
      <c r="BQ595" s="209">
        <v>66</v>
      </c>
      <c r="BR595" s="210">
        <v>66</v>
      </c>
      <c r="BS595" s="212">
        <v>0</v>
      </c>
      <c r="BT595" s="352" t="s">
        <v>103</v>
      </c>
      <c r="BU595" s="209">
        <v>0</v>
      </c>
      <c r="BV595" s="209">
        <v>0</v>
      </c>
      <c r="BW595" s="209">
        <v>0</v>
      </c>
      <c r="BX595" s="209">
        <v>0</v>
      </c>
      <c r="BY595" s="209">
        <v>0</v>
      </c>
      <c r="BZ595" s="208">
        <v>0</v>
      </c>
      <c r="CA595" s="212">
        <v>1</v>
      </c>
      <c r="CB595" s="211">
        <v>0</v>
      </c>
      <c r="CC595" s="211">
        <v>0</v>
      </c>
      <c r="CD595" s="211">
        <v>0</v>
      </c>
      <c r="CE595" s="210">
        <v>0</v>
      </c>
      <c r="CF595" s="210">
        <v>0</v>
      </c>
      <c r="CG595" s="210">
        <v>0</v>
      </c>
      <c r="CH595" s="209">
        <v>0</v>
      </c>
      <c r="CI595" s="139">
        <v>0</v>
      </c>
      <c r="CJ595" s="139">
        <v>0</v>
      </c>
      <c r="CK595" s="139" t="s">
        <v>975</v>
      </c>
      <c r="CL595" s="139" t="s">
        <v>969</v>
      </c>
      <c r="CM595" s="139" t="s">
        <v>975</v>
      </c>
      <c r="CN595" s="139" t="s">
        <v>454</v>
      </c>
      <c r="CO595" s="139">
        <v>19.9947109222412</v>
      </c>
      <c r="CP595" s="139">
        <v>93.836921691894503</v>
      </c>
      <c r="CQ595" s="139" t="s">
        <v>1597</v>
      </c>
      <c r="CR595" s="660" t="s">
        <v>40</v>
      </c>
      <c r="CS595" s="660"/>
      <c r="CT595" s="24"/>
      <c r="CU595" s="24"/>
      <c r="CV595" s="24"/>
    </row>
    <row r="596" spans="1:100" x14ac:dyDescent="0.25">
      <c r="A596" s="293" t="s">
        <v>2691</v>
      </c>
      <c r="B596" s="206" t="s">
        <v>2444</v>
      </c>
      <c r="C596" s="183" t="s">
        <v>454</v>
      </c>
      <c r="D596" s="183" t="s">
        <v>486</v>
      </c>
      <c r="E596" s="183" t="s">
        <v>552</v>
      </c>
      <c r="F596" s="206">
        <f>ROUND(WWWW[[#This Row],[Total PoP ]]/5,0)</f>
        <v>109</v>
      </c>
      <c r="G596" s="209">
        <v>546</v>
      </c>
      <c r="H596" s="206"/>
      <c r="I596" s="206" t="s">
        <v>488</v>
      </c>
      <c r="J596" s="207">
        <v>43586</v>
      </c>
      <c r="K596" s="206"/>
      <c r="L596" s="206" t="s">
        <v>48</v>
      </c>
      <c r="M596" s="208">
        <v>0</v>
      </c>
      <c r="N596" s="195">
        <v>0</v>
      </c>
      <c r="O596" s="316">
        <v>0</v>
      </c>
      <c r="P596" s="317">
        <v>0</v>
      </c>
      <c r="Q596" s="317"/>
      <c r="R596" s="318"/>
      <c r="S596" s="318">
        <v>0</v>
      </c>
      <c r="T596" s="318"/>
      <c r="U596" s="318"/>
      <c r="V596" s="318"/>
      <c r="W596" s="318"/>
      <c r="X596" s="318"/>
      <c r="Y596" s="318"/>
      <c r="Z596" s="318"/>
      <c r="AA596" s="310">
        <v>0</v>
      </c>
      <c r="AB596" s="310"/>
      <c r="AC596" s="66"/>
      <c r="AD596" s="337"/>
      <c r="AE596" s="310">
        <v>0</v>
      </c>
      <c r="AF596" s="310" t="s">
        <v>286</v>
      </c>
      <c r="AG596" s="311" t="s">
        <v>286</v>
      </c>
      <c r="AH596" s="311"/>
      <c r="AI596" s="310"/>
      <c r="AJ596" s="310"/>
      <c r="AK596" s="841">
        <v>0</v>
      </c>
      <c r="AL596" s="842"/>
      <c r="AM596" s="842">
        <v>0</v>
      </c>
      <c r="AN596" s="837"/>
      <c r="AO596" s="837">
        <v>0</v>
      </c>
      <c r="AP596" s="843"/>
      <c r="AQ596" s="843"/>
      <c r="AR596" s="843"/>
      <c r="AS596" s="843"/>
      <c r="AT596" s="843"/>
      <c r="AU596" s="843"/>
      <c r="AV596" s="844"/>
      <c r="AW596" s="208" t="s">
        <v>3208</v>
      </c>
      <c r="AX596" s="211" t="s">
        <v>3208</v>
      </c>
      <c r="AY596" s="210" t="s">
        <v>2576</v>
      </c>
      <c r="AZ596" s="211">
        <v>0</v>
      </c>
      <c r="BA596" s="211">
        <v>0</v>
      </c>
      <c r="BB596" s="211">
        <v>0</v>
      </c>
      <c r="BC596" s="209">
        <v>0</v>
      </c>
      <c r="BD596" s="211">
        <v>0</v>
      </c>
      <c r="BE596" s="209">
        <v>0</v>
      </c>
      <c r="BF596" s="211">
        <v>0</v>
      </c>
      <c r="BG596" s="209">
        <v>0</v>
      </c>
      <c r="BH596" s="214">
        <v>0</v>
      </c>
      <c r="BI596" s="208">
        <v>1</v>
      </c>
      <c r="BJ596" s="209">
        <v>546</v>
      </c>
      <c r="BK596" s="210">
        <v>1</v>
      </c>
      <c r="BL596" s="210">
        <v>1</v>
      </c>
      <c r="BM596" s="210">
        <v>0</v>
      </c>
      <c r="BN596" s="208">
        <v>0</v>
      </c>
      <c r="BO596" s="352">
        <v>0</v>
      </c>
      <c r="BP596" s="208">
        <v>1</v>
      </c>
      <c r="BQ596" s="209">
        <v>91</v>
      </c>
      <c r="BR596" s="210">
        <v>91</v>
      </c>
      <c r="BS596" s="212">
        <v>0</v>
      </c>
      <c r="BT596" s="352" t="s">
        <v>103</v>
      </c>
      <c r="BU596" s="209">
        <v>0</v>
      </c>
      <c r="BV596" s="209">
        <v>0</v>
      </c>
      <c r="BW596" s="209">
        <v>0</v>
      </c>
      <c r="BX596" s="209">
        <v>0</v>
      </c>
      <c r="BY596" s="209">
        <v>0</v>
      </c>
      <c r="BZ596" s="208">
        <v>0</v>
      </c>
      <c r="CA596" s="212">
        <v>1</v>
      </c>
      <c r="CB596" s="211">
        <v>0</v>
      </c>
      <c r="CC596" s="211">
        <v>0</v>
      </c>
      <c r="CD596" s="211">
        <v>0</v>
      </c>
      <c r="CE596" s="210">
        <v>0</v>
      </c>
      <c r="CF596" s="210">
        <v>0</v>
      </c>
      <c r="CG596" s="210">
        <v>0</v>
      </c>
      <c r="CH596" s="209">
        <v>0</v>
      </c>
      <c r="CI596" s="139">
        <v>0</v>
      </c>
      <c r="CJ596" s="139">
        <v>0</v>
      </c>
      <c r="CK596" s="139" t="s">
        <v>975</v>
      </c>
      <c r="CL596" s="139" t="s">
        <v>969</v>
      </c>
      <c r="CM596" s="139" t="s">
        <v>975</v>
      </c>
      <c r="CN596" s="139" t="s">
        <v>454</v>
      </c>
      <c r="CO596" s="139">
        <v>19.985679626464801</v>
      </c>
      <c r="CP596" s="139">
        <v>93.843322753906307</v>
      </c>
      <c r="CQ596" s="139" t="s">
        <v>1592</v>
      </c>
      <c r="CR596" s="660" t="s">
        <v>40</v>
      </c>
      <c r="CS596" s="660"/>
      <c r="CT596" s="24"/>
      <c r="CU596" s="24"/>
      <c r="CV596" s="24"/>
    </row>
    <row r="597" spans="1:100" x14ac:dyDescent="0.25">
      <c r="A597" s="293" t="s">
        <v>2691</v>
      </c>
      <c r="B597" s="183" t="s">
        <v>2444</v>
      </c>
      <c r="C597" s="183" t="s">
        <v>454</v>
      </c>
      <c r="D597" s="183" t="s">
        <v>486</v>
      </c>
      <c r="E597" s="206" t="s">
        <v>554</v>
      </c>
      <c r="F597" s="206">
        <f>ROUND(WWWW[[#This Row],[Total PoP ]]/5,0)</f>
        <v>157</v>
      </c>
      <c r="G597" s="395">
        <v>786</v>
      </c>
      <c r="H597" s="183"/>
      <c r="I597" s="183" t="s">
        <v>488</v>
      </c>
      <c r="J597" s="194">
        <v>43586</v>
      </c>
      <c r="K597" s="194"/>
      <c r="L597" s="193" t="s">
        <v>48</v>
      </c>
      <c r="M597" s="195">
        <v>0</v>
      </c>
      <c r="N597" s="195">
        <v>0</v>
      </c>
      <c r="O597" s="312">
        <v>0</v>
      </c>
      <c r="P597" s="313">
        <v>0</v>
      </c>
      <c r="Q597" s="313"/>
      <c r="R597" s="314"/>
      <c r="S597" s="314">
        <v>0</v>
      </c>
      <c r="T597" s="314"/>
      <c r="U597" s="315"/>
      <c r="V597" s="315"/>
      <c r="W597" s="315"/>
      <c r="X597" s="315"/>
      <c r="Y597" s="315"/>
      <c r="Z597" s="315"/>
      <c r="AA597" s="336">
        <v>0</v>
      </c>
      <c r="AB597" s="336"/>
      <c r="AC597" s="337"/>
      <c r="AD597" s="337"/>
      <c r="AE597" s="338">
        <v>0</v>
      </c>
      <c r="AF597" s="338" t="s">
        <v>286</v>
      </c>
      <c r="AG597" s="339" t="s">
        <v>286</v>
      </c>
      <c r="AH597" s="339"/>
      <c r="AI597" s="339"/>
      <c r="AJ597" s="338"/>
      <c r="AK597" s="834">
        <v>0</v>
      </c>
      <c r="AL597" s="835"/>
      <c r="AM597" s="836">
        <v>0</v>
      </c>
      <c r="AN597" s="837"/>
      <c r="AO597" s="837">
        <v>0</v>
      </c>
      <c r="AP597" s="843"/>
      <c r="AQ597" s="839"/>
      <c r="AR597" s="839"/>
      <c r="AS597" s="839"/>
      <c r="AT597" s="839"/>
      <c r="AU597" s="839"/>
      <c r="AV597" s="840"/>
      <c r="AW597" s="134" t="s">
        <v>3208</v>
      </c>
      <c r="AX597" s="136" t="s">
        <v>3208</v>
      </c>
      <c r="AY597" s="197" t="s">
        <v>2576</v>
      </c>
      <c r="AZ597" s="204">
        <v>0</v>
      </c>
      <c r="BA597" s="204">
        <v>0</v>
      </c>
      <c r="BB597" s="204">
        <v>0</v>
      </c>
      <c r="BC597" s="214">
        <v>0</v>
      </c>
      <c r="BD597" s="204">
        <v>0</v>
      </c>
      <c r="BE597" s="196">
        <v>0</v>
      </c>
      <c r="BF597" s="204">
        <v>0</v>
      </c>
      <c r="BG597" s="196">
        <v>0</v>
      </c>
      <c r="BH597" s="214">
        <v>0</v>
      </c>
      <c r="BI597" s="134">
        <v>1</v>
      </c>
      <c r="BJ597" s="196">
        <v>786</v>
      </c>
      <c r="BK597" s="137">
        <v>2</v>
      </c>
      <c r="BL597" s="197">
        <v>2</v>
      </c>
      <c r="BM597" s="137">
        <v>0</v>
      </c>
      <c r="BN597" s="195">
        <v>0</v>
      </c>
      <c r="BO597" s="351">
        <v>0</v>
      </c>
      <c r="BP597" s="134">
        <v>1</v>
      </c>
      <c r="BQ597" s="214">
        <v>131</v>
      </c>
      <c r="BR597" s="197">
        <v>131</v>
      </c>
      <c r="BS597" s="198">
        <v>0</v>
      </c>
      <c r="BT597" s="351" t="s">
        <v>103</v>
      </c>
      <c r="BU597" s="196">
        <v>0</v>
      </c>
      <c r="BV597" s="196">
        <v>0</v>
      </c>
      <c r="BW597" s="196">
        <v>0</v>
      </c>
      <c r="BX597" s="196">
        <v>0</v>
      </c>
      <c r="BY597" s="196">
        <v>0</v>
      </c>
      <c r="BZ597" s="134">
        <v>0</v>
      </c>
      <c r="CA597" s="198">
        <v>1</v>
      </c>
      <c r="CB597" s="136">
        <v>0</v>
      </c>
      <c r="CC597" s="136">
        <v>0</v>
      </c>
      <c r="CD597" s="136">
        <v>0</v>
      </c>
      <c r="CE597" s="137">
        <v>0</v>
      </c>
      <c r="CF597" s="137">
        <v>0</v>
      </c>
      <c r="CG597" s="137">
        <v>0</v>
      </c>
      <c r="CH597" s="196">
        <v>0</v>
      </c>
      <c r="CI597" s="139">
        <v>0</v>
      </c>
      <c r="CJ597" s="139">
        <v>0</v>
      </c>
      <c r="CK597" s="139" t="s">
        <v>975</v>
      </c>
      <c r="CL597" s="139" t="s">
        <v>969</v>
      </c>
      <c r="CM597" s="139" t="s">
        <v>975</v>
      </c>
      <c r="CN597" s="139" t="s">
        <v>454</v>
      </c>
      <c r="CO597" s="139">
        <v>19.988689422607401</v>
      </c>
      <c r="CP597" s="139">
        <v>93.842460632324205</v>
      </c>
      <c r="CQ597" s="139" t="s">
        <v>1594</v>
      </c>
      <c r="CR597" s="449" t="s">
        <v>40</v>
      </c>
      <c r="CS597" s="661"/>
      <c r="CT597" s="24"/>
      <c r="CU597" s="24"/>
      <c r="CV597" s="24"/>
    </row>
    <row r="598" spans="1:100" x14ac:dyDescent="0.25">
      <c r="A598" s="293" t="s">
        <v>2691</v>
      </c>
      <c r="B598" s="206" t="s">
        <v>2444</v>
      </c>
      <c r="C598" s="183" t="s">
        <v>454</v>
      </c>
      <c r="D598" s="183" t="s">
        <v>486</v>
      </c>
      <c r="E598" s="183" t="s">
        <v>534</v>
      </c>
      <c r="F598" s="206">
        <f>ROUND(WWWW[[#This Row],[Total PoP ]]/5,0)</f>
        <v>34</v>
      </c>
      <c r="G598" s="209">
        <v>171</v>
      </c>
      <c r="H598" s="206"/>
      <c r="I598" s="206" t="s">
        <v>488</v>
      </c>
      <c r="J598" s="207">
        <v>43586</v>
      </c>
      <c r="K598" s="206"/>
      <c r="L598" s="206" t="s">
        <v>48</v>
      </c>
      <c r="M598" s="208">
        <v>0</v>
      </c>
      <c r="N598" s="195">
        <v>0</v>
      </c>
      <c r="O598" s="316">
        <v>0</v>
      </c>
      <c r="P598" s="317">
        <v>0</v>
      </c>
      <c r="Q598" s="317"/>
      <c r="R598" s="318"/>
      <c r="S598" s="318">
        <v>0</v>
      </c>
      <c r="T598" s="318"/>
      <c r="U598" s="318"/>
      <c r="V598" s="318"/>
      <c r="W598" s="318"/>
      <c r="X598" s="318"/>
      <c r="Y598" s="318"/>
      <c r="Z598" s="318"/>
      <c r="AA598" s="310">
        <v>0</v>
      </c>
      <c r="AB598" s="310"/>
      <c r="AC598" s="66"/>
      <c r="AD598" s="337"/>
      <c r="AE598" s="310">
        <v>0</v>
      </c>
      <c r="AF598" s="310" t="s">
        <v>286</v>
      </c>
      <c r="AG598" s="311" t="s">
        <v>286</v>
      </c>
      <c r="AH598" s="311"/>
      <c r="AI598" s="310"/>
      <c r="AJ598" s="310"/>
      <c r="AK598" s="841">
        <v>0</v>
      </c>
      <c r="AL598" s="842"/>
      <c r="AM598" s="842">
        <v>0</v>
      </c>
      <c r="AN598" s="837"/>
      <c r="AO598" s="837">
        <v>0</v>
      </c>
      <c r="AP598" s="843"/>
      <c r="AQ598" s="843"/>
      <c r="AR598" s="843"/>
      <c r="AS598" s="843"/>
      <c r="AT598" s="843"/>
      <c r="AU598" s="843"/>
      <c r="AV598" s="844"/>
      <c r="AW598" s="208" t="s">
        <v>3208</v>
      </c>
      <c r="AX598" s="211" t="s">
        <v>3208</v>
      </c>
      <c r="AY598" s="210" t="s">
        <v>2576</v>
      </c>
      <c r="AZ598" s="211">
        <v>0</v>
      </c>
      <c r="BA598" s="211">
        <v>0</v>
      </c>
      <c r="BB598" s="211">
        <v>0</v>
      </c>
      <c r="BC598" s="209">
        <v>0</v>
      </c>
      <c r="BD598" s="211">
        <v>0</v>
      </c>
      <c r="BE598" s="209">
        <v>0</v>
      </c>
      <c r="BF598" s="211">
        <v>0</v>
      </c>
      <c r="BG598" s="209">
        <v>0</v>
      </c>
      <c r="BH598" s="214">
        <v>0</v>
      </c>
      <c r="BI598" s="208">
        <v>1</v>
      </c>
      <c r="BJ598" s="209">
        <v>171</v>
      </c>
      <c r="BK598" s="210">
        <v>1</v>
      </c>
      <c r="BL598" s="210">
        <v>1</v>
      </c>
      <c r="BM598" s="210">
        <v>0</v>
      </c>
      <c r="BN598" s="208">
        <v>0</v>
      </c>
      <c r="BO598" s="352">
        <v>0</v>
      </c>
      <c r="BP598" s="208">
        <v>1</v>
      </c>
      <c r="BQ598" s="209">
        <v>29</v>
      </c>
      <c r="BR598" s="210">
        <v>29</v>
      </c>
      <c r="BS598" s="212">
        <v>0</v>
      </c>
      <c r="BT598" s="352" t="s">
        <v>103</v>
      </c>
      <c r="BU598" s="209">
        <v>0</v>
      </c>
      <c r="BV598" s="209">
        <v>0</v>
      </c>
      <c r="BW598" s="209">
        <v>0</v>
      </c>
      <c r="BX598" s="209">
        <v>0</v>
      </c>
      <c r="BY598" s="209">
        <v>0</v>
      </c>
      <c r="BZ598" s="208">
        <v>0</v>
      </c>
      <c r="CA598" s="212">
        <v>1</v>
      </c>
      <c r="CB598" s="211">
        <v>0</v>
      </c>
      <c r="CC598" s="211">
        <v>0</v>
      </c>
      <c r="CD598" s="211">
        <v>0</v>
      </c>
      <c r="CE598" s="210">
        <v>0</v>
      </c>
      <c r="CF598" s="210">
        <v>0</v>
      </c>
      <c r="CG598" s="210">
        <v>0</v>
      </c>
      <c r="CH598" s="209">
        <v>0</v>
      </c>
      <c r="CI598" s="139">
        <v>0</v>
      </c>
      <c r="CJ598" s="139">
        <v>0</v>
      </c>
      <c r="CK598" s="139" t="s">
        <v>975</v>
      </c>
      <c r="CL598" s="139" t="s">
        <v>969</v>
      </c>
      <c r="CM598" s="139" t="s">
        <v>975</v>
      </c>
      <c r="CN598" s="139" t="s">
        <v>454</v>
      </c>
      <c r="CO598" s="139">
        <v>19.610979080200199</v>
      </c>
      <c r="CP598" s="139">
        <v>93.9847412109375</v>
      </c>
      <c r="CQ598" s="139" t="s">
        <v>1573</v>
      </c>
      <c r="CR598" s="660" t="s">
        <v>40</v>
      </c>
      <c r="CS598" s="660"/>
      <c r="CT598" s="24"/>
      <c r="CU598" s="24"/>
      <c r="CV598" s="24"/>
    </row>
    <row r="599" spans="1:100" x14ac:dyDescent="0.25">
      <c r="A599" s="293" t="s">
        <v>2691</v>
      </c>
      <c r="B599" s="206" t="s">
        <v>2444</v>
      </c>
      <c r="C599" s="183" t="s">
        <v>454</v>
      </c>
      <c r="D599" s="183" t="s">
        <v>486</v>
      </c>
      <c r="E599" s="183" t="s">
        <v>543</v>
      </c>
      <c r="F599" s="206">
        <f>ROUND(WWWW[[#This Row],[Total PoP ]]/5,0)</f>
        <v>55</v>
      </c>
      <c r="G599" s="209">
        <v>273</v>
      </c>
      <c r="H599" s="206"/>
      <c r="I599" s="206" t="s">
        <v>488</v>
      </c>
      <c r="J599" s="207">
        <v>43586</v>
      </c>
      <c r="K599" s="206"/>
      <c r="L599" s="206" t="s">
        <v>48</v>
      </c>
      <c r="M599" s="208">
        <v>0</v>
      </c>
      <c r="N599" s="195">
        <v>0</v>
      </c>
      <c r="O599" s="316">
        <v>0</v>
      </c>
      <c r="P599" s="317">
        <v>0</v>
      </c>
      <c r="Q599" s="317"/>
      <c r="R599" s="318"/>
      <c r="S599" s="318">
        <v>0</v>
      </c>
      <c r="T599" s="318"/>
      <c r="U599" s="318"/>
      <c r="V599" s="318"/>
      <c r="W599" s="318"/>
      <c r="X599" s="318"/>
      <c r="Y599" s="318"/>
      <c r="Z599" s="318"/>
      <c r="AA599" s="310">
        <v>0</v>
      </c>
      <c r="AB599" s="310"/>
      <c r="AC599" s="66"/>
      <c r="AD599" s="337"/>
      <c r="AE599" s="310">
        <v>0</v>
      </c>
      <c r="AF599" s="310" t="s">
        <v>286</v>
      </c>
      <c r="AG599" s="311" t="s">
        <v>286</v>
      </c>
      <c r="AH599" s="311"/>
      <c r="AI599" s="310"/>
      <c r="AJ599" s="310"/>
      <c r="AK599" s="841">
        <v>0</v>
      </c>
      <c r="AL599" s="842"/>
      <c r="AM599" s="842">
        <v>0</v>
      </c>
      <c r="AN599" s="837"/>
      <c r="AO599" s="837">
        <v>0</v>
      </c>
      <c r="AP599" s="843"/>
      <c r="AQ599" s="843"/>
      <c r="AR599" s="843"/>
      <c r="AS599" s="843"/>
      <c r="AT599" s="843"/>
      <c r="AU599" s="843"/>
      <c r="AV599" s="844"/>
      <c r="AW599" s="208" t="s">
        <v>3208</v>
      </c>
      <c r="AX599" s="211" t="s">
        <v>3208</v>
      </c>
      <c r="AY599" s="210" t="s">
        <v>2576</v>
      </c>
      <c r="AZ599" s="211">
        <v>0</v>
      </c>
      <c r="BA599" s="211">
        <v>0</v>
      </c>
      <c r="BB599" s="211">
        <v>0</v>
      </c>
      <c r="BC599" s="209">
        <v>0</v>
      </c>
      <c r="BD599" s="211">
        <v>0</v>
      </c>
      <c r="BE599" s="209">
        <v>0</v>
      </c>
      <c r="BF599" s="211">
        <v>0</v>
      </c>
      <c r="BG599" s="209">
        <v>0</v>
      </c>
      <c r="BH599" s="214">
        <v>0</v>
      </c>
      <c r="BI599" s="208">
        <v>1</v>
      </c>
      <c r="BJ599" s="209">
        <v>273</v>
      </c>
      <c r="BK599" s="210">
        <v>1</v>
      </c>
      <c r="BL599" s="210">
        <v>1</v>
      </c>
      <c r="BM599" s="210">
        <v>0</v>
      </c>
      <c r="BN599" s="208">
        <v>0</v>
      </c>
      <c r="BO599" s="352">
        <v>0</v>
      </c>
      <c r="BP599" s="208">
        <v>1</v>
      </c>
      <c r="BQ599" s="209">
        <v>46</v>
      </c>
      <c r="BR599" s="210">
        <v>46</v>
      </c>
      <c r="BS599" s="212">
        <v>0</v>
      </c>
      <c r="BT599" s="352" t="s">
        <v>103</v>
      </c>
      <c r="BU599" s="209">
        <v>0</v>
      </c>
      <c r="BV599" s="209">
        <v>0</v>
      </c>
      <c r="BW599" s="209">
        <v>0</v>
      </c>
      <c r="BX599" s="209">
        <v>0</v>
      </c>
      <c r="BY599" s="209">
        <v>0</v>
      </c>
      <c r="BZ599" s="208">
        <v>0</v>
      </c>
      <c r="CA599" s="212">
        <v>1</v>
      </c>
      <c r="CB599" s="211">
        <v>0</v>
      </c>
      <c r="CC599" s="211">
        <v>0</v>
      </c>
      <c r="CD599" s="211">
        <v>0</v>
      </c>
      <c r="CE599" s="210">
        <v>0</v>
      </c>
      <c r="CF599" s="210">
        <v>0</v>
      </c>
      <c r="CG599" s="210">
        <v>0</v>
      </c>
      <c r="CH599" s="209">
        <v>0</v>
      </c>
      <c r="CI599" s="139">
        <v>0</v>
      </c>
      <c r="CJ599" s="139">
        <v>0</v>
      </c>
      <c r="CK599" s="139" t="s">
        <v>975</v>
      </c>
      <c r="CL599" s="139" t="s">
        <v>969</v>
      </c>
      <c r="CM599" s="139" t="s">
        <v>975</v>
      </c>
      <c r="CN599" s="139" t="s">
        <v>454</v>
      </c>
      <c r="CO599" s="139">
        <v>19.721389770507798</v>
      </c>
      <c r="CP599" s="139">
        <v>94.019851684570298</v>
      </c>
      <c r="CQ599" s="139" t="s">
        <v>1582</v>
      </c>
      <c r="CR599" s="660" t="s">
        <v>40</v>
      </c>
      <c r="CS599" s="660"/>
      <c r="CT599" s="24"/>
      <c r="CU599" s="24"/>
      <c r="CV599" s="24"/>
    </row>
    <row r="600" spans="1:100" x14ac:dyDescent="0.25">
      <c r="A600" s="293" t="s">
        <v>2691</v>
      </c>
      <c r="B600" s="206" t="s">
        <v>2444</v>
      </c>
      <c r="C600" s="183" t="s">
        <v>454</v>
      </c>
      <c r="D600" s="183" t="s">
        <v>486</v>
      </c>
      <c r="E600" s="183" t="s">
        <v>558</v>
      </c>
      <c r="F600" s="206">
        <f>ROUND(WWWW[[#This Row],[Total PoP ]]/5,0)</f>
        <v>62</v>
      </c>
      <c r="G600" s="209">
        <v>312</v>
      </c>
      <c r="H600" s="206"/>
      <c r="I600" s="206" t="s">
        <v>488</v>
      </c>
      <c r="J600" s="207">
        <v>43586</v>
      </c>
      <c r="K600" s="206"/>
      <c r="L600" s="206" t="s">
        <v>48</v>
      </c>
      <c r="M600" s="208">
        <v>0</v>
      </c>
      <c r="N600" s="195">
        <v>0</v>
      </c>
      <c r="O600" s="316">
        <v>0</v>
      </c>
      <c r="P600" s="317">
        <v>0</v>
      </c>
      <c r="Q600" s="317"/>
      <c r="R600" s="318"/>
      <c r="S600" s="318">
        <v>0</v>
      </c>
      <c r="T600" s="318"/>
      <c r="U600" s="318"/>
      <c r="V600" s="318"/>
      <c r="W600" s="318"/>
      <c r="X600" s="318"/>
      <c r="Y600" s="318"/>
      <c r="Z600" s="318"/>
      <c r="AA600" s="310">
        <v>0</v>
      </c>
      <c r="AB600" s="310"/>
      <c r="AC600" s="66"/>
      <c r="AD600" s="337"/>
      <c r="AE600" s="310">
        <v>0</v>
      </c>
      <c r="AF600" s="310" t="s">
        <v>286</v>
      </c>
      <c r="AG600" s="311" t="s">
        <v>286</v>
      </c>
      <c r="AH600" s="311"/>
      <c r="AI600" s="310"/>
      <c r="AJ600" s="310"/>
      <c r="AK600" s="841">
        <v>0</v>
      </c>
      <c r="AL600" s="842"/>
      <c r="AM600" s="842">
        <v>0</v>
      </c>
      <c r="AN600" s="837"/>
      <c r="AO600" s="837">
        <v>0</v>
      </c>
      <c r="AP600" s="843"/>
      <c r="AQ600" s="843"/>
      <c r="AR600" s="843"/>
      <c r="AS600" s="843"/>
      <c r="AT600" s="843"/>
      <c r="AU600" s="843"/>
      <c r="AV600" s="844"/>
      <c r="AW600" s="208" t="s">
        <v>3208</v>
      </c>
      <c r="AX600" s="211" t="s">
        <v>3208</v>
      </c>
      <c r="AY600" s="210" t="s">
        <v>2576</v>
      </c>
      <c r="AZ600" s="211">
        <v>0</v>
      </c>
      <c r="BA600" s="211">
        <v>0</v>
      </c>
      <c r="BB600" s="211">
        <v>0</v>
      </c>
      <c r="BC600" s="209">
        <v>0</v>
      </c>
      <c r="BD600" s="211">
        <v>0</v>
      </c>
      <c r="BE600" s="209">
        <v>0</v>
      </c>
      <c r="BF600" s="211">
        <v>0</v>
      </c>
      <c r="BG600" s="209">
        <v>0</v>
      </c>
      <c r="BH600" s="214">
        <v>0</v>
      </c>
      <c r="BI600" s="208">
        <v>1</v>
      </c>
      <c r="BJ600" s="209">
        <v>312</v>
      </c>
      <c r="BK600" s="210">
        <v>1</v>
      </c>
      <c r="BL600" s="210">
        <v>1</v>
      </c>
      <c r="BM600" s="210">
        <v>0</v>
      </c>
      <c r="BN600" s="208">
        <v>0</v>
      </c>
      <c r="BO600" s="352">
        <v>0</v>
      </c>
      <c r="BP600" s="208">
        <v>1</v>
      </c>
      <c r="BQ600" s="209">
        <v>52</v>
      </c>
      <c r="BR600" s="210">
        <v>52</v>
      </c>
      <c r="BS600" s="212">
        <v>0</v>
      </c>
      <c r="BT600" s="352" t="s">
        <v>103</v>
      </c>
      <c r="BU600" s="209">
        <v>0</v>
      </c>
      <c r="BV600" s="209">
        <v>0</v>
      </c>
      <c r="BW600" s="209">
        <v>0</v>
      </c>
      <c r="BX600" s="209">
        <v>0</v>
      </c>
      <c r="BY600" s="209">
        <v>0</v>
      </c>
      <c r="BZ600" s="208">
        <v>0</v>
      </c>
      <c r="CA600" s="212">
        <v>1</v>
      </c>
      <c r="CB600" s="211">
        <v>0</v>
      </c>
      <c r="CC600" s="211">
        <v>0</v>
      </c>
      <c r="CD600" s="211">
        <v>0</v>
      </c>
      <c r="CE600" s="210">
        <v>0</v>
      </c>
      <c r="CF600" s="210">
        <v>0</v>
      </c>
      <c r="CG600" s="210">
        <v>0</v>
      </c>
      <c r="CH600" s="209">
        <v>0</v>
      </c>
      <c r="CI600" s="139">
        <v>0</v>
      </c>
      <c r="CJ600" s="139">
        <v>0</v>
      </c>
      <c r="CK600" s="139" t="s">
        <v>975</v>
      </c>
      <c r="CL600" s="139" t="s">
        <v>969</v>
      </c>
      <c r="CM600" s="139" t="s">
        <v>975</v>
      </c>
      <c r="CN600" s="139" t="s">
        <v>454</v>
      </c>
      <c r="CO600" s="139">
        <v>20.0087699890137</v>
      </c>
      <c r="CP600" s="139">
        <v>93.816879272460895</v>
      </c>
      <c r="CQ600" s="139" t="s">
        <v>1598</v>
      </c>
      <c r="CR600" s="660" t="s">
        <v>40</v>
      </c>
      <c r="CS600" s="660"/>
      <c r="CT600" s="24"/>
      <c r="CU600" s="24"/>
      <c r="CV600" s="24"/>
    </row>
    <row r="601" spans="1:100" x14ac:dyDescent="0.25">
      <c r="A601" s="293" t="s">
        <v>2691</v>
      </c>
      <c r="B601" s="206" t="s">
        <v>2444</v>
      </c>
      <c r="C601" s="183" t="s">
        <v>454</v>
      </c>
      <c r="D601" s="183" t="s">
        <v>486</v>
      </c>
      <c r="E601" s="183" t="s">
        <v>550</v>
      </c>
      <c r="F601" s="206">
        <f>ROUND(WWWW[[#This Row],[Total PoP ]]/5,0)</f>
        <v>135</v>
      </c>
      <c r="G601" s="209">
        <v>674</v>
      </c>
      <c r="H601" s="206"/>
      <c r="I601" s="206" t="s">
        <v>488</v>
      </c>
      <c r="J601" s="207">
        <v>43586</v>
      </c>
      <c r="K601" s="206"/>
      <c r="L601" s="206" t="s">
        <v>48</v>
      </c>
      <c r="M601" s="208">
        <v>0</v>
      </c>
      <c r="N601" s="195">
        <v>0</v>
      </c>
      <c r="O601" s="323">
        <v>0</v>
      </c>
      <c r="P601" s="317">
        <v>0</v>
      </c>
      <c r="Q601" s="317"/>
      <c r="R601" s="318"/>
      <c r="S601" s="318">
        <v>0</v>
      </c>
      <c r="T601" s="318"/>
      <c r="U601" s="318"/>
      <c r="V601" s="318"/>
      <c r="W601" s="318"/>
      <c r="X601" s="318"/>
      <c r="Y601" s="318"/>
      <c r="Z601" s="318"/>
      <c r="AA601" s="310">
        <v>0</v>
      </c>
      <c r="AB601" s="310"/>
      <c r="AC601" s="66"/>
      <c r="AD601" s="337"/>
      <c r="AE601" s="310">
        <v>0</v>
      </c>
      <c r="AF601" s="310" t="s">
        <v>286</v>
      </c>
      <c r="AG601" s="311" t="s">
        <v>286</v>
      </c>
      <c r="AH601" s="311"/>
      <c r="AI601" s="310"/>
      <c r="AJ601" s="310"/>
      <c r="AK601" s="841">
        <v>0</v>
      </c>
      <c r="AL601" s="842"/>
      <c r="AM601" s="842">
        <v>0</v>
      </c>
      <c r="AN601" s="837"/>
      <c r="AO601" s="837">
        <v>0</v>
      </c>
      <c r="AP601" s="843"/>
      <c r="AQ601" s="843"/>
      <c r="AR601" s="843"/>
      <c r="AS601" s="843"/>
      <c r="AT601" s="843"/>
      <c r="AU601" s="843"/>
      <c r="AV601" s="844"/>
      <c r="AW601" s="208" t="s">
        <v>3208</v>
      </c>
      <c r="AX601" s="211" t="s">
        <v>3208</v>
      </c>
      <c r="AY601" s="210" t="s">
        <v>2576</v>
      </c>
      <c r="AZ601" s="211">
        <v>0</v>
      </c>
      <c r="BA601" s="211">
        <v>0</v>
      </c>
      <c r="BB601" s="211">
        <v>0</v>
      </c>
      <c r="BC601" s="209">
        <v>0</v>
      </c>
      <c r="BD601" s="211">
        <v>0</v>
      </c>
      <c r="BE601" s="209">
        <v>0</v>
      </c>
      <c r="BF601" s="211">
        <v>0</v>
      </c>
      <c r="BG601" s="209">
        <v>0</v>
      </c>
      <c r="BH601" s="214">
        <v>0</v>
      </c>
      <c r="BI601" s="208">
        <v>1</v>
      </c>
      <c r="BJ601" s="209">
        <v>674</v>
      </c>
      <c r="BK601" s="210">
        <v>1</v>
      </c>
      <c r="BL601" s="210">
        <v>1</v>
      </c>
      <c r="BM601" s="210">
        <v>0</v>
      </c>
      <c r="BN601" s="208">
        <v>0</v>
      </c>
      <c r="BO601" s="352">
        <v>0</v>
      </c>
      <c r="BP601" s="208">
        <v>0.9970326409495549</v>
      </c>
      <c r="BQ601" s="209">
        <v>112</v>
      </c>
      <c r="BR601" s="210">
        <v>112</v>
      </c>
      <c r="BS601" s="212">
        <v>0</v>
      </c>
      <c r="BT601" s="352" t="s">
        <v>103</v>
      </c>
      <c r="BU601" s="209">
        <v>0</v>
      </c>
      <c r="BV601" s="209">
        <v>0</v>
      </c>
      <c r="BW601" s="209">
        <v>0</v>
      </c>
      <c r="BX601" s="209">
        <v>0</v>
      </c>
      <c r="BY601" s="209">
        <v>0</v>
      </c>
      <c r="BZ601" s="208">
        <v>0</v>
      </c>
      <c r="CA601" s="212">
        <v>1</v>
      </c>
      <c r="CB601" s="211">
        <v>0</v>
      </c>
      <c r="CC601" s="211">
        <v>0</v>
      </c>
      <c r="CD601" s="211">
        <v>0</v>
      </c>
      <c r="CE601" s="210">
        <v>0</v>
      </c>
      <c r="CF601" s="210">
        <v>0</v>
      </c>
      <c r="CG601" s="210">
        <v>0</v>
      </c>
      <c r="CH601" s="209">
        <v>0</v>
      </c>
      <c r="CI601" s="139">
        <v>0</v>
      </c>
      <c r="CJ601" s="139">
        <v>0</v>
      </c>
      <c r="CK601" s="139" t="s">
        <v>975</v>
      </c>
      <c r="CL601" s="139" t="s">
        <v>969</v>
      </c>
      <c r="CM601" s="139" t="s">
        <v>975</v>
      </c>
      <c r="CN601" s="139" t="s">
        <v>982</v>
      </c>
      <c r="CO601" s="139">
        <v>19.955690383911101</v>
      </c>
      <c r="CP601" s="139">
        <v>93.801551818847699</v>
      </c>
      <c r="CQ601" s="139" t="s">
        <v>1590</v>
      </c>
      <c r="CR601" s="449" t="s">
        <v>40</v>
      </c>
      <c r="CS601" s="660"/>
      <c r="CT601" s="24"/>
      <c r="CU601" s="24"/>
      <c r="CV601" s="24"/>
    </row>
    <row r="602" spans="1:100" x14ac:dyDescent="0.25">
      <c r="A602" s="293" t="s">
        <v>2691</v>
      </c>
      <c r="B602" s="206" t="s">
        <v>2444</v>
      </c>
      <c r="C602" s="183" t="s">
        <v>454</v>
      </c>
      <c r="D602" s="183" t="s">
        <v>486</v>
      </c>
      <c r="E602" s="183" t="s">
        <v>542</v>
      </c>
      <c r="F602" s="206">
        <f>ROUND(WWWW[[#This Row],[Total PoP ]]/5,0)</f>
        <v>75</v>
      </c>
      <c r="G602" s="209">
        <v>373</v>
      </c>
      <c r="H602" s="206"/>
      <c r="I602" s="206" t="s">
        <v>488</v>
      </c>
      <c r="J602" s="207">
        <v>43586</v>
      </c>
      <c r="K602" s="206"/>
      <c r="L602" s="206" t="s">
        <v>48</v>
      </c>
      <c r="M602" s="208">
        <v>0</v>
      </c>
      <c r="N602" s="195">
        <v>0</v>
      </c>
      <c r="O602" s="316">
        <v>0</v>
      </c>
      <c r="P602" s="317">
        <v>0</v>
      </c>
      <c r="Q602" s="317"/>
      <c r="R602" s="318"/>
      <c r="S602" s="318">
        <v>0</v>
      </c>
      <c r="T602" s="318"/>
      <c r="U602" s="318"/>
      <c r="V602" s="318"/>
      <c r="W602" s="318"/>
      <c r="X602" s="318"/>
      <c r="Y602" s="318"/>
      <c r="Z602" s="318"/>
      <c r="AA602" s="310">
        <v>0</v>
      </c>
      <c r="AB602" s="310"/>
      <c r="AC602" s="66"/>
      <c r="AD602" s="337"/>
      <c r="AE602" s="310">
        <v>0</v>
      </c>
      <c r="AF602" s="310" t="s">
        <v>286</v>
      </c>
      <c r="AG602" s="311" t="s">
        <v>286</v>
      </c>
      <c r="AH602" s="311"/>
      <c r="AI602" s="310"/>
      <c r="AJ602" s="310"/>
      <c r="AK602" s="841">
        <v>0</v>
      </c>
      <c r="AL602" s="842"/>
      <c r="AM602" s="842">
        <v>0</v>
      </c>
      <c r="AN602" s="837"/>
      <c r="AO602" s="837">
        <v>0</v>
      </c>
      <c r="AP602" s="843"/>
      <c r="AQ602" s="843"/>
      <c r="AR602" s="843"/>
      <c r="AS602" s="843"/>
      <c r="AT602" s="843"/>
      <c r="AU602" s="843"/>
      <c r="AV602" s="844"/>
      <c r="AW602" s="208" t="s">
        <v>3208</v>
      </c>
      <c r="AX602" s="211" t="s">
        <v>3208</v>
      </c>
      <c r="AY602" s="210" t="s">
        <v>2576</v>
      </c>
      <c r="AZ602" s="211">
        <v>0</v>
      </c>
      <c r="BA602" s="211">
        <v>0</v>
      </c>
      <c r="BB602" s="211">
        <v>0</v>
      </c>
      <c r="BC602" s="209">
        <v>0</v>
      </c>
      <c r="BD602" s="211">
        <v>0</v>
      </c>
      <c r="BE602" s="209">
        <v>0</v>
      </c>
      <c r="BF602" s="211">
        <v>0</v>
      </c>
      <c r="BG602" s="209">
        <v>0</v>
      </c>
      <c r="BH602" s="214">
        <v>0</v>
      </c>
      <c r="BI602" s="208">
        <v>1</v>
      </c>
      <c r="BJ602" s="209">
        <v>373</v>
      </c>
      <c r="BK602" s="210">
        <v>1</v>
      </c>
      <c r="BL602" s="210">
        <v>1</v>
      </c>
      <c r="BM602" s="210">
        <v>0</v>
      </c>
      <c r="BN602" s="208">
        <v>0</v>
      </c>
      <c r="BO602" s="352">
        <v>0</v>
      </c>
      <c r="BP602" s="208">
        <v>0.99731903485254692</v>
      </c>
      <c r="BQ602" s="209">
        <v>62</v>
      </c>
      <c r="BR602" s="210">
        <v>62</v>
      </c>
      <c r="BS602" s="212">
        <v>0</v>
      </c>
      <c r="BT602" s="352" t="s">
        <v>103</v>
      </c>
      <c r="BU602" s="209">
        <v>0</v>
      </c>
      <c r="BV602" s="209">
        <v>0</v>
      </c>
      <c r="BW602" s="209">
        <v>0</v>
      </c>
      <c r="BX602" s="209">
        <v>0</v>
      </c>
      <c r="BY602" s="209">
        <v>0</v>
      </c>
      <c r="BZ602" s="208">
        <v>0</v>
      </c>
      <c r="CA602" s="212">
        <v>1</v>
      </c>
      <c r="CB602" s="211">
        <v>0</v>
      </c>
      <c r="CC602" s="211">
        <v>0</v>
      </c>
      <c r="CD602" s="211">
        <v>0</v>
      </c>
      <c r="CE602" s="210">
        <v>0</v>
      </c>
      <c r="CF602" s="210">
        <v>0</v>
      </c>
      <c r="CG602" s="210">
        <v>0</v>
      </c>
      <c r="CH602" s="209">
        <v>0</v>
      </c>
      <c r="CI602" s="139">
        <v>0</v>
      </c>
      <c r="CJ602" s="139">
        <v>0</v>
      </c>
      <c r="CK602" s="139" t="s">
        <v>975</v>
      </c>
      <c r="CL602" s="139" t="s">
        <v>969</v>
      </c>
      <c r="CM602" s="139" t="s">
        <v>975</v>
      </c>
      <c r="CN602" s="139" t="s">
        <v>978</v>
      </c>
      <c r="CO602" s="139">
        <v>19.7062797546387</v>
      </c>
      <c r="CP602" s="139">
        <v>94.016433715820298</v>
      </c>
      <c r="CQ602" s="139" t="s">
        <v>1581</v>
      </c>
      <c r="CR602" s="660" t="s">
        <v>40</v>
      </c>
      <c r="CS602" s="660"/>
      <c r="CT602" s="24"/>
      <c r="CU602" s="24"/>
      <c r="CV602" s="24"/>
    </row>
    <row r="603" spans="1:100" x14ac:dyDescent="0.25">
      <c r="A603" s="293" t="s">
        <v>2691</v>
      </c>
      <c r="B603" s="183" t="s">
        <v>2444</v>
      </c>
      <c r="C603" s="183" t="s">
        <v>454</v>
      </c>
      <c r="D603" s="183" t="s">
        <v>486</v>
      </c>
      <c r="E603" s="183" t="s">
        <v>537</v>
      </c>
      <c r="F603" s="206">
        <f>ROUND(WWWW[[#This Row],[Total PoP ]]/5,0)</f>
        <v>27</v>
      </c>
      <c r="G603" s="395">
        <v>136</v>
      </c>
      <c r="H603" s="183"/>
      <c r="I603" s="183" t="s">
        <v>488</v>
      </c>
      <c r="J603" s="184">
        <v>43586</v>
      </c>
      <c r="K603" s="183"/>
      <c r="L603" s="183" t="s">
        <v>48</v>
      </c>
      <c r="M603" s="185">
        <v>0</v>
      </c>
      <c r="N603" s="195">
        <v>0</v>
      </c>
      <c r="O603" s="323">
        <v>0</v>
      </c>
      <c r="P603" s="317">
        <v>0</v>
      </c>
      <c r="Q603" s="317"/>
      <c r="R603" s="318"/>
      <c r="S603" s="318">
        <v>0</v>
      </c>
      <c r="T603" s="318"/>
      <c r="U603" s="318"/>
      <c r="V603" s="318"/>
      <c r="W603" s="318"/>
      <c r="X603" s="318"/>
      <c r="Y603" s="315"/>
      <c r="Z603" s="318"/>
      <c r="AA603" s="336">
        <v>0</v>
      </c>
      <c r="AB603" s="311"/>
      <c r="AC603" s="336"/>
      <c r="AD603" s="337"/>
      <c r="AE603" s="336">
        <v>0</v>
      </c>
      <c r="AF603" s="310" t="s">
        <v>286</v>
      </c>
      <c r="AG603" s="311" t="s">
        <v>286</v>
      </c>
      <c r="AH603" s="66"/>
      <c r="AI603" s="66"/>
      <c r="AJ603" s="311"/>
      <c r="AK603" s="841">
        <v>0</v>
      </c>
      <c r="AL603" s="846"/>
      <c r="AM603" s="844">
        <v>0</v>
      </c>
      <c r="AN603" s="837"/>
      <c r="AO603" s="837">
        <v>0</v>
      </c>
      <c r="AP603" s="843"/>
      <c r="AQ603" s="843"/>
      <c r="AR603" s="839"/>
      <c r="AS603" s="839"/>
      <c r="AT603" s="839"/>
      <c r="AU603" s="839"/>
      <c r="AV603" s="849"/>
      <c r="AW603" s="134" t="s">
        <v>3208</v>
      </c>
      <c r="AX603" s="136" t="s">
        <v>3208</v>
      </c>
      <c r="AY603" s="137" t="s">
        <v>2576</v>
      </c>
      <c r="AZ603" s="136">
        <v>0</v>
      </c>
      <c r="BA603" s="136">
        <v>0</v>
      </c>
      <c r="BB603" s="136">
        <v>0</v>
      </c>
      <c r="BC603" s="214">
        <v>0</v>
      </c>
      <c r="BD603" s="136">
        <v>0</v>
      </c>
      <c r="BE603" s="214">
        <v>0</v>
      </c>
      <c r="BF603" s="136">
        <v>0</v>
      </c>
      <c r="BG603" s="214">
        <v>0</v>
      </c>
      <c r="BH603" s="214">
        <v>0</v>
      </c>
      <c r="BI603" s="134">
        <v>1</v>
      </c>
      <c r="BJ603" s="214">
        <v>136</v>
      </c>
      <c r="BK603" s="137">
        <v>1</v>
      </c>
      <c r="BL603" s="137">
        <v>1</v>
      </c>
      <c r="BM603" s="137">
        <v>0</v>
      </c>
      <c r="BN603" s="134">
        <v>0</v>
      </c>
      <c r="BO603" s="351">
        <v>0</v>
      </c>
      <c r="BP603" s="134">
        <v>1</v>
      </c>
      <c r="BQ603" s="214">
        <v>23</v>
      </c>
      <c r="BR603" s="137">
        <v>23</v>
      </c>
      <c r="BS603" s="138">
        <v>0</v>
      </c>
      <c r="BT603" s="351" t="s">
        <v>103</v>
      </c>
      <c r="BU603" s="214">
        <v>0</v>
      </c>
      <c r="BV603" s="214">
        <v>0</v>
      </c>
      <c r="BW603" s="214">
        <v>0</v>
      </c>
      <c r="BX603" s="214">
        <v>0</v>
      </c>
      <c r="BY603" s="214">
        <v>0</v>
      </c>
      <c r="BZ603" s="134">
        <v>0</v>
      </c>
      <c r="CA603" s="138">
        <v>1</v>
      </c>
      <c r="CB603" s="136">
        <v>0</v>
      </c>
      <c r="CC603" s="136">
        <v>0</v>
      </c>
      <c r="CD603" s="136">
        <v>0</v>
      </c>
      <c r="CE603" s="137">
        <v>0</v>
      </c>
      <c r="CF603" s="137">
        <v>0</v>
      </c>
      <c r="CG603" s="137">
        <v>0</v>
      </c>
      <c r="CH603" s="214">
        <v>0</v>
      </c>
      <c r="CI603" s="139">
        <v>0</v>
      </c>
      <c r="CJ603" s="139">
        <v>0</v>
      </c>
      <c r="CK603" s="139" t="s">
        <v>975</v>
      </c>
      <c r="CL603" s="139" t="s">
        <v>969</v>
      </c>
      <c r="CM603" s="139" t="s">
        <v>975</v>
      </c>
      <c r="CN603" s="139" t="s">
        <v>978</v>
      </c>
      <c r="CO603" s="139">
        <v>19.619289398193398</v>
      </c>
      <c r="CP603" s="139">
        <v>93.959686279296903</v>
      </c>
      <c r="CQ603" s="139" t="s">
        <v>1576</v>
      </c>
      <c r="CR603" s="449" t="s">
        <v>40</v>
      </c>
      <c r="CS603" s="449"/>
      <c r="CT603" s="24"/>
      <c r="CU603" s="24"/>
      <c r="CV603" s="24"/>
    </row>
    <row r="604" spans="1:100" x14ac:dyDescent="0.25">
      <c r="A604" s="293" t="s">
        <v>2691</v>
      </c>
      <c r="B604" s="101" t="s">
        <v>2444</v>
      </c>
      <c r="C604" s="101" t="s">
        <v>454</v>
      </c>
      <c r="D604" s="101" t="s">
        <v>486</v>
      </c>
      <c r="E604" s="101" t="s">
        <v>532</v>
      </c>
      <c r="F604" s="206">
        <f>ROUND(WWWW[[#This Row],[Total PoP ]]/5,0)</f>
        <v>58</v>
      </c>
      <c r="G604" s="214">
        <v>290</v>
      </c>
      <c r="H604" s="132"/>
      <c r="I604" s="101" t="s">
        <v>488</v>
      </c>
      <c r="J604" s="133">
        <v>43586</v>
      </c>
      <c r="K604" s="101"/>
      <c r="L604" s="101" t="s">
        <v>48</v>
      </c>
      <c r="M604" s="103">
        <v>0</v>
      </c>
      <c r="N604" s="195">
        <v>0</v>
      </c>
      <c r="O604" s="319">
        <v>0</v>
      </c>
      <c r="P604" s="320">
        <v>0</v>
      </c>
      <c r="Q604" s="321"/>
      <c r="R604" s="322"/>
      <c r="S604" s="322">
        <v>0</v>
      </c>
      <c r="T604" s="322"/>
      <c r="U604" s="317"/>
      <c r="V604" s="317"/>
      <c r="W604" s="317"/>
      <c r="X604" s="317"/>
      <c r="Y604" s="317"/>
      <c r="Z604" s="315"/>
      <c r="AA604" s="310">
        <v>0</v>
      </c>
      <c r="AB604" s="311"/>
      <c r="AC604" s="337"/>
      <c r="AD604" s="337"/>
      <c r="AE604" s="340">
        <v>0</v>
      </c>
      <c r="AF604" s="336" t="s">
        <v>286</v>
      </c>
      <c r="AG604" s="66" t="s">
        <v>286</v>
      </c>
      <c r="AH604" s="66"/>
      <c r="AI604" s="66"/>
      <c r="AJ604" s="341"/>
      <c r="AK604" s="845">
        <v>0</v>
      </c>
      <c r="AL604" s="846"/>
      <c r="AM604" s="844">
        <v>0</v>
      </c>
      <c r="AN604" s="837"/>
      <c r="AO604" s="837">
        <v>0</v>
      </c>
      <c r="AP604" s="843"/>
      <c r="AQ604" s="843"/>
      <c r="AR604" s="843"/>
      <c r="AS604" s="843"/>
      <c r="AT604" s="843"/>
      <c r="AU604" s="843"/>
      <c r="AV604" s="849"/>
      <c r="AW604" s="134" t="s">
        <v>3208</v>
      </c>
      <c r="AX604" s="136" t="s">
        <v>3208</v>
      </c>
      <c r="AY604" s="137" t="s">
        <v>2576</v>
      </c>
      <c r="AZ604" s="136">
        <v>0</v>
      </c>
      <c r="BA604" s="136">
        <v>0</v>
      </c>
      <c r="BB604" s="136">
        <v>0</v>
      </c>
      <c r="BC604" s="214">
        <v>0</v>
      </c>
      <c r="BD604" s="136">
        <v>0</v>
      </c>
      <c r="BE604" s="214">
        <v>0</v>
      </c>
      <c r="BF604" s="136">
        <v>0</v>
      </c>
      <c r="BG604" s="214">
        <v>0</v>
      </c>
      <c r="BH604" s="214">
        <v>0</v>
      </c>
      <c r="BI604" s="134">
        <v>1</v>
      </c>
      <c r="BJ604" s="214">
        <v>290</v>
      </c>
      <c r="BK604" s="137">
        <v>1</v>
      </c>
      <c r="BL604" s="137">
        <v>1</v>
      </c>
      <c r="BM604" s="137">
        <v>0</v>
      </c>
      <c r="BN604" s="134">
        <v>0</v>
      </c>
      <c r="BO604" s="351">
        <v>0</v>
      </c>
      <c r="BP604" s="134">
        <v>0.99310344827586206</v>
      </c>
      <c r="BQ604" s="214">
        <v>48</v>
      </c>
      <c r="BR604" s="137">
        <v>48</v>
      </c>
      <c r="BS604" s="138">
        <v>0</v>
      </c>
      <c r="BT604" s="351" t="s">
        <v>103</v>
      </c>
      <c r="BU604" s="209">
        <v>0</v>
      </c>
      <c r="BV604" s="209">
        <v>0</v>
      </c>
      <c r="BW604" s="209">
        <v>0</v>
      </c>
      <c r="BX604" s="209">
        <v>0</v>
      </c>
      <c r="BY604" s="209">
        <v>0</v>
      </c>
      <c r="BZ604" s="134">
        <v>0</v>
      </c>
      <c r="CA604" s="138">
        <v>1</v>
      </c>
      <c r="CB604" s="136">
        <v>0</v>
      </c>
      <c r="CC604" s="136">
        <v>0</v>
      </c>
      <c r="CD604" s="136">
        <v>0</v>
      </c>
      <c r="CE604" s="137">
        <v>0</v>
      </c>
      <c r="CF604" s="137">
        <v>0</v>
      </c>
      <c r="CG604" s="351">
        <v>0</v>
      </c>
      <c r="CH604" s="214">
        <v>0</v>
      </c>
      <c r="CI604" s="139">
        <v>0</v>
      </c>
      <c r="CJ604" s="139">
        <v>0</v>
      </c>
      <c r="CK604" s="139" t="s">
        <v>975</v>
      </c>
      <c r="CL604" s="139" t="s">
        <v>969</v>
      </c>
      <c r="CM604" s="139" t="s">
        <v>975</v>
      </c>
      <c r="CN604" s="139" t="s">
        <v>454</v>
      </c>
      <c r="CO604" s="139">
        <v>19.484790802001999</v>
      </c>
      <c r="CP604" s="139">
        <v>94.007926940917997</v>
      </c>
      <c r="CQ604" s="139" t="s">
        <v>1572</v>
      </c>
      <c r="CR604" s="449" t="s">
        <v>40</v>
      </c>
      <c r="CS604" s="139"/>
      <c r="CT604" s="24"/>
      <c r="CU604" s="24"/>
      <c r="CV604" s="24"/>
    </row>
    <row r="605" spans="1:100" x14ac:dyDescent="0.25">
      <c r="A605" s="293" t="s">
        <v>2691</v>
      </c>
      <c r="B605" s="183" t="s">
        <v>2444</v>
      </c>
      <c r="C605" s="183" t="s">
        <v>454</v>
      </c>
      <c r="D605" s="183" t="s">
        <v>486</v>
      </c>
      <c r="E605" s="183" t="s">
        <v>487</v>
      </c>
      <c r="F605" s="206">
        <f>ROUND(WWWW[[#This Row],[Total PoP ]]/5,0)</f>
        <v>194</v>
      </c>
      <c r="G605" s="395">
        <v>972</v>
      </c>
      <c r="H605" s="183"/>
      <c r="I605" s="183" t="s">
        <v>488</v>
      </c>
      <c r="J605" s="184">
        <v>43586</v>
      </c>
      <c r="K605" s="183"/>
      <c r="L605" s="183" t="s">
        <v>48</v>
      </c>
      <c r="M605" s="185">
        <v>0</v>
      </c>
      <c r="N605" s="195">
        <v>0</v>
      </c>
      <c r="O605" s="320">
        <v>0</v>
      </c>
      <c r="P605" s="320">
        <v>0</v>
      </c>
      <c r="Q605" s="324"/>
      <c r="R605" s="325"/>
      <c r="S605" s="325">
        <v>0</v>
      </c>
      <c r="T605" s="325"/>
      <c r="U605" s="315"/>
      <c r="V605" s="315"/>
      <c r="W605" s="315"/>
      <c r="X605" s="315"/>
      <c r="Y605" s="315"/>
      <c r="Z605" s="315"/>
      <c r="AA605" s="336">
        <v>0</v>
      </c>
      <c r="AB605" s="342"/>
      <c r="AC605" s="342"/>
      <c r="AD605" s="337"/>
      <c r="AE605" s="342">
        <v>0</v>
      </c>
      <c r="AF605" s="342" t="s">
        <v>286</v>
      </c>
      <c r="AG605" s="339" t="s">
        <v>286</v>
      </c>
      <c r="AH605" s="337"/>
      <c r="AI605" s="337"/>
      <c r="AJ605" s="342"/>
      <c r="AK605" s="851">
        <v>0</v>
      </c>
      <c r="AL605" s="855"/>
      <c r="AM605" s="836">
        <v>0</v>
      </c>
      <c r="AN605" s="837"/>
      <c r="AO605" s="837">
        <v>0</v>
      </c>
      <c r="AP605" s="843"/>
      <c r="AQ605" s="839"/>
      <c r="AR605" s="839"/>
      <c r="AS605" s="839"/>
      <c r="AT605" s="839"/>
      <c r="AU605" s="839"/>
      <c r="AV605" s="852"/>
      <c r="AW605" s="134" t="s">
        <v>3208</v>
      </c>
      <c r="AX605" s="136" t="s">
        <v>3208</v>
      </c>
      <c r="AY605" s="137" t="s">
        <v>2576</v>
      </c>
      <c r="AZ605" s="136">
        <v>0</v>
      </c>
      <c r="BA605" s="136">
        <v>0</v>
      </c>
      <c r="BB605" s="136">
        <v>0</v>
      </c>
      <c r="BC605" s="214">
        <v>0</v>
      </c>
      <c r="BD605" s="136">
        <v>0</v>
      </c>
      <c r="BE605" s="214">
        <v>0</v>
      </c>
      <c r="BF605" s="136">
        <v>0</v>
      </c>
      <c r="BG605" s="214">
        <v>0</v>
      </c>
      <c r="BH605" s="214">
        <v>0</v>
      </c>
      <c r="BI605" s="134">
        <v>1</v>
      </c>
      <c r="BJ605" s="214">
        <v>972</v>
      </c>
      <c r="BK605" s="137">
        <v>2</v>
      </c>
      <c r="BL605" s="137">
        <v>2</v>
      </c>
      <c r="BM605" s="137">
        <v>0</v>
      </c>
      <c r="BN605" s="134">
        <v>0</v>
      </c>
      <c r="BO605" s="351">
        <v>0</v>
      </c>
      <c r="BP605" s="134">
        <v>1</v>
      </c>
      <c r="BQ605" s="214">
        <v>162</v>
      </c>
      <c r="BR605" s="137">
        <v>162</v>
      </c>
      <c r="BS605" s="138">
        <v>0</v>
      </c>
      <c r="BT605" s="351" t="s">
        <v>103</v>
      </c>
      <c r="BU605" s="209">
        <v>0</v>
      </c>
      <c r="BV605" s="209">
        <v>0</v>
      </c>
      <c r="BW605" s="209">
        <v>0</v>
      </c>
      <c r="BX605" s="209">
        <v>0</v>
      </c>
      <c r="BY605" s="209">
        <v>0</v>
      </c>
      <c r="BZ605" s="134">
        <v>0</v>
      </c>
      <c r="CA605" s="138">
        <v>1</v>
      </c>
      <c r="CB605" s="136">
        <v>0</v>
      </c>
      <c r="CC605" s="136">
        <v>0</v>
      </c>
      <c r="CD605" s="136">
        <v>0</v>
      </c>
      <c r="CE605" s="137">
        <v>0</v>
      </c>
      <c r="CF605" s="137">
        <v>0</v>
      </c>
      <c r="CG605" s="351">
        <v>0</v>
      </c>
      <c r="CH605" s="214">
        <v>0</v>
      </c>
      <c r="CI605" s="139">
        <v>0</v>
      </c>
      <c r="CJ605" s="139">
        <v>0</v>
      </c>
      <c r="CK605" s="139" t="s">
        <v>975</v>
      </c>
      <c r="CL605" s="139" t="s">
        <v>969</v>
      </c>
      <c r="CM605" s="139" t="s">
        <v>975</v>
      </c>
      <c r="CN605" s="139" t="s">
        <v>982</v>
      </c>
      <c r="CO605" s="139">
        <v>0</v>
      </c>
      <c r="CP605" s="139">
        <v>0</v>
      </c>
      <c r="CQ605" s="139">
        <v>0</v>
      </c>
      <c r="CR605" s="449" t="s">
        <v>40</v>
      </c>
      <c r="CS605" s="139"/>
      <c r="CT605" s="24"/>
      <c r="CU605" s="24"/>
      <c r="CV605" s="24"/>
    </row>
    <row r="606" spans="1:100" x14ac:dyDescent="0.25">
      <c r="A606" s="293" t="s">
        <v>2691</v>
      </c>
      <c r="B606" s="206" t="s">
        <v>2444</v>
      </c>
      <c r="C606" s="183" t="s">
        <v>454</v>
      </c>
      <c r="D606" s="183" t="s">
        <v>486</v>
      </c>
      <c r="E606" s="183" t="s">
        <v>555</v>
      </c>
      <c r="F606" s="206">
        <f>ROUND(WWWW[[#This Row],[Total PoP ]]/5,0)</f>
        <v>104</v>
      </c>
      <c r="G606" s="209">
        <v>521</v>
      </c>
      <c r="H606" s="206"/>
      <c r="I606" s="206" t="s">
        <v>488</v>
      </c>
      <c r="J606" s="207">
        <v>43586</v>
      </c>
      <c r="K606" s="206"/>
      <c r="L606" s="206" t="s">
        <v>48</v>
      </c>
      <c r="M606" s="208">
        <v>0</v>
      </c>
      <c r="N606" s="195">
        <v>0</v>
      </c>
      <c r="O606" s="316">
        <v>0</v>
      </c>
      <c r="P606" s="317">
        <v>0</v>
      </c>
      <c r="Q606" s="317"/>
      <c r="R606" s="318"/>
      <c r="S606" s="318">
        <v>0</v>
      </c>
      <c r="T606" s="318"/>
      <c r="U606" s="318"/>
      <c r="V606" s="318"/>
      <c r="W606" s="318"/>
      <c r="X606" s="318"/>
      <c r="Y606" s="318"/>
      <c r="Z606" s="318"/>
      <c r="AA606" s="310">
        <v>0</v>
      </c>
      <c r="AB606" s="310"/>
      <c r="AC606" s="66"/>
      <c r="AD606" s="337"/>
      <c r="AE606" s="310">
        <v>0</v>
      </c>
      <c r="AF606" s="310" t="s">
        <v>286</v>
      </c>
      <c r="AG606" s="311" t="s">
        <v>286</v>
      </c>
      <c r="AH606" s="311"/>
      <c r="AI606" s="310"/>
      <c r="AJ606" s="310"/>
      <c r="AK606" s="841">
        <v>0</v>
      </c>
      <c r="AL606" s="842"/>
      <c r="AM606" s="842">
        <v>0</v>
      </c>
      <c r="AN606" s="837"/>
      <c r="AO606" s="837">
        <v>0</v>
      </c>
      <c r="AP606" s="843"/>
      <c r="AQ606" s="843"/>
      <c r="AR606" s="843"/>
      <c r="AS606" s="843"/>
      <c r="AT606" s="843"/>
      <c r="AU606" s="843"/>
      <c r="AV606" s="844"/>
      <c r="AW606" s="208" t="s">
        <v>3208</v>
      </c>
      <c r="AX606" s="211" t="s">
        <v>3208</v>
      </c>
      <c r="AY606" s="210" t="s">
        <v>2576</v>
      </c>
      <c r="AZ606" s="211">
        <v>0</v>
      </c>
      <c r="BA606" s="211">
        <v>0</v>
      </c>
      <c r="BB606" s="211">
        <v>0</v>
      </c>
      <c r="BC606" s="209">
        <v>0</v>
      </c>
      <c r="BD606" s="211">
        <v>0</v>
      </c>
      <c r="BE606" s="209">
        <v>0</v>
      </c>
      <c r="BF606" s="211">
        <v>0</v>
      </c>
      <c r="BG606" s="209">
        <v>0</v>
      </c>
      <c r="BH606" s="214">
        <v>0</v>
      </c>
      <c r="BI606" s="208">
        <v>1</v>
      </c>
      <c r="BJ606" s="209">
        <v>521</v>
      </c>
      <c r="BK606" s="210">
        <v>1</v>
      </c>
      <c r="BL606" s="210">
        <v>1</v>
      </c>
      <c r="BM606" s="210">
        <v>0</v>
      </c>
      <c r="BN606" s="208">
        <v>0</v>
      </c>
      <c r="BO606" s="352">
        <v>0</v>
      </c>
      <c r="BP606" s="208">
        <v>1</v>
      </c>
      <c r="BQ606" s="209">
        <v>87</v>
      </c>
      <c r="BR606" s="210">
        <v>87</v>
      </c>
      <c r="BS606" s="212">
        <v>0</v>
      </c>
      <c r="BT606" s="352" t="s">
        <v>103</v>
      </c>
      <c r="BU606" s="209">
        <v>0</v>
      </c>
      <c r="BV606" s="209">
        <v>0</v>
      </c>
      <c r="BW606" s="209">
        <v>0</v>
      </c>
      <c r="BX606" s="209">
        <v>0</v>
      </c>
      <c r="BY606" s="209">
        <v>0</v>
      </c>
      <c r="BZ606" s="208">
        <v>0</v>
      </c>
      <c r="CA606" s="212">
        <v>1</v>
      </c>
      <c r="CB606" s="211">
        <v>0</v>
      </c>
      <c r="CC606" s="211">
        <v>0</v>
      </c>
      <c r="CD606" s="211">
        <v>0</v>
      </c>
      <c r="CE606" s="210">
        <v>0</v>
      </c>
      <c r="CF606" s="210">
        <v>0</v>
      </c>
      <c r="CG606" s="210">
        <v>0</v>
      </c>
      <c r="CH606" s="209">
        <v>0</v>
      </c>
      <c r="CI606" s="139">
        <v>0</v>
      </c>
      <c r="CJ606" s="139">
        <v>0</v>
      </c>
      <c r="CK606" s="139" t="s">
        <v>975</v>
      </c>
      <c r="CL606" s="139" t="s">
        <v>969</v>
      </c>
      <c r="CM606" s="139" t="s">
        <v>975</v>
      </c>
      <c r="CN606" s="139" t="s">
        <v>454</v>
      </c>
      <c r="CO606" s="139">
        <v>19.989589691162099</v>
      </c>
      <c r="CP606" s="139">
        <v>93.823867797851605</v>
      </c>
      <c r="CQ606" s="139" t="s">
        <v>1595</v>
      </c>
      <c r="CR606" s="660" t="s">
        <v>40</v>
      </c>
      <c r="CS606" s="660"/>
      <c r="CT606" s="24"/>
      <c r="CU606" s="24"/>
      <c r="CV606" s="24"/>
    </row>
    <row r="607" spans="1:100" x14ac:dyDescent="0.25">
      <c r="A607" s="293" t="s">
        <v>2691</v>
      </c>
      <c r="B607" s="206" t="s">
        <v>2444</v>
      </c>
      <c r="C607" s="183" t="s">
        <v>454</v>
      </c>
      <c r="D607" s="183" t="s">
        <v>486</v>
      </c>
      <c r="E607" s="183" t="s">
        <v>544</v>
      </c>
      <c r="F607" s="206">
        <f>ROUND(WWWW[[#This Row],[Total PoP ]]/5,0)</f>
        <v>44</v>
      </c>
      <c r="G607" s="209">
        <v>221</v>
      </c>
      <c r="H607" s="206"/>
      <c r="I607" s="206" t="s">
        <v>488</v>
      </c>
      <c r="J607" s="207">
        <v>43586</v>
      </c>
      <c r="K607" s="206"/>
      <c r="L607" s="206" t="s">
        <v>48</v>
      </c>
      <c r="M607" s="208">
        <v>0</v>
      </c>
      <c r="N607" s="195">
        <v>0</v>
      </c>
      <c r="O607" s="323">
        <v>0</v>
      </c>
      <c r="P607" s="317">
        <v>0</v>
      </c>
      <c r="Q607" s="317"/>
      <c r="R607" s="318"/>
      <c r="S607" s="318">
        <v>0</v>
      </c>
      <c r="T607" s="318"/>
      <c r="U607" s="318"/>
      <c r="V607" s="318"/>
      <c r="W607" s="318"/>
      <c r="X607" s="318"/>
      <c r="Y607" s="318"/>
      <c r="Z607" s="318"/>
      <c r="AA607" s="310">
        <v>0</v>
      </c>
      <c r="AB607" s="310"/>
      <c r="AC607" s="66"/>
      <c r="AD607" s="337"/>
      <c r="AE607" s="310">
        <v>0</v>
      </c>
      <c r="AF607" s="310" t="s">
        <v>286</v>
      </c>
      <c r="AG607" s="311" t="s">
        <v>286</v>
      </c>
      <c r="AH607" s="311"/>
      <c r="AI607" s="310"/>
      <c r="AJ607" s="310"/>
      <c r="AK607" s="841">
        <v>0</v>
      </c>
      <c r="AL607" s="842"/>
      <c r="AM607" s="842">
        <v>0</v>
      </c>
      <c r="AN607" s="837"/>
      <c r="AO607" s="837">
        <v>0</v>
      </c>
      <c r="AP607" s="843"/>
      <c r="AQ607" s="843"/>
      <c r="AR607" s="843"/>
      <c r="AS607" s="843"/>
      <c r="AT607" s="843"/>
      <c r="AU607" s="843"/>
      <c r="AV607" s="844"/>
      <c r="AW607" s="208" t="s">
        <v>3208</v>
      </c>
      <c r="AX607" s="211" t="s">
        <v>3208</v>
      </c>
      <c r="AY607" s="210" t="s">
        <v>2576</v>
      </c>
      <c r="AZ607" s="211">
        <v>0</v>
      </c>
      <c r="BA607" s="211">
        <v>0</v>
      </c>
      <c r="BB607" s="211">
        <v>0</v>
      </c>
      <c r="BC607" s="209">
        <v>0</v>
      </c>
      <c r="BD607" s="211">
        <v>0</v>
      </c>
      <c r="BE607" s="209">
        <v>0</v>
      </c>
      <c r="BF607" s="211">
        <v>0</v>
      </c>
      <c r="BG607" s="209">
        <v>0</v>
      </c>
      <c r="BH607" s="214">
        <v>0</v>
      </c>
      <c r="BI607" s="208">
        <v>1</v>
      </c>
      <c r="BJ607" s="209">
        <v>221</v>
      </c>
      <c r="BK607" s="210">
        <v>1</v>
      </c>
      <c r="BL607" s="210">
        <v>1</v>
      </c>
      <c r="BM607" s="210">
        <v>0</v>
      </c>
      <c r="BN607" s="208">
        <v>0</v>
      </c>
      <c r="BO607" s="352">
        <v>0</v>
      </c>
      <c r="BP607" s="208">
        <v>1</v>
      </c>
      <c r="BQ607" s="209">
        <v>37</v>
      </c>
      <c r="BR607" s="210">
        <v>37</v>
      </c>
      <c r="BS607" s="212">
        <v>0</v>
      </c>
      <c r="BT607" s="352" t="s">
        <v>103</v>
      </c>
      <c r="BU607" s="209">
        <v>0</v>
      </c>
      <c r="BV607" s="209">
        <v>0</v>
      </c>
      <c r="BW607" s="209">
        <v>0</v>
      </c>
      <c r="BX607" s="209">
        <v>0</v>
      </c>
      <c r="BY607" s="209">
        <v>0</v>
      </c>
      <c r="BZ607" s="208">
        <v>0</v>
      </c>
      <c r="CA607" s="212">
        <v>1</v>
      </c>
      <c r="CB607" s="211">
        <v>0</v>
      </c>
      <c r="CC607" s="211">
        <v>0</v>
      </c>
      <c r="CD607" s="211">
        <v>0</v>
      </c>
      <c r="CE607" s="210">
        <v>0</v>
      </c>
      <c r="CF607" s="210">
        <v>0</v>
      </c>
      <c r="CG607" s="210">
        <v>0</v>
      </c>
      <c r="CH607" s="209">
        <v>0</v>
      </c>
      <c r="CI607" s="139">
        <v>0</v>
      </c>
      <c r="CJ607" s="139">
        <v>0</v>
      </c>
      <c r="CK607" s="139" t="s">
        <v>975</v>
      </c>
      <c r="CL607" s="139" t="s">
        <v>969</v>
      </c>
      <c r="CM607" s="139" t="s">
        <v>975</v>
      </c>
      <c r="CN607" s="139" t="s">
        <v>454</v>
      </c>
      <c r="CO607" s="139">
        <v>19.725629806518601</v>
      </c>
      <c r="CP607" s="139">
        <v>94.031059265136705</v>
      </c>
      <c r="CQ607" s="139" t="s">
        <v>1583</v>
      </c>
      <c r="CR607" s="449" t="s">
        <v>40</v>
      </c>
      <c r="CS607" s="660"/>
      <c r="CT607" s="24"/>
      <c r="CU607" s="24"/>
      <c r="CV607" s="24"/>
    </row>
    <row r="608" spans="1:100" x14ac:dyDescent="0.25">
      <c r="A608" s="293" t="s">
        <v>2691</v>
      </c>
      <c r="B608" s="206" t="s">
        <v>2444</v>
      </c>
      <c r="C608" s="183" t="s">
        <v>454</v>
      </c>
      <c r="D608" s="183" t="s">
        <v>486</v>
      </c>
      <c r="E608" s="183" t="s">
        <v>533</v>
      </c>
      <c r="F608" s="206">
        <f>ROUND(WWWW[[#This Row],[Total PoP ]]/5,0)</f>
        <v>47</v>
      </c>
      <c r="G608" s="209">
        <v>237</v>
      </c>
      <c r="H608" s="206"/>
      <c r="I608" s="206" t="s">
        <v>488</v>
      </c>
      <c r="J608" s="207">
        <v>43586</v>
      </c>
      <c r="K608" s="206"/>
      <c r="L608" s="206" t="s">
        <v>48</v>
      </c>
      <c r="M608" s="208">
        <v>0</v>
      </c>
      <c r="N608" s="195">
        <v>0</v>
      </c>
      <c r="O608" s="316">
        <v>0</v>
      </c>
      <c r="P608" s="317">
        <v>0</v>
      </c>
      <c r="Q608" s="317"/>
      <c r="R608" s="318"/>
      <c r="S608" s="318">
        <v>0</v>
      </c>
      <c r="T608" s="318"/>
      <c r="U608" s="318"/>
      <c r="V608" s="318"/>
      <c r="W608" s="318"/>
      <c r="X608" s="318"/>
      <c r="Y608" s="318"/>
      <c r="Z608" s="318"/>
      <c r="AA608" s="310">
        <v>0</v>
      </c>
      <c r="AB608" s="310"/>
      <c r="AC608" s="66"/>
      <c r="AD608" s="337"/>
      <c r="AE608" s="310">
        <v>0</v>
      </c>
      <c r="AF608" s="310" t="s">
        <v>286</v>
      </c>
      <c r="AG608" s="311" t="s">
        <v>286</v>
      </c>
      <c r="AH608" s="311"/>
      <c r="AI608" s="310"/>
      <c r="AJ608" s="310"/>
      <c r="AK608" s="841">
        <v>0</v>
      </c>
      <c r="AL608" s="842"/>
      <c r="AM608" s="842">
        <v>0</v>
      </c>
      <c r="AN608" s="837"/>
      <c r="AO608" s="837">
        <v>0</v>
      </c>
      <c r="AP608" s="843"/>
      <c r="AQ608" s="843"/>
      <c r="AR608" s="843"/>
      <c r="AS608" s="843"/>
      <c r="AT608" s="843"/>
      <c r="AU608" s="843"/>
      <c r="AV608" s="844"/>
      <c r="AW608" s="208" t="s">
        <v>3208</v>
      </c>
      <c r="AX608" s="211" t="s">
        <v>3208</v>
      </c>
      <c r="AY608" s="210" t="s">
        <v>2576</v>
      </c>
      <c r="AZ608" s="211">
        <v>0</v>
      </c>
      <c r="BA608" s="211">
        <v>0</v>
      </c>
      <c r="BB608" s="211">
        <v>0</v>
      </c>
      <c r="BC608" s="209">
        <v>0</v>
      </c>
      <c r="BD608" s="211">
        <v>0</v>
      </c>
      <c r="BE608" s="209">
        <v>0</v>
      </c>
      <c r="BF608" s="211">
        <v>0</v>
      </c>
      <c r="BG608" s="209">
        <v>0</v>
      </c>
      <c r="BH608" s="214">
        <v>0</v>
      </c>
      <c r="BI608" s="208">
        <v>1</v>
      </c>
      <c r="BJ608" s="209">
        <v>237</v>
      </c>
      <c r="BK608" s="210">
        <v>1</v>
      </c>
      <c r="BL608" s="210">
        <v>1</v>
      </c>
      <c r="BM608" s="210">
        <v>0</v>
      </c>
      <c r="BN608" s="208">
        <v>0</v>
      </c>
      <c r="BO608" s="352">
        <v>0</v>
      </c>
      <c r="BP608" s="208">
        <v>1</v>
      </c>
      <c r="BQ608" s="209">
        <v>40</v>
      </c>
      <c r="BR608" s="210">
        <v>40</v>
      </c>
      <c r="BS608" s="212">
        <v>0</v>
      </c>
      <c r="BT608" s="352" t="s">
        <v>103</v>
      </c>
      <c r="BU608" s="209">
        <v>0</v>
      </c>
      <c r="BV608" s="209">
        <v>0</v>
      </c>
      <c r="BW608" s="209">
        <v>0</v>
      </c>
      <c r="BX608" s="209">
        <v>0</v>
      </c>
      <c r="BY608" s="209">
        <v>0</v>
      </c>
      <c r="BZ608" s="208">
        <v>0</v>
      </c>
      <c r="CA608" s="212">
        <v>1</v>
      </c>
      <c r="CB608" s="211">
        <v>0</v>
      </c>
      <c r="CC608" s="211">
        <v>0</v>
      </c>
      <c r="CD608" s="211">
        <v>0</v>
      </c>
      <c r="CE608" s="210">
        <v>0</v>
      </c>
      <c r="CF608" s="210">
        <v>0</v>
      </c>
      <c r="CG608" s="210">
        <v>0</v>
      </c>
      <c r="CH608" s="209">
        <v>0</v>
      </c>
      <c r="CI608" s="139">
        <v>0</v>
      </c>
      <c r="CJ608" s="139">
        <v>0</v>
      </c>
      <c r="CK608" s="139" t="s">
        <v>975</v>
      </c>
      <c r="CL608" s="139" t="s">
        <v>969</v>
      </c>
      <c r="CM608" s="139" t="s">
        <v>975</v>
      </c>
      <c r="CN608" s="139" t="s">
        <v>454</v>
      </c>
      <c r="CO608" s="139">
        <v>19.591590881347699</v>
      </c>
      <c r="CP608" s="139">
        <v>93.808258056640597</v>
      </c>
      <c r="CQ608" s="139">
        <v>199195</v>
      </c>
      <c r="CR608" s="660" t="s">
        <v>40</v>
      </c>
      <c r="CS608" s="660"/>
      <c r="CT608" s="24"/>
      <c r="CU608" s="24"/>
      <c r="CV608" s="24"/>
    </row>
    <row r="609" spans="1:100" x14ac:dyDescent="0.25">
      <c r="A609" s="293" t="s">
        <v>2691</v>
      </c>
      <c r="B609" s="206" t="s">
        <v>2444</v>
      </c>
      <c r="C609" s="183" t="s">
        <v>454</v>
      </c>
      <c r="D609" s="183" t="s">
        <v>486</v>
      </c>
      <c r="E609" s="183" t="s">
        <v>539</v>
      </c>
      <c r="F609" s="206">
        <f>ROUND(WWWW[[#This Row],[Total PoP ]]/5,0)</f>
        <v>89</v>
      </c>
      <c r="G609" s="209">
        <v>443</v>
      </c>
      <c r="H609" s="206"/>
      <c r="I609" s="206" t="s">
        <v>488</v>
      </c>
      <c r="J609" s="207">
        <v>43586</v>
      </c>
      <c r="K609" s="206"/>
      <c r="L609" s="206" t="s">
        <v>48</v>
      </c>
      <c r="M609" s="208">
        <v>0</v>
      </c>
      <c r="N609" s="195">
        <v>0</v>
      </c>
      <c r="O609" s="323">
        <v>0</v>
      </c>
      <c r="P609" s="317">
        <v>0</v>
      </c>
      <c r="Q609" s="317"/>
      <c r="R609" s="318"/>
      <c r="S609" s="318">
        <v>0</v>
      </c>
      <c r="T609" s="318"/>
      <c r="U609" s="318"/>
      <c r="V609" s="318"/>
      <c r="W609" s="318"/>
      <c r="X609" s="318"/>
      <c r="Y609" s="318"/>
      <c r="Z609" s="318"/>
      <c r="AA609" s="310">
        <v>0</v>
      </c>
      <c r="AB609" s="310"/>
      <c r="AC609" s="66"/>
      <c r="AD609" s="337"/>
      <c r="AE609" s="310">
        <v>0</v>
      </c>
      <c r="AF609" s="310" t="s">
        <v>286</v>
      </c>
      <c r="AG609" s="311" t="s">
        <v>286</v>
      </c>
      <c r="AH609" s="311"/>
      <c r="AI609" s="310"/>
      <c r="AJ609" s="310"/>
      <c r="AK609" s="841">
        <v>0</v>
      </c>
      <c r="AL609" s="842"/>
      <c r="AM609" s="842">
        <v>0</v>
      </c>
      <c r="AN609" s="837"/>
      <c r="AO609" s="837">
        <v>0</v>
      </c>
      <c r="AP609" s="843"/>
      <c r="AQ609" s="843"/>
      <c r="AR609" s="843"/>
      <c r="AS609" s="843"/>
      <c r="AT609" s="843"/>
      <c r="AU609" s="843"/>
      <c r="AV609" s="844"/>
      <c r="AW609" s="208" t="s">
        <v>3208</v>
      </c>
      <c r="AX609" s="211" t="s">
        <v>3208</v>
      </c>
      <c r="AY609" s="210" t="s">
        <v>2576</v>
      </c>
      <c r="AZ609" s="211">
        <v>0</v>
      </c>
      <c r="BA609" s="211">
        <v>0</v>
      </c>
      <c r="BB609" s="211">
        <v>0</v>
      </c>
      <c r="BC609" s="209">
        <v>0</v>
      </c>
      <c r="BD609" s="211">
        <v>0</v>
      </c>
      <c r="BE609" s="209">
        <v>0</v>
      </c>
      <c r="BF609" s="211">
        <v>0</v>
      </c>
      <c r="BG609" s="209">
        <v>0</v>
      </c>
      <c r="BH609" s="214">
        <v>0</v>
      </c>
      <c r="BI609" s="208">
        <v>1</v>
      </c>
      <c r="BJ609" s="209">
        <v>443</v>
      </c>
      <c r="BK609" s="210">
        <v>1</v>
      </c>
      <c r="BL609" s="210">
        <v>1</v>
      </c>
      <c r="BM609" s="210">
        <v>0</v>
      </c>
      <c r="BN609" s="208">
        <v>0</v>
      </c>
      <c r="BO609" s="352">
        <v>0</v>
      </c>
      <c r="BP609" s="208">
        <v>1</v>
      </c>
      <c r="BQ609" s="209">
        <v>74</v>
      </c>
      <c r="BR609" s="210">
        <v>74</v>
      </c>
      <c r="BS609" s="212">
        <v>0</v>
      </c>
      <c r="BT609" s="352" t="s">
        <v>103</v>
      </c>
      <c r="BU609" s="209">
        <v>0</v>
      </c>
      <c r="BV609" s="209">
        <v>0</v>
      </c>
      <c r="BW609" s="209">
        <v>0</v>
      </c>
      <c r="BX609" s="209">
        <v>0</v>
      </c>
      <c r="BY609" s="209">
        <v>0</v>
      </c>
      <c r="BZ609" s="208">
        <v>0</v>
      </c>
      <c r="CA609" s="212">
        <v>1</v>
      </c>
      <c r="CB609" s="211">
        <v>0</v>
      </c>
      <c r="CC609" s="211">
        <v>0</v>
      </c>
      <c r="CD609" s="211">
        <v>0</v>
      </c>
      <c r="CE609" s="210">
        <v>0</v>
      </c>
      <c r="CF609" s="210">
        <v>0</v>
      </c>
      <c r="CG609" s="210">
        <v>0</v>
      </c>
      <c r="CH609" s="209">
        <v>0</v>
      </c>
      <c r="CI609" s="139">
        <v>0</v>
      </c>
      <c r="CJ609" s="139">
        <v>0</v>
      </c>
      <c r="CK609" s="139" t="s">
        <v>975</v>
      </c>
      <c r="CL609" s="139" t="s">
        <v>969</v>
      </c>
      <c r="CM609" s="139" t="s">
        <v>975</v>
      </c>
      <c r="CN609" s="139" t="s">
        <v>978</v>
      </c>
      <c r="CO609" s="139">
        <v>19.639009475708001</v>
      </c>
      <c r="CP609" s="139">
        <v>94.036079406738295</v>
      </c>
      <c r="CQ609" s="139" t="s">
        <v>1578</v>
      </c>
      <c r="CR609" s="449" t="s">
        <v>40</v>
      </c>
      <c r="CS609" s="660"/>
      <c r="CT609" s="24"/>
      <c r="CU609" s="24"/>
      <c r="CV609" s="24"/>
    </row>
    <row r="610" spans="1:100" x14ac:dyDescent="0.25">
      <c r="A610" s="293" t="s">
        <v>2691</v>
      </c>
      <c r="B610" s="179" t="s">
        <v>2444</v>
      </c>
      <c r="C610" s="179" t="s">
        <v>454</v>
      </c>
      <c r="D610" s="179" t="s">
        <v>486</v>
      </c>
      <c r="E610" s="179" t="s">
        <v>546</v>
      </c>
      <c r="F610" s="206">
        <f>ROUND(WWWW[[#This Row],[Total PoP ]]/5,0)</f>
        <v>75</v>
      </c>
      <c r="G610" s="397">
        <v>375</v>
      </c>
      <c r="H610" s="179"/>
      <c r="I610" s="179" t="s">
        <v>488</v>
      </c>
      <c r="J610" s="180">
        <v>43586</v>
      </c>
      <c r="K610" s="179"/>
      <c r="L610" s="179" t="s">
        <v>48</v>
      </c>
      <c r="M610" s="176">
        <v>0</v>
      </c>
      <c r="N610" s="195">
        <v>0</v>
      </c>
      <c r="O610" s="319">
        <v>0</v>
      </c>
      <c r="P610" s="320">
        <v>0</v>
      </c>
      <c r="Q610" s="327"/>
      <c r="R610" s="328"/>
      <c r="S610" s="328">
        <v>0</v>
      </c>
      <c r="T610" s="328"/>
      <c r="U610" s="318"/>
      <c r="V610" s="318"/>
      <c r="W610" s="318"/>
      <c r="X610" s="318"/>
      <c r="Y610" s="315"/>
      <c r="Z610" s="318"/>
      <c r="AA610" s="310">
        <v>0</v>
      </c>
      <c r="AB610" s="311"/>
      <c r="AC610" s="337"/>
      <c r="AD610" s="337"/>
      <c r="AE610" s="343">
        <v>0</v>
      </c>
      <c r="AF610" s="343" t="s">
        <v>286</v>
      </c>
      <c r="AG610" s="311" t="s">
        <v>286</v>
      </c>
      <c r="AH610" s="66"/>
      <c r="AI610" s="66"/>
      <c r="AJ610" s="344"/>
      <c r="AK610" s="856">
        <v>0</v>
      </c>
      <c r="AL610" s="857"/>
      <c r="AM610" s="844">
        <v>0</v>
      </c>
      <c r="AN610" s="837"/>
      <c r="AO610" s="837">
        <v>0</v>
      </c>
      <c r="AP610" s="843"/>
      <c r="AQ610" s="843"/>
      <c r="AR610" s="843"/>
      <c r="AS610" s="843"/>
      <c r="AT610" s="843"/>
      <c r="AU610" s="843"/>
      <c r="AV610" s="858"/>
      <c r="AW610" s="134" t="s">
        <v>3208</v>
      </c>
      <c r="AX610" s="136" t="s">
        <v>3208</v>
      </c>
      <c r="AY610" s="137" t="s">
        <v>2576</v>
      </c>
      <c r="AZ610" s="136">
        <v>0</v>
      </c>
      <c r="BA610" s="136">
        <v>0</v>
      </c>
      <c r="BB610" s="136">
        <v>0</v>
      </c>
      <c r="BC610" s="214">
        <v>0</v>
      </c>
      <c r="BD610" s="136">
        <v>0</v>
      </c>
      <c r="BE610" s="214">
        <v>0</v>
      </c>
      <c r="BF610" s="136">
        <v>0</v>
      </c>
      <c r="BG610" s="214">
        <v>0</v>
      </c>
      <c r="BH610" s="214">
        <v>0</v>
      </c>
      <c r="BI610" s="134">
        <v>1</v>
      </c>
      <c r="BJ610" s="214">
        <v>375</v>
      </c>
      <c r="BK610" s="137">
        <v>1</v>
      </c>
      <c r="BL610" s="137">
        <v>1</v>
      </c>
      <c r="BM610" s="137">
        <v>0</v>
      </c>
      <c r="BN610" s="134">
        <v>0</v>
      </c>
      <c r="BO610" s="351">
        <v>0</v>
      </c>
      <c r="BP610" s="134">
        <v>1</v>
      </c>
      <c r="BQ610" s="214">
        <v>63</v>
      </c>
      <c r="BR610" s="137">
        <v>63</v>
      </c>
      <c r="BS610" s="138">
        <v>0</v>
      </c>
      <c r="BT610" s="351" t="s">
        <v>103</v>
      </c>
      <c r="BU610" s="209">
        <v>0</v>
      </c>
      <c r="BV610" s="209">
        <v>0</v>
      </c>
      <c r="BW610" s="209">
        <v>0</v>
      </c>
      <c r="BX610" s="209">
        <v>0</v>
      </c>
      <c r="BY610" s="209">
        <v>0</v>
      </c>
      <c r="BZ610" s="134">
        <v>0</v>
      </c>
      <c r="CA610" s="138">
        <v>1</v>
      </c>
      <c r="CB610" s="136">
        <v>0</v>
      </c>
      <c r="CC610" s="136">
        <v>0</v>
      </c>
      <c r="CD610" s="136">
        <v>0</v>
      </c>
      <c r="CE610" s="137">
        <v>0</v>
      </c>
      <c r="CF610" s="137">
        <v>0</v>
      </c>
      <c r="CG610" s="351">
        <v>0</v>
      </c>
      <c r="CH610" s="214">
        <v>0</v>
      </c>
      <c r="CI610" s="139">
        <v>0</v>
      </c>
      <c r="CJ610" s="139">
        <v>0</v>
      </c>
      <c r="CK610" s="139" t="s">
        <v>975</v>
      </c>
      <c r="CL610" s="139" t="s">
        <v>969</v>
      </c>
      <c r="CM610" s="139" t="s">
        <v>975</v>
      </c>
      <c r="CN610" s="139" t="s">
        <v>454</v>
      </c>
      <c r="CO610" s="139">
        <v>19.738719940185501</v>
      </c>
      <c r="CP610" s="139">
        <v>94.035491943359403</v>
      </c>
      <c r="CQ610" s="139" t="s">
        <v>1585</v>
      </c>
      <c r="CR610" s="449" t="s">
        <v>40</v>
      </c>
      <c r="CS610" s="139"/>
      <c r="CT610" s="24"/>
      <c r="CU610" s="24"/>
      <c r="CV610" s="24"/>
    </row>
    <row r="611" spans="1:100" x14ac:dyDescent="0.25">
      <c r="A611" s="293" t="s">
        <v>2691</v>
      </c>
      <c r="B611" s="206" t="s">
        <v>2444</v>
      </c>
      <c r="C611" s="183" t="s">
        <v>454</v>
      </c>
      <c r="D611" s="183" t="s">
        <v>486</v>
      </c>
      <c r="E611" s="183" t="s">
        <v>540</v>
      </c>
      <c r="F611" s="206">
        <f>ROUND(WWWW[[#This Row],[Total PoP ]]/5,0)</f>
        <v>248</v>
      </c>
      <c r="G611" s="209">
        <v>1241</v>
      </c>
      <c r="H611" s="206"/>
      <c r="I611" s="206" t="s">
        <v>488</v>
      </c>
      <c r="J611" s="207">
        <v>43586</v>
      </c>
      <c r="K611" s="206"/>
      <c r="L611" s="206" t="s">
        <v>48</v>
      </c>
      <c r="M611" s="208">
        <v>0</v>
      </c>
      <c r="N611" s="195">
        <v>0</v>
      </c>
      <c r="O611" s="316">
        <v>0</v>
      </c>
      <c r="P611" s="317">
        <v>0</v>
      </c>
      <c r="Q611" s="317"/>
      <c r="R611" s="318"/>
      <c r="S611" s="318">
        <v>0</v>
      </c>
      <c r="T611" s="318"/>
      <c r="U611" s="318"/>
      <c r="V611" s="318"/>
      <c r="W611" s="318"/>
      <c r="X611" s="318"/>
      <c r="Y611" s="318"/>
      <c r="Z611" s="318"/>
      <c r="AA611" s="310">
        <v>0</v>
      </c>
      <c r="AB611" s="310"/>
      <c r="AC611" s="66"/>
      <c r="AD611" s="337"/>
      <c r="AE611" s="310">
        <v>0</v>
      </c>
      <c r="AF611" s="310" t="s">
        <v>286</v>
      </c>
      <c r="AG611" s="311" t="s">
        <v>286</v>
      </c>
      <c r="AH611" s="311"/>
      <c r="AI611" s="310"/>
      <c r="AJ611" s="310"/>
      <c r="AK611" s="841">
        <v>0</v>
      </c>
      <c r="AL611" s="842"/>
      <c r="AM611" s="842">
        <v>0</v>
      </c>
      <c r="AN611" s="837"/>
      <c r="AO611" s="837">
        <v>0</v>
      </c>
      <c r="AP611" s="843"/>
      <c r="AQ611" s="843"/>
      <c r="AR611" s="843"/>
      <c r="AS611" s="843"/>
      <c r="AT611" s="843"/>
      <c r="AU611" s="843"/>
      <c r="AV611" s="844"/>
      <c r="AW611" s="208" t="s">
        <v>3208</v>
      </c>
      <c r="AX611" s="211" t="s">
        <v>3208</v>
      </c>
      <c r="AY611" s="210" t="s">
        <v>2576</v>
      </c>
      <c r="AZ611" s="211">
        <v>0</v>
      </c>
      <c r="BA611" s="211">
        <v>0</v>
      </c>
      <c r="BB611" s="211">
        <v>0</v>
      </c>
      <c r="BC611" s="209">
        <v>0</v>
      </c>
      <c r="BD611" s="211">
        <v>0</v>
      </c>
      <c r="BE611" s="209">
        <v>0</v>
      </c>
      <c r="BF611" s="211">
        <v>0</v>
      </c>
      <c r="BG611" s="209">
        <v>0</v>
      </c>
      <c r="BH611" s="214">
        <v>0</v>
      </c>
      <c r="BI611" s="208">
        <v>1</v>
      </c>
      <c r="BJ611" s="209">
        <v>1241</v>
      </c>
      <c r="BK611" s="210">
        <v>2</v>
      </c>
      <c r="BL611" s="210">
        <v>2</v>
      </c>
      <c r="BM611" s="210">
        <v>0</v>
      </c>
      <c r="BN611" s="208">
        <v>0</v>
      </c>
      <c r="BO611" s="352">
        <v>0</v>
      </c>
      <c r="BP611" s="208">
        <v>1</v>
      </c>
      <c r="BQ611" s="209">
        <v>207</v>
      </c>
      <c r="BR611" s="210">
        <v>207</v>
      </c>
      <c r="BS611" s="212">
        <v>0</v>
      </c>
      <c r="BT611" s="352" t="s">
        <v>103</v>
      </c>
      <c r="BU611" s="209">
        <v>0</v>
      </c>
      <c r="BV611" s="209">
        <v>0</v>
      </c>
      <c r="BW611" s="209">
        <v>0</v>
      </c>
      <c r="BX611" s="209">
        <v>0</v>
      </c>
      <c r="BY611" s="209">
        <v>0</v>
      </c>
      <c r="BZ611" s="208">
        <v>0</v>
      </c>
      <c r="CA611" s="212">
        <v>1</v>
      </c>
      <c r="CB611" s="211">
        <v>0</v>
      </c>
      <c r="CC611" s="211">
        <v>0</v>
      </c>
      <c r="CD611" s="211">
        <v>0</v>
      </c>
      <c r="CE611" s="210">
        <v>0</v>
      </c>
      <c r="CF611" s="210">
        <v>0</v>
      </c>
      <c r="CG611" s="210">
        <v>0</v>
      </c>
      <c r="CH611" s="209">
        <v>0</v>
      </c>
      <c r="CI611" s="139">
        <v>0</v>
      </c>
      <c r="CJ611" s="139">
        <v>0</v>
      </c>
      <c r="CK611" s="139" t="s">
        <v>975</v>
      </c>
      <c r="CL611" s="139" t="s">
        <v>969</v>
      </c>
      <c r="CM611" s="139" t="s">
        <v>975</v>
      </c>
      <c r="CN611" s="139" t="s">
        <v>454</v>
      </c>
      <c r="CO611" s="139">
        <v>19.646549224853501</v>
      </c>
      <c r="CP611" s="139">
        <v>94.004188537597699</v>
      </c>
      <c r="CQ611" s="139" t="s">
        <v>1579</v>
      </c>
      <c r="CR611" s="660" t="s">
        <v>40</v>
      </c>
      <c r="CS611" s="660"/>
      <c r="CT611" s="24"/>
      <c r="CU611" s="24"/>
      <c r="CV611" s="24"/>
    </row>
    <row r="612" spans="1:100" x14ac:dyDescent="0.25">
      <c r="A612" s="293" t="s">
        <v>2691</v>
      </c>
      <c r="B612" s="206" t="s">
        <v>2444</v>
      </c>
      <c r="C612" s="183" t="s">
        <v>454</v>
      </c>
      <c r="D612" s="183" t="s">
        <v>486</v>
      </c>
      <c r="E612" s="183" t="s">
        <v>556</v>
      </c>
      <c r="F612" s="206">
        <f>ROUND(WWWW[[#This Row],[Total PoP ]]/5,0)</f>
        <v>107</v>
      </c>
      <c r="G612" s="209">
        <v>534</v>
      </c>
      <c r="H612" s="206"/>
      <c r="I612" s="206" t="s">
        <v>488</v>
      </c>
      <c r="J612" s="207">
        <v>43586</v>
      </c>
      <c r="K612" s="206"/>
      <c r="L612" s="206" t="s">
        <v>48</v>
      </c>
      <c r="M612" s="208">
        <v>0</v>
      </c>
      <c r="N612" s="195">
        <v>0</v>
      </c>
      <c r="O612" s="316">
        <v>0</v>
      </c>
      <c r="P612" s="317">
        <v>0</v>
      </c>
      <c r="Q612" s="317"/>
      <c r="R612" s="318"/>
      <c r="S612" s="318">
        <v>0</v>
      </c>
      <c r="T612" s="318"/>
      <c r="U612" s="318"/>
      <c r="V612" s="318"/>
      <c r="W612" s="318"/>
      <c r="X612" s="318"/>
      <c r="Y612" s="318"/>
      <c r="Z612" s="318"/>
      <c r="AA612" s="310">
        <v>0</v>
      </c>
      <c r="AB612" s="310"/>
      <c r="AC612" s="66"/>
      <c r="AD612" s="337"/>
      <c r="AE612" s="310">
        <v>0</v>
      </c>
      <c r="AF612" s="310" t="s">
        <v>286</v>
      </c>
      <c r="AG612" s="311" t="s">
        <v>286</v>
      </c>
      <c r="AH612" s="311"/>
      <c r="AI612" s="310"/>
      <c r="AJ612" s="310"/>
      <c r="AK612" s="841">
        <v>0</v>
      </c>
      <c r="AL612" s="842"/>
      <c r="AM612" s="842">
        <v>0</v>
      </c>
      <c r="AN612" s="837"/>
      <c r="AO612" s="837">
        <v>0</v>
      </c>
      <c r="AP612" s="843"/>
      <c r="AQ612" s="843"/>
      <c r="AR612" s="843"/>
      <c r="AS612" s="843"/>
      <c r="AT612" s="843"/>
      <c r="AU612" s="843"/>
      <c r="AV612" s="844"/>
      <c r="AW612" s="208" t="s">
        <v>3208</v>
      </c>
      <c r="AX612" s="211" t="s">
        <v>3208</v>
      </c>
      <c r="AY612" s="210" t="s">
        <v>2576</v>
      </c>
      <c r="AZ612" s="211">
        <v>0</v>
      </c>
      <c r="BA612" s="211">
        <v>0</v>
      </c>
      <c r="BB612" s="211">
        <v>0</v>
      </c>
      <c r="BC612" s="209">
        <v>0</v>
      </c>
      <c r="BD612" s="211">
        <v>0</v>
      </c>
      <c r="BE612" s="209">
        <v>0</v>
      </c>
      <c r="BF612" s="211">
        <v>0</v>
      </c>
      <c r="BG612" s="209">
        <v>0</v>
      </c>
      <c r="BH612" s="214">
        <v>0</v>
      </c>
      <c r="BI612" s="208">
        <v>1</v>
      </c>
      <c r="BJ612" s="209">
        <v>534</v>
      </c>
      <c r="BK612" s="210">
        <v>1</v>
      </c>
      <c r="BL612" s="210">
        <v>1</v>
      </c>
      <c r="BM612" s="210">
        <v>0</v>
      </c>
      <c r="BN612" s="208">
        <v>0</v>
      </c>
      <c r="BO612" s="352">
        <v>0</v>
      </c>
      <c r="BP612" s="208">
        <v>1</v>
      </c>
      <c r="BQ612" s="209">
        <v>89</v>
      </c>
      <c r="BR612" s="210">
        <v>89</v>
      </c>
      <c r="BS612" s="212">
        <v>0</v>
      </c>
      <c r="BT612" s="352" t="s">
        <v>103</v>
      </c>
      <c r="BU612" s="209">
        <v>0</v>
      </c>
      <c r="BV612" s="209">
        <v>0</v>
      </c>
      <c r="BW612" s="209">
        <v>0</v>
      </c>
      <c r="BX612" s="209">
        <v>0</v>
      </c>
      <c r="BY612" s="209">
        <v>0</v>
      </c>
      <c r="BZ612" s="208">
        <v>0</v>
      </c>
      <c r="CA612" s="212">
        <v>1</v>
      </c>
      <c r="CB612" s="211">
        <v>0</v>
      </c>
      <c r="CC612" s="211">
        <v>0</v>
      </c>
      <c r="CD612" s="211">
        <v>0</v>
      </c>
      <c r="CE612" s="210">
        <v>0</v>
      </c>
      <c r="CF612" s="210">
        <v>0</v>
      </c>
      <c r="CG612" s="210">
        <v>0</v>
      </c>
      <c r="CH612" s="209">
        <v>0</v>
      </c>
      <c r="CI612" s="139">
        <v>0</v>
      </c>
      <c r="CJ612" s="139">
        <v>0</v>
      </c>
      <c r="CK612" s="139" t="s">
        <v>975</v>
      </c>
      <c r="CL612" s="139" t="s">
        <v>969</v>
      </c>
      <c r="CM612" s="139" t="s">
        <v>975</v>
      </c>
      <c r="CN612" s="139" t="s">
        <v>978</v>
      </c>
      <c r="CO612" s="139">
        <v>19.991359710693398</v>
      </c>
      <c r="CP612" s="139">
        <v>93.834663391113295</v>
      </c>
      <c r="CQ612" s="139" t="s">
        <v>1596</v>
      </c>
      <c r="CR612" s="660" t="s">
        <v>40</v>
      </c>
      <c r="CS612" s="660"/>
      <c r="CT612" s="24"/>
      <c r="CU612" s="24"/>
      <c r="CV612" s="24"/>
    </row>
    <row r="613" spans="1:100" x14ac:dyDescent="0.25">
      <c r="A613" s="293" t="s">
        <v>2691</v>
      </c>
      <c r="B613" s="101" t="s">
        <v>2444</v>
      </c>
      <c r="C613" s="101" t="s">
        <v>454</v>
      </c>
      <c r="D613" s="101" t="s">
        <v>486</v>
      </c>
      <c r="E613" s="101" t="s">
        <v>547</v>
      </c>
      <c r="F613" s="206">
        <f>ROUND(WWWW[[#This Row],[Total PoP ]]/5,0)</f>
        <v>123</v>
      </c>
      <c r="G613" s="396">
        <v>615</v>
      </c>
      <c r="H613" s="101"/>
      <c r="I613" s="101" t="s">
        <v>488</v>
      </c>
      <c r="J613" s="102">
        <v>43586</v>
      </c>
      <c r="K613" s="101"/>
      <c r="L613" s="101" t="s">
        <v>48</v>
      </c>
      <c r="M613" s="103">
        <v>0</v>
      </c>
      <c r="N613" s="195">
        <v>0</v>
      </c>
      <c r="O613" s="319">
        <v>0</v>
      </c>
      <c r="P613" s="320">
        <v>0</v>
      </c>
      <c r="Q613" s="321"/>
      <c r="R613" s="322"/>
      <c r="S613" s="322">
        <v>0</v>
      </c>
      <c r="T613" s="322"/>
      <c r="U613" s="322"/>
      <c r="V613" s="315"/>
      <c r="W613" s="317"/>
      <c r="X613" s="317"/>
      <c r="Y613" s="315"/>
      <c r="Z613" s="318"/>
      <c r="AA613" s="310">
        <v>0</v>
      </c>
      <c r="AB613" s="311"/>
      <c r="AC613" s="337"/>
      <c r="AD613" s="337"/>
      <c r="AE613" s="340">
        <v>0</v>
      </c>
      <c r="AF613" s="66" t="s">
        <v>286</v>
      </c>
      <c r="AG613" s="66" t="s">
        <v>286</v>
      </c>
      <c r="AH613" s="66"/>
      <c r="AI613" s="66"/>
      <c r="AJ613" s="341"/>
      <c r="AK613" s="845">
        <v>0</v>
      </c>
      <c r="AL613" s="846"/>
      <c r="AM613" s="844">
        <v>0</v>
      </c>
      <c r="AN613" s="837"/>
      <c r="AO613" s="837">
        <v>0</v>
      </c>
      <c r="AP613" s="843"/>
      <c r="AQ613" s="843"/>
      <c r="AR613" s="843"/>
      <c r="AS613" s="843"/>
      <c r="AT613" s="843"/>
      <c r="AU613" s="843"/>
      <c r="AV613" s="847"/>
      <c r="AW613" s="134" t="s">
        <v>3208</v>
      </c>
      <c r="AX613" s="136" t="s">
        <v>3208</v>
      </c>
      <c r="AY613" s="137" t="s">
        <v>2576</v>
      </c>
      <c r="AZ613" s="136">
        <v>0</v>
      </c>
      <c r="BA613" s="136">
        <v>0</v>
      </c>
      <c r="BB613" s="136">
        <v>0</v>
      </c>
      <c r="BC613" s="214">
        <v>0</v>
      </c>
      <c r="BD613" s="136">
        <v>0</v>
      </c>
      <c r="BE613" s="214">
        <v>0</v>
      </c>
      <c r="BF613" s="136">
        <v>0</v>
      </c>
      <c r="BG613" s="214">
        <v>0</v>
      </c>
      <c r="BH613" s="214">
        <v>0</v>
      </c>
      <c r="BI613" s="134">
        <v>1</v>
      </c>
      <c r="BJ613" s="214">
        <v>615</v>
      </c>
      <c r="BK613" s="137">
        <v>1</v>
      </c>
      <c r="BL613" s="137">
        <v>1</v>
      </c>
      <c r="BM613" s="137">
        <v>0</v>
      </c>
      <c r="BN613" s="134">
        <v>0</v>
      </c>
      <c r="BO613" s="351">
        <v>0</v>
      </c>
      <c r="BP613" s="134">
        <v>1</v>
      </c>
      <c r="BQ613" s="214">
        <v>103</v>
      </c>
      <c r="BR613" s="137">
        <v>103</v>
      </c>
      <c r="BS613" s="138">
        <v>0</v>
      </c>
      <c r="BT613" s="351" t="s">
        <v>103</v>
      </c>
      <c r="BU613" s="209">
        <v>0</v>
      </c>
      <c r="BV613" s="209">
        <v>0</v>
      </c>
      <c r="BW613" s="209">
        <v>0</v>
      </c>
      <c r="BX613" s="209">
        <v>0</v>
      </c>
      <c r="BY613" s="209">
        <v>0</v>
      </c>
      <c r="BZ613" s="134">
        <v>0</v>
      </c>
      <c r="CA613" s="138">
        <v>1</v>
      </c>
      <c r="CB613" s="136">
        <v>0</v>
      </c>
      <c r="CC613" s="136">
        <v>0</v>
      </c>
      <c r="CD613" s="136">
        <v>0</v>
      </c>
      <c r="CE613" s="137">
        <v>0</v>
      </c>
      <c r="CF613" s="137">
        <v>0</v>
      </c>
      <c r="CG613" s="351">
        <v>0</v>
      </c>
      <c r="CH613" s="214">
        <v>0</v>
      </c>
      <c r="CI613" s="139">
        <v>0</v>
      </c>
      <c r="CJ613" s="139">
        <v>0</v>
      </c>
      <c r="CK613" s="139" t="s">
        <v>975</v>
      </c>
      <c r="CL613" s="139" t="s">
        <v>969</v>
      </c>
      <c r="CM613" s="139" t="s">
        <v>975</v>
      </c>
      <c r="CN613" s="139" t="s">
        <v>454</v>
      </c>
      <c r="CO613" s="139">
        <v>19.9044303894043</v>
      </c>
      <c r="CP613" s="139">
        <v>93.792778015136705</v>
      </c>
      <c r="CQ613" s="139" t="s">
        <v>1586</v>
      </c>
      <c r="CR613" s="449" t="s">
        <v>40</v>
      </c>
      <c r="CS613" s="139"/>
      <c r="CT613" s="24"/>
      <c r="CU613" s="24"/>
      <c r="CV613" s="24"/>
    </row>
    <row r="614" spans="1:100" x14ac:dyDescent="0.25">
      <c r="A614" s="293" t="s">
        <v>2691</v>
      </c>
      <c r="B614" s="183" t="s">
        <v>2444</v>
      </c>
      <c r="C614" s="183" t="s">
        <v>454</v>
      </c>
      <c r="D614" s="183" t="s">
        <v>486</v>
      </c>
      <c r="E614" s="183" t="s">
        <v>549</v>
      </c>
      <c r="F614" s="206">
        <f>ROUND(WWWW[[#This Row],[Total PoP ]]/5,0)</f>
        <v>115</v>
      </c>
      <c r="G614" s="395">
        <v>575</v>
      </c>
      <c r="H614" s="183"/>
      <c r="I614" s="183" t="s">
        <v>488</v>
      </c>
      <c r="J614" s="184">
        <v>43586</v>
      </c>
      <c r="K614" s="183"/>
      <c r="L614" s="183" t="s">
        <v>48</v>
      </c>
      <c r="M614" s="185">
        <v>0</v>
      </c>
      <c r="N614" s="195">
        <v>0</v>
      </c>
      <c r="O614" s="329">
        <v>0</v>
      </c>
      <c r="P614" s="329">
        <v>0</v>
      </c>
      <c r="Q614" s="324"/>
      <c r="R614" s="325"/>
      <c r="S614" s="325">
        <v>0</v>
      </c>
      <c r="T614" s="325"/>
      <c r="U614" s="315"/>
      <c r="V614" s="315"/>
      <c r="W614" s="315"/>
      <c r="X614" s="315"/>
      <c r="Y614" s="315"/>
      <c r="Z614" s="315"/>
      <c r="AA614" s="336">
        <v>0</v>
      </c>
      <c r="AB614" s="342"/>
      <c r="AC614" s="342"/>
      <c r="AD614" s="337"/>
      <c r="AE614" s="342">
        <v>0</v>
      </c>
      <c r="AF614" s="336" t="s">
        <v>286</v>
      </c>
      <c r="AG614" s="339" t="s">
        <v>286</v>
      </c>
      <c r="AH614" s="337"/>
      <c r="AI614" s="337"/>
      <c r="AJ614" s="342"/>
      <c r="AK614" s="851">
        <v>0</v>
      </c>
      <c r="AL614" s="855"/>
      <c r="AM614" s="836">
        <v>0</v>
      </c>
      <c r="AN614" s="837"/>
      <c r="AO614" s="837">
        <v>0</v>
      </c>
      <c r="AP614" s="843"/>
      <c r="AQ614" s="839"/>
      <c r="AR614" s="839"/>
      <c r="AS614" s="839"/>
      <c r="AT614" s="839"/>
      <c r="AU614" s="839"/>
      <c r="AV614" s="852"/>
      <c r="AW614" s="134" t="s">
        <v>3208</v>
      </c>
      <c r="AX614" s="136" t="s">
        <v>3208</v>
      </c>
      <c r="AY614" s="137" t="s">
        <v>2576</v>
      </c>
      <c r="AZ614" s="136">
        <v>0</v>
      </c>
      <c r="BA614" s="136">
        <v>0</v>
      </c>
      <c r="BB614" s="136">
        <v>0</v>
      </c>
      <c r="BC614" s="214">
        <v>0</v>
      </c>
      <c r="BD614" s="136">
        <v>0</v>
      </c>
      <c r="BE614" s="214">
        <v>0</v>
      </c>
      <c r="BF614" s="136">
        <v>0</v>
      </c>
      <c r="BG614" s="214">
        <v>0</v>
      </c>
      <c r="BH614" s="214">
        <v>0</v>
      </c>
      <c r="BI614" s="134">
        <v>1</v>
      </c>
      <c r="BJ614" s="214">
        <v>575</v>
      </c>
      <c r="BK614" s="137">
        <v>1</v>
      </c>
      <c r="BL614" s="137">
        <v>1</v>
      </c>
      <c r="BM614" s="137">
        <v>0</v>
      </c>
      <c r="BN614" s="134">
        <v>0</v>
      </c>
      <c r="BO614" s="351">
        <v>0</v>
      </c>
      <c r="BP614" s="134">
        <v>1</v>
      </c>
      <c r="BQ614" s="214">
        <v>96</v>
      </c>
      <c r="BR614" s="137">
        <v>96</v>
      </c>
      <c r="BS614" s="138">
        <v>0</v>
      </c>
      <c r="BT614" s="351" t="s">
        <v>103</v>
      </c>
      <c r="BU614" s="209">
        <v>0</v>
      </c>
      <c r="BV614" s="209">
        <v>0</v>
      </c>
      <c r="BW614" s="209">
        <v>0</v>
      </c>
      <c r="BX614" s="209">
        <v>0</v>
      </c>
      <c r="BY614" s="209">
        <v>0</v>
      </c>
      <c r="BZ614" s="134">
        <v>0</v>
      </c>
      <c r="CA614" s="138">
        <v>1</v>
      </c>
      <c r="CB614" s="136">
        <v>0</v>
      </c>
      <c r="CC614" s="136">
        <v>0</v>
      </c>
      <c r="CD614" s="136">
        <v>0</v>
      </c>
      <c r="CE614" s="137">
        <v>0</v>
      </c>
      <c r="CF614" s="137">
        <v>0</v>
      </c>
      <c r="CG614" s="351">
        <v>0</v>
      </c>
      <c r="CH614" s="214">
        <v>0</v>
      </c>
      <c r="CI614" s="139">
        <v>0</v>
      </c>
      <c r="CJ614" s="139">
        <v>0</v>
      </c>
      <c r="CK614" s="139" t="s">
        <v>975</v>
      </c>
      <c r="CL614" s="139" t="s">
        <v>969</v>
      </c>
      <c r="CM614" s="139" t="s">
        <v>975</v>
      </c>
      <c r="CN614" s="139" t="s">
        <v>978</v>
      </c>
      <c r="CO614" s="139">
        <v>19.930080413818398</v>
      </c>
      <c r="CP614" s="139">
        <v>93.787002563476605</v>
      </c>
      <c r="CQ614" s="139" t="s">
        <v>1588</v>
      </c>
      <c r="CR614" s="449" t="s">
        <v>40</v>
      </c>
      <c r="CS614" s="139"/>
      <c r="CT614" s="24"/>
      <c r="CU614" s="24"/>
      <c r="CV614" s="24"/>
    </row>
    <row r="615" spans="1:100" x14ac:dyDescent="0.25">
      <c r="A615" s="293" t="s">
        <v>2691</v>
      </c>
      <c r="B615" s="101" t="s">
        <v>2444</v>
      </c>
      <c r="C615" s="101" t="s">
        <v>454</v>
      </c>
      <c r="D615" s="101" t="s">
        <v>486</v>
      </c>
      <c r="E615" s="101" t="s">
        <v>535</v>
      </c>
      <c r="F615" s="206">
        <f>ROUND(WWWW[[#This Row],[Total PoP ]]/5,0)</f>
        <v>144</v>
      </c>
      <c r="G615" s="396">
        <v>719</v>
      </c>
      <c r="H615" s="101"/>
      <c r="I615" s="101" t="s">
        <v>488</v>
      </c>
      <c r="J615" s="102">
        <v>43586</v>
      </c>
      <c r="K615" s="101"/>
      <c r="L615" s="101" t="s">
        <v>48</v>
      </c>
      <c r="M615" s="103">
        <v>0</v>
      </c>
      <c r="N615" s="195">
        <v>0</v>
      </c>
      <c r="O615" s="319">
        <v>0</v>
      </c>
      <c r="P615" s="320">
        <v>0</v>
      </c>
      <c r="Q615" s="326"/>
      <c r="R615" s="315"/>
      <c r="S615" s="315">
        <v>0</v>
      </c>
      <c r="T615" s="315"/>
      <c r="U615" s="315"/>
      <c r="V615" s="315"/>
      <c r="W615" s="315"/>
      <c r="X615" s="315"/>
      <c r="Y615" s="315"/>
      <c r="Z615" s="315"/>
      <c r="AA615" s="336">
        <v>0</v>
      </c>
      <c r="AB615" s="336"/>
      <c r="AC615" s="336"/>
      <c r="AD615" s="337"/>
      <c r="AE615" s="336">
        <v>0</v>
      </c>
      <c r="AF615" s="336" t="s">
        <v>286</v>
      </c>
      <c r="AG615" s="339" t="s">
        <v>286</v>
      </c>
      <c r="AH615" s="337"/>
      <c r="AI615" s="337"/>
      <c r="AJ615" s="336"/>
      <c r="AK615" s="848">
        <v>0</v>
      </c>
      <c r="AL615" s="836"/>
      <c r="AM615" s="836">
        <v>0</v>
      </c>
      <c r="AN615" s="837"/>
      <c r="AO615" s="837">
        <v>0</v>
      </c>
      <c r="AP615" s="843"/>
      <c r="AQ615" s="839"/>
      <c r="AR615" s="839"/>
      <c r="AS615" s="839"/>
      <c r="AT615" s="839"/>
      <c r="AU615" s="839"/>
      <c r="AV615" s="849"/>
      <c r="AW615" s="134" t="s">
        <v>3208</v>
      </c>
      <c r="AX615" s="136" t="s">
        <v>3208</v>
      </c>
      <c r="AY615" s="137" t="s">
        <v>2576</v>
      </c>
      <c r="AZ615" s="136">
        <v>0</v>
      </c>
      <c r="BA615" s="136">
        <v>0</v>
      </c>
      <c r="BB615" s="136">
        <v>0</v>
      </c>
      <c r="BC615" s="214">
        <v>0</v>
      </c>
      <c r="BD615" s="136">
        <v>0</v>
      </c>
      <c r="BE615" s="214">
        <v>0</v>
      </c>
      <c r="BF615" s="136">
        <v>0</v>
      </c>
      <c r="BG615" s="214">
        <v>0</v>
      </c>
      <c r="BH615" s="214">
        <v>0</v>
      </c>
      <c r="BI615" s="134">
        <v>1</v>
      </c>
      <c r="BJ615" s="214">
        <v>719</v>
      </c>
      <c r="BK615" s="137">
        <v>1</v>
      </c>
      <c r="BL615" s="137">
        <v>1</v>
      </c>
      <c r="BM615" s="137">
        <v>0</v>
      </c>
      <c r="BN615" s="134">
        <v>0</v>
      </c>
      <c r="BO615" s="351">
        <v>0</v>
      </c>
      <c r="BP615" s="134">
        <v>1</v>
      </c>
      <c r="BQ615" s="214">
        <v>120</v>
      </c>
      <c r="BR615" s="137">
        <v>120</v>
      </c>
      <c r="BS615" s="138">
        <v>0</v>
      </c>
      <c r="BT615" s="351" t="s">
        <v>103</v>
      </c>
      <c r="BU615" s="209">
        <v>0</v>
      </c>
      <c r="BV615" s="209">
        <v>0</v>
      </c>
      <c r="BW615" s="209">
        <v>0</v>
      </c>
      <c r="BX615" s="209">
        <v>0</v>
      </c>
      <c r="BY615" s="209">
        <v>0</v>
      </c>
      <c r="BZ615" s="134">
        <v>0</v>
      </c>
      <c r="CA615" s="138">
        <v>1</v>
      </c>
      <c r="CB615" s="136">
        <v>0</v>
      </c>
      <c r="CC615" s="136">
        <v>0</v>
      </c>
      <c r="CD615" s="136">
        <v>0</v>
      </c>
      <c r="CE615" s="137">
        <v>0</v>
      </c>
      <c r="CF615" s="137">
        <v>0</v>
      </c>
      <c r="CG615" s="351">
        <v>0</v>
      </c>
      <c r="CH615" s="214">
        <v>0</v>
      </c>
      <c r="CI615" s="139">
        <v>0</v>
      </c>
      <c r="CJ615" s="139">
        <v>0</v>
      </c>
      <c r="CK615" s="139" t="s">
        <v>975</v>
      </c>
      <c r="CL615" s="139" t="s">
        <v>969</v>
      </c>
      <c r="CM615" s="139" t="s">
        <v>975</v>
      </c>
      <c r="CN615" s="139" t="s">
        <v>454</v>
      </c>
      <c r="CO615" s="139">
        <v>19.611209869384801</v>
      </c>
      <c r="CP615" s="139">
        <v>93.995933532714801</v>
      </c>
      <c r="CQ615" s="139" t="s">
        <v>1574</v>
      </c>
      <c r="CR615" s="449" t="s">
        <v>40</v>
      </c>
      <c r="CS615" s="139"/>
      <c r="CT615" s="24"/>
      <c r="CU615" s="24"/>
      <c r="CV615" s="24"/>
    </row>
    <row r="616" spans="1:100" x14ac:dyDescent="0.25">
      <c r="A616" s="293" t="s">
        <v>2691</v>
      </c>
      <c r="B616" s="206" t="s">
        <v>2444</v>
      </c>
      <c r="C616" s="183" t="s">
        <v>454</v>
      </c>
      <c r="D616" s="183" t="s">
        <v>486</v>
      </c>
      <c r="E616" s="183" t="s">
        <v>541</v>
      </c>
      <c r="F616" s="206">
        <f>ROUND(WWWW[[#This Row],[Total PoP ]]/5,0)</f>
        <v>110</v>
      </c>
      <c r="G616" s="209">
        <v>549</v>
      </c>
      <c r="H616" s="206"/>
      <c r="I616" s="206" t="s">
        <v>488</v>
      </c>
      <c r="J616" s="207">
        <v>43586</v>
      </c>
      <c r="K616" s="206"/>
      <c r="L616" s="206" t="s">
        <v>48</v>
      </c>
      <c r="M616" s="208">
        <v>0</v>
      </c>
      <c r="N616" s="195">
        <v>0</v>
      </c>
      <c r="O616" s="316">
        <v>0</v>
      </c>
      <c r="P616" s="317">
        <v>0</v>
      </c>
      <c r="Q616" s="317"/>
      <c r="R616" s="318"/>
      <c r="S616" s="318">
        <v>0</v>
      </c>
      <c r="T616" s="318"/>
      <c r="U616" s="318"/>
      <c r="V616" s="318"/>
      <c r="W616" s="318"/>
      <c r="X616" s="318"/>
      <c r="Y616" s="318"/>
      <c r="Z616" s="318"/>
      <c r="AA616" s="310">
        <v>0</v>
      </c>
      <c r="AB616" s="310"/>
      <c r="AC616" s="66"/>
      <c r="AD616" s="337"/>
      <c r="AE616" s="310">
        <v>0</v>
      </c>
      <c r="AF616" s="310" t="s">
        <v>286</v>
      </c>
      <c r="AG616" s="311" t="s">
        <v>286</v>
      </c>
      <c r="AH616" s="311"/>
      <c r="AI616" s="310"/>
      <c r="AJ616" s="310"/>
      <c r="AK616" s="841">
        <v>0</v>
      </c>
      <c r="AL616" s="842"/>
      <c r="AM616" s="842">
        <v>0</v>
      </c>
      <c r="AN616" s="837"/>
      <c r="AO616" s="837">
        <v>0</v>
      </c>
      <c r="AP616" s="843"/>
      <c r="AQ616" s="843"/>
      <c r="AR616" s="843"/>
      <c r="AS616" s="843"/>
      <c r="AT616" s="843"/>
      <c r="AU616" s="843"/>
      <c r="AV616" s="844"/>
      <c r="AW616" s="208" t="s">
        <v>3208</v>
      </c>
      <c r="AX616" s="211" t="s">
        <v>3208</v>
      </c>
      <c r="AY616" s="210" t="s">
        <v>2576</v>
      </c>
      <c r="AZ616" s="211">
        <v>0</v>
      </c>
      <c r="BA616" s="211">
        <v>0</v>
      </c>
      <c r="BB616" s="211">
        <v>0</v>
      </c>
      <c r="BC616" s="209">
        <v>0</v>
      </c>
      <c r="BD616" s="211">
        <v>0</v>
      </c>
      <c r="BE616" s="209">
        <v>0</v>
      </c>
      <c r="BF616" s="211">
        <v>0</v>
      </c>
      <c r="BG616" s="209">
        <v>0</v>
      </c>
      <c r="BH616" s="214">
        <v>0</v>
      </c>
      <c r="BI616" s="208">
        <v>1</v>
      </c>
      <c r="BJ616" s="209">
        <v>549</v>
      </c>
      <c r="BK616" s="210">
        <v>1</v>
      </c>
      <c r="BL616" s="210">
        <v>1</v>
      </c>
      <c r="BM616" s="210">
        <v>0</v>
      </c>
      <c r="BN616" s="208">
        <v>0</v>
      </c>
      <c r="BO616" s="352">
        <v>0</v>
      </c>
      <c r="BP616" s="208">
        <v>1</v>
      </c>
      <c r="BQ616" s="209">
        <v>92</v>
      </c>
      <c r="BR616" s="210">
        <v>92</v>
      </c>
      <c r="BS616" s="212">
        <v>0</v>
      </c>
      <c r="BT616" s="352" t="s">
        <v>103</v>
      </c>
      <c r="BU616" s="209">
        <v>0</v>
      </c>
      <c r="BV616" s="209">
        <v>0</v>
      </c>
      <c r="BW616" s="209">
        <v>0</v>
      </c>
      <c r="BX616" s="209">
        <v>0</v>
      </c>
      <c r="BY616" s="209">
        <v>0</v>
      </c>
      <c r="BZ616" s="208">
        <v>0</v>
      </c>
      <c r="CA616" s="212">
        <v>1</v>
      </c>
      <c r="CB616" s="211">
        <v>0</v>
      </c>
      <c r="CC616" s="211">
        <v>0</v>
      </c>
      <c r="CD616" s="211">
        <v>0</v>
      </c>
      <c r="CE616" s="210">
        <v>0</v>
      </c>
      <c r="CF616" s="210">
        <v>0</v>
      </c>
      <c r="CG616" s="210">
        <v>0</v>
      </c>
      <c r="CH616" s="209">
        <v>0</v>
      </c>
      <c r="CI616" s="139">
        <v>0</v>
      </c>
      <c r="CJ616" s="139">
        <v>0</v>
      </c>
      <c r="CK616" s="139" t="s">
        <v>975</v>
      </c>
      <c r="CL616" s="139" t="s">
        <v>969</v>
      </c>
      <c r="CM616" s="139" t="s">
        <v>975</v>
      </c>
      <c r="CN616" s="139" t="s">
        <v>978</v>
      </c>
      <c r="CO616" s="139">
        <v>19.686580657958999</v>
      </c>
      <c r="CP616" s="139">
        <v>94.048843383789105</v>
      </c>
      <c r="CQ616" s="139" t="s">
        <v>1580</v>
      </c>
      <c r="CR616" s="660" t="s">
        <v>40</v>
      </c>
      <c r="CS616" s="660"/>
      <c r="CT616" s="24"/>
      <c r="CU616" s="24"/>
      <c r="CV616" s="24"/>
    </row>
    <row r="617" spans="1:100" x14ac:dyDescent="0.25">
      <c r="A617" s="293" t="s">
        <v>2691</v>
      </c>
      <c r="B617" s="183" t="s">
        <v>2444</v>
      </c>
      <c r="C617" s="183" t="s">
        <v>454</v>
      </c>
      <c r="D617" s="183" t="s">
        <v>486</v>
      </c>
      <c r="E617" s="206" t="s">
        <v>538</v>
      </c>
      <c r="F617" s="206">
        <f>ROUND(WWWW[[#This Row],[Total PoP ]]/5,0)</f>
        <v>72</v>
      </c>
      <c r="G617" s="395">
        <v>360</v>
      </c>
      <c r="H617" s="183"/>
      <c r="I617" s="183" t="s">
        <v>488</v>
      </c>
      <c r="J617" s="194">
        <v>43586</v>
      </c>
      <c r="K617" s="194"/>
      <c r="L617" s="193" t="s">
        <v>48</v>
      </c>
      <c r="M617" s="195">
        <v>0</v>
      </c>
      <c r="N617" s="195">
        <v>0</v>
      </c>
      <c r="O617" s="312">
        <v>0</v>
      </c>
      <c r="P617" s="313">
        <v>0</v>
      </c>
      <c r="Q617" s="313"/>
      <c r="R617" s="314"/>
      <c r="S617" s="314">
        <v>0</v>
      </c>
      <c r="T617" s="314"/>
      <c r="U617" s="315"/>
      <c r="V617" s="315"/>
      <c r="W617" s="315"/>
      <c r="X617" s="315"/>
      <c r="Y617" s="315"/>
      <c r="Z617" s="315"/>
      <c r="AA617" s="336">
        <v>0</v>
      </c>
      <c r="AB617" s="336"/>
      <c r="AC617" s="337"/>
      <c r="AD617" s="337"/>
      <c r="AE617" s="338">
        <v>0</v>
      </c>
      <c r="AF617" s="338" t="s">
        <v>286</v>
      </c>
      <c r="AG617" s="339" t="s">
        <v>286</v>
      </c>
      <c r="AH617" s="339"/>
      <c r="AI617" s="339"/>
      <c r="AJ617" s="338"/>
      <c r="AK617" s="834">
        <v>0</v>
      </c>
      <c r="AL617" s="835"/>
      <c r="AM617" s="836">
        <v>0</v>
      </c>
      <c r="AN617" s="837"/>
      <c r="AO617" s="837">
        <v>0</v>
      </c>
      <c r="AP617" s="843"/>
      <c r="AQ617" s="839"/>
      <c r="AR617" s="839"/>
      <c r="AS617" s="839"/>
      <c r="AT617" s="839"/>
      <c r="AU617" s="839"/>
      <c r="AV617" s="840"/>
      <c r="AW617" s="134" t="s">
        <v>3208</v>
      </c>
      <c r="AX617" s="136" t="s">
        <v>3208</v>
      </c>
      <c r="AY617" s="197" t="s">
        <v>2576</v>
      </c>
      <c r="AZ617" s="204">
        <v>0</v>
      </c>
      <c r="BA617" s="204">
        <v>0</v>
      </c>
      <c r="BB617" s="204">
        <v>0</v>
      </c>
      <c r="BC617" s="214">
        <v>0</v>
      </c>
      <c r="BD617" s="204">
        <v>0</v>
      </c>
      <c r="BE617" s="196">
        <v>0</v>
      </c>
      <c r="BF617" s="204">
        <v>0</v>
      </c>
      <c r="BG617" s="196">
        <v>0</v>
      </c>
      <c r="BH617" s="214">
        <v>0</v>
      </c>
      <c r="BI617" s="134">
        <v>1</v>
      </c>
      <c r="BJ617" s="196">
        <v>360</v>
      </c>
      <c r="BK617" s="137">
        <v>1</v>
      </c>
      <c r="BL617" s="197">
        <v>1</v>
      </c>
      <c r="BM617" s="137">
        <v>0</v>
      </c>
      <c r="BN617" s="195">
        <v>0</v>
      </c>
      <c r="BO617" s="351">
        <v>0</v>
      </c>
      <c r="BP617" s="134">
        <v>1</v>
      </c>
      <c r="BQ617" s="214">
        <v>60</v>
      </c>
      <c r="BR617" s="197">
        <v>60</v>
      </c>
      <c r="BS617" s="198">
        <v>0</v>
      </c>
      <c r="BT617" s="351" t="s">
        <v>103</v>
      </c>
      <c r="BU617" s="196">
        <v>0</v>
      </c>
      <c r="BV617" s="196">
        <v>0</v>
      </c>
      <c r="BW617" s="196">
        <v>0</v>
      </c>
      <c r="BX617" s="196">
        <v>0</v>
      </c>
      <c r="BY617" s="196">
        <v>0</v>
      </c>
      <c r="BZ617" s="134">
        <v>0</v>
      </c>
      <c r="CA617" s="198">
        <v>1</v>
      </c>
      <c r="CB617" s="136">
        <v>0</v>
      </c>
      <c r="CC617" s="136">
        <v>0</v>
      </c>
      <c r="CD617" s="136">
        <v>0</v>
      </c>
      <c r="CE617" s="137">
        <v>0</v>
      </c>
      <c r="CF617" s="137">
        <v>0</v>
      </c>
      <c r="CG617" s="137">
        <v>0</v>
      </c>
      <c r="CH617" s="196">
        <v>0</v>
      </c>
      <c r="CI617" s="139">
        <v>0</v>
      </c>
      <c r="CJ617" s="139">
        <v>0</v>
      </c>
      <c r="CK617" s="139" t="s">
        <v>975</v>
      </c>
      <c r="CL617" s="139" t="s">
        <v>969</v>
      </c>
      <c r="CM617" s="139" t="s">
        <v>975</v>
      </c>
      <c r="CN617" s="139" t="s">
        <v>454</v>
      </c>
      <c r="CO617" s="139">
        <v>19.627199172973601</v>
      </c>
      <c r="CP617" s="139">
        <v>93.962989807128906</v>
      </c>
      <c r="CQ617" s="139" t="s">
        <v>1577</v>
      </c>
      <c r="CR617" s="449" t="s">
        <v>40</v>
      </c>
      <c r="CS617" s="661"/>
      <c r="CT617" s="24"/>
      <c r="CU617" s="24"/>
      <c r="CV617" s="24"/>
    </row>
    <row r="618" spans="1:100" x14ac:dyDescent="0.25">
      <c r="A618" s="293" t="s">
        <v>2691</v>
      </c>
      <c r="B618" s="206" t="s">
        <v>2444</v>
      </c>
      <c r="C618" s="183" t="s">
        <v>454</v>
      </c>
      <c r="D618" s="183" t="s">
        <v>486</v>
      </c>
      <c r="E618" s="183" t="s">
        <v>536</v>
      </c>
      <c r="F618" s="206">
        <f>ROUND(WWWW[[#This Row],[Total PoP ]]/5,0)</f>
        <v>84</v>
      </c>
      <c r="G618" s="209">
        <v>419</v>
      </c>
      <c r="H618" s="206"/>
      <c r="I618" s="206" t="s">
        <v>488</v>
      </c>
      <c r="J618" s="207">
        <v>43586</v>
      </c>
      <c r="K618" s="206"/>
      <c r="L618" s="206" t="s">
        <v>48</v>
      </c>
      <c r="M618" s="208">
        <v>0</v>
      </c>
      <c r="N618" s="195">
        <v>0</v>
      </c>
      <c r="O618" s="323">
        <v>0</v>
      </c>
      <c r="P618" s="317">
        <v>0</v>
      </c>
      <c r="Q618" s="317"/>
      <c r="R618" s="318"/>
      <c r="S618" s="318">
        <v>0</v>
      </c>
      <c r="T618" s="318"/>
      <c r="U618" s="318"/>
      <c r="V618" s="318"/>
      <c r="W618" s="318"/>
      <c r="X618" s="318"/>
      <c r="Y618" s="318"/>
      <c r="Z618" s="318"/>
      <c r="AA618" s="310">
        <v>0</v>
      </c>
      <c r="AB618" s="310"/>
      <c r="AC618" s="66"/>
      <c r="AD618" s="337"/>
      <c r="AE618" s="310">
        <v>0</v>
      </c>
      <c r="AF618" s="310" t="s">
        <v>286</v>
      </c>
      <c r="AG618" s="311" t="s">
        <v>286</v>
      </c>
      <c r="AH618" s="311"/>
      <c r="AI618" s="310"/>
      <c r="AJ618" s="310"/>
      <c r="AK618" s="841">
        <v>0</v>
      </c>
      <c r="AL618" s="842"/>
      <c r="AM618" s="842">
        <v>0</v>
      </c>
      <c r="AN618" s="837"/>
      <c r="AO618" s="837">
        <v>0</v>
      </c>
      <c r="AP618" s="843"/>
      <c r="AQ618" s="843"/>
      <c r="AR618" s="843"/>
      <c r="AS618" s="843"/>
      <c r="AT618" s="843"/>
      <c r="AU618" s="843"/>
      <c r="AV618" s="844"/>
      <c r="AW618" s="208" t="s">
        <v>3208</v>
      </c>
      <c r="AX618" s="211" t="s">
        <v>3208</v>
      </c>
      <c r="AY618" s="210" t="s">
        <v>2576</v>
      </c>
      <c r="AZ618" s="211">
        <v>0</v>
      </c>
      <c r="BA618" s="211">
        <v>0</v>
      </c>
      <c r="BB618" s="211">
        <v>0</v>
      </c>
      <c r="BC618" s="209">
        <v>0</v>
      </c>
      <c r="BD618" s="211">
        <v>0</v>
      </c>
      <c r="BE618" s="209">
        <v>0</v>
      </c>
      <c r="BF618" s="211">
        <v>0</v>
      </c>
      <c r="BG618" s="209">
        <v>0</v>
      </c>
      <c r="BH618" s="214">
        <v>0</v>
      </c>
      <c r="BI618" s="208">
        <v>1</v>
      </c>
      <c r="BJ618" s="209">
        <v>419</v>
      </c>
      <c r="BK618" s="210">
        <v>1</v>
      </c>
      <c r="BL618" s="210">
        <v>1</v>
      </c>
      <c r="BM618" s="210">
        <v>0</v>
      </c>
      <c r="BN618" s="208">
        <v>0</v>
      </c>
      <c r="BO618" s="352">
        <v>0</v>
      </c>
      <c r="BP618" s="208">
        <v>1</v>
      </c>
      <c r="BQ618" s="209">
        <v>70</v>
      </c>
      <c r="BR618" s="210">
        <v>70</v>
      </c>
      <c r="BS618" s="212">
        <v>0</v>
      </c>
      <c r="BT618" s="352" t="s">
        <v>103</v>
      </c>
      <c r="BU618" s="209">
        <v>0</v>
      </c>
      <c r="BV618" s="209">
        <v>0</v>
      </c>
      <c r="BW618" s="209">
        <v>0</v>
      </c>
      <c r="BX618" s="209">
        <v>0</v>
      </c>
      <c r="BY618" s="209">
        <v>0</v>
      </c>
      <c r="BZ618" s="208">
        <v>0</v>
      </c>
      <c r="CA618" s="212">
        <v>1</v>
      </c>
      <c r="CB618" s="211">
        <v>0</v>
      </c>
      <c r="CC618" s="211">
        <v>0</v>
      </c>
      <c r="CD618" s="211">
        <v>0</v>
      </c>
      <c r="CE618" s="210">
        <v>0</v>
      </c>
      <c r="CF618" s="210">
        <v>0</v>
      </c>
      <c r="CG618" s="210">
        <v>0</v>
      </c>
      <c r="CH618" s="209">
        <v>0</v>
      </c>
      <c r="CI618" s="139">
        <v>0</v>
      </c>
      <c r="CJ618" s="139">
        <v>0</v>
      </c>
      <c r="CK618" s="139" t="s">
        <v>975</v>
      </c>
      <c r="CL618" s="139" t="s">
        <v>969</v>
      </c>
      <c r="CM618" s="139" t="s">
        <v>975</v>
      </c>
      <c r="CN618" s="139" t="s">
        <v>454</v>
      </c>
      <c r="CO618" s="139">
        <v>19.615800857543899</v>
      </c>
      <c r="CP618" s="139">
        <v>94.000473022460895</v>
      </c>
      <c r="CQ618" s="139" t="s">
        <v>1575</v>
      </c>
      <c r="CR618" s="449" t="s">
        <v>40</v>
      </c>
      <c r="CS618" s="660"/>
      <c r="CT618" s="24"/>
      <c r="CU618" s="24"/>
      <c r="CV618" s="24"/>
    </row>
    <row r="619" spans="1:100" x14ac:dyDescent="0.25">
      <c r="A619" s="293" t="s">
        <v>2691</v>
      </c>
      <c r="B619" s="183" t="s">
        <v>2444</v>
      </c>
      <c r="C619" s="183" t="s">
        <v>454</v>
      </c>
      <c r="D619" s="183" t="s">
        <v>486</v>
      </c>
      <c r="E619" s="183" t="s">
        <v>553</v>
      </c>
      <c r="F619" s="206">
        <f>ROUND(WWWW[[#This Row],[Total PoP ]]/5,0)</f>
        <v>235</v>
      </c>
      <c r="G619" s="395">
        <v>1176</v>
      </c>
      <c r="H619" s="183"/>
      <c r="I619" s="183" t="s">
        <v>488</v>
      </c>
      <c r="J619" s="184">
        <v>43586</v>
      </c>
      <c r="K619" s="183"/>
      <c r="L619" s="183" t="s">
        <v>48</v>
      </c>
      <c r="M619" s="185">
        <v>0</v>
      </c>
      <c r="N619" s="195">
        <v>0</v>
      </c>
      <c r="O619" s="323">
        <v>0</v>
      </c>
      <c r="P619" s="317">
        <v>0</v>
      </c>
      <c r="Q619" s="317"/>
      <c r="R619" s="318"/>
      <c r="S619" s="318">
        <v>0</v>
      </c>
      <c r="T619" s="318"/>
      <c r="U619" s="318"/>
      <c r="V619" s="318"/>
      <c r="W619" s="318"/>
      <c r="X619" s="318"/>
      <c r="Y619" s="315"/>
      <c r="Z619" s="318"/>
      <c r="AA619" s="336">
        <v>0</v>
      </c>
      <c r="AB619" s="311"/>
      <c r="AC619" s="337"/>
      <c r="AD619" s="337"/>
      <c r="AE619" s="336">
        <v>0</v>
      </c>
      <c r="AF619" s="310" t="s">
        <v>286</v>
      </c>
      <c r="AG619" s="311" t="s">
        <v>286</v>
      </c>
      <c r="AH619" s="66"/>
      <c r="AI619" s="66"/>
      <c r="AJ619" s="311"/>
      <c r="AK619" s="841">
        <v>0</v>
      </c>
      <c r="AL619" s="846"/>
      <c r="AM619" s="844">
        <v>0</v>
      </c>
      <c r="AN619" s="837"/>
      <c r="AO619" s="837">
        <v>0</v>
      </c>
      <c r="AP619" s="843"/>
      <c r="AQ619" s="843"/>
      <c r="AR619" s="839"/>
      <c r="AS619" s="839"/>
      <c r="AT619" s="839"/>
      <c r="AU619" s="839"/>
      <c r="AV619" s="849"/>
      <c r="AW619" s="134" t="s">
        <v>3208</v>
      </c>
      <c r="AX619" s="136" t="s">
        <v>3208</v>
      </c>
      <c r="AY619" s="137" t="s">
        <v>2576</v>
      </c>
      <c r="AZ619" s="136">
        <v>0</v>
      </c>
      <c r="BA619" s="136">
        <v>0</v>
      </c>
      <c r="BB619" s="136">
        <v>0</v>
      </c>
      <c r="BC619" s="214">
        <v>0</v>
      </c>
      <c r="BD619" s="136">
        <v>0</v>
      </c>
      <c r="BE619" s="214">
        <v>0</v>
      </c>
      <c r="BF619" s="136">
        <v>0</v>
      </c>
      <c r="BG619" s="214">
        <v>0</v>
      </c>
      <c r="BH619" s="214">
        <v>0</v>
      </c>
      <c r="BI619" s="134">
        <v>1</v>
      </c>
      <c r="BJ619" s="214">
        <v>1176</v>
      </c>
      <c r="BK619" s="137">
        <v>2</v>
      </c>
      <c r="BL619" s="137">
        <v>2</v>
      </c>
      <c r="BM619" s="137">
        <v>0</v>
      </c>
      <c r="BN619" s="134">
        <v>0</v>
      </c>
      <c r="BO619" s="351">
        <v>0</v>
      </c>
      <c r="BP619" s="134">
        <v>1</v>
      </c>
      <c r="BQ619" s="214">
        <v>196</v>
      </c>
      <c r="BR619" s="137">
        <v>196</v>
      </c>
      <c r="BS619" s="138">
        <v>0</v>
      </c>
      <c r="BT619" s="351" t="s">
        <v>103</v>
      </c>
      <c r="BU619" s="214">
        <v>0</v>
      </c>
      <c r="BV619" s="214">
        <v>0</v>
      </c>
      <c r="BW619" s="214">
        <v>0</v>
      </c>
      <c r="BX619" s="214">
        <v>0</v>
      </c>
      <c r="BY619" s="214">
        <v>0</v>
      </c>
      <c r="BZ619" s="134">
        <v>0</v>
      </c>
      <c r="CA619" s="138">
        <v>1</v>
      </c>
      <c r="CB619" s="136">
        <v>0</v>
      </c>
      <c r="CC619" s="136">
        <v>0</v>
      </c>
      <c r="CD619" s="136">
        <v>0</v>
      </c>
      <c r="CE619" s="137">
        <v>0</v>
      </c>
      <c r="CF619" s="137">
        <v>0</v>
      </c>
      <c r="CG619" s="137">
        <v>0</v>
      </c>
      <c r="CH619" s="214">
        <v>0</v>
      </c>
      <c r="CI619" s="139">
        <v>0</v>
      </c>
      <c r="CJ619" s="139">
        <v>0</v>
      </c>
      <c r="CK619" s="139" t="s">
        <v>975</v>
      </c>
      <c r="CL619" s="139" t="s">
        <v>969</v>
      </c>
      <c r="CM619" s="139" t="s">
        <v>975</v>
      </c>
      <c r="CN619" s="139" t="s">
        <v>978</v>
      </c>
      <c r="CO619" s="139">
        <v>19.988599777221701</v>
      </c>
      <c r="CP619" s="139">
        <v>93.803939819335895</v>
      </c>
      <c r="CQ619" s="139" t="s">
        <v>1593</v>
      </c>
      <c r="CR619" s="449" t="s">
        <v>40</v>
      </c>
      <c r="CS619" s="449"/>
      <c r="CT619" s="24"/>
      <c r="CU619" s="24"/>
      <c r="CV619" s="24"/>
    </row>
    <row r="620" spans="1:100" x14ac:dyDescent="0.25">
      <c r="A620" s="293" t="s">
        <v>2691</v>
      </c>
      <c r="B620" s="206" t="s">
        <v>2444</v>
      </c>
      <c r="C620" s="183" t="s">
        <v>454</v>
      </c>
      <c r="D620" s="183" t="s">
        <v>486</v>
      </c>
      <c r="E620" s="183" t="s">
        <v>551</v>
      </c>
      <c r="F620" s="206">
        <f>ROUND(WWWW[[#This Row],[Total PoP ]]/5,0)</f>
        <v>82</v>
      </c>
      <c r="G620" s="209">
        <v>412</v>
      </c>
      <c r="H620" s="206"/>
      <c r="I620" s="206" t="s">
        <v>488</v>
      </c>
      <c r="J620" s="207">
        <v>43586</v>
      </c>
      <c r="K620" s="206"/>
      <c r="L620" s="206" t="s">
        <v>48</v>
      </c>
      <c r="M620" s="208">
        <v>0</v>
      </c>
      <c r="N620" s="195">
        <v>0</v>
      </c>
      <c r="O620" s="316">
        <v>0</v>
      </c>
      <c r="P620" s="317">
        <v>0</v>
      </c>
      <c r="Q620" s="317"/>
      <c r="R620" s="318"/>
      <c r="S620" s="318">
        <v>0</v>
      </c>
      <c r="T620" s="318"/>
      <c r="U620" s="318"/>
      <c r="V620" s="318"/>
      <c r="W620" s="318"/>
      <c r="X620" s="318"/>
      <c r="Y620" s="318"/>
      <c r="Z620" s="318"/>
      <c r="AA620" s="310">
        <v>0</v>
      </c>
      <c r="AB620" s="310"/>
      <c r="AC620" s="66"/>
      <c r="AD620" s="337"/>
      <c r="AE620" s="310">
        <v>0</v>
      </c>
      <c r="AF620" s="310" t="s">
        <v>286</v>
      </c>
      <c r="AG620" s="311" t="s">
        <v>286</v>
      </c>
      <c r="AH620" s="311"/>
      <c r="AI620" s="310"/>
      <c r="AJ620" s="310"/>
      <c r="AK620" s="841">
        <v>0</v>
      </c>
      <c r="AL620" s="842"/>
      <c r="AM620" s="842">
        <v>0</v>
      </c>
      <c r="AN620" s="837"/>
      <c r="AO620" s="837">
        <v>0</v>
      </c>
      <c r="AP620" s="843"/>
      <c r="AQ620" s="843"/>
      <c r="AR620" s="843"/>
      <c r="AS620" s="843"/>
      <c r="AT620" s="843"/>
      <c r="AU620" s="843"/>
      <c r="AV620" s="844"/>
      <c r="AW620" s="208" t="s">
        <v>3208</v>
      </c>
      <c r="AX620" s="211" t="s">
        <v>3208</v>
      </c>
      <c r="AY620" s="210" t="s">
        <v>2576</v>
      </c>
      <c r="AZ620" s="211">
        <v>0</v>
      </c>
      <c r="BA620" s="211">
        <v>0</v>
      </c>
      <c r="BB620" s="211">
        <v>0</v>
      </c>
      <c r="BC620" s="209">
        <v>0</v>
      </c>
      <c r="BD620" s="211">
        <v>0</v>
      </c>
      <c r="BE620" s="209">
        <v>0</v>
      </c>
      <c r="BF620" s="211">
        <v>0</v>
      </c>
      <c r="BG620" s="209">
        <v>0</v>
      </c>
      <c r="BH620" s="214">
        <v>0</v>
      </c>
      <c r="BI620" s="208">
        <v>1</v>
      </c>
      <c r="BJ620" s="209">
        <v>412</v>
      </c>
      <c r="BK620" s="210">
        <v>1</v>
      </c>
      <c r="BL620" s="210">
        <v>1</v>
      </c>
      <c r="BM620" s="210">
        <v>0</v>
      </c>
      <c r="BN620" s="208">
        <v>0</v>
      </c>
      <c r="BO620" s="352">
        <v>0</v>
      </c>
      <c r="BP620" s="208">
        <v>1</v>
      </c>
      <c r="BQ620" s="209">
        <v>69</v>
      </c>
      <c r="BR620" s="210">
        <v>69</v>
      </c>
      <c r="BS620" s="212">
        <v>0</v>
      </c>
      <c r="BT620" s="352" t="s">
        <v>103</v>
      </c>
      <c r="BU620" s="209">
        <v>0</v>
      </c>
      <c r="BV620" s="209">
        <v>0</v>
      </c>
      <c r="BW620" s="209">
        <v>0</v>
      </c>
      <c r="BX620" s="209">
        <v>0</v>
      </c>
      <c r="BY620" s="209">
        <v>0</v>
      </c>
      <c r="BZ620" s="208">
        <v>0</v>
      </c>
      <c r="CA620" s="212">
        <v>1</v>
      </c>
      <c r="CB620" s="211">
        <v>0</v>
      </c>
      <c r="CC620" s="211">
        <v>0</v>
      </c>
      <c r="CD620" s="211">
        <v>0</v>
      </c>
      <c r="CE620" s="210">
        <v>0</v>
      </c>
      <c r="CF620" s="210">
        <v>0</v>
      </c>
      <c r="CG620" s="210">
        <v>0</v>
      </c>
      <c r="CH620" s="209">
        <v>0</v>
      </c>
      <c r="CI620" s="139">
        <v>0</v>
      </c>
      <c r="CJ620" s="139">
        <v>0</v>
      </c>
      <c r="CK620" s="139" t="s">
        <v>975</v>
      </c>
      <c r="CL620" s="139" t="s">
        <v>969</v>
      </c>
      <c r="CM620" s="139" t="s">
        <v>975</v>
      </c>
      <c r="CN620" s="139" t="s">
        <v>978</v>
      </c>
      <c r="CO620" s="139">
        <v>19.962713241577099</v>
      </c>
      <c r="CP620" s="139">
        <v>93.885574340820298</v>
      </c>
      <c r="CQ620" s="139" t="s">
        <v>1591</v>
      </c>
      <c r="CR620" s="660" t="s">
        <v>40</v>
      </c>
      <c r="CS620" s="660"/>
      <c r="CT620" s="24"/>
      <c r="CU620" s="24"/>
      <c r="CV620" s="24"/>
    </row>
    <row r="621" spans="1:100" x14ac:dyDescent="0.25">
      <c r="A621" s="293" t="s">
        <v>2691</v>
      </c>
      <c r="B621" s="206" t="s">
        <v>2444</v>
      </c>
      <c r="C621" s="183" t="s">
        <v>454</v>
      </c>
      <c r="D621" s="183" t="s">
        <v>486</v>
      </c>
      <c r="E621" s="183" t="s">
        <v>548</v>
      </c>
      <c r="F621" s="206">
        <f>ROUND(WWWW[[#This Row],[Total PoP ]]/5,0)</f>
        <v>229</v>
      </c>
      <c r="G621" s="395">
        <v>1147</v>
      </c>
      <c r="H621" s="183"/>
      <c r="I621" s="183" t="s">
        <v>488</v>
      </c>
      <c r="J621" s="184">
        <v>43586</v>
      </c>
      <c r="K621" s="183"/>
      <c r="L621" s="183" t="s">
        <v>48</v>
      </c>
      <c r="M621" s="185">
        <v>0</v>
      </c>
      <c r="N621" s="195">
        <v>0</v>
      </c>
      <c r="O621" s="319">
        <v>0</v>
      </c>
      <c r="P621" s="320">
        <v>0</v>
      </c>
      <c r="Q621" s="324"/>
      <c r="R621" s="325"/>
      <c r="S621" s="325">
        <v>0</v>
      </c>
      <c r="T621" s="325"/>
      <c r="U621" s="315"/>
      <c r="V621" s="315"/>
      <c r="W621" s="315"/>
      <c r="X621" s="315"/>
      <c r="Y621" s="315"/>
      <c r="Z621" s="315"/>
      <c r="AA621" s="336">
        <v>0</v>
      </c>
      <c r="AB621" s="336"/>
      <c r="AC621" s="342"/>
      <c r="AD621" s="337"/>
      <c r="AE621" s="342">
        <v>0</v>
      </c>
      <c r="AF621" s="342" t="s">
        <v>286</v>
      </c>
      <c r="AG621" s="339" t="s">
        <v>286</v>
      </c>
      <c r="AH621" s="337"/>
      <c r="AI621" s="337"/>
      <c r="AJ621" s="342"/>
      <c r="AK621" s="851">
        <v>0</v>
      </c>
      <c r="AL621" s="855"/>
      <c r="AM621" s="836">
        <v>0</v>
      </c>
      <c r="AN621" s="837"/>
      <c r="AO621" s="837">
        <v>0</v>
      </c>
      <c r="AP621" s="843"/>
      <c r="AQ621" s="839"/>
      <c r="AR621" s="839"/>
      <c r="AS621" s="839"/>
      <c r="AT621" s="839"/>
      <c r="AU621" s="839"/>
      <c r="AV621" s="852"/>
      <c r="AW621" s="134" t="s">
        <v>3208</v>
      </c>
      <c r="AX621" s="136" t="s">
        <v>3208</v>
      </c>
      <c r="AY621" s="137" t="s">
        <v>2576</v>
      </c>
      <c r="AZ621" s="136">
        <v>0</v>
      </c>
      <c r="BA621" s="136">
        <v>0</v>
      </c>
      <c r="BB621" s="136">
        <v>0</v>
      </c>
      <c r="BC621" s="214">
        <v>0</v>
      </c>
      <c r="BD621" s="136">
        <v>0</v>
      </c>
      <c r="BE621" s="214">
        <v>0</v>
      </c>
      <c r="BF621" s="136">
        <v>0</v>
      </c>
      <c r="BG621" s="214">
        <v>0</v>
      </c>
      <c r="BH621" s="214">
        <v>0</v>
      </c>
      <c r="BI621" s="134">
        <v>1</v>
      </c>
      <c r="BJ621" s="214">
        <v>1147</v>
      </c>
      <c r="BK621" s="137">
        <v>2</v>
      </c>
      <c r="BL621" s="137">
        <v>2</v>
      </c>
      <c r="BM621" s="137">
        <v>0</v>
      </c>
      <c r="BN621" s="134">
        <v>0</v>
      </c>
      <c r="BO621" s="351">
        <v>0</v>
      </c>
      <c r="BP621" s="134">
        <v>0.99912816041848307</v>
      </c>
      <c r="BQ621" s="214">
        <v>191</v>
      </c>
      <c r="BR621" s="137">
        <v>191</v>
      </c>
      <c r="BS621" s="138">
        <v>0</v>
      </c>
      <c r="BT621" s="351" t="s">
        <v>103</v>
      </c>
      <c r="BU621" s="209">
        <v>0</v>
      </c>
      <c r="BV621" s="209">
        <v>0</v>
      </c>
      <c r="BW621" s="209">
        <v>0</v>
      </c>
      <c r="BX621" s="209">
        <v>0</v>
      </c>
      <c r="BY621" s="209">
        <v>0</v>
      </c>
      <c r="BZ621" s="134">
        <v>0</v>
      </c>
      <c r="CA621" s="138">
        <v>1</v>
      </c>
      <c r="CB621" s="136">
        <v>0</v>
      </c>
      <c r="CC621" s="136">
        <v>0</v>
      </c>
      <c r="CD621" s="136">
        <v>0</v>
      </c>
      <c r="CE621" s="137">
        <v>0</v>
      </c>
      <c r="CF621" s="137">
        <v>0</v>
      </c>
      <c r="CG621" s="351">
        <v>0</v>
      </c>
      <c r="CH621" s="214">
        <v>0</v>
      </c>
      <c r="CI621" s="139">
        <v>0</v>
      </c>
      <c r="CJ621" s="139">
        <v>0</v>
      </c>
      <c r="CK621" s="139" t="s">
        <v>975</v>
      </c>
      <c r="CL621" s="139" t="s">
        <v>969</v>
      </c>
      <c r="CM621" s="139" t="s">
        <v>975</v>
      </c>
      <c r="CN621" s="139" t="s">
        <v>454</v>
      </c>
      <c r="CO621" s="139">
        <v>19.925739288330099</v>
      </c>
      <c r="CP621" s="139">
        <v>93.792991638183594</v>
      </c>
      <c r="CQ621" s="139" t="s">
        <v>1587</v>
      </c>
      <c r="CR621" s="449" t="s">
        <v>40</v>
      </c>
      <c r="CS621" s="139"/>
      <c r="CT621" s="24"/>
      <c r="CU621" s="24"/>
      <c r="CV621" s="24"/>
    </row>
    <row r="622" spans="1:100" x14ac:dyDescent="0.25">
      <c r="A622" s="293" t="s">
        <v>2691</v>
      </c>
      <c r="B622" s="296" t="s">
        <v>530</v>
      </c>
      <c r="C622" s="296" t="s">
        <v>454</v>
      </c>
      <c r="D622" s="296" t="s">
        <v>480</v>
      </c>
      <c r="E622" s="296" t="s">
        <v>800</v>
      </c>
      <c r="F622" s="296">
        <v>24</v>
      </c>
      <c r="G622" s="299">
        <v>91</v>
      </c>
      <c r="H622" s="296"/>
      <c r="I622" s="296" t="s">
        <v>388</v>
      </c>
      <c r="J622" s="297">
        <v>43343</v>
      </c>
      <c r="K622" s="296">
        <v>0</v>
      </c>
      <c r="L622" s="296"/>
      <c r="M622" s="208"/>
      <c r="N622" s="208"/>
      <c r="O622" s="316">
        <v>0</v>
      </c>
      <c r="P622" s="317">
        <v>0</v>
      </c>
      <c r="Q622" s="317">
        <v>0</v>
      </c>
      <c r="R622" s="318">
        <v>0</v>
      </c>
      <c r="S622" s="331">
        <v>0</v>
      </c>
      <c r="T622" s="331"/>
      <c r="U622" s="331"/>
      <c r="V622" s="331"/>
      <c r="W622" s="331"/>
      <c r="X622" s="331"/>
      <c r="Y622" s="331"/>
      <c r="Z622" s="331"/>
      <c r="AA622" s="345"/>
      <c r="AB622" s="345"/>
      <c r="AC622" s="346"/>
      <c r="AD622" s="337"/>
      <c r="AE622" s="345">
        <v>10</v>
      </c>
      <c r="AF622" s="310" t="s">
        <v>332</v>
      </c>
      <c r="AG622" s="311" t="s">
        <v>332</v>
      </c>
      <c r="AH622" s="347"/>
      <c r="AI622" s="345"/>
      <c r="AJ622" s="310" t="s">
        <v>2462</v>
      </c>
      <c r="AK622" s="841">
        <v>0</v>
      </c>
      <c r="AL622" s="842" t="s">
        <v>284</v>
      </c>
      <c r="AM622" s="842">
        <v>0</v>
      </c>
      <c r="AN622" s="837">
        <v>0</v>
      </c>
      <c r="AO622" s="837">
        <v>7</v>
      </c>
      <c r="AP622" s="853">
        <v>24</v>
      </c>
      <c r="AQ622" s="853">
        <v>24</v>
      </c>
      <c r="AR622" s="853"/>
      <c r="AS622" s="853"/>
      <c r="AT622" s="853"/>
      <c r="AU622" s="853"/>
      <c r="AV622" s="854"/>
      <c r="AW622" s="298" t="s">
        <v>3208</v>
      </c>
      <c r="AX622" s="301" t="s">
        <v>3208</v>
      </c>
      <c r="AY622" s="300" t="s">
        <v>2576</v>
      </c>
      <c r="AZ622" s="301">
        <v>0</v>
      </c>
      <c r="BA622" s="301">
        <v>0</v>
      </c>
      <c r="BB622" s="301">
        <v>0</v>
      </c>
      <c r="BC622" s="299">
        <v>0</v>
      </c>
      <c r="BD622" s="301">
        <v>0</v>
      </c>
      <c r="BE622" s="299">
        <v>0</v>
      </c>
      <c r="BF622" s="301">
        <v>0</v>
      </c>
      <c r="BG622" s="299">
        <v>0</v>
      </c>
      <c r="BH622" s="214">
        <v>0</v>
      </c>
      <c r="BI622" s="298">
        <v>1</v>
      </c>
      <c r="BJ622" s="299">
        <v>91</v>
      </c>
      <c r="BK622" s="300">
        <v>1</v>
      </c>
      <c r="BL622" s="300">
        <v>1</v>
      </c>
      <c r="BM622" s="300">
        <v>0</v>
      </c>
      <c r="BN622" s="298">
        <v>0</v>
      </c>
      <c r="BO622" s="353">
        <v>0</v>
      </c>
      <c r="BP622" s="298">
        <v>0.98901098901098905</v>
      </c>
      <c r="BQ622" s="299">
        <v>15</v>
      </c>
      <c r="BR622" s="300">
        <v>15</v>
      </c>
      <c r="BS622" s="303">
        <v>0</v>
      </c>
      <c r="BT622" s="353" t="s">
        <v>103</v>
      </c>
      <c r="BU622" s="299">
        <v>91</v>
      </c>
      <c r="BV622" s="299">
        <v>1</v>
      </c>
      <c r="BW622" s="299">
        <v>1</v>
      </c>
      <c r="BX622" s="299">
        <v>1</v>
      </c>
      <c r="BY622" s="299">
        <v>91</v>
      </c>
      <c r="BZ622" s="298">
        <v>1</v>
      </c>
      <c r="CA622" s="303">
        <v>0</v>
      </c>
      <c r="CB622" s="301">
        <v>1</v>
      </c>
      <c r="CC622" s="301">
        <v>1</v>
      </c>
      <c r="CD622" s="301">
        <v>1</v>
      </c>
      <c r="CE622" s="300">
        <v>120</v>
      </c>
      <c r="CF622" s="300">
        <v>120</v>
      </c>
      <c r="CG622" s="300">
        <v>120</v>
      </c>
      <c r="CH622" s="299">
        <v>0</v>
      </c>
      <c r="CI622" s="139">
        <v>0</v>
      </c>
      <c r="CJ622" s="139">
        <v>0</v>
      </c>
      <c r="CK622" s="139" t="s">
        <v>969</v>
      </c>
      <c r="CL622" s="139" t="s">
        <v>969</v>
      </c>
      <c r="CM622" s="139" t="s">
        <v>969</v>
      </c>
      <c r="CN622" s="139" t="s">
        <v>454</v>
      </c>
      <c r="CO622" s="139">
        <v>20.8490600585938</v>
      </c>
      <c r="CP622" s="139">
        <v>92.497413635253906</v>
      </c>
      <c r="CQ622" s="139">
        <v>198313</v>
      </c>
      <c r="CR622" s="422" t="s">
        <v>40</v>
      </c>
      <c r="CS622" s="422"/>
      <c r="CT622" s="24"/>
      <c r="CU622" s="24"/>
      <c r="CV622" s="24"/>
    </row>
    <row r="623" spans="1:100" x14ac:dyDescent="0.25">
      <c r="A623" s="293" t="s">
        <v>2691</v>
      </c>
      <c r="B623" s="206" t="s">
        <v>530</v>
      </c>
      <c r="C623" s="183" t="s">
        <v>454</v>
      </c>
      <c r="D623" s="183" t="s">
        <v>480</v>
      </c>
      <c r="E623" s="183" t="s">
        <v>775</v>
      </c>
      <c r="F623" s="206">
        <v>22</v>
      </c>
      <c r="G623" s="209">
        <v>90</v>
      </c>
      <c r="H623" s="206"/>
      <c r="I623" s="206" t="s">
        <v>388</v>
      </c>
      <c r="J623" s="207">
        <v>43145</v>
      </c>
      <c r="K623" s="206">
        <v>0</v>
      </c>
      <c r="L623" s="206"/>
      <c r="M623" s="208"/>
      <c r="N623" s="208"/>
      <c r="O623" s="316">
        <v>0</v>
      </c>
      <c r="P623" s="317">
        <v>0</v>
      </c>
      <c r="Q623" s="317">
        <v>0</v>
      </c>
      <c r="R623" s="318">
        <v>3</v>
      </c>
      <c r="S623" s="318">
        <v>0</v>
      </c>
      <c r="T623" s="318"/>
      <c r="U623" s="318"/>
      <c r="V623" s="318"/>
      <c r="W623" s="318"/>
      <c r="X623" s="318"/>
      <c r="Y623" s="318"/>
      <c r="Z623" s="318"/>
      <c r="AA623" s="310">
        <v>1</v>
      </c>
      <c r="AB623" s="310">
        <v>0</v>
      </c>
      <c r="AC623" s="66"/>
      <c r="AD623" s="337"/>
      <c r="AE623" s="310">
        <v>1</v>
      </c>
      <c r="AF623" s="310" t="s">
        <v>332</v>
      </c>
      <c r="AG623" s="311" t="s">
        <v>332</v>
      </c>
      <c r="AH623" s="311"/>
      <c r="AI623" s="310"/>
      <c r="AJ623" s="310" t="s">
        <v>2462</v>
      </c>
      <c r="AK623" s="841">
        <v>0</v>
      </c>
      <c r="AL623" s="842" t="s">
        <v>284</v>
      </c>
      <c r="AM623" s="842">
        <v>0</v>
      </c>
      <c r="AN623" s="837">
        <v>0</v>
      </c>
      <c r="AO623" s="837">
        <v>9</v>
      </c>
      <c r="AP623" s="843">
        <v>22</v>
      </c>
      <c r="AQ623" s="843">
        <v>22</v>
      </c>
      <c r="AR623" s="843"/>
      <c r="AS623" s="843"/>
      <c r="AT623" s="843"/>
      <c r="AU623" s="843"/>
      <c r="AV623" s="844"/>
      <c r="AW623" s="208" t="s">
        <v>3208</v>
      </c>
      <c r="AX623" s="211" t="s">
        <v>3208</v>
      </c>
      <c r="AY623" s="210" t="s">
        <v>2576</v>
      </c>
      <c r="AZ623" s="211">
        <v>0</v>
      </c>
      <c r="BA623" s="211">
        <v>0</v>
      </c>
      <c r="BB623" s="211">
        <v>0</v>
      </c>
      <c r="BC623" s="209">
        <v>0</v>
      </c>
      <c r="BD623" s="211">
        <v>1</v>
      </c>
      <c r="BE623" s="209">
        <v>90</v>
      </c>
      <c r="BF623" s="211">
        <v>1</v>
      </c>
      <c r="BG623" s="209">
        <v>90</v>
      </c>
      <c r="BH623" s="214">
        <v>0</v>
      </c>
      <c r="BI623" s="208">
        <v>0</v>
      </c>
      <c r="BJ623" s="209">
        <v>0</v>
      </c>
      <c r="BK623" s="210">
        <v>1</v>
      </c>
      <c r="BL623" s="210">
        <v>1</v>
      </c>
      <c r="BM623" s="210">
        <v>1</v>
      </c>
      <c r="BN623" s="208">
        <v>6.6666666666666666E-2</v>
      </c>
      <c r="BO623" s="352">
        <v>6</v>
      </c>
      <c r="BP623" s="208">
        <v>0.93333333333333335</v>
      </c>
      <c r="BQ623" s="209">
        <v>14</v>
      </c>
      <c r="BR623" s="210">
        <v>15</v>
      </c>
      <c r="BS623" s="212">
        <v>0</v>
      </c>
      <c r="BT623" s="352" t="s">
        <v>103</v>
      </c>
      <c r="BU623" s="209">
        <v>90</v>
      </c>
      <c r="BV623" s="209">
        <v>1</v>
      </c>
      <c r="BW623" s="209">
        <v>1</v>
      </c>
      <c r="BX623" s="209">
        <v>1</v>
      </c>
      <c r="BY623" s="209">
        <v>90</v>
      </c>
      <c r="BZ623" s="208">
        <v>1</v>
      </c>
      <c r="CA623" s="212">
        <v>0</v>
      </c>
      <c r="CB623" s="211">
        <v>1</v>
      </c>
      <c r="CC623" s="211">
        <v>1</v>
      </c>
      <c r="CD623" s="211">
        <v>1</v>
      </c>
      <c r="CE623" s="210">
        <v>110</v>
      </c>
      <c r="CF623" s="210">
        <v>110</v>
      </c>
      <c r="CG623" s="210">
        <v>110</v>
      </c>
      <c r="CH623" s="209">
        <v>0</v>
      </c>
      <c r="CI623" s="139">
        <v>0</v>
      </c>
      <c r="CJ623" s="139">
        <v>0</v>
      </c>
      <c r="CK623" s="139" t="s">
        <v>969</v>
      </c>
      <c r="CL623" s="139" t="s">
        <v>969</v>
      </c>
      <c r="CM623" s="139" t="s">
        <v>969</v>
      </c>
      <c r="CN623" s="139" t="s">
        <v>454</v>
      </c>
      <c r="CO623" s="139">
        <v>20.805580139160199</v>
      </c>
      <c r="CP623" s="139">
        <v>92.549842834472699</v>
      </c>
      <c r="CQ623" s="139">
        <v>198336</v>
      </c>
      <c r="CR623" s="660" t="s">
        <v>40</v>
      </c>
      <c r="CS623" s="660"/>
      <c r="CT623" s="24"/>
      <c r="CU623" s="24"/>
      <c r="CV623" s="24"/>
    </row>
    <row r="624" spans="1:100" x14ac:dyDescent="0.25">
      <c r="A624" s="293" t="s">
        <v>2691</v>
      </c>
      <c r="B624" s="206" t="s">
        <v>530</v>
      </c>
      <c r="C624" s="206" t="s">
        <v>454</v>
      </c>
      <c r="D624" s="206" t="s">
        <v>480</v>
      </c>
      <c r="E624" s="206" t="s">
        <v>786</v>
      </c>
      <c r="F624" s="206">
        <v>851</v>
      </c>
      <c r="G624" s="209">
        <v>4820</v>
      </c>
      <c r="H624" s="296"/>
      <c r="I624" s="206" t="s">
        <v>388</v>
      </c>
      <c r="J624" s="207">
        <v>43343</v>
      </c>
      <c r="K624" s="206">
        <v>0</v>
      </c>
      <c r="L624" s="296"/>
      <c r="M624" s="208"/>
      <c r="N624" s="208"/>
      <c r="O624" s="316">
        <v>0</v>
      </c>
      <c r="P624" s="317">
        <v>0</v>
      </c>
      <c r="Q624" s="317">
        <v>0</v>
      </c>
      <c r="R624" s="318">
        <v>0</v>
      </c>
      <c r="S624" s="318">
        <v>1</v>
      </c>
      <c r="T624" s="318"/>
      <c r="U624" s="318"/>
      <c r="V624" s="318"/>
      <c r="W624" s="318"/>
      <c r="X624" s="318"/>
      <c r="Y624" s="318"/>
      <c r="Z624" s="318"/>
      <c r="AA624" s="310">
        <v>1</v>
      </c>
      <c r="AB624" s="310">
        <v>0</v>
      </c>
      <c r="AC624" s="66"/>
      <c r="AD624" s="337"/>
      <c r="AE624" s="310">
        <v>10</v>
      </c>
      <c r="AF624" s="310" t="s">
        <v>332</v>
      </c>
      <c r="AG624" s="311" t="s">
        <v>332</v>
      </c>
      <c r="AH624" s="311"/>
      <c r="AI624" s="310"/>
      <c r="AJ624" s="310" t="s">
        <v>2462</v>
      </c>
      <c r="AK624" s="841">
        <v>0</v>
      </c>
      <c r="AL624" s="842" t="s">
        <v>284</v>
      </c>
      <c r="AM624" s="842">
        <v>0</v>
      </c>
      <c r="AN624" s="837">
        <v>0</v>
      </c>
      <c r="AO624" s="837">
        <v>7</v>
      </c>
      <c r="AP624" s="843">
        <v>851</v>
      </c>
      <c r="AQ624" s="843">
        <v>851</v>
      </c>
      <c r="AR624" s="843"/>
      <c r="AS624" s="843"/>
      <c r="AT624" s="843"/>
      <c r="AU624" s="843"/>
      <c r="AV624" s="844"/>
      <c r="AW624" s="298" t="s">
        <v>3208</v>
      </c>
      <c r="AX624" s="301" t="s">
        <v>3208</v>
      </c>
      <c r="AY624" s="300" t="s">
        <v>2576</v>
      </c>
      <c r="AZ624" s="301">
        <v>0</v>
      </c>
      <c r="BA624" s="301">
        <v>0</v>
      </c>
      <c r="BB624" s="301">
        <v>0</v>
      </c>
      <c r="BC624" s="299">
        <v>0</v>
      </c>
      <c r="BD624" s="301">
        <v>0</v>
      </c>
      <c r="BE624" s="299">
        <v>0</v>
      </c>
      <c r="BF624" s="301">
        <v>0</v>
      </c>
      <c r="BG624" s="299">
        <v>0</v>
      </c>
      <c r="BH624" s="214">
        <v>0</v>
      </c>
      <c r="BI624" s="298">
        <v>1</v>
      </c>
      <c r="BJ624" s="299">
        <v>4820</v>
      </c>
      <c r="BK624" s="300">
        <v>10</v>
      </c>
      <c r="BL624" s="300">
        <v>10</v>
      </c>
      <c r="BM624" s="300">
        <v>1</v>
      </c>
      <c r="BN624" s="298">
        <v>1.2448132780082987E-3</v>
      </c>
      <c r="BO624" s="353">
        <v>6</v>
      </c>
      <c r="BP624" s="298">
        <v>0.99834024896265561</v>
      </c>
      <c r="BQ624" s="299">
        <v>802</v>
      </c>
      <c r="BR624" s="300">
        <v>803</v>
      </c>
      <c r="BS624" s="303">
        <v>0</v>
      </c>
      <c r="BT624" s="353" t="s">
        <v>103</v>
      </c>
      <c r="BU624" s="299">
        <v>3500</v>
      </c>
      <c r="BV624" s="299">
        <v>1</v>
      </c>
      <c r="BW624" s="299">
        <v>1</v>
      </c>
      <c r="BX624" s="299">
        <v>1</v>
      </c>
      <c r="BY624" s="299">
        <v>4820</v>
      </c>
      <c r="BZ624" s="298">
        <v>1</v>
      </c>
      <c r="CA624" s="303">
        <v>0</v>
      </c>
      <c r="CB624" s="301">
        <v>0.72614107883817425</v>
      </c>
      <c r="CC624" s="301">
        <v>1</v>
      </c>
      <c r="CD624" s="301">
        <v>1</v>
      </c>
      <c r="CE624" s="300">
        <v>4255</v>
      </c>
      <c r="CF624" s="300">
        <v>4255</v>
      </c>
      <c r="CG624" s="300">
        <v>4255</v>
      </c>
      <c r="CH624" s="299">
        <v>0</v>
      </c>
      <c r="CI624" s="139">
        <v>0</v>
      </c>
      <c r="CJ624" s="139">
        <v>0</v>
      </c>
      <c r="CK624" s="139" t="s">
        <v>969</v>
      </c>
      <c r="CL624" s="139" t="s">
        <v>969</v>
      </c>
      <c r="CM624" s="139" t="s">
        <v>969</v>
      </c>
      <c r="CN624" s="139" t="s">
        <v>966</v>
      </c>
      <c r="CO624" s="139">
        <v>20.821479797363299</v>
      </c>
      <c r="CP624" s="139">
        <v>92.603950500488295</v>
      </c>
      <c r="CQ624" s="139" t="s">
        <v>1827</v>
      </c>
      <c r="CR624" s="422" t="s">
        <v>40</v>
      </c>
      <c r="CS624" s="422"/>
      <c r="CT624" s="24"/>
      <c r="CU624" s="24"/>
      <c r="CV624" s="24"/>
    </row>
    <row r="625" spans="1:100" x14ac:dyDescent="0.25">
      <c r="A625" s="293" t="s">
        <v>2691</v>
      </c>
      <c r="B625" s="296" t="s">
        <v>530</v>
      </c>
      <c r="C625" s="296" t="s">
        <v>454</v>
      </c>
      <c r="D625" s="296" t="s">
        <v>480</v>
      </c>
      <c r="E625" s="296" t="s">
        <v>845</v>
      </c>
      <c r="F625" s="296">
        <v>22</v>
      </c>
      <c r="G625" s="299">
        <v>88</v>
      </c>
      <c r="H625" s="296"/>
      <c r="I625" s="206" t="s">
        <v>388</v>
      </c>
      <c r="J625" s="207">
        <v>43145</v>
      </c>
      <c r="K625" s="206">
        <v>0</v>
      </c>
      <c r="L625" s="206"/>
      <c r="M625" s="208"/>
      <c r="N625" s="208"/>
      <c r="O625" s="316">
        <v>0</v>
      </c>
      <c r="P625" s="317">
        <v>0</v>
      </c>
      <c r="Q625" s="317">
        <v>0</v>
      </c>
      <c r="R625" s="318">
        <v>1</v>
      </c>
      <c r="S625" s="318">
        <v>0</v>
      </c>
      <c r="T625" s="318"/>
      <c r="U625" s="318"/>
      <c r="V625" s="318"/>
      <c r="W625" s="318"/>
      <c r="X625" s="318"/>
      <c r="Y625" s="318"/>
      <c r="Z625" s="318"/>
      <c r="AA625" s="310">
        <v>1</v>
      </c>
      <c r="AB625" s="310">
        <v>0</v>
      </c>
      <c r="AC625" s="66"/>
      <c r="AD625" s="337"/>
      <c r="AE625" s="310">
        <v>1</v>
      </c>
      <c r="AF625" s="310" t="s">
        <v>332</v>
      </c>
      <c r="AG625" s="311" t="s">
        <v>332</v>
      </c>
      <c r="AH625" s="311"/>
      <c r="AI625" s="310"/>
      <c r="AJ625" s="310" t="s">
        <v>2462</v>
      </c>
      <c r="AK625" s="841">
        <v>0</v>
      </c>
      <c r="AL625" s="842" t="s">
        <v>284</v>
      </c>
      <c r="AM625" s="842">
        <v>0</v>
      </c>
      <c r="AN625" s="837">
        <v>0</v>
      </c>
      <c r="AO625" s="837">
        <v>7</v>
      </c>
      <c r="AP625" s="843"/>
      <c r="AQ625" s="843"/>
      <c r="AR625" s="843"/>
      <c r="AS625" s="843"/>
      <c r="AT625" s="843"/>
      <c r="AU625" s="843"/>
      <c r="AV625" s="844"/>
      <c r="AW625" s="298" t="s">
        <v>3208</v>
      </c>
      <c r="AX625" s="301" t="s">
        <v>3208</v>
      </c>
      <c r="AY625" s="300" t="s">
        <v>2576</v>
      </c>
      <c r="AZ625" s="301">
        <v>0</v>
      </c>
      <c r="BA625" s="301">
        <v>0</v>
      </c>
      <c r="BB625" s="301">
        <v>0</v>
      </c>
      <c r="BC625" s="299">
        <v>0</v>
      </c>
      <c r="BD625" s="301">
        <v>1</v>
      </c>
      <c r="BE625" s="299">
        <v>88</v>
      </c>
      <c r="BF625" s="301">
        <v>1</v>
      </c>
      <c r="BG625" s="299">
        <v>88</v>
      </c>
      <c r="BH625" s="214">
        <v>0</v>
      </c>
      <c r="BI625" s="298">
        <v>0</v>
      </c>
      <c r="BJ625" s="299">
        <v>0</v>
      </c>
      <c r="BK625" s="300">
        <v>1</v>
      </c>
      <c r="BL625" s="300">
        <v>1</v>
      </c>
      <c r="BM625" s="300">
        <v>1</v>
      </c>
      <c r="BN625" s="298">
        <v>6.8181818181818177E-2</v>
      </c>
      <c r="BO625" s="353">
        <v>6</v>
      </c>
      <c r="BP625" s="298">
        <v>0.95454545454545459</v>
      </c>
      <c r="BQ625" s="299">
        <v>14</v>
      </c>
      <c r="BR625" s="300">
        <v>15</v>
      </c>
      <c r="BS625" s="303">
        <v>0</v>
      </c>
      <c r="BT625" s="353" t="s">
        <v>103</v>
      </c>
      <c r="BU625" s="299">
        <v>88</v>
      </c>
      <c r="BV625" s="299">
        <v>0</v>
      </c>
      <c r="BW625" s="299">
        <v>1</v>
      </c>
      <c r="BX625" s="299">
        <v>0</v>
      </c>
      <c r="BY625" s="299">
        <v>0</v>
      </c>
      <c r="BZ625" s="298">
        <v>0</v>
      </c>
      <c r="CA625" s="303">
        <v>1</v>
      </c>
      <c r="CB625" s="301">
        <v>1</v>
      </c>
      <c r="CC625" s="301">
        <v>0</v>
      </c>
      <c r="CD625" s="301">
        <v>0</v>
      </c>
      <c r="CE625" s="300">
        <v>0</v>
      </c>
      <c r="CF625" s="300">
        <v>0</v>
      </c>
      <c r="CG625" s="300">
        <v>0</v>
      </c>
      <c r="CH625" s="299">
        <v>0</v>
      </c>
      <c r="CI625" s="139">
        <v>0</v>
      </c>
      <c r="CJ625" s="139">
        <v>0</v>
      </c>
      <c r="CK625" s="139" t="s">
        <v>969</v>
      </c>
      <c r="CL625" s="139" t="s">
        <v>969</v>
      </c>
      <c r="CM625" s="139" t="s">
        <v>969</v>
      </c>
      <c r="CN625" s="139" t="s">
        <v>454</v>
      </c>
      <c r="CO625" s="139">
        <v>21.025630950927699</v>
      </c>
      <c r="CP625" s="139">
        <v>92.524818420410199</v>
      </c>
      <c r="CQ625" s="139">
        <v>198196</v>
      </c>
      <c r="CR625" s="422" t="s">
        <v>40</v>
      </c>
      <c r="CS625" s="422"/>
      <c r="CT625" s="24"/>
      <c r="CU625" s="24"/>
      <c r="CV625" s="24"/>
    </row>
    <row r="626" spans="1:100" x14ac:dyDescent="0.25">
      <c r="A626" s="293" t="s">
        <v>2691</v>
      </c>
      <c r="B626" s="296" t="s">
        <v>530</v>
      </c>
      <c r="C626" s="296" t="s">
        <v>454</v>
      </c>
      <c r="D626" s="296" t="s">
        <v>480</v>
      </c>
      <c r="E626" s="296" t="s">
        <v>2511</v>
      </c>
      <c r="F626" s="296">
        <v>95</v>
      </c>
      <c r="G626" s="299">
        <v>370</v>
      </c>
      <c r="H626" s="296"/>
      <c r="I626" s="296" t="s">
        <v>388</v>
      </c>
      <c r="J626" s="297">
        <v>43343</v>
      </c>
      <c r="K626" s="296">
        <v>0</v>
      </c>
      <c r="L626" s="296"/>
      <c r="M626" s="208"/>
      <c r="N626" s="208"/>
      <c r="O626" s="316">
        <v>0</v>
      </c>
      <c r="P626" s="317">
        <v>0</v>
      </c>
      <c r="Q626" s="317">
        <v>0</v>
      </c>
      <c r="R626" s="318">
        <v>0</v>
      </c>
      <c r="S626" s="331">
        <v>1</v>
      </c>
      <c r="T626" s="331"/>
      <c r="U626" s="331"/>
      <c r="V626" s="331"/>
      <c r="W626" s="331"/>
      <c r="X626" s="331"/>
      <c r="Y626" s="331"/>
      <c r="Z626" s="331"/>
      <c r="AA626" s="345"/>
      <c r="AB626" s="345"/>
      <c r="AC626" s="346"/>
      <c r="AD626" s="337"/>
      <c r="AE626" s="345">
        <v>3</v>
      </c>
      <c r="AF626" s="310" t="s">
        <v>332</v>
      </c>
      <c r="AG626" s="311" t="s">
        <v>332</v>
      </c>
      <c r="AH626" s="347"/>
      <c r="AI626" s="345"/>
      <c r="AJ626" s="310" t="s">
        <v>2462</v>
      </c>
      <c r="AK626" s="841">
        <v>0</v>
      </c>
      <c r="AL626" s="842" t="s">
        <v>284</v>
      </c>
      <c r="AM626" s="842">
        <v>0</v>
      </c>
      <c r="AN626" s="837">
        <v>0</v>
      </c>
      <c r="AO626" s="837">
        <v>7</v>
      </c>
      <c r="AP626" s="853">
        <v>95</v>
      </c>
      <c r="AQ626" s="853">
        <v>95</v>
      </c>
      <c r="AR626" s="853"/>
      <c r="AS626" s="853"/>
      <c r="AT626" s="853"/>
      <c r="AU626" s="853"/>
      <c r="AV626" s="854"/>
      <c r="AW626" s="298" t="s">
        <v>3208</v>
      </c>
      <c r="AX626" s="301" t="s">
        <v>3208</v>
      </c>
      <c r="AY626" s="300" t="s">
        <v>2576</v>
      </c>
      <c r="AZ626" s="301">
        <v>0</v>
      </c>
      <c r="BA626" s="301">
        <v>0</v>
      </c>
      <c r="BB626" s="301">
        <v>0</v>
      </c>
      <c r="BC626" s="299">
        <v>0</v>
      </c>
      <c r="BD626" s="301">
        <v>0</v>
      </c>
      <c r="BE626" s="299">
        <v>0</v>
      </c>
      <c r="BF626" s="301">
        <v>0</v>
      </c>
      <c r="BG626" s="299">
        <v>0</v>
      </c>
      <c r="BH626" s="214">
        <v>0</v>
      </c>
      <c r="BI626" s="298">
        <v>1</v>
      </c>
      <c r="BJ626" s="299">
        <v>370</v>
      </c>
      <c r="BK626" s="300">
        <v>1</v>
      </c>
      <c r="BL626" s="300">
        <v>1</v>
      </c>
      <c r="BM626" s="300">
        <v>0</v>
      </c>
      <c r="BN626" s="298">
        <v>0</v>
      </c>
      <c r="BO626" s="353">
        <v>0</v>
      </c>
      <c r="BP626" s="298">
        <v>1</v>
      </c>
      <c r="BQ626" s="299">
        <v>62</v>
      </c>
      <c r="BR626" s="300">
        <v>62</v>
      </c>
      <c r="BS626" s="303">
        <v>0</v>
      </c>
      <c r="BT626" s="353" t="s">
        <v>103</v>
      </c>
      <c r="BU626" s="299">
        <v>370</v>
      </c>
      <c r="BV626" s="299">
        <v>1</v>
      </c>
      <c r="BW626" s="299">
        <v>1</v>
      </c>
      <c r="BX626" s="299">
        <v>1</v>
      </c>
      <c r="BY626" s="299">
        <v>370</v>
      </c>
      <c r="BZ626" s="298">
        <v>1</v>
      </c>
      <c r="CA626" s="303">
        <v>0</v>
      </c>
      <c r="CB626" s="301">
        <v>1</v>
      </c>
      <c r="CC626" s="301">
        <v>1</v>
      </c>
      <c r="CD626" s="301">
        <v>1</v>
      </c>
      <c r="CE626" s="300">
        <v>475</v>
      </c>
      <c r="CF626" s="300">
        <v>475</v>
      </c>
      <c r="CG626" s="300">
        <v>475</v>
      </c>
      <c r="CH626" s="299">
        <v>0</v>
      </c>
      <c r="CI626" s="139">
        <v>0</v>
      </c>
      <c r="CJ626" s="139">
        <v>0</v>
      </c>
      <c r="CK626" s="139" t="s">
        <v>969</v>
      </c>
      <c r="CL626" s="139" t="s">
        <v>969</v>
      </c>
      <c r="CM626" s="139" t="s">
        <v>969</v>
      </c>
      <c r="CN626" s="139" t="s">
        <v>1122</v>
      </c>
      <c r="CO626" s="139">
        <v>20.936040878295898</v>
      </c>
      <c r="CP626" s="139">
        <v>92.475830078125</v>
      </c>
      <c r="CQ626" s="139">
        <v>198177</v>
      </c>
      <c r="CR626" s="422" t="s">
        <v>40</v>
      </c>
      <c r="CS626" s="422"/>
      <c r="CT626" s="24"/>
      <c r="CU626" s="24"/>
      <c r="CV626" s="24"/>
    </row>
    <row r="627" spans="1:100" x14ac:dyDescent="0.25">
      <c r="A627" s="293" t="s">
        <v>2691</v>
      </c>
      <c r="B627" s="206" t="s">
        <v>460</v>
      </c>
      <c r="C627" s="183" t="s">
        <v>454</v>
      </c>
      <c r="D627" s="183" t="s">
        <v>480</v>
      </c>
      <c r="E627" s="183" t="s">
        <v>825</v>
      </c>
      <c r="F627" s="206">
        <v>360</v>
      </c>
      <c r="G627" s="209">
        <v>1544</v>
      </c>
      <c r="H627" s="206"/>
      <c r="I627" s="206"/>
      <c r="J627" s="207"/>
      <c r="K627" s="206">
        <v>0</v>
      </c>
      <c r="L627" s="206"/>
      <c r="M627" s="208"/>
      <c r="N627" s="208"/>
      <c r="O627" s="316">
        <v>0</v>
      </c>
      <c r="P627" s="317">
        <v>3</v>
      </c>
      <c r="Q627" s="317">
        <v>0</v>
      </c>
      <c r="R627" s="318">
        <v>2</v>
      </c>
      <c r="S627" s="318">
        <v>0</v>
      </c>
      <c r="T627" s="318"/>
      <c r="U627" s="318"/>
      <c r="V627" s="318"/>
      <c r="W627" s="318"/>
      <c r="X627" s="318"/>
      <c r="Y627" s="318"/>
      <c r="Z627" s="318"/>
      <c r="AA627" s="310">
        <v>0</v>
      </c>
      <c r="AB627" s="310">
        <v>0</v>
      </c>
      <c r="AC627" s="66"/>
      <c r="AD627" s="337"/>
      <c r="AE627" s="310">
        <v>0</v>
      </c>
      <c r="AF627" s="310" t="s">
        <v>332</v>
      </c>
      <c r="AG627" s="311" t="s">
        <v>332</v>
      </c>
      <c r="AH627" s="311"/>
      <c r="AI627" s="310"/>
      <c r="AJ627" s="310" t="s">
        <v>2462</v>
      </c>
      <c r="AK627" s="841">
        <v>0</v>
      </c>
      <c r="AL627" s="842" t="s">
        <v>284</v>
      </c>
      <c r="AM627" s="842">
        <v>0</v>
      </c>
      <c r="AN627" s="837">
        <v>0</v>
      </c>
      <c r="AO627" s="837">
        <v>7</v>
      </c>
      <c r="AP627" s="843"/>
      <c r="AQ627" s="843"/>
      <c r="AR627" s="843"/>
      <c r="AS627" s="843"/>
      <c r="AT627" s="843"/>
      <c r="AU627" s="843"/>
      <c r="AV627" s="844"/>
      <c r="AW627" s="208" t="s">
        <v>3208</v>
      </c>
      <c r="AX627" s="211" t="s">
        <v>3208</v>
      </c>
      <c r="AY627" s="210" t="s">
        <v>2576</v>
      </c>
      <c r="AZ627" s="211">
        <v>1</v>
      </c>
      <c r="BA627" s="211">
        <v>0.48575129533678757</v>
      </c>
      <c r="BB627" s="211">
        <v>0.48575129533678757</v>
      </c>
      <c r="BC627" s="209">
        <v>750</v>
      </c>
      <c r="BD627" s="211">
        <v>0.32383419689119169</v>
      </c>
      <c r="BE627" s="209">
        <v>500</v>
      </c>
      <c r="BF627" s="211">
        <v>0.80958549222797926</v>
      </c>
      <c r="BG627" s="209">
        <v>1250</v>
      </c>
      <c r="BH627" s="214">
        <v>3</v>
      </c>
      <c r="BI627" s="208">
        <v>0.19041450777202074</v>
      </c>
      <c r="BJ627" s="209">
        <v>294</v>
      </c>
      <c r="BK627" s="210">
        <v>0</v>
      </c>
      <c r="BL627" s="210">
        <v>3</v>
      </c>
      <c r="BM627" s="210">
        <v>0</v>
      </c>
      <c r="BN627" s="208">
        <v>0</v>
      </c>
      <c r="BO627" s="352">
        <v>0</v>
      </c>
      <c r="BP627" s="208">
        <v>0.99870466321243534</v>
      </c>
      <c r="BQ627" s="209">
        <v>257</v>
      </c>
      <c r="BR627" s="210">
        <v>257</v>
      </c>
      <c r="BS627" s="212">
        <v>0</v>
      </c>
      <c r="BT627" s="352" t="s">
        <v>103</v>
      </c>
      <c r="BU627" s="209">
        <v>1544</v>
      </c>
      <c r="BV627" s="209">
        <v>0</v>
      </c>
      <c r="BW627" s="209">
        <v>1</v>
      </c>
      <c r="BX627" s="209">
        <v>0</v>
      </c>
      <c r="BY627" s="209">
        <v>0</v>
      </c>
      <c r="BZ627" s="208">
        <v>0</v>
      </c>
      <c r="CA627" s="212">
        <v>1</v>
      </c>
      <c r="CB627" s="211">
        <v>1</v>
      </c>
      <c r="CC627" s="211">
        <v>0</v>
      </c>
      <c r="CD627" s="211">
        <v>0</v>
      </c>
      <c r="CE627" s="210">
        <v>0</v>
      </c>
      <c r="CF627" s="210">
        <v>0</v>
      </c>
      <c r="CG627" s="210">
        <v>0</v>
      </c>
      <c r="CH627" s="209">
        <v>0</v>
      </c>
      <c r="CI627" s="139">
        <v>0</v>
      </c>
      <c r="CJ627" s="139">
        <v>0</v>
      </c>
      <c r="CK627" s="139" t="s">
        <v>969</v>
      </c>
      <c r="CL627" s="139" t="s">
        <v>969</v>
      </c>
      <c r="CM627" s="139" t="s">
        <v>969</v>
      </c>
      <c r="CN627" s="139" t="s">
        <v>454</v>
      </c>
      <c r="CO627" s="139">
        <v>20.926780700683601</v>
      </c>
      <c r="CP627" s="139">
        <v>92.5399169921875</v>
      </c>
      <c r="CQ627" s="139">
        <v>198234</v>
      </c>
      <c r="CR627" s="660" t="s">
        <v>3209</v>
      </c>
      <c r="CS627" s="660" t="s">
        <v>2797</v>
      </c>
      <c r="CT627" s="24"/>
      <c r="CU627" s="24"/>
      <c r="CV627" s="24"/>
    </row>
    <row r="628" spans="1:100" x14ac:dyDescent="0.25">
      <c r="A628" s="293" t="s">
        <v>2691</v>
      </c>
      <c r="B628" s="206" t="s">
        <v>530</v>
      </c>
      <c r="C628" s="183" t="s">
        <v>454</v>
      </c>
      <c r="D628" s="183" t="s">
        <v>480</v>
      </c>
      <c r="E628" s="183" t="s">
        <v>757</v>
      </c>
      <c r="F628" s="206">
        <v>217</v>
      </c>
      <c r="G628" s="209">
        <v>1556</v>
      </c>
      <c r="H628" s="206"/>
      <c r="I628" s="206" t="s">
        <v>388</v>
      </c>
      <c r="J628" s="207">
        <v>43145</v>
      </c>
      <c r="K628" s="206">
        <v>0</v>
      </c>
      <c r="L628" s="206"/>
      <c r="M628" s="208"/>
      <c r="N628" s="195"/>
      <c r="O628" s="316">
        <v>0</v>
      </c>
      <c r="P628" s="317">
        <v>0</v>
      </c>
      <c r="Q628" s="317">
        <v>0</v>
      </c>
      <c r="R628" s="318">
        <v>3</v>
      </c>
      <c r="S628" s="318">
        <v>0</v>
      </c>
      <c r="T628" s="318"/>
      <c r="U628" s="318"/>
      <c r="V628" s="318"/>
      <c r="W628" s="318"/>
      <c r="X628" s="318"/>
      <c r="Y628" s="318"/>
      <c r="Z628" s="318"/>
      <c r="AA628" s="310">
        <v>15</v>
      </c>
      <c r="AB628" s="310">
        <v>0</v>
      </c>
      <c r="AC628" s="66"/>
      <c r="AD628" s="337"/>
      <c r="AE628" s="310">
        <v>15</v>
      </c>
      <c r="AF628" s="310" t="s">
        <v>332</v>
      </c>
      <c r="AG628" s="311" t="s">
        <v>332</v>
      </c>
      <c r="AH628" s="311"/>
      <c r="AI628" s="310"/>
      <c r="AJ628" s="310" t="s">
        <v>2462</v>
      </c>
      <c r="AK628" s="841">
        <v>0</v>
      </c>
      <c r="AL628" s="842" t="s">
        <v>284</v>
      </c>
      <c r="AM628" s="842">
        <v>0</v>
      </c>
      <c r="AN628" s="837">
        <v>0</v>
      </c>
      <c r="AO628" s="837">
        <v>7</v>
      </c>
      <c r="AP628" s="843">
        <v>217</v>
      </c>
      <c r="AQ628" s="843">
        <v>217</v>
      </c>
      <c r="AR628" s="843"/>
      <c r="AS628" s="843"/>
      <c r="AT628" s="843"/>
      <c r="AU628" s="843"/>
      <c r="AV628" s="844"/>
      <c r="AW628" s="208" t="s">
        <v>3208</v>
      </c>
      <c r="AX628" s="211" t="s">
        <v>3208</v>
      </c>
      <c r="AY628" s="210" t="s">
        <v>2576</v>
      </c>
      <c r="AZ628" s="211">
        <v>0</v>
      </c>
      <c r="BA628" s="211">
        <v>0</v>
      </c>
      <c r="BB628" s="211">
        <v>0</v>
      </c>
      <c r="BC628" s="209">
        <v>0</v>
      </c>
      <c r="BD628" s="211">
        <v>0.4820051413881748</v>
      </c>
      <c r="BE628" s="209">
        <v>750</v>
      </c>
      <c r="BF628" s="211">
        <v>0.4820051413881748</v>
      </c>
      <c r="BG628" s="209">
        <v>750</v>
      </c>
      <c r="BH628" s="214">
        <v>2</v>
      </c>
      <c r="BI628" s="208">
        <v>0.51799485861182526</v>
      </c>
      <c r="BJ628" s="209">
        <v>806.00000000000011</v>
      </c>
      <c r="BK628" s="210">
        <v>1</v>
      </c>
      <c r="BL628" s="210">
        <v>3</v>
      </c>
      <c r="BM628" s="210">
        <v>15</v>
      </c>
      <c r="BN628" s="208">
        <v>5.7840616966580979E-2</v>
      </c>
      <c r="BO628" s="352">
        <v>90</v>
      </c>
      <c r="BP628" s="208">
        <v>0.94087403598971731</v>
      </c>
      <c r="BQ628" s="209">
        <v>244</v>
      </c>
      <c r="BR628" s="210">
        <v>259</v>
      </c>
      <c r="BS628" s="212">
        <v>0</v>
      </c>
      <c r="BT628" s="352" t="s">
        <v>103</v>
      </c>
      <c r="BU628" s="209">
        <v>1556</v>
      </c>
      <c r="BV628" s="209">
        <v>1</v>
      </c>
      <c r="BW628" s="209">
        <v>1</v>
      </c>
      <c r="BX628" s="209">
        <v>1</v>
      </c>
      <c r="BY628" s="209">
        <v>1556</v>
      </c>
      <c r="BZ628" s="208">
        <v>1</v>
      </c>
      <c r="CA628" s="212">
        <v>0</v>
      </c>
      <c r="CB628" s="211">
        <v>1</v>
      </c>
      <c r="CC628" s="211">
        <v>1</v>
      </c>
      <c r="CD628" s="211">
        <v>1</v>
      </c>
      <c r="CE628" s="210">
        <v>1085</v>
      </c>
      <c r="CF628" s="210">
        <v>1085</v>
      </c>
      <c r="CG628" s="210">
        <v>1085</v>
      </c>
      <c r="CH628" s="209">
        <v>0</v>
      </c>
      <c r="CI628" s="139">
        <v>0</v>
      </c>
      <c r="CJ628" s="139">
        <v>0</v>
      </c>
      <c r="CK628" s="139" t="s">
        <v>969</v>
      </c>
      <c r="CL628" s="139" t="s">
        <v>969</v>
      </c>
      <c r="CM628" s="139" t="s">
        <v>969</v>
      </c>
      <c r="CN628" s="139" t="s">
        <v>454</v>
      </c>
      <c r="CO628" s="139">
        <v>20.782770156860401</v>
      </c>
      <c r="CP628" s="139">
        <v>92.551826477050795</v>
      </c>
      <c r="CQ628" s="139">
        <v>198388</v>
      </c>
      <c r="CR628" s="660" t="s">
        <v>40</v>
      </c>
      <c r="CS628" s="660"/>
      <c r="CT628" s="24"/>
      <c r="CU628" s="24"/>
      <c r="CV628" s="24"/>
    </row>
    <row r="629" spans="1:100" x14ac:dyDescent="0.25">
      <c r="A629" s="293" t="s">
        <v>2691</v>
      </c>
      <c r="B629" s="206" t="s">
        <v>460</v>
      </c>
      <c r="C629" s="183" t="s">
        <v>454</v>
      </c>
      <c r="D629" s="183" t="s">
        <v>518</v>
      </c>
      <c r="E629" s="183" t="s">
        <v>528</v>
      </c>
      <c r="F629" s="206">
        <v>65</v>
      </c>
      <c r="G629" s="209">
        <v>211</v>
      </c>
      <c r="H629" s="206"/>
      <c r="I629" s="206"/>
      <c r="J629" s="207"/>
      <c r="K629" s="206">
        <v>31</v>
      </c>
      <c r="L629" s="206" t="s">
        <v>48</v>
      </c>
      <c r="M629" s="208">
        <v>0.6</v>
      </c>
      <c r="N629" s="208">
        <v>0</v>
      </c>
      <c r="O629" s="323">
        <v>0</v>
      </c>
      <c r="P629" s="317">
        <v>0</v>
      </c>
      <c r="Q629" s="317">
        <v>15066</v>
      </c>
      <c r="R629" s="318">
        <v>0</v>
      </c>
      <c r="S629" s="318">
        <v>0</v>
      </c>
      <c r="T629" s="318"/>
      <c r="U629" s="318"/>
      <c r="V629" s="318"/>
      <c r="W629" s="318"/>
      <c r="X629" s="318"/>
      <c r="Y629" s="318"/>
      <c r="Z629" s="318"/>
      <c r="AA629" s="310">
        <v>65</v>
      </c>
      <c r="AB629" s="310">
        <v>65</v>
      </c>
      <c r="AC629" s="66"/>
      <c r="AD629" s="337"/>
      <c r="AE629" s="310">
        <v>65</v>
      </c>
      <c r="AF629" s="310" t="s">
        <v>1358</v>
      </c>
      <c r="AG629" s="311" t="s">
        <v>283</v>
      </c>
      <c r="AH629" s="311"/>
      <c r="AI629" s="310"/>
      <c r="AJ629" s="310" t="s">
        <v>2463</v>
      </c>
      <c r="AK629" s="841">
        <v>1</v>
      </c>
      <c r="AL629" s="842" t="s">
        <v>284</v>
      </c>
      <c r="AM629" s="842">
        <v>0</v>
      </c>
      <c r="AN629" s="837">
        <v>0</v>
      </c>
      <c r="AO629" s="837">
        <v>1</v>
      </c>
      <c r="AP629" s="843"/>
      <c r="AQ629" s="843"/>
      <c r="AR629" s="843"/>
      <c r="AS629" s="843"/>
      <c r="AT629" s="843"/>
      <c r="AU629" s="843"/>
      <c r="AV629" s="844" t="s">
        <v>2467</v>
      </c>
      <c r="AW629" s="208" t="s">
        <v>3208</v>
      </c>
      <c r="AX629" s="211" t="s">
        <v>3208</v>
      </c>
      <c r="AY629" s="210" t="s">
        <v>2576</v>
      </c>
      <c r="AZ629" s="211">
        <v>1</v>
      </c>
      <c r="BA629" s="211">
        <v>1</v>
      </c>
      <c r="BB629" s="211">
        <v>1</v>
      </c>
      <c r="BC629" s="209">
        <v>211</v>
      </c>
      <c r="BD629" s="211">
        <v>0</v>
      </c>
      <c r="BE629" s="209">
        <v>0</v>
      </c>
      <c r="BF629" s="211">
        <v>1</v>
      </c>
      <c r="BG629" s="209">
        <v>211</v>
      </c>
      <c r="BH629" s="214">
        <v>0</v>
      </c>
      <c r="BI629" s="208">
        <v>0</v>
      </c>
      <c r="BJ629" s="209">
        <v>0</v>
      </c>
      <c r="BK629" s="210">
        <v>1</v>
      </c>
      <c r="BL629" s="210">
        <v>1</v>
      </c>
      <c r="BM629" s="210">
        <v>130</v>
      </c>
      <c r="BN629" s="208">
        <v>1</v>
      </c>
      <c r="BO629" s="352">
        <v>211</v>
      </c>
      <c r="BP629" s="208">
        <v>0</v>
      </c>
      <c r="BQ629" s="209">
        <v>0</v>
      </c>
      <c r="BR629" s="210">
        <v>35</v>
      </c>
      <c r="BS629" s="212">
        <v>0.5</v>
      </c>
      <c r="BT629" s="352" t="s">
        <v>103</v>
      </c>
      <c r="BU629" s="209">
        <v>211</v>
      </c>
      <c r="BV629" s="209">
        <v>0</v>
      </c>
      <c r="BW629" s="209">
        <v>1</v>
      </c>
      <c r="BX629" s="209">
        <v>0</v>
      </c>
      <c r="BY629" s="209">
        <v>0</v>
      </c>
      <c r="BZ629" s="208">
        <v>0</v>
      </c>
      <c r="CA629" s="212">
        <v>1</v>
      </c>
      <c r="CB629" s="211">
        <v>1</v>
      </c>
      <c r="CC629" s="211">
        <v>0</v>
      </c>
      <c r="CD629" s="211">
        <v>0</v>
      </c>
      <c r="CE629" s="210">
        <v>0</v>
      </c>
      <c r="CF629" s="210">
        <v>0</v>
      </c>
      <c r="CG629" s="210">
        <v>0</v>
      </c>
      <c r="CH629" s="209">
        <v>65</v>
      </c>
      <c r="CI629" s="139" t="s">
        <v>48</v>
      </c>
      <c r="CJ629" s="139">
        <v>0</v>
      </c>
      <c r="CK629" s="139" t="s">
        <v>969</v>
      </c>
      <c r="CL629" s="139" t="s">
        <v>969</v>
      </c>
      <c r="CM629" s="139" t="s">
        <v>992</v>
      </c>
      <c r="CN629" s="139" t="s">
        <v>454</v>
      </c>
      <c r="CO629" s="139">
        <v>19.421102000000001</v>
      </c>
      <c r="CP629" s="139">
        <v>93.552452000000002</v>
      </c>
      <c r="CQ629" s="139" t="s">
        <v>1570</v>
      </c>
      <c r="CR629" s="449" t="s">
        <v>3209</v>
      </c>
      <c r="CS629" s="660"/>
      <c r="CT629" s="24"/>
      <c r="CU629" s="24"/>
      <c r="CV629" s="24"/>
    </row>
    <row r="630" spans="1:100" ht="18" x14ac:dyDescent="0.25">
      <c r="A630" s="293" t="s">
        <v>2691</v>
      </c>
      <c r="B630" s="206" t="s">
        <v>527</v>
      </c>
      <c r="C630" s="183" t="s">
        <v>454</v>
      </c>
      <c r="D630" s="183" t="s">
        <v>518</v>
      </c>
      <c r="E630" s="183" t="s">
        <v>529</v>
      </c>
      <c r="F630" s="206">
        <v>366</v>
      </c>
      <c r="G630" s="209">
        <v>977</v>
      </c>
      <c r="H630" s="206" t="s">
        <v>286</v>
      </c>
      <c r="I630" s="206" t="s">
        <v>388</v>
      </c>
      <c r="J630" s="207">
        <v>43281</v>
      </c>
      <c r="K630" s="206"/>
      <c r="L630" s="206" t="s">
        <v>282</v>
      </c>
      <c r="M630" s="208"/>
      <c r="N630" s="208"/>
      <c r="O630" s="316">
        <v>4</v>
      </c>
      <c r="P630" s="317">
        <v>2</v>
      </c>
      <c r="Q630" s="317">
        <v>0</v>
      </c>
      <c r="R630" s="318">
        <v>0</v>
      </c>
      <c r="S630" s="318"/>
      <c r="T630" s="318"/>
      <c r="U630" s="318"/>
      <c r="V630" s="318"/>
      <c r="W630" s="318"/>
      <c r="X630" s="318"/>
      <c r="Y630" s="318">
        <v>17</v>
      </c>
      <c r="Z630" s="864" t="s">
        <v>2783</v>
      </c>
      <c r="AA630" s="310">
        <v>90</v>
      </c>
      <c r="AB630" s="310">
        <v>10</v>
      </c>
      <c r="AC630" s="66"/>
      <c r="AD630" s="337"/>
      <c r="AE630" s="310"/>
      <c r="AF630" s="311" t="s">
        <v>283</v>
      </c>
      <c r="AG630" s="311" t="s">
        <v>1358</v>
      </c>
      <c r="AH630" s="311"/>
      <c r="AI630" s="310"/>
      <c r="AJ630" s="310"/>
      <c r="AK630" s="841">
        <v>1</v>
      </c>
      <c r="AL630" s="842" t="s">
        <v>376</v>
      </c>
      <c r="AM630" s="842">
        <v>252</v>
      </c>
      <c r="AN630" s="850">
        <v>2</v>
      </c>
      <c r="AO630" s="850">
        <v>28</v>
      </c>
      <c r="AP630" s="843"/>
      <c r="AQ630" s="844"/>
      <c r="AR630" s="843"/>
      <c r="AS630" s="843"/>
      <c r="AT630" s="843"/>
      <c r="AU630" s="843"/>
      <c r="AV630" s="844"/>
      <c r="AW630" s="208" t="s">
        <v>3208</v>
      </c>
      <c r="AX630" s="211" t="s">
        <v>3208</v>
      </c>
      <c r="AY630" s="210" t="s">
        <v>2576</v>
      </c>
      <c r="AZ630" s="211">
        <v>1</v>
      </c>
      <c r="BA630" s="211">
        <v>1</v>
      </c>
      <c r="BB630" s="211">
        <v>1</v>
      </c>
      <c r="BC630" s="209">
        <v>977</v>
      </c>
      <c r="BD630" s="211">
        <v>0</v>
      </c>
      <c r="BE630" s="209">
        <v>0</v>
      </c>
      <c r="BF630" s="211">
        <v>1</v>
      </c>
      <c r="BG630" s="209">
        <v>977</v>
      </c>
      <c r="BH630" s="214">
        <v>1.954</v>
      </c>
      <c r="BI630" s="208">
        <v>0</v>
      </c>
      <c r="BJ630" s="209">
        <v>0</v>
      </c>
      <c r="BK630" s="210">
        <v>4.6000000000000041E-2</v>
      </c>
      <c r="BL630" s="210">
        <v>2</v>
      </c>
      <c r="BM630" s="210">
        <v>100</v>
      </c>
      <c r="BN630" s="208">
        <v>1</v>
      </c>
      <c r="BO630" s="352">
        <v>977</v>
      </c>
      <c r="BP630" s="208">
        <v>0</v>
      </c>
      <c r="BQ630" s="209">
        <v>0</v>
      </c>
      <c r="BR630" s="210">
        <v>49</v>
      </c>
      <c r="BS630" s="212">
        <v>0.1</v>
      </c>
      <c r="BT630" s="352">
        <v>0</v>
      </c>
      <c r="BU630" s="209">
        <v>977</v>
      </c>
      <c r="BV630" s="209">
        <v>0</v>
      </c>
      <c r="BW630" s="209">
        <v>1</v>
      </c>
      <c r="BX630" s="209">
        <v>0</v>
      </c>
      <c r="BY630" s="209">
        <v>0</v>
      </c>
      <c r="BZ630" s="208">
        <v>0</v>
      </c>
      <c r="CA630" s="212">
        <v>1</v>
      </c>
      <c r="CB630" s="211">
        <v>1</v>
      </c>
      <c r="CC630" s="211">
        <v>0</v>
      </c>
      <c r="CD630" s="211">
        <v>0</v>
      </c>
      <c r="CE630" s="210">
        <v>0</v>
      </c>
      <c r="CF630" s="210">
        <v>0</v>
      </c>
      <c r="CG630" s="210">
        <v>0</v>
      </c>
      <c r="CH630" s="209">
        <v>366</v>
      </c>
      <c r="CI630" s="139" t="s">
        <v>48</v>
      </c>
      <c r="CJ630" s="139">
        <v>0</v>
      </c>
      <c r="CK630" s="139" t="s">
        <v>50</v>
      </c>
      <c r="CL630" s="139" t="s">
        <v>50</v>
      </c>
      <c r="CM630" s="139" t="s">
        <v>965</v>
      </c>
      <c r="CN630" s="139" t="s">
        <v>966</v>
      </c>
      <c r="CO630" s="139">
        <v>19.424576999999999</v>
      </c>
      <c r="CP630" s="139">
        <v>93.512326000000002</v>
      </c>
      <c r="CQ630" s="139" t="s">
        <v>1571</v>
      </c>
      <c r="CR630" s="660" t="s">
        <v>40</v>
      </c>
      <c r="CS630" s="660"/>
      <c r="CT630" s="24"/>
      <c r="CU630" s="24"/>
      <c r="CV630" s="24"/>
    </row>
    <row r="631" spans="1:100" x14ac:dyDescent="0.25">
      <c r="A631" s="293" t="s">
        <v>2691</v>
      </c>
      <c r="B631" s="183" t="s">
        <v>479</v>
      </c>
      <c r="C631" s="183" t="s">
        <v>454</v>
      </c>
      <c r="D631" s="183" t="s">
        <v>463</v>
      </c>
      <c r="E631" s="183" t="s">
        <v>802</v>
      </c>
      <c r="F631" s="183">
        <v>93</v>
      </c>
      <c r="G631" s="395">
        <v>415</v>
      </c>
      <c r="H631" s="183"/>
      <c r="I631" s="183" t="s">
        <v>495</v>
      </c>
      <c r="J631" s="184">
        <v>43615</v>
      </c>
      <c r="K631" s="183">
        <v>0</v>
      </c>
      <c r="L631" s="183" t="s">
        <v>2454</v>
      </c>
      <c r="M631" s="185">
        <v>0</v>
      </c>
      <c r="N631" s="185">
        <v>0</v>
      </c>
      <c r="O631" s="319">
        <v>0</v>
      </c>
      <c r="P631" s="320">
        <v>0</v>
      </c>
      <c r="Q631" s="324">
        <v>0</v>
      </c>
      <c r="R631" s="325">
        <v>0</v>
      </c>
      <c r="S631" s="325">
        <v>0</v>
      </c>
      <c r="T631" s="325"/>
      <c r="U631" s="315"/>
      <c r="V631" s="315"/>
      <c r="W631" s="315"/>
      <c r="X631" s="315"/>
      <c r="Y631" s="315"/>
      <c r="Z631" s="315"/>
      <c r="AA631" s="336">
        <v>4</v>
      </c>
      <c r="AB631" s="336">
        <v>0</v>
      </c>
      <c r="AC631" s="342"/>
      <c r="AD631" s="337"/>
      <c r="AE631" s="342">
        <v>0</v>
      </c>
      <c r="AF631" s="66" t="s">
        <v>1358</v>
      </c>
      <c r="AG631" s="66" t="s">
        <v>1358</v>
      </c>
      <c r="AH631" s="337"/>
      <c r="AI631" s="337"/>
      <c r="AJ631" s="342"/>
      <c r="AK631" s="851">
        <v>0</v>
      </c>
      <c r="AL631" s="855"/>
      <c r="AM631" s="836">
        <v>0</v>
      </c>
      <c r="AN631" s="837">
        <v>0</v>
      </c>
      <c r="AO631" s="837">
        <v>0</v>
      </c>
      <c r="AP631" s="843"/>
      <c r="AQ631" s="839"/>
      <c r="AR631" s="839"/>
      <c r="AS631" s="839"/>
      <c r="AT631" s="839"/>
      <c r="AU631" s="839"/>
      <c r="AV631" s="852"/>
      <c r="AW631" s="134" t="s">
        <v>3208</v>
      </c>
      <c r="AX631" s="136" t="s">
        <v>3208</v>
      </c>
      <c r="AY631" s="137" t="s">
        <v>2576</v>
      </c>
      <c r="AZ631" s="136">
        <v>0</v>
      </c>
      <c r="BA631" s="136">
        <v>0</v>
      </c>
      <c r="BB631" s="136">
        <v>0</v>
      </c>
      <c r="BC631" s="214">
        <v>0</v>
      </c>
      <c r="BD631" s="136">
        <v>0</v>
      </c>
      <c r="BE631" s="214">
        <v>0</v>
      </c>
      <c r="BF631" s="136">
        <v>0</v>
      </c>
      <c r="BG631" s="214">
        <v>0</v>
      </c>
      <c r="BH631" s="214">
        <v>0</v>
      </c>
      <c r="BI631" s="134">
        <v>1</v>
      </c>
      <c r="BJ631" s="214">
        <v>415</v>
      </c>
      <c r="BK631" s="137">
        <v>1</v>
      </c>
      <c r="BL631" s="137">
        <v>1</v>
      </c>
      <c r="BM631" s="137">
        <v>4</v>
      </c>
      <c r="BN631" s="134">
        <v>5.7831325301204821E-2</v>
      </c>
      <c r="BO631" s="351">
        <v>24</v>
      </c>
      <c r="BP631" s="134">
        <v>0.93975903614457823</v>
      </c>
      <c r="BQ631" s="214">
        <v>65</v>
      </c>
      <c r="BR631" s="137">
        <v>69</v>
      </c>
      <c r="BS631" s="138">
        <v>0</v>
      </c>
      <c r="BT631" s="351" t="s">
        <v>103</v>
      </c>
      <c r="BU631" s="209">
        <v>0</v>
      </c>
      <c r="BV631" s="209">
        <v>0</v>
      </c>
      <c r="BW631" s="209">
        <v>0</v>
      </c>
      <c r="BX631" s="209">
        <v>0</v>
      </c>
      <c r="BY631" s="209">
        <v>0</v>
      </c>
      <c r="BZ631" s="134">
        <v>0</v>
      </c>
      <c r="CA631" s="138">
        <v>1</v>
      </c>
      <c r="CB631" s="136">
        <v>0</v>
      </c>
      <c r="CC631" s="136">
        <v>0</v>
      </c>
      <c r="CD631" s="136">
        <v>0</v>
      </c>
      <c r="CE631" s="137">
        <v>0</v>
      </c>
      <c r="CF631" s="137">
        <v>0</v>
      </c>
      <c r="CG631" s="351">
        <v>0</v>
      </c>
      <c r="CH631" s="214">
        <v>0</v>
      </c>
      <c r="CI631" s="139">
        <v>0</v>
      </c>
      <c r="CJ631" s="139">
        <v>0</v>
      </c>
      <c r="CK631" s="139" t="s">
        <v>975</v>
      </c>
      <c r="CL631" s="139" t="s">
        <v>969</v>
      </c>
      <c r="CM631" s="139" t="s">
        <v>975</v>
      </c>
      <c r="CN631" s="139" t="s">
        <v>2737</v>
      </c>
      <c r="CO631" s="139">
        <v>20.8550128936768</v>
      </c>
      <c r="CP631" s="139">
        <v>92.91</v>
      </c>
      <c r="CQ631" s="139">
        <v>196824</v>
      </c>
      <c r="CR631" s="449" t="s">
        <v>40</v>
      </c>
      <c r="CS631" s="139" t="s">
        <v>2738</v>
      </c>
      <c r="CT631" s="24"/>
      <c r="CU631" s="24"/>
      <c r="CV631" s="24"/>
    </row>
    <row r="632" spans="1:100" x14ac:dyDescent="0.25">
      <c r="A632" s="293" t="s">
        <v>2691</v>
      </c>
      <c r="B632" s="183" t="s">
        <v>460</v>
      </c>
      <c r="C632" s="183" t="s">
        <v>454</v>
      </c>
      <c r="D632" s="183" t="s">
        <v>463</v>
      </c>
      <c r="E632" s="183" t="s">
        <v>464</v>
      </c>
      <c r="F632" s="206">
        <f>ROUND(WWWW[[#This Row],[Total PoP ]]/5,0)</f>
        <v>167</v>
      </c>
      <c r="G632" s="395">
        <v>836</v>
      </c>
      <c r="H632" s="183"/>
      <c r="I632" s="183"/>
      <c r="J632" s="184"/>
      <c r="K632" s="183"/>
      <c r="L632" s="206" t="s">
        <v>282</v>
      </c>
      <c r="M632" s="208">
        <v>0</v>
      </c>
      <c r="N632" s="208">
        <v>0</v>
      </c>
      <c r="O632" s="319">
        <v>0</v>
      </c>
      <c r="P632" s="320">
        <v>0</v>
      </c>
      <c r="Q632" s="324"/>
      <c r="R632" s="325"/>
      <c r="S632" s="325">
        <v>0</v>
      </c>
      <c r="T632" s="325"/>
      <c r="U632" s="315"/>
      <c r="V632" s="315"/>
      <c r="W632" s="315"/>
      <c r="X632" s="315"/>
      <c r="Y632" s="315"/>
      <c r="Z632" s="315"/>
      <c r="AA632" s="336">
        <v>53</v>
      </c>
      <c r="AB632" s="336"/>
      <c r="AC632" s="342"/>
      <c r="AD632" s="337"/>
      <c r="AE632" s="342">
        <v>0</v>
      </c>
      <c r="AF632" s="342" t="s">
        <v>286</v>
      </c>
      <c r="AG632" s="339" t="s">
        <v>286</v>
      </c>
      <c r="AH632" s="337"/>
      <c r="AI632" s="337"/>
      <c r="AJ632" s="342"/>
      <c r="AK632" s="851">
        <v>0</v>
      </c>
      <c r="AL632" s="855"/>
      <c r="AM632" s="836">
        <v>0</v>
      </c>
      <c r="AN632" s="837"/>
      <c r="AO632" s="837">
        <v>0</v>
      </c>
      <c r="AP632" s="843"/>
      <c r="AQ632" s="839"/>
      <c r="AR632" s="839"/>
      <c r="AS632" s="839"/>
      <c r="AT632" s="839"/>
      <c r="AU632" s="839"/>
      <c r="AV632" s="852"/>
      <c r="AW632" s="134" t="s">
        <v>3208</v>
      </c>
      <c r="AX632" s="136" t="s">
        <v>3208</v>
      </c>
      <c r="AY632" s="137" t="s">
        <v>2576</v>
      </c>
      <c r="AZ632" s="136">
        <v>0</v>
      </c>
      <c r="BA632" s="136">
        <v>0</v>
      </c>
      <c r="BB632" s="136">
        <v>0</v>
      </c>
      <c r="BC632" s="214">
        <v>0</v>
      </c>
      <c r="BD632" s="136">
        <v>0</v>
      </c>
      <c r="BE632" s="214">
        <v>0</v>
      </c>
      <c r="BF632" s="136">
        <v>0</v>
      </c>
      <c r="BG632" s="214">
        <v>0</v>
      </c>
      <c r="BH632" s="214">
        <v>0</v>
      </c>
      <c r="BI632" s="134">
        <v>1</v>
      </c>
      <c r="BJ632" s="214">
        <v>836</v>
      </c>
      <c r="BK632" s="137">
        <v>2</v>
      </c>
      <c r="BL632" s="137">
        <v>2</v>
      </c>
      <c r="BM632" s="137">
        <v>53</v>
      </c>
      <c r="BN632" s="134">
        <v>0.38038277511961721</v>
      </c>
      <c r="BO632" s="351">
        <v>318</v>
      </c>
      <c r="BP632" s="134">
        <v>0.61722488038277512</v>
      </c>
      <c r="BQ632" s="214">
        <v>86</v>
      </c>
      <c r="BR632" s="137">
        <v>139</v>
      </c>
      <c r="BS632" s="138">
        <v>0</v>
      </c>
      <c r="BT632" s="351" t="s">
        <v>103</v>
      </c>
      <c r="BU632" s="209">
        <v>0</v>
      </c>
      <c r="BV632" s="209">
        <v>0</v>
      </c>
      <c r="BW632" s="209">
        <v>0</v>
      </c>
      <c r="BX632" s="209">
        <v>0</v>
      </c>
      <c r="BY632" s="209">
        <v>0</v>
      </c>
      <c r="BZ632" s="134">
        <v>0</v>
      </c>
      <c r="CA632" s="138">
        <v>1</v>
      </c>
      <c r="CB632" s="136">
        <v>0</v>
      </c>
      <c r="CC632" s="136">
        <v>0</v>
      </c>
      <c r="CD632" s="136">
        <v>0</v>
      </c>
      <c r="CE632" s="137">
        <v>0</v>
      </c>
      <c r="CF632" s="137">
        <v>0</v>
      </c>
      <c r="CG632" s="351">
        <v>0</v>
      </c>
      <c r="CH632" s="214">
        <v>0</v>
      </c>
      <c r="CI632" s="139">
        <v>0</v>
      </c>
      <c r="CJ632" s="139">
        <v>0</v>
      </c>
      <c r="CK632" s="139" t="s">
        <v>969</v>
      </c>
      <c r="CL632" s="139" t="s">
        <v>969</v>
      </c>
      <c r="CM632" s="139" t="s">
        <v>969</v>
      </c>
      <c r="CN632" s="139" t="s">
        <v>454</v>
      </c>
      <c r="CO632" s="139">
        <v>0</v>
      </c>
      <c r="CP632" s="139">
        <v>0</v>
      </c>
      <c r="CQ632" s="139">
        <v>0</v>
      </c>
      <c r="CR632" s="449" t="s">
        <v>3209</v>
      </c>
      <c r="CS632" s="139"/>
      <c r="CT632" s="24"/>
      <c r="CU632" s="24"/>
      <c r="CV632" s="24"/>
    </row>
    <row r="633" spans="1:100" x14ac:dyDescent="0.25">
      <c r="A633" s="293" t="s">
        <v>2691</v>
      </c>
      <c r="B633" s="101" t="s">
        <v>460</v>
      </c>
      <c r="C633" s="101" t="s">
        <v>454</v>
      </c>
      <c r="D633" s="101" t="s">
        <v>463</v>
      </c>
      <c r="E633" s="101" t="s">
        <v>732</v>
      </c>
      <c r="F633" s="101">
        <v>92</v>
      </c>
      <c r="G633" s="396">
        <v>559</v>
      </c>
      <c r="H633" s="101"/>
      <c r="I633" s="101"/>
      <c r="J633" s="102"/>
      <c r="K633" s="101"/>
      <c r="L633" s="206" t="s">
        <v>282</v>
      </c>
      <c r="M633" s="208">
        <v>0</v>
      </c>
      <c r="N633" s="208">
        <v>0</v>
      </c>
      <c r="O633" s="319">
        <v>0</v>
      </c>
      <c r="P633" s="320">
        <v>0</v>
      </c>
      <c r="Q633" s="321"/>
      <c r="R633" s="318"/>
      <c r="S633" s="322">
        <v>0</v>
      </c>
      <c r="T633" s="322"/>
      <c r="U633" s="317"/>
      <c r="V633" s="317"/>
      <c r="W633" s="317"/>
      <c r="X633" s="317"/>
      <c r="Y633" s="317"/>
      <c r="Z633" s="318"/>
      <c r="AA633" s="310">
        <v>194</v>
      </c>
      <c r="AB633" s="311"/>
      <c r="AC633" s="337"/>
      <c r="AD633" s="337"/>
      <c r="AE633" s="340">
        <v>0</v>
      </c>
      <c r="AF633" s="66" t="s">
        <v>286</v>
      </c>
      <c r="AG633" s="66" t="s">
        <v>286</v>
      </c>
      <c r="AH633" s="66"/>
      <c r="AI633" s="66"/>
      <c r="AJ633" s="341"/>
      <c r="AK633" s="845">
        <v>0</v>
      </c>
      <c r="AL633" s="846"/>
      <c r="AM633" s="844">
        <v>0</v>
      </c>
      <c r="AN633" s="837"/>
      <c r="AO633" s="837">
        <v>0</v>
      </c>
      <c r="AP633" s="843"/>
      <c r="AQ633" s="843"/>
      <c r="AR633" s="843"/>
      <c r="AS633" s="843"/>
      <c r="AT633" s="843"/>
      <c r="AU633" s="843"/>
      <c r="AV633" s="847"/>
      <c r="AW633" s="134" t="s">
        <v>3208</v>
      </c>
      <c r="AX633" s="136" t="s">
        <v>3208</v>
      </c>
      <c r="AY633" s="137" t="s">
        <v>2576</v>
      </c>
      <c r="AZ633" s="136">
        <v>0</v>
      </c>
      <c r="BA633" s="136">
        <v>0</v>
      </c>
      <c r="BB633" s="136">
        <v>0</v>
      </c>
      <c r="BC633" s="214">
        <v>0</v>
      </c>
      <c r="BD633" s="136">
        <v>0</v>
      </c>
      <c r="BE633" s="214">
        <v>0</v>
      </c>
      <c r="BF633" s="136">
        <v>0</v>
      </c>
      <c r="BG633" s="214">
        <v>0</v>
      </c>
      <c r="BH633" s="214">
        <v>0</v>
      </c>
      <c r="BI633" s="134">
        <v>1</v>
      </c>
      <c r="BJ633" s="214">
        <v>559</v>
      </c>
      <c r="BK633" s="137">
        <v>1</v>
      </c>
      <c r="BL633" s="137">
        <v>1</v>
      </c>
      <c r="BM633" s="137">
        <v>194</v>
      </c>
      <c r="BN633" s="134">
        <v>1</v>
      </c>
      <c r="BO633" s="351">
        <v>559</v>
      </c>
      <c r="BP633" s="134">
        <v>0</v>
      </c>
      <c r="BQ633" s="214">
        <v>0</v>
      </c>
      <c r="BR633" s="137">
        <v>93</v>
      </c>
      <c r="BS633" s="138">
        <v>0</v>
      </c>
      <c r="BT633" s="351" t="s">
        <v>103</v>
      </c>
      <c r="BU633" s="209">
        <v>0</v>
      </c>
      <c r="BV633" s="209">
        <v>0</v>
      </c>
      <c r="BW633" s="209">
        <v>0</v>
      </c>
      <c r="BX633" s="209">
        <v>0</v>
      </c>
      <c r="BY633" s="209">
        <v>0</v>
      </c>
      <c r="BZ633" s="134">
        <v>0</v>
      </c>
      <c r="CA633" s="138">
        <v>1</v>
      </c>
      <c r="CB633" s="136">
        <v>0</v>
      </c>
      <c r="CC633" s="136">
        <v>0</v>
      </c>
      <c r="CD633" s="136">
        <v>0</v>
      </c>
      <c r="CE633" s="137">
        <v>0</v>
      </c>
      <c r="CF633" s="137">
        <v>0</v>
      </c>
      <c r="CG633" s="351">
        <v>0</v>
      </c>
      <c r="CH633" s="214">
        <v>0</v>
      </c>
      <c r="CI633" s="139">
        <v>0</v>
      </c>
      <c r="CJ633" s="139">
        <v>0</v>
      </c>
      <c r="CK633" s="139" t="s">
        <v>969</v>
      </c>
      <c r="CL633" s="139" t="s">
        <v>969</v>
      </c>
      <c r="CM633" s="139" t="s">
        <v>1054</v>
      </c>
      <c r="CN633" s="139" t="s">
        <v>454</v>
      </c>
      <c r="CO633" s="139">
        <v>20.720213000000001</v>
      </c>
      <c r="CP633" s="139">
        <v>92.961841000000007</v>
      </c>
      <c r="CQ633" s="139" t="s">
        <v>1781</v>
      </c>
      <c r="CR633" s="449" t="s">
        <v>3209</v>
      </c>
      <c r="CS633" s="139"/>
      <c r="CT633" s="24"/>
      <c r="CU633" s="24"/>
      <c r="CV633" s="24"/>
    </row>
    <row r="634" spans="1:100" x14ac:dyDescent="0.25">
      <c r="A634" s="293" t="s">
        <v>2691</v>
      </c>
      <c r="B634" s="101" t="s">
        <v>460</v>
      </c>
      <c r="C634" s="101" t="s">
        <v>454</v>
      </c>
      <c r="D634" s="101" t="s">
        <v>463</v>
      </c>
      <c r="E634" s="101" t="s">
        <v>864</v>
      </c>
      <c r="F634" s="132">
        <v>175</v>
      </c>
      <c r="G634" s="214">
        <v>855</v>
      </c>
      <c r="H634" s="132"/>
      <c r="I634" s="101"/>
      <c r="J634" s="133"/>
      <c r="K634" s="101"/>
      <c r="L634" s="206" t="s">
        <v>282</v>
      </c>
      <c r="M634" s="208">
        <v>0</v>
      </c>
      <c r="N634" s="208">
        <v>0</v>
      </c>
      <c r="O634" s="319">
        <v>0</v>
      </c>
      <c r="P634" s="320">
        <v>0</v>
      </c>
      <c r="Q634" s="321"/>
      <c r="R634" s="322"/>
      <c r="S634" s="322">
        <v>1</v>
      </c>
      <c r="T634" s="322"/>
      <c r="U634" s="317"/>
      <c r="V634" s="317"/>
      <c r="W634" s="317"/>
      <c r="X634" s="317"/>
      <c r="Y634" s="317"/>
      <c r="Z634" s="315"/>
      <c r="AA634" s="310">
        <v>0</v>
      </c>
      <c r="AB634" s="311"/>
      <c r="AC634" s="337"/>
      <c r="AD634" s="337"/>
      <c r="AE634" s="340">
        <v>0</v>
      </c>
      <c r="AF634" s="336" t="s">
        <v>286</v>
      </c>
      <c r="AG634" s="66" t="s">
        <v>286</v>
      </c>
      <c r="AH634" s="66"/>
      <c r="AI634" s="66"/>
      <c r="AJ634" s="341"/>
      <c r="AK634" s="845">
        <v>0</v>
      </c>
      <c r="AL634" s="846"/>
      <c r="AM634" s="844">
        <v>0</v>
      </c>
      <c r="AN634" s="837"/>
      <c r="AO634" s="837"/>
      <c r="AP634" s="843"/>
      <c r="AQ634" s="843"/>
      <c r="AR634" s="843"/>
      <c r="AS634" s="843"/>
      <c r="AT634" s="843"/>
      <c r="AU634" s="843"/>
      <c r="AV634" s="849"/>
      <c r="AW634" s="134" t="s">
        <v>3208</v>
      </c>
      <c r="AX634" s="136" t="s">
        <v>3208</v>
      </c>
      <c r="AY634" s="137" t="s">
        <v>2576</v>
      </c>
      <c r="AZ634" s="136">
        <v>0</v>
      </c>
      <c r="BA634" s="136">
        <v>0</v>
      </c>
      <c r="BB634" s="136">
        <v>0</v>
      </c>
      <c r="BC634" s="214">
        <v>0</v>
      </c>
      <c r="BD634" s="136">
        <v>0</v>
      </c>
      <c r="BE634" s="214">
        <v>0</v>
      </c>
      <c r="BF634" s="136">
        <v>0</v>
      </c>
      <c r="BG634" s="214">
        <v>0</v>
      </c>
      <c r="BH634" s="214">
        <v>0</v>
      </c>
      <c r="BI634" s="134">
        <v>1</v>
      </c>
      <c r="BJ634" s="214">
        <v>855</v>
      </c>
      <c r="BK634" s="137">
        <v>2</v>
      </c>
      <c r="BL634" s="137">
        <v>2</v>
      </c>
      <c r="BM634" s="137">
        <v>0</v>
      </c>
      <c r="BN634" s="134">
        <v>0</v>
      </c>
      <c r="BO634" s="351">
        <v>0</v>
      </c>
      <c r="BP634" s="134">
        <v>1</v>
      </c>
      <c r="BQ634" s="214">
        <v>143</v>
      </c>
      <c r="BR634" s="137">
        <v>143</v>
      </c>
      <c r="BS634" s="138">
        <v>0</v>
      </c>
      <c r="BT634" s="351" t="s">
        <v>103</v>
      </c>
      <c r="BU634" s="209">
        <v>0</v>
      </c>
      <c r="BV634" s="209">
        <v>0</v>
      </c>
      <c r="BW634" s="209">
        <v>0</v>
      </c>
      <c r="BX634" s="209">
        <v>0</v>
      </c>
      <c r="BY634" s="209">
        <v>0</v>
      </c>
      <c r="BZ634" s="134">
        <v>0</v>
      </c>
      <c r="CA634" s="138">
        <v>1</v>
      </c>
      <c r="CB634" s="136">
        <v>0</v>
      </c>
      <c r="CC634" s="136">
        <v>0</v>
      </c>
      <c r="CD634" s="136">
        <v>0</v>
      </c>
      <c r="CE634" s="137">
        <v>0</v>
      </c>
      <c r="CF634" s="137">
        <v>0</v>
      </c>
      <c r="CG634" s="351">
        <v>0</v>
      </c>
      <c r="CH634" s="214">
        <v>0</v>
      </c>
      <c r="CI634" s="139">
        <v>0</v>
      </c>
      <c r="CJ634" s="139">
        <v>0</v>
      </c>
      <c r="CK634" s="139" t="s">
        <v>969</v>
      </c>
      <c r="CL634" s="139" t="s">
        <v>969</v>
      </c>
      <c r="CM634" s="139" t="s">
        <v>969</v>
      </c>
      <c r="CN634" s="139" t="s">
        <v>454</v>
      </c>
      <c r="CO634" s="139">
        <v>20.627639770507798</v>
      </c>
      <c r="CP634" s="139">
        <v>93.022773742675795</v>
      </c>
      <c r="CQ634" s="139" t="s">
        <v>2088</v>
      </c>
      <c r="CR634" s="449" t="s">
        <v>3209</v>
      </c>
      <c r="CS634" s="139"/>
      <c r="CT634" s="24"/>
      <c r="CU634" s="24"/>
      <c r="CV634" s="24"/>
    </row>
    <row r="635" spans="1:100" x14ac:dyDescent="0.25">
      <c r="A635" s="293" t="s">
        <v>2691</v>
      </c>
      <c r="B635" s="206" t="s">
        <v>479</v>
      </c>
      <c r="C635" s="183" t="s">
        <v>454</v>
      </c>
      <c r="D635" s="183" t="s">
        <v>463</v>
      </c>
      <c r="E635" s="183" t="s">
        <v>718</v>
      </c>
      <c r="F635" s="206">
        <v>361</v>
      </c>
      <c r="G635" s="209">
        <v>1669</v>
      </c>
      <c r="H635" s="206"/>
      <c r="I635" s="206" t="s">
        <v>495</v>
      </c>
      <c r="J635" s="207">
        <v>43615</v>
      </c>
      <c r="K635" s="206">
        <v>0</v>
      </c>
      <c r="L635" s="206" t="s">
        <v>2454</v>
      </c>
      <c r="M635" s="208">
        <v>0</v>
      </c>
      <c r="N635" s="208">
        <v>0</v>
      </c>
      <c r="O635" s="316">
        <v>0</v>
      </c>
      <c r="P635" s="317">
        <v>0</v>
      </c>
      <c r="Q635" s="317">
        <v>0</v>
      </c>
      <c r="R635" s="318">
        <v>0</v>
      </c>
      <c r="S635" s="318">
        <v>0</v>
      </c>
      <c r="T635" s="318"/>
      <c r="U635" s="318"/>
      <c r="V635" s="318"/>
      <c r="W635" s="318"/>
      <c r="X635" s="318"/>
      <c r="Y635" s="318"/>
      <c r="Z635" s="318"/>
      <c r="AA635" s="310">
        <v>0</v>
      </c>
      <c r="AB635" s="310">
        <v>0</v>
      </c>
      <c r="AC635" s="66"/>
      <c r="AD635" s="337"/>
      <c r="AE635" s="310">
        <v>0</v>
      </c>
      <c r="AF635" s="66" t="s">
        <v>1358</v>
      </c>
      <c r="AG635" s="66" t="s">
        <v>1358</v>
      </c>
      <c r="AH635" s="311"/>
      <c r="AI635" s="310"/>
      <c r="AJ635" s="310"/>
      <c r="AK635" s="841">
        <v>0</v>
      </c>
      <c r="AL635" s="842"/>
      <c r="AM635" s="842">
        <v>0</v>
      </c>
      <c r="AN635" s="837">
        <v>0</v>
      </c>
      <c r="AO635" s="837">
        <v>0</v>
      </c>
      <c r="AP635" s="843"/>
      <c r="AQ635" s="843"/>
      <c r="AR635" s="843"/>
      <c r="AS635" s="843"/>
      <c r="AT635" s="843"/>
      <c r="AU635" s="843"/>
      <c r="AV635" s="844"/>
      <c r="AW635" s="208" t="s">
        <v>3208</v>
      </c>
      <c r="AX635" s="211" t="s">
        <v>3208</v>
      </c>
      <c r="AY635" s="210" t="s">
        <v>2576</v>
      </c>
      <c r="AZ635" s="211">
        <v>0</v>
      </c>
      <c r="BA635" s="211">
        <v>0</v>
      </c>
      <c r="BB635" s="211">
        <v>0</v>
      </c>
      <c r="BC635" s="209">
        <v>0</v>
      </c>
      <c r="BD635" s="211">
        <v>0</v>
      </c>
      <c r="BE635" s="209">
        <v>0</v>
      </c>
      <c r="BF635" s="211">
        <v>0</v>
      </c>
      <c r="BG635" s="209">
        <v>0</v>
      </c>
      <c r="BH635" s="214">
        <v>0</v>
      </c>
      <c r="BI635" s="208">
        <v>1</v>
      </c>
      <c r="BJ635" s="209">
        <v>1669</v>
      </c>
      <c r="BK635" s="210">
        <v>3</v>
      </c>
      <c r="BL635" s="210">
        <v>3</v>
      </c>
      <c r="BM635" s="210">
        <v>0</v>
      </c>
      <c r="BN635" s="208">
        <v>0</v>
      </c>
      <c r="BO635" s="352">
        <v>0</v>
      </c>
      <c r="BP635" s="208">
        <v>0.99940083882564401</v>
      </c>
      <c r="BQ635" s="209">
        <v>278</v>
      </c>
      <c r="BR635" s="210">
        <v>278</v>
      </c>
      <c r="BS635" s="212">
        <v>0</v>
      </c>
      <c r="BT635" s="352" t="s">
        <v>103</v>
      </c>
      <c r="BU635" s="209">
        <v>0</v>
      </c>
      <c r="BV635" s="209">
        <v>0</v>
      </c>
      <c r="BW635" s="209">
        <v>0</v>
      </c>
      <c r="BX635" s="209">
        <v>0</v>
      </c>
      <c r="BY635" s="209">
        <v>0</v>
      </c>
      <c r="BZ635" s="208">
        <v>0</v>
      </c>
      <c r="CA635" s="212">
        <v>1</v>
      </c>
      <c r="CB635" s="211">
        <v>0</v>
      </c>
      <c r="CC635" s="211">
        <v>0</v>
      </c>
      <c r="CD635" s="211">
        <v>0</v>
      </c>
      <c r="CE635" s="210">
        <v>0</v>
      </c>
      <c r="CF635" s="210">
        <v>0</v>
      </c>
      <c r="CG635" s="210">
        <v>0</v>
      </c>
      <c r="CH635" s="209">
        <v>0</v>
      </c>
      <c r="CI635" s="139">
        <v>0</v>
      </c>
      <c r="CJ635" s="139">
        <v>0</v>
      </c>
      <c r="CK635" s="139" t="s">
        <v>975</v>
      </c>
      <c r="CL635" s="139" t="s">
        <v>969</v>
      </c>
      <c r="CM635" s="139" t="s">
        <v>975</v>
      </c>
      <c r="CN635" s="139" t="s">
        <v>454</v>
      </c>
      <c r="CO635" s="139">
        <v>20.705930709838899</v>
      </c>
      <c r="CP635" s="139">
        <v>93.001953125</v>
      </c>
      <c r="CQ635" s="139" t="s">
        <v>1768</v>
      </c>
      <c r="CR635" s="660" t="s">
        <v>40</v>
      </c>
      <c r="CS635" s="139" t="s">
        <v>2738</v>
      </c>
      <c r="CT635" s="24"/>
      <c r="CU635" s="24"/>
      <c r="CV635" s="24"/>
    </row>
    <row r="636" spans="1:100" x14ac:dyDescent="0.25">
      <c r="A636" s="293" t="s">
        <v>2691</v>
      </c>
      <c r="B636" s="101" t="s">
        <v>479</v>
      </c>
      <c r="C636" s="101" t="s">
        <v>454</v>
      </c>
      <c r="D636" s="101" t="s">
        <v>463</v>
      </c>
      <c r="E636" s="101" t="s">
        <v>801</v>
      </c>
      <c r="F636" s="181">
        <v>73</v>
      </c>
      <c r="G636" s="397">
        <v>397</v>
      </c>
      <c r="H636" s="181"/>
      <c r="I636" s="181" t="s">
        <v>495</v>
      </c>
      <c r="J636" s="182">
        <v>43615</v>
      </c>
      <c r="K636" s="181">
        <v>0</v>
      </c>
      <c r="L636" s="181" t="s">
        <v>2454</v>
      </c>
      <c r="M636" s="177">
        <v>0</v>
      </c>
      <c r="N636" s="177">
        <v>0</v>
      </c>
      <c r="O636" s="319">
        <v>0</v>
      </c>
      <c r="P636" s="320">
        <v>0</v>
      </c>
      <c r="Q636" s="332">
        <v>0</v>
      </c>
      <c r="R636" s="333">
        <v>0</v>
      </c>
      <c r="S636" s="333">
        <v>0</v>
      </c>
      <c r="T636" s="333"/>
      <c r="U636" s="315"/>
      <c r="V636" s="315"/>
      <c r="W636" s="315"/>
      <c r="X636" s="315"/>
      <c r="Y636" s="315"/>
      <c r="Z636" s="315"/>
      <c r="AA636" s="336">
        <v>17</v>
      </c>
      <c r="AB636" s="336">
        <v>0</v>
      </c>
      <c r="AC636" s="337"/>
      <c r="AD636" s="337"/>
      <c r="AE636" s="348">
        <v>0</v>
      </c>
      <c r="AF636" s="66" t="s">
        <v>1358</v>
      </c>
      <c r="AG636" s="66" t="s">
        <v>1358</v>
      </c>
      <c r="AH636" s="339"/>
      <c r="AI636" s="336"/>
      <c r="AJ636" s="348"/>
      <c r="AK636" s="856">
        <v>0</v>
      </c>
      <c r="AL636" s="857"/>
      <c r="AM636" s="836">
        <v>0</v>
      </c>
      <c r="AN636" s="837">
        <v>0</v>
      </c>
      <c r="AO636" s="837">
        <v>0</v>
      </c>
      <c r="AP636" s="843"/>
      <c r="AQ636" s="843"/>
      <c r="AR636" s="839"/>
      <c r="AS636" s="839"/>
      <c r="AT636" s="839"/>
      <c r="AU636" s="839"/>
      <c r="AV636" s="861"/>
      <c r="AW636" s="134" t="s">
        <v>3208</v>
      </c>
      <c r="AX636" s="136" t="s">
        <v>3208</v>
      </c>
      <c r="AY636" s="137" t="s">
        <v>2576</v>
      </c>
      <c r="AZ636" s="136">
        <v>0</v>
      </c>
      <c r="BA636" s="136">
        <v>0</v>
      </c>
      <c r="BB636" s="136">
        <v>0</v>
      </c>
      <c r="BC636" s="214">
        <v>0</v>
      </c>
      <c r="BD636" s="136">
        <v>0</v>
      </c>
      <c r="BE636" s="214">
        <v>0</v>
      </c>
      <c r="BF636" s="136">
        <v>0</v>
      </c>
      <c r="BG636" s="214">
        <v>0</v>
      </c>
      <c r="BH636" s="214">
        <v>0</v>
      </c>
      <c r="BI636" s="134">
        <v>1</v>
      </c>
      <c r="BJ636" s="214">
        <v>397</v>
      </c>
      <c r="BK636" s="137">
        <v>1</v>
      </c>
      <c r="BL636" s="137">
        <v>1</v>
      </c>
      <c r="BM636" s="137">
        <v>17</v>
      </c>
      <c r="BN636" s="134">
        <v>0.25692695214105793</v>
      </c>
      <c r="BO636" s="351">
        <v>102</v>
      </c>
      <c r="BP636" s="134">
        <v>0.74055415617128462</v>
      </c>
      <c r="BQ636" s="214">
        <v>49</v>
      </c>
      <c r="BR636" s="137">
        <v>66</v>
      </c>
      <c r="BS636" s="138">
        <v>0</v>
      </c>
      <c r="BT636" s="351" t="s">
        <v>103</v>
      </c>
      <c r="BU636" s="209">
        <v>0</v>
      </c>
      <c r="BV636" s="209">
        <v>0</v>
      </c>
      <c r="BW636" s="209">
        <v>0</v>
      </c>
      <c r="BX636" s="209">
        <v>0</v>
      </c>
      <c r="BY636" s="209">
        <v>0</v>
      </c>
      <c r="BZ636" s="134">
        <v>0</v>
      </c>
      <c r="CA636" s="138">
        <v>1</v>
      </c>
      <c r="CB636" s="136">
        <v>0</v>
      </c>
      <c r="CC636" s="136">
        <v>0</v>
      </c>
      <c r="CD636" s="136">
        <v>0</v>
      </c>
      <c r="CE636" s="137">
        <v>0</v>
      </c>
      <c r="CF636" s="137">
        <v>0</v>
      </c>
      <c r="CG636" s="351">
        <v>0</v>
      </c>
      <c r="CH636" s="214">
        <v>0</v>
      </c>
      <c r="CI636" s="139">
        <v>0</v>
      </c>
      <c r="CJ636" s="139">
        <v>0</v>
      </c>
      <c r="CK636" s="139" t="s">
        <v>975</v>
      </c>
      <c r="CL636" s="139" t="s">
        <v>969</v>
      </c>
      <c r="CM636" s="139" t="s">
        <v>975</v>
      </c>
      <c r="CN636" s="139" t="s">
        <v>2737</v>
      </c>
      <c r="CO636" s="139">
        <v>20.851089477539102</v>
      </c>
      <c r="CP636" s="139">
        <v>92.916893005371094</v>
      </c>
      <c r="CQ636" s="139">
        <v>196825</v>
      </c>
      <c r="CR636" s="449" t="s">
        <v>40</v>
      </c>
      <c r="CS636" s="139" t="s">
        <v>2738</v>
      </c>
      <c r="CT636" s="24"/>
      <c r="CU636" s="24"/>
      <c r="CV636" s="24"/>
    </row>
    <row r="637" spans="1:100" x14ac:dyDescent="0.25">
      <c r="A637" s="293" t="s">
        <v>2691</v>
      </c>
      <c r="B637" s="101" t="s">
        <v>460</v>
      </c>
      <c r="C637" s="101" t="s">
        <v>454</v>
      </c>
      <c r="D637" s="101" t="s">
        <v>463</v>
      </c>
      <c r="E637" s="101" t="s">
        <v>680</v>
      </c>
      <c r="F637" s="101">
        <v>165</v>
      </c>
      <c r="G637" s="396">
        <v>786</v>
      </c>
      <c r="H637" s="101"/>
      <c r="I637" s="101"/>
      <c r="J637" s="102"/>
      <c r="K637" s="101"/>
      <c r="L637" s="206" t="s">
        <v>282</v>
      </c>
      <c r="M637" s="208">
        <v>0</v>
      </c>
      <c r="N637" s="208">
        <v>0</v>
      </c>
      <c r="O637" s="320">
        <v>0</v>
      </c>
      <c r="P637" s="320">
        <v>0</v>
      </c>
      <c r="Q637" s="321"/>
      <c r="R637" s="318"/>
      <c r="S637" s="322">
        <v>1</v>
      </c>
      <c r="T637" s="322"/>
      <c r="U637" s="317"/>
      <c r="V637" s="317"/>
      <c r="W637" s="317"/>
      <c r="X637" s="317"/>
      <c r="Y637" s="317"/>
      <c r="Z637" s="318"/>
      <c r="AA637" s="310">
        <v>0</v>
      </c>
      <c r="AB637" s="311"/>
      <c r="AC637" s="337"/>
      <c r="AD637" s="337"/>
      <c r="AE637" s="340">
        <v>0</v>
      </c>
      <c r="AF637" s="66" t="s">
        <v>286</v>
      </c>
      <c r="AG637" s="66" t="s">
        <v>286</v>
      </c>
      <c r="AH637" s="66"/>
      <c r="AI637" s="66"/>
      <c r="AJ637" s="341"/>
      <c r="AK637" s="845">
        <v>0</v>
      </c>
      <c r="AL637" s="846"/>
      <c r="AM637" s="844">
        <v>0</v>
      </c>
      <c r="AN637" s="837"/>
      <c r="AO637" s="837"/>
      <c r="AP637" s="843"/>
      <c r="AQ637" s="843"/>
      <c r="AR637" s="843"/>
      <c r="AS637" s="843"/>
      <c r="AT637" s="843"/>
      <c r="AU637" s="843"/>
      <c r="AV637" s="847"/>
      <c r="AW637" s="134" t="s">
        <v>3208</v>
      </c>
      <c r="AX637" s="136" t="s">
        <v>3208</v>
      </c>
      <c r="AY637" s="137" t="s">
        <v>2576</v>
      </c>
      <c r="AZ637" s="136">
        <v>0</v>
      </c>
      <c r="BA637" s="136">
        <v>0</v>
      </c>
      <c r="BB637" s="136">
        <v>0</v>
      </c>
      <c r="BC637" s="214">
        <v>0</v>
      </c>
      <c r="BD637" s="136">
        <v>0</v>
      </c>
      <c r="BE637" s="214">
        <v>0</v>
      </c>
      <c r="BF637" s="136">
        <v>0</v>
      </c>
      <c r="BG637" s="214">
        <v>0</v>
      </c>
      <c r="BH637" s="214">
        <v>0</v>
      </c>
      <c r="BI637" s="134">
        <v>1</v>
      </c>
      <c r="BJ637" s="214">
        <v>786</v>
      </c>
      <c r="BK637" s="137">
        <v>2</v>
      </c>
      <c r="BL637" s="137">
        <v>2</v>
      </c>
      <c r="BM637" s="137">
        <v>0</v>
      </c>
      <c r="BN637" s="134">
        <v>0</v>
      </c>
      <c r="BO637" s="351">
        <v>0</v>
      </c>
      <c r="BP637" s="134">
        <v>1</v>
      </c>
      <c r="BQ637" s="214">
        <v>131</v>
      </c>
      <c r="BR637" s="137">
        <v>131</v>
      </c>
      <c r="BS637" s="138">
        <v>0</v>
      </c>
      <c r="BT637" s="351" t="s">
        <v>103</v>
      </c>
      <c r="BU637" s="209">
        <v>0</v>
      </c>
      <c r="BV637" s="209">
        <v>0</v>
      </c>
      <c r="BW637" s="209">
        <v>0</v>
      </c>
      <c r="BX637" s="209">
        <v>0</v>
      </c>
      <c r="BY637" s="209">
        <v>0</v>
      </c>
      <c r="BZ637" s="134">
        <v>0</v>
      </c>
      <c r="CA637" s="138">
        <v>1</v>
      </c>
      <c r="CB637" s="136">
        <v>0</v>
      </c>
      <c r="CC637" s="136">
        <v>0</v>
      </c>
      <c r="CD637" s="136">
        <v>0</v>
      </c>
      <c r="CE637" s="137">
        <v>0</v>
      </c>
      <c r="CF637" s="137">
        <v>0</v>
      </c>
      <c r="CG637" s="351">
        <v>0</v>
      </c>
      <c r="CH637" s="214">
        <v>0</v>
      </c>
      <c r="CI637" s="139">
        <v>0</v>
      </c>
      <c r="CJ637" s="139">
        <v>0</v>
      </c>
      <c r="CK637" s="139" t="s">
        <v>969</v>
      </c>
      <c r="CL637" s="139" t="s">
        <v>969</v>
      </c>
      <c r="CM637" s="139" t="s">
        <v>969</v>
      </c>
      <c r="CN637" s="139" t="s">
        <v>454</v>
      </c>
      <c r="CO637" s="139">
        <v>20.644098281860401</v>
      </c>
      <c r="CP637" s="139">
        <v>93.036460876464801</v>
      </c>
      <c r="CQ637" s="139" t="s">
        <v>1739</v>
      </c>
      <c r="CR637" s="449" t="s">
        <v>3209</v>
      </c>
      <c r="CS637" s="139"/>
      <c r="CT637" s="24"/>
      <c r="CU637" s="24"/>
      <c r="CV637" s="24"/>
    </row>
    <row r="638" spans="1:100" x14ac:dyDescent="0.25">
      <c r="A638" s="293" t="s">
        <v>2691</v>
      </c>
      <c r="B638" s="101" t="s">
        <v>460</v>
      </c>
      <c r="C638" s="101" t="s">
        <v>454</v>
      </c>
      <c r="D638" s="101" t="s">
        <v>463</v>
      </c>
      <c r="E638" s="101" t="s">
        <v>722</v>
      </c>
      <c r="F638" s="101">
        <v>116</v>
      </c>
      <c r="G638" s="396">
        <v>802</v>
      </c>
      <c r="H638" s="101"/>
      <c r="I638" s="101"/>
      <c r="J638" s="102"/>
      <c r="K638" s="101"/>
      <c r="L638" s="206" t="s">
        <v>282</v>
      </c>
      <c r="M638" s="208">
        <v>0</v>
      </c>
      <c r="N638" s="208">
        <v>0</v>
      </c>
      <c r="O638" s="319">
        <v>0</v>
      </c>
      <c r="P638" s="320">
        <v>0</v>
      </c>
      <c r="Q638" s="321"/>
      <c r="R638" s="318"/>
      <c r="S638" s="322">
        <v>0</v>
      </c>
      <c r="T638" s="322"/>
      <c r="U638" s="317"/>
      <c r="V638" s="317"/>
      <c r="W638" s="317"/>
      <c r="X638" s="317"/>
      <c r="Y638" s="317"/>
      <c r="Z638" s="318"/>
      <c r="AA638" s="310">
        <v>40</v>
      </c>
      <c r="AB638" s="311"/>
      <c r="AC638" s="337"/>
      <c r="AD638" s="337"/>
      <c r="AE638" s="340">
        <v>0</v>
      </c>
      <c r="AF638" s="66" t="s">
        <v>286</v>
      </c>
      <c r="AG638" s="66" t="s">
        <v>286</v>
      </c>
      <c r="AH638" s="66"/>
      <c r="AI638" s="66"/>
      <c r="AJ638" s="341"/>
      <c r="AK638" s="845">
        <v>0</v>
      </c>
      <c r="AL638" s="846"/>
      <c r="AM638" s="844">
        <v>0</v>
      </c>
      <c r="AN638" s="837"/>
      <c r="AO638" s="837">
        <v>0</v>
      </c>
      <c r="AP638" s="843"/>
      <c r="AQ638" s="843"/>
      <c r="AR638" s="843"/>
      <c r="AS638" s="843"/>
      <c r="AT638" s="843"/>
      <c r="AU638" s="843"/>
      <c r="AV638" s="847"/>
      <c r="AW638" s="134" t="s">
        <v>3208</v>
      </c>
      <c r="AX638" s="136" t="s">
        <v>3208</v>
      </c>
      <c r="AY638" s="137" t="s">
        <v>2576</v>
      </c>
      <c r="AZ638" s="136">
        <v>0</v>
      </c>
      <c r="BA638" s="136">
        <v>0</v>
      </c>
      <c r="BB638" s="136">
        <v>0</v>
      </c>
      <c r="BC638" s="214">
        <v>0</v>
      </c>
      <c r="BD638" s="136">
        <v>0</v>
      </c>
      <c r="BE638" s="214">
        <v>0</v>
      </c>
      <c r="BF638" s="136">
        <v>0</v>
      </c>
      <c r="BG638" s="214">
        <v>0</v>
      </c>
      <c r="BH638" s="214">
        <v>0</v>
      </c>
      <c r="BI638" s="134">
        <v>1</v>
      </c>
      <c r="BJ638" s="214">
        <v>802</v>
      </c>
      <c r="BK638" s="137">
        <v>2</v>
      </c>
      <c r="BL638" s="137">
        <v>2</v>
      </c>
      <c r="BM638" s="137">
        <v>40</v>
      </c>
      <c r="BN638" s="134">
        <v>0.29925187032418954</v>
      </c>
      <c r="BO638" s="351">
        <v>240</v>
      </c>
      <c r="BP638" s="134">
        <v>0.70324189526184544</v>
      </c>
      <c r="BQ638" s="214">
        <v>94</v>
      </c>
      <c r="BR638" s="137">
        <v>134</v>
      </c>
      <c r="BS638" s="138">
        <v>0</v>
      </c>
      <c r="BT638" s="351" t="s">
        <v>103</v>
      </c>
      <c r="BU638" s="209">
        <v>0</v>
      </c>
      <c r="BV638" s="209">
        <v>0</v>
      </c>
      <c r="BW638" s="209">
        <v>0</v>
      </c>
      <c r="BX638" s="209">
        <v>0</v>
      </c>
      <c r="BY638" s="209">
        <v>0</v>
      </c>
      <c r="BZ638" s="134">
        <v>0</v>
      </c>
      <c r="CA638" s="138">
        <v>1</v>
      </c>
      <c r="CB638" s="136">
        <v>0</v>
      </c>
      <c r="CC638" s="136">
        <v>0</v>
      </c>
      <c r="CD638" s="136">
        <v>0</v>
      </c>
      <c r="CE638" s="137">
        <v>0</v>
      </c>
      <c r="CF638" s="137">
        <v>0</v>
      </c>
      <c r="CG638" s="351">
        <v>0</v>
      </c>
      <c r="CH638" s="214">
        <v>0</v>
      </c>
      <c r="CI638" s="139">
        <v>0</v>
      </c>
      <c r="CJ638" s="139">
        <v>0</v>
      </c>
      <c r="CK638" s="139" t="s">
        <v>969</v>
      </c>
      <c r="CL638" s="139" t="s">
        <v>969</v>
      </c>
      <c r="CM638" s="139" t="s">
        <v>1054</v>
      </c>
      <c r="CN638" s="139" t="s">
        <v>966</v>
      </c>
      <c r="CO638" s="139">
        <v>20.713259999999998</v>
      </c>
      <c r="CP638" s="139">
        <v>93.014089999999996</v>
      </c>
      <c r="CQ638" s="139" t="s">
        <v>1771</v>
      </c>
      <c r="CR638" s="449" t="s">
        <v>3209</v>
      </c>
      <c r="CS638" s="139"/>
      <c r="CT638" s="24"/>
      <c r="CU638" s="24"/>
      <c r="CV638" s="24"/>
    </row>
    <row r="639" spans="1:100" x14ac:dyDescent="0.25">
      <c r="A639" s="293" t="s">
        <v>2691</v>
      </c>
      <c r="B639" s="206" t="s">
        <v>460</v>
      </c>
      <c r="C639" s="183" t="s">
        <v>454</v>
      </c>
      <c r="D639" s="183" t="s">
        <v>463</v>
      </c>
      <c r="E639" s="183" t="s">
        <v>720</v>
      </c>
      <c r="F639" s="206">
        <f>ROUND(WWWW[[#This Row],[Total PoP ]]/5,0)</f>
        <v>314</v>
      </c>
      <c r="G639" s="209">
        <v>1569</v>
      </c>
      <c r="H639" s="206"/>
      <c r="I639" s="206"/>
      <c r="J639" s="207"/>
      <c r="K639" s="206"/>
      <c r="L639" s="206" t="s">
        <v>282</v>
      </c>
      <c r="M639" s="208">
        <v>0</v>
      </c>
      <c r="N639" s="208">
        <v>0</v>
      </c>
      <c r="O639" s="316">
        <v>0</v>
      </c>
      <c r="P639" s="317">
        <v>0</v>
      </c>
      <c r="Q639" s="317"/>
      <c r="R639" s="318"/>
      <c r="S639" s="318">
        <v>0</v>
      </c>
      <c r="T639" s="318"/>
      <c r="U639" s="318"/>
      <c r="V639" s="318"/>
      <c r="W639" s="318"/>
      <c r="X639" s="318"/>
      <c r="Y639" s="318"/>
      <c r="Z639" s="318"/>
      <c r="AA639" s="310">
        <v>160</v>
      </c>
      <c r="AB639" s="310"/>
      <c r="AC639" s="66"/>
      <c r="AD639" s="337"/>
      <c r="AE639" s="310">
        <v>0</v>
      </c>
      <c r="AF639" s="310" t="s">
        <v>286</v>
      </c>
      <c r="AG639" s="311" t="s">
        <v>286</v>
      </c>
      <c r="AH639" s="311"/>
      <c r="AI639" s="310"/>
      <c r="AJ639" s="310"/>
      <c r="AK639" s="841">
        <v>0</v>
      </c>
      <c r="AL639" s="842"/>
      <c r="AM639" s="842">
        <v>0</v>
      </c>
      <c r="AN639" s="837"/>
      <c r="AO639" s="837">
        <v>0</v>
      </c>
      <c r="AP639" s="843"/>
      <c r="AQ639" s="843"/>
      <c r="AR639" s="843"/>
      <c r="AS639" s="843"/>
      <c r="AT639" s="843"/>
      <c r="AU639" s="843"/>
      <c r="AV639" s="844"/>
      <c r="AW639" s="208" t="s">
        <v>3208</v>
      </c>
      <c r="AX639" s="211" t="s">
        <v>3208</v>
      </c>
      <c r="AY639" s="210" t="s">
        <v>2576</v>
      </c>
      <c r="AZ639" s="211">
        <v>0</v>
      </c>
      <c r="BA639" s="211">
        <v>0</v>
      </c>
      <c r="BB639" s="211">
        <v>0</v>
      </c>
      <c r="BC639" s="209">
        <v>0</v>
      </c>
      <c r="BD639" s="211">
        <v>0</v>
      </c>
      <c r="BE639" s="209">
        <v>0</v>
      </c>
      <c r="BF639" s="211">
        <v>0</v>
      </c>
      <c r="BG639" s="209">
        <v>0</v>
      </c>
      <c r="BH639" s="214">
        <v>0</v>
      </c>
      <c r="BI639" s="208">
        <v>1</v>
      </c>
      <c r="BJ639" s="209">
        <v>1569</v>
      </c>
      <c r="BK639" s="210">
        <v>3</v>
      </c>
      <c r="BL639" s="210">
        <v>3</v>
      </c>
      <c r="BM639" s="210">
        <v>160</v>
      </c>
      <c r="BN639" s="208">
        <v>0.6118546845124283</v>
      </c>
      <c r="BO639" s="352">
        <v>960</v>
      </c>
      <c r="BP639" s="208">
        <v>0.39005736137667302</v>
      </c>
      <c r="BQ639" s="209">
        <v>102</v>
      </c>
      <c r="BR639" s="210">
        <v>262</v>
      </c>
      <c r="BS639" s="212">
        <v>0</v>
      </c>
      <c r="BT639" s="352" t="s">
        <v>103</v>
      </c>
      <c r="BU639" s="209">
        <v>0</v>
      </c>
      <c r="BV639" s="209">
        <v>0</v>
      </c>
      <c r="BW639" s="209">
        <v>0</v>
      </c>
      <c r="BX639" s="209">
        <v>0</v>
      </c>
      <c r="BY639" s="209">
        <v>0</v>
      </c>
      <c r="BZ639" s="208">
        <v>0</v>
      </c>
      <c r="CA639" s="212">
        <v>1</v>
      </c>
      <c r="CB639" s="211">
        <v>0</v>
      </c>
      <c r="CC639" s="211">
        <v>0</v>
      </c>
      <c r="CD639" s="211">
        <v>0</v>
      </c>
      <c r="CE639" s="210">
        <v>0</v>
      </c>
      <c r="CF639" s="210">
        <v>0</v>
      </c>
      <c r="CG639" s="210">
        <v>0</v>
      </c>
      <c r="CH639" s="209">
        <v>0</v>
      </c>
      <c r="CI639" s="139">
        <v>0</v>
      </c>
      <c r="CJ639" s="139">
        <v>0</v>
      </c>
      <c r="CK639" s="139" t="s">
        <v>969</v>
      </c>
      <c r="CL639" s="139" t="s">
        <v>969</v>
      </c>
      <c r="CM639" s="139" t="s">
        <v>969</v>
      </c>
      <c r="CN639" s="139" t="s">
        <v>454</v>
      </c>
      <c r="CO639" s="139">
        <v>20.709970473999999</v>
      </c>
      <c r="CP639" s="139">
        <v>93.015357971</v>
      </c>
      <c r="CQ639" s="139" t="s">
        <v>1770</v>
      </c>
      <c r="CR639" s="660" t="s">
        <v>3209</v>
      </c>
      <c r="CS639" s="660"/>
      <c r="CT639" s="24"/>
      <c r="CU639" s="24"/>
      <c r="CV639" s="24"/>
    </row>
    <row r="640" spans="1:100" x14ac:dyDescent="0.25">
      <c r="A640" s="293" t="s">
        <v>2691</v>
      </c>
      <c r="B640" s="183" t="s">
        <v>479</v>
      </c>
      <c r="C640" s="183" t="s">
        <v>454</v>
      </c>
      <c r="D640" s="183" t="s">
        <v>463</v>
      </c>
      <c r="E640" s="183" t="s">
        <v>773</v>
      </c>
      <c r="F640" s="183">
        <v>74</v>
      </c>
      <c r="G640" s="395">
        <v>343</v>
      </c>
      <c r="H640" s="183"/>
      <c r="I640" s="183" t="s">
        <v>495</v>
      </c>
      <c r="J640" s="184">
        <v>43615</v>
      </c>
      <c r="K640" s="183">
        <v>0</v>
      </c>
      <c r="L640" s="183" t="s">
        <v>2454</v>
      </c>
      <c r="M640" s="185">
        <v>0</v>
      </c>
      <c r="N640" s="185">
        <v>0</v>
      </c>
      <c r="O640" s="319">
        <v>0</v>
      </c>
      <c r="P640" s="320">
        <v>0</v>
      </c>
      <c r="Q640" s="324">
        <v>0</v>
      </c>
      <c r="R640" s="325">
        <v>0</v>
      </c>
      <c r="S640" s="325">
        <v>0</v>
      </c>
      <c r="T640" s="325"/>
      <c r="U640" s="315"/>
      <c r="V640" s="315"/>
      <c r="W640" s="315"/>
      <c r="X640" s="315"/>
      <c r="Y640" s="315"/>
      <c r="Z640" s="315"/>
      <c r="AA640" s="336">
        <v>4</v>
      </c>
      <c r="AB640" s="336">
        <v>0</v>
      </c>
      <c r="AC640" s="342"/>
      <c r="AD640" s="337"/>
      <c r="AE640" s="342">
        <v>0</v>
      </c>
      <c r="AF640" s="66" t="s">
        <v>1358</v>
      </c>
      <c r="AG640" s="66" t="s">
        <v>1358</v>
      </c>
      <c r="AH640" s="337"/>
      <c r="AI640" s="337"/>
      <c r="AJ640" s="342"/>
      <c r="AK640" s="851">
        <v>0</v>
      </c>
      <c r="AL640" s="855"/>
      <c r="AM640" s="836">
        <v>0</v>
      </c>
      <c r="AN640" s="837">
        <v>0</v>
      </c>
      <c r="AO640" s="837">
        <v>0</v>
      </c>
      <c r="AP640" s="843"/>
      <c r="AQ640" s="839"/>
      <c r="AR640" s="839"/>
      <c r="AS640" s="839"/>
      <c r="AT640" s="839"/>
      <c r="AU640" s="839"/>
      <c r="AV640" s="852"/>
      <c r="AW640" s="134" t="s">
        <v>3208</v>
      </c>
      <c r="AX640" s="136" t="s">
        <v>3208</v>
      </c>
      <c r="AY640" s="137" t="s">
        <v>2576</v>
      </c>
      <c r="AZ640" s="136">
        <v>0</v>
      </c>
      <c r="BA640" s="136">
        <v>0</v>
      </c>
      <c r="BB640" s="136">
        <v>0</v>
      </c>
      <c r="BC640" s="214">
        <v>0</v>
      </c>
      <c r="BD640" s="136">
        <v>0</v>
      </c>
      <c r="BE640" s="214">
        <v>0</v>
      </c>
      <c r="BF640" s="136">
        <v>0</v>
      </c>
      <c r="BG640" s="214">
        <v>0</v>
      </c>
      <c r="BH640" s="214">
        <v>0</v>
      </c>
      <c r="BI640" s="134">
        <v>1</v>
      </c>
      <c r="BJ640" s="214">
        <v>343</v>
      </c>
      <c r="BK640" s="137">
        <v>1</v>
      </c>
      <c r="BL640" s="137">
        <v>1</v>
      </c>
      <c r="BM640" s="137">
        <v>4</v>
      </c>
      <c r="BN640" s="134">
        <v>6.9970845481049565E-2</v>
      </c>
      <c r="BO640" s="351">
        <v>24</v>
      </c>
      <c r="BP640" s="134">
        <v>0.9271137026239068</v>
      </c>
      <c r="BQ640" s="214">
        <v>53</v>
      </c>
      <c r="BR640" s="137">
        <v>57</v>
      </c>
      <c r="BS640" s="138">
        <v>0</v>
      </c>
      <c r="BT640" s="351" t="s">
        <v>103</v>
      </c>
      <c r="BU640" s="209">
        <v>0</v>
      </c>
      <c r="BV640" s="209">
        <v>0</v>
      </c>
      <c r="BW640" s="209">
        <v>0</v>
      </c>
      <c r="BX640" s="209">
        <v>0</v>
      </c>
      <c r="BY640" s="209">
        <v>0</v>
      </c>
      <c r="BZ640" s="134">
        <v>0</v>
      </c>
      <c r="CA640" s="138">
        <v>1</v>
      </c>
      <c r="CB640" s="136">
        <v>0</v>
      </c>
      <c r="CC640" s="136">
        <v>0</v>
      </c>
      <c r="CD640" s="136">
        <v>0</v>
      </c>
      <c r="CE640" s="137">
        <v>0</v>
      </c>
      <c r="CF640" s="137">
        <v>0</v>
      </c>
      <c r="CG640" s="351">
        <v>0</v>
      </c>
      <c r="CH640" s="214">
        <v>0</v>
      </c>
      <c r="CI640" s="139">
        <v>0</v>
      </c>
      <c r="CJ640" s="139">
        <v>0</v>
      </c>
      <c r="CK640" s="139" t="s">
        <v>975</v>
      </c>
      <c r="CL640" s="139" t="s">
        <v>969</v>
      </c>
      <c r="CM640" s="139" t="s">
        <v>975</v>
      </c>
      <c r="CN640" s="139" t="s">
        <v>2737</v>
      </c>
      <c r="CO640" s="139">
        <v>20.803529739379901</v>
      </c>
      <c r="CP640" s="139">
        <v>92.929466247558594</v>
      </c>
      <c r="CQ640" s="139" t="s">
        <v>1818</v>
      </c>
      <c r="CR640" s="449" t="s">
        <v>40</v>
      </c>
      <c r="CS640" s="139" t="s">
        <v>2738</v>
      </c>
      <c r="CT640" s="24"/>
      <c r="CU640" s="24"/>
      <c r="CV640" s="24"/>
    </row>
    <row r="641" spans="1:100" x14ac:dyDescent="0.25">
      <c r="A641" s="293" t="s">
        <v>2691</v>
      </c>
      <c r="B641" s="101" t="s">
        <v>479</v>
      </c>
      <c r="C641" s="101" t="s">
        <v>454</v>
      </c>
      <c r="D641" s="101" t="s">
        <v>463</v>
      </c>
      <c r="E641" s="101" t="s">
        <v>713</v>
      </c>
      <c r="F641" s="101">
        <v>326</v>
      </c>
      <c r="G641" s="396">
        <v>1786</v>
      </c>
      <c r="H641" s="101"/>
      <c r="I641" s="101" t="s">
        <v>495</v>
      </c>
      <c r="J641" s="102">
        <v>43615</v>
      </c>
      <c r="K641" s="101">
        <v>0</v>
      </c>
      <c r="L641" s="101" t="s">
        <v>2454</v>
      </c>
      <c r="M641" s="103">
        <v>0</v>
      </c>
      <c r="N641" s="103">
        <v>0</v>
      </c>
      <c r="O641" s="319">
        <v>0</v>
      </c>
      <c r="P641" s="320">
        <v>0</v>
      </c>
      <c r="Q641" s="321">
        <v>0</v>
      </c>
      <c r="R641" s="322">
        <v>0</v>
      </c>
      <c r="S641" s="322">
        <v>0</v>
      </c>
      <c r="T641" s="322"/>
      <c r="U641" s="322"/>
      <c r="V641" s="315"/>
      <c r="W641" s="317"/>
      <c r="X641" s="317"/>
      <c r="Y641" s="315"/>
      <c r="Z641" s="318"/>
      <c r="AA641" s="337">
        <v>0</v>
      </c>
      <c r="AB641" s="337">
        <v>0</v>
      </c>
      <c r="AC641" s="337"/>
      <c r="AD641" s="337"/>
      <c r="AE641" s="340">
        <v>0</v>
      </c>
      <c r="AF641" s="66" t="s">
        <v>1358</v>
      </c>
      <c r="AG641" s="66" t="s">
        <v>1358</v>
      </c>
      <c r="AH641" s="66"/>
      <c r="AI641" s="66"/>
      <c r="AJ641" s="341"/>
      <c r="AK641" s="845">
        <v>0</v>
      </c>
      <c r="AL641" s="846"/>
      <c r="AM641" s="844">
        <v>0</v>
      </c>
      <c r="AN641" s="837">
        <v>0</v>
      </c>
      <c r="AO641" s="837">
        <v>0</v>
      </c>
      <c r="AP641" s="843"/>
      <c r="AQ641" s="843"/>
      <c r="AR641" s="843"/>
      <c r="AS641" s="843"/>
      <c r="AT641" s="843"/>
      <c r="AU641" s="843"/>
      <c r="AV641" s="847"/>
      <c r="AW641" s="134" t="s">
        <v>3208</v>
      </c>
      <c r="AX641" s="136" t="s">
        <v>3208</v>
      </c>
      <c r="AY641" s="137" t="s">
        <v>2576</v>
      </c>
      <c r="AZ641" s="136">
        <v>0</v>
      </c>
      <c r="BA641" s="136">
        <v>0</v>
      </c>
      <c r="BB641" s="136">
        <v>0</v>
      </c>
      <c r="BC641" s="214">
        <v>0</v>
      </c>
      <c r="BD641" s="136">
        <v>0</v>
      </c>
      <c r="BE641" s="214">
        <v>0</v>
      </c>
      <c r="BF641" s="136">
        <v>0</v>
      </c>
      <c r="BG641" s="214">
        <v>0</v>
      </c>
      <c r="BH641" s="214">
        <v>0</v>
      </c>
      <c r="BI641" s="134">
        <v>1</v>
      </c>
      <c r="BJ641" s="214">
        <v>1786</v>
      </c>
      <c r="BK641" s="137">
        <v>4</v>
      </c>
      <c r="BL641" s="137">
        <v>4</v>
      </c>
      <c r="BM641" s="137">
        <v>0</v>
      </c>
      <c r="BN641" s="134">
        <v>0</v>
      </c>
      <c r="BO641" s="351">
        <v>0</v>
      </c>
      <c r="BP641" s="134">
        <v>1</v>
      </c>
      <c r="BQ641" s="214">
        <v>298</v>
      </c>
      <c r="BR641" s="137">
        <v>298</v>
      </c>
      <c r="BS641" s="138">
        <v>0</v>
      </c>
      <c r="BT641" s="351" t="s">
        <v>103</v>
      </c>
      <c r="BU641" s="209">
        <v>0</v>
      </c>
      <c r="BV641" s="209">
        <v>0</v>
      </c>
      <c r="BW641" s="209">
        <v>0</v>
      </c>
      <c r="BX641" s="209">
        <v>0</v>
      </c>
      <c r="BY641" s="209">
        <v>0</v>
      </c>
      <c r="BZ641" s="134">
        <v>0</v>
      </c>
      <c r="CA641" s="138">
        <v>1</v>
      </c>
      <c r="CB641" s="136">
        <v>0</v>
      </c>
      <c r="CC641" s="136">
        <v>0</v>
      </c>
      <c r="CD641" s="136">
        <v>0</v>
      </c>
      <c r="CE641" s="137">
        <v>0</v>
      </c>
      <c r="CF641" s="137">
        <v>0</v>
      </c>
      <c r="CG641" s="351">
        <v>0</v>
      </c>
      <c r="CH641" s="214">
        <v>0</v>
      </c>
      <c r="CI641" s="139">
        <v>0</v>
      </c>
      <c r="CJ641" s="139">
        <v>0</v>
      </c>
      <c r="CK641" s="139" t="s">
        <v>969</v>
      </c>
      <c r="CL641" s="139" t="s">
        <v>969</v>
      </c>
      <c r="CM641" s="139" t="s">
        <v>1054</v>
      </c>
      <c r="CN641" s="139" t="s">
        <v>966</v>
      </c>
      <c r="CO641" s="139">
        <v>20.696819999999999</v>
      </c>
      <c r="CP641" s="139">
        <v>93.009900000000002</v>
      </c>
      <c r="CQ641" s="139" t="s">
        <v>1763</v>
      </c>
      <c r="CR641" s="449" t="s">
        <v>40</v>
      </c>
      <c r="CS641" s="139" t="s">
        <v>2738</v>
      </c>
      <c r="CT641" s="24"/>
      <c r="CU641" s="24"/>
      <c r="CV641" s="24"/>
    </row>
    <row r="642" spans="1:100" x14ac:dyDescent="0.25">
      <c r="A642" s="293" t="s">
        <v>2691</v>
      </c>
      <c r="B642" s="101" t="s">
        <v>460</v>
      </c>
      <c r="C642" s="101" t="s">
        <v>454</v>
      </c>
      <c r="D642" s="101" t="s">
        <v>463</v>
      </c>
      <c r="E642" s="101" t="s">
        <v>811</v>
      </c>
      <c r="F642" s="101">
        <v>97</v>
      </c>
      <c r="G642" s="396">
        <v>557</v>
      </c>
      <c r="H642" s="101"/>
      <c r="I642" s="101"/>
      <c r="J642" s="102"/>
      <c r="K642" s="101"/>
      <c r="L642" s="206" t="s">
        <v>282</v>
      </c>
      <c r="M642" s="208">
        <v>0</v>
      </c>
      <c r="N642" s="208">
        <v>0</v>
      </c>
      <c r="O642" s="319">
        <v>0</v>
      </c>
      <c r="P642" s="320">
        <v>0</v>
      </c>
      <c r="Q642" s="326"/>
      <c r="R642" s="315"/>
      <c r="S642" s="315">
        <v>0</v>
      </c>
      <c r="T642" s="315"/>
      <c r="U642" s="315"/>
      <c r="V642" s="315"/>
      <c r="W642" s="315"/>
      <c r="X642" s="315"/>
      <c r="Y642" s="315"/>
      <c r="Z642" s="315"/>
      <c r="AA642" s="336">
        <v>235</v>
      </c>
      <c r="AB642" s="336"/>
      <c r="AC642" s="336"/>
      <c r="AD642" s="337"/>
      <c r="AE642" s="336">
        <v>0</v>
      </c>
      <c r="AF642" s="336" t="s">
        <v>286</v>
      </c>
      <c r="AG642" s="339" t="s">
        <v>286</v>
      </c>
      <c r="AH642" s="337"/>
      <c r="AI642" s="337"/>
      <c r="AJ642" s="336"/>
      <c r="AK642" s="848">
        <v>0</v>
      </c>
      <c r="AL642" s="836"/>
      <c r="AM642" s="836">
        <v>0</v>
      </c>
      <c r="AN642" s="837"/>
      <c r="AO642" s="837">
        <v>0</v>
      </c>
      <c r="AP642" s="843"/>
      <c r="AQ642" s="839"/>
      <c r="AR642" s="839"/>
      <c r="AS642" s="839"/>
      <c r="AT642" s="839"/>
      <c r="AU642" s="839"/>
      <c r="AV642" s="849"/>
      <c r="AW642" s="134" t="s">
        <v>3208</v>
      </c>
      <c r="AX642" s="136" t="s">
        <v>3208</v>
      </c>
      <c r="AY642" s="137" t="s">
        <v>2576</v>
      </c>
      <c r="AZ642" s="136">
        <v>0</v>
      </c>
      <c r="BA642" s="136">
        <v>0</v>
      </c>
      <c r="BB642" s="136">
        <v>0</v>
      </c>
      <c r="BC642" s="214">
        <v>0</v>
      </c>
      <c r="BD642" s="136">
        <v>0</v>
      </c>
      <c r="BE642" s="214">
        <v>0</v>
      </c>
      <c r="BF642" s="136">
        <v>0</v>
      </c>
      <c r="BG642" s="214">
        <v>0</v>
      </c>
      <c r="BH642" s="214">
        <v>0</v>
      </c>
      <c r="BI642" s="134">
        <v>1</v>
      </c>
      <c r="BJ642" s="214">
        <v>557</v>
      </c>
      <c r="BK642" s="137">
        <v>1</v>
      </c>
      <c r="BL642" s="137">
        <v>1</v>
      </c>
      <c r="BM642" s="137">
        <v>235</v>
      </c>
      <c r="BN642" s="134">
        <v>1</v>
      </c>
      <c r="BO642" s="351">
        <v>557</v>
      </c>
      <c r="BP642" s="134">
        <v>0</v>
      </c>
      <c r="BQ642" s="214">
        <v>0</v>
      </c>
      <c r="BR642" s="137">
        <v>93</v>
      </c>
      <c r="BS642" s="138">
        <v>0</v>
      </c>
      <c r="BT642" s="351" t="s">
        <v>103</v>
      </c>
      <c r="BU642" s="209">
        <v>0</v>
      </c>
      <c r="BV642" s="209">
        <v>0</v>
      </c>
      <c r="BW642" s="209">
        <v>0</v>
      </c>
      <c r="BX642" s="209">
        <v>0</v>
      </c>
      <c r="BY642" s="209">
        <v>0</v>
      </c>
      <c r="BZ642" s="134">
        <v>0</v>
      </c>
      <c r="CA642" s="138">
        <v>1</v>
      </c>
      <c r="CB642" s="136">
        <v>0</v>
      </c>
      <c r="CC642" s="136">
        <v>0</v>
      </c>
      <c r="CD642" s="136">
        <v>0</v>
      </c>
      <c r="CE642" s="137">
        <v>0</v>
      </c>
      <c r="CF642" s="137">
        <v>0</v>
      </c>
      <c r="CG642" s="351">
        <v>0</v>
      </c>
      <c r="CH642" s="214">
        <v>0</v>
      </c>
      <c r="CI642" s="139">
        <v>0</v>
      </c>
      <c r="CJ642" s="139">
        <v>0</v>
      </c>
      <c r="CK642" s="139" t="s">
        <v>969</v>
      </c>
      <c r="CL642" s="139" t="s">
        <v>969</v>
      </c>
      <c r="CM642" s="139" t="s">
        <v>992</v>
      </c>
      <c r="CN642" s="139" t="s">
        <v>966</v>
      </c>
      <c r="CO642" s="139">
        <v>20.886997999999998</v>
      </c>
      <c r="CP642" s="139">
        <v>93.006497999999993</v>
      </c>
      <c r="CQ642" s="139" t="s">
        <v>1845</v>
      </c>
      <c r="CR642" s="449" t="s">
        <v>3209</v>
      </c>
      <c r="CS642" s="139"/>
      <c r="CT642" s="24"/>
      <c r="CU642" s="24"/>
      <c r="CV642" s="24"/>
    </row>
    <row r="643" spans="1:100" x14ac:dyDescent="0.25">
      <c r="A643" s="293" t="s">
        <v>2691</v>
      </c>
      <c r="B643" s="206" t="s">
        <v>479</v>
      </c>
      <c r="C643" s="183" t="s">
        <v>454</v>
      </c>
      <c r="D643" s="183" t="s">
        <v>463</v>
      </c>
      <c r="E643" s="183" t="s">
        <v>821</v>
      </c>
      <c r="F643" s="206">
        <v>50</v>
      </c>
      <c r="G643" s="209">
        <v>207</v>
      </c>
      <c r="H643" s="206"/>
      <c r="I643" s="206" t="s">
        <v>495</v>
      </c>
      <c r="J643" s="207">
        <v>43615</v>
      </c>
      <c r="K643" s="206">
        <v>0</v>
      </c>
      <c r="L643" s="206" t="s">
        <v>2454</v>
      </c>
      <c r="M643" s="208">
        <v>0</v>
      </c>
      <c r="N643" s="208">
        <v>0</v>
      </c>
      <c r="O643" s="323">
        <v>0</v>
      </c>
      <c r="P643" s="317">
        <v>0</v>
      </c>
      <c r="Q643" s="317">
        <v>0</v>
      </c>
      <c r="R643" s="318">
        <v>0</v>
      </c>
      <c r="S643" s="318">
        <v>0</v>
      </c>
      <c r="T643" s="318"/>
      <c r="U643" s="318"/>
      <c r="V643" s="318"/>
      <c r="W643" s="318"/>
      <c r="X643" s="318"/>
      <c r="Y643" s="318"/>
      <c r="Z643" s="318"/>
      <c r="AA643" s="310">
        <v>0</v>
      </c>
      <c r="AB643" s="310">
        <v>0</v>
      </c>
      <c r="AC643" s="66"/>
      <c r="AD643" s="337"/>
      <c r="AE643" s="310">
        <v>0</v>
      </c>
      <c r="AF643" s="310" t="s">
        <v>332</v>
      </c>
      <c r="AG643" s="310" t="s">
        <v>332</v>
      </c>
      <c r="AH643" s="311"/>
      <c r="AI643" s="310"/>
      <c r="AJ643" s="310"/>
      <c r="AK643" s="841">
        <v>0</v>
      </c>
      <c r="AL643" s="842"/>
      <c r="AM643" s="842">
        <v>0</v>
      </c>
      <c r="AN643" s="837">
        <v>0</v>
      </c>
      <c r="AO643" s="837">
        <v>0</v>
      </c>
      <c r="AP643" s="843"/>
      <c r="AQ643" s="843"/>
      <c r="AR643" s="843"/>
      <c r="AS643" s="843"/>
      <c r="AT643" s="843"/>
      <c r="AU643" s="843"/>
      <c r="AV643" s="844"/>
      <c r="AW643" s="208" t="s">
        <v>3208</v>
      </c>
      <c r="AX643" s="211" t="s">
        <v>3208</v>
      </c>
      <c r="AY643" s="210" t="s">
        <v>2576</v>
      </c>
      <c r="AZ643" s="211">
        <v>0</v>
      </c>
      <c r="BA643" s="211">
        <v>0</v>
      </c>
      <c r="BB643" s="211">
        <v>0</v>
      </c>
      <c r="BC643" s="209">
        <v>0</v>
      </c>
      <c r="BD643" s="211">
        <v>0</v>
      </c>
      <c r="BE643" s="209">
        <v>0</v>
      </c>
      <c r="BF643" s="211">
        <v>0</v>
      </c>
      <c r="BG643" s="209">
        <v>0</v>
      </c>
      <c r="BH643" s="214">
        <v>0</v>
      </c>
      <c r="BI643" s="208">
        <v>1</v>
      </c>
      <c r="BJ643" s="209">
        <v>207</v>
      </c>
      <c r="BK643" s="210">
        <v>1</v>
      </c>
      <c r="BL643" s="210">
        <v>1</v>
      </c>
      <c r="BM643" s="210">
        <v>0</v>
      </c>
      <c r="BN643" s="208">
        <v>0</v>
      </c>
      <c r="BO643" s="352">
        <v>0</v>
      </c>
      <c r="BP643" s="208">
        <v>1</v>
      </c>
      <c r="BQ643" s="209">
        <v>35</v>
      </c>
      <c r="BR643" s="210">
        <v>35</v>
      </c>
      <c r="BS643" s="212">
        <v>0</v>
      </c>
      <c r="BT643" s="352" t="s">
        <v>103</v>
      </c>
      <c r="BU643" s="209">
        <v>0</v>
      </c>
      <c r="BV643" s="209">
        <v>0</v>
      </c>
      <c r="BW643" s="209">
        <v>0</v>
      </c>
      <c r="BX643" s="209">
        <v>0</v>
      </c>
      <c r="BY643" s="209">
        <v>0</v>
      </c>
      <c r="BZ643" s="208">
        <v>0</v>
      </c>
      <c r="CA643" s="212">
        <v>1</v>
      </c>
      <c r="CB643" s="211">
        <v>0</v>
      </c>
      <c r="CC643" s="211">
        <v>0</v>
      </c>
      <c r="CD643" s="211">
        <v>0</v>
      </c>
      <c r="CE643" s="210">
        <v>0</v>
      </c>
      <c r="CF643" s="210">
        <v>0</v>
      </c>
      <c r="CG643" s="210">
        <v>0</v>
      </c>
      <c r="CH643" s="209">
        <v>0</v>
      </c>
      <c r="CI643" s="139">
        <v>0</v>
      </c>
      <c r="CJ643" s="139">
        <v>0</v>
      </c>
      <c r="CK643" s="139" t="s">
        <v>975</v>
      </c>
      <c r="CL643" s="139" t="s">
        <v>969</v>
      </c>
      <c r="CM643" s="139" t="s">
        <v>975</v>
      </c>
      <c r="CN643" s="139" t="s">
        <v>2737</v>
      </c>
      <c r="CO643" s="139">
        <v>20.8950595855713</v>
      </c>
      <c r="CP643" s="139">
        <v>92.907356262207003</v>
      </c>
      <c r="CQ643" s="139">
        <v>196807</v>
      </c>
      <c r="CR643" s="660" t="s">
        <v>40</v>
      </c>
      <c r="CS643" s="139" t="s">
        <v>2738</v>
      </c>
      <c r="CT643" s="24"/>
      <c r="CU643" s="24"/>
      <c r="CV643" s="24"/>
    </row>
    <row r="644" spans="1:100" x14ac:dyDescent="0.25">
      <c r="A644" s="293" t="s">
        <v>2691</v>
      </c>
      <c r="B644" s="183" t="s">
        <v>479</v>
      </c>
      <c r="C644" s="183" t="s">
        <v>454</v>
      </c>
      <c r="D644" s="183" t="s">
        <v>463</v>
      </c>
      <c r="E644" s="183" t="s">
        <v>781</v>
      </c>
      <c r="F644" s="183">
        <v>42</v>
      </c>
      <c r="G644" s="395">
        <v>184</v>
      </c>
      <c r="H644" s="183"/>
      <c r="I644" s="183" t="s">
        <v>495</v>
      </c>
      <c r="J644" s="184">
        <v>43615</v>
      </c>
      <c r="K644" s="183">
        <v>0</v>
      </c>
      <c r="L644" s="183" t="s">
        <v>2454</v>
      </c>
      <c r="M644" s="185">
        <v>0</v>
      </c>
      <c r="N644" s="185">
        <v>0</v>
      </c>
      <c r="O644" s="319">
        <v>0</v>
      </c>
      <c r="P644" s="320">
        <v>0</v>
      </c>
      <c r="Q644" s="324">
        <v>0</v>
      </c>
      <c r="R644" s="325">
        <v>0</v>
      </c>
      <c r="S644" s="325">
        <v>0</v>
      </c>
      <c r="T644" s="325"/>
      <c r="U644" s="315"/>
      <c r="V644" s="315"/>
      <c r="W644" s="315"/>
      <c r="X644" s="315"/>
      <c r="Y644" s="315"/>
      <c r="Z644" s="315"/>
      <c r="AA644" s="336">
        <v>3</v>
      </c>
      <c r="AB644" s="336">
        <v>0</v>
      </c>
      <c r="AC644" s="342"/>
      <c r="AD644" s="337"/>
      <c r="AE644" s="342">
        <v>0</v>
      </c>
      <c r="AF644" s="66" t="s">
        <v>1358</v>
      </c>
      <c r="AG644" s="66" t="s">
        <v>1358</v>
      </c>
      <c r="AH644" s="337"/>
      <c r="AI644" s="337"/>
      <c r="AJ644" s="342"/>
      <c r="AK644" s="851">
        <v>0</v>
      </c>
      <c r="AL644" s="855"/>
      <c r="AM644" s="836">
        <v>0</v>
      </c>
      <c r="AN644" s="837">
        <v>0</v>
      </c>
      <c r="AO644" s="837">
        <v>0</v>
      </c>
      <c r="AP644" s="843"/>
      <c r="AQ644" s="839"/>
      <c r="AR644" s="839"/>
      <c r="AS644" s="839"/>
      <c r="AT644" s="839"/>
      <c r="AU644" s="839"/>
      <c r="AV644" s="852"/>
      <c r="AW644" s="134" t="s">
        <v>3208</v>
      </c>
      <c r="AX644" s="136" t="s">
        <v>3208</v>
      </c>
      <c r="AY644" s="137" t="s">
        <v>2576</v>
      </c>
      <c r="AZ644" s="136">
        <v>0</v>
      </c>
      <c r="BA644" s="136">
        <v>0</v>
      </c>
      <c r="BB644" s="136">
        <v>0</v>
      </c>
      <c r="BC644" s="214">
        <v>0</v>
      </c>
      <c r="BD644" s="136">
        <v>0</v>
      </c>
      <c r="BE644" s="214">
        <v>0</v>
      </c>
      <c r="BF644" s="136">
        <v>0</v>
      </c>
      <c r="BG644" s="214">
        <v>0</v>
      </c>
      <c r="BH644" s="214">
        <v>0</v>
      </c>
      <c r="BI644" s="134">
        <v>1</v>
      </c>
      <c r="BJ644" s="214">
        <v>184</v>
      </c>
      <c r="BK644" s="137">
        <v>1</v>
      </c>
      <c r="BL644" s="137">
        <v>1</v>
      </c>
      <c r="BM644" s="137">
        <v>3</v>
      </c>
      <c r="BN644" s="134">
        <v>9.7826086956521743E-2</v>
      </c>
      <c r="BO644" s="351">
        <v>18</v>
      </c>
      <c r="BP644" s="134">
        <v>0.91304347826086951</v>
      </c>
      <c r="BQ644" s="214">
        <v>28</v>
      </c>
      <c r="BR644" s="137">
        <v>31</v>
      </c>
      <c r="BS644" s="138">
        <v>0</v>
      </c>
      <c r="BT644" s="351" t="s">
        <v>103</v>
      </c>
      <c r="BU644" s="209">
        <v>0</v>
      </c>
      <c r="BV644" s="209">
        <v>0</v>
      </c>
      <c r="BW644" s="209">
        <v>0</v>
      </c>
      <c r="BX644" s="209">
        <v>0</v>
      </c>
      <c r="BY644" s="209">
        <v>0</v>
      </c>
      <c r="BZ644" s="134">
        <v>0</v>
      </c>
      <c r="CA644" s="138">
        <v>1</v>
      </c>
      <c r="CB644" s="136">
        <v>0</v>
      </c>
      <c r="CC644" s="136">
        <v>0</v>
      </c>
      <c r="CD644" s="136">
        <v>0</v>
      </c>
      <c r="CE644" s="137">
        <v>0</v>
      </c>
      <c r="CF644" s="137">
        <v>0</v>
      </c>
      <c r="CG644" s="351">
        <v>0</v>
      </c>
      <c r="CH644" s="214">
        <v>0</v>
      </c>
      <c r="CI644" s="139">
        <v>0</v>
      </c>
      <c r="CJ644" s="139">
        <v>0</v>
      </c>
      <c r="CK644" s="139" t="s">
        <v>975</v>
      </c>
      <c r="CL644" s="139" t="s">
        <v>969</v>
      </c>
      <c r="CM644" s="139" t="s">
        <v>975</v>
      </c>
      <c r="CN644" s="139" t="s">
        <v>2737</v>
      </c>
      <c r="CO644" s="139">
        <v>20.807970046997099</v>
      </c>
      <c r="CP644" s="139">
        <v>92.929046630859403</v>
      </c>
      <c r="CQ644" s="139">
        <v>196882</v>
      </c>
      <c r="CR644" s="449" t="s">
        <v>40</v>
      </c>
      <c r="CS644" s="139" t="s">
        <v>2738</v>
      </c>
      <c r="CT644" s="24"/>
      <c r="CU644" s="24"/>
      <c r="CV644" s="24"/>
    </row>
    <row r="645" spans="1:100" x14ac:dyDescent="0.25">
      <c r="A645" s="293" t="s">
        <v>2691</v>
      </c>
      <c r="B645" s="101" t="s">
        <v>460</v>
      </c>
      <c r="C645" s="101" t="s">
        <v>454</v>
      </c>
      <c r="D645" s="101" t="s">
        <v>463</v>
      </c>
      <c r="E645" s="101" t="s">
        <v>865</v>
      </c>
      <c r="F645" s="132">
        <v>130</v>
      </c>
      <c r="G645" s="214">
        <v>664</v>
      </c>
      <c r="H645" s="132"/>
      <c r="I645" s="101"/>
      <c r="J645" s="133"/>
      <c r="K645" s="101"/>
      <c r="L645" s="206" t="s">
        <v>282</v>
      </c>
      <c r="M645" s="208">
        <v>0</v>
      </c>
      <c r="N645" s="208">
        <v>0</v>
      </c>
      <c r="O645" s="319">
        <v>0</v>
      </c>
      <c r="P645" s="320">
        <v>0</v>
      </c>
      <c r="Q645" s="321"/>
      <c r="R645" s="322"/>
      <c r="S645" s="322">
        <v>1</v>
      </c>
      <c r="T645" s="322"/>
      <c r="U645" s="317"/>
      <c r="V645" s="317"/>
      <c r="W645" s="317"/>
      <c r="X645" s="317"/>
      <c r="Y645" s="317"/>
      <c r="Z645" s="315"/>
      <c r="AA645" s="310">
        <v>0</v>
      </c>
      <c r="AB645" s="311"/>
      <c r="AC645" s="337"/>
      <c r="AD645" s="337"/>
      <c r="AE645" s="340">
        <v>0</v>
      </c>
      <c r="AF645" s="336" t="s">
        <v>286</v>
      </c>
      <c r="AG645" s="66" t="s">
        <v>286</v>
      </c>
      <c r="AH645" s="66"/>
      <c r="AI645" s="66"/>
      <c r="AJ645" s="341"/>
      <c r="AK645" s="845">
        <v>0</v>
      </c>
      <c r="AL645" s="846"/>
      <c r="AM645" s="844">
        <v>0</v>
      </c>
      <c r="AN645" s="837"/>
      <c r="AO645" s="837"/>
      <c r="AP645" s="843"/>
      <c r="AQ645" s="843"/>
      <c r="AR645" s="843"/>
      <c r="AS645" s="843"/>
      <c r="AT645" s="843"/>
      <c r="AU645" s="843"/>
      <c r="AV645" s="849"/>
      <c r="AW645" s="134" t="s">
        <v>3208</v>
      </c>
      <c r="AX645" s="136" t="s">
        <v>3208</v>
      </c>
      <c r="AY645" s="137" t="s">
        <v>2576</v>
      </c>
      <c r="AZ645" s="136">
        <v>0</v>
      </c>
      <c r="BA645" s="136">
        <v>0</v>
      </c>
      <c r="BB645" s="136">
        <v>0</v>
      </c>
      <c r="BC645" s="214">
        <v>0</v>
      </c>
      <c r="BD645" s="136">
        <v>0</v>
      </c>
      <c r="BE645" s="214">
        <v>0</v>
      </c>
      <c r="BF645" s="136">
        <v>0</v>
      </c>
      <c r="BG645" s="214">
        <v>0</v>
      </c>
      <c r="BH645" s="214">
        <v>0</v>
      </c>
      <c r="BI645" s="134">
        <v>1</v>
      </c>
      <c r="BJ645" s="214">
        <v>664</v>
      </c>
      <c r="BK645" s="137">
        <v>1</v>
      </c>
      <c r="BL645" s="137">
        <v>1</v>
      </c>
      <c r="BM645" s="137">
        <v>0</v>
      </c>
      <c r="BN645" s="134">
        <v>0</v>
      </c>
      <c r="BO645" s="351">
        <v>0</v>
      </c>
      <c r="BP645" s="134">
        <v>1</v>
      </c>
      <c r="BQ645" s="214">
        <v>111</v>
      </c>
      <c r="BR645" s="137">
        <v>111</v>
      </c>
      <c r="BS645" s="138">
        <v>0</v>
      </c>
      <c r="BT645" s="351" t="s">
        <v>103</v>
      </c>
      <c r="BU645" s="209">
        <v>0</v>
      </c>
      <c r="BV645" s="209">
        <v>0</v>
      </c>
      <c r="BW645" s="209">
        <v>0</v>
      </c>
      <c r="BX645" s="209">
        <v>0</v>
      </c>
      <c r="BY645" s="209">
        <v>0</v>
      </c>
      <c r="BZ645" s="134">
        <v>0</v>
      </c>
      <c r="CA645" s="138">
        <v>1</v>
      </c>
      <c r="CB645" s="136">
        <v>0</v>
      </c>
      <c r="CC645" s="136">
        <v>0</v>
      </c>
      <c r="CD645" s="136">
        <v>0</v>
      </c>
      <c r="CE645" s="137">
        <v>0</v>
      </c>
      <c r="CF645" s="137">
        <v>0</v>
      </c>
      <c r="CG645" s="351">
        <v>0</v>
      </c>
      <c r="CH645" s="214">
        <v>0</v>
      </c>
      <c r="CI645" s="139">
        <v>0</v>
      </c>
      <c r="CJ645" s="139">
        <v>0</v>
      </c>
      <c r="CK645" s="139" t="s">
        <v>969</v>
      </c>
      <c r="CL645" s="139" t="s">
        <v>969</v>
      </c>
      <c r="CM645" s="139" t="s">
        <v>969</v>
      </c>
      <c r="CN645" s="139" t="s">
        <v>454</v>
      </c>
      <c r="CO645" s="139">
        <v>20.6080207824707</v>
      </c>
      <c r="CP645" s="139">
        <v>93.035400390625</v>
      </c>
      <c r="CQ645" s="139" t="s">
        <v>2089</v>
      </c>
      <c r="CR645" s="449" t="s">
        <v>3209</v>
      </c>
      <c r="CS645" s="139"/>
      <c r="CT645" s="24"/>
      <c r="CU645" s="24"/>
      <c r="CV645" s="24"/>
    </row>
    <row r="646" spans="1:100" x14ac:dyDescent="0.25">
      <c r="A646" s="293" t="s">
        <v>2691</v>
      </c>
      <c r="B646" s="206" t="s">
        <v>460</v>
      </c>
      <c r="C646" s="183" t="s">
        <v>454</v>
      </c>
      <c r="D646" s="183" t="s">
        <v>463</v>
      </c>
      <c r="E646" s="183" t="s">
        <v>863</v>
      </c>
      <c r="F646" s="206">
        <v>289</v>
      </c>
      <c r="G646" s="209">
        <v>1419</v>
      </c>
      <c r="H646" s="206"/>
      <c r="I646" s="206"/>
      <c r="J646" s="207"/>
      <c r="K646" s="206"/>
      <c r="L646" s="206" t="s">
        <v>282</v>
      </c>
      <c r="M646" s="208">
        <v>0</v>
      </c>
      <c r="N646" s="208">
        <v>0</v>
      </c>
      <c r="O646" s="316">
        <v>0</v>
      </c>
      <c r="P646" s="317">
        <v>0</v>
      </c>
      <c r="Q646" s="317"/>
      <c r="R646" s="318"/>
      <c r="S646" s="318">
        <v>2</v>
      </c>
      <c r="T646" s="318"/>
      <c r="U646" s="318"/>
      <c r="V646" s="318"/>
      <c r="W646" s="318"/>
      <c r="X646" s="318"/>
      <c r="Y646" s="318"/>
      <c r="Z646" s="318"/>
      <c r="AA646" s="310">
        <v>0</v>
      </c>
      <c r="AB646" s="310"/>
      <c r="AC646" s="66"/>
      <c r="AD646" s="337"/>
      <c r="AE646" s="310">
        <v>0</v>
      </c>
      <c r="AF646" s="310" t="s">
        <v>286</v>
      </c>
      <c r="AG646" s="311" t="s">
        <v>286</v>
      </c>
      <c r="AH646" s="311"/>
      <c r="AI646" s="310"/>
      <c r="AJ646" s="310"/>
      <c r="AK646" s="841">
        <v>0</v>
      </c>
      <c r="AL646" s="842"/>
      <c r="AM646" s="842">
        <v>0</v>
      </c>
      <c r="AN646" s="837"/>
      <c r="AO646" s="837"/>
      <c r="AP646" s="843"/>
      <c r="AQ646" s="843"/>
      <c r="AR646" s="843"/>
      <c r="AS646" s="843"/>
      <c r="AT646" s="843"/>
      <c r="AU646" s="843"/>
      <c r="AV646" s="844"/>
      <c r="AW646" s="208" t="s">
        <v>3208</v>
      </c>
      <c r="AX646" s="211" t="s">
        <v>3208</v>
      </c>
      <c r="AY646" s="210" t="s">
        <v>2576</v>
      </c>
      <c r="AZ646" s="211">
        <v>0</v>
      </c>
      <c r="BA646" s="211">
        <v>0</v>
      </c>
      <c r="BB646" s="211">
        <v>0</v>
      </c>
      <c r="BC646" s="209">
        <v>0</v>
      </c>
      <c r="BD646" s="211">
        <v>0</v>
      </c>
      <c r="BE646" s="209">
        <v>0</v>
      </c>
      <c r="BF646" s="211">
        <v>0</v>
      </c>
      <c r="BG646" s="209">
        <v>0</v>
      </c>
      <c r="BH646" s="214">
        <v>0</v>
      </c>
      <c r="BI646" s="208">
        <v>1</v>
      </c>
      <c r="BJ646" s="209">
        <v>1419</v>
      </c>
      <c r="BK646" s="210">
        <v>3</v>
      </c>
      <c r="BL646" s="210">
        <v>3</v>
      </c>
      <c r="BM646" s="210">
        <v>0</v>
      </c>
      <c r="BN646" s="208">
        <v>0</v>
      </c>
      <c r="BO646" s="352">
        <v>0</v>
      </c>
      <c r="BP646" s="208">
        <v>1</v>
      </c>
      <c r="BQ646" s="209">
        <v>237</v>
      </c>
      <c r="BR646" s="210">
        <v>237</v>
      </c>
      <c r="BS646" s="212">
        <v>0</v>
      </c>
      <c r="BT646" s="352" t="s">
        <v>103</v>
      </c>
      <c r="BU646" s="209">
        <v>0</v>
      </c>
      <c r="BV646" s="209">
        <v>0</v>
      </c>
      <c r="BW646" s="209">
        <v>0</v>
      </c>
      <c r="BX646" s="209">
        <v>0</v>
      </c>
      <c r="BY646" s="209">
        <v>0</v>
      </c>
      <c r="BZ646" s="208">
        <v>0</v>
      </c>
      <c r="CA646" s="212">
        <v>1</v>
      </c>
      <c r="CB646" s="211">
        <v>0</v>
      </c>
      <c r="CC646" s="211">
        <v>0</v>
      </c>
      <c r="CD646" s="211">
        <v>0</v>
      </c>
      <c r="CE646" s="210">
        <v>0</v>
      </c>
      <c r="CF646" s="210">
        <v>0</v>
      </c>
      <c r="CG646" s="210">
        <v>0</v>
      </c>
      <c r="CH646" s="209">
        <v>0</v>
      </c>
      <c r="CI646" s="139">
        <v>0</v>
      </c>
      <c r="CJ646" s="139">
        <v>0</v>
      </c>
      <c r="CK646" s="139" t="s">
        <v>969</v>
      </c>
      <c r="CL646" s="139" t="s">
        <v>969</v>
      </c>
      <c r="CM646" s="139" t="s">
        <v>969</v>
      </c>
      <c r="CN646" s="139" t="s">
        <v>454</v>
      </c>
      <c r="CO646" s="139">
        <v>20.716699600219702</v>
      </c>
      <c r="CP646" s="139">
        <v>92.997863769531307</v>
      </c>
      <c r="CQ646" s="139" t="s">
        <v>2087</v>
      </c>
      <c r="CR646" s="660" t="s">
        <v>3209</v>
      </c>
      <c r="CS646" s="660"/>
      <c r="CT646" s="24"/>
      <c r="CU646" s="24"/>
      <c r="CV646" s="24"/>
    </row>
    <row r="647" spans="1:100" x14ac:dyDescent="0.25">
      <c r="A647" s="293" t="s">
        <v>2691</v>
      </c>
      <c r="B647" s="101" t="s">
        <v>460</v>
      </c>
      <c r="C647" s="101" t="s">
        <v>454</v>
      </c>
      <c r="D647" s="101" t="s">
        <v>463</v>
      </c>
      <c r="E647" s="101" t="s">
        <v>776</v>
      </c>
      <c r="F647" s="101">
        <v>18</v>
      </c>
      <c r="G647" s="396">
        <v>157</v>
      </c>
      <c r="H647" s="101"/>
      <c r="I647" s="101"/>
      <c r="J647" s="102"/>
      <c r="K647" s="101"/>
      <c r="L647" s="206" t="s">
        <v>282</v>
      </c>
      <c r="M647" s="208">
        <v>0</v>
      </c>
      <c r="N647" s="208">
        <v>0</v>
      </c>
      <c r="O647" s="320">
        <v>0</v>
      </c>
      <c r="P647" s="320">
        <v>0</v>
      </c>
      <c r="Q647" s="326"/>
      <c r="R647" s="315"/>
      <c r="S647" s="315">
        <v>0</v>
      </c>
      <c r="T647" s="315"/>
      <c r="U647" s="322"/>
      <c r="V647" s="322"/>
      <c r="W647" s="322"/>
      <c r="X647" s="322"/>
      <c r="Y647" s="315"/>
      <c r="Z647" s="315"/>
      <c r="AA647" s="310">
        <v>96</v>
      </c>
      <c r="AB647" s="336"/>
      <c r="AC647" s="337"/>
      <c r="AD647" s="337"/>
      <c r="AE647" s="336">
        <v>0</v>
      </c>
      <c r="AF647" s="336" t="s">
        <v>286</v>
      </c>
      <c r="AG647" s="339" t="s">
        <v>286</v>
      </c>
      <c r="AH647" s="337"/>
      <c r="AI647" s="337"/>
      <c r="AJ647" s="336"/>
      <c r="AK647" s="848">
        <v>0</v>
      </c>
      <c r="AL647" s="836"/>
      <c r="AM647" s="836">
        <v>0</v>
      </c>
      <c r="AN647" s="837"/>
      <c r="AO647" s="837">
        <v>0</v>
      </c>
      <c r="AP647" s="843"/>
      <c r="AQ647" s="839"/>
      <c r="AR647" s="839"/>
      <c r="AS647" s="839"/>
      <c r="AT647" s="839"/>
      <c r="AU647" s="839"/>
      <c r="AV647" s="849"/>
      <c r="AW647" s="134" t="s">
        <v>3208</v>
      </c>
      <c r="AX647" s="136" t="s">
        <v>3208</v>
      </c>
      <c r="AY647" s="137" t="s">
        <v>2576</v>
      </c>
      <c r="AZ647" s="136">
        <v>0</v>
      </c>
      <c r="BA647" s="136">
        <v>0</v>
      </c>
      <c r="BB647" s="136">
        <v>0</v>
      </c>
      <c r="BC647" s="214">
        <v>0</v>
      </c>
      <c r="BD647" s="136">
        <v>0</v>
      </c>
      <c r="BE647" s="214">
        <v>0</v>
      </c>
      <c r="BF647" s="136">
        <v>0</v>
      </c>
      <c r="BG647" s="214">
        <v>0</v>
      </c>
      <c r="BH647" s="214">
        <v>0</v>
      </c>
      <c r="BI647" s="134">
        <v>1</v>
      </c>
      <c r="BJ647" s="214">
        <v>157</v>
      </c>
      <c r="BK647" s="137">
        <v>1</v>
      </c>
      <c r="BL647" s="137">
        <v>1</v>
      </c>
      <c r="BM647" s="137">
        <v>96</v>
      </c>
      <c r="BN647" s="134">
        <v>1</v>
      </c>
      <c r="BO647" s="351">
        <v>157</v>
      </c>
      <c r="BP647" s="134">
        <v>0</v>
      </c>
      <c r="BQ647" s="214">
        <v>0</v>
      </c>
      <c r="BR647" s="137">
        <v>26</v>
      </c>
      <c r="BS647" s="138">
        <v>0</v>
      </c>
      <c r="BT647" s="351" t="s">
        <v>103</v>
      </c>
      <c r="BU647" s="209">
        <v>0</v>
      </c>
      <c r="BV647" s="209">
        <v>0</v>
      </c>
      <c r="BW647" s="209">
        <v>0</v>
      </c>
      <c r="BX647" s="209">
        <v>0</v>
      </c>
      <c r="BY647" s="209">
        <v>0</v>
      </c>
      <c r="BZ647" s="134">
        <v>0</v>
      </c>
      <c r="CA647" s="138">
        <v>1</v>
      </c>
      <c r="CB647" s="136">
        <v>0</v>
      </c>
      <c r="CC647" s="136">
        <v>0</v>
      </c>
      <c r="CD647" s="136">
        <v>0</v>
      </c>
      <c r="CE647" s="137">
        <v>0</v>
      </c>
      <c r="CF647" s="137">
        <v>0</v>
      </c>
      <c r="CG647" s="351">
        <v>0</v>
      </c>
      <c r="CH647" s="214">
        <v>0</v>
      </c>
      <c r="CI647" s="139">
        <v>0</v>
      </c>
      <c r="CJ647" s="139">
        <v>0</v>
      </c>
      <c r="CK647" s="139" t="s">
        <v>969</v>
      </c>
      <c r="CL647" s="139" t="s">
        <v>969</v>
      </c>
      <c r="CM647" s="139" t="s">
        <v>1054</v>
      </c>
      <c r="CN647" s="139" t="s">
        <v>966</v>
      </c>
      <c r="CO647" s="139">
        <v>20.805734000000001</v>
      </c>
      <c r="CP647" s="139">
        <v>92.982675999999998</v>
      </c>
      <c r="CQ647" s="139" t="s">
        <v>1820</v>
      </c>
      <c r="CR647" s="449" t="s">
        <v>3209</v>
      </c>
      <c r="CS647" s="139"/>
      <c r="CT647" s="24"/>
      <c r="CU647" s="24"/>
      <c r="CV647" s="24"/>
    </row>
    <row r="648" spans="1:100" x14ac:dyDescent="0.25">
      <c r="A648" s="293" t="s">
        <v>2691</v>
      </c>
      <c r="B648" s="101" t="s">
        <v>479</v>
      </c>
      <c r="C648" s="101" t="s">
        <v>454</v>
      </c>
      <c r="D648" s="101" t="s">
        <v>463</v>
      </c>
      <c r="E648" s="101" t="s">
        <v>762</v>
      </c>
      <c r="F648" s="181">
        <v>122</v>
      </c>
      <c r="G648" s="397">
        <v>486</v>
      </c>
      <c r="H648" s="181"/>
      <c r="I648" s="181" t="s">
        <v>495</v>
      </c>
      <c r="J648" s="182">
        <v>43615</v>
      </c>
      <c r="K648" s="181">
        <v>0</v>
      </c>
      <c r="L648" s="181" t="s">
        <v>2454</v>
      </c>
      <c r="M648" s="177">
        <v>0</v>
      </c>
      <c r="N648" s="177">
        <v>0</v>
      </c>
      <c r="O648" s="319">
        <v>0</v>
      </c>
      <c r="P648" s="320">
        <v>0</v>
      </c>
      <c r="Q648" s="332">
        <v>0</v>
      </c>
      <c r="R648" s="333">
        <v>0</v>
      </c>
      <c r="S648" s="333">
        <v>0</v>
      </c>
      <c r="T648" s="333"/>
      <c r="U648" s="315"/>
      <c r="V648" s="315"/>
      <c r="W648" s="315"/>
      <c r="X648" s="315"/>
      <c r="Y648" s="315"/>
      <c r="Z648" s="315"/>
      <c r="AA648" s="336">
        <v>0</v>
      </c>
      <c r="AB648" s="336">
        <v>0</v>
      </c>
      <c r="AC648" s="337"/>
      <c r="AD648" s="337"/>
      <c r="AE648" s="348">
        <v>0</v>
      </c>
      <c r="AF648" s="66" t="s">
        <v>1358</v>
      </c>
      <c r="AG648" s="66" t="s">
        <v>1358</v>
      </c>
      <c r="AH648" s="339"/>
      <c r="AI648" s="336"/>
      <c r="AJ648" s="348"/>
      <c r="AK648" s="859">
        <v>0</v>
      </c>
      <c r="AL648" s="860"/>
      <c r="AM648" s="836">
        <v>0</v>
      </c>
      <c r="AN648" s="837">
        <v>0</v>
      </c>
      <c r="AO648" s="837">
        <v>0</v>
      </c>
      <c r="AP648" s="843"/>
      <c r="AQ648" s="843"/>
      <c r="AR648" s="839"/>
      <c r="AS648" s="839"/>
      <c r="AT648" s="839"/>
      <c r="AU648" s="839"/>
      <c r="AV648" s="861"/>
      <c r="AW648" s="134" t="s">
        <v>3208</v>
      </c>
      <c r="AX648" s="136" t="s">
        <v>3208</v>
      </c>
      <c r="AY648" s="137" t="s">
        <v>2576</v>
      </c>
      <c r="AZ648" s="136">
        <v>0</v>
      </c>
      <c r="BA648" s="136">
        <v>0</v>
      </c>
      <c r="BB648" s="136">
        <v>0</v>
      </c>
      <c r="BC648" s="214">
        <v>0</v>
      </c>
      <c r="BD648" s="136">
        <v>0</v>
      </c>
      <c r="BE648" s="214">
        <v>0</v>
      </c>
      <c r="BF648" s="136">
        <v>0</v>
      </c>
      <c r="BG648" s="214">
        <v>0</v>
      </c>
      <c r="BH648" s="214">
        <v>0</v>
      </c>
      <c r="BI648" s="134">
        <v>1</v>
      </c>
      <c r="BJ648" s="214">
        <v>486</v>
      </c>
      <c r="BK648" s="137">
        <v>1</v>
      </c>
      <c r="BL648" s="137">
        <v>1</v>
      </c>
      <c r="BM648" s="137">
        <v>0</v>
      </c>
      <c r="BN648" s="134">
        <v>0</v>
      </c>
      <c r="BO648" s="351">
        <v>0</v>
      </c>
      <c r="BP648" s="134">
        <v>1</v>
      </c>
      <c r="BQ648" s="214">
        <v>81</v>
      </c>
      <c r="BR648" s="137">
        <v>81</v>
      </c>
      <c r="BS648" s="138">
        <v>0</v>
      </c>
      <c r="BT648" s="351" t="s">
        <v>103</v>
      </c>
      <c r="BU648" s="209">
        <v>0</v>
      </c>
      <c r="BV648" s="209">
        <v>0</v>
      </c>
      <c r="BW648" s="209">
        <v>0</v>
      </c>
      <c r="BX648" s="209">
        <v>0</v>
      </c>
      <c r="BY648" s="209">
        <v>0</v>
      </c>
      <c r="BZ648" s="134">
        <v>0</v>
      </c>
      <c r="CA648" s="138">
        <v>1</v>
      </c>
      <c r="CB648" s="136">
        <v>0</v>
      </c>
      <c r="CC648" s="136">
        <v>0</v>
      </c>
      <c r="CD648" s="136">
        <v>0</v>
      </c>
      <c r="CE648" s="137">
        <v>0</v>
      </c>
      <c r="CF648" s="137">
        <v>0</v>
      </c>
      <c r="CG648" s="351">
        <v>0</v>
      </c>
      <c r="CH648" s="214">
        <v>0</v>
      </c>
      <c r="CI648" s="139">
        <v>0</v>
      </c>
      <c r="CJ648" s="139">
        <v>0</v>
      </c>
      <c r="CK648" s="139" t="s">
        <v>975</v>
      </c>
      <c r="CL648" s="139" t="s">
        <v>969</v>
      </c>
      <c r="CM648" s="139" t="s">
        <v>975</v>
      </c>
      <c r="CN648" s="139" t="s">
        <v>2737</v>
      </c>
      <c r="CO648" s="139">
        <v>20.785770416259801</v>
      </c>
      <c r="CP648" s="139">
        <v>92.931427001953097</v>
      </c>
      <c r="CQ648" s="139">
        <v>196887</v>
      </c>
      <c r="CR648" s="449" t="s">
        <v>40</v>
      </c>
      <c r="CS648" s="139" t="s">
        <v>2738</v>
      </c>
      <c r="CT648" s="24"/>
      <c r="CU648" s="24"/>
      <c r="CV648" s="24"/>
    </row>
    <row r="649" spans="1:100" x14ac:dyDescent="0.25">
      <c r="A649" s="293" t="s">
        <v>2691</v>
      </c>
      <c r="B649" s="206" t="s">
        <v>479</v>
      </c>
      <c r="C649" s="183" t="s">
        <v>454</v>
      </c>
      <c r="D649" s="183" t="s">
        <v>463</v>
      </c>
      <c r="E649" s="183" t="s">
        <v>721</v>
      </c>
      <c r="F649" s="206">
        <v>293</v>
      </c>
      <c r="G649" s="209">
        <v>1503</v>
      </c>
      <c r="H649" s="206"/>
      <c r="I649" s="206" t="s">
        <v>495</v>
      </c>
      <c r="J649" s="207">
        <v>43615</v>
      </c>
      <c r="K649" s="206">
        <v>0</v>
      </c>
      <c r="L649" s="206" t="s">
        <v>2454</v>
      </c>
      <c r="M649" s="208">
        <v>0</v>
      </c>
      <c r="N649" s="208">
        <v>0</v>
      </c>
      <c r="O649" s="323">
        <v>0</v>
      </c>
      <c r="P649" s="317">
        <v>0</v>
      </c>
      <c r="Q649" s="317">
        <v>0</v>
      </c>
      <c r="R649" s="318">
        <v>0</v>
      </c>
      <c r="S649" s="318">
        <v>0</v>
      </c>
      <c r="T649" s="318"/>
      <c r="U649" s="318"/>
      <c r="V649" s="318"/>
      <c r="W649" s="318"/>
      <c r="X649" s="318"/>
      <c r="Y649" s="318"/>
      <c r="Z649" s="318"/>
      <c r="AA649" s="310">
        <v>9</v>
      </c>
      <c r="AB649" s="310">
        <v>0</v>
      </c>
      <c r="AC649" s="66"/>
      <c r="AD649" s="337"/>
      <c r="AE649" s="310">
        <v>0</v>
      </c>
      <c r="AF649" s="66" t="s">
        <v>1358</v>
      </c>
      <c r="AG649" s="66" t="s">
        <v>1358</v>
      </c>
      <c r="AH649" s="311"/>
      <c r="AI649" s="310"/>
      <c r="AJ649" s="310"/>
      <c r="AK649" s="841">
        <v>0</v>
      </c>
      <c r="AL649" s="842"/>
      <c r="AM649" s="842">
        <v>0</v>
      </c>
      <c r="AN649" s="837">
        <v>0</v>
      </c>
      <c r="AO649" s="837">
        <v>0</v>
      </c>
      <c r="AP649" s="843"/>
      <c r="AQ649" s="843"/>
      <c r="AR649" s="843"/>
      <c r="AS649" s="843"/>
      <c r="AT649" s="843"/>
      <c r="AU649" s="843"/>
      <c r="AV649" s="844"/>
      <c r="AW649" s="208" t="s">
        <v>3208</v>
      </c>
      <c r="AX649" s="211" t="s">
        <v>3208</v>
      </c>
      <c r="AY649" s="210" t="s">
        <v>2576</v>
      </c>
      <c r="AZ649" s="211">
        <v>0</v>
      </c>
      <c r="BA649" s="211">
        <v>0</v>
      </c>
      <c r="BB649" s="211">
        <v>0</v>
      </c>
      <c r="BC649" s="209">
        <v>0</v>
      </c>
      <c r="BD649" s="211">
        <v>0</v>
      </c>
      <c r="BE649" s="209">
        <v>0</v>
      </c>
      <c r="BF649" s="211">
        <v>0</v>
      </c>
      <c r="BG649" s="209">
        <v>0</v>
      </c>
      <c r="BH649" s="214">
        <v>0</v>
      </c>
      <c r="BI649" s="208">
        <v>1</v>
      </c>
      <c r="BJ649" s="209">
        <v>1503</v>
      </c>
      <c r="BK649" s="210">
        <v>3</v>
      </c>
      <c r="BL649" s="210">
        <v>3</v>
      </c>
      <c r="BM649" s="210">
        <v>9</v>
      </c>
      <c r="BN649" s="208">
        <v>3.5928143712574849E-2</v>
      </c>
      <c r="BO649" s="352">
        <v>54</v>
      </c>
      <c r="BP649" s="208">
        <v>0.96606786427145708</v>
      </c>
      <c r="BQ649" s="209">
        <v>242</v>
      </c>
      <c r="BR649" s="210">
        <v>251</v>
      </c>
      <c r="BS649" s="212">
        <v>0</v>
      </c>
      <c r="BT649" s="352" t="s">
        <v>103</v>
      </c>
      <c r="BU649" s="209">
        <v>0</v>
      </c>
      <c r="BV649" s="209">
        <v>0</v>
      </c>
      <c r="BW649" s="209">
        <v>0</v>
      </c>
      <c r="BX649" s="209">
        <v>0</v>
      </c>
      <c r="BY649" s="209">
        <v>0</v>
      </c>
      <c r="BZ649" s="208">
        <v>0</v>
      </c>
      <c r="CA649" s="212">
        <v>1</v>
      </c>
      <c r="CB649" s="211">
        <v>0</v>
      </c>
      <c r="CC649" s="211">
        <v>0</v>
      </c>
      <c r="CD649" s="211">
        <v>0</v>
      </c>
      <c r="CE649" s="210">
        <v>0</v>
      </c>
      <c r="CF649" s="210">
        <v>0</v>
      </c>
      <c r="CG649" s="210">
        <v>0</v>
      </c>
      <c r="CH649" s="209">
        <v>0</v>
      </c>
      <c r="CI649" s="139">
        <v>0</v>
      </c>
      <c r="CJ649" s="139">
        <v>0</v>
      </c>
      <c r="CK649" s="139" t="s">
        <v>975</v>
      </c>
      <c r="CL649" s="139" t="s">
        <v>969</v>
      </c>
      <c r="CM649" s="139" t="s">
        <v>975</v>
      </c>
      <c r="CN649" s="139" t="s">
        <v>454</v>
      </c>
      <c r="CO649" s="139">
        <v>20.711349487304702</v>
      </c>
      <c r="CP649" s="139">
        <v>92.980506896972699</v>
      </c>
      <c r="CQ649" s="139">
        <v>196944</v>
      </c>
      <c r="CR649" s="660" t="s">
        <v>40</v>
      </c>
      <c r="CS649" s="139" t="s">
        <v>2738</v>
      </c>
      <c r="CT649" s="24"/>
      <c r="CU649" s="24"/>
      <c r="CV649" s="24"/>
    </row>
    <row r="650" spans="1:100" x14ac:dyDescent="0.25">
      <c r="A650" s="293" t="s">
        <v>2691</v>
      </c>
      <c r="B650" s="183" t="s">
        <v>479</v>
      </c>
      <c r="C650" s="183" t="s">
        <v>454</v>
      </c>
      <c r="D650" s="183" t="s">
        <v>463</v>
      </c>
      <c r="E650" s="183" t="s">
        <v>859</v>
      </c>
      <c r="F650" s="183">
        <v>185</v>
      </c>
      <c r="G650" s="395">
        <v>915</v>
      </c>
      <c r="H650" s="183"/>
      <c r="I650" s="183" t="s">
        <v>495</v>
      </c>
      <c r="J650" s="184">
        <v>43615</v>
      </c>
      <c r="K650" s="183">
        <v>0</v>
      </c>
      <c r="L650" s="183" t="s">
        <v>2454</v>
      </c>
      <c r="M650" s="185">
        <v>0</v>
      </c>
      <c r="N650" s="185">
        <v>0</v>
      </c>
      <c r="O650" s="319">
        <v>0</v>
      </c>
      <c r="P650" s="320">
        <v>0</v>
      </c>
      <c r="Q650" s="324">
        <v>0</v>
      </c>
      <c r="R650" s="325">
        <v>0</v>
      </c>
      <c r="S650" s="325">
        <v>0</v>
      </c>
      <c r="T650" s="325"/>
      <c r="U650" s="315"/>
      <c r="V650" s="315"/>
      <c r="W650" s="315"/>
      <c r="X650" s="315"/>
      <c r="Y650" s="315"/>
      <c r="Z650" s="315"/>
      <c r="AA650" s="336">
        <v>32</v>
      </c>
      <c r="AB650" s="336">
        <v>0</v>
      </c>
      <c r="AC650" s="342"/>
      <c r="AD650" s="337"/>
      <c r="AE650" s="342">
        <v>0</v>
      </c>
      <c r="AF650" s="310" t="s">
        <v>332</v>
      </c>
      <c r="AG650" s="310" t="s">
        <v>332</v>
      </c>
      <c r="AH650" s="337"/>
      <c r="AI650" s="337"/>
      <c r="AJ650" s="342"/>
      <c r="AK650" s="851">
        <v>0</v>
      </c>
      <c r="AL650" s="855"/>
      <c r="AM650" s="836">
        <v>0</v>
      </c>
      <c r="AN650" s="837">
        <v>0</v>
      </c>
      <c r="AO650" s="837">
        <v>0</v>
      </c>
      <c r="AP650" s="843"/>
      <c r="AQ650" s="839"/>
      <c r="AR650" s="839"/>
      <c r="AS650" s="839"/>
      <c r="AT650" s="839"/>
      <c r="AU650" s="839"/>
      <c r="AV650" s="852"/>
      <c r="AW650" s="134" t="s">
        <v>3208</v>
      </c>
      <c r="AX650" s="136" t="s">
        <v>3208</v>
      </c>
      <c r="AY650" s="137" t="s">
        <v>2576</v>
      </c>
      <c r="AZ650" s="136">
        <v>0</v>
      </c>
      <c r="BA650" s="136">
        <v>0</v>
      </c>
      <c r="BB650" s="136">
        <v>0</v>
      </c>
      <c r="BC650" s="214">
        <v>0</v>
      </c>
      <c r="BD650" s="136">
        <v>0</v>
      </c>
      <c r="BE650" s="214">
        <v>0</v>
      </c>
      <c r="BF650" s="136">
        <v>0</v>
      </c>
      <c r="BG650" s="214">
        <v>0</v>
      </c>
      <c r="BH650" s="214">
        <v>0</v>
      </c>
      <c r="BI650" s="134">
        <v>1</v>
      </c>
      <c r="BJ650" s="214">
        <v>915</v>
      </c>
      <c r="BK650" s="137">
        <v>2</v>
      </c>
      <c r="BL650" s="137">
        <v>2</v>
      </c>
      <c r="BM650" s="137">
        <v>32</v>
      </c>
      <c r="BN650" s="134">
        <v>0.20983606557377049</v>
      </c>
      <c r="BO650" s="351">
        <v>192</v>
      </c>
      <c r="BP650" s="134">
        <v>0.79344262295081969</v>
      </c>
      <c r="BQ650" s="214">
        <v>121</v>
      </c>
      <c r="BR650" s="137">
        <v>153</v>
      </c>
      <c r="BS650" s="138">
        <v>0</v>
      </c>
      <c r="BT650" s="351" t="s">
        <v>103</v>
      </c>
      <c r="BU650" s="209">
        <v>0</v>
      </c>
      <c r="BV650" s="209">
        <v>0</v>
      </c>
      <c r="BW650" s="209">
        <v>0</v>
      </c>
      <c r="BX650" s="209">
        <v>0</v>
      </c>
      <c r="BY650" s="209">
        <v>0</v>
      </c>
      <c r="BZ650" s="134">
        <v>0</v>
      </c>
      <c r="CA650" s="138">
        <v>1</v>
      </c>
      <c r="CB650" s="136">
        <v>0</v>
      </c>
      <c r="CC650" s="136">
        <v>0</v>
      </c>
      <c r="CD650" s="136">
        <v>0</v>
      </c>
      <c r="CE650" s="137">
        <v>0</v>
      </c>
      <c r="CF650" s="137">
        <v>0</v>
      </c>
      <c r="CG650" s="351">
        <v>0</v>
      </c>
      <c r="CH650" s="214">
        <v>0</v>
      </c>
      <c r="CI650" s="139">
        <v>0</v>
      </c>
      <c r="CJ650" s="139">
        <v>0</v>
      </c>
      <c r="CK650" s="139" t="s">
        <v>975</v>
      </c>
      <c r="CL650" s="139" t="s">
        <v>1050</v>
      </c>
      <c r="CM650" s="139" t="s">
        <v>975</v>
      </c>
      <c r="CN650" s="139" t="s">
        <v>454</v>
      </c>
      <c r="CO650" s="139">
        <v>20.786739349365199</v>
      </c>
      <c r="CP650" s="139">
        <v>92.944313049316406</v>
      </c>
      <c r="CQ650" s="139" t="s">
        <v>2083</v>
      </c>
      <c r="CR650" s="449" t="s">
        <v>40</v>
      </c>
      <c r="CS650" s="139" t="s">
        <v>2738</v>
      </c>
      <c r="CT650" s="24"/>
      <c r="CU650" s="24"/>
      <c r="CV650" s="24"/>
    </row>
    <row r="651" spans="1:100" x14ac:dyDescent="0.25">
      <c r="A651" s="293" t="s">
        <v>2691</v>
      </c>
      <c r="B651" s="183" t="s">
        <v>479</v>
      </c>
      <c r="C651" s="183" t="s">
        <v>454</v>
      </c>
      <c r="D651" s="183" t="s">
        <v>463</v>
      </c>
      <c r="E651" s="183" t="s">
        <v>782</v>
      </c>
      <c r="F651" s="183">
        <v>131</v>
      </c>
      <c r="G651" s="395">
        <v>631</v>
      </c>
      <c r="H651" s="183"/>
      <c r="I651" s="183" t="s">
        <v>495</v>
      </c>
      <c r="J651" s="184">
        <v>43615</v>
      </c>
      <c r="K651" s="183">
        <v>0</v>
      </c>
      <c r="L651" s="183" t="s">
        <v>2454</v>
      </c>
      <c r="M651" s="185">
        <v>0</v>
      </c>
      <c r="N651" s="185">
        <v>0</v>
      </c>
      <c r="O651" s="320">
        <v>0</v>
      </c>
      <c r="P651" s="320">
        <v>0</v>
      </c>
      <c r="Q651" s="324">
        <v>0</v>
      </c>
      <c r="R651" s="325">
        <v>0</v>
      </c>
      <c r="S651" s="325">
        <v>0</v>
      </c>
      <c r="T651" s="325"/>
      <c r="U651" s="315"/>
      <c r="V651" s="315"/>
      <c r="W651" s="315"/>
      <c r="X651" s="315"/>
      <c r="Y651" s="315"/>
      <c r="Z651" s="315"/>
      <c r="AA651" s="336">
        <v>13</v>
      </c>
      <c r="AB651" s="342">
        <v>0</v>
      </c>
      <c r="AC651" s="342"/>
      <c r="AD651" s="337"/>
      <c r="AE651" s="342">
        <v>0</v>
      </c>
      <c r="AF651" s="66" t="s">
        <v>1358</v>
      </c>
      <c r="AG651" s="66" t="s">
        <v>1358</v>
      </c>
      <c r="AH651" s="337"/>
      <c r="AI651" s="337"/>
      <c r="AJ651" s="342"/>
      <c r="AK651" s="851">
        <v>0</v>
      </c>
      <c r="AL651" s="855"/>
      <c r="AM651" s="836">
        <v>0</v>
      </c>
      <c r="AN651" s="837">
        <v>0</v>
      </c>
      <c r="AO651" s="837">
        <v>0</v>
      </c>
      <c r="AP651" s="843"/>
      <c r="AQ651" s="839"/>
      <c r="AR651" s="839"/>
      <c r="AS651" s="839"/>
      <c r="AT651" s="839"/>
      <c r="AU651" s="839"/>
      <c r="AV651" s="852"/>
      <c r="AW651" s="134" t="s">
        <v>3208</v>
      </c>
      <c r="AX651" s="136" t="s">
        <v>3208</v>
      </c>
      <c r="AY651" s="137" t="s">
        <v>2576</v>
      </c>
      <c r="AZ651" s="136">
        <v>0</v>
      </c>
      <c r="BA651" s="136">
        <v>0</v>
      </c>
      <c r="BB651" s="136">
        <v>0</v>
      </c>
      <c r="BC651" s="214">
        <v>0</v>
      </c>
      <c r="BD651" s="136">
        <v>0</v>
      </c>
      <c r="BE651" s="214">
        <v>0</v>
      </c>
      <c r="BF651" s="136">
        <v>0</v>
      </c>
      <c r="BG651" s="214">
        <v>0</v>
      </c>
      <c r="BH651" s="214">
        <v>0</v>
      </c>
      <c r="BI651" s="134">
        <v>1</v>
      </c>
      <c r="BJ651" s="214">
        <v>631</v>
      </c>
      <c r="BK651" s="137">
        <v>1</v>
      </c>
      <c r="BL651" s="137">
        <v>1</v>
      </c>
      <c r="BM651" s="137">
        <v>13</v>
      </c>
      <c r="BN651" s="134">
        <v>0.12361331220285261</v>
      </c>
      <c r="BO651" s="351">
        <v>78</v>
      </c>
      <c r="BP651" s="134">
        <v>0.87480190174326466</v>
      </c>
      <c r="BQ651" s="214">
        <v>92</v>
      </c>
      <c r="BR651" s="137">
        <v>105</v>
      </c>
      <c r="BS651" s="138">
        <v>0</v>
      </c>
      <c r="BT651" s="351" t="s">
        <v>103</v>
      </c>
      <c r="BU651" s="209">
        <v>0</v>
      </c>
      <c r="BV651" s="209">
        <v>0</v>
      </c>
      <c r="BW651" s="209">
        <v>0</v>
      </c>
      <c r="BX651" s="209">
        <v>0</v>
      </c>
      <c r="BY651" s="209">
        <v>0</v>
      </c>
      <c r="BZ651" s="134">
        <v>0</v>
      </c>
      <c r="CA651" s="138">
        <v>1</v>
      </c>
      <c r="CB651" s="136">
        <v>0</v>
      </c>
      <c r="CC651" s="136">
        <v>0</v>
      </c>
      <c r="CD651" s="136">
        <v>0</v>
      </c>
      <c r="CE651" s="137">
        <v>0</v>
      </c>
      <c r="CF651" s="137">
        <v>0</v>
      </c>
      <c r="CG651" s="351">
        <v>0</v>
      </c>
      <c r="CH651" s="214">
        <v>0</v>
      </c>
      <c r="CI651" s="139">
        <v>0</v>
      </c>
      <c r="CJ651" s="139">
        <v>0</v>
      </c>
      <c r="CK651" s="139" t="s">
        <v>975</v>
      </c>
      <c r="CL651" s="139" t="s">
        <v>969</v>
      </c>
      <c r="CM651" s="139" t="s">
        <v>975</v>
      </c>
      <c r="CN651" s="139" t="s">
        <v>2737</v>
      </c>
      <c r="CO651" s="139">
        <v>20.809240341186499</v>
      </c>
      <c r="CP651" s="139">
        <v>92.923919677734403</v>
      </c>
      <c r="CQ651" s="139">
        <v>196881</v>
      </c>
      <c r="CR651" s="449" t="s">
        <v>40</v>
      </c>
      <c r="CS651" s="139" t="s">
        <v>2738</v>
      </c>
      <c r="CT651" s="24"/>
      <c r="CU651" s="24"/>
      <c r="CV651" s="24"/>
    </row>
    <row r="652" spans="1:100" x14ac:dyDescent="0.25">
      <c r="A652" s="293" t="s">
        <v>2691</v>
      </c>
      <c r="B652" s="101" t="s">
        <v>453</v>
      </c>
      <c r="C652" s="101" t="s">
        <v>454</v>
      </c>
      <c r="D652" s="101" t="s">
        <v>463</v>
      </c>
      <c r="E652" s="101" t="s">
        <v>2445</v>
      </c>
      <c r="F652" s="101">
        <v>91</v>
      </c>
      <c r="G652" s="396">
        <v>581</v>
      </c>
      <c r="H652" s="101">
        <v>211</v>
      </c>
      <c r="I652" s="206" t="s">
        <v>2770</v>
      </c>
      <c r="J652" s="207">
        <v>43554</v>
      </c>
      <c r="K652" s="101"/>
      <c r="L652" s="101"/>
      <c r="M652" s="103"/>
      <c r="N652" s="103"/>
      <c r="O652" s="319">
        <v>0</v>
      </c>
      <c r="P652" s="320">
        <v>0</v>
      </c>
      <c r="Q652" s="321"/>
      <c r="R652" s="322">
        <v>3</v>
      </c>
      <c r="S652" s="322">
        <v>0</v>
      </c>
      <c r="T652" s="322"/>
      <c r="U652" s="322"/>
      <c r="V652" s="315"/>
      <c r="W652" s="317"/>
      <c r="X652" s="317"/>
      <c r="Y652" s="315"/>
      <c r="Z652" s="318"/>
      <c r="AA652" s="310">
        <v>13</v>
      </c>
      <c r="AB652" s="311"/>
      <c r="AC652" s="337"/>
      <c r="AD652" s="337"/>
      <c r="AE652" s="340">
        <v>0</v>
      </c>
      <c r="AF652" s="66" t="s">
        <v>286</v>
      </c>
      <c r="AG652" s="66" t="s">
        <v>286</v>
      </c>
      <c r="AH652" s="66"/>
      <c r="AI652" s="66"/>
      <c r="AJ652" s="341"/>
      <c r="AK652" s="845">
        <v>0</v>
      </c>
      <c r="AL652" s="846"/>
      <c r="AM652" s="844">
        <v>0</v>
      </c>
      <c r="AN652" s="837"/>
      <c r="AO652" s="837">
        <v>0</v>
      </c>
      <c r="AP652" s="843"/>
      <c r="AQ652" s="843"/>
      <c r="AR652" s="843"/>
      <c r="AS652" s="843"/>
      <c r="AT652" s="843"/>
      <c r="AU652" s="843"/>
      <c r="AV652" s="847"/>
      <c r="AW652" s="134" t="s">
        <v>3208</v>
      </c>
      <c r="AX652" s="136" t="s">
        <v>3208</v>
      </c>
      <c r="AY652" s="137" t="s">
        <v>2576</v>
      </c>
      <c r="AZ652" s="136">
        <v>0</v>
      </c>
      <c r="BA652" s="136">
        <v>0</v>
      </c>
      <c r="BB652" s="136">
        <v>0</v>
      </c>
      <c r="BC652" s="214">
        <v>0</v>
      </c>
      <c r="BD652" s="136">
        <v>1</v>
      </c>
      <c r="BE652" s="214">
        <v>581</v>
      </c>
      <c r="BF652" s="136">
        <v>1</v>
      </c>
      <c r="BG652" s="214">
        <v>581</v>
      </c>
      <c r="BH652" s="214">
        <v>1</v>
      </c>
      <c r="BI652" s="134">
        <v>0</v>
      </c>
      <c r="BJ652" s="214">
        <v>0</v>
      </c>
      <c r="BK652" s="137">
        <v>0</v>
      </c>
      <c r="BL652" s="137">
        <v>1</v>
      </c>
      <c r="BM652" s="137">
        <v>13</v>
      </c>
      <c r="BN652" s="134">
        <v>0.44750430292598969</v>
      </c>
      <c r="BO652" s="351">
        <v>260</v>
      </c>
      <c r="BP652" s="134">
        <v>0.55077452667814109</v>
      </c>
      <c r="BQ652" s="214">
        <v>16</v>
      </c>
      <c r="BR652" s="137">
        <v>29</v>
      </c>
      <c r="BS652" s="138">
        <v>0</v>
      </c>
      <c r="BT652" s="351">
        <v>0</v>
      </c>
      <c r="BU652" s="209">
        <v>0</v>
      </c>
      <c r="BV652" s="209">
        <v>0</v>
      </c>
      <c r="BW652" s="209">
        <v>0</v>
      </c>
      <c r="BX652" s="209">
        <v>0</v>
      </c>
      <c r="BY652" s="209">
        <v>0</v>
      </c>
      <c r="BZ652" s="134">
        <v>0</v>
      </c>
      <c r="CA652" s="138">
        <v>1</v>
      </c>
      <c r="CB652" s="136">
        <v>0</v>
      </c>
      <c r="CC652" s="136">
        <v>0</v>
      </c>
      <c r="CD652" s="136">
        <v>0</v>
      </c>
      <c r="CE652" s="137">
        <v>0</v>
      </c>
      <c r="CF652" s="137">
        <v>0</v>
      </c>
      <c r="CG652" s="351">
        <v>0</v>
      </c>
      <c r="CH652" s="214">
        <v>0</v>
      </c>
      <c r="CI652" s="139" t="s">
        <v>48</v>
      </c>
      <c r="CJ652" s="139">
        <v>0</v>
      </c>
      <c r="CK652" s="139" t="s">
        <v>50</v>
      </c>
      <c r="CL652" s="139" t="s">
        <v>50</v>
      </c>
      <c r="CM652" s="139" t="s">
        <v>968</v>
      </c>
      <c r="CN652" s="139" t="s">
        <v>966</v>
      </c>
      <c r="CO652" s="139">
        <v>20.865687000000001</v>
      </c>
      <c r="CP652" s="139">
        <v>92.965980999999999</v>
      </c>
      <c r="CQ652" s="139" t="s">
        <v>1839</v>
      </c>
      <c r="CR652" s="449" t="s">
        <v>40</v>
      </c>
      <c r="CS652" s="139"/>
      <c r="CT652" s="24"/>
      <c r="CU652" s="24"/>
      <c r="CV652" s="24"/>
    </row>
    <row r="653" spans="1:100" x14ac:dyDescent="0.25">
      <c r="A653" s="293" t="s">
        <v>2691</v>
      </c>
      <c r="B653" s="183" t="s">
        <v>479</v>
      </c>
      <c r="C653" s="183" t="s">
        <v>454</v>
      </c>
      <c r="D653" s="183" t="s">
        <v>463</v>
      </c>
      <c r="E653" s="183" t="s">
        <v>702</v>
      </c>
      <c r="F653" s="183">
        <v>76</v>
      </c>
      <c r="G653" s="395">
        <v>394</v>
      </c>
      <c r="H653" s="183"/>
      <c r="I653" s="183" t="s">
        <v>495</v>
      </c>
      <c r="J653" s="184">
        <v>43615</v>
      </c>
      <c r="K653" s="183">
        <v>0</v>
      </c>
      <c r="L653" s="183" t="s">
        <v>2454</v>
      </c>
      <c r="M653" s="185">
        <v>0</v>
      </c>
      <c r="N653" s="185">
        <v>0</v>
      </c>
      <c r="O653" s="319">
        <v>0</v>
      </c>
      <c r="P653" s="320">
        <v>0</v>
      </c>
      <c r="Q653" s="324">
        <v>0</v>
      </c>
      <c r="R653" s="325">
        <v>0</v>
      </c>
      <c r="S653" s="325">
        <v>0</v>
      </c>
      <c r="T653" s="325"/>
      <c r="U653" s="315"/>
      <c r="V653" s="315"/>
      <c r="W653" s="315"/>
      <c r="X653" s="315"/>
      <c r="Y653" s="315"/>
      <c r="Z653" s="315"/>
      <c r="AA653" s="336">
        <v>14</v>
      </c>
      <c r="AB653" s="336">
        <v>0</v>
      </c>
      <c r="AC653" s="342"/>
      <c r="AD653" s="337"/>
      <c r="AE653" s="342">
        <v>0</v>
      </c>
      <c r="AF653" s="66" t="s">
        <v>1358</v>
      </c>
      <c r="AG653" s="66" t="s">
        <v>1358</v>
      </c>
      <c r="AH653" s="337"/>
      <c r="AI653" s="337"/>
      <c r="AJ653" s="342"/>
      <c r="AK653" s="851">
        <v>0</v>
      </c>
      <c r="AL653" s="855"/>
      <c r="AM653" s="836">
        <v>0</v>
      </c>
      <c r="AN653" s="837">
        <v>0</v>
      </c>
      <c r="AO653" s="837">
        <v>0</v>
      </c>
      <c r="AP653" s="843"/>
      <c r="AQ653" s="839"/>
      <c r="AR653" s="839"/>
      <c r="AS653" s="839"/>
      <c r="AT653" s="839"/>
      <c r="AU653" s="839"/>
      <c r="AV653" s="852"/>
      <c r="AW653" s="134" t="s">
        <v>3208</v>
      </c>
      <c r="AX653" s="136" t="s">
        <v>3208</v>
      </c>
      <c r="AY653" s="137" t="s">
        <v>2576</v>
      </c>
      <c r="AZ653" s="136">
        <v>0</v>
      </c>
      <c r="BA653" s="136">
        <v>0</v>
      </c>
      <c r="BB653" s="136">
        <v>0</v>
      </c>
      <c r="BC653" s="214">
        <v>0</v>
      </c>
      <c r="BD653" s="136">
        <v>0</v>
      </c>
      <c r="BE653" s="214">
        <v>0</v>
      </c>
      <c r="BF653" s="136">
        <v>0</v>
      </c>
      <c r="BG653" s="214">
        <v>0</v>
      </c>
      <c r="BH653" s="214">
        <v>0</v>
      </c>
      <c r="BI653" s="134">
        <v>1</v>
      </c>
      <c r="BJ653" s="214">
        <v>394</v>
      </c>
      <c r="BK653" s="137">
        <v>1</v>
      </c>
      <c r="BL653" s="137">
        <v>1</v>
      </c>
      <c r="BM653" s="137">
        <v>14</v>
      </c>
      <c r="BN653" s="134">
        <v>0.21319796954314721</v>
      </c>
      <c r="BO653" s="351">
        <v>84</v>
      </c>
      <c r="BP653" s="134">
        <v>0.79187817258883242</v>
      </c>
      <c r="BQ653" s="214">
        <v>52</v>
      </c>
      <c r="BR653" s="137">
        <v>66</v>
      </c>
      <c r="BS653" s="138">
        <v>0</v>
      </c>
      <c r="BT653" s="351" t="s">
        <v>103</v>
      </c>
      <c r="BU653" s="209">
        <v>0</v>
      </c>
      <c r="BV653" s="209">
        <v>0</v>
      </c>
      <c r="BW653" s="209">
        <v>0</v>
      </c>
      <c r="BX653" s="209">
        <v>0</v>
      </c>
      <c r="BY653" s="209">
        <v>0</v>
      </c>
      <c r="BZ653" s="134">
        <v>0</v>
      </c>
      <c r="CA653" s="138">
        <v>1</v>
      </c>
      <c r="CB653" s="136">
        <v>0</v>
      </c>
      <c r="CC653" s="136">
        <v>0</v>
      </c>
      <c r="CD653" s="136">
        <v>0</v>
      </c>
      <c r="CE653" s="137">
        <v>0</v>
      </c>
      <c r="CF653" s="137">
        <v>0</v>
      </c>
      <c r="CG653" s="351">
        <v>0</v>
      </c>
      <c r="CH653" s="214">
        <v>0</v>
      </c>
      <c r="CI653" s="139">
        <v>0</v>
      </c>
      <c r="CJ653" s="139">
        <v>0</v>
      </c>
      <c r="CK653" s="139" t="s">
        <v>975</v>
      </c>
      <c r="CL653" s="139" t="s">
        <v>969</v>
      </c>
      <c r="CM653" s="139" t="s">
        <v>975</v>
      </c>
      <c r="CN653" s="139" t="s">
        <v>2736</v>
      </c>
      <c r="CO653" s="139">
        <v>20.681715011596701</v>
      </c>
      <c r="CP653" s="139">
        <v>92.94140625</v>
      </c>
      <c r="CQ653" s="139">
        <v>196930</v>
      </c>
      <c r="CR653" s="449" t="s">
        <v>40</v>
      </c>
      <c r="CS653" s="139" t="s">
        <v>2738</v>
      </c>
      <c r="CT653" s="24"/>
      <c r="CU653" s="24"/>
      <c r="CV653" s="24"/>
    </row>
    <row r="654" spans="1:100" x14ac:dyDescent="0.25">
      <c r="A654" s="293" t="s">
        <v>2691</v>
      </c>
      <c r="B654" s="183" t="s">
        <v>460</v>
      </c>
      <c r="C654" s="183" t="s">
        <v>454</v>
      </c>
      <c r="D654" s="183" t="s">
        <v>463</v>
      </c>
      <c r="E654" s="183" t="s">
        <v>823</v>
      </c>
      <c r="F654" s="206">
        <f>ROUND(WWWW[[#This Row],[Total PoP ]]/5,0)</f>
        <v>167</v>
      </c>
      <c r="G654" s="395">
        <v>833</v>
      </c>
      <c r="H654" s="183"/>
      <c r="I654" s="183"/>
      <c r="J654" s="194"/>
      <c r="K654" s="193"/>
      <c r="L654" s="206" t="s">
        <v>282</v>
      </c>
      <c r="M654" s="208">
        <v>0</v>
      </c>
      <c r="N654" s="208">
        <v>0</v>
      </c>
      <c r="O654" s="312">
        <v>1</v>
      </c>
      <c r="P654" s="313"/>
      <c r="Q654" s="313"/>
      <c r="R654" s="314"/>
      <c r="S654" s="314">
        <v>0</v>
      </c>
      <c r="T654" s="314"/>
      <c r="U654" s="315"/>
      <c r="V654" s="315"/>
      <c r="W654" s="315"/>
      <c r="X654" s="315"/>
      <c r="Y654" s="315"/>
      <c r="Z654" s="315"/>
      <c r="AA654" s="336">
        <v>0</v>
      </c>
      <c r="AB654" s="336"/>
      <c r="AC654" s="337"/>
      <c r="AD654" s="337"/>
      <c r="AE654" s="338">
        <v>0</v>
      </c>
      <c r="AF654" s="338" t="s">
        <v>286</v>
      </c>
      <c r="AG654" s="339" t="s">
        <v>286</v>
      </c>
      <c r="AH654" s="339"/>
      <c r="AI654" s="336"/>
      <c r="AJ654" s="338"/>
      <c r="AK654" s="834">
        <v>0</v>
      </c>
      <c r="AL654" s="835"/>
      <c r="AM654" s="836">
        <v>0</v>
      </c>
      <c r="AN654" s="837"/>
      <c r="AO654" s="837">
        <v>0</v>
      </c>
      <c r="AP654" s="843"/>
      <c r="AQ654" s="843"/>
      <c r="AR654" s="839"/>
      <c r="AS654" s="839"/>
      <c r="AT654" s="839"/>
      <c r="AU654" s="839"/>
      <c r="AV654" s="840"/>
      <c r="AW654" s="134" t="s">
        <v>3208</v>
      </c>
      <c r="AX654" s="136" t="s">
        <v>3208</v>
      </c>
      <c r="AY654" s="197" t="s">
        <v>2576</v>
      </c>
      <c r="AZ654" s="204">
        <v>1</v>
      </c>
      <c r="BA654" s="204">
        <v>0.30012004801920766</v>
      </c>
      <c r="BB654" s="204">
        <v>0.30012004801920766</v>
      </c>
      <c r="BC654" s="214">
        <v>249.99999999999997</v>
      </c>
      <c r="BD654" s="204">
        <v>0</v>
      </c>
      <c r="BE654" s="196">
        <v>0</v>
      </c>
      <c r="BF654" s="204">
        <v>0.30012004801920766</v>
      </c>
      <c r="BG654" s="196">
        <v>249.99999999999997</v>
      </c>
      <c r="BH654" s="214">
        <v>1</v>
      </c>
      <c r="BI654" s="134">
        <v>0.69987995198079234</v>
      </c>
      <c r="BJ654" s="196">
        <v>583</v>
      </c>
      <c r="BK654" s="137">
        <v>1</v>
      </c>
      <c r="BL654" s="197">
        <v>2</v>
      </c>
      <c r="BM654" s="137">
        <v>0</v>
      </c>
      <c r="BN654" s="195">
        <v>0</v>
      </c>
      <c r="BO654" s="351">
        <v>0</v>
      </c>
      <c r="BP654" s="134">
        <v>1</v>
      </c>
      <c r="BQ654" s="214">
        <v>139</v>
      </c>
      <c r="BR654" s="197">
        <v>139</v>
      </c>
      <c r="BS654" s="198">
        <v>0</v>
      </c>
      <c r="BT654" s="351" t="s">
        <v>103</v>
      </c>
      <c r="BU654" s="196">
        <v>0</v>
      </c>
      <c r="BV654" s="196">
        <v>0</v>
      </c>
      <c r="BW654" s="196">
        <v>0</v>
      </c>
      <c r="BX654" s="196">
        <v>0</v>
      </c>
      <c r="BY654" s="196">
        <v>0</v>
      </c>
      <c r="BZ654" s="134">
        <v>0</v>
      </c>
      <c r="CA654" s="198">
        <v>1</v>
      </c>
      <c r="CB654" s="136">
        <v>0</v>
      </c>
      <c r="CC654" s="136">
        <v>0</v>
      </c>
      <c r="CD654" s="136">
        <v>0</v>
      </c>
      <c r="CE654" s="137">
        <v>0</v>
      </c>
      <c r="CF654" s="137">
        <v>0</v>
      </c>
      <c r="CG654" s="137">
        <v>0</v>
      </c>
      <c r="CH654" s="196">
        <v>0</v>
      </c>
      <c r="CI654" s="139">
        <v>0</v>
      </c>
      <c r="CJ654" s="139">
        <v>0</v>
      </c>
      <c r="CK654" s="139" t="s">
        <v>969</v>
      </c>
      <c r="CL654" s="139" t="s">
        <v>969</v>
      </c>
      <c r="CM654" s="139" t="s">
        <v>969</v>
      </c>
      <c r="CN654" s="139" t="s">
        <v>966</v>
      </c>
      <c r="CO654" s="139">
        <v>20.903770446777301</v>
      </c>
      <c r="CP654" s="139">
        <v>93.004432678222699</v>
      </c>
      <c r="CQ654" s="139" t="s">
        <v>1854</v>
      </c>
      <c r="CR654" s="449" t="s">
        <v>3209</v>
      </c>
      <c r="CS654" s="661"/>
      <c r="CT654" s="24"/>
      <c r="CU654" s="24"/>
      <c r="CV654" s="24"/>
    </row>
    <row r="655" spans="1:100" x14ac:dyDescent="0.25">
      <c r="A655" s="293" t="s">
        <v>2691</v>
      </c>
      <c r="B655" s="101" t="s">
        <v>479</v>
      </c>
      <c r="C655" s="101" t="s">
        <v>454</v>
      </c>
      <c r="D655" s="101" t="s">
        <v>463</v>
      </c>
      <c r="E655" s="101" t="s">
        <v>494</v>
      </c>
      <c r="F655" s="101">
        <v>47</v>
      </c>
      <c r="G655" s="396">
        <v>203</v>
      </c>
      <c r="H655" s="101"/>
      <c r="I655" s="101" t="s">
        <v>495</v>
      </c>
      <c r="J655" s="102">
        <v>43615</v>
      </c>
      <c r="K655" s="101">
        <v>0</v>
      </c>
      <c r="L655" s="101" t="s">
        <v>2454</v>
      </c>
      <c r="M655" s="103">
        <v>0</v>
      </c>
      <c r="N655" s="103">
        <v>0</v>
      </c>
      <c r="O655" s="319">
        <v>0</v>
      </c>
      <c r="P655" s="320">
        <v>0</v>
      </c>
      <c r="Q655" s="321">
        <v>0</v>
      </c>
      <c r="R655" s="322">
        <v>0</v>
      </c>
      <c r="S655" s="322">
        <v>0</v>
      </c>
      <c r="T655" s="322"/>
      <c r="U655" s="322"/>
      <c r="V655" s="315"/>
      <c r="W655" s="317"/>
      <c r="X655" s="317"/>
      <c r="Y655" s="315"/>
      <c r="Z655" s="318"/>
      <c r="AA655" s="310">
        <v>0</v>
      </c>
      <c r="AB655" s="311">
        <v>0</v>
      </c>
      <c r="AC655" s="337"/>
      <c r="AD655" s="337"/>
      <c r="AE655" s="340">
        <v>0</v>
      </c>
      <c r="AF655" s="66" t="s">
        <v>1358</v>
      </c>
      <c r="AG655" s="66" t="s">
        <v>1358</v>
      </c>
      <c r="AH655" s="66"/>
      <c r="AI655" s="66"/>
      <c r="AJ655" s="341"/>
      <c r="AK655" s="845">
        <v>0</v>
      </c>
      <c r="AL655" s="846"/>
      <c r="AM655" s="844">
        <v>0</v>
      </c>
      <c r="AN655" s="837">
        <v>0</v>
      </c>
      <c r="AO655" s="837">
        <v>0</v>
      </c>
      <c r="AP655" s="843"/>
      <c r="AQ655" s="843"/>
      <c r="AR655" s="843"/>
      <c r="AS655" s="843"/>
      <c r="AT655" s="843"/>
      <c r="AU655" s="843"/>
      <c r="AV655" s="847"/>
      <c r="AW655" s="134" t="s">
        <v>3208</v>
      </c>
      <c r="AX655" s="136" t="s">
        <v>3208</v>
      </c>
      <c r="AY655" s="137" t="s">
        <v>2576</v>
      </c>
      <c r="AZ655" s="136">
        <v>0</v>
      </c>
      <c r="BA655" s="136">
        <v>0</v>
      </c>
      <c r="BB655" s="136">
        <v>0</v>
      </c>
      <c r="BC655" s="214">
        <v>0</v>
      </c>
      <c r="BD655" s="136">
        <v>0</v>
      </c>
      <c r="BE655" s="214">
        <v>0</v>
      </c>
      <c r="BF655" s="136">
        <v>0</v>
      </c>
      <c r="BG655" s="214">
        <v>0</v>
      </c>
      <c r="BH655" s="214">
        <v>0</v>
      </c>
      <c r="BI655" s="134">
        <v>1</v>
      </c>
      <c r="BJ655" s="214">
        <v>203</v>
      </c>
      <c r="BK655" s="137">
        <v>1</v>
      </c>
      <c r="BL655" s="137">
        <v>1</v>
      </c>
      <c r="BM655" s="137">
        <v>0</v>
      </c>
      <c r="BN655" s="134">
        <v>0</v>
      </c>
      <c r="BO655" s="351">
        <v>0</v>
      </c>
      <c r="BP655" s="134">
        <v>1</v>
      </c>
      <c r="BQ655" s="214">
        <v>34</v>
      </c>
      <c r="BR655" s="137">
        <v>34</v>
      </c>
      <c r="BS655" s="138">
        <v>0</v>
      </c>
      <c r="BT655" s="351" t="s">
        <v>103</v>
      </c>
      <c r="BU655" s="209">
        <v>0</v>
      </c>
      <c r="BV655" s="209">
        <v>0</v>
      </c>
      <c r="BW655" s="209">
        <v>0</v>
      </c>
      <c r="BX655" s="209">
        <v>0</v>
      </c>
      <c r="BY655" s="209">
        <v>0</v>
      </c>
      <c r="BZ655" s="134">
        <v>0</v>
      </c>
      <c r="CA655" s="138">
        <v>1</v>
      </c>
      <c r="CB655" s="136">
        <v>0</v>
      </c>
      <c r="CC655" s="136">
        <v>0</v>
      </c>
      <c r="CD655" s="136">
        <v>0</v>
      </c>
      <c r="CE655" s="137">
        <v>0</v>
      </c>
      <c r="CF655" s="137">
        <v>0</v>
      </c>
      <c r="CG655" s="351">
        <v>0</v>
      </c>
      <c r="CH655" s="214">
        <v>0</v>
      </c>
      <c r="CI655" s="139">
        <v>0</v>
      </c>
      <c r="CJ655" s="139">
        <v>0</v>
      </c>
      <c r="CK655" s="139" t="s">
        <v>975</v>
      </c>
      <c r="CL655" s="139" t="s">
        <v>969</v>
      </c>
      <c r="CM655" s="139" t="s">
        <v>975</v>
      </c>
      <c r="CN655" s="139" t="s">
        <v>2737</v>
      </c>
      <c r="CO655" s="139">
        <v>0</v>
      </c>
      <c r="CP655" s="139">
        <v>0</v>
      </c>
      <c r="CQ655" s="139">
        <v>0</v>
      </c>
      <c r="CR655" s="449" t="s">
        <v>40</v>
      </c>
      <c r="CS655" s="139" t="s">
        <v>2738</v>
      </c>
      <c r="CT655" s="24"/>
      <c r="CU655" s="24"/>
      <c r="CV655" s="24"/>
    </row>
    <row r="656" spans="1:100" x14ac:dyDescent="0.25">
      <c r="A656" s="293" t="s">
        <v>2691</v>
      </c>
      <c r="B656" s="101" t="s">
        <v>479</v>
      </c>
      <c r="C656" s="101" t="s">
        <v>454</v>
      </c>
      <c r="D656" s="101" t="s">
        <v>463</v>
      </c>
      <c r="E656" s="101" t="s">
        <v>2735</v>
      </c>
      <c r="F656" s="101">
        <v>45</v>
      </c>
      <c r="G656" s="396">
        <v>206</v>
      </c>
      <c r="H656" s="101"/>
      <c r="I656" s="101" t="s">
        <v>495</v>
      </c>
      <c r="J656" s="102">
        <v>43615</v>
      </c>
      <c r="K656" s="101">
        <v>0</v>
      </c>
      <c r="L656" s="101" t="s">
        <v>2454</v>
      </c>
      <c r="M656" s="103">
        <v>0</v>
      </c>
      <c r="N656" s="103">
        <v>0</v>
      </c>
      <c r="O656" s="319">
        <v>0</v>
      </c>
      <c r="P656" s="320">
        <v>0</v>
      </c>
      <c r="Q656" s="321">
        <v>0</v>
      </c>
      <c r="R656" s="322">
        <v>0</v>
      </c>
      <c r="S656" s="322">
        <v>0</v>
      </c>
      <c r="T656" s="322"/>
      <c r="U656" s="322"/>
      <c r="V656" s="315"/>
      <c r="W656" s="317"/>
      <c r="X656" s="317"/>
      <c r="Y656" s="315"/>
      <c r="Z656" s="318"/>
      <c r="AA656" s="310">
        <v>2</v>
      </c>
      <c r="AB656" s="311">
        <v>0</v>
      </c>
      <c r="AC656" s="337"/>
      <c r="AD656" s="337"/>
      <c r="AE656" s="340">
        <v>0</v>
      </c>
      <c r="AF656" s="66" t="s">
        <v>1358</v>
      </c>
      <c r="AG656" s="66" t="s">
        <v>1358</v>
      </c>
      <c r="AH656" s="66"/>
      <c r="AI656" s="66"/>
      <c r="AJ656" s="341"/>
      <c r="AK656" s="845">
        <v>0</v>
      </c>
      <c r="AL656" s="846"/>
      <c r="AM656" s="844">
        <v>0</v>
      </c>
      <c r="AN656" s="837">
        <v>0</v>
      </c>
      <c r="AO656" s="837">
        <v>0</v>
      </c>
      <c r="AP656" s="843"/>
      <c r="AQ656" s="843"/>
      <c r="AR656" s="843"/>
      <c r="AS656" s="843"/>
      <c r="AT656" s="843"/>
      <c r="AU656" s="843"/>
      <c r="AV656" s="847"/>
      <c r="AW656" s="134" t="s">
        <v>3208</v>
      </c>
      <c r="AX656" s="136" t="s">
        <v>3208</v>
      </c>
      <c r="AY656" s="137" t="s">
        <v>2576</v>
      </c>
      <c r="AZ656" s="136">
        <v>0</v>
      </c>
      <c r="BA656" s="136">
        <v>0</v>
      </c>
      <c r="BB656" s="136">
        <v>0</v>
      </c>
      <c r="BC656" s="214">
        <v>0</v>
      </c>
      <c r="BD656" s="136">
        <v>0</v>
      </c>
      <c r="BE656" s="214">
        <v>0</v>
      </c>
      <c r="BF656" s="136">
        <v>0</v>
      </c>
      <c r="BG656" s="214">
        <v>0</v>
      </c>
      <c r="BH656" s="214">
        <v>0</v>
      </c>
      <c r="BI656" s="134">
        <v>1</v>
      </c>
      <c r="BJ656" s="214">
        <v>206</v>
      </c>
      <c r="BK656" s="137">
        <v>1</v>
      </c>
      <c r="BL656" s="137">
        <v>1</v>
      </c>
      <c r="BM656" s="137">
        <v>2</v>
      </c>
      <c r="BN656" s="134">
        <v>5.8252427184466021E-2</v>
      </c>
      <c r="BO656" s="351">
        <v>12</v>
      </c>
      <c r="BP656" s="134">
        <v>0.93203883495145623</v>
      </c>
      <c r="BQ656" s="214">
        <v>32</v>
      </c>
      <c r="BR656" s="137">
        <v>34</v>
      </c>
      <c r="BS656" s="138">
        <v>0</v>
      </c>
      <c r="BT656" s="351" t="s">
        <v>103</v>
      </c>
      <c r="BU656" s="209">
        <v>0</v>
      </c>
      <c r="BV656" s="209">
        <v>0</v>
      </c>
      <c r="BW656" s="209">
        <v>0</v>
      </c>
      <c r="BX656" s="209">
        <v>0</v>
      </c>
      <c r="BY656" s="209">
        <v>0</v>
      </c>
      <c r="BZ656" s="134">
        <v>0</v>
      </c>
      <c r="CA656" s="138">
        <v>1</v>
      </c>
      <c r="CB656" s="136">
        <v>0</v>
      </c>
      <c r="CC656" s="136">
        <v>0</v>
      </c>
      <c r="CD656" s="136">
        <v>0</v>
      </c>
      <c r="CE656" s="137">
        <v>0</v>
      </c>
      <c r="CF656" s="137">
        <v>0</v>
      </c>
      <c r="CG656" s="351">
        <v>0</v>
      </c>
      <c r="CH656" s="214">
        <v>0</v>
      </c>
      <c r="CI656" s="139">
        <v>0</v>
      </c>
      <c r="CJ656" s="139">
        <v>0</v>
      </c>
      <c r="CK656" s="139" t="s">
        <v>975</v>
      </c>
      <c r="CL656" s="139" t="s">
        <v>969</v>
      </c>
      <c r="CM656" s="139" t="s">
        <v>975</v>
      </c>
      <c r="CN656" s="139" t="s">
        <v>454</v>
      </c>
      <c r="CO656" s="139">
        <v>0</v>
      </c>
      <c r="CP656" s="139">
        <v>0</v>
      </c>
      <c r="CQ656" s="139">
        <v>0</v>
      </c>
      <c r="CR656" s="449" t="s">
        <v>40</v>
      </c>
      <c r="CS656" s="139" t="s">
        <v>2738</v>
      </c>
      <c r="CT656" s="24"/>
      <c r="CU656" s="24"/>
      <c r="CV656" s="24"/>
    </row>
    <row r="657" spans="1:100" x14ac:dyDescent="0.25">
      <c r="A657" s="293" t="s">
        <v>2691</v>
      </c>
      <c r="B657" s="101" t="s">
        <v>479</v>
      </c>
      <c r="C657" s="101" t="s">
        <v>454</v>
      </c>
      <c r="D657" s="101" t="s">
        <v>463</v>
      </c>
      <c r="E657" s="101" t="s">
        <v>497</v>
      </c>
      <c r="F657" s="101">
        <v>144</v>
      </c>
      <c r="G657" s="396">
        <v>792</v>
      </c>
      <c r="H657" s="101"/>
      <c r="I657" s="101" t="s">
        <v>495</v>
      </c>
      <c r="J657" s="102">
        <v>43615</v>
      </c>
      <c r="K657" s="101">
        <v>0</v>
      </c>
      <c r="L657" s="101" t="s">
        <v>2454</v>
      </c>
      <c r="M657" s="103">
        <v>0</v>
      </c>
      <c r="N657" s="103">
        <v>0</v>
      </c>
      <c r="O657" s="319">
        <v>0</v>
      </c>
      <c r="P657" s="320">
        <v>0</v>
      </c>
      <c r="Q657" s="321">
        <v>0</v>
      </c>
      <c r="R657" s="322">
        <v>0</v>
      </c>
      <c r="S657" s="322">
        <v>0</v>
      </c>
      <c r="T657" s="322"/>
      <c r="U657" s="322"/>
      <c r="V657" s="315"/>
      <c r="W657" s="317"/>
      <c r="X657" s="317"/>
      <c r="Y657" s="315"/>
      <c r="Z657" s="318"/>
      <c r="AA657" s="310">
        <v>2</v>
      </c>
      <c r="AB657" s="311">
        <v>0</v>
      </c>
      <c r="AC657" s="337"/>
      <c r="AD657" s="337"/>
      <c r="AE657" s="340">
        <v>0</v>
      </c>
      <c r="AF657" s="66" t="s">
        <v>1358</v>
      </c>
      <c r="AG657" s="66" t="s">
        <v>1358</v>
      </c>
      <c r="AH657" s="66"/>
      <c r="AI657" s="66"/>
      <c r="AJ657" s="341"/>
      <c r="AK657" s="845">
        <v>0</v>
      </c>
      <c r="AL657" s="846"/>
      <c r="AM657" s="844">
        <v>0</v>
      </c>
      <c r="AN657" s="837">
        <v>0</v>
      </c>
      <c r="AO657" s="837">
        <v>0</v>
      </c>
      <c r="AP657" s="843"/>
      <c r="AQ657" s="843"/>
      <c r="AR657" s="843"/>
      <c r="AS657" s="843"/>
      <c r="AT657" s="843"/>
      <c r="AU657" s="843"/>
      <c r="AV657" s="847"/>
      <c r="AW657" s="134" t="s">
        <v>3208</v>
      </c>
      <c r="AX657" s="136" t="s">
        <v>3208</v>
      </c>
      <c r="AY657" s="137" t="s">
        <v>2576</v>
      </c>
      <c r="AZ657" s="136">
        <v>0</v>
      </c>
      <c r="BA657" s="136">
        <v>0</v>
      </c>
      <c r="BB657" s="136">
        <v>0</v>
      </c>
      <c r="BC657" s="214">
        <v>0</v>
      </c>
      <c r="BD657" s="136">
        <v>0</v>
      </c>
      <c r="BE657" s="214">
        <v>0</v>
      </c>
      <c r="BF657" s="136">
        <v>0</v>
      </c>
      <c r="BG657" s="214">
        <v>0</v>
      </c>
      <c r="BH657" s="214">
        <v>0</v>
      </c>
      <c r="BI657" s="134">
        <v>1</v>
      </c>
      <c r="BJ657" s="214">
        <v>792</v>
      </c>
      <c r="BK657" s="137">
        <v>2</v>
      </c>
      <c r="BL657" s="137">
        <v>2</v>
      </c>
      <c r="BM657" s="137">
        <v>2</v>
      </c>
      <c r="BN657" s="134">
        <v>1.5151515151515152E-2</v>
      </c>
      <c r="BO657" s="351">
        <v>12</v>
      </c>
      <c r="BP657" s="134">
        <v>0.98484848484848486</v>
      </c>
      <c r="BQ657" s="214">
        <v>130</v>
      </c>
      <c r="BR657" s="137">
        <v>132</v>
      </c>
      <c r="BS657" s="138">
        <v>0</v>
      </c>
      <c r="BT657" s="351" t="s">
        <v>103</v>
      </c>
      <c r="BU657" s="209">
        <v>0</v>
      </c>
      <c r="BV657" s="209">
        <v>0</v>
      </c>
      <c r="BW657" s="209">
        <v>0</v>
      </c>
      <c r="BX657" s="209">
        <v>0</v>
      </c>
      <c r="BY657" s="209">
        <v>0</v>
      </c>
      <c r="BZ657" s="134">
        <v>0</v>
      </c>
      <c r="CA657" s="138">
        <v>1</v>
      </c>
      <c r="CB657" s="136">
        <v>0</v>
      </c>
      <c r="CC657" s="136">
        <v>0</v>
      </c>
      <c r="CD657" s="136">
        <v>0</v>
      </c>
      <c r="CE657" s="137">
        <v>0</v>
      </c>
      <c r="CF657" s="137">
        <v>0</v>
      </c>
      <c r="CG657" s="351">
        <v>0</v>
      </c>
      <c r="CH657" s="214">
        <v>0</v>
      </c>
      <c r="CI657" s="139">
        <v>0</v>
      </c>
      <c r="CJ657" s="139">
        <v>0</v>
      </c>
      <c r="CK657" s="139" t="s">
        <v>975</v>
      </c>
      <c r="CL657" s="139" t="s">
        <v>969</v>
      </c>
      <c r="CM657" s="139" t="s">
        <v>975</v>
      </c>
      <c r="CN657" s="139" t="s">
        <v>2734</v>
      </c>
      <c r="CO657" s="139">
        <v>0</v>
      </c>
      <c r="CP657" s="139">
        <v>0</v>
      </c>
      <c r="CQ657" s="139">
        <v>196815</v>
      </c>
      <c r="CR657" s="449" t="s">
        <v>40</v>
      </c>
      <c r="CS657" s="139" t="s">
        <v>2738</v>
      </c>
      <c r="CT657" s="24"/>
      <c r="CU657" s="24"/>
      <c r="CV657" s="24"/>
    </row>
    <row r="658" spans="1:100" x14ac:dyDescent="0.25">
      <c r="A658" s="293" t="s">
        <v>2691</v>
      </c>
      <c r="B658" s="183" t="s">
        <v>479</v>
      </c>
      <c r="C658" s="183" t="s">
        <v>454</v>
      </c>
      <c r="D658" s="183" t="s">
        <v>463</v>
      </c>
      <c r="E658" s="183" t="s">
        <v>820</v>
      </c>
      <c r="F658" s="183">
        <v>170</v>
      </c>
      <c r="G658" s="395">
        <v>825</v>
      </c>
      <c r="H658" s="183"/>
      <c r="I658" s="183" t="s">
        <v>495</v>
      </c>
      <c r="J658" s="184">
        <v>43615</v>
      </c>
      <c r="K658" s="183">
        <v>0</v>
      </c>
      <c r="L658" s="183" t="s">
        <v>2454</v>
      </c>
      <c r="M658" s="185">
        <v>0</v>
      </c>
      <c r="N658" s="185">
        <v>0</v>
      </c>
      <c r="O658" s="319">
        <v>0</v>
      </c>
      <c r="P658" s="320">
        <v>0</v>
      </c>
      <c r="Q658" s="324">
        <v>0</v>
      </c>
      <c r="R658" s="325">
        <v>0</v>
      </c>
      <c r="S658" s="325">
        <v>0</v>
      </c>
      <c r="T658" s="325"/>
      <c r="U658" s="315"/>
      <c r="V658" s="315"/>
      <c r="W658" s="315"/>
      <c r="X658" s="315"/>
      <c r="Y658" s="315"/>
      <c r="Z658" s="315"/>
      <c r="AA658" s="336">
        <v>4</v>
      </c>
      <c r="AB658" s="336">
        <v>0</v>
      </c>
      <c r="AC658" s="342"/>
      <c r="AD658" s="337"/>
      <c r="AE658" s="342">
        <v>0</v>
      </c>
      <c r="AF658" s="66" t="s">
        <v>1358</v>
      </c>
      <c r="AG658" s="66" t="s">
        <v>1358</v>
      </c>
      <c r="AH658" s="337"/>
      <c r="AI658" s="337"/>
      <c r="AJ658" s="342"/>
      <c r="AK658" s="851">
        <v>0</v>
      </c>
      <c r="AL658" s="855"/>
      <c r="AM658" s="836">
        <v>0</v>
      </c>
      <c r="AN658" s="837">
        <v>0</v>
      </c>
      <c r="AO658" s="837">
        <v>0</v>
      </c>
      <c r="AP658" s="843"/>
      <c r="AQ658" s="839"/>
      <c r="AR658" s="839"/>
      <c r="AS658" s="839"/>
      <c r="AT658" s="839"/>
      <c r="AU658" s="839"/>
      <c r="AV658" s="852"/>
      <c r="AW658" s="134" t="s">
        <v>3208</v>
      </c>
      <c r="AX658" s="136" t="s">
        <v>3208</v>
      </c>
      <c r="AY658" s="137" t="s">
        <v>2576</v>
      </c>
      <c r="AZ658" s="136">
        <v>0</v>
      </c>
      <c r="BA658" s="136">
        <v>0</v>
      </c>
      <c r="BB658" s="136">
        <v>0</v>
      </c>
      <c r="BC658" s="214">
        <v>0</v>
      </c>
      <c r="BD658" s="136">
        <v>0</v>
      </c>
      <c r="BE658" s="214">
        <v>0</v>
      </c>
      <c r="BF658" s="136">
        <v>0</v>
      </c>
      <c r="BG658" s="214">
        <v>0</v>
      </c>
      <c r="BH658" s="214">
        <v>0</v>
      </c>
      <c r="BI658" s="134">
        <v>1</v>
      </c>
      <c r="BJ658" s="214">
        <v>825</v>
      </c>
      <c r="BK658" s="137">
        <v>2</v>
      </c>
      <c r="BL658" s="137">
        <v>2</v>
      </c>
      <c r="BM658" s="137">
        <v>4</v>
      </c>
      <c r="BN658" s="134">
        <v>2.9090909090909091E-2</v>
      </c>
      <c r="BO658" s="351">
        <v>24</v>
      </c>
      <c r="BP658" s="134">
        <v>0.97454545454545449</v>
      </c>
      <c r="BQ658" s="214">
        <v>134</v>
      </c>
      <c r="BR658" s="137">
        <v>138</v>
      </c>
      <c r="BS658" s="138">
        <v>0</v>
      </c>
      <c r="BT658" s="351" t="s">
        <v>103</v>
      </c>
      <c r="BU658" s="209">
        <v>0</v>
      </c>
      <c r="BV658" s="209">
        <v>0</v>
      </c>
      <c r="BW658" s="209">
        <v>0</v>
      </c>
      <c r="BX658" s="209">
        <v>0</v>
      </c>
      <c r="BY658" s="209">
        <v>0</v>
      </c>
      <c r="BZ658" s="134">
        <v>0</v>
      </c>
      <c r="CA658" s="138">
        <v>1</v>
      </c>
      <c r="CB658" s="136">
        <v>0</v>
      </c>
      <c r="CC658" s="136">
        <v>0</v>
      </c>
      <c r="CD658" s="136">
        <v>0</v>
      </c>
      <c r="CE658" s="137">
        <v>0</v>
      </c>
      <c r="CF658" s="137">
        <v>0</v>
      </c>
      <c r="CG658" s="351">
        <v>0</v>
      </c>
      <c r="CH658" s="214">
        <v>0</v>
      </c>
      <c r="CI658" s="139">
        <v>0</v>
      </c>
      <c r="CJ658" s="139">
        <v>0</v>
      </c>
      <c r="CK658" s="139" t="s">
        <v>975</v>
      </c>
      <c r="CL658" s="139" t="s">
        <v>969</v>
      </c>
      <c r="CM658" s="139" t="s">
        <v>975</v>
      </c>
      <c r="CN658" s="139" t="s">
        <v>454</v>
      </c>
      <c r="CO658" s="139">
        <v>20.894269943237301</v>
      </c>
      <c r="CP658" s="139">
        <v>92.920730590820298</v>
      </c>
      <c r="CQ658" s="139">
        <v>196814</v>
      </c>
      <c r="CR658" s="449" t="s">
        <v>40</v>
      </c>
      <c r="CS658" s="139" t="s">
        <v>2738</v>
      </c>
      <c r="CT658" s="24"/>
      <c r="CU658" s="24"/>
      <c r="CV658" s="24"/>
    </row>
    <row r="659" spans="1:100" x14ac:dyDescent="0.25">
      <c r="A659" s="293" t="s">
        <v>2691</v>
      </c>
      <c r="B659" s="183" t="s">
        <v>479</v>
      </c>
      <c r="C659" s="183" t="s">
        <v>454</v>
      </c>
      <c r="D659" s="183" t="s">
        <v>463</v>
      </c>
      <c r="E659" s="183" t="s">
        <v>862</v>
      </c>
      <c r="F659" s="183">
        <v>138</v>
      </c>
      <c r="G659" s="395">
        <v>609</v>
      </c>
      <c r="H659" s="183"/>
      <c r="I659" s="183" t="s">
        <v>495</v>
      </c>
      <c r="J659" s="194">
        <v>43615</v>
      </c>
      <c r="K659" s="193">
        <v>0</v>
      </c>
      <c r="L659" s="193" t="s">
        <v>2454</v>
      </c>
      <c r="M659" s="195">
        <v>0</v>
      </c>
      <c r="N659" s="195">
        <v>0</v>
      </c>
      <c r="O659" s="312">
        <v>0</v>
      </c>
      <c r="P659" s="313">
        <v>0</v>
      </c>
      <c r="Q659" s="313">
        <v>0</v>
      </c>
      <c r="R659" s="314">
        <v>0</v>
      </c>
      <c r="S659" s="314">
        <v>0</v>
      </c>
      <c r="T659" s="314"/>
      <c r="U659" s="315"/>
      <c r="V659" s="315"/>
      <c r="W659" s="315"/>
      <c r="X659" s="315"/>
      <c r="Y659" s="315"/>
      <c r="Z659" s="315"/>
      <c r="AA659" s="336">
        <v>18</v>
      </c>
      <c r="AB659" s="336">
        <v>0</v>
      </c>
      <c r="AC659" s="337"/>
      <c r="AD659" s="337"/>
      <c r="AE659" s="338">
        <v>0</v>
      </c>
      <c r="AF659" s="310" t="s">
        <v>332</v>
      </c>
      <c r="AG659" s="310" t="s">
        <v>332</v>
      </c>
      <c r="AH659" s="339"/>
      <c r="AI659" s="336"/>
      <c r="AJ659" s="338"/>
      <c r="AK659" s="834">
        <v>0</v>
      </c>
      <c r="AL659" s="835"/>
      <c r="AM659" s="836">
        <v>0</v>
      </c>
      <c r="AN659" s="837">
        <v>0</v>
      </c>
      <c r="AO659" s="837">
        <v>0</v>
      </c>
      <c r="AP659" s="843"/>
      <c r="AQ659" s="839"/>
      <c r="AR659" s="839"/>
      <c r="AS659" s="839"/>
      <c r="AT659" s="839"/>
      <c r="AU659" s="839"/>
      <c r="AV659" s="840"/>
      <c r="AW659" s="134" t="s">
        <v>3208</v>
      </c>
      <c r="AX659" s="136" t="s">
        <v>3208</v>
      </c>
      <c r="AY659" s="197" t="s">
        <v>2576</v>
      </c>
      <c r="AZ659" s="204">
        <v>0</v>
      </c>
      <c r="BA659" s="204">
        <v>0</v>
      </c>
      <c r="BB659" s="204">
        <v>0</v>
      </c>
      <c r="BC659" s="214">
        <v>0</v>
      </c>
      <c r="BD659" s="204">
        <v>0</v>
      </c>
      <c r="BE659" s="196">
        <v>0</v>
      </c>
      <c r="BF659" s="204">
        <v>0</v>
      </c>
      <c r="BG659" s="196">
        <v>0</v>
      </c>
      <c r="BH659" s="214">
        <v>0</v>
      </c>
      <c r="BI659" s="134">
        <v>1</v>
      </c>
      <c r="BJ659" s="196">
        <v>609</v>
      </c>
      <c r="BK659" s="137">
        <v>1</v>
      </c>
      <c r="BL659" s="197">
        <v>1</v>
      </c>
      <c r="BM659" s="137">
        <v>18</v>
      </c>
      <c r="BN659" s="195">
        <v>0.17733990147783252</v>
      </c>
      <c r="BO659" s="351">
        <v>108</v>
      </c>
      <c r="BP659" s="134">
        <v>0.82758620689655171</v>
      </c>
      <c r="BQ659" s="214">
        <v>84</v>
      </c>
      <c r="BR659" s="197">
        <v>102</v>
      </c>
      <c r="BS659" s="198">
        <v>0</v>
      </c>
      <c r="BT659" s="351" t="s">
        <v>103</v>
      </c>
      <c r="BU659" s="196">
        <v>0</v>
      </c>
      <c r="BV659" s="196">
        <v>0</v>
      </c>
      <c r="BW659" s="196">
        <v>0</v>
      </c>
      <c r="BX659" s="196">
        <v>0</v>
      </c>
      <c r="BY659" s="196">
        <v>0</v>
      </c>
      <c r="BZ659" s="134">
        <v>0</v>
      </c>
      <c r="CA659" s="198">
        <v>1</v>
      </c>
      <c r="CB659" s="136">
        <v>0</v>
      </c>
      <c r="CC659" s="136">
        <v>0</v>
      </c>
      <c r="CD659" s="136">
        <v>0</v>
      </c>
      <c r="CE659" s="137">
        <v>0</v>
      </c>
      <c r="CF659" s="137">
        <v>0</v>
      </c>
      <c r="CG659" s="137">
        <v>0</v>
      </c>
      <c r="CH659" s="196">
        <v>0</v>
      </c>
      <c r="CI659" s="139">
        <v>0</v>
      </c>
      <c r="CJ659" s="139">
        <v>0</v>
      </c>
      <c r="CK659" s="139" t="s">
        <v>975</v>
      </c>
      <c r="CL659" s="139" t="s">
        <v>969</v>
      </c>
      <c r="CM659" s="139" t="s">
        <v>975</v>
      </c>
      <c r="CN659" s="139" t="s">
        <v>454</v>
      </c>
      <c r="CO659" s="139">
        <v>20.677059173583999</v>
      </c>
      <c r="CP659" s="139">
        <v>92.9532470703125</v>
      </c>
      <c r="CQ659" s="139" t="s">
        <v>2086</v>
      </c>
      <c r="CR659" s="449" t="s">
        <v>40</v>
      </c>
      <c r="CS659" s="139" t="s">
        <v>2738</v>
      </c>
      <c r="CT659" s="24"/>
      <c r="CU659" s="24"/>
      <c r="CV659" s="24"/>
    </row>
    <row r="660" spans="1:100" x14ac:dyDescent="0.25">
      <c r="A660" s="293" t="s">
        <v>2691</v>
      </c>
      <c r="B660" s="206" t="s">
        <v>460</v>
      </c>
      <c r="C660" s="183" t="s">
        <v>454</v>
      </c>
      <c r="D660" s="183" t="s">
        <v>463</v>
      </c>
      <c r="E660" s="183" t="s">
        <v>861</v>
      </c>
      <c r="F660" s="206">
        <v>118</v>
      </c>
      <c r="G660" s="209">
        <v>665</v>
      </c>
      <c r="H660" s="206"/>
      <c r="I660" s="206"/>
      <c r="J660" s="207"/>
      <c r="K660" s="206"/>
      <c r="L660" s="206" t="s">
        <v>282</v>
      </c>
      <c r="M660" s="208">
        <v>0</v>
      </c>
      <c r="N660" s="208">
        <v>0</v>
      </c>
      <c r="O660" s="316">
        <v>0</v>
      </c>
      <c r="P660" s="317">
        <v>0</v>
      </c>
      <c r="Q660" s="317"/>
      <c r="R660" s="318"/>
      <c r="S660" s="318">
        <v>1</v>
      </c>
      <c r="T660" s="318"/>
      <c r="U660" s="318"/>
      <c r="V660" s="318"/>
      <c r="W660" s="318"/>
      <c r="X660" s="318"/>
      <c r="Y660" s="318"/>
      <c r="Z660" s="318"/>
      <c r="AA660" s="310">
        <v>0</v>
      </c>
      <c r="AB660" s="310"/>
      <c r="AC660" s="66"/>
      <c r="AD660" s="337"/>
      <c r="AE660" s="310">
        <v>0</v>
      </c>
      <c r="AF660" s="310" t="s">
        <v>286</v>
      </c>
      <c r="AG660" s="311" t="s">
        <v>286</v>
      </c>
      <c r="AH660" s="311"/>
      <c r="AI660" s="310"/>
      <c r="AJ660" s="310"/>
      <c r="AK660" s="841">
        <v>0</v>
      </c>
      <c r="AL660" s="842"/>
      <c r="AM660" s="842">
        <v>0</v>
      </c>
      <c r="AN660" s="837"/>
      <c r="AO660" s="837"/>
      <c r="AP660" s="843"/>
      <c r="AQ660" s="843"/>
      <c r="AR660" s="843"/>
      <c r="AS660" s="843"/>
      <c r="AT660" s="843"/>
      <c r="AU660" s="843"/>
      <c r="AV660" s="844"/>
      <c r="AW660" s="208" t="s">
        <v>3208</v>
      </c>
      <c r="AX660" s="211" t="s">
        <v>3208</v>
      </c>
      <c r="AY660" s="210" t="s">
        <v>2576</v>
      </c>
      <c r="AZ660" s="211">
        <v>0</v>
      </c>
      <c r="BA660" s="211">
        <v>0</v>
      </c>
      <c r="BB660" s="211">
        <v>0</v>
      </c>
      <c r="BC660" s="209">
        <v>0</v>
      </c>
      <c r="BD660" s="211">
        <v>0</v>
      </c>
      <c r="BE660" s="209">
        <v>0</v>
      </c>
      <c r="BF660" s="211">
        <v>0</v>
      </c>
      <c r="BG660" s="209">
        <v>0</v>
      </c>
      <c r="BH660" s="214">
        <v>0</v>
      </c>
      <c r="BI660" s="208">
        <v>1</v>
      </c>
      <c r="BJ660" s="209">
        <v>665</v>
      </c>
      <c r="BK660" s="210">
        <v>1</v>
      </c>
      <c r="BL660" s="210">
        <v>1</v>
      </c>
      <c r="BM660" s="210">
        <v>0</v>
      </c>
      <c r="BN660" s="208">
        <v>0</v>
      </c>
      <c r="BO660" s="352">
        <v>0</v>
      </c>
      <c r="BP660" s="208">
        <v>1</v>
      </c>
      <c r="BQ660" s="209">
        <v>111</v>
      </c>
      <c r="BR660" s="210">
        <v>111</v>
      </c>
      <c r="BS660" s="212">
        <v>0</v>
      </c>
      <c r="BT660" s="352" t="s">
        <v>103</v>
      </c>
      <c r="BU660" s="209">
        <v>0</v>
      </c>
      <c r="BV660" s="209">
        <v>0</v>
      </c>
      <c r="BW660" s="209">
        <v>0</v>
      </c>
      <c r="BX660" s="209">
        <v>0</v>
      </c>
      <c r="BY660" s="209">
        <v>0</v>
      </c>
      <c r="BZ660" s="208">
        <v>0</v>
      </c>
      <c r="CA660" s="212">
        <v>1</v>
      </c>
      <c r="CB660" s="211">
        <v>0</v>
      </c>
      <c r="CC660" s="211">
        <v>0</v>
      </c>
      <c r="CD660" s="211">
        <v>0</v>
      </c>
      <c r="CE660" s="210">
        <v>0</v>
      </c>
      <c r="CF660" s="210">
        <v>0</v>
      </c>
      <c r="CG660" s="210">
        <v>0</v>
      </c>
      <c r="CH660" s="209">
        <v>0</v>
      </c>
      <c r="CI660" s="139">
        <v>0</v>
      </c>
      <c r="CJ660" s="139">
        <v>0</v>
      </c>
      <c r="CK660" s="139" t="s">
        <v>969</v>
      </c>
      <c r="CL660" s="139" t="s">
        <v>969</v>
      </c>
      <c r="CM660" s="139" t="s">
        <v>969</v>
      </c>
      <c r="CN660" s="139" t="s">
        <v>454</v>
      </c>
      <c r="CO660" s="139">
        <v>20.697889328002901</v>
      </c>
      <c r="CP660" s="139">
        <v>92.951232910156307</v>
      </c>
      <c r="CQ660" s="139" t="s">
        <v>2085</v>
      </c>
      <c r="CR660" s="660" t="s">
        <v>3209</v>
      </c>
      <c r="CS660" s="660"/>
      <c r="CT660" s="24"/>
      <c r="CU660" s="24"/>
      <c r="CV660" s="24"/>
    </row>
    <row r="661" spans="1:100" x14ac:dyDescent="0.25">
      <c r="A661" s="293" t="s">
        <v>2691</v>
      </c>
      <c r="B661" s="206" t="s">
        <v>460</v>
      </c>
      <c r="C661" s="183" t="s">
        <v>454</v>
      </c>
      <c r="D661" s="183" t="s">
        <v>463</v>
      </c>
      <c r="E661" s="183" t="s">
        <v>504</v>
      </c>
      <c r="F661" s="206">
        <v>395</v>
      </c>
      <c r="G661" s="209">
        <v>1687</v>
      </c>
      <c r="H661" s="206"/>
      <c r="I661" s="206"/>
      <c r="J661" s="207"/>
      <c r="K661" s="206"/>
      <c r="L661" s="206" t="s">
        <v>282</v>
      </c>
      <c r="M661" s="208">
        <v>0</v>
      </c>
      <c r="N661" s="208">
        <v>0</v>
      </c>
      <c r="O661" s="316">
        <v>0</v>
      </c>
      <c r="P661" s="317">
        <v>0</v>
      </c>
      <c r="Q661" s="317"/>
      <c r="R661" s="318"/>
      <c r="S661" s="318">
        <v>2</v>
      </c>
      <c r="T661" s="318"/>
      <c r="U661" s="318"/>
      <c r="V661" s="318"/>
      <c r="W661" s="318"/>
      <c r="X661" s="318"/>
      <c r="Y661" s="318"/>
      <c r="Z661" s="318"/>
      <c r="AA661" s="310">
        <v>0</v>
      </c>
      <c r="AB661" s="310"/>
      <c r="AC661" s="66"/>
      <c r="AD661" s="337"/>
      <c r="AE661" s="310">
        <v>0</v>
      </c>
      <c r="AF661" s="310" t="s">
        <v>286</v>
      </c>
      <c r="AG661" s="311" t="s">
        <v>286</v>
      </c>
      <c r="AH661" s="311"/>
      <c r="AI661" s="310"/>
      <c r="AJ661" s="310"/>
      <c r="AK661" s="841">
        <v>0</v>
      </c>
      <c r="AL661" s="842"/>
      <c r="AM661" s="842">
        <v>0</v>
      </c>
      <c r="AN661" s="837"/>
      <c r="AO661" s="837"/>
      <c r="AP661" s="843"/>
      <c r="AQ661" s="843"/>
      <c r="AR661" s="843"/>
      <c r="AS661" s="843"/>
      <c r="AT661" s="843"/>
      <c r="AU661" s="843"/>
      <c r="AV661" s="844"/>
      <c r="AW661" s="208" t="s">
        <v>3208</v>
      </c>
      <c r="AX661" s="211" t="s">
        <v>3208</v>
      </c>
      <c r="AY661" s="210" t="s">
        <v>2576</v>
      </c>
      <c r="AZ661" s="211">
        <v>0</v>
      </c>
      <c r="BA661" s="211">
        <v>0</v>
      </c>
      <c r="BB661" s="211">
        <v>0</v>
      </c>
      <c r="BC661" s="209">
        <v>0</v>
      </c>
      <c r="BD661" s="211">
        <v>0</v>
      </c>
      <c r="BE661" s="209">
        <v>0</v>
      </c>
      <c r="BF661" s="211">
        <v>0</v>
      </c>
      <c r="BG661" s="209">
        <v>0</v>
      </c>
      <c r="BH661" s="214">
        <v>0</v>
      </c>
      <c r="BI661" s="208">
        <v>1</v>
      </c>
      <c r="BJ661" s="209">
        <v>1687</v>
      </c>
      <c r="BK661" s="210">
        <v>3</v>
      </c>
      <c r="BL661" s="210">
        <v>3</v>
      </c>
      <c r="BM661" s="210">
        <v>0</v>
      </c>
      <c r="BN661" s="208">
        <v>0</v>
      </c>
      <c r="BO661" s="352">
        <v>0</v>
      </c>
      <c r="BP661" s="208">
        <v>0.99940723177237689</v>
      </c>
      <c r="BQ661" s="209">
        <v>281</v>
      </c>
      <c r="BR661" s="210">
        <v>281</v>
      </c>
      <c r="BS661" s="212">
        <v>0</v>
      </c>
      <c r="BT661" s="352" t="s">
        <v>103</v>
      </c>
      <c r="BU661" s="209">
        <v>0</v>
      </c>
      <c r="BV661" s="209">
        <v>0</v>
      </c>
      <c r="BW661" s="209">
        <v>0</v>
      </c>
      <c r="BX661" s="209">
        <v>0</v>
      </c>
      <c r="BY661" s="209">
        <v>0</v>
      </c>
      <c r="BZ661" s="208">
        <v>0</v>
      </c>
      <c r="CA661" s="212">
        <v>1</v>
      </c>
      <c r="CB661" s="211">
        <v>0</v>
      </c>
      <c r="CC661" s="211">
        <v>0</v>
      </c>
      <c r="CD661" s="211">
        <v>0</v>
      </c>
      <c r="CE661" s="210">
        <v>0</v>
      </c>
      <c r="CF661" s="210">
        <v>0</v>
      </c>
      <c r="CG661" s="210">
        <v>0</v>
      </c>
      <c r="CH661" s="209">
        <v>0</v>
      </c>
      <c r="CI661" s="139">
        <v>0</v>
      </c>
      <c r="CJ661" s="139">
        <v>0</v>
      </c>
      <c r="CK661" s="139" t="s">
        <v>969</v>
      </c>
      <c r="CL661" s="139" t="s">
        <v>969</v>
      </c>
      <c r="CM661" s="139" t="s">
        <v>969</v>
      </c>
      <c r="CN661" s="139" t="s">
        <v>454</v>
      </c>
      <c r="CO661" s="139">
        <v>0</v>
      </c>
      <c r="CP661" s="139">
        <v>0</v>
      </c>
      <c r="CQ661" s="139">
        <v>0</v>
      </c>
      <c r="CR661" s="660" t="s">
        <v>3209</v>
      </c>
      <c r="CS661" s="660"/>
      <c r="CT661" s="24"/>
      <c r="CU661" s="24"/>
      <c r="CV661" s="24"/>
    </row>
    <row r="662" spans="1:100" x14ac:dyDescent="0.25">
      <c r="A662" s="293" t="s">
        <v>2691</v>
      </c>
      <c r="B662" s="101" t="s">
        <v>479</v>
      </c>
      <c r="C662" s="101" t="s">
        <v>454</v>
      </c>
      <c r="D662" s="101" t="s">
        <v>463</v>
      </c>
      <c r="E662" s="101" t="s">
        <v>796</v>
      </c>
      <c r="F662" s="132">
        <v>98</v>
      </c>
      <c r="G662" s="209">
        <v>418</v>
      </c>
      <c r="H662" s="132"/>
      <c r="I662" s="101" t="s">
        <v>495</v>
      </c>
      <c r="J662" s="133">
        <v>43615</v>
      </c>
      <c r="K662" s="101">
        <v>0</v>
      </c>
      <c r="L662" s="101" t="s">
        <v>2454</v>
      </c>
      <c r="M662" s="103">
        <v>0</v>
      </c>
      <c r="N662" s="103">
        <v>0</v>
      </c>
      <c r="O662" s="319">
        <v>0</v>
      </c>
      <c r="P662" s="320">
        <v>0</v>
      </c>
      <c r="Q662" s="321">
        <v>0</v>
      </c>
      <c r="R662" s="322">
        <v>0</v>
      </c>
      <c r="S662" s="322">
        <v>0</v>
      </c>
      <c r="T662" s="322"/>
      <c r="U662" s="317"/>
      <c r="V662" s="317"/>
      <c r="W662" s="317"/>
      <c r="X662" s="317"/>
      <c r="Y662" s="317"/>
      <c r="Z662" s="315"/>
      <c r="AA662" s="310">
        <v>36</v>
      </c>
      <c r="AB662" s="311">
        <v>0</v>
      </c>
      <c r="AC662" s="337"/>
      <c r="AD662" s="337"/>
      <c r="AE662" s="340">
        <v>0</v>
      </c>
      <c r="AF662" s="66" t="s">
        <v>1358</v>
      </c>
      <c r="AG662" s="66" t="s">
        <v>1358</v>
      </c>
      <c r="AH662" s="66"/>
      <c r="AI662" s="66"/>
      <c r="AJ662" s="341"/>
      <c r="AK662" s="845">
        <v>0</v>
      </c>
      <c r="AL662" s="846"/>
      <c r="AM662" s="844">
        <v>0</v>
      </c>
      <c r="AN662" s="837">
        <v>0</v>
      </c>
      <c r="AO662" s="837">
        <v>0</v>
      </c>
      <c r="AP662" s="843"/>
      <c r="AQ662" s="843"/>
      <c r="AR662" s="843"/>
      <c r="AS662" s="843"/>
      <c r="AT662" s="843"/>
      <c r="AU662" s="843"/>
      <c r="AV662" s="849"/>
      <c r="AW662" s="134" t="s">
        <v>3208</v>
      </c>
      <c r="AX662" s="136" t="s">
        <v>3208</v>
      </c>
      <c r="AY662" s="137" t="s">
        <v>2576</v>
      </c>
      <c r="AZ662" s="136">
        <v>0</v>
      </c>
      <c r="BA662" s="136">
        <v>0</v>
      </c>
      <c r="BB662" s="136">
        <v>0</v>
      </c>
      <c r="BC662" s="214">
        <v>0</v>
      </c>
      <c r="BD662" s="136">
        <v>0</v>
      </c>
      <c r="BE662" s="214">
        <v>0</v>
      </c>
      <c r="BF662" s="136">
        <v>0</v>
      </c>
      <c r="BG662" s="214">
        <v>0</v>
      </c>
      <c r="BH662" s="214">
        <v>0</v>
      </c>
      <c r="BI662" s="134">
        <v>1</v>
      </c>
      <c r="BJ662" s="214">
        <v>418</v>
      </c>
      <c r="BK662" s="137">
        <v>1</v>
      </c>
      <c r="BL662" s="137">
        <v>1</v>
      </c>
      <c r="BM662" s="137">
        <v>36</v>
      </c>
      <c r="BN662" s="134">
        <v>0.51674641148325362</v>
      </c>
      <c r="BO662" s="351">
        <v>216</v>
      </c>
      <c r="BP662" s="134">
        <v>0.48803827751196172</v>
      </c>
      <c r="BQ662" s="214">
        <v>34</v>
      </c>
      <c r="BR662" s="137">
        <v>70</v>
      </c>
      <c r="BS662" s="138">
        <v>0</v>
      </c>
      <c r="BT662" s="351" t="s">
        <v>103</v>
      </c>
      <c r="BU662" s="209">
        <v>0</v>
      </c>
      <c r="BV662" s="209">
        <v>0</v>
      </c>
      <c r="BW662" s="209">
        <v>0</v>
      </c>
      <c r="BX662" s="209">
        <v>0</v>
      </c>
      <c r="BY662" s="209">
        <v>0</v>
      </c>
      <c r="BZ662" s="134">
        <v>0</v>
      </c>
      <c r="CA662" s="138">
        <v>1</v>
      </c>
      <c r="CB662" s="136">
        <v>0</v>
      </c>
      <c r="CC662" s="136">
        <v>0</v>
      </c>
      <c r="CD662" s="136">
        <v>0</v>
      </c>
      <c r="CE662" s="137">
        <v>0</v>
      </c>
      <c r="CF662" s="137">
        <v>0</v>
      </c>
      <c r="CG662" s="351">
        <v>0</v>
      </c>
      <c r="CH662" s="214">
        <v>0</v>
      </c>
      <c r="CI662" s="139">
        <v>0</v>
      </c>
      <c r="CJ662" s="139">
        <v>0</v>
      </c>
      <c r="CK662" s="139" t="s">
        <v>975</v>
      </c>
      <c r="CL662" s="139" t="s">
        <v>969</v>
      </c>
      <c r="CM662" s="139" t="s">
        <v>975</v>
      </c>
      <c r="CN662" s="139" t="s">
        <v>2737</v>
      </c>
      <c r="CO662" s="139">
        <v>20.831729888916001</v>
      </c>
      <c r="CP662" s="139">
        <v>92.919639587402301</v>
      </c>
      <c r="CQ662" s="139">
        <v>196880</v>
      </c>
      <c r="CR662" s="449" t="s">
        <v>40</v>
      </c>
      <c r="CS662" s="139" t="s">
        <v>2738</v>
      </c>
      <c r="CT662" s="24"/>
      <c r="CU662" s="24"/>
      <c r="CV662" s="24"/>
    </row>
    <row r="663" spans="1:100" x14ac:dyDescent="0.25">
      <c r="A663" s="293" t="s">
        <v>2691</v>
      </c>
      <c r="B663" s="206" t="s">
        <v>460</v>
      </c>
      <c r="C663" s="183" t="s">
        <v>454</v>
      </c>
      <c r="D663" s="183" t="s">
        <v>463</v>
      </c>
      <c r="E663" s="183" t="s">
        <v>759</v>
      </c>
      <c r="F663" s="206">
        <v>144</v>
      </c>
      <c r="G663" s="209">
        <v>1006</v>
      </c>
      <c r="H663" s="206"/>
      <c r="I663" s="206"/>
      <c r="J663" s="207"/>
      <c r="K663" s="206"/>
      <c r="L663" s="206" t="s">
        <v>282</v>
      </c>
      <c r="M663" s="208">
        <v>0</v>
      </c>
      <c r="N663" s="208">
        <v>0</v>
      </c>
      <c r="O663" s="323">
        <v>0</v>
      </c>
      <c r="P663" s="317">
        <v>0</v>
      </c>
      <c r="Q663" s="317"/>
      <c r="R663" s="318"/>
      <c r="S663" s="318">
        <v>0</v>
      </c>
      <c r="T663" s="318"/>
      <c r="U663" s="318"/>
      <c r="V663" s="318"/>
      <c r="W663" s="318"/>
      <c r="X663" s="318"/>
      <c r="Y663" s="318"/>
      <c r="Z663" s="318"/>
      <c r="AA663" s="310">
        <v>33</v>
      </c>
      <c r="AB663" s="310"/>
      <c r="AC663" s="66"/>
      <c r="AD663" s="337"/>
      <c r="AE663" s="310">
        <v>0</v>
      </c>
      <c r="AF663" s="310" t="s">
        <v>286</v>
      </c>
      <c r="AG663" s="311" t="s">
        <v>286</v>
      </c>
      <c r="AH663" s="311"/>
      <c r="AI663" s="310"/>
      <c r="AJ663" s="310"/>
      <c r="AK663" s="841">
        <v>0</v>
      </c>
      <c r="AL663" s="842"/>
      <c r="AM663" s="842">
        <v>0</v>
      </c>
      <c r="AN663" s="837"/>
      <c r="AO663" s="837">
        <v>0</v>
      </c>
      <c r="AP663" s="843"/>
      <c r="AQ663" s="843"/>
      <c r="AR663" s="843"/>
      <c r="AS663" s="843"/>
      <c r="AT663" s="843"/>
      <c r="AU663" s="843"/>
      <c r="AV663" s="844"/>
      <c r="AW663" s="208" t="s">
        <v>3208</v>
      </c>
      <c r="AX663" s="211" t="s">
        <v>3208</v>
      </c>
      <c r="AY663" s="210" t="s">
        <v>2576</v>
      </c>
      <c r="AZ663" s="211">
        <v>0</v>
      </c>
      <c r="BA663" s="211">
        <v>0</v>
      </c>
      <c r="BB663" s="211">
        <v>0</v>
      </c>
      <c r="BC663" s="209">
        <v>0</v>
      </c>
      <c r="BD663" s="211">
        <v>0</v>
      </c>
      <c r="BE663" s="209">
        <v>0</v>
      </c>
      <c r="BF663" s="211">
        <v>0</v>
      </c>
      <c r="BG663" s="209">
        <v>0</v>
      </c>
      <c r="BH663" s="214">
        <v>0</v>
      </c>
      <c r="BI663" s="208">
        <v>1</v>
      </c>
      <c r="BJ663" s="209">
        <v>1006</v>
      </c>
      <c r="BK663" s="210">
        <v>2</v>
      </c>
      <c r="BL663" s="210">
        <v>2</v>
      </c>
      <c r="BM663" s="210">
        <v>33</v>
      </c>
      <c r="BN663" s="208">
        <v>0.19681908548707752</v>
      </c>
      <c r="BO663" s="352">
        <v>198</v>
      </c>
      <c r="BP663" s="208">
        <v>0.80516898608349907</v>
      </c>
      <c r="BQ663" s="209">
        <v>135</v>
      </c>
      <c r="BR663" s="210">
        <v>168</v>
      </c>
      <c r="BS663" s="212">
        <v>0</v>
      </c>
      <c r="BT663" s="352" t="s">
        <v>103</v>
      </c>
      <c r="BU663" s="209">
        <v>0</v>
      </c>
      <c r="BV663" s="209">
        <v>0</v>
      </c>
      <c r="BW663" s="209">
        <v>0</v>
      </c>
      <c r="BX663" s="209">
        <v>0</v>
      </c>
      <c r="BY663" s="209">
        <v>0</v>
      </c>
      <c r="BZ663" s="208">
        <v>0</v>
      </c>
      <c r="CA663" s="212">
        <v>1</v>
      </c>
      <c r="CB663" s="211">
        <v>0</v>
      </c>
      <c r="CC663" s="211">
        <v>0</v>
      </c>
      <c r="CD663" s="211">
        <v>0</v>
      </c>
      <c r="CE663" s="210">
        <v>0</v>
      </c>
      <c r="CF663" s="210">
        <v>0</v>
      </c>
      <c r="CG663" s="210">
        <v>0</v>
      </c>
      <c r="CH663" s="209">
        <v>0</v>
      </c>
      <c r="CI663" s="139">
        <v>0</v>
      </c>
      <c r="CJ663" s="139">
        <v>0</v>
      </c>
      <c r="CK663" s="139" t="s">
        <v>969</v>
      </c>
      <c r="CL663" s="139" t="s">
        <v>969</v>
      </c>
      <c r="CM663" s="139" t="s">
        <v>1054</v>
      </c>
      <c r="CN663" s="139" t="s">
        <v>966</v>
      </c>
      <c r="CO663" s="139">
        <v>20.78332</v>
      </c>
      <c r="CP663" s="139">
        <v>92.987399999999994</v>
      </c>
      <c r="CQ663" s="139" t="s">
        <v>1806</v>
      </c>
      <c r="CR663" s="660" t="s">
        <v>3209</v>
      </c>
      <c r="CS663" s="660"/>
      <c r="CT663" s="24"/>
      <c r="CU663" s="24"/>
      <c r="CV663" s="24"/>
    </row>
    <row r="664" spans="1:100" x14ac:dyDescent="0.25">
      <c r="A664" s="293" t="s">
        <v>2691</v>
      </c>
      <c r="B664" s="206" t="s">
        <v>453</v>
      </c>
      <c r="C664" s="183" t="s">
        <v>454</v>
      </c>
      <c r="D664" s="183" t="s">
        <v>463</v>
      </c>
      <c r="E664" s="183" t="s">
        <v>761</v>
      </c>
      <c r="F664" s="206">
        <v>233</v>
      </c>
      <c r="G664" s="395">
        <v>1163</v>
      </c>
      <c r="H664" s="183"/>
      <c r="I664" s="183" t="s">
        <v>2771</v>
      </c>
      <c r="J664" s="184">
        <v>43373</v>
      </c>
      <c r="K664" s="183"/>
      <c r="L664" s="206" t="s">
        <v>282</v>
      </c>
      <c r="M664" s="208">
        <v>0</v>
      </c>
      <c r="N664" s="208">
        <v>0</v>
      </c>
      <c r="O664" s="323">
        <v>0</v>
      </c>
      <c r="P664" s="317">
        <v>0</v>
      </c>
      <c r="Q664" s="317"/>
      <c r="R664" s="318"/>
      <c r="S664" s="318">
        <v>0</v>
      </c>
      <c r="T664" s="318"/>
      <c r="U664" s="318"/>
      <c r="V664" s="318"/>
      <c r="W664" s="318"/>
      <c r="X664" s="318"/>
      <c r="Y664" s="315"/>
      <c r="Z664" s="318"/>
      <c r="AA664" s="336">
        <v>39</v>
      </c>
      <c r="AB664" s="336"/>
      <c r="AC664" s="336"/>
      <c r="AD664" s="337"/>
      <c r="AE664" s="336">
        <v>0</v>
      </c>
      <c r="AF664" s="310" t="s">
        <v>286</v>
      </c>
      <c r="AG664" s="311" t="s">
        <v>286</v>
      </c>
      <c r="AH664" s="66"/>
      <c r="AI664" s="66"/>
      <c r="AJ664" s="311"/>
      <c r="AK664" s="841">
        <v>0</v>
      </c>
      <c r="AL664" s="846"/>
      <c r="AM664" s="844">
        <v>0</v>
      </c>
      <c r="AN664" s="837"/>
      <c r="AO664" s="837">
        <v>0</v>
      </c>
      <c r="AP664" s="843"/>
      <c r="AQ664" s="843"/>
      <c r="AR664" s="839"/>
      <c r="AS664" s="839"/>
      <c r="AT664" s="839"/>
      <c r="AU664" s="839"/>
      <c r="AV664" s="849"/>
      <c r="AW664" s="134" t="s">
        <v>3208</v>
      </c>
      <c r="AX664" s="136" t="s">
        <v>3208</v>
      </c>
      <c r="AY664" s="137" t="s">
        <v>2576</v>
      </c>
      <c r="AZ664" s="136">
        <v>0</v>
      </c>
      <c r="BA664" s="136">
        <v>0</v>
      </c>
      <c r="BB664" s="136">
        <v>0</v>
      </c>
      <c r="BC664" s="214">
        <v>0</v>
      </c>
      <c r="BD664" s="136">
        <v>0</v>
      </c>
      <c r="BE664" s="214">
        <v>0</v>
      </c>
      <c r="BF664" s="136">
        <v>0</v>
      </c>
      <c r="BG664" s="214">
        <v>0</v>
      </c>
      <c r="BH664" s="214">
        <v>0</v>
      </c>
      <c r="BI664" s="134">
        <v>1</v>
      </c>
      <c r="BJ664" s="214">
        <v>1163</v>
      </c>
      <c r="BK664" s="137">
        <v>2</v>
      </c>
      <c r="BL664" s="137">
        <v>2</v>
      </c>
      <c r="BM664" s="137">
        <v>39</v>
      </c>
      <c r="BN664" s="134">
        <v>0.20120378331900257</v>
      </c>
      <c r="BO664" s="351">
        <v>234</v>
      </c>
      <c r="BP664" s="134">
        <v>0.79965606190885641</v>
      </c>
      <c r="BQ664" s="214">
        <v>155</v>
      </c>
      <c r="BR664" s="137">
        <v>194</v>
      </c>
      <c r="BS664" s="138">
        <v>0</v>
      </c>
      <c r="BT664" s="351" t="s">
        <v>103</v>
      </c>
      <c r="BU664" s="214">
        <v>0</v>
      </c>
      <c r="BV664" s="214">
        <v>0</v>
      </c>
      <c r="BW664" s="214">
        <v>0</v>
      </c>
      <c r="BX664" s="214">
        <v>0</v>
      </c>
      <c r="BY664" s="214">
        <v>0</v>
      </c>
      <c r="BZ664" s="134">
        <v>0</v>
      </c>
      <c r="CA664" s="138">
        <v>1</v>
      </c>
      <c r="CB664" s="136">
        <v>0</v>
      </c>
      <c r="CC664" s="136">
        <v>0</v>
      </c>
      <c r="CD664" s="136">
        <v>0</v>
      </c>
      <c r="CE664" s="137">
        <v>0</v>
      </c>
      <c r="CF664" s="137">
        <v>0</v>
      </c>
      <c r="CG664" s="137">
        <v>0</v>
      </c>
      <c r="CH664" s="214">
        <v>0</v>
      </c>
      <c r="CI664" s="139">
        <v>0</v>
      </c>
      <c r="CJ664" s="139">
        <v>0</v>
      </c>
      <c r="CK664" s="139" t="s">
        <v>969</v>
      </c>
      <c r="CL664" s="139" t="s">
        <v>969</v>
      </c>
      <c r="CM664" s="139" t="s">
        <v>969</v>
      </c>
      <c r="CN664" s="139" t="s">
        <v>454</v>
      </c>
      <c r="CO664" s="139">
        <v>20.785699844360401</v>
      </c>
      <c r="CP664" s="139">
        <v>92.986633300781307</v>
      </c>
      <c r="CQ664" s="139" t="s">
        <v>1808</v>
      </c>
      <c r="CR664" s="449" t="s">
        <v>40</v>
      </c>
      <c r="CS664" s="449"/>
      <c r="CT664" s="24"/>
      <c r="CU664" s="24"/>
      <c r="CV664" s="24"/>
    </row>
    <row r="665" spans="1:100" x14ac:dyDescent="0.25">
      <c r="A665" s="293" t="s">
        <v>2691</v>
      </c>
      <c r="B665" s="206" t="s">
        <v>479</v>
      </c>
      <c r="C665" s="183" t="s">
        <v>454</v>
      </c>
      <c r="D665" s="183" t="s">
        <v>463</v>
      </c>
      <c r="E665" s="183" t="s">
        <v>858</v>
      </c>
      <c r="F665" s="206">
        <v>454</v>
      </c>
      <c r="G665" s="209">
        <v>3020</v>
      </c>
      <c r="H665" s="206"/>
      <c r="I665" s="206" t="s">
        <v>495</v>
      </c>
      <c r="J665" s="207">
        <v>43615</v>
      </c>
      <c r="K665" s="206">
        <v>0</v>
      </c>
      <c r="L665" s="206" t="s">
        <v>2454</v>
      </c>
      <c r="M665" s="208">
        <v>0</v>
      </c>
      <c r="N665" s="208">
        <v>0</v>
      </c>
      <c r="O665" s="316">
        <v>0</v>
      </c>
      <c r="P665" s="317">
        <v>0</v>
      </c>
      <c r="Q665" s="317">
        <v>0</v>
      </c>
      <c r="R665" s="318">
        <v>0</v>
      </c>
      <c r="S665" s="318">
        <v>2</v>
      </c>
      <c r="T665" s="318"/>
      <c r="U665" s="318"/>
      <c r="V665" s="318"/>
      <c r="W665" s="318"/>
      <c r="X665" s="318"/>
      <c r="Y665" s="318"/>
      <c r="Z665" s="318"/>
      <c r="AA665" s="310">
        <v>5</v>
      </c>
      <c r="AB665" s="310">
        <v>0</v>
      </c>
      <c r="AC665" s="66"/>
      <c r="AD665" s="337"/>
      <c r="AE665" s="310">
        <v>0</v>
      </c>
      <c r="AF665" s="310" t="s">
        <v>332</v>
      </c>
      <c r="AG665" s="310" t="s">
        <v>332</v>
      </c>
      <c r="AH665" s="311"/>
      <c r="AI665" s="310"/>
      <c r="AJ665" s="310"/>
      <c r="AK665" s="841">
        <v>0</v>
      </c>
      <c r="AL665" s="842"/>
      <c r="AM665" s="842">
        <v>0</v>
      </c>
      <c r="AN665" s="837">
        <v>0</v>
      </c>
      <c r="AO665" s="837">
        <v>0</v>
      </c>
      <c r="AP665" s="843"/>
      <c r="AQ665" s="843"/>
      <c r="AR665" s="843"/>
      <c r="AS665" s="843"/>
      <c r="AT665" s="843"/>
      <c r="AU665" s="843"/>
      <c r="AV665" s="844"/>
      <c r="AW665" s="208" t="s">
        <v>3208</v>
      </c>
      <c r="AX665" s="211" t="s">
        <v>3208</v>
      </c>
      <c r="AY665" s="210" t="s">
        <v>2576</v>
      </c>
      <c r="AZ665" s="211">
        <v>0</v>
      </c>
      <c r="BA665" s="211">
        <v>0</v>
      </c>
      <c r="BB665" s="211">
        <v>0</v>
      </c>
      <c r="BC665" s="209">
        <v>0</v>
      </c>
      <c r="BD665" s="211">
        <v>0</v>
      </c>
      <c r="BE665" s="209">
        <v>0</v>
      </c>
      <c r="BF665" s="211">
        <v>0</v>
      </c>
      <c r="BG665" s="209">
        <v>0</v>
      </c>
      <c r="BH665" s="214">
        <v>0</v>
      </c>
      <c r="BI665" s="208">
        <v>1</v>
      </c>
      <c r="BJ665" s="209">
        <v>3020</v>
      </c>
      <c r="BK665" s="210">
        <v>6</v>
      </c>
      <c r="BL665" s="210">
        <v>6</v>
      </c>
      <c r="BM665" s="210">
        <v>5</v>
      </c>
      <c r="BN665" s="208">
        <v>9.9337748344370865E-3</v>
      </c>
      <c r="BO665" s="352">
        <v>30</v>
      </c>
      <c r="BP665" s="208">
        <v>0.98940397350993381</v>
      </c>
      <c r="BQ665" s="209">
        <v>498</v>
      </c>
      <c r="BR665" s="210">
        <v>503</v>
      </c>
      <c r="BS665" s="212">
        <v>0</v>
      </c>
      <c r="BT665" s="352" t="s">
        <v>103</v>
      </c>
      <c r="BU665" s="209">
        <v>0</v>
      </c>
      <c r="BV665" s="209">
        <v>0</v>
      </c>
      <c r="BW665" s="209">
        <v>0</v>
      </c>
      <c r="BX665" s="209">
        <v>0</v>
      </c>
      <c r="BY665" s="209">
        <v>0</v>
      </c>
      <c r="BZ665" s="208">
        <v>0</v>
      </c>
      <c r="CA665" s="212">
        <v>1</v>
      </c>
      <c r="CB665" s="211">
        <v>0</v>
      </c>
      <c r="CC665" s="211">
        <v>0</v>
      </c>
      <c r="CD665" s="211">
        <v>0</v>
      </c>
      <c r="CE665" s="210">
        <v>0</v>
      </c>
      <c r="CF665" s="210">
        <v>0</v>
      </c>
      <c r="CG665" s="210">
        <v>0</v>
      </c>
      <c r="CH665" s="209">
        <v>0</v>
      </c>
      <c r="CI665" s="139">
        <v>0</v>
      </c>
      <c r="CJ665" s="139">
        <v>0</v>
      </c>
      <c r="CK665" s="139" t="s">
        <v>975</v>
      </c>
      <c r="CL665" s="139" t="s">
        <v>969</v>
      </c>
      <c r="CM665" s="139" t="s">
        <v>975</v>
      </c>
      <c r="CN665" s="139" t="s">
        <v>966</v>
      </c>
      <c r="CO665" s="139">
        <v>20.859569549560501</v>
      </c>
      <c r="CP665" s="139">
        <v>92.941146850585895</v>
      </c>
      <c r="CQ665" s="139" t="s">
        <v>2082</v>
      </c>
      <c r="CR665" s="660" t="s">
        <v>40</v>
      </c>
      <c r="CS665" s="139" t="s">
        <v>2738</v>
      </c>
      <c r="CT665" s="24"/>
      <c r="CU665" s="24"/>
      <c r="CV665" s="24"/>
    </row>
    <row r="666" spans="1:100" x14ac:dyDescent="0.25">
      <c r="A666" s="293" t="s">
        <v>2691</v>
      </c>
      <c r="B666" s="183" t="s">
        <v>479</v>
      </c>
      <c r="C666" s="183" t="s">
        <v>454</v>
      </c>
      <c r="D666" s="183" t="s">
        <v>463</v>
      </c>
      <c r="E666" s="183" t="s">
        <v>804</v>
      </c>
      <c r="F666" s="183">
        <v>513</v>
      </c>
      <c r="G666" s="395">
        <v>3224</v>
      </c>
      <c r="H666" s="183"/>
      <c r="I666" s="183" t="s">
        <v>495</v>
      </c>
      <c r="J666" s="184">
        <v>43615</v>
      </c>
      <c r="K666" s="183">
        <v>0</v>
      </c>
      <c r="L666" s="183" t="s">
        <v>2454</v>
      </c>
      <c r="M666" s="185">
        <v>0</v>
      </c>
      <c r="N666" s="185">
        <v>0</v>
      </c>
      <c r="O666" s="319">
        <v>0</v>
      </c>
      <c r="P666" s="320">
        <v>0</v>
      </c>
      <c r="Q666" s="324">
        <v>0</v>
      </c>
      <c r="R666" s="325">
        <v>0</v>
      </c>
      <c r="S666" s="325">
        <v>0</v>
      </c>
      <c r="T666" s="325"/>
      <c r="U666" s="315"/>
      <c r="V666" s="315"/>
      <c r="W666" s="315"/>
      <c r="X666" s="315"/>
      <c r="Y666" s="315"/>
      <c r="Z666" s="315"/>
      <c r="AA666" s="336">
        <v>0</v>
      </c>
      <c r="AB666" s="336">
        <v>0</v>
      </c>
      <c r="AC666" s="342"/>
      <c r="AD666" s="337"/>
      <c r="AE666" s="342">
        <v>0</v>
      </c>
      <c r="AF666" s="66" t="s">
        <v>1358</v>
      </c>
      <c r="AG666" s="66" t="s">
        <v>1358</v>
      </c>
      <c r="AH666" s="337"/>
      <c r="AI666" s="337"/>
      <c r="AJ666" s="342"/>
      <c r="AK666" s="851">
        <v>0</v>
      </c>
      <c r="AL666" s="855"/>
      <c r="AM666" s="836">
        <v>0</v>
      </c>
      <c r="AN666" s="837">
        <v>0</v>
      </c>
      <c r="AO666" s="837">
        <v>0</v>
      </c>
      <c r="AP666" s="843"/>
      <c r="AQ666" s="839"/>
      <c r="AR666" s="839"/>
      <c r="AS666" s="839"/>
      <c r="AT666" s="839"/>
      <c r="AU666" s="839"/>
      <c r="AV666" s="852"/>
      <c r="AW666" s="134" t="s">
        <v>3208</v>
      </c>
      <c r="AX666" s="136" t="s">
        <v>3208</v>
      </c>
      <c r="AY666" s="137" t="s">
        <v>2576</v>
      </c>
      <c r="AZ666" s="136">
        <v>0</v>
      </c>
      <c r="BA666" s="136">
        <v>0</v>
      </c>
      <c r="BB666" s="136">
        <v>0</v>
      </c>
      <c r="BC666" s="214">
        <v>0</v>
      </c>
      <c r="BD666" s="136">
        <v>0</v>
      </c>
      <c r="BE666" s="214">
        <v>0</v>
      </c>
      <c r="BF666" s="136">
        <v>0</v>
      </c>
      <c r="BG666" s="214">
        <v>0</v>
      </c>
      <c r="BH666" s="214">
        <v>0</v>
      </c>
      <c r="BI666" s="134">
        <v>1</v>
      </c>
      <c r="BJ666" s="214">
        <v>3224</v>
      </c>
      <c r="BK666" s="137">
        <v>6</v>
      </c>
      <c r="BL666" s="137">
        <v>6</v>
      </c>
      <c r="BM666" s="137">
        <v>0</v>
      </c>
      <c r="BN666" s="134">
        <v>0</v>
      </c>
      <c r="BO666" s="351">
        <v>0</v>
      </c>
      <c r="BP666" s="134">
        <v>0.99937965260545902</v>
      </c>
      <c r="BQ666" s="214">
        <v>537</v>
      </c>
      <c r="BR666" s="137">
        <v>537</v>
      </c>
      <c r="BS666" s="138">
        <v>0</v>
      </c>
      <c r="BT666" s="351" t="s">
        <v>103</v>
      </c>
      <c r="BU666" s="209">
        <v>0</v>
      </c>
      <c r="BV666" s="209">
        <v>0</v>
      </c>
      <c r="BW666" s="209">
        <v>0</v>
      </c>
      <c r="BX666" s="209">
        <v>0</v>
      </c>
      <c r="BY666" s="209">
        <v>0</v>
      </c>
      <c r="BZ666" s="134">
        <v>0</v>
      </c>
      <c r="CA666" s="138">
        <v>1</v>
      </c>
      <c r="CB666" s="136">
        <v>0</v>
      </c>
      <c r="CC666" s="136">
        <v>0</v>
      </c>
      <c r="CD666" s="136">
        <v>0</v>
      </c>
      <c r="CE666" s="137">
        <v>0</v>
      </c>
      <c r="CF666" s="137">
        <v>0</v>
      </c>
      <c r="CG666" s="351">
        <v>0</v>
      </c>
      <c r="CH666" s="214">
        <v>0</v>
      </c>
      <c r="CI666" s="139">
        <v>0</v>
      </c>
      <c r="CJ666" s="139">
        <v>0</v>
      </c>
      <c r="CK666" s="139" t="s">
        <v>975</v>
      </c>
      <c r="CL666" s="139" t="s">
        <v>969</v>
      </c>
      <c r="CM666" s="139" t="s">
        <v>975</v>
      </c>
      <c r="CN666" s="139" t="s">
        <v>966</v>
      </c>
      <c r="CO666" s="139">
        <v>20.864519119262699</v>
      </c>
      <c r="CP666" s="139">
        <v>92.940399169921903</v>
      </c>
      <c r="CQ666" s="139">
        <v>196817</v>
      </c>
      <c r="CR666" s="449" t="s">
        <v>40</v>
      </c>
      <c r="CS666" s="139" t="s">
        <v>2738</v>
      </c>
      <c r="CT666" s="24"/>
      <c r="CU666" s="24"/>
      <c r="CV666" s="24"/>
    </row>
    <row r="667" spans="1:100" x14ac:dyDescent="0.25">
      <c r="A667" s="293" t="s">
        <v>2691</v>
      </c>
      <c r="B667" s="206" t="s">
        <v>479</v>
      </c>
      <c r="C667" s="183" t="s">
        <v>454</v>
      </c>
      <c r="D667" s="183" t="s">
        <v>463</v>
      </c>
      <c r="E667" s="183" t="s">
        <v>2739</v>
      </c>
      <c r="F667" s="206">
        <v>168</v>
      </c>
      <c r="G667" s="209">
        <v>1002</v>
      </c>
      <c r="H667" s="206"/>
      <c r="I667" s="206" t="s">
        <v>495</v>
      </c>
      <c r="J667" s="207">
        <v>43615</v>
      </c>
      <c r="K667" s="206">
        <v>0</v>
      </c>
      <c r="L667" s="206" t="s">
        <v>2454</v>
      </c>
      <c r="M667" s="208">
        <v>0</v>
      </c>
      <c r="N667" s="208">
        <v>0</v>
      </c>
      <c r="O667" s="316">
        <v>0</v>
      </c>
      <c r="P667" s="317">
        <v>0</v>
      </c>
      <c r="Q667" s="317">
        <v>0</v>
      </c>
      <c r="R667" s="318">
        <v>0</v>
      </c>
      <c r="S667" s="318">
        <v>0</v>
      </c>
      <c r="T667" s="318"/>
      <c r="U667" s="318"/>
      <c r="V667" s="318"/>
      <c r="W667" s="318"/>
      <c r="X667" s="318"/>
      <c r="Y667" s="318"/>
      <c r="Z667" s="318"/>
      <c r="AA667" s="310">
        <v>1</v>
      </c>
      <c r="AB667" s="310">
        <v>0</v>
      </c>
      <c r="AC667" s="66"/>
      <c r="AD667" s="337"/>
      <c r="AE667" s="310">
        <v>0</v>
      </c>
      <c r="AF667" s="66" t="s">
        <v>1358</v>
      </c>
      <c r="AG667" s="66" t="s">
        <v>1358</v>
      </c>
      <c r="AH667" s="311"/>
      <c r="AI667" s="310"/>
      <c r="AJ667" s="310"/>
      <c r="AK667" s="841">
        <v>0</v>
      </c>
      <c r="AL667" s="842"/>
      <c r="AM667" s="842">
        <v>0</v>
      </c>
      <c r="AN667" s="837">
        <v>0</v>
      </c>
      <c r="AO667" s="837">
        <v>0</v>
      </c>
      <c r="AP667" s="843"/>
      <c r="AQ667" s="843"/>
      <c r="AR667" s="843"/>
      <c r="AS667" s="843"/>
      <c r="AT667" s="843"/>
      <c r="AU667" s="843"/>
      <c r="AV667" s="844"/>
      <c r="AW667" s="208" t="s">
        <v>3208</v>
      </c>
      <c r="AX667" s="211" t="s">
        <v>3208</v>
      </c>
      <c r="AY667" s="210" t="s">
        <v>2576</v>
      </c>
      <c r="AZ667" s="211">
        <v>0</v>
      </c>
      <c r="BA667" s="211">
        <v>0</v>
      </c>
      <c r="BB667" s="211">
        <v>0</v>
      </c>
      <c r="BC667" s="209">
        <v>0</v>
      </c>
      <c r="BD667" s="211">
        <v>0</v>
      </c>
      <c r="BE667" s="209">
        <v>0</v>
      </c>
      <c r="BF667" s="211">
        <v>0</v>
      </c>
      <c r="BG667" s="209">
        <v>0</v>
      </c>
      <c r="BH667" s="214">
        <v>0</v>
      </c>
      <c r="BI667" s="208">
        <v>1</v>
      </c>
      <c r="BJ667" s="209">
        <v>1002</v>
      </c>
      <c r="BK667" s="210">
        <v>2</v>
      </c>
      <c r="BL667" s="210">
        <v>2</v>
      </c>
      <c r="BM667" s="210">
        <v>1</v>
      </c>
      <c r="BN667" s="208">
        <v>5.9880239520958087E-3</v>
      </c>
      <c r="BO667" s="352">
        <v>6</v>
      </c>
      <c r="BP667" s="208">
        <v>0.99401197604790414</v>
      </c>
      <c r="BQ667" s="209">
        <v>166</v>
      </c>
      <c r="BR667" s="210">
        <v>167</v>
      </c>
      <c r="BS667" s="212">
        <v>0</v>
      </c>
      <c r="BT667" s="352" t="s">
        <v>103</v>
      </c>
      <c r="BU667" s="209">
        <v>0</v>
      </c>
      <c r="BV667" s="209">
        <v>0</v>
      </c>
      <c r="BW667" s="209">
        <v>0</v>
      </c>
      <c r="BX667" s="209">
        <v>0</v>
      </c>
      <c r="BY667" s="209">
        <v>0</v>
      </c>
      <c r="BZ667" s="208">
        <v>0</v>
      </c>
      <c r="CA667" s="212">
        <v>1</v>
      </c>
      <c r="CB667" s="211">
        <v>0</v>
      </c>
      <c r="CC667" s="211">
        <v>0</v>
      </c>
      <c r="CD667" s="211">
        <v>0</v>
      </c>
      <c r="CE667" s="210">
        <v>0</v>
      </c>
      <c r="CF667" s="210">
        <v>0</v>
      </c>
      <c r="CG667" s="210">
        <v>0</v>
      </c>
      <c r="CH667" s="209">
        <v>0</v>
      </c>
      <c r="CI667" s="139">
        <v>0</v>
      </c>
      <c r="CJ667" s="139">
        <v>0</v>
      </c>
      <c r="CK667" s="139" t="s">
        <v>975</v>
      </c>
      <c r="CL667" s="139" t="s">
        <v>969</v>
      </c>
      <c r="CM667" s="139" t="s">
        <v>975</v>
      </c>
      <c r="CN667" s="139" t="s">
        <v>966</v>
      </c>
      <c r="CO667" s="139">
        <v>0</v>
      </c>
      <c r="CP667" s="139">
        <v>0</v>
      </c>
      <c r="CQ667" s="139">
        <v>196818</v>
      </c>
      <c r="CR667" s="660" t="s">
        <v>40</v>
      </c>
      <c r="CS667" s="139" t="s">
        <v>2738</v>
      </c>
      <c r="CT667" s="24"/>
      <c r="CU667" s="24"/>
      <c r="CV667" s="24"/>
    </row>
    <row r="668" spans="1:100" x14ac:dyDescent="0.25">
      <c r="A668" s="293" t="s">
        <v>2691</v>
      </c>
      <c r="B668" s="101" t="s">
        <v>460</v>
      </c>
      <c r="C668" s="101" t="s">
        <v>454</v>
      </c>
      <c r="D668" s="101" t="s">
        <v>463</v>
      </c>
      <c r="E668" s="101" t="s">
        <v>780</v>
      </c>
      <c r="F668" s="206">
        <f>ROUND(WWWW[[#This Row],[Total PoP ]]/5,0)</f>
        <v>181</v>
      </c>
      <c r="G668" s="396">
        <v>907</v>
      </c>
      <c r="H668" s="101"/>
      <c r="I668" s="101"/>
      <c r="J668" s="102"/>
      <c r="K668" s="101"/>
      <c r="L668" s="206" t="s">
        <v>282</v>
      </c>
      <c r="M668" s="208">
        <v>0</v>
      </c>
      <c r="N668" s="208">
        <v>0</v>
      </c>
      <c r="O668" s="320">
        <v>0</v>
      </c>
      <c r="P668" s="320">
        <v>0</v>
      </c>
      <c r="Q668" s="326"/>
      <c r="R668" s="315"/>
      <c r="S668" s="315">
        <v>0</v>
      </c>
      <c r="T668" s="315"/>
      <c r="U668" s="315"/>
      <c r="V668" s="315"/>
      <c r="W668" s="315"/>
      <c r="X668" s="315"/>
      <c r="Y668" s="315"/>
      <c r="Z668" s="315"/>
      <c r="AA668" s="336">
        <v>41</v>
      </c>
      <c r="AB668" s="336"/>
      <c r="AC668" s="337"/>
      <c r="AD668" s="337"/>
      <c r="AE668" s="336">
        <v>0</v>
      </c>
      <c r="AF668" s="336" t="s">
        <v>286</v>
      </c>
      <c r="AG668" s="339" t="s">
        <v>286</v>
      </c>
      <c r="AH668" s="337"/>
      <c r="AI668" s="337"/>
      <c r="AJ668" s="336"/>
      <c r="AK668" s="848">
        <v>0</v>
      </c>
      <c r="AL668" s="836"/>
      <c r="AM668" s="836">
        <v>0</v>
      </c>
      <c r="AN668" s="837"/>
      <c r="AO668" s="837">
        <v>0</v>
      </c>
      <c r="AP668" s="843"/>
      <c r="AQ668" s="839"/>
      <c r="AR668" s="839"/>
      <c r="AS668" s="839"/>
      <c r="AT668" s="839"/>
      <c r="AU668" s="839"/>
      <c r="AV668" s="849"/>
      <c r="AW668" s="134" t="s">
        <v>3208</v>
      </c>
      <c r="AX668" s="136" t="s">
        <v>3208</v>
      </c>
      <c r="AY668" s="137" t="s">
        <v>2576</v>
      </c>
      <c r="AZ668" s="136">
        <v>0</v>
      </c>
      <c r="BA668" s="136">
        <v>0</v>
      </c>
      <c r="BB668" s="136">
        <v>0</v>
      </c>
      <c r="BC668" s="214">
        <v>0</v>
      </c>
      <c r="BD668" s="136">
        <v>0</v>
      </c>
      <c r="BE668" s="214">
        <v>0</v>
      </c>
      <c r="BF668" s="136">
        <v>0</v>
      </c>
      <c r="BG668" s="214">
        <v>0</v>
      </c>
      <c r="BH668" s="214">
        <v>0</v>
      </c>
      <c r="BI668" s="134">
        <v>1</v>
      </c>
      <c r="BJ668" s="214">
        <v>907</v>
      </c>
      <c r="BK668" s="137">
        <v>2</v>
      </c>
      <c r="BL668" s="137">
        <v>2</v>
      </c>
      <c r="BM668" s="137">
        <v>41</v>
      </c>
      <c r="BN668" s="134">
        <v>0.27122381477398017</v>
      </c>
      <c r="BO668" s="351">
        <v>246</v>
      </c>
      <c r="BP668" s="134">
        <v>0.72767364939360535</v>
      </c>
      <c r="BQ668" s="214">
        <v>110</v>
      </c>
      <c r="BR668" s="137">
        <v>151</v>
      </c>
      <c r="BS668" s="138">
        <v>0</v>
      </c>
      <c r="BT668" s="351" t="s">
        <v>103</v>
      </c>
      <c r="BU668" s="209">
        <v>0</v>
      </c>
      <c r="BV668" s="209">
        <v>0</v>
      </c>
      <c r="BW668" s="209">
        <v>0</v>
      </c>
      <c r="BX668" s="209">
        <v>0</v>
      </c>
      <c r="BY668" s="209">
        <v>0</v>
      </c>
      <c r="BZ668" s="134">
        <v>0</v>
      </c>
      <c r="CA668" s="138">
        <v>1</v>
      </c>
      <c r="CB668" s="136">
        <v>0</v>
      </c>
      <c r="CC668" s="136">
        <v>0</v>
      </c>
      <c r="CD668" s="136">
        <v>0</v>
      </c>
      <c r="CE668" s="137">
        <v>0</v>
      </c>
      <c r="CF668" s="137">
        <v>0</v>
      </c>
      <c r="CG668" s="351">
        <v>0</v>
      </c>
      <c r="CH668" s="214">
        <v>0</v>
      </c>
      <c r="CI668" s="139">
        <v>0</v>
      </c>
      <c r="CJ668" s="139">
        <v>0</v>
      </c>
      <c r="CK668" s="139" t="s">
        <v>969</v>
      </c>
      <c r="CL668" s="139" t="s">
        <v>969</v>
      </c>
      <c r="CM668" s="139" t="s">
        <v>969</v>
      </c>
      <c r="CN668" s="139" t="s">
        <v>454</v>
      </c>
      <c r="CO668" s="139">
        <v>20.806400299072301</v>
      </c>
      <c r="CP668" s="139">
        <v>92.982147216796903</v>
      </c>
      <c r="CQ668" s="139" t="s">
        <v>1823</v>
      </c>
      <c r="CR668" s="449" t="s">
        <v>3209</v>
      </c>
      <c r="CS668" s="139"/>
      <c r="CT668" s="24"/>
      <c r="CU668" s="24"/>
      <c r="CV668" s="24"/>
    </row>
    <row r="669" spans="1:100" x14ac:dyDescent="0.25">
      <c r="A669" s="293" t="s">
        <v>2691</v>
      </c>
      <c r="B669" s="206" t="s">
        <v>479</v>
      </c>
      <c r="C669" s="183" t="s">
        <v>454</v>
      </c>
      <c r="D669" s="183" t="s">
        <v>463</v>
      </c>
      <c r="E669" s="183" t="s">
        <v>671</v>
      </c>
      <c r="F669" s="206">
        <v>173</v>
      </c>
      <c r="G669" s="209">
        <v>867</v>
      </c>
      <c r="H669" s="206"/>
      <c r="I669" s="206" t="s">
        <v>495</v>
      </c>
      <c r="J669" s="207">
        <v>43615</v>
      </c>
      <c r="K669" s="206">
        <v>20</v>
      </c>
      <c r="L669" s="206" t="s">
        <v>2454</v>
      </c>
      <c r="M669" s="208">
        <v>0</v>
      </c>
      <c r="N669" s="208">
        <v>0</v>
      </c>
      <c r="O669" s="316">
        <v>0</v>
      </c>
      <c r="P669" s="317">
        <v>0</v>
      </c>
      <c r="Q669" s="317">
        <v>0</v>
      </c>
      <c r="R669" s="318">
        <v>0</v>
      </c>
      <c r="S669" s="318">
        <v>0</v>
      </c>
      <c r="T669" s="318"/>
      <c r="U669" s="318"/>
      <c r="V669" s="318"/>
      <c r="W669" s="318"/>
      <c r="X669" s="318"/>
      <c r="Y669" s="318"/>
      <c r="Z669" s="318"/>
      <c r="AA669" s="310">
        <v>17</v>
      </c>
      <c r="AB669" s="310">
        <v>0</v>
      </c>
      <c r="AC669" s="66"/>
      <c r="AD669" s="337"/>
      <c r="AE669" s="310">
        <v>0</v>
      </c>
      <c r="AF669" s="66" t="s">
        <v>1358</v>
      </c>
      <c r="AG669" s="66" t="s">
        <v>1358</v>
      </c>
      <c r="AH669" s="311"/>
      <c r="AI669" s="310"/>
      <c r="AJ669" s="310"/>
      <c r="AK669" s="841">
        <v>0</v>
      </c>
      <c r="AL669" s="842"/>
      <c r="AM669" s="842">
        <v>0</v>
      </c>
      <c r="AN669" s="837">
        <v>0</v>
      </c>
      <c r="AO669" s="837">
        <v>0</v>
      </c>
      <c r="AP669" s="843"/>
      <c r="AQ669" s="843"/>
      <c r="AR669" s="843"/>
      <c r="AS669" s="843"/>
      <c r="AT669" s="843"/>
      <c r="AU669" s="843"/>
      <c r="AV669" s="844"/>
      <c r="AW669" s="208" t="s">
        <v>3208</v>
      </c>
      <c r="AX669" s="211" t="s">
        <v>3208</v>
      </c>
      <c r="AY669" s="210" t="s">
        <v>2576</v>
      </c>
      <c r="AZ669" s="211">
        <v>0</v>
      </c>
      <c r="BA669" s="211">
        <v>0</v>
      </c>
      <c r="BB669" s="211">
        <v>0</v>
      </c>
      <c r="BC669" s="209">
        <v>0</v>
      </c>
      <c r="BD669" s="211">
        <v>0</v>
      </c>
      <c r="BE669" s="209">
        <v>0</v>
      </c>
      <c r="BF669" s="211">
        <v>0</v>
      </c>
      <c r="BG669" s="209">
        <v>0</v>
      </c>
      <c r="BH669" s="214">
        <v>0</v>
      </c>
      <c r="BI669" s="208">
        <v>1</v>
      </c>
      <c r="BJ669" s="209">
        <v>867</v>
      </c>
      <c r="BK669" s="210">
        <v>2</v>
      </c>
      <c r="BL669" s="210">
        <v>2</v>
      </c>
      <c r="BM669" s="210">
        <v>17</v>
      </c>
      <c r="BN669" s="208">
        <v>0.11764705882352941</v>
      </c>
      <c r="BO669" s="352">
        <v>102</v>
      </c>
      <c r="BP669" s="208">
        <v>0.88581314878892736</v>
      </c>
      <c r="BQ669" s="209">
        <v>128</v>
      </c>
      <c r="BR669" s="210">
        <v>145</v>
      </c>
      <c r="BS669" s="212">
        <v>0</v>
      </c>
      <c r="BT669" s="352" t="s">
        <v>103</v>
      </c>
      <c r="BU669" s="209">
        <v>0</v>
      </c>
      <c r="BV669" s="209">
        <v>0</v>
      </c>
      <c r="BW669" s="209">
        <v>0</v>
      </c>
      <c r="BX669" s="209">
        <v>0</v>
      </c>
      <c r="BY669" s="209">
        <v>0</v>
      </c>
      <c r="BZ669" s="208">
        <v>0</v>
      </c>
      <c r="CA669" s="212">
        <v>1</v>
      </c>
      <c r="CB669" s="211">
        <v>0</v>
      </c>
      <c r="CC669" s="211">
        <v>0</v>
      </c>
      <c r="CD669" s="211">
        <v>0</v>
      </c>
      <c r="CE669" s="210">
        <v>0</v>
      </c>
      <c r="CF669" s="210">
        <v>0</v>
      </c>
      <c r="CG669" s="210">
        <v>0</v>
      </c>
      <c r="CH669" s="209">
        <v>0</v>
      </c>
      <c r="CI669" s="139">
        <v>0</v>
      </c>
      <c r="CJ669" s="139">
        <v>0</v>
      </c>
      <c r="CK669" s="139" t="s">
        <v>969</v>
      </c>
      <c r="CL669" s="139" t="s">
        <v>969</v>
      </c>
      <c r="CM669" s="139" t="s">
        <v>1054</v>
      </c>
      <c r="CN669" s="139" t="s">
        <v>966</v>
      </c>
      <c r="CO669" s="139">
        <v>20.587142</v>
      </c>
      <c r="CP669" s="139">
        <v>93.258573999999996</v>
      </c>
      <c r="CQ669" s="139" t="s">
        <v>1728</v>
      </c>
      <c r="CR669" s="660" t="s">
        <v>40</v>
      </c>
      <c r="CS669" s="139" t="s">
        <v>2738</v>
      </c>
      <c r="CT669" s="24"/>
      <c r="CU669" s="24"/>
      <c r="CV669" s="24"/>
    </row>
    <row r="670" spans="1:100" x14ac:dyDescent="0.25">
      <c r="A670" s="293" t="s">
        <v>2691</v>
      </c>
      <c r="B670" s="183" t="s">
        <v>479</v>
      </c>
      <c r="C670" s="183" t="s">
        <v>454</v>
      </c>
      <c r="D670" s="183" t="s">
        <v>463</v>
      </c>
      <c r="E670" s="183" t="s">
        <v>860</v>
      </c>
      <c r="F670" s="183">
        <v>90</v>
      </c>
      <c r="G670" s="395">
        <v>375</v>
      </c>
      <c r="H670" s="183"/>
      <c r="I670" s="183" t="s">
        <v>495</v>
      </c>
      <c r="J670" s="184">
        <v>43615</v>
      </c>
      <c r="K670" s="183">
        <v>0</v>
      </c>
      <c r="L670" s="183" t="s">
        <v>2454</v>
      </c>
      <c r="M670" s="185">
        <v>0</v>
      </c>
      <c r="N670" s="185">
        <v>0</v>
      </c>
      <c r="O670" s="319"/>
      <c r="P670" s="320"/>
      <c r="Q670" s="324"/>
      <c r="R670" s="325"/>
      <c r="S670" s="325"/>
      <c r="T670" s="325"/>
      <c r="U670" s="315"/>
      <c r="V670" s="315"/>
      <c r="W670" s="315"/>
      <c r="X670" s="315"/>
      <c r="Y670" s="315"/>
      <c r="Z670" s="315"/>
      <c r="AA670" s="336"/>
      <c r="AB670" s="336"/>
      <c r="AC670" s="342"/>
      <c r="AD670" s="337"/>
      <c r="AE670" s="342"/>
      <c r="AF670" s="310" t="s">
        <v>286</v>
      </c>
      <c r="AG670" s="310" t="s">
        <v>286</v>
      </c>
      <c r="AH670" s="337"/>
      <c r="AI670" s="337"/>
      <c r="AJ670" s="342"/>
      <c r="AK670" s="851"/>
      <c r="AL670" s="855"/>
      <c r="AM670" s="836"/>
      <c r="AN670" s="837"/>
      <c r="AO670" s="837"/>
      <c r="AP670" s="843"/>
      <c r="AQ670" s="839"/>
      <c r="AR670" s="839"/>
      <c r="AS670" s="839"/>
      <c r="AT670" s="839"/>
      <c r="AU670" s="839"/>
      <c r="AV670" s="852"/>
      <c r="AW670" s="134" t="s">
        <v>3208</v>
      </c>
      <c r="AX670" s="136" t="s">
        <v>3208</v>
      </c>
      <c r="AY670" s="137" t="s">
        <v>2576</v>
      </c>
      <c r="AZ670" s="136">
        <v>0</v>
      </c>
      <c r="BA670" s="136">
        <v>0</v>
      </c>
      <c r="BB670" s="136">
        <v>0</v>
      </c>
      <c r="BC670" s="214">
        <v>0</v>
      </c>
      <c r="BD670" s="136">
        <v>0</v>
      </c>
      <c r="BE670" s="214">
        <v>0</v>
      </c>
      <c r="BF670" s="136">
        <v>0</v>
      </c>
      <c r="BG670" s="214">
        <v>0</v>
      </c>
      <c r="BH670" s="214">
        <v>0</v>
      </c>
      <c r="BI670" s="134">
        <v>1</v>
      </c>
      <c r="BJ670" s="214">
        <v>375</v>
      </c>
      <c r="BK670" s="137">
        <v>1</v>
      </c>
      <c r="BL670" s="137">
        <v>1</v>
      </c>
      <c r="BM670" s="137">
        <v>0</v>
      </c>
      <c r="BN670" s="134">
        <v>0</v>
      </c>
      <c r="BO670" s="351">
        <v>0</v>
      </c>
      <c r="BP670" s="134">
        <v>1</v>
      </c>
      <c r="BQ670" s="214">
        <v>63</v>
      </c>
      <c r="BR670" s="137">
        <v>63</v>
      </c>
      <c r="BS670" s="138">
        <v>0</v>
      </c>
      <c r="BT670" s="351" t="s">
        <v>103</v>
      </c>
      <c r="BU670" s="209">
        <v>0</v>
      </c>
      <c r="BV670" s="209">
        <v>0</v>
      </c>
      <c r="BW670" s="209">
        <v>0</v>
      </c>
      <c r="BX670" s="209">
        <v>0</v>
      </c>
      <c r="BY670" s="209">
        <v>0</v>
      </c>
      <c r="BZ670" s="134">
        <v>0</v>
      </c>
      <c r="CA670" s="138">
        <v>1</v>
      </c>
      <c r="CB670" s="136">
        <v>0</v>
      </c>
      <c r="CC670" s="136">
        <v>0</v>
      </c>
      <c r="CD670" s="136">
        <v>0</v>
      </c>
      <c r="CE670" s="137">
        <v>0</v>
      </c>
      <c r="CF670" s="137">
        <v>0</v>
      </c>
      <c r="CG670" s="351">
        <v>0</v>
      </c>
      <c r="CH670" s="214">
        <v>0</v>
      </c>
      <c r="CI670" s="139">
        <v>0</v>
      </c>
      <c r="CJ670" s="139">
        <v>0</v>
      </c>
      <c r="CK670" s="139" t="s">
        <v>975</v>
      </c>
      <c r="CL670" s="139" t="s">
        <v>969</v>
      </c>
      <c r="CM670" s="139" t="s">
        <v>975</v>
      </c>
      <c r="CN670" s="139" t="s">
        <v>454</v>
      </c>
      <c r="CO670" s="139">
        <v>20.8037109375</v>
      </c>
      <c r="CP670" s="139">
        <v>92.946136474609403</v>
      </c>
      <c r="CQ670" s="139" t="s">
        <v>2084</v>
      </c>
      <c r="CR670" s="449" t="s">
        <v>40</v>
      </c>
      <c r="CS670" s="139" t="s">
        <v>2738</v>
      </c>
      <c r="CT670" s="24"/>
      <c r="CU670" s="24"/>
      <c r="CV670" s="24"/>
    </row>
    <row r="671" spans="1:100" x14ac:dyDescent="0.25">
      <c r="A671" s="293" t="s">
        <v>2691</v>
      </c>
      <c r="B671" s="101" t="s">
        <v>479</v>
      </c>
      <c r="C671" s="101" t="s">
        <v>454</v>
      </c>
      <c r="D671" s="101" t="s">
        <v>463</v>
      </c>
      <c r="E671" s="101" t="s">
        <v>510</v>
      </c>
      <c r="F671" s="101">
        <v>73</v>
      </c>
      <c r="G671" s="396">
        <v>306</v>
      </c>
      <c r="H671" s="101"/>
      <c r="I671" s="101" t="s">
        <v>495</v>
      </c>
      <c r="J671" s="102">
        <v>43615</v>
      </c>
      <c r="K671" s="101">
        <v>0</v>
      </c>
      <c r="L671" s="101" t="s">
        <v>2454</v>
      </c>
      <c r="M671" s="103">
        <v>0</v>
      </c>
      <c r="N671" s="103">
        <v>0</v>
      </c>
      <c r="O671" s="319">
        <v>0</v>
      </c>
      <c r="P671" s="320">
        <v>0</v>
      </c>
      <c r="Q671" s="321">
        <v>0</v>
      </c>
      <c r="R671" s="322">
        <v>0</v>
      </c>
      <c r="S671" s="322">
        <v>0</v>
      </c>
      <c r="T671" s="322"/>
      <c r="U671" s="322"/>
      <c r="V671" s="315"/>
      <c r="W671" s="317"/>
      <c r="X671" s="317"/>
      <c r="Y671" s="315"/>
      <c r="Z671" s="318"/>
      <c r="AA671" s="310">
        <v>0</v>
      </c>
      <c r="AB671" s="311">
        <v>0</v>
      </c>
      <c r="AC671" s="337"/>
      <c r="AD671" s="337"/>
      <c r="AE671" s="340">
        <v>0</v>
      </c>
      <c r="AF671" s="66" t="s">
        <v>1358</v>
      </c>
      <c r="AG671" s="66" t="s">
        <v>1358</v>
      </c>
      <c r="AH671" s="66"/>
      <c r="AI671" s="66"/>
      <c r="AJ671" s="341"/>
      <c r="AK671" s="845">
        <v>0</v>
      </c>
      <c r="AL671" s="846"/>
      <c r="AM671" s="844">
        <v>0</v>
      </c>
      <c r="AN671" s="837">
        <v>0</v>
      </c>
      <c r="AO671" s="837">
        <v>0</v>
      </c>
      <c r="AP671" s="843"/>
      <c r="AQ671" s="843"/>
      <c r="AR671" s="843"/>
      <c r="AS671" s="843"/>
      <c r="AT671" s="843"/>
      <c r="AU671" s="843"/>
      <c r="AV671" s="847"/>
      <c r="AW671" s="134" t="s">
        <v>3208</v>
      </c>
      <c r="AX671" s="136" t="s">
        <v>3208</v>
      </c>
      <c r="AY671" s="137" t="s">
        <v>2576</v>
      </c>
      <c r="AZ671" s="136">
        <v>0</v>
      </c>
      <c r="BA671" s="136">
        <v>0</v>
      </c>
      <c r="BB671" s="136">
        <v>0</v>
      </c>
      <c r="BC671" s="214">
        <v>0</v>
      </c>
      <c r="BD671" s="136">
        <v>0</v>
      </c>
      <c r="BE671" s="214">
        <v>0</v>
      </c>
      <c r="BF671" s="136">
        <v>0</v>
      </c>
      <c r="BG671" s="214">
        <v>0</v>
      </c>
      <c r="BH671" s="214">
        <v>0</v>
      </c>
      <c r="BI671" s="134">
        <v>1</v>
      </c>
      <c r="BJ671" s="214">
        <v>306</v>
      </c>
      <c r="BK671" s="137">
        <v>1</v>
      </c>
      <c r="BL671" s="137">
        <v>1</v>
      </c>
      <c r="BM671" s="137">
        <v>0</v>
      </c>
      <c r="BN671" s="134">
        <v>0</v>
      </c>
      <c r="BO671" s="351">
        <v>0</v>
      </c>
      <c r="BP671" s="134">
        <v>1</v>
      </c>
      <c r="BQ671" s="214">
        <v>51</v>
      </c>
      <c r="BR671" s="137">
        <v>51</v>
      </c>
      <c r="BS671" s="138">
        <v>0</v>
      </c>
      <c r="BT671" s="351" t="s">
        <v>103</v>
      </c>
      <c r="BU671" s="209">
        <v>0</v>
      </c>
      <c r="BV671" s="209">
        <v>0</v>
      </c>
      <c r="BW671" s="209">
        <v>0</v>
      </c>
      <c r="BX671" s="209">
        <v>0</v>
      </c>
      <c r="BY671" s="209">
        <v>0</v>
      </c>
      <c r="BZ671" s="134">
        <v>0</v>
      </c>
      <c r="CA671" s="138">
        <v>1</v>
      </c>
      <c r="CB671" s="136">
        <v>0</v>
      </c>
      <c r="CC671" s="136">
        <v>0</v>
      </c>
      <c r="CD671" s="136">
        <v>0</v>
      </c>
      <c r="CE671" s="137">
        <v>0</v>
      </c>
      <c r="CF671" s="137">
        <v>0</v>
      </c>
      <c r="CG671" s="351">
        <v>0</v>
      </c>
      <c r="CH671" s="214">
        <v>0</v>
      </c>
      <c r="CI671" s="139">
        <v>0</v>
      </c>
      <c r="CJ671" s="139">
        <v>0</v>
      </c>
      <c r="CK671" s="139" t="s">
        <v>975</v>
      </c>
      <c r="CL671" s="139" t="s">
        <v>969</v>
      </c>
      <c r="CM671" s="139" t="s">
        <v>975</v>
      </c>
      <c r="CN671" s="139" t="s">
        <v>454</v>
      </c>
      <c r="CO671" s="139">
        <v>0</v>
      </c>
      <c r="CP671" s="139">
        <v>0</v>
      </c>
      <c r="CQ671" s="139">
        <v>0</v>
      </c>
      <c r="CR671" s="449" t="s">
        <v>40</v>
      </c>
      <c r="CS671" s="139" t="s">
        <v>2738</v>
      </c>
      <c r="CT671" s="24"/>
      <c r="CU671" s="24"/>
      <c r="CV671" s="24"/>
    </row>
    <row r="672" spans="1:100" x14ac:dyDescent="0.25">
      <c r="A672" s="293" t="s">
        <v>2691</v>
      </c>
      <c r="B672" s="206" t="s">
        <v>453</v>
      </c>
      <c r="C672" s="101" t="s">
        <v>454</v>
      </c>
      <c r="D672" s="101" t="s">
        <v>463</v>
      </c>
      <c r="E672" s="101" t="s">
        <v>2767</v>
      </c>
      <c r="F672" s="101">
        <v>56</v>
      </c>
      <c r="G672" s="396">
        <v>237</v>
      </c>
      <c r="H672" s="101">
        <v>38</v>
      </c>
      <c r="I672" s="101" t="s">
        <v>2771</v>
      </c>
      <c r="J672" s="102">
        <v>43373</v>
      </c>
      <c r="K672" s="101"/>
      <c r="L672" s="206" t="s">
        <v>282</v>
      </c>
      <c r="M672" s="208">
        <v>0</v>
      </c>
      <c r="N672" s="208">
        <v>0</v>
      </c>
      <c r="O672" s="319">
        <v>0</v>
      </c>
      <c r="P672" s="320">
        <v>0</v>
      </c>
      <c r="Q672" s="321"/>
      <c r="R672" s="318"/>
      <c r="S672" s="322">
        <v>0</v>
      </c>
      <c r="T672" s="322"/>
      <c r="U672" s="317"/>
      <c r="V672" s="317"/>
      <c r="W672" s="317"/>
      <c r="X672" s="317"/>
      <c r="Y672" s="317"/>
      <c r="Z672" s="318"/>
      <c r="AA672" s="310">
        <v>73</v>
      </c>
      <c r="AB672" s="311"/>
      <c r="AC672" s="337"/>
      <c r="AD672" s="337"/>
      <c r="AE672" s="340">
        <v>0</v>
      </c>
      <c r="AF672" s="66" t="s">
        <v>286</v>
      </c>
      <c r="AG672" s="66" t="s">
        <v>286</v>
      </c>
      <c r="AH672" s="66"/>
      <c r="AI672" s="66"/>
      <c r="AJ672" s="341"/>
      <c r="AK672" s="845">
        <v>0</v>
      </c>
      <c r="AL672" s="846"/>
      <c r="AM672" s="844">
        <v>0</v>
      </c>
      <c r="AN672" s="837"/>
      <c r="AO672" s="837">
        <v>0</v>
      </c>
      <c r="AP672" s="843"/>
      <c r="AQ672" s="843"/>
      <c r="AR672" s="843"/>
      <c r="AS672" s="843"/>
      <c r="AT672" s="843"/>
      <c r="AU672" s="843"/>
      <c r="AV672" s="847"/>
      <c r="AW672" s="134" t="s">
        <v>3208</v>
      </c>
      <c r="AX672" s="136" t="s">
        <v>3208</v>
      </c>
      <c r="AY672" s="137" t="s">
        <v>2576</v>
      </c>
      <c r="AZ672" s="136">
        <v>0</v>
      </c>
      <c r="BA672" s="136">
        <v>0</v>
      </c>
      <c r="BB672" s="136">
        <v>0</v>
      </c>
      <c r="BC672" s="214">
        <v>0</v>
      </c>
      <c r="BD672" s="136">
        <v>0</v>
      </c>
      <c r="BE672" s="214">
        <v>0</v>
      </c>
      <c r="BF672" s="136">
        <v>0</v>
      </c>
      <c r="BG672" s="214">
        <v>0</v>
      </c>
      <c r="BH672" s="214">
        <v>0</v>
      </c>
      <c r="BI672" s="134">
        <v>1</v>
      </c>
      <c r="BJ672" s="214">
        <v>237</v>
      </c>
      <c r="BK672" s="137">
        <v>1</v>
      </c>
      <c r="BL672" s="137">
        <v>1</v>
      </c>
      <c r="BM672" s="137">
        <v>73</v>
      </c>
      <c r="BN672" s="134">
        <v>1</v>
      </c>
      <c r="BO672" s="351">
        <v>237</v>
      </c>
      <c r="BP672" s="134">
        <v>0</v>
      </c>
      <c r="BQ672" s="214">
        <v>0</v>
      </c>
      <c r="BR672" s="137">
        <v>40</v>
      </c>
      <c r="BS672" s="138">
        <v>0</v>
      </c>
      <c r="BT672" s="351" t="s">
        <v>103</v>
      </c>
      <c r="BU672" s="209">
        <v>0</v>
      </c>
      <c r="BV672" s="209">
        <v>0</v>
      </c>
      <c r="BW672" s="209">
        <v>0</v>
      </c>
      <c r="BX672" s="209">
        <v>0</v>
      </c>
      <c r="BY672" s="209">
        <v>0</v>
      </c>
      <c r="BZ672" s="134">
        <v>0</v>
      </c>
      <c r="CA672" s="138">
        <v>1</v>
      </c>
      <c r="CB672" s="136">
        <v>0</v>
      </c>
      <c r="CC672" s="136">
        <v>0</v>
      </c>
      <c r="CD672" s="136">
        <v>0</v>
      </c>
      <c r="CE672" s="137">
        <v>0</v>
      </c>
      <c r="CF672" s="137">
        <v>0</v>
      </c>
      <c r="CG672" s="351">
        <v>0</v>
      </c>
      <c r="CH672" s="214">
        <v>0</v>
      </c>
      <c r="CI672" s="139">
        <v>0</v>
      </c>
      <c r="CJ672" s="139">
        <v>0</v>
      </c>
      <c r="CK672" s="139" t="s">
        <v>969</v>
      </c>
      <c r="CL672" s="139" t="s">
        <v>969</v>
      </c>
      <c r="CM672" s="139" t="s">
        <v>969</v>
      </c>
      <c r="CN672" s="139">
        <v>0</v>
      </c>
      <c r="CO672" s="139">
        <v>20.860509872436499</v>
      </c>
      <c r="CP672" s="139">
        <v>92.966751098632798</v>
      </c>
      <c r="CQ672" s="139">
        <v>196828</v>
      </c>
      <c r="CR672" s="449" t="s">
        <v>40</v>
      </c>
      <c r="CS672" s="139"/>
      <c r="CT672" s="24"/>
      <c r="CU672" s="24"/>
      <c r="CV672" s="24"/>
    </row>
    <row r="673" spans="1:100" x14ac:dyDescent="0.25">
      <c r="A673" s="293" t="s">
        <v>2691</v>
      </c>
      <c r="B673" s="101" t="s">
        <v>453</v>
      </c>
      <c r="C673" s="101" t="s">
        <v>454</v>
      </c>
      <c r="D673" s="101" t="s">
        <v>463</v>
      </c>
      <c r="E673" s="101" t="s">
        <v>739</v>
      </c>
      <c r="F673" s="206">
        <v>138</v>
      </c>
      <c r="G673" s="209">
        <v>885</v>
      </c>
      <c r="H673" s="206">
        <v>286</v>
      </c>
      <c r="I673" s="206" t="s">
        <v>2771</v>
      </c>
      <c r="J673" s="207">
        <v>43373</v>
      </c>
      <c r="K673" s="206"/>
      <c r="L673" s="206" t="s">
        <v>282</v>
      </c>
      <c r="M673" s="208">
        <v>0</v>
      </c>
      <c r="N673" s="208">
        <v>0</v>
      </c>
      <c r="O673" s="319">
        <v>0</v>
      </c>
      <c r="P673" s="326">
        <v>0</v>
      </c>
      <c r="Q673" s="317"/>
      <c r="R673" s="318"/>
      <c r="S673" s="318">
        <v>0</v>
      </c>
      <c r="T673" s="318"/>
      <c r="U673" s="318"/>
      <c r="V673" s="318"/>
      <c r="W673" s="318"/>
      <c r="X673" s="318"/>
      <c r="Y673" s="318"/>
      <c r="Z673" s="318"/>
      <c r="AA673" s="310">
        <v>73</v>
      </c>
      <c r="AB673" s="311"/>
      <c r="AC673" s="337"/>
      <c r="AD673" s="337"/>
      <c r="AE673" s="310">
        <v>0</v>
      </c>
      <c r="AF673" s="310" t="s">
        <v>286</v>
      </c>
      <c r="AG673" s="311" t="s">
        <v>286</v>
      </c>
      <c r="AH673" s="66"/>
      <c r="AI673" s="66"/>
      <c r="AJ673" s="311"/>
      <c r="AK673" s="841">
        <v>0</v>
      </c>
      <c r="AL673" s="846"/>
      <c r="AM673" s="844">
        <v>0</v>
      </c>
      <c r="AN673" s="850"/>
      <c r="AO673" s="850">
        <v>0</v>
      </c>
      <c r="AP673" s="843"/>
      <c r="AQ673" s="843"/>
      <c r="AR673" s="843"/>
      <c r="AS673" s="843"/>
      <c r="AT673" s="843"/>
      <c r="AU673" s="843"/>
      <c r="AV673" s="844"/>
      <c r="AW673" s="134" t="s">
        <v>3208</v>
      </c>
      <c r="AX673" s="136" t="s">
        <v>3208</v>
      </c>
      <c r="AY673" s="137" t="s">
        <v>2576</v>
      </c>
      <c r="AZ673" s="136">
        <v>0</v>
      </c>
      <c r="BA673" s="136">
        <v>0</v>
      </c>
      <c r="BB673" s="136">
        <v>0</v>
      </c>
      <c r="BC673" s="214">
        <v>0</v>
      </c>
      <c r="BD673" s="136">
        <v>0</v>
      </c>
      <c r="BE673" s="214">
        <v>0</v>
      </c>
      <c r="BF673" s="136">
        <v>0</v>
      </c>
      <c r="BG673" s="214">
        <v>0</v>
      </c>
      <c r="BH673" s="214">
        <v>0</v>
      </c>
      <c r="BI673" s="134">
        <v>1</v>
      </c>
      <c r="BJ673" s="214">
        <v>885</v>
      </c>
      <c r="BK673" s="137">
        <v>2</v>
      </c>
      <c r="BL673" s="137">
        <v>2</v>
      </c>
      <c r="BM673" s="137">
        <v>73</v>
      </c>
      <c r="BN673" s="134">
        <v>0.49491525423728816</v>
      </c>
      <c r="BO673" s="351">
        <v>438</v>
      </c>
      <c r="BP673" s="134">
        <v>0.50847457627118642</v>
      </c>
      <c r="BQ673" s="214">
        <v>75</v>
      </c>
      <c r="BR673" s="137">
        <v>148</v>
      </c>
      <c r="BS673" s="138">
        <v>0</v>
      </c>
      <c r="BT673" s="351" t="s">
        <v>103</v>
      </c>
      <c r="BU673" s="209">
        <v>0</v>
      </c>
      <c r="BV673" s="209">
        <v>0</v>
      </c>
      <c r="BW673" s="209">
        <v>0</v>
      </c>
      <c r="BX673" s="209">
        <v>0</v>
      </c>
      <c r="BY673" s="209">
        <v>0</v>
      </c>
      <c r="BZ673" s="134">
        <v>0</v>
      </c>
      <c r="CA673" s="138">
        <v>1</v>
      </c>
      <c r="CB673" s="136">
        <v>0</v>
      </c>
      <c r="CC673" s="136">
        <v>0</v>
      </c>
      <c r="CD673" s="136">
        <v>0</v>
      </c>
      <c r="CE673" s="137">
        <v>0</v>
      </c>
      <c r="CF673" s="137">
        <v>0</v>
      </c>
      <c r="CG673" s="137">
        <v>0</v>
      </c>
      <c r="CH673" s="214">
        <v>0</v>
      </c>
      <c r="CI673" s="139">
        <v>0</v>
      </c>
      <c r="CJ673" s="139">
        <v>0</v>
      </c>
      <c r="CK673" s="139" t="s">
        <v>969</v>
      </c>
      <c r="CL673" s="139" t="s">
        <v>969</v>
      </c>
      <c r="CM673" s="139" t="s">
        <v>1054</v>
      </c>
      <c r="CN673" s="139" t="s">
        <v>966</v>
      </c>
      <c r="CO673" s="139">
        <v>20.727589999999999</v>
      </c>
      <c r="CP673" s="139">
        <v>92.969350000000006</v>
      </c>
      <c r="CQ673" s="139" t="s">
        <v>1790</v>
      </c>
      <c r="CR673" s="449" t="s">
        <v>40</v>
      </c>
      <c r="CS673" s="139"/>
      <c r="CT673" s="24"/>
      <c r="CU673" s="24"/>
      <c r="CV673" s="24"/>
    </row>
    <row r="674" spans="1:100" x14ac:dyDescent="0.25">
      <c r="A674" s="293" t="s">
        <v>2691</v>
      </c>
      <c r="B674" s="101" t="s">
        <v>460</v>
      </c>
      <c r="C674" s="101" t="s">
        <v>454</v>
      </c>
      <c r="D674" s="101" t="s">
        <v>463</v>
      </c>
      <c r="E674" s="101" t="s">
        <v>735</v>
      </c>
      <c r="F674" s="206">
        <f>ROUND(WWWW[[#This Row],[Total PoP ]]/5,0)</f>
        <v>139</v>
      </c>
      <c r="G674" s="396">
        <v>695</v>
      </c>
      <c r="H674" s="101"/>
      <c r="I674" s="101"/>
      <c r="J674" s="102"/>
      <c r="K674" s="101"/>
      <c r="L674" s="206" t="s">
        <v>282</v>
      </c>
      <c r="M674" s="208">
        <v>0</v>
      </c>
      <c r="N674" s="208">
        <v>0</v>
      </c>
      <c r="O674" s="319">
        <v>0</v>
      </c>
      <c r="P674" s="320">
        <v>0</v>
      </c>
      <c r="Q674" s="321"/>
      <c r="R674" s="318"/>
      <c r="S674" s="322">
        <v>0</v>
      </c>
      <c r="T674" s="322"/>
      <c r="U674" s="317"/>
      <c r="V674" s="317"/>
      <c r="W674" s="317"/>
      <c r="X674" s="317"/>
      <c r="Y674" s="317"/>
      <c r="Z674" s="318"/>
      <c r="AA674" s="310">
        <v>73</v>
      </c>
      <c r="AB674" s="311"/>
      <c r="AC674" s="337"/>
      <c r="AD674" s="337"/>
      <c r="AE674" s="340">
        <v>0</v>
      </c>
      <c r="AF674" s="66" t="s">
        <v>286</v>
      </c>
      <c r="AG674" s="66" t="s">
        <v>286</v>
      </c>
      <c r="AH674" s="66"/>
      <c r="AI674" s="66"/>
      <c r="AJ674" s="341"/>
      <c r="AK674" s="845">
        <v>0</v>
      </c>
      <c r="AL674" s="846"/>
      <c r="AM674" s="844">
        <v>0</v>
      </c>
      <c r="AN674" s="837"/>
      <c r="AO674" s="837">
        <v>0</v>
      </c>
      <c r="AP674" s="843"/>
      <c r="AQ674" s="843"/>
      <c r="AR674" s="843"/>
      <c r="AS674" s="843"/>
      <c r="AT674" s="843"/>
      <c r="AU674" s="843"/>
      <c r="AV674" s="847"/>
      <c r="AW674" s="134" t="s">
        <v>3208</v>
      </c>
      <c r="AX674" s="136" t="s">
        <v>3208</v>
      </c>
      <c r="AY674" s="137" t="s">
        <v>2576</v>
      </c>
      <c r="AZ674" s="136">
        <v>0</v>
      </c>
      <c r="BA674" s="136">
        <v>0</v>
      </c>
      <c r="BB674" s="136">
        <v>0</v>
      </c>
      <c r="BC674" s="214">
        <v>0</v>
      </c>
      <c r="BD674" s="136">
        <v>0</v>
      </c>
      <c r="BE674" s="214">
        <v>0</v>
      </c>
      <c r="BF674" s="136">
        <v>0</v>
      </c>
      <c r="BG674" s="214">
        <v>0</v>
      </c>
      <c r="BH674" s="214">
        <v>0</v>
      </c>
      <c r="BI674" s="134">
        <v>1</v>
      </c>
      <c r="BJ674" s="214">
        <v>695</v>
      </c>
      <c r="BK674" s="137">
        <v>1</v>
      </c>
      <c r="BL674" s="137">
        <v>1</v>
      </c>
      <c r="BM674" s="137">
        <v>73</v>
      </c>
      <c r="BN674" s="134">
        <v>0.63021582733812953</v>
      </c>
      <c r="BO674" s="351">
        <v>438</v>
      </c>
      <c r="BP674" s="134">
        <v>0.37122302158273385</v>
      </c>
      <c r="BQ674" s="214">
        <v>43</v>
      </c>
      <c r="BR674" s="137">
        <v>116</v>
      </c>
      <c r="BS674" s="138">
        <v>0</v>
      </c>
      <c r="BT674" s="351" t="s">
        <v>103</v>
      </c>
      <c r="BU674" s="209">
        <v>0</v>
      </c>
      <c r="BV674" s="209">
        <v>0</v>
      </c>
      <c r="BW674" s="209">
        <v>0</v>
      </c>
      <c r="BX674" s="209">
        <v>0</v>
      </c>
      <c r="BY674" s="209">
        <v>0</v>
      </c>
      <c r="BZ674" s="134">
        <v>0</v>
      </c>
      <c r="CA674" s="138">
        <v>1</v>
      </c>
      <c r="CB674" s="136">
        <v>0</v>
      </c>
      <c r="CC674" s="136">
        <v>0</v>
      </c>
      <c r="CD674" s="136">
        <v>0</v>
      </c>
      <c r="CE674" s="137">
        <v>0</v>
      </c>
      <c r="CF674" s="137">
        <v>0</v>
      </c>
      <c r="CG674" s="351">
        <v>0</v>
      </c>
      <c r="CH674" s="214">
        <v>0</v>
      </c>
      <c r="CI674" s="139">
        <v>0</v>
      </c>
      <c r="CJ674" s="139">
        <v>0</v>
      </c>
      <c r="CK674" s="139" t="s">
        <v>969</v>
      </c>
      <c r="CL674" s="139" t="s">
        <v>969</v>
      </c>
      <c r="CM674" s="139" t="s">
        <v>969</v>
      </c>
      <c r="CN674" s="139" t="s">
        <v>454</v>
      </c>
      <c r="CO674" s="139">
        <v>20.723630905151399</v>
      </c>
      <c r="CP674" s="139">
        <v>92.974327087402301</v>
      </c>
      <c r="CQ674" s="139" t="s">
        <v>1786</v>
      </c>
      <c r="CR674" s="449" t="s">
        <v>3209</v>
      </c>
      <c r="CS674" s="139"/>
      <c r="CT674" s="24"/>
      <c r="CU674" s="24"/>
      <c r="CV674" s="24"/>
    </row>
    <row r="675" spans="1:100" x14ac:dyDescent="0.25">
      <c r="A675" s="293" t="s">
        <v>2691</v>
      </c>
      <c r="B675" s="206" t="s">
        <v>530</v>
      </c>
      <c r="C675" s="183" t="s">
        <v>454</v>
      </c>
      <c r="D675" s="183" t="s">
        <v>466</v>
      </c>
      <c r="E675" s="183" t="s">
        <v>824</v>
      </c>
      <c r="F675" s="206">
        <v>113</v>
      </c>
      <c r="G675" s="209">
        <v>420</v>
      </c>
      <c r="H675" s="206"/>
      <c r="I675" s="206" t="s">
        <v>388</v>
      </c>
      <c r="J675" s="207">
        <v>43145</v>
      </c>
      <c r="K675" s="206">
        <v>0</v>
      </c>
      <c r="L675" s="206"/>
      <c r="M675" s="208"/>
      <c r="N675" s="208"/>
      <c r="O675" s="323">
        <v>3</v>
      </c>
      <c r="P675" s="317">
        <v>0</v>
      </c>
      <c r="Q675" s="317">
        <v>0</v>
      </c>
      <c r="R675" s="318">
        <v>2</v>
      </c>
      <c r="S675" s="318">
        <v>0</v>
      </c>
      <c r="T675" s="318"/>
      <c r="U675" s="318"/>
      <c r="V675" s="318"/>
      <c r="W675" s="318"/>
      <c r="X675" s="318"/>
      <c r="Y675" s="318"/>
      <c r="Z675" s="318"/>
      <c r="AA675" s="310">
        <v>0</v>
      </c>
      <c r="AB675" s="310">
        <v>0</v>
      </c>
      <c r="AC675" s="66"/>
      <c r="AD675" s="337"/>
      <c r="AE675" s="310">
        <v>0</v>
      </c>
      <c r="AF675" s="310" t="s">
        <v>332</v>
      </c>
      <c r="AG675" s="311" t="s">
        <v>332</v>
      </c>
      <c r="AH675" s="311"/>
      <c r="AI675" s="310"/>
      <c r="AJ675" s="310"/>
      <c r="AK675" s="841">
        <v>0</v>
      </c>
      <c r="AL675" s="842" t="s">
        <v>284</v>
      </c>
      <c r="AM675" s="842">
        <v>0</v>
      </c>
      <c r="AN675" s="837">
        <v>0</v>
      </c>
      <c r="AO675" s="837">
        <v>5</v>
      </c>
      <c r="AP675" s="843">
        <v>120</v>
      </c>
      <c r="AQ675" s="843">
        <v>120</v>
      </c>
      <c r="AR675" s="843"/>
      <c r="AS675" s="843"/>
      <c r="AT675" s="843"/>
      <c r="AU675" s="843"/>
      <c r="AV675" s="844"/>
      <c r="AW675" s="208" t="s">
        <v>3208</v>
      </c>
      <c r="AX675" s="211" t="s">
        <v>3208</v>
      </c>
      <c r="AY675" s="210" t="s">
        <v>2576</v>
      </c>
      <c r="AZ675" s="211">
        <v>1</v>
      </c>
      <c r="BA675" s="211">
        <v>1</v>
      </c>
      <c r="BB675" s="211">
        <v>1</v>
      </c>
      <c r="BC675" s="209">
        <v>420</v>
      </c>
      <c r="BD675" s="211">
        <v>1</v>
      </c>
      <c r="BE675" s="209">
        <v>420</v>
      </c>
      <c r="BF675" s="211">
        <v>1</v>
      </c>
      <c r="BG675" s="209">
        <v>420</v>
      </c>
      <c r="BH675" s="214">
        <v>1</v>
      </c>
      <c r="BI675" s="208">
        <v>0</v>
      </c>
      <c r="BJ675" s="209">
        <v>0</v>
      </c>
      <c r="BK675" s="210">
        <v>0</v>
      </c>
      <c r="BL675" s="210">
        <v>1</v>
      </c>
      <c r="BM675" s="210">
        <v>0</v>
      </c>
      <c r="BN675" s="208">
        <v>0</v>
      </c>
      <c r="BO675" s="352">
        <v>0</v>
      </c>
      <c r="BP675" s="208">
        <v>1</v>
      </c>
      <c r="BQ675" s="209">
        <v>70</v>
      </c>
      <c r="BR675" s="210">
        <v>70</v>
      </c>
      <c r="BS675" s="212">
        <v>0</v>
      </c>
      <c r="BT675" s="352" t="s">
        <v>103</v>
      </c>
      <c r="BU675" s="209">
        <v>420</v>
      </c>
      <c r="BV675" s="209">
        <v>1</v>
      </c>
      <c r="BW675" s="209">
        <v>1</v>
      </c>
      <c r="BX675" s="209">
        <v>1</v>
      </c>
      <c r="BY675" s="209">
        <v>420</v>
      </c>
      <c r="BZ675" s="208">
        <v>1</v>
      </c>
      <c r="CA675" s="212">
        <v>0</v>
      </c>
      <c r="CB675" s="211">
        <v>1</v>
      </c>
      <c r="CC675" s="211">
        <v>1</v>
      </c>
      <c r="CD675" s="211">
        <v>1</v>
      </c>
      <c r="CE675" s="210">
        <v>600</v>
      </c>
      <c r="CF675" s="210">
        <v>600</v>
      </c>
      <c r="CG675" s="210">
        <v>600</v>
      </c>
      <c r="CH675" s="209">
        <v>0</v>
      </c>
      <c r="CI675" s="139">
        <v>0</v>
      </c>
      <c r="CJ675" s="139">
        <v>0</v>
      </c>
      <c r="CK675" s="139" t="s">
        <v>969</v>
      </c>
      <c r="CL675" s="139" t="s">
        <v>969</v>
      </c>
      <c r="CM675" s="139" t="s">
        <v>969</v>
      </c>
      <c r="CN675" s="139" t="s">
        <v>454</v>
      </c>
      <c r="CO675" s="139">
        <v>20.910375595092798</v>
      </c>
      <c r="CP675" s="139">
        <v>92.400138854980497</v>
      </c>
      <c r="CQ675" s="139">
        <v>220734</v>
      </c>
      <c r="CR675" s="660" t="s">
        <v>40</v>
      </c>
      <c r="CS675" s="660"/>
      <c r="CT675" s="24"/>
      <c r="CU675" s="24"/>
      <c r="CV675" s="24"/>
    </row>
    <row r="676" spans="1:100" x14ac:dyDescent="0.25">
      <c r="A676" s="293" t="s">
        <v>2691</v>
      </c>
      <c r="B676" s="296" t="s">
        <v>530</v>
      </c>
      <c r="C676" s="296" t="s">
        <v>454</v>
      </c>
      <c r="D676" s="296" t="s">
        <v>466</v>
      </c>
      <c r="E676" s="296" t="s">
        <v>644</v>
      </c>
      <c r="F676" s="296">
        <v>41</v>
      </c>
      <c r="G676" s="299">
        <v>200</v>
      </c>
      <c r="H676" s="296"/>
      <c r="I676" s="296" t="s">
        <v>388</v>
      </c>
      <c r="J676" s="297">
        <v>43343</v>
      </c>
      <c r="K676" s="296">
        <v>0</v>
      </c>
      <c r="L676" s="296"/>
      <c r="M676" s="208"/>
      <c r="N676" s="208"/>
      <c r="O676" s="334">
        <v>0</v>
      </c>
      <c r="P676" s="330">
        <v>0</v>
      </c>
      <c r="Q676" s="330">
        <v>0</v>
      </c>
      <c r="R676" s="331">
        <v>0</v>
      </c>
      <c r="S676" s="331">
        <v>1</v>
      </c>
      <c r="T676" s="331"/>
      <c r="U676" s="331"/>
      <c r="V676" s="331"/>
      <c r="W676" s="331"/>
      <c r="X676" s="331"/>
      <c r="Y676" s="331"/>
      <c r="Z676" s="331"/>
      <c r="AA676" s="345"/>
      <c r="AB676" s="345"/>
      <c r="AC676" s="346"/>
      <c r="AD676" s="337"/>
      <c r="AE676" s="345">
        <v>4</v>
      </c>
      <c r="AF676" s="345" t="s">
        <v>332</v>
      </c>
      <c r="AG676" s="347" t="s">
        <v>332</v>
      </c>
      <c r="AH676" s="347"/>
      <c r="AI676" s="345"/>
      <c r="AJ676" s="345"/>
      <c r="AK676" s="841">
        <v>0</v>
      </c>
      <c r="AL676" s="842" t="s">
        <v>284</v>
      </c>
      <c r="AM676" s="842">
        <v>0</v>
      </c>
      <c r="AN676" s="837">
        <v>0</v>
      </c>
      <c r="AO676" s="837">
        <v>5</v>
      </c>
      <c r="AP676" s="853">
        <v>41</v>
      </c>
      <c r="AQ676" s="853">
        <v>41</v>
      </c>
      <c r="AR676" s="853"/>
      <c r="AS676" s="853"/>
      <c r="AT676" s="853"/>
      <c r="AU676" s="853"/>
      <c r="AV676" s="854"/>
      <c r="AW676" s="298" t="s">
        <v>3208</v>
      </c>
      <c r="AX676" s="301" t="s">
        <v>3208</v>
      </c>
      <c r="AY676" s="300" t="s">
        <v>2576</v>
      </c>
      <c r="AZ676" s="301">
        <v>0</v>
      </c>
      <c r="BA676" s="301">
        <v>0</v>
      </c>
      <c r="BB676" s="301">
        <v>0</v>
      </c>
      <c r="BC676" s="299">
        <v>0</v>
      </c>
      <c r="BD676" s="301">
        <v>0</v>
      </c>
      <c r="BE676" s="299">
        <v>0</v>
      </c>
      <c r="BF676" s="301">
        <v>0</v>
      </c>
      <c r="BG676" s="299">
        <v>0</v>
      </c>
      <c r="BH676" s="214">
        <v>0</v>
      </c>
      <c r="BI676" s="298">
        <v>1</v>
      </c>
      <c r="BJ676" s="299">
        <v>200</v>
      </c>
      <c r="BK676" s="300">
        <v>1</v>
      </c>
      <c r="BL676" s="300">
        <v>1</v>
      </c>
      <c r="BM676" s="300">
        <v>0</v>
      </c>
      <c r="BN676" s="298">
        <v>0</v>
      </c>
      <c r="BO676" s="353">
        <v>0</v>
      </c>
      <c r="BP676" s="298">
        <v>0.98999999999999988</v>
      </c>
      <c r="BQ676" s="299">
        <v>33</v>
      </c>
      <c r="BR676" s="300">
        <v>33</v>
      </c>
      <c r="BS676" s="303">
        <v>0</v>
      </c>
      <c r="BT676" s="353" t="s">
        <v>103</v>
      </c>
      <c r="BU676" s="299">
        <v>200</v>
      </c>
      <c r="BV676" s="299">
        <v>1</v>
      </c>
      <c r="BW676" s="299">
        <v>1</v>
      </c>
      <c r="BX676" s="299">
        <v>1</v>
      </c>
      <c r="BY676" s="299">
        <v>200</v>
      </c>
      <c r="BZ676" s="298">
        <v>1</v>
      </c>
      <c r="CA676" s="303">
        <v>0</v>
      </c>
      <c r="CB676" s="301">
        <v>1</v>
      </c>
      <c r="CC676" s="301">
        <v>1</v>
      </c>
      <c r="CD676" s="301">
        <v>1</v>
      </c>
      <c r="CE676" s="300">
        <v>205</v>
      </c>
      <c r="CF676" s="300">
        <v>205</v>
      </c>
      <c r="CG676" s="300">
        <v>205</v>
      </c>
      <c r="CH676" s="299">
        <v>0</v>
      </c>
      <c r="CI676" s="139">
        <v>0</v>
      </c>
      <c r="CJ676" s="139">
        <v>0</v>
      </c>
      <c r="CK676" s="139" t="s">
        <v>969</v>
      </c>
      <c r="CL676" s="139" t="s">
        <v>969</v>
      </c>
      <c r="CM676" s="139" t="s">
        <v>969</v>
      </c>
      <c r="CN676" s="139" t="s">
        <v>454</v>
      </c>
      <c r="CO676" s="139">
        <v>20.473930358886701</v>
      </c>
      <c r="CP676" s="139">
        <v>92.668853759765597</v>
      </c>
      <c r="CQ676" s="139">
        <v>197631</v>
      </c>
      <c r="CR676" s="422" t="s">
        <v>40</v>
      </c>
      <c r="CS676" s="422"/>
      <c r="CT676" s="24"/>
      <c r="CU676" s="24"/>
      <c r="CV676" s="24"/>
    </row>
    <row r="677" spans="1:100" x14ac:dyDescent="0.25">
      <c r="A677" s="293" t="s">
        <v>2691</v>
      </c>
      <c r="B677" s="206" t="s">
        <v>530</v>
      </c>
      <c r="C677" s="183" t="s">
        <v>454</v>
      </c>
      <c r="D677" s="183" t="s">
        <v>466</v>
      </c>
      <c r="E677" s="183" t="s">
        <v>832</v>
      </c>
      <c r="F677" s="206">
        <v>104</v>
      </c>
      <c r="G677" s="209">
        <v>521</v>
      </c>
      <c r="H677" s="206"/>
      <c r="I677" s="206" t="s">
        <v>388</v>
      </c>
      <c r="J677" s="207">
        <v>43145</v>
      </c>
      <c r="K677" s="206">
        <v>0</v>
      </c>
      <c r="L677" s="206"/>
      <c r="M677" s="208"/>
      <c r="N677" s="208"/>
      <c r="O677" s="316">
        <v>0</v>
      </c>
      <c r="P677" s="317">
        <v>0</v>
      </c>
      <c r="Q677" s="317">
        <v>0</v>
      </c>
      <c r="R677" s="318">
        <v>1</v>
      </c>
      <c r="S677" s="318">
        <v>0</v>
      </c>
      <c r="T677" s="318"/>
      <c r="U677" s="318"/>
      <c r="V677" s="318"/>
      <c r="W677" s="318"/>
      <c r="X677" s="318"/>
      <c r="Y677" s="318"/>
      <c r="Z677" s="318"/>
      <c r="AA677" s="310">
        <v>3</v>
      </c>
      <c r="AB677" s="310">
        <v>0</v>
      </c>
      <c r="AC677" s="66"/>
      <c r="AD677" s="337"/>
      <c r="AE677" s="310">
        <v>3</v>
      </c>
      <c r="AF677" s="310" t="s">
        <v>332</v>
      </c>
      <c r="AG677" s="311" t="s">
        <v>332</v>
      </c>
      <c r="AH677" s="311"/>
      <c r="AI677" s="310"/>
      <c r="AJ677" s="310"/>
      <c r="AK677" s="841">
        <v>0</v>
      </c>
      <c r="AL677" s="842" t="s">
        <v>284</v>
      </c>
      <c r="AM677" s="842">
        <v>0</v>
      </c>
      <c r="AN677" s="837">
        <v>0</v>
      </c>
      <c r="AO677" s="837">
        <v>5</v>
      </c>
      <c r="AP677" s="843">
        <v>104</v>
      </c>
      <c r="AQ677" s="843">
        <v>104</v>
      </c>
      <c r="AR677" s="843"/>
      <c r="AS677" s="843"/>
      <c r="AT677" s="843"/>
      <c r="AU677" s="843"/>
      <c r="AV677" s="844"/>
      <c r="AW677" s="208" t="s">
        <v>3208</v>
      </c>
      <c r="AX677" s="211" t="s">
        <v>3208</v>
      </c>
      <c r="AY677" s="210" t="s">
        <v>2576</v>
      </c>
      <c r="AZ677" s="211">
        <v>0</v>
      </c>
      <c r="BA677" s="211">
        <v>0</v>
      </c>
      <c r="BB677" s="211">
        <v>0</v>
      </c>
      <c r="BC677" s="209">
        <v>0</v>
      </c>
      <c r="BD677" s="211">
        <v>0.47984644913627639</v>
      </c>
      <c r="BE677" s="209">
        <v>250</v>
      </c>
      <c r="BF677" s="211">
        <v>0.47984644913627639</v>
      </c>
      <c r="BG677" s="209">
        <v>250</v>
      </c>
      <c r="BH677" s="214">
        <v>1</v>
      </c>
      <c r="BI677" s="208">
        <v>0.52015355086372361</v>
      </c>
      <c r="BJ677" s="209">
        <v>271</v>
      </c>
      <c r="BK677" s="210">
        <v>0</v>
      </c>
      <c r="BL677" s="210">
        <v>1</v>
      </c>
      <c r="BM677" s="210">
        <v>3</v>
      </c>
      <c r="BN677" s="208">
        <v>3.4548944337811902E-2</v>
      </c>
      <c r="BO677" s="352">
        <v>18</v>
      </c>
      <c r="BP677" s="208">
        <v>0.9673704414587333</v>
      </c>
      <c r="BQ677" s="209">
        <v>84</v>
      </c>
      <c r="BR677" s="210">
        <v>87</v>
      </c>
      <c r="BS677" s="212">
        <v>0</v>
      </c>
      <c r="BT677" s="352" t="s">
        <v>103</v>
      </c>
      <c r="BU677" s="209">
        <v>521</v>
      </c>
      <c r="BV677" s="209">
        <v>1</v>
      </c>
      <c r="BW677" s="209">
        <v>1</v>
      </c>
      <c r="BX677" s="209">
        <v>1</v>
      </c>
      <c r="BY677" s="209">
        <v>521</v>
      </c>
      <c r="BZ677" s="208">
        <v>1</v>
      </c>
      <c r="CA677" s="212">
        <v>0</v>
      </c>
      <c r="CB677" s="211">
        <v>1</v>
      </c>
      <c r="CC677" s="211">
        <v>1</v>
      </c>
      <c r="CD677" s="211">
        <v>1</v>
      </c>
      <c r="CE677" s="210">
        <v>520</v>
      </c>
      <c r="CF677" s="210">
        <v>520</v>
      </c>
      <c r="CG677" s="210">
        <v>520</v>
      </c>
      <c r="CH677" s="209">
        <v>0</v>
      </c>
      <c r="CI677" s="139">
        <v>0</v>
      </c>
      <c r="CJ677" s="139">
        <v>0</v>
      </c>
      <c r="CK677" s="139" t="s">
        <v>969</v>
      </c>
      <c r="CL677" s="139" t="s">
        <v>969</v>
      </c>
      <c r="CM677" s="139" t="s">
        <v>969</v>
      </c>
      <c r="CN677" s="139" t="s">
        <v>454</v>
      </c>
      <c r="CO677" s="139">
        <v>20.987419128418001</v>
      </c>
      <c r="CP677" s="139">
        <v>92.362136840820298</v>
      </c>
      <c r="CQ677" s="139">
        <v>197913</v>
      </c>
      <c r="CR677" s="660" t="s">
        <v>40</v>
      </c>
      <c r="CS677" s="660"/>
      <c r="CT677" s="24"/>
      <c r="CU677" s="24"/>
      <c r="CV677" s="24"/>
    </row>
    <row r="678" spans="1:100" x14ac:dyDescent="0.25">
      <c r="A678" s="293" t="s">
        <v>2691</v>
      </c>
      <c r="B678" s="296" t="s">
        <v>530</v>
      </c>
      <c r="C678" s="296" t="s">
        <v>454</v>
      </c>
      <c r="D678" s="296" t="s">
        <v>466</v>
      </c>
      <c r="E678" s="296" t="s">
        <v>2512</v>
      </c>
      <c r="F678" s="296">
        <v>153</v>
      </c>
      <c r="G678" s="299">
        <v>1290</v>
      </c>
      <c r="H678" s="296"/>
      <c r="I678" s="296" t="s">
        <v>388</v>
      </c>
      <c r="J678" s="297">
        <v>43343</v>
      </c>
      <c r="K678" s="296">
        <v>0</v>
      </c>
      <c r="L678" s="296"/>
      <c r="M678" s="208"/>
      <c r="N678" s="208"/>
      <c r="O678" s="334">
        <v>0</v>
      </c>
      <c r="P678" s="330">
        <v>0</v>
      </c>
      <c r="Q678" s="330">
        <v>0</v>
      </c>
      <c r="R678" s="331">
        <v>0</v>
      </c>
      <c r="S678" s="331">
        <v>0</v>
      </c>
      <c r="T678" s="331"/>
      <c r="U678" s="331"/>
      <c r="V678" s="331"/>
      <c r="W678" s="331"/>
      <c r="X678" s="331"/>
      <c r="Y678" s="331"/>
      <c r="Z678" s="331"/>
      <c r="AA678" s="345"/>
      <c r="AB678" s="345"/>
      <c r="AC678" s="346"/>
      <c r="AD678" s="337"/>
      <c r="AE678" s="345">
        <v>2</v>
      </c>
      <c r="AF678" s="345" t="s">
        <v>332</v>
      </c>
      <c r="AG678" s="347" t="s">
        <v>332</v>
      </c>
      <c r="AH678" s="347"/>
      <c r="AI678" s="345"/>
      <c r="AJ678" s="345"/>
      <c r="AK678" s="841">
        <v>0</v>
      </c>
      <c r="AL678" s="842" t="s">
        <v>284</v>
      </c>
      <c r="AM678" s="842">
        <v>0</v>
      </c>
      <c r="AN678" s="837">
        <v>0</v>
      </c>
      <c r="AO678" s="837">
        <v>5</v>
      </c>
      <c r="AP678" s="853">
        <v>153</v>
      </c>
      <c r="AQ678" s="853">
        <v>153</v>
      </c>
      <c r="AR678" s="853"/>
      <c r="AS678" s="853"/>
      <c r="AT678" s="853"/>
      <c r="AU678" s="853"/>
      <c r="AV678" s="854"/>
      <c r="AW678" s="298" t="s">
        <v>3208</v>
      </c>
      <c r="AX678" s="301" t="s">
        <v>3208</v>
      </c>
      <c r="AY678" s="300" t="s">
        <v>2576</v>
      </c>
      <c r="AZ678" s="301">
        <v>0</v>
      </c>
      <c r="BA678" s="301">
        <v>0</v>
      </c>
      <c r="BB678" s="301">
        <v>0</v>
      </c>
      <c r="BC678" s="299">
        <v>0</v>
      </c>
      <c r="BD678" s="301">
        <v>0</v>
      </c>
      <c r="BE678" s="299">
        <v>0</v>
      </c>
      <c r="BF678" s="301">
        <v>0</v>
      </c>
      <c r="BG678" s="299">
        <v>0</v>
      </c>
      <c r="BH678" s="214">
        <v>0</v>
      </c>
      <c r="BI678" s="298">
        <v>1</v>
      </c>
      <c r="BJ678" s="299">
        <v>1290</v>
      </c>
      <c r="BK678" s="300">
        <v>3</v>
      </c>
      <c r="BL678" s="300">
        <v>3</v>
      </c>
      <c r="BM678" s="300">
        <v>0</v>
      </c>
      <c r="BN678" s="298">
        <v>0</v>
      </c>
      <c r="BO678" s="353">
        <v>0</v>
      </c>
      <c r="BP678" s="298">
        <v>1</v>
      </c>
      <c r="BQ678" s="299">
        <v>215</v>
      </c>
      <c r="BR678" s="300">
        <v>215</v>
      </c>
      <c r="BS678" s="303">
        <v>0</v>
      </c>
      <c r="BT678" s="353" t="s">
        <v>103</v>
      </c>
      <c r="BU678" s="299">
        <v>1290</v>
      </c>
      <c r="BV678" s="299">
        <v>1</v>
      </c>
      <c r="BW678" s="299">
        <v>1</v>
      </c>
      <c r="BX678" s="299">
        <v>1</v>
      </c>
      <c r="BY678" s="299">
        <v>1290</v>
      </c>
      <c r="BZ678" s="298">
        <v>1</v>
      </c>
      <c r="CA678" s="303">
        <v>0</v>
      </c>
      <c r="CB678" s="301">
        <v>1</v>
      </c>
      <c r="CC678" s="301">
        <v>1</v>
      </c>
      <c r="CD678" s="301">
        <v>1</v>
      </c>
      <c r="CE678" s="300">
        <v>765</v>
      </c>
      <c r="CF678" s="300">
        <v>765</v>
      </c>
      <c r="CG678" s="300">
        <v>765</v>
      </c>
      <c r="CH678" s="299">
        <v>0</v>
      </c>
      <c r="CI678" s="139">
        <v>0</v>
      </c>
      <c r="CJ678" s="139">
        <v>0</v>
      </c>
      <c r="CK678" s="139" t="s">
        <v>969</v>
      </c>
      <c r="CL678" s="139" t="s">
        <v>969</v>
      </c>
      <c r="CM678" s="139" t="s">
        <v>969</v>
      </c>
      <c r="CN678" s="139" t="s">
        <v>966</v>
      </c>
      <c r="CO678" s="139">
        <v>20.866529464721701</v>
      </c>
      <c r="CP678" s="139">
        <v>92.364883422851605</v>
      </c>
      <c r="CQ678" s="139">
        <v>197969</v>
      </c>
      <c r="CR678" s="422" t="s">
        <v>40</v>
      </c>
      <c r="CS678" s="422"/>
      <c r="CT678" s="24"/>
      <c r="CU678" s="24"/>
      <c r="CV678" s="24"/>
    </row>
    <row r="679" spans="1:100" x14ac:dyDescent="0.25">
      <c r="A679" s="643" t="s">
        <v>2691</v>
      </c>
      <c r="B679" s="206" t="s">
        <v>469</v>
      </c>
      <c r="C679" s="101" t="s">
        <v>454</v>
      </c>
      <c r="D679" s="206" t="s">
        <v>466</v>
      </c>
      <c r="E679" s="183" t="s">
        <v>2758</v>
      </c>
      <c r="F679" s="132">
        <v>210</v>
      </c>
      <c r="G679" s="214">
        <v>694</v>
      </c>
      <c r="H679" s="132"/>
      <c r="I679" s="765" t="s">
        <v>2752</v>
      </c>
      <c r="J679" s="207">
        <v>44134</v>
      </c>
      <c r="K679" s="206">
        <v>2</v>
      </c>
      <c r="L679" s="206" t="s">
        <v>286</v>
      </c>
      <c r="M679" s="208" t="s">
        <v>286</v>
      </c>
      <c r="N679" s="208" t="s">
        <v>286</v>
      </c>
      <c r="O679" s="320"/>
      <c r="P679" s="326"/>
      <c r="Q679" s="326"/>
      <c r="R679" s="315"/>
      <c r="S679" s="315"/>
      <c r="T679" s="315"/>
      <c r="U679" s="315"/>
      <c r="V679" s="315"/>
      <c r="W679" s="315"/>
      <c r="X679" s="315"/>
      <c r="Y679" s="315"/>
      <c r="Z679" s="315"/>
      <c r="AA679" s="336"/>
      <c r="AB679" s="336"/>
      <c r="AC679" s="337"/>
      <c r="AD679" s="337"/>
      <c r="AE679" s="336"/>
      <c r="AF679" s="336"/>
      <c r="AG679" s="339"/>
      <c r="AH679" s="339"/>
      <c r="AI679" s="336"/>
      <c r="AJ679" s="336"/>
      <c r="AK679" s="848"/>
      <c r="AL679" s="836"/>
      <c r="AM679" s="836"/>
      <c r="AN679" s="848"/>
      <c r="AO679" s="850"/>
      <c r="AP679" s="839">
        <v>138</v>
      </c>
      <c r="AQ679" s="839">
        <v>138</v>
      </c>
      <c r="AR679" s="839"/>
      <c r="AS679" s="839"/>
      <c r="AT679" s="839"/>
      <c r="AU679" s="839"/>
      <c r="AV679" s="849"/>
      <c r="AW679" s="134" t="s">
        <v>3208</v>
      </c>
      <c r="AX679" s="136" t="s">
        <v>3208</v>
      </c>
      <c r="AY679" s="137" t="s">
        <v>2576</v>
      </c>
      <c r="AZ679" s="136">
        <v>0</v>
      </c>
      <c r="BA679" s="136">
        <v>0</v>
      </c>
      <c r="BB679" s="136">
        <v>0</v>
      </c>
      <c r="BC679" s="214">
        <v>0</v>
      </c>
      <c r="BD679" s="136">
        <v>0</v>
      </c>
      <c r="BE679" s="214">
        <v>0</v>
      </c>
      <c r="BF679" s="136">
        <v>0</v>
      </c>
      <c r="BG679" s="214">
        <v>0</v>
      </c>
      <c r="BH679" s="214">
        <v>0</v>
      </c>
      <c r="BI679" s="134">
        <v>1</v>
      </c>
      <c r="BJ679" s="214">
        <v>694</v>
      </c>
      <c r="BK679" s="137">
        <v>1</v>
      </c>
      <c r="BL679" s="137">
        <v>1</v>
      </c>
      <c r="BM679" s="137">
        <v>0</v>
      </c>
      <c r="BN679" s="134">
        <v>0</v>
      </c>
      <c r="BO679" s="351">
        <v>0</v>
      </c>
      <c r="BP679" s="134">
        <v>1</v>
      </c>
      <c r="BQ679" s="214">
        <v>116</v>
      </c>
      <c r="BR679" s="137">
        <v>116</v>
      </c>
      <c r="BS679" s="138">
        <v>0</v>
      </c>
      <c r="BT679" s="351" t="s">
        <v>103</v>
      </c>
      <c r="BU679" s="214">
        <v>0</v>
      </c>
      <c r="BV679" s="214">
        <v>0</v>
      </c>
      <c r="BW679" s="214">
        <v>0</v>
      </c>
      <c r="BX679" s="214">
        <v>0</v>
      </c>
      <c r="BY679" s="214">
        <v>0</v>
      </c>
      <c r="BZ679" s="134">
        <v>0</v>
      </c>
      <c r="CA679" s="138">
        <v>1</v>
      </c>
      <c r="CB679" s="136">
        <v>0</v>
      </c>
      <c r="CC679" s="136">
        <v>0.65714285714285714</v>
      </c>
      <c r="CD679" s="136">
        <v>0.65714285714285714</v>
      </c>
      <c r="CE679" s="137">
        <v>690</v>
      </c>
      <c r="CF679" s="137">
        <v>690</v>
      </c>
      <c r="CG679" s="137">
        <v>690</v>
      </c>
      <c r="CH679" s="214">
        <v>0</v>
      </c>
      <c r="CI679" s="139">
        <v>0</v>
      </c>
      <c r="CJ679" s="139">
        <v>0</v>
      </c>
      <c r="CK679" s="139" t="s">
        <v>969</v>
      </c>
      <c r="CL679" s="139" t="s">
        <v>969</v>
      </c>
      <c r="CM679" s="139" t="s">
        <v>969</v>
      </c>
      <c r="CN679" s="139" t="s">
        <v>966</v>
      </c>
      <c r="CO679" s="139">
        <v>21.012830734252901</v>
      </c>
      <c r="CP679" s="139">
        <v>92.338958740234403</v>
      </c>
      <c r="CQ679" s="139">
        <v>197878</v>
      </c>
      <c r="CR679" s="449" t="s">
        <v>40</v>
      </c>
      <c r="CS679" s="449"/>
      <c r="CT679" s="24"/>
      <c r="CU679" s="24"/>
      <c r="CV679" s="24"/>
    </row>
    <row r="680" spans="1:100" x14ac:dyDescent="0.25">
      <c r="A680" s="293" t="s">
        <v>2691</v>
      </c>
      <c r="B680" s="296" t="s">
        <v>530</v>
      </c>
      <c r="C680" s="296" t="s">
        <v>454</v>
      </c>
      <c r="D680" s="296" t="s">
        <v>466</v>
      </c>
      <c r="E680" s="296" t="s">
        <v>2513</v>
      </c>
      <c r="F680" s="296">
        <v>350</v>
      </c>
      <c r="G680" s="299">
        <v>1711</v>
      </c>
      <c r="H680" s="296"/>
      <c r="I680" s="296" t="s">
        <v>388</v>
      </c>
      <c r="J680" s="297">
        <v>43343</v>
      </c>
      <c r="K680" s="296">
        <v>0</v>
      </c>
      <c r="L680" s="296"/>
      <c r="M680" s="208"/>
      <c r="N680" s="208"/>
      <c r="O680" s="334">
        <v>0</v>
      </c>
      <c r="P680" s="330">
        <v>0</v>
      </c>
      <c r="Q680" s="330">
        <v>0</v>
      </c>
      <c r="R680" s="331">
        <v>0</v>
      </c>
      <c r="S680" s="331">
        <v>0</v>
      </c>
      <c r="T680" s="331"/>
      <c r="U680" s="331"/>
      <c r="V680" s="331"/>
      <c r="W680" s="331"/>
      <c r="X680" s="331"/>
      <c r="Y680" s="331"/>
      <c r="Z680" s="331"/>
      <c r="AA680" s="345"/>
      <c r="AB680" s="345"/>
      <c r="AC680" s="346"/>
      <c r="AD680" s="337"/>
      <c r="AE680" s="345">
        <v>12</v>
      </c>
      <c r="AF680" s="345" t="s">
        <v>332</v>
      </c>
      <c r="AG680" s="347" t="s">
        <v>332</v>
      </c>
      <c r="AH680" s="347"/>
      <c r="AI680" s="345"/>
      <c r="AJ680" s="345"/>
      <c r="AK680" s="841">
        <v>0</v>
      </c>
      <c r="AL680" s="842" t="s">
        <v>284</v>
      </c>
      <c r="AM680" s="842">
        <v>0</v>
      </c>
      <c r="AN680" s="837">
        <v>0</v>
      </c>
      <c r="AO680" s="837">
        <v>5</v>
      </c>
      <c r="AP680" s="853">
        <v>350</v>
      </c>
      <c r="AQ680" s="853">
        <v>350</v>
      </c>
      <c r="AR680" s="853"/>
      <c r="AS680" s="853"/>
      <c r="AT680" s="853"/>
      <c r="AU680" s="853"/>
      <c r="AV680" s="854"/>
      <c r="AW680" s="298" t="s">
        <v>3208</v>
      </c>
      <c r="AX680" s="301" t="s">
        <v>3208</v>
      </c>
      <c r="AY680" s="300" t="s">
        <v>2576</v>
      </c>
      <c r="AZ680" s="301">
        <v>0</v>
      </c>
      <c r="BA680" s="301">
        <v>0</v>
      </c>
      <c r="BB680" s="301">
        <v>0</v>
      </c>
      <c r="BC680" s="299">
        <v>0</v>
      </c>
      <c r="BD680" s="301">
        <v>0</v>
      </c>
      <c r="BE680" s="299">
        <v>0</v>
      </c>
      <c r="BF680" s="301">
        <v>0</v>
      </c>
      <c r="BG680" s="299">
        <v>0</v>
      </c>
      <c r="BH680" s="214">
        <v>0</v>
      </c>
      <c r="BI680" s="298">
        <v>1</v>
      </c>
      <c r="BJ680" s="299">
        <v>1711</v>
      </c>
      <c r="BK680" s="300">
        <v>3</v>
      </c>
      <c r="BL680" s="300">
        <v>3</v>
      </c>
      <c r="BM680" s="300">
        <v>0</v>
      </c>
      <c r="BN680" s="298">
        <v>0</v>
      </c>
      <c r="BO680" s="353">
        <v>0</v>
      </c>
      <c r="BP680" s="298">
        <v>0.99941554646405606</v>
      </c>
      <c r="BQ680" s="299">
        <v>285</v>
      </c>
      <c r="BR680" s="300">
        <v>285</v>
      </c>
      <c r="BS680" s="303">
        <v>0</v>
      </c>
      <c r="BT680" s="353" t="s">
        <v>103</v>
      </c>
      <c r="BU680" s="299">
        <v>1711</v>
      </c>
      <c r="BV680" s="299">
        <v>1</v>
      </c>
      <c r="BW680" s="299">
        <v>1</v>
      </c>
      <c r="BX680" s="299">
        <v>1</v>
      </c>
      <c r="BY680" s="299">
        <v>1711</v>
      </c>
      <c r="BZ680" s="298">
        <v>1</v>
      </c>
      <c r="CA680" s="303">
        <v>0</v>
      </c>
      <c r="CB680" s="301">
        <v>1</v>
      </c>
      <c r="CC680" s="301">
        <v>1</v>
      </c>
      <c r="CD680" s="301">
        <v>1</v>
      </c>
      <c r="CE680" s="300">
        <v>1750</v>
      </c>
      <c r="CF680" s="300">
        <v>1750</v>
      </c>
      <c r="CG680" s="300">
        <v>1750</v>
      </c>
      <c r="CH680" s="299">
        <v>0</v>
      </c>
      <c r="CI680" s="139">
        <v>0</v>
      </c>
      <c r="CJ680" s="139">
        <v>0</v>
      </c>
      <c r="CK680" s="139" t="s">
        <v>969</v>
      </c>
      <c r="CL680" s="139" t="s">
        <v>969</v>
      </c>
      <c r="CM680" s="139" t="s">
        <v>969</v>
      </c>
      <c r="CN680" s="139" t="s">
        <v>966</v>
      </c>
      <c r="CO680" s="139">
        <v>20.903369903564499</v>
      </c>
      <c r="CP680" s="139">
        <v>92.332237243652301</v>
      </c>
      <c r="CQ680" s="139">
        <v>197961</v>
      </c>
      <c r="CR680" s="422" t="s">
        <v>40</v>
      </c>
      <c r="CS680" s="422"/>
      <c r="CT680" s="24"/>
      <c r="CU680" s="24"/>
      <c r="CV680" s="24"/>
    </row>
    <row r="681" spans="1:100" x14ac:dyDescent="0.25">
      <c r="A681" s="293" t="s">
        <v>2691</v>
      </c>
      <c r="B681" s="206" t="s">
        <v>530</v>
      </c>
      <c r="C681" s="183" t="s">
        <v>454</v>
      </c>
      <c r="D681" s="183" t="s">
        <v>466</v>
      </c>
      <c r="E681" s="183" t="s">
        <v>839</v>
      </c>
      <c r="F681" s="206">
        <v>79</v>
      </c>
      <c r="G681" s="209">
        <v>334</v>
      </c>
      <c r="H681" s="206"/>
      <c r="I681" s="206" t="s">
        <v>388</v>
      </c>
      <c r="J681" s="207">
        <v>43145</v>
      </c>
      <c r="K681" s="206">
        <v>0</v>
      </c>
      <c r="L681" s="206"/>
      <c r="M681" s="208"/>
      <c r="N681" s="208"/>
      <c r="O681" s="323">
        <v>1</v>
      </c>
      <c r="P681" s="317">
        <v>25</v>
      </c>
      <c r="Q681" s="317">
        <v>0</v>
      </c>
      <c r="R681" s="318">
        <v>5</v>
      </c>
      <c r="S681" s="318">
        <v>1</v>
      </c>
      <c r="T681" s="318"/>
      <c r="U681" s="318"/>
      <c r="V681" s="318"/>
      <c r="W681" s="318"/>
      <c r="X681" s="318"/>
      <c r="Y681" s="318"/>
      <c r="Z681" s="318"/>
      <c r="AA681" s="310">
        <v>5</v>
      </c>
      <c r="AB681" s="310">
        <v>0</v>
      </c>
      <c r="AC681" s="66"/>
      <c r="AD681" s="337"/>
      <c r="AE681" s="310">
        <v>5</v>
      </c>
      <c r="AF681" s="310" t="s">
        <v>332</v>
      </c>
      <c r="AG681" s="311" t="s">
        <v>332</v>
      </c>
      <c r="AH681" s="311"/>
      <c r="AI681" s="310"/>
      <c r="AJ681" s="310"/>
      <c r="AK681" s="841">
        <v>0</v>
      </c>
      <c r="AL681" s="842" t="s">
        <v>284</v>
      </c>
      <c r="AM681" s="842">
        <v>0</v>
      </c>
      <c r="AN681" s="837">
        <v>0</v>
      </c>
      <c r="AO681" s="837">
        <v>5</v>
      </c>
      <c r="AP681" s="843">
        <v>79</v>
      </c>
      <c r="AQ681" s="843">
        <v>79</v>
      </c>
      <c r="AR681" s="843"/>
      <c r="AS681" s="843"/>
      <c r="AT681" s="843"/>
      <c r="AU681" s="843"/>
      <c r="AV681" s="844"/>
      <c r="AW681" s="208" t="s">
        <v>3208</v>
      </c>
      <c r="AX681" s="211" t="s">
        <v>3208</v>
      </c>
      <c r="AY681" s="210" t="s">
        <v>2576</v>
      </c>
      <c r="AZ681" s="211">
        <v>1</v>
      </c>
      <c r="BA681" s="211">
        <v>1</v>
      </c>
      <c r="BB681" s="211">
        <v>1</v>
      </c>
      <c r="BC681" s="209">
        <v>334</v>
      </c>
      <c r="BD681" s="211">
        <v>1</v>
      </c>
      <c r="BE681" s="209">
        <v>334</v>
      </c>
      <c r="BF681" s="211">
        <v>1</v>
      </c>
      <c r="BG681" s="209">
        <v>334</v>
      </c>
      <c r="BH681" s="214">
        <v>1</v>
      </c>
      <c r="BI681" s="208">
        <v>0</v>
      </c>
      <c r="BJ681" s="209">
        <v>0</v>
      </c>
      <c r="BK681" s="210">
        <v>0</v>
      </c>
      <c r="BL681" s="210">
        <v>1</v>
      </c>
      <c r="BM681" s="210">
        <v>5</v>
      </c>
      <c r="BN681" s="208">
        <v>8.9820359281437126E-2</v>
      </c>
      <c r="BO681" s="352">
        <v>30</v>
      </c>
      <c r="BP681" s="208">
        <v>0.91616766467065869</v>
      </c>
      <c r="BQ681" s="209">
        <v>51</v>
      </c>
      <c r="BR681" s="210">
        <v>56</v>
      </c>
      <c r="BS681" s="212">
        <v>0</v>
      </c>
      <c r="BT681" s="352" t="s">
        <v>103</v>
      </c>
      <c r="BU681" s="209">
        <v>334</v>
      </c>
      <c r="BV681" s="209">
        <v>1</v>
      </c>
      <c r="BW681" s="209">
        <v>1</v>
      </c>
      <c r="BX681" s="209">
        <v>1</v>
      </c>
      <c r="BY681" s="209">
        <v>334</v>
      </c>
      <c r="BZ681" s="208">
        <v>1</v>
      </c>
      <c r="CA681" s="212">
        <v>0</v>
      </c>
      <c r="CB681" s="211">
        <v>1</v>
      </c>
      <c r="CC681" s="211">
        <v>1</v>
      </c>
      <c r="CD681" s="211">
        <v>1</v>
      </c>
      <c r="CE681" s="210">
        <v>395</v>
      </c>
      <c r="CF681" s="210">
        <v>395</v>
      </c>
      <c r="CG681" s="210">
        <v>395</v>
      </c>
      <c r="CH681" s="209">
        <v>0</v>
      </c>
      <c r="CI681" s="139">
        <v>0</v>
      </c>
      <c r="CJ681" s="139">
        <v>0</v>
      </c>
      <c r="CK681" s="139" t="s">
        <v>969</v>
      </c>
      <c r="CL681" s="139" t="s">
        <v>969</v>
      </c>
      <c r="CM681" s="139" t="s">
        <v>969</v>
      </c>
      <c r="CN681" s="139" t="s">
        <v>454</v>
      </c>
      <c r="CO681" s="139">
        <v>21.007270812988299</v>
      </c>
      <c r="CP681" s="139">
        <v>92.3585205078125</v>
      </c>
      <c r="CQ681" s="139">
        <v>197910</v>
      </c>
      <c r="CR681" s="660" t="s">
        <v>40</v>
      </c>
      <c r="CS681" s="660"/>
      <c r="CT681" s="24"/>
      <c r="CU681" s="24"/>
      <c r="CV681" s="24"/>
    </row>
    <row r="682" spans="1:100" x14ac:dyDescent="0.25">
      <c r="A682" s="293" t="s">
        <v>2691</v>
      </c>
      <c r="B682" s="206" t="s">
        <v>530</v>
      </c>
      <c r="C682" s="296" t="s">
        <v>454</v>
      </c>
      <c r="D682" s="296" t="s">
        <v>466</v>
      </c>
      <c r="E682" s="296" t="s">
        <v>2514</v>
      </c>
      <c r="F682" s="296">
        <v>220</v>
      </c>
      <c r="G682" s="299">
        <v>1442</v>
      </c>
      <c r="H682" s="296"/>
      <c r="I682" s="296" t="s">
        <v>388</v>
      </c>
      <c r="J682" s="297">
        <v>43343</v>
      </c>
      <c r="K682" s="296">
        <v>0</v>
      </c>
      <c r="L682" s="296"/>
      <c r="M682" s="208"/>
      <c r="N682" s="208"/>
      <c r="O682" s="334">
        <v>0</v>
      </c>
      <c r="P682" s="330">
        <v>0</v>
      </c>
      <c r="Q682" s="330">
        <v>0</v>
      </c>
      <c r="R682" s="331">
        <v>0</v>
      </c>
      <c r="S682" s="331">
        <v>0</v>
      </c>
      <c r="T682" s="331"/>
      <c r="U682" s="331"/>
      <c r="V682" s="331"/>
      <c r="W682" s="331"/>
      <c r="X682" s="331"/>
      <c r="Y682" s="331"/>
      <c r="Z682" s="331"/>
      <c r="AA682" s="345"/>
      <c r="AB682" s="345"/>
      <c r="AC682" s="346"/>
      <c r="AD682" s="337"/>
      <c r="AE682" s="345">
        <v>18</v>
      </c>
      <c r="AF682" s="345" t="s">
        <v>332</v>
      </c>
      <c r="AG682" s="347" t="s">
        <v>332</v>
      </c>
      <c r="AH682" s="347"/>
      <c r="AI682" s="345"/>
      <c r="AJ682" s="345"/>
      <c r="AK682" s="841">
        <v>0</v>
      </c>
      <c r="AL682" s="842" t="s">
        <v>284</v>
      </c>
      <c r="AM682" s="842">
        <v>0</v>
      </c>
      <c r="AN682" s="837">
        <v>0</v>
      </c>
      <c r="AO682" s="837">
        <v>5</v>
      </c>
      <c r="AP682" s="853">
        <v>181</v>
      </c>
      <c r="AQ682" s="853">
        <v>181</v>
      </c>
      <c r="AR682" s="853"/>
      <c r="AS682" s="853"/>
      <c r="AT682" s="853"/>
      <c r="AU682" s="853"/>
      <c r="AV682" s="854"/>
      <c r="AW682" s="298" t="s">
        <v>3208</v>
      </c>
      <c r="AX682" s="301" t="s">
        <v>3208</v>
      </c>
      <c r="AY682" s="300" t="s">
        <v>2576</v>
      </c>
      <c r="AZ682" s="301">
        <v>0</v>
      </c>
      <c r="BA682" s="301">
        <v>0</v>
      </c>
      <c r="BB682" s="301">
        <v>0</v>
      </c>
      <c r="BC682" s="299">
        <v>0</v>
      </c>
      <c r="BD682" s="301">
        <v>0</v>
      </c>
      <c r="BE682" s="299">
        <v>0</v>
      </c>
      <c r="BF682" s="301">
        <v>0</v>
      </c>
      <c r="BG682" s="299">
        <v>0</v>
      </c>
      <c r="BH682" s="214">
        <v>0</v>
      </c>
      <c r="BI682" s="298">
        <v>1</v>
      </c>
      <c r="BJ682" s="299">
        <v>1442</v>
      </c>
      <c r="BK682" s="300">
        <v>3</v>
      </c>
      <c r="BL682" s="300">
        <v>3</v>
      </c>
      <c r="BM682" s="300">
        <v>0</v>
      </c>
      <c r="BN682" s="298">
        <v>0</v>
      </c>
      <c r="BO682" s="353">
        <v>0</v>
      </c>
      <c r="BP682" s="298">
        <v>0.9986130374479889</v>
      </c>
      <c r="BQ682" s="299">
        <v>240</v>
      </c>
      <c r="BR682" s="300">
        <v>240</v>
      </c>
      <c r="BS682" s="303">
        <v>0</v>
      </c>
      <c r="BT682" s="353" t="s">
        <v>103</v>
      </c>
      <c r="BU682" s="299">
        <v>1442</v>
      </c>
      <c r="BV682" s="299">
        <v>0</v>
      </c>
      <c r="BW682" s="299">
        <v>1</v>
      </c>
      <c r="BX682" s="299">
        <v>0</v>
      </c>
      <c r="BY682" s="299">
        <v>0</v>
      </c>
      <c r="BZ682" s="298">
        <v>0</v>
      </c>
      <c r="CA682" s="303">
        <v>1</v>
      </c>
      <c r="CB682" s="301">
        <v>1</v>
      </c>
      <c r="CC682" s="301">
        <v>0.82272727272727275</v>
      </c>
      <c r="CD682" s="301">
        <v>0.82272727272727275</v>
      </c>
      <c r="CE682" s="300">
        <v>905</v>
      </c>
      <c r="CF682" s="300">
        <v>905</v>
      </c>
      <c r="CG682" s="300">
        <v>905</v>
      </c>
      <c r="CH682" s="299">
        <v>0</v>
      </c>
      <c r="CI682" s="139">
        <v>0</v>
      </c>
      <c r="CJ682" s="139">
        <v>0</v>
      </c>
      <c r="CK682" s="139" t="s">
        <v>969</v>
      </c>
      <c r="CL682" s="139" t="s">
        <v>969</v>
      </c>
      <c r="CM682" s="139" t="s">
        <v>969</v>
      </c>
      <c r="CN682" s="139" t="s">
        <v>966</v>
      </c>
      <c r="CO682" s="139">
        <v>20.872400283813501</v>
      </c>
      <c r="CP682" s="139">
        <v>92.337608337402301</v>
      </c>
      <c r="CQ682" s="139">
        <v>197971</v>
      </c>
      <c r="CR682" s="422" t="s">
        <v>40</v>
      </c>
      <c r="CS682" s="422"/>
      <c r="CT682" s="24"/>
      <c r="CU682" s="24"/>
      <c r="CV682" s="24"/>
    </row>
    <row r="683" spans="1:100" x14ac:dyDescent="0.25">
      <c r="A683" s="293" t="s">
        <v>2691</v>
      </c>
      <c r="B683" s="206" t="s">
        <v>469</v>
      </c>
      <c r="C683" s="101" t="s">
        <v>454</v>
      </c>
      <c r="D683" s="206" t="s">
        <v>466</v>
      </c>
      <c r="E683" s="183" t="s">
        <v>2759</v>
      </c>
      <c r="F683" s="183">
        <v>87</v>
      </c>
      <c r="G683" s="395">
        <v>412</v>
      </c>
      <c r="H683" s="183"/>
      <c r="I683" s="183" t="s">
        <v>2752</v>
      </c>
      <c r="J683" s="194">
        <v>44134</v>
      </c>
      <c r="K683" s="193">
        <v>2</v>
      </c>
      <c r="L683" s="193" t="s">
        <v>286</v>
      </c>
      <c r="M683" s="195" t="s">
        <v>286</v>
      </c>
      <c r="N683" s="195" t="s">
        <v>286</v>
      </c>
      <c r="O683" s="312"/>
      <c r="P683" s="313"/>
      <c r="Q683" s="313"/>
      <c r="R683" s="314"/>
      <c r="S683" s="314"/>
      <c r="T683" s="314"/>
      <c r="U683" s="315"/>
      <c r="V683" s="315"/>
      <c r="W683" s="315"/>
      <c r="X683" s="315"/>
      <c r="Y683" s="315"/>
      <c r="Z683" s="315"/>
      <c r="AA683" s="336"/>
      <c r="AB683" s="336"/>
      <c r="AC683" s="337"/>
      <c r="AD683" s="337"/>
      <c r="AE683" s="338"/>
      <c r="AF683" s="338"/>
      <c r="AG683" s="339"/>
      <c r="AH683" s="339"/>
      <c r="AI683" s="336"/>
      <c r="AJ683" s="338"/>
      <c r="AK683" s="834"/>
      <c r="AL683" s="835"/>
      <c r="AM683" s="836"/>
      <c r="AN683" s="837"/>
      <c r="AO683" s="837"/>
      <c r="AP683" s="843"/>
      <c r="AQ683" s="839"/>
      <c r="AR683" s="839"/>
      <c r="AS683" s="839"/>
      <c r="AT683" s="839"/>
      <c r="AU683" s="839"/>
      <c r="AV683" s="840"/>
      <c r="AW683" s="134" t="s">
        <v>3208</v>
      </c>
      <c r="AX683" s="136" t="s">
        <v>3208</v>
      </c>
      <c r="AY683" s="197" t="s">
        <v>2576</v>
      </c>
      <c r="AZ683" s="204">
        <v>0</v>
      </c>
      <c r="BA683" s="204">
        <v>0</v>
      </c>
      <c r="BB683" s="204">
        <v>0</v>
      </c>
      <c r="BC683" s="214">
        <v>0</v>
      </c>
      <c r="BD683" s="204">
        <v>0</v>
      </c>
      <c r="BE683" s="196">
        <v>0</v>
      </c>
      <c r="BF683" s="204">
        <v>0</v>
      </c>
      <c r="BG683" s="196">
        <v>0</v>
      </c>
      <c r="BH683" s="214">
        <v>0</v>
      </c>
      <c r="BI683" s="134">
        <v>1</v>
      </c>
      <c r="BJ683" s="196">
        <v>412</v>
      </c>
      <c r="BK683" s="137">
        <v>1</v>
      </c>
      <c r="BL683" s="197">
        <v>1</v>
      </c>
      <c r="BM683" s="137">
        <v>0</v>
      </c>
      <c r="BN683" s="195">
        <v>0</v>
      </c>
      <c r="BO683" s="351">
        <v>0</v>
      </c>
      <c r="BP683" s="134">
        <v>1</v>
      </c>
      <c r="BQ683" s="214">
        <v>69</v>
      </c>
      <c r="BR683" s="197">
        <v>69</v>
      </c>
      <c r="BS683" s="198">
        <v>0</v>
      </c>
      <c r="BT683" s="351" t="s">
        <v>103</v>
      </c>
      <c r="BU683" s="196">
        <v>0</v>
      </c>
      <c r="BV683" s="196">
        <v>0</v>
      </c>
      <c r="BW683" s="196">
        <v>0</v>
      </c>
      <c r="BX683" s="196">
        <v>0</v>
      </c>
      <c r="BY683" s="196">
        <v>0</v>
      </c>
      <c r="BZ683" s="134">
        <v>0</v>
      </c>
      <c r="CA683" s="198">
        <v>1</v>
      </c>
      <c r="CB683" s="136">
        <v>0</v>
      </c>
      <c r="CC683" s="136">
        <v>0</v>
      </c>
      <c r="CD683" s="136">
        <v>0</v>
      </c>
      <c r="CE683" s="137">
        <v>0</v>
      </c>
      <c r="CF683" s="137">
        <v>0</v>
      </c>
      <c r="CG683" s="137">
        <v>0</v>
      </c>
      <c r="CH683" s="196">
        <v>0</v>
      </c>
      <c r="CI683" s="139">
        <v>0</v>
      </c>
      <c r="CJ683" s="139">
        <v>0</v>
      </c>
      <c r="CK683" s="139" t="s">
        <v>969</v>
      </c>
      <c r="CL683" s="139" t="s">
        <v>969</v>
      </c>
      <c r="CM683" s="139" t="s">
        <v>969</v>
      </c>
      <c r="CN683" s="139" t="s">
        <v>454</v>
      </c>
      <c r="CO683" s="139">
        <v>21.2182006835938</v>
      </c>
      <c r="CP683" s="139">
        <v>92.323173522949205</v>
      </c>
      <c r="CQ683" s="139">
        <v>197830</v>
      </c>
      <c r="CR683" s="449" t="s">
        <v>40</v>
      </c>
      <c r="CS683" s="449"/>
      <c r="CT683" s="24"/>
      <c r="CU683" s="24"/>
      <c r="CV683" s="24"/>
    </row>
    <row r="684" spans="1:100" x14ac:dyDescent="0.25">
      <c r="A684" s="293" t="s">
        <v>2691</v>
      </c>
      <c r="B684" s="296" t="s">
        <v>530</v>
      </c>
      <c r="C684" s="296" t="s">
        <v>454</v>
      </c>
      <c r="D684" s="296" t="s">
        <v>466</v>
      </c>
      <c r="E684" s="296" t="s">
        <v>2517</v>
      </c>
      <c r="F684" s="296">
        <v>115</v>
      </c>
      <c r="G684" s="299">
        <v>700</v>
      </c>
      <c r="H684" s="296"/>
      <c r="I684" s="296" t="s">
        <v>388</v>
      </c>
      <c r="J684" s="297">
        <v>43343</v>
      </c>
      <c r="K684" s="296">
        <v>0</v>
      </c>
      <c r="L684" s="296"/>
      <c r="M684" s="208"/>
      <c r="N684" s="208"/>
      <c r="O684" s="334">
        <v>0</v>
      </c>
      <c r="P684" s="330">
        <v>0</v>
      </c>
      <c r="Q684" s="330">
        <v>0</v>
      </c>
      <c r="R684" s="331">
        <v>0</v>
      </c>
      <c r="S684" s="331">
        <v>1</v>
      </c>
      <c r="T684" s="331"/>
      <c r="U684" s="331"/>
      <c r="V684" s="331"/>
      <c r="W684" s="331"/>
      <c r="X684" s="331"/>
      <c r="Y684" s="331"/>
      <c r="Z684" s="331"/>
      <c r="AA684" s="345"/>
      <c r="AB684" s="345"/>
      <c r="AC684" s="346"/>
      <c r="AD684" s="337"/>
      <c r="AE684" s="345">
        <v>3</v>
      </c>
      <c r="AF684" s="345" t="s">
        <v>332</v>
      </c>
      <c r="AG684" s="347" t="s">
        <v>332</v>
      </c>
      <c r="AH684" s="347"/>
      <c r="AI684" s="345"/>
      <c r="AJ684" s="345"/>
      <c r="AK684" s="841">
        <v>0</v>
      </c>
      <c r="AL684" s="842" t="s">
        <v>284</v>
      </c>
      <c r="AM684" s="842">
        <v>0</v>
      </c>
      <c r="AN684" s="837">
        <v>0</v>
      </c>
      <c r="AO684" s="837">
        <v>5</v>
      </c>
      <c r="AP684" s="853">
        <v>115</v>
      </c>
      <c r="AQ684" s="853">
        <v>115</v>
      </c>
      <c r="AR684" s="853"/>
      <c r="AS684" s="853"/>
      <c r="AT684" s="853"/>
      <c r="AU684" s="853"/>
      <c r="AV684" s="854"/>
      <c r="AW684" s="298" t="s">
        <v>3208</v>
      </c>
      <c r="AX684" s="301" t="s">
        <v>3208</v>
      </c>
      <c r="AY684" s="300" t="s">
        <v>2576</v>
      </c>
      <c r="AZ684" s="301">
        <v>0</v>
      </c>
      <c r="BA684" s="301">
        <v>0</v>
      </c>
      <c r="BB684" s="301">
        <v>0</v>
      </c>
      <c r="BC684" s="299">
        <v>0</v>
      </c>
      <c r="BD684" s="301">
        <v>0</v>
      </c>
      <c r="BE684" s="299">
        <v>0</v>
      </c>
      <c r="BF684" s="301">
        <v>0</v>
      </c>
      <c r="BG684" s="299">
        <v>0</v>
      </c>
      <c r="BH684" s="214">
        <v>0</v>
      </c>
      <c r="BI684" s="298">
        <v>1</v>
      </c>
      <c r="BJ684" s="299">
        <v>700</v>
      </c>
      <c r="BK684" s="300">
        <v>1</v>
      </c>
      <c r="BL684" s="300">
        <v>1</v>
      </c>
      <c r="BM684" s="300">
        <v>0</v>
      </c>
      <c r="BN684" s="298">
        <v>0</v>
      </c>
      <c r="BO684" s="353">
        <v>0</v>
      </c>
      <c r="BP684" s="298">
        <v>1</v>
      </c>
      <c r="BQ684" s="299">
        <v>117</v>
      </c>
      <c r="BR684" s="300">
        <v>117</v>
      </c>
      <c r="BS684" s="303">
        <v>0</v>
      </c>
      <c r="BT684" s="353" t="s">
        <v>103</v>
      </c>
      <c r="BU684" s="299">
        <v>700</v>
      </c>
      <c r="BV684" s="299">
        <v>1</v>
      </c>
      <c r="BW684" s="299">
        <v>1</v>
      </c>
      <c r="BX684" s="299">
        <v>1</v>
      </c>
      <c r="BY684" s="299">
        <v>700</v>
      </c>
      <c r="BZ684" s="298">
        <v>1</v>
      </c>
      <c r="CA684" s="303">
        <v>0</v>
      </c>
      <c r="CB684" s="301">
        <v>1</v>
      </c>
      <c r="CC684" s="301">
        <v>1</v>
      </c>
      <c r="CD684" s="301">
        <v>1</v>
      </c>
      <c r="CE684" s="300">
        <v>575</v>
      </c>
      <c r="CF684" s="300">
        <v>575</v>
      </c>
      <c r="CG684" s="300">
        <v>575</v>
      </c>
      <c r="CH684" s="299">
        <v>0</v>
      </c>
      <c r="CI684" s="139">
        <v>0</v>
      </c>
      <c r="CJ684" s="139">
        <v>0</v>
      </c>
      <c r="CK684" s="139" t="s">
        <v>969</v>
      </c>
      <c r="CL684" s="139" t="s">
        <v>969</v>
      </c>
      <c r="CM684" s="139" t="s">
        <v>969</v>
      </c>
      <c r="CN684" s="139" t="s">
        <v>454</v>
      </c>
      <c r="CO684" s="139">
        <v>20.731571197509801</v>
      </c>
      <c r="CP684" s="139">
        <v>92.428176879882798</v>
      </c>
      <c r="CQ684" s="139">
        <v>198016</v>
      </c>
      <c r="CR684" s="422" t="s">
        <v>40</v>
      </c>
      <c r="CS684" s="422"/>
      <c r="CT684" s="24"/>
      <c r="CU684" s="24"/>
      <c r="CV684" s="24"/>
    </row>
    <row r="685" spans="1:100" x14ac:dyDescent="0.25">
      <c r="A685" s="643" t="s">
        <v>2691</v>
      </c>
      <c r="B685" s="206" t="s">
        <v>469</v>
      </c>
      <c r="C685" s="101" t="s">
        <v>454</v>
      </c>
      <c r="D685" s="206" t="s">
        <v>466</v>
      </c>
      <c r="E685" s="183" t="s">
        <v>853</v>
      </c>
      <c r="F685" s="132">
        <v>34</v>
      </c>
      <c r="G685" s="214">
        <v>163</v>
      </c>
      <c r="H685" s="132"/>
      <c r="I685" s="765" t="s">
        <v>2752</v>
      </c>
      <c r="J685" s="207">
        <v>44134</v>
      </c>
      <c r="K685" s="206">
        <v>2</v>
      </c>
      <c r="L685" s="206" t="s">
        <v>286</v>
      </c>
      <c r="M685" s="208" t="s">
        <v>286</v>
      </c>
      <c r="N685" s="208" t="s">
        <v>286</v>
      </c>
      <c r="O685" s="320"/>
      <c r="P685" s="326"/>
      <c r="Q685" s="326"/>
      <c r="R685" s="315"/>
      <c r="S685" s="315"/>
      <c r="T685" s="315"/>
      <c r="U685" s="315"/>
      <c r="V685" s="315"/>
      <c r="W685" s="315"/>
      <c r="X685" s="315"/>
      <c r="Y685" s="315"/>
      <c r="Z685" s="315"/>
      <c r="AA685" s="336"/>
      <c r="AB685" s="336"/>
      <c r="AC685" s="337"/>
      <c r="AD685" s="337"/>
      <c r="AE685" s="336"/>
      <c r="AF685" s="336"/>
      <c r="AG685" s="339"/>
      <c r="AH685" s="339"/>
      <c r="AI685" s="336"/>
      <c r="AJ685" s="336"/>
      <c r="AK685" s="848"/>
      <c r="AL685" s="836"/>
      <c r="AM685" s="836"/>
      <c r="AN685" s="848"/>
      <c r="AO685" s="850"/>
      <c r="AP685" s="839">
        <v>34</v>
      </c>
      <c r="AQ685" s="839">
        <v>34</v>
      </c>
      <c r="AR685" s="839"/>
      <c r="AS685" s="839"/>
      <c r="AT685" s="839"/>
      <c r="AU685" s="839"/>
      <c r="AV685" s="849"/>
      <c r="AW685" s="134" t="s">
        <v>3208</v>
      </c>
      <c r="AX685" s="136" t="s">
        <v>3208</v>
      </c>
      <c r="AY685" s="137" t="s">
        <v>2576</v>
      </c>
      <c r="AZ685" s="136">
        <v>0</v>
      </c>
      <c r="BA685" s="136">
        <v>0</v>
      </c>
      <c r="BB685" s="136">
        <v>0</v>
      </c>
      <c r="BC685" s="214">
        <v>0</v>
      </c>
      <c r="BD685" s="136">
        <v>0</v>
      </c>
      <c r="BE685" s="214">
        <v>0</v>
      </c>
      <c r="BF685" s="136">
        <v>0</v>
      </c>
      <c r="BG685" s="214">
        <v>0</v>
      </c>
      <c r="BH685" s="214">
        <v>0</v>
      </c>
      <c r="BI685" s="134">
        <v>1</v>
      </c>
      <c r="BJ685" s="214">
        <v>163</v>
      </c>
      <c r="BK685" s="137">
        <v>1</v>
      </c>
      <c r="BL685" s="137">
        <v>1</v>
      </c>
      <c r="BM685" s="137">
        <v>0</v>
      </c>
      <c r="BN685" s="134">
        <v>0</v>
      </c>
      <c r="BO685" s="351">
        <v>0</v>
      </c>
      <c r="BP685" s="134">
        <v>0.99386503067484655</v>
      </c>
      <c r="BQ685" s="214">
        <v>27</v>
      </c>
      <c r="BR685" s="137">
        <v>27</v>
      </c>
      <c r="BS685" s="138">
        <v>0</v>
      </c>
      <c r="BT685" s="351" t="s">
        <v>103</v>
      </c>
      <c r="BU685" s="214">
        <v>0</v>
      </c>
      <c r="BV685" s="214">
        <v>1</v>
      </c>
      <c r="BW685" s="214">
        <v>0</v>
      </c>
      <c r="BX685" s="214">
        <v>1</v>
      </c>
      <c r="BY685" s="214">
        <v>163</v>
      </c>
      <c r="BZ685" s="134">
        <v>1</v>
      </c>
      <c r="CA685" s="138">
        <v>0</v>
      </c>
      <c r="CB685" s="136">
        <v>0</v>
      </c>
      <c r="CC685" s="136">
        <v>1</v>
      </c>
      <c r="CD685" s="136">
        <v>1</v>
      </c>
      <c r="CE685" s="137">
        <v>170</v>
      </c>
      <c r="CF685" s="137">
        <v>170</v>
      </c>
      <c r="CG685" s="137">
        <v>170</v>
      </c>
      <c r="CH685" s="214">
        <v>0</v>
      </c>
      <c r="CI685" s="139">
        <v>0</v>
      </c>
      <c r="CJ685" s="139">
        <v>0</v>
      </c>
      <c r="CK685" s="139" t="s">
        <v>969</v>
      </c>
      <c r="CL685" s="139" t="s">
        <v>969</v>
      </c>
      <c r="CM685" s="139" t="s">
        <v>969</v>
      </c>
      <c r="CN685" s="139" t="s">
        <v>454</v>
      </c>
      <c r="CO685" s="139">
        <v>21.153581619262699</v>
      </c>
      <c r="CP685" s="139">
        <v>92.250885009765597</v>
      </c>
      <c r="CQ685" s="139" t="s">
        <v>1872</v>
      </c>
      <c r="CR685" s="449" t="s">
        <v>40</v>
      </c>
      <c r="CS685" s="449"/>
      <c r="CT685" s="24"/>
      <c r="CU685" s="24"/>
      <c r="CV685" s="24"/>
    </row>
    <row r="686" spans="1:100" x14ac:dyDescent="0.25">
      <c r="A686" s="643" t="s">
        <v>2691</v>
      </c>
      <c r="B686" s="206" t="s">
        <v>469</v>
      </c>
      <c r="C686" s="101" t="s">
        <v>454</v>
      </c>
      <c r="D686" s="206" t="s">
        <v>466</v>
      </c>
      <c r="E686" s="183" t="s">
        <v>2754</v>
      </c>
      <c r="F686" s="206">
        <v>144</v>
      </c>
      <c r="G686" s="209">
        <v>742</v>
      </c>
      <c r="H686" s="132"/>
      <c r="I686" s="765" t="s">
        <v>2752</v>
      </c>
      <c r="J686" s="207">
        <v>44134</v>
      </c>
      <c r="K686" s="206">
        <v>2</v>
      </c>
      <c r="L686" s="206" t="s">
        <v>286</v>
      </c>
      <c r="M686" s="208" t="s">
        <v>286</v>
      </c>
      <c r="N686" s="208" t="s">
        <v>286</v>
      </c>
      <c r="O686" s="320"/>
      <c r="P686" s="326"/>
      <c r="Q686" s="326"/>
      <c r="R686" s="315"/>
      <c r="S686" s="315"/>
      <c r="T686" s="315"/>
      <c r="U686" s="315"/>
      <c r="V686" s="315"/>
      <c r="W686" s="315"/>
      <c r="X686" s="315"/>
      <c r="Y686" s="315"/>
      <c r="Z686" s="315"/>
      <c r="AA686" s="336"/>
      <c r="AB686" s="336"/>
      <c r="AC686" s="337"/>
      <c r="AD686" s="337"/>
      <c r="AE686" s="336"/>
      <c r="AF686" s="336"/>
      <c r="AG686" s="339"/>
      <c r="AH686" s="339"/>
      <c r="AI686" s="336"/>
      <c r="AJ686" s="336"/>
      <c r="AK686" s="848"/>
      <c r="AL686" s="836"/>
      <c r="AM686" s="836"/>
      <c r="AN686" s="848"/>
      <c r="AO686" s="850"/>
      <c r="AP686" s="839">
        <v>138</v>
      </c>
      <c r="AQ686" s="839">
        <v>138</v>
      </c>
      <c r="AR686" s="839"/>
      <c r="AS686" s="839"/>
      <c r="AT686" s="839"/>
      <c r="AU686" s="839"/>
      <c r="AV686" s="849"/>
      <c r="AW686" s="134" t="s">
        <v>3208</v>
      </c>
      <c r="AX686" s="136" t="s">
        <v>3208</v>
      </c>
      <c r="AY686" s="137" t="s">
        <v>2576</v>
      </c>
      <c r="AZ686" s="136">
        <v>0</v>
      </c>
      <c r="BA686" s="136">
        <v>0</v>
      </c>
      <c r="BB686" s="136">
        <v>0</v>
      </c>
      <c r="BC686" s="214">
        <v>0</v>
      </c>
      <c r="BD686" s="136">
        <v>0</v>
      </c>
      <c r="BE686" s="214">
        <v>0</v>
      </c>
      <c r="BF686" s="136">
        <v>0</v>
      </c>
      <c r="BG686" s="214">
        <v>0</v>
      </c>
      <c r="BH686" s="214">
        <v>0</v>
      </c>
      <c r="BI686" s="134">
        <v>1</v>
      </c>
      <c r="BJ686" s="214">
        <v>742</v>
      </c>
      <c r="BK686" s="137">
        <v>1</v>
      </c>
      <c r="BL686" s="137">
        <v>1</v>
      </c>
      <c r="BM686" s="137">
        <v>0</v>
      </c>
      <c r="BN686" s="134">
        <v>0</v>
      </c>
      <c r="BO686" s="351">
        <v>0</v>
      </c>
      <c r="BP686" s="134">
        <v>1</v>
      </c>
      <c r="BQ686" s="214">
        <v>124</v>
      </c>
      <c r="BR686" s="137">
        <v>124</v>
      </c>
      <c r="BS686" s="138">
        <v>0</v>
      </c>
      <c r="BT686" s="351" t="s">
        <v>103</v>
      </c>
      <c r="BU686" s="214">
        <v>0</v>
      </c>
      <c r="BV686" s="214">
        <v>0</v>
      </c>
      <c r="BW686" s="214">
        <v>0</v>
      </c>
      <c r="BX686" s="214">
        <v>0</v>
      </c>
      <c r="BY686" s="214">
        <v>0</v>
      </c>
      <c r="BZ686" s="134">
        <v>0</v>
      </c>
      <c r="CA686" s="138">
        <v>1</v>
      </c>
      <c r="CB686" s="136">
        <v>0</v>
      </c>
      <c r="CC686" s="136">
        <v>0.95833333333333337</v>
      </c>
      <c r="CD686" s="136">
        <v>0.95833333333333337</v>
      </c>
      <c r="CE686" s="137">
        <v>690</v>
      </c>
      <c r="CF686" s="137">
        <v>690</v>
      </c>
      <c r="CG686" s="137">
        <v>690</v>
      </c>
      <c r="CH686" s="214">
        <v>0</v>
      </c>
      <c r="CI686" s="139">
        <v>0</v>
      </c>
      <c r="CJ686" s="139">
        <v>0</v>
      </c>
      <c r="CK686" s="139" t="s">
        <v>969</v>
      </c>
      <c r="CL686" s="139" t="s">
        <v>969</v>
      </c>
      <c r="CM686" s="139" t="s">
        <v>969</v>
      </c>
      <c r="CN686" s="139" t="s">
        <v>454</v>
      </c>
      <c r="CO686" s="139">
        <v>21.177719116210898</v>
      </c>
      <c r="CP686" s="139">
        <v>92.239547729492202</v>
      </c>
      <c r="CQ686" s="139">
        <v>198101</v>
      </c>
      <c r="CR686" s="449" t="s">
        <v>40</v>
      </c>
      <c r="CS686" s="449"/>
      <c r="CT686" s="24"/>
      <c r="CU686" s="24"/>
      <c r="CV686" s="24"/>
    </row>
    <row r="687" spans="1:100" x14ac:dyDescent="0.25">
      <c r="A687" s="293" t="s">
        <v>2691</v>
      </c>
      <c r="B687" s="296" t="s">
        <v>530</v>
      </c>
      <c r="C687" s="296" t="s">
        <v>454</v>
      </c>
      <c r="D687" s="296" t="s">
        <v>466</v>
      </c>
      <c r="E687" s="296" t="s">
        <v>840</v>
      </c>
      <c r="F687" s="296">
        <v>60</v>
      </c>
      <c r="G687" s="299">
        <v>128</v>
      </c>
      <c r="H687" s="296"/>
      <c r="I687" s="296" t="s">
        <v>388</v>
      </c>
      <c r="J687" s="297">
        <v>43145</v>
      </c>
      <c r="K687" s="296">
        <v>0</v>
      </c>
      <c r="L687" s="296"/>
      <c r="M687" s="298"/>
      <c r="N687" s="298"/>
      <c r="O687" s="334">
        <v>1</v>
      </c>
      <c r="P687" s="330">
        <v>2</v>
      </c>
      <c r="Q687" s="330">
        <v>0</v>
      </c>
      <c r="R687" s="331">
        <v>3</v>
      </c>
      <c r="S687" s="331">
        <v>0</v>
      </c>
      <c r="T687" s="331"/>
      <c r="U687" s="331"/>
      <c r="V687" s="331"/>
      <c r="W687" s="331"/>
      <c r="X687" s="331"/>
      <c r="Y687" s="331"/>
      <c r="Z687" s="331"/>
      <c r="AA687" s="345">
        <v>8</v>
      </c>
      <c r="AB687" s="345">
        <v>0</v>
      </c>
      <c r="AC687" s="346"/>
      <c r="AD687" s="337"/>
      <c r="AE687" s="345">
        <v>8</v>
      </c>
      <c r="AF687" s="345" t="s">
        <v>332</v>
      </c>
      <c r="AG687" s="347" t="s">
        <v>332</v>
      </c>
      <c r="AH687" s="347"/>
      <c r="AI687" s="345"/>
      <c r="AJ687" s="345"/>
      <c r="AK687" s="841">
        <v>0</v>
      </c>
      <c r="AL687" s="842" t="s">
        <v>284</v>
      </c>
      <c r="AM687" s="842">
        <v>0</v>
      </c>
      <c r="AN687" s="837">
        <v>0</v>
      </c>
      <c r="AO687" s="837">
        <v>5</v>
      </c>
      <c r="AP687" s="853">
        <v>60</v>
      </c>
      <c r="AQ687" s="853">
        <v>60</v>
      </c>
      <c r="AR687" s="853"/>
      <c r="AS687" s="853"/>
      <c r="AT687" s="853"/>
      <c r="AU687" s="853"/>
      <c r="AV687" s="854"/>
      <c r="AW687" s="298" t="s">
        <v>3208</v>
      </c>
      <c r="AX687" s="301" t="s">
        <v>3208</v>
      </c>
      <c r="AY687" s="300" t="s">
        <v>2576</v>
      </c>
      <c r="AZ687" s="301">
        <v>1</v>
      </c>
      <c r="BA687" s="301">
        <v>1</v>
      </c>
      <c r="BB687" s="301">
        <v>1</v>
      </c>
      <c r="BC687" s="299">
        <v>128</v>
      </c>
      <c r="BD687" s="301">
        <v>1</v>
      </c>
      <c r="BE687" s="299">
        <v>128</v>
      </c>
      <c r="BF687" s="301">
        <v>1</v>
      </c>
      <c r="BG687" s="299">
        <v>128</v>
      </c>
      <c r="BH687" s="214">
        <v>0</v>
      </c>
      <c r="BI687" s="298">
        <v>0</v>
      </c>
      <c r="BJ687" s="299">
        <v>0</v>
      </c>
      <c r="BK687" s="300">
        <v>1</v>
      </c>
      <c r="BL687" s="300">
        <v>1</v>
      </c>
      <c r="BM687" s="300">
        <v>8</v>
      </c>
      <c r="BN687" s="298">
        <v>0.375</v>
      </c>
      <c r="BO687" s="353">
        <v>48</v>
      </c>
      <c r="BP687" s="298">
        <v>0.609375</v>
      </c>
      <c r="BQ687" s="299">
        <v>13</v>
      </c>
      <c r="BR687" s="300">
        <v>21</v>
      </c>
      <c r="BS687" s="303">
        <v>0</v>
      </c>
      <c r="BT687" s="353" t="s">
        <v>103</v>
      </c>
      <c r="BU687" s="299">
        <v>128</v>
      </c>
      <c r="BV687" s="299">
        <v>1</v>
      </c>
      <c r="BW687" s="299">
        <v>1</v>
      </c>
      <c r="BX687" s="299">
        <v>1</v>
      </c>
      <c r="BY687" s="299">
        <v>128</v>
      </c>
      <c r="BZ687" s="298">
        <v>1</v>
      </c>
      <c r="CA687" s="303">
        <v>0</v>
      </c>
      <c r="CB687" s="301">
        <v>1</v>
      </c>
      <c r="CC687" s="301">
        <v>1</v>
      </c>
      <c r="CD687" s="301">
        <v>1</v>
      </c>
      <c r="CE687" s="300">
        <v>300</v>
      </c>
      <c r="CF687" s="300">
        <v>300</v>
      </c>
      <c r="CG687" s="300">
        <v>300</v>
      </c>
      <c r="CH687" s="299">
        <v>0</v>
      </c>
      <c r="CI687" s="139">
        <v>0</v>
      </c>
      <c r="CJ687" s="139">
        <v>0</v>
      </c>
      <c r="CK687" s="139" t="s">
        <v>969</v>
      </c>
      <c r="CL687" s="139" t="s">
        <v>969</v>
      </c>
      <c r="CM687" s="139" t="s">
        <v>969</v>
      </c>
      <c r="CN687" s="139" t="s">
        <v>454</v>
      </c>
      <c r="CO687" s="139">
        <v>21.0094203948975</v>
      </c>
      <c r="CP687" s="139">
        <v>92.318077087402301</v>
      </c>
      <c r="CQ687" s="139">
        <v>197893</v>
      </c>
      <c r="CR687" s="422" t="s">
        <v>40</v>
      </c>
      <c r="CS687" s="422"/>
      <c r="CT687" s="24"/>
      <c r="CU687" s="24"/>
      <c r="CV687" s="24"/>
    </row>
    <row r="688" spans="1:100" x14ac:dyDescent="0.25">
      <c r="A688" s="293" t="s">
        <v>2691</v>
      </c>
      <c r="B688" s="296" t="s">
        <v>530</v>
      </c>
      <c r="C688" s="296" t="s">
        <v>454</v>
      </c>
      <c r="D688" s="296" t="s">
        <v>466</v>
      </c>
      <c r="E688" s="296" t="s">
        <v>2515</v>
      </c>
      <c r="F688" s="296">
        <v>43</v>
      </c>
      <c r="G688" s="299">
        <v>220</v>
      </c>
      <c r="H688" s="296"/>
      <c r="I688" s="296" t="s">
        <v>388</v>
      </c>
      <c r="J688" s="297">
        <v>43343</v>
      </c>
      <c r="K688" s="296">
        <v>0</v>
      </c>
      <c r="L688" s="296"/>
      <c r="M688" s="208"/>
      <c r="N688" s="208"/>
      <c r="O688" s="334">
        <v>0</v>
      </c>
      <c r="P688" s="330">
        <v>0</v>
      </c>
      <c r="Q688" s="330">
        <v>0</v>
      </c>
      <c r="R688" s="331">
        <v>0</v>
      </c>
      <c r="S688" s="331">
        <v>0</v>
      </c>
      <c r="T688" s="331"/>
      <c r="U688" s="331"/>
      <c r="V688" s="331"/>
      <c r="W688" s="331"/>
      <c r="X688" s="331"/>
      <c r="Y688" s="331"/>
      <c r="Z688" s="331"/>
      <c r="AA688" s="345"/>
      <c r="AB688" s="345"/>
      <c r="AC688" s="346"/>
      <c r="AD688" s="337"/>
      <c r="AE688" s="345">
        <v>2</v>
      </c>
      <c r="AF688" s="345" t="s">
        <v>332</v>
      </c>
      <c r="AG688" s="347" t="s">
        <v>332</v>
      </c>
      <c r="AH688" s="347"/>
      <c r="AI688" s="345"/>
      <c r="AJ688" s="345"/>
      <c r="AK688" s="841">
        <v>0</v>
      </c>
      <c r="AL688" s="842" t="s">
        <v>284</v>
      </c>
      <c r="AM688" s="842">
        <v>0</v>
      </c>
      <c r="AN688" s="837">
        <v>0</v>
      </c>
      <c r="AO688" s="837">
        <v>5</v>
      </c>
      <c r="AP688" s="853">
        <v>43</v>
      </c>
      <c r="AQ688" s="853">
        <v>43</v>
      </c>
      <c r="AR688" s="853"/>
      <c r="AS688" s="853"/>
      <c r="AT688" s="853"/>
      <c r="AU688" s="853"/>
      <c r="AV688" s="854"/>
      <c r="AW688" s="298" t="s">
        <v>3208</v>
      </c>
      <c r="AX688" s="301" t="s">
        <v>3208</v>
      </c>
      <c r="AY688" s="300" t="s">
        <v>2576</v>
      </c>
      <c r="AZ688" s="301">
        <v>0</v>
      </c>
      <c r="BA688" s="301">
        <v>0</v>
      </c>
      <c r="BB688" s="301">
        <v>0</v>
      </c>
      <c r="BC688" s="299">
        <v>0</v>
      </c>
      <c r="BD688" s="301">
        <v>0</v>
      </c>
      <c r="BE688" s="299">
        <v>0</v>
      </c>
      <c r="BF688" s="301">
        <v>0</v>
      </c>
      <c r="BG688" s="299">
        <v>0</v>
      </c>
      <c r="BH688" s="214">
        <v>0</v>
      </c>
      <c r="BI688" s="298">
        <v>1</v>
      </c>
      <c r="BJ688" s="299">
        <v>220</v>
      </c>
      <c r="BK688" s="300">
        <v>1</v>
      </c>
      <c r="BL688" s="300">
        <v>1</v>
      </c>
      <c r="BM688" s="300">
        <v>0</v>
      </c>
      <c r="BN688" s="298">
        <v>0</v>
      </c>
      <c r="BO688" s="353">
        <v>0</v>
      </c>
      <c r="BP688" s="298">
        <v>1</v>
      </c>
      <c r="BQ688" s="299">
        <v>37</v>
      </c>
      <c r="BR688" s="300">
        <v>37</v>
      </c>
      <c r="BS688" s="303">
        <v>0</v>
      </c>
      <c r="BT688" s="353" t="s">
        <v>103</v>
      </c>
      <c r="BU688" s="299">
        <v>220</v>
      </c>
      <c r="BV688" s="299">
        <v>1</v>
      </c>
      <c r="BW688" s="299">
        <v>1</v>
      </c>
      <c r="BX688" s="299">
        <v>1</v>
      </c>
      <c r="BY688" s="299">
        <v>220</v>
      </c>
      <c r="BZ688" s="298">
        <v>1</v>
      </c>
      <c r="CA688" s="303">
        <v>0</v>
      </c>
      <c r="CB688" s="301">
        <v>1</v>
      </c>
      <c r="CC688" s="301">
        <v>1</v>
      </c>
      <c r="CD688" s="301">
        <v>1</v>
      </c>
      <c r="CE688" s="300">
        <v>215</v>
      </c>
      <c r="CF688" s="300">
        <v>215</v>
      </c>
      <c r="CG688" s="300">
        <v>215</v>
      </c>
      <c r="CH688" s="299">
        <v>0</v>
      </c>
      <c r="CI688" s="139">
        <v>0</v>
      </c>
      <c r="CJ688" s="139">
        <v>0</v>
      </c>
      <c r="CK688" s="139" t="s">
        <v>969</v>
      </c>
      <c r="CL688" s="139" t="s">
        <v>969</v>
      </c>
      <c r="CM688" s="139" t="s">
        <v>969</v>
      </c>
      <c r="CN688" s="139" t="s">
        <v>2518</v>
      </c>
      <c r="CO688" s="139">
        <v>20.946010589599599</v>
      </c>
      <c r="CP688" s="139">
        <v>92.301872253417997</v>
      </c>
      <c r="CQ688" s="139">
        <v>197899</v>
      </c>
      <c r="CR688" s="422" t="s">
        <v>40</v>
      </c>
      <c r="CS688" s="422"/>
      <c r="CT688" s="24"/>
      <c r="CU688" s="24"/>
      <c r="CV688" s="24"/>
    </row>
    <row r="689" spans="1:100" x14ac:dyDescent="0.25">
      <c r="A689" s="293" t="s">
        <v>2691</v>
      </c>
      <c r="B689" s="206" t="s">
        <v>460</v>
      </c>
      <c r="C689" s="183" t="s">
        <v>454</v>
      </c>
      <c r="D689" s="183" t="s">
        <v>466</v>
      </c>
      <c r="E689" s="183" t="s">
        <v>837</v>
      </c>
      <c r="F689" s="183">
        <v>173</v>
      </c>
      <c r="G689" s="395">
        <v>1205</v>
      </c>
      <c r="H689" s="183"/>
      <c r="I689" s="183"/>
      <c r="J689" s="184"/>
      <c r="K689" s="183">
        <v>0</v>
      </c>
      <c r="L689" s="183" t="s">
        <v>48</v>
      </c>
      <c r="M689" s="185">
        <v>0</v>
      </c>
      <c r="N689" s="185">
        <v>0</v>
      </c>
      <c r="O689" s="319">
        <v>1</v>
      </c>
      <c r="P689" s="320">
        <v>10</v>
      </c>
      <c r="Q689" s="324">
        <v>0</v>
      </c>
      <c r="R689" s="325">
        <v>5</v>
      </c>
      <c r="S689" s="325">
        <v>0</v>
      </c>
      <c r="T689" s="325"/>
      <c r="U689" s="315"/>
      <c r="V689" s="315"/>
      <c r="W689" s="315"/>
      <c r="X689" s="315"/>
      <c r="Y689" s="315"/>
      <c r="Z689" s="315"/>
      <c r="AA689" s="336">
        <v>0</v>
      </c>
      <c r="AB689" s="336">
        <v>0</v>
      </c>
      <c r="AC689" s="342"/>
      <c r="AD689" s="337"/>
      <c r="AE689" s="342">
        <v>0</v>
      </c>
      <c r="AF689" s="342" t="s">
        <v>332</v>
      </c>
      <c r="AG689" s="339" t="s">
        <v>332</v>
      </c>
      <c r="AH689" s="337"/>
      <c r="AI689" s="337"/>
      <c r="AJ689" s="342"/>
      <c r="AK689" s="841">
        <v>0</v>
      </c>
      <c r="AL689" s="842" t="s">
        <v>284</v>
      </c>
      <c r="AM689" s="842">
        <v>0</v>
      </c>
      <c r="AN689" s="837">
        <v>0</v>
      </c>
      <c r="AO689" s="837">
        <v>7</v>
      </c>
      <c r="AP689" s="843"/>
      <c r="AQ689" s="839"/>
      <c r="AR689" s="839"/>
      <c r="AS689" s="839"/>
      <c r="AT689" s="839"/>
      <c r="AU689" s="839"/>
      <c r="AV689" s="852"/>
      <c r="AW689" s="134" t="s">
        <v>3208</v>
      </c>
      <c r="AX689" s="136" t="s">
        <v>3208</v>
      </c>
      <c r="AY689" s="137" t="s">
        <v>2576</v>
      </c>
      <c r="AZ689" s="136">
        <v>1</v>
      </c>
      <c r="BA689" s="136">
        <v>1</v>
      </c>
      <c r="BB689" s="136">
        <v>1</v>
      </c>
      <c r="BC689" s="214">
        <v>1205</v>
      </c>
      <c r="BD689" s="136">
        <v>1</v>
      </c>
      <c r="BE689" s="214">
        <v>1205</v>
      </c>
      <c r="BF689" s="136">
        <v>1</v>
      </c>
      <c r="BG689" s="214">
        <v>1205</v>
      </c>
      <c r="BH689" s="214">
        <v>2</v>
      </c>
      <c r="BI689" s="134">
        <v>0</v>
      </c>
      <c r="BJ689" s="214">
        <v>0</v>
      </c>
      <c r="BK689" s="137">
        <v>0</v>
      </c>
      <c r="BL689" s="137">
        <v>2</v>
      </c>
      <c r="BM689" s="137">
        <v>0</v>
      </c>
      <c r="BN689" s="134">
        <v>0</v>
      </c>
      <c r="BO689" s="351">
        <v>0</v>
      </c>
      <c r="BP689" s="134">
        <v>1</v>
      </c>
      <c r="BQ689" s="214">
        <v>201</v>
      </c>
      <c r="BR689" s="137">
        <v>201</v>
      </c>
      <c r="BS689" s="138">
        <v>0</v>
      </c>
      <c r="BT689" s="351" t="s">
        <v>103</v>
      </c>
      <c r="BU689" s="209">
        <v>1205</v>
      </c>
      <c r="BV689" s="209">
        <v>0</v>
      </c>
      <c r="BW689" s="209">
        <v>1</v>
      </c>
      <c r="BX689" s="209">
        <v>0</v>
      </c>
      <c r="BY689" s="209">
        <v>0</v>
      </c>
      <c r="BZ689" s="134">
        <v>0</v>
      </c>
      <c r="CA689" s="138">
        <v>1</v>
      </c>
      <c r="CB689" s="136">
        <v>1</v>
      </c>
      <c r="CC689" s="136">
        <v>0</v>
      </c>
      <c r="CD689" s="136">
        <v>0</v>
      </c>
      <c r="CE689" s="137">
        <v>0</v>
      </c>
      <c r="CF689" s="137">
        <v>0</v>
      </c>
      <c r="CG689" s="351">
        <v>0</v>
      </c>
      <c r="CH689" s="214">
        <v>0</v>
      </c>
      <c r="CI689" s="139">
        <v>0</v>
      </c>
      <c r="CJ689" s="139">
        <v>0</v>
      </c>
      <c r="CK689" s="139" t="s">
        <v>969</v>
      </c>
      <c r="CL689" s="139" t="s">
        <v>969</v>
      </c>
      <c r="CM689" s="139" t="s">
        <v>969</v>
      </c>
      <c r="CN689" s="139" t="s">
        <v>966</v>
      </c>
      <c r="CO689" s="139">
        <v>21.000970840454102</v>
      </c>
      <c r="CP689" s="139">
        <v>92.334213256835895</v>
      </c>
      <c r="CQ689" s="139">
        <v>197903</v>
      </c>
      <c r="CR689" s="449" t="s">
        <v>3209</v>
      </c>
      <c r="CS689" s="139" t="s">
        <v>2797</v>
      </c>
      <c r="CT689" s="24"/>
      <c r="CU689" s="24"/>
      <c r="CV689" s="24"/>
    </row>
    <row r="690" spans="1:100" x14ac:dyDescent="0.25">
      <c r="A690" s="293" t="s">
        <v>2691</v>
      </c>
      <c r="B690" s="206" t="s">
        <v>460</v>
      </c>
      <c r="C690" s="183" t="s">
        <v>454</v>
      </c>
      <c r="D690" s="183" t="s">
        <v>473</v>
      </c>
      <c r="E690" s="183" t="s">
        <v>628</v>
      </c>
      <c r="F690" s="206">
        <v>124</v>
      </c>
      <c r="G690" s="209">
        <v>479</v>
      </c>
      <c r="H690" s="206"/>
      <c r="I690" s="206"/>
      <c r="J690" s="207"/>
      <c r="K690" s="206"/>
      <c r="L690" s="206" t="s">
        <v>282</v>
      </c>
      <c r="M690" s="208">
        <v>0</v>
      </c>
      <c r="N690" s="208">
        <v>0</v>
      </c>
      <c r="O690" s="316">
        <v>0</v>
      </c>
      <c r="P690" s="317">
        <v>0</v>
      </c>
      <c r="Q690" s="317"/>
      <c r="R690" s="318"/>
      <c r="S690" s="318">
        <v>0</v>
      </c>
      <c r="T690" s="318"/>
      <c r="U690" s="318"/>
      <c r="V690" s="318"/>
      <c r="W690" s="318"/>
      <c r="X690" s="318"/>
      <c r="Y690" s="318"/>
      <c r="Z690" s="318"/>
      <c r="AA690" s="310">
        <v>8</v>
      </c>
      <c r="AB690" s="310"/>
      <c r="AC690" s="66"/>
      <c r="AD690" s="337"/>
      <c r="AE690" s="310">
        <v>8</v>
      </c>
      <c r="AF690" s="310" t="s">
        <v>286</v>
      </c>
      <c r="AG690" s="311" t="s">
        <v>286</v>
      </c>
      <c r="AH690" s="311"/>
      <c r="AI690" s="310"/>
      <c r="AJ690" s="310"/>
      <c r="AK690" s="841">
        <v>0</v>
      </c>
      <c r="AL690" s="842"/>
      <c r="AM690" s="842">
        <v>0</v>
      </c>
      <c r="AN690" s="837"/>
      <c r="AO690" s="837"/>
      <c r="AP690" s="843"/>
      <c r="AQ690" s="843"/>
      <c r="AR690" s="843"/>
      <c r="AS690" s="843"/>
      <c r="AT690" s="843"/>
      <c r="AU690" s="843"/>
      <c r="AV690" s="844"/>
      <c r="AW690" s="208" t="s">
        <v>3208</v>
      </c>
      <c r="AX690" s="211" t="s">
        <v>3208</v>
      </c>
      <c r="AY690" s="210" t="s">
        <v>2576</v>
      </c>
      <c r="AZ690" s="211">
        <v>0</v>
      </c>
      <c r="BA690" s="211">
        <v>0</v>
      </c>
      <c r="BB690" s="211">
        <v>0</v>
      </c>
      <c r="BC690" s="209">
        <v>0</v>
      </c>
      <c r="BD690" s="211">
        <v>0</v>
      </c>
      <c r="BE690" s="209">
        <v>0</v>
      </c>
      <c r="BF690" s="211">
        <v>0</v>
      </c>
      <c r="BG690" s="209">
        <v>0</v>
      </c>
      <c r="BH690" s="214">
        <v>0</v>
      </c>
      <c r="BI690" s="208">
        <v>1</v>
      </c>
      <c r="BJ690" s="209">
        <v>479</v>
      </c>
      <c r="BK690" s="210">
        <v>1</v>
      </c>
      <c r="BL690" s="210">
        <v>1</v>
      </c>
      <c r="BM690" s="210">
        <v>8</v>
      </c>
      <c r="BN690" s="208">
        <v>0.10020876826722339</v>
      </c>
      <c r="BO690" s="352">
        <v>48</v>
      </c>
      <c r="BP690" s="208">
        <v>0.90187891440501045</v>
      </c>
      <c r="BQ690" s="209">
        <v>72</v>
      </c>
      <c r="BR690" s="210">
        <v>80</v>
      </c>
      <c r="BS690" s="212">
        <v>0</v>
      </c>
      <c r="BT690" s="352" t="s">
        <v>103</v>
      </c>
      <c r="BU690" s="209">
        <v>0</v>
      </c>
      <c r="BV690" s="209">
        <v>0</v>
      </c>
      <c r="BW690" s="209">
        <v>0</v>
      </c>
      <c r="BX690" s="209">
        <v>0</v>
      </c>
      <c r="BY690" s="209">
        <v>0</v>
      </c>
      <c r="BZ690" s="208">
        <v>0</v>
      </c>
      <c r="CA690" s="212">
        <v>1</v>
      </c>
      <c r="CB690" s="211">
        <v>0</v>
      </c>
      <c r="CC690" s="211">
        <v>0</v>
      </c>
      <c r="CD690" s="211">
        <v>0</v>
      </c>
      <c r="CE690" s="210">
        <v>0</v>
      </c>
      <c r="CF690" s="210">
        <v>0</v>
      </c>
      <c r="CG690" s="210">
        <v>0</v>
      </c>
      <c r="CH690" s="209">
        <v>0</v>
      </c>
      <c r="CI690" s="139">
        <v>0</v>
      </c>
      <c r="CJ690" s="139">
        <v>0</v>
      </c>
      <c r="CK690" s="139" t="s">
        <v>969</v>
      </c>
      <c r="CL690" s="139" t="s">
        <v>969</v>
      </c>
      <c r="CM690" s="139" t="s">
        <v>969</v>
      </c>
      <c r="CN690" s="139" t="s">
        <v>1060</v>
      </c>
      <c r="CO690" s="139">
        <v>20.394809723000002</v>
      </c>
      <c r="CP690" s="139">
        <v>93.251609802000004</v>
      </c>
      <c r="CQ690" s="139" t="s">
        <v>1685</v>
      </c>
      <c r="CR690" s="660" t="s">
        <v>3209</v>
      </c>
      <c r="CS690" s="660"/>
      <c r="CT690" s="24"/>
      <c r="CU690" s="24"/>
      <c r="CV690" s="24"/>
    </row>
    <row r="691" spans="1:100" x14ac:dyDescent="0.25">
      <c r="A691" s="293" t="s">
        <v>2691</v>
      </c>
      <c r="B691" s="101" t="s">
        <v>460</v>
      </c>
      <c r="C691" s="101" t="s">
        <v>454</v>
      </c>
      <c r="D691" s="101" t="s">
        <v>473</v>
      </c>
      <c r="E691" s="101" t="s">
        <v>474</v>
      </c>
      <c r="F691" s="132">
        <v>178</v>
      </c>
      <c r="G691" s="214">
        <v>763</v>
      </c>
      <c r="H691" s="132"/>
      <c r="I691" s="101"/>
      <c r="J691" s="133"/>
      <c r="K691" s="101"/>
      <c r="L691" s="206" t="s">
        <v>282</v>
      </c>
      <c r="M691" s="208">
        <v>0</v>
      </c>
      <c r="N691" s="208">
        <v>0</v>
      </c>
      <c r="O691" s="320">
        <v>0</v>
      </c>
      <c r="P691" s="320">
        <v>0</v>
      </c>
      <c r="Q691" s="321"/>
      <c r="R691" s="322"/>
      <c r="S691" s="322">
        <v>0</v>
      </c>
      <c r="T691" s="322"/>
      <c r="U691" s="317"/>
      <c r="V691" s="317"/>
      <c r="W691" s="317"/>
      <c r="X691" s="317"/>
      <c r="Y691" s="317"/>
      <c r="Z691" s="315"/>
      <c r="AA691" s="310">
        <v>5</v>
      </c>
      <c r="AB691" s="311"/>
      <c r="AC691" s="337"/>
      <c r="AD691" s="337"/>
      <c r="AE691" s="340">
        <v>5</v>
      </c>
      <c r="AF691" s="336" t="s">
        <v>286</v>
      </c>
      <c r="AG691" s="66" t="s">
        <v>286</v>
      </c>
      <c r="AH691" s="337"/>
      <c r="AI691" s="337"/>
      <c r="AJ691" s="341"/>
      <c r="AK691" s="845">
        <v>0</v>
      </c>
      <c r="AL691" s="846"/>
      <c r="AM691" s="844">
        <v>0</v>
      </c>
      <c r="AN691" s="837"/>
      <c r="AO691" s="837"/>
      <c r="AP691" s="843"/>
      <c r="AQ691" s="843"/>
      <c r="AR691" s="843"/>
      <c r="AS691" s="843"/>
      <c r="AT691" s="843"/>
      <c r="AU691" s="843"/>
      <c r="AV691" s="849"/>
      <c r="AW691" s="134" t="s">
        <v>3208</v>
      </c>
      <c r="AX691" s="136" t="s">
        <v>3208</v>
      </c>
      <c r="AY691" s="137" t="s">
        <v>2576</v>
      </c>
      <c r="AZ691" s="136">
        <v>0</v>
      </c>
      <c r="BA691" s="136">
        <v>0</v>
      </c>
      <c r="BB691" s="136">
        <v>0</v>
      </c>
      <c r="BC691" s="214">
        <v>0</v>
      </c>
      <c r="BD691" s="136">
        <v>0</v>
      </c>
      <c r="BE691" s="214">
        <v>0</v>
      </c>
      <c r="BF691" s="136">
        <v>0</v>
      </c>
      <c r="BG691" s="214">
        <v>0</v>
      </c>
      <c r="BH691" s="214">
        <v>0</v>
      </c>
      <c r="BI691" s="134">
        <v>1</v>
      </c>
      <c r="BJ691" s="214">
        <v>763</v>
      </c>
      <c r="BK691" s="137">
        <v>2</v>
      </c>
      <c r="BL691" s="137">
        <v>2</v>
      </c>
      <c r="BM691" s="137">
        <v>5</v>
      </c>
      <c r="BN691" s="134">
        <v>3.9318479685452164E-2</v>
      </c>
      <c r="BO691" s="351">
        <v>30</v>
      </c>
      <c r="BP691" s="134">
        <v>0.95937090432503269</v>
      </c>
      <c r="BQ691" s="214">
        <v>122</v>
      </c>
      <c r="BR691" s="137">
        <v>127</v>
      </c>
      <c r="BS691" s="138">
        <v>0</v>
      </c>
      <c r="BT691" s="351" t="s">
        <v>103</v>
      </c>
      <c r="BU691" s="209">
        <v>0</v>
      </c>
      <c r="BV691" s="209">
        <v>0</v>
      </c>
      <c r="BW691" s="209">
        <v>0</v>
      </c>
      <c r="BX691" s="209">
        <v>0</v>
      </c>
      <c r="BY691" s="209">
        <v>0</v>
      </c>
      <c r="BZ691" s="134">
        <v>0</v>
      </c>
      <c r="CA691" s="138">
        <v>1</v>
      </c>
      <c r="CB691" s="136">
        <v>0</v>
      </c>
      <c r="CC691" s="136">
        <v>0</v>
      </c>
      <c r="CD691" s="136">
        <v>0</v>
      </c>
      <c r="CE691" s="137">
        <v>0</v>
      </c>
      <c r="CF691" s="137">
        <v>0</v>
      </c>
      <c r="CG691" s="351">
        <v>0</v>
      </c>
      <c r="CH691" s="214">
        <v>0</v>
      </c>
      <c r="CI691" s="139">
        <v>0</v>
      </c>
      <c r="CJ691" s="139">
        <v>0</v>
      </c>
      <c r="CK691" s="139" t="s">
        <v>969</v>
      </c>
      <c r="CL691" s="139" t="s">
        <v>969</v>
      </c>
      <c r="CM691" s="139" t="s">
        <v>969</v>
      </c>
      <c r="CN691" s="139" t="s">
        <v>454</v>
      </c>
      <c r="CO691" s="139">
        <v>0</v>
      </c>
      <c r="CP691" s="139">
        <v>0</v>
      </c>
      <c r="CQ691" s="139" t="s">
        <v>2092</v>
      </c>
      <c r="CR691" s="449" t="s">
        <v>3209</v>
      </c>
      <c r="CS691" s="139"/>
      <c r="CT691" s="24"/>
      <c r="CU691" s="24"/>
      <c r="CV691" s="24"/>
    </row>
    <row r="692" spans="1:100" x14ac:dyDescent="0.25">
      <c r="A692" s="293" t="s">
        <v>2691</v>
      </c>
      <c r="B692" s="206" t="s">
        <v>460</v>
      </c>
      <c r="C692" s="183" t="s">
        <v>454</v>
      </c>
      <c r="D692" s="183" t="s">
        <v>473</v>
      </c>
      <c r="E692" s="183" t="s">
        <v>630</v>
      </c>
      <c r="F692" s="206">
        <v>42</v>
      </c>
      <c r="G692" s="209">
        <v>183</v>
      </c>
      <c r="H692" s="206"/>
      <c r="I692" s="206"/>
      <c r="J692" s="207"/>
      <c r="K692" s="206"/>
      <c r="L692" s="206" t="s">
        <v>282</v>
      </c>
      <c r="M692" s="208">
        <v>0</v>
      </c>
      <c r="N692" s="208">
        <v>0</v>
      </c>
      <c r="O692" s="316">
        <v>2</v>
      </c>
      <c r="P692" s="317">
        <v>0</v>
      </c>
      <c r="Q692" s="317"/>
      <c r="R692" s="318"/>
      <c r="S692" s="318">
        <v>2</v>
      </c>
      <c r="T692" s="318"/>
      <c r="U692" s="318"/>
      <c r="V692" s="318"/>
      <c r="W692" s="318"/>
      <c r="X692" s="318"/>
      <c r="Y692" s="318"/>
      <c r="Z692" s="318"/>
      <c r="AA692" s="310">
        <v>0</v>
      </c>
      <c r="AB692" s="310"/>
      <c r="AC692" s="66"/>
      <c r="AD692" s="337"/>
      <c r="AE692" s="310">
        <v>0</v>
      </c>
      <c r="AF692" s="310" t="s">
        <v>286</v>
      </c>
      <c r="AG692" s="311" t="s">
        <v>286</v>
      </c>
      <c r="AH692" s="311"/>
      <c r="AI692" s="310"/>
      <c r="AJ692" s="310"/>
      <c r="AK692" s="841">
        <v>0</v>
      </c>
      <c r="AL692" s="842"/>
      <c r="AM692" s="842">
        <v>0</v>
      </c>
      <c r="AN692" s="837"/>
      <c r="AO692" s="837"/>
      <c r="AP692" s="843"/>
      <c r="AQ692" s="843"/>
      <c r="AR692" s="843"/>
      <c r="AS692" s="843"/>
      <c r="AT692" s="843"/>
      <c r="AU692" s="843"/>
      <c r="AV692" s="844"/>
      <c r="AW692" s="208" t="s">
        <v>3208</v>
      </c>
      <c r="AX692" s="211" t="s">
        <v>3208</v>
      </c>
      <c r="AY692" s="210" t="s">
        <v>2576</v>
      </c>
      <c r="AZ692" s="211">
        <v>1</v>
      </c>
      <c r="BA692" s="211">
        <v>1</v>
      </c>
      <c r="BB692" s="211">
        <v>1</v>
      </c>
      <c r="BC692" s="209">
        <v>183</v>
      </c>
      <c r="BD692" s="211">
        <v>0</v>
      </c>
      <c r="BE692" s="209">
        <v>0</v>
      </c>
      <c r="BF692" s="211">
        <v>1</v>
      </c>
      <c r="BG692" s="209">
        <v>183</v>
      </c>
      <c r="BH692" s="214">
        <v>0</v>
      </c>
      <c r="BI692" s="208">
        <v>0</v>
      </c>
      <c r="BJ692" s="209">
        <v>0</v>
      </c>
      <c r="BK692" s="210">
        <v>1</v>
      </c>
      <c r="BL692" s="210">
        <v>1</v>
      </c>
      <c r="BM692" s="210">
        <v>0</v>
      </c>
      <c r="BN692" s="208">
        <v>0</v>
      </c>
      <c r="BO692" s="352">
        <v>0</v>
      </c>
      <c r="BP692" s="208">
        <v>1</v>
      </c>
      <c r="BQ692" s="209">
        <v>31</v>
      </c>
      <c r="BR692" s="210">
        <v>31</v>
      </c>
      <c r="BS692" s="212">
        <v>0</v>
      </c>
      <c r="BT692" s="352" t="s">
        <v>103</v>
      </c>
      <c r="BU692" s="209">
        <v>0</v>
      </c>
      <c r="BV692" s="209">
        <v>0</v>
      </c>
      <c r="BW692" s="209">
        <v>0</v>
      </c>
      <c r="BX692" s="209">
        <v>0</v>
      </c>
      <c r="BY692" s="209">
        <v>0</v>
      </c>
      <c r="BZ692" s="208">
        <v>0</v>
      </c>
      <c r="CA692" s="212">
        <v>1</v>
      </c>
      <c r="CB692" s="211">
        <v>0</v>
      </c>
      <c r="CC692" s="211">
        <v>0</v>
      </c>
      <c r="CD692" s="211">
        <v>0</v>
      </c>
      <c r="CE692" s="210">
        <v>0</v>
      </c>
      <c r="CF692" s="210">
        <v>0</v>
      </c>
      <c r="CG692" s="210">
        <v>0</v>
      </c>
      <c r="CH692" s="209">
        <v>0</v>
      </c>
      <c r="CI692" s="139">
        <v>0</v>
      </c>
      <c r="CJ692" s="139">
        <v>0</v>
      </c>
      <c r="CK692" s="139" t="s">
        <v>969</v>
      </c>
      <c r="CL692" s="139" t="s">
        <v>969</v>
      </c>
      <c r="CM692" s="139" t="s">
        <v>969</v>
      </c>
      <c r="CN692" s="139" t="s">
        <v>454</v>
      </c>
      <c r="CO692" s="139">
        <v>20.398889541999999</v>
      </c>
      <c r="CP692" s="139">
        <v>93.254051208000007</v>
      </c>
      <c r="CQ692" s="139" t="s">
        <v>1687</v>
      </c>
      <c r="CR692" s="660" t="s">
        <v>3209</v>
      </c>
      <c r="CS692" s="660"/>
      <c r="CT692" s="24"/>
      <c r="CU692" s="24"/>
      <c r="CV692" s="24"/>
    </row>
    <row r="693" spans="1:100" x14ac:dyDescent="0.25">
      <c r="A693" s="293" t="s">
        <v>2691</v>
      </c>
      <c r="B693" s="206" t="s">
        <v>460</v>
      </c>
      <c r="C693" s="183" t="s">
        <v>454</v>
      </c>
      <c r="D693" s="183" t="s">
        <v>473</v>
      </c>
      <c r="E693" s="183" t="s">
        <v>610</v>
      </c>
      <c r="F693" s="206">
        <v>415</v>
      </c>
      <c r="G693" s="209">
        <v>1628</v>
      </c>
      <c r="H693" s="206"/>
      <c r="I693" s="206"/>
      <c r="J693" s="207"/>
      <c r="K693" s="206"/>
      <c r="L693" s="206" t="s">
        <v>282</v>
      </c>
      <c r="M693" s="208">
        <v>0</v>
      </c>
      <c r="N693" s="208">
        <v>0</v>
      </c>
      <c r="O693" s="316">
        <v>0</v>
      </c>
      <c r="P693" s="317">
        <v>0</v>
      </c>
      <c r="Q693" s="317"/>
      <c r="R693" s="318"/>
      <c r="S693" s="318">
        <v>0</v>
      </c>
      <c r="T693" s="318"/>
      <c r="U693" s="318"/>
      <c r="V693" s="318"/>
      <c r="W693" s="318"/>
      <c r="X693" s="318"/>
      <c r="Y693" s="318"/>
      <c r="Z693" s="318"/>
      <c r="AA693" s="310">
        <v>45</v>
      </c>
      <c r="AB693" s="310"/>
      <c r="AC693" s="66"/>
      <c r="AD693" s="337"/>
      <c r="AE693" s="310">
        <v>45</v>
      </c>
      <c r="AF693" s="310" t="s">
        <v>286</v>
      </c>
      <c r="AG693" s="311" t="s">
        <v>286</v>
      </c>
      <c r="AH693" s="311"/>
      <c r="AI693" s="310"/>
      <c r="AJ693" s="310"/>
      <c r="AK693" s="841">
        <v>0</v>
      </c>
      <c r="AL693" s="842"/>
      <c r="AM693" s="842">
        <v>0</v>
      </c>
      <c r="AN693" s="837"/>
      <c r="AO693" s="837"/>
      <c r="AP693" s="843"/>
      <c r="AQ693" s="843"/>
      <c r="AR693" s="843"/>
      <c r="AS693" s="843"/>
      <c r="AT693" s="843"/>
      <c r="AU693" s="843"/>
      <c r="AV693" s="844"/>
      <c r="AW693" s="208" t="s">
        <v>3208</v>
      </c>
      <c r="AX693" s="211" t="s">
        <v>3208</v>
      </c>
      <c r="AY693" s="210" t="s">
        <v>2576</v>
      </c>
      <c r="AZ693" s="211">
        <v>0</v>
      </c>
      <c r="BA693" s="211">
        <v>0</v>
      </c>
      <c r="BB693" s="211">
        <v>0</v>
      </c>
      <c r="BC693" s="209">
        <v>0</v>
      </c>
      <c r="BD693" s="211">
        <v>0</v>
      </c>
      <c r="BE693" s="209">
        <v>0</v>
      </c>
      <c r="BF693" s="211">
        <v>0</v>
      </c>
      <c r="BG693" s="209">
        <v>0</v>
      </c>
      <c r="BH693" s="214">
        <v>0</v>
      </c>
      <c r="BI693" s="208">
        <v>1</v>
      </c>
      <c r="BJ693" s="209">
        <v>1628</v>
      </c>
      <c r="BK693" s="210">
        <v>3</v>
      </c>
      <c r="BL693" s="210">
        <v>3</v>
      </c>
      <c r="BM693" s="210">
        <v>45</v>
      </c>
      <c r="BN693" s="208">
        <v>0.16584766584766586</v>
      </c>
      <c r="BO693" s="352">
        <v>270</v>
      </c>
      <c r="BP693" s="208">
        <v>0.83292383292383299</v>
      </c>
      <c r="BQ693" s="209">
        <v>226</v>
      </c>
      <c r="BR693" s="210">
        <v>271</v>
      </c>
      <c r="BS693" s="212">
        <v>0</v>
      </c>
      <c r="BT693" s="352" t="s">
        <v>103</v>
      </c>
      <c r="BU693" s="209">
        <v>0</v>
      </c>
      <c r="BV693" s="209">
        <v>0</v>
      </c>
      <c r="BW693" s="209">
        <v>0</v>
      </c>
      <c r="BX693" s="209">
        <v>0</v>
      </c>
      <c r="BY693" s="209">
        <v>0</v>
      </c>
      <c r="BZ693" s="208">
        <v>0</v>
      </c>
      <c r="CA693" s="212">
        <v>1</v>
      </c>
      <c r="CB693" s="211">
        <v>0</v>
      </c>
      <c r="CC693" s="211">
        <v>0</v>
      </c>
      <c r="CD693" s="211">
        <v>0</v>
      </c>
      <c r="CE693" s="210">
        <v>0</v>
      </c>
      <c r="CF693" s="210">
        <v>0</v>
      </c>
      <c r="CG693" s="210">
        <v>0</v>
      </c>
      <c r="CH693" s="209">
        <v>0</v>
      </c>
      <c r="CI693" s="139">
        <v>0</v>
      </c>
      <c r="CJ693" s="139">
        <v>0</v>
      </c>
      <c r="CK693" s="139" t="s">
        <v>969</v>
      </c>
      <c r="CL693" s="139" t="s">
        <v>969</v>
      </c>
      <c r="CM693" s="139" t="s">
        <v>969</v>
      </c>
      <c r="CN693" s="139" t="s">
        <v>454</v>
      </c>
      <c r="CO693" s="139">
        <v>20.218471527099599</v>
      </c>
      <c r="CP693" s="139">
        <v>93.424331665039105</v>
      </c>
      <c r="CQ693" s="139" t="s">
        <v>1667</v>
      </c>
      <c r="CR693" s="660" t="s">
        <v>3209</v>
      </c>
      <c r="CS693" s="660"/>
      <c r="CT693" s="24"/>
      <c r="CU693" s="24"/>
      <c r="CV693" s="24"/>
    </row>
    <row r="694" spans="1:100" x14ac:dyDescent="0.25">
      <c r="A694" s="293" t="s">
        <v>2691</v>
      </c>
      <c r="B694" s="206" t="s">
        <v>460</v>
      </c>
      <c r="C694" s="183" t="s">
        <v>454</v>
      </c>
      <c r="D694" s="183" t="s">
        <v>473</v>
      </c>
      <c r="E694" s="183" t="s">
        <v>631</v>
      </c>
      <c r="F694" s="206">
        <v>150</v>
      </c>
      <c r="G694" s="209">
        <v>730</v>
      </c>
      <c r="H694" s="206"/>
      <c r="I694" s="206"/>
      <c r="J694" s="207"/>
      <c r="K694" s="206"/>
      <c r="L694" s="206" t="s">
        <v>282</v>
      </c>
      <c r="M694" s="208">
        <v>0</v>
      </c>
      <c r="N694" s="208">
        <v>0</v>
      </c>
      <c r="O694" s="316">
        <v>2</v>
      </c>
      <c r="P694" s="317">
        <v>0</v>
      </c>
      <c r="Q694" s="317"/>
      <c r="R694" s="318"/>
      <c r="S694" s="318">
        <v>3</v>
      </c>
      <c r="T694" s="318"/>
      <c r="U694" s="318"/>
      <c r="V694" s="318"/>
      <c r="W694" s="318"/>
      <c r="X694" s="318"/>
      <c r="Y694" s="318"/>
      <c r="Z694" s="318"/>
      <c r="AA694" s="310">
        <v>55</v>
      </c>
      <c r="AB694" s="310"/>
      <c r="AC694" s="66"/>
      <c r="AD694" s="337"/>
      <c r="AE694" s="310">
        <v>55</v>
      </c>
      <c r="AF694" s="310" t="s">
        <v>286</v>
      </c>
      <c r="AG694" s="311" t="s">
        <v>286</v>
      </c>
      <c r="AH694" s="311"/>
      <c r="AI694" s="310"/>
      <c r="AJ694" s="310"/>
      <c r="AK694" s="841">
        <v>1</v>
      </c>
      <c r="AL694" s="842"/>
      <c r="AM694" s="842">
        <v>15</v>
      </c>
      <c r="AN694" s="837"/>
      <c r="AO694" s="837">
        <v>4</v>
      </c>
      <c r="AP694" s="843"/>
      <c r="AQ694" s="843"/>
      <c r="AR694" s="843"/>
      <c r="AS694" s="843"/>
      <c r="AT694" s="843"/>
      <c r="AU694" s="843"/>
      <c r="AV694" s="844"/>
      <c r="AW694" s="208" t="s">
        <v>3208</v>
      </c>
      <c r="AX694" s="211" t="s">
        <v>3208</v>
      </c>
      <c r="AY694" s="210" t="s">
        <v>2576</v>
      </c>
      <c r="AZ694" s="211">
        <v>1</v>
      </c>
      <c r="BA694" s="211">
        <v>0.68493150684931503</v>
      </c>
      <c r="BB694" s="211">
        <v>0.68493150684931503</v>
      </c>
      <c r="BC694" s="209">
        <v>500</v>
      </c>
      <c r="BD694" s="211">
        <v>0</v>
      </c>
      <c r="BE694" s="209">
        <v>0</v>
      </c>
      <c r="BF694" s="211">
        <v>0.68493150684931503</v>
      </c>
      <c r="BG694" s="209">
        <v>500</v>
      </c>
      <c r="BH694" s="214">
        <v>1</v>
      </c>
      <c r="BI694" s="208">
        <v>0.31506849315068497</v>
      </c>
      <c r="BJ694" s="209">
        <v>230.00000000000003</v>
      </c>
      <c r="BK694" s="210">
        <v>0</v>
      </c>
      <c r="BL694" s="210">
        <v>1</v>
      </c>
      <c r="BM694" s="210">
        <v>55</v>
      </c>
      <c r="BN694" s="208">
        <v>0.45205479452054792</v>
      </c>
      <c r="BO694" s="352">
        <v>330</v>
      </c>
      <c r="BP694" s="208">
        <v>0.55068493150684927</v>
      </c>
      <c r="BQ694" s="209">
        <v>67</v>
      </c>
      <c r="BR694" s="210">
        <v>122</v>
      </c>
      <c r="BS694" s="212">
        <v>0</v>
      </c>
      <c r="BT694" s="352" t="s">
        <v>103</v>
      </c>
      <c r="BU694" s="209">
        <v>730</v>
      </c>
      <c r="BV694" s="209">
        <v>0</v>
      </c>
      <c r="BW694" s="209">
        <v>1</v>
      </c>
      <c r="BX694" s="209">
        <v>0</v>
      </c>
      <c r="BY694" s="209">
        <v>0</v>
      </c>
      <c r="BZ694" s="208">
        <v>0</v>
      </c>
      <c r="CA694" s="212">
        <v>1</v>
      </c>
      <c r="CB694" s="211">
        <v>1</v>
      </c>
      <c r="CC694" s="211">
        <v>0</v>
      </c>
      <c r="CD694" s="211">
        <v>0</v>
      </c>
      <c r="CE694" s="210">
        <v>0</v>
      </c>
      <c r="CF694" s="210">
        <v>0</v>
      </c>
      <c r="CG694" s="210">
        <v>0</v>
      </c>
      <c r="CH694" s="209">
        <v>150</v>
      </c>
      <c r="CI694" s="139">
        <v>0</v>
      </c>
      <c r="CJ694" s="139">
        <v>0</v>
      </c>
      <c r="CK694" s="139" t="s">
        <v>969</v>
      </c>
      <c r="CL694" s="139" t="s">
        <v>969</v>
      </c>
      <c r="CM694" s="139" t="s">
        <v>1054</v>
      </c>
      <c r="CN694" s="139" t="s">
        <v>966</v>
      </c>
      <c r="CO694" s="139">
        <v>20.39902</v>
      </c>
      <c r="CP694" s="139">
        <v>93.249669999999995</v>
      </c>
      <c r="CQ694" s="139" t="s">
        <v>1688</v>
      </c>
      <c r="CR694" s="660" t="s">
        <v>3209</v>
      </c>
      <c r="CS694" s="660"/>
      <c r="CT694" s="24"/>
      <c r="CU694" s="24"/>
      <c r="CV694" s="24"/>
    </row>
    <row r="695" spans="1:100" x14ac:dyDescent="0.25">
      <c r="A695" s="293" t="s">
        <v>2691</v>
      </c>
      <c r="B695" s="101" t="s">
        <v>460</v>
      </c>
      <c r="C695" s="101" t="s">
        <v>454</v>
      </c>
      <c r="D695" s="101" t="s">
        <v>473</v>
      </c>
      <c r="E695" s="101" t="s">
        <v>656</v>
      </c>
      <c r="F695" s="101">
        <v>175</v>
      </c>
      <c r="G695" s="396">
        <v>659</v>
      </c>
      <c r="H695" s="101"/>
      <c r="I695" s="101"/>
      <c r="J695" s="102"/>
      <c r="K695" s="101"/>
      <c r="L695" s="206" t="s">
        <v>282</v>
      </c>
      <c r="M695" s="208">
        <v>0</v>
      </c>
      <c r="N695" s="208">
        <v>0</v>
      </c>
      <c r="O695" s="319">
        <v>2</v>
      </c>
      <c r="P695" s="320">
        <v>0</v>
      </c>
      <c r="Q695" s="321"/>
      <c r="R695" s="322"/>
      <c r="S695" s="322">
        <v>0</v>
      </c>
      <c r="T695" s="322"/>
      <c r="U695" s="322"/>
      <c r="V695" s="322"/>
      <c r="W695" s="317"/>
      <c r="X695" s="317"/>
      <c r="Y695" s="315"/>
      <c r="Z695" s="318"/>
      <c r="AA695" s="310">
        <v>12</v>
      </c>
      <c r="AB695" s="311"/>
      <c r="AC695" s="337"/>
      <c r="AD695" s="337"/>
      <c r="AE695" s="340">
        <v>12</v>
      </c>
      <c r="AF695" s="66" t="s">
        <v>286</v>
      </c>
      <c r="AG695" s="66" t="s">
        <v>286</v>
      </c>
      <c r="AH695" s="66"/>
      <c r="AI695" s="66"/>
      <c r="AJ695" s="341"/>
      <c r="AK695" s="845">
        <v>0</v>
      </c>
      <c r="AL695" s="846"/>
      <c r="AM695" s="844">
        <v>0</v>
      </c>
      <c r="AN695" s="837"/>
      <c r="AO695" s="837"/>
      <c r="AP695" s="843"/>
      <c r="AQ695" s="843"/>
      <c r="AR695" s="843"/>
      <c r="AS695" s="843"/>
      <c r="AT695" s="843"/>
      <c r="AU695" s="843"/>
      <c r="AV695" s="847"/>
      <c r="AW695" s="134" t="s">
        <v>3208</v>
      </c>
      <c r="AX695" s="136" t="s">
        <v>3208</v>
      </c>
      <c r="AY695" s="137" t="s">
        <v>2576</v>
      </c>
      <c r="AZ695" s="136">
        <v>1</v>
      </c>
      <c r="BA695" s="136">
        <v>0.75872534142640369</v>
      </c>
      <c r="BB695" s="136">
        <v>0.75872534142640369</v>
      </c>
      <c r="BC695" s="214">
        <v>500.00000000000006</v>
      </c>
      <c r="BD695" s="136">
        <v>0</v>
      </c>
      <c r="BE695" s="214">
        <v>0</v>
      </c>
      <c r="BF695" s="136">
        <v>0.75872534142640369</v>
      </c>
      <c r="BG695" s="214">
        <v>500.00000000000006</v>
      </c>
      <c r="BH695" s="214">
        <v>1</v>
      </c>
      <c r="BI695" s="134">
        <v>0.24127465857359631</v>
      </c>
      <c r="BJ695" s="214">
        <v>158.99999999999997</v>
      </c>
      <c r="BK695" s="137">
        <v>0</v>
      </c>
      <c r="BL695" s="137">
        <v>1</v>
      </c>
      <c r="BM695" s="137">
        <v>12</v>
      </c>
      <c r="BN695" s="134">
        <v>0.10925644916540213</v>
      </c>
      <c r="BO695" s="351">
        <v>72</v>
      </c>
      <c r="BP695" s="134">
        <v>0.89226100151745069</v>
      </c>
      <c r="BQ695" s="214">
        <v>98</v>
      </c>
      <c r="BR695" s="137">
        <v>110</v>
      </c>
      <c r="BS695" s="138">
        <v>0</v>
      </c>
      <c r="BT695" s="351" t="s">
        <v>103</v>
      </c>
      <c r="BU695" s="209">
        <v>0</v>
      </c>
      <c r="BV695" s="209">
        <v>0</v>
      </c>
      <c r="BW695" s="209">
        <v>0</v>
      </c>
      <c r="BX695" s="209">
        <v>0</v>
      </c>
      <c r="BY695" s="209">
        <v>0</v>
      </c>
      <c r="BZ695" s="134">
        <v>0</v>
      </c>
      <c r="CA695" s="138">
        <v>1</v>
      </c>
      <c r="CB695" s="136">
        <v>0</v>
      </c>
      <c r="CC695" s="136">
        <v>0</v>
      </c>
      <c r="CD695" s="136">
        <v>0</v>
      </c>
      <c r="CE695" s="137">
        <v>0</v>
      </c>
      <c r="CF695" s="137">
        <v>0</v>
      </c>
      <c r="CG695" s="351">
        <v>0</v>
      </c>
      <c r="CH695" s="214">
        <v>0</v>
      </c>
      <c r="CI695" s="139">
        <v>0</v>
      </c>
      <c r="CJ695" s="139">
        <v>0</v>
      </c>
      <c r="CK695" s="139" t="s">
        <v>969</v>
      </c>
      <c r="CL695" s="139" t="s">
        <v>969</v>
      </c>
      <c r="CM695" s="139" t="s">
        <v>969</v>
      </c>
      <c r="CN695" s="139" t="s">
        <v>454</v>
      </c>
      <c r="CO695" s="139">
        <v>20.5199794769287</v>
      </c>
      <c r="CP695" s="139">
        <v>93.277252197265597</v>
      </c>
      <c r="CQ695" s="139" t="s">
        <v>1707</v>
      </c>
      <c r="CR695" s="449" t="s">
        <v>3209</v>
      </c>
      <c r="CS695" s="139"/>
      <c r="CT695" s="24"/>
      <c r="CU695" s="24"/>
      <c r="CV695" s="24"/>
    </row>
    <row r="696" spans="1:100" x14ac:dyDescent="0.25">
      <c r="A696" s="293" t="s">
        <v>2691</v>
      </c>
      <c r="B696" s="206" t="s">
        <v>460</v>
      </c>
      <c r="C696" s="183" t="s">
        <v>454</v>
      </c>
      <c r="D696" s="183" t="s">
        <v>473</v>
      </c>
      <c r="E696" s="183" t="s">
        <v>629</v>
      </c>
      <c r="F696" s="206">
        <v>41</v>
      </c>
      <c r="G696" s="209">
        <v>146</v>
      </c>
      <c r="H696" s="206"/>
      <c r="I696" s="206"/>
      <c r="J696" s="207"/>
      <c r="K696" s="206"/>
      <c r="L696" s="206" t="s">
        <v>282</v>
      </c>
      <c r="M696" s="208">
        <v>0</v>
      </c>
      <c r="N696" s="208">
        <v>0</v>
      </c>
      <c r="O696" s="316">
        <v>2</v>
      </c>
      <c r="P696" s="317">
        <v>0</v>
      </c>
      <c r="Q696" s="317"/>
      <c r="R696" s="318"/>
      <c r="S696" s="318">
        <v>2</v>
      </c>
      <c r="T696" s="318"/>
      <c r="U696" s="318"/>
      <c r="V696" s="318"/>
      <c r="W696" s="318"/>
      <c r="X696" s="318"/>
      <c r="Y696" s="318"/>
      <c r="Z696" s="318"/>
      <c r="AA696" s="310">
        <v>2</v>
      </c>
      <c r="AB696" s="310"/>
      <c r="AC696" s="66"/>
      <c r="AD696" s="337"/>
      <c r="AE696" s="310">
        <v>2</v>
      </c>
      <c r="AF696" s="310" t="s">
        <v>286</v>
      </c>
      <c r="AG696" s="311" t="s">
        <v>286</v>
      </c>
      <c r="AH696" s="311"/>
      <c r="AI696" s="310"/>
      <c r="AJ696" s="310"/>
      <c r="AK696" s="841">
        <v>0</v>
      </c>
      <c r="AL696" s="842"/>
      <c r="AM696" s="842">
        <v>0</v>
      </c>
      <c r="AN696" s="837"/>
      <c r="AO696" s="837"/>
      <c r="AP696" s="843"/>
      <c r="AQ696" s="843"/>
      <c r="AR696" s="843"/>
      <c r="AS696" s="843"/>
      <c r="AT696" s="843"/>
      <c r="AU696" s="843"/>
      <c r="AV696" s="844"/>
      <c r="AW696" s="208" t="s">
        <v>3208</v>
      </c>
      <c r="AX696" s="211" t="s">
        <v>3208</v>
      </c>
      <c r="AY696" s="210" t="s">
        <v>2576</v>
      </c>
      <c r="AZ696" s="211">
        <v>1</v>
      </c>
      <c r="BA696" s="211">
        <v>1</v>
      </c>
      <c r="BB696" s="211">
        <v>1</v>
      </c>
      <c r="BC696" s="209">
        <v>146</v>
      </c>
      <c r="BD696" s="211">
        <v>0</v>
      </c>
      <c r="BE696" s="209">
        <v>0</v>
      </c>
      <c r="BF696" s="211">
        <v>1</v>
      </c>
      <c r="BG696" s="209">
        <v>146</v>
      </c>
      <c r="BH696" s="214">
        <v>0</v>
      </c>
      <c r="BI696" s="208">
        <v>0</v>
      </c>
      <c r="BJ696" s="209">
        <v>0</v>
      </c>
      <c r="BK696" s="210">
        <v>1</v>
      </c>
      <c r="BL696" s="210">
        <v>1</v>
      </c>
      <c r="BM696" s="210">
        <v>2</v>
      </c>
      <c r="BN696" s="208">
        <v>8.2191780821917804E-2</v>
      </c>
      <c r="BO696" s="352">
        <v>12</v>
      </c>
      <c r="BP696" s="208">
        <v>0.90410958904109595</v>
      </c>
      <c r="BQ696" s="209">
        <v>22</v>
      </c>
      <c r="BR696" s="210">
        <v>24</v>
      </c>
      <c r="BS696" s="212">
        <v>0</v>
      </c>
      <c r="BT696" s="352" t="s">
        <v>103</v>
      </c>
      <c r="BU696" s="209">
        <v>0</v>
      </c>
      <c r="BV696" s="209">
        <v>0</v>
      </c>
      <c r="BW696" s="209">
        <v>0</v>
      </c>
      <c r="BX696" s="209">
        <v>0</v>
      </c>
      <c r="BY696" s="209">
        <v>0</v>
      </c>
      <c r="BZ696" s="208">
        <v>0</v>
      </c>
      <c r="CA696" s="212">
        <v>1</v>
      </c>
      <c r="CB696" s="211">
        <v>0</v>
      </c>
      <c r="CC696" s="211">
        <v>0</v>
      </c>
      <c r="CD696" s="211">
        <v>0</v>
      </c>
      <c r="CE696" s="210">
        <v>0</v>
      </c>
      <c r="CF696" s="210">
        <v>0</v>
      </c>
      <c r="CG696" s="210">
        <v>0</v>
      </c>
      <c r="CH696" s="209">
        <v>0</v>
      </c>
      <c r="CI696" s="139">
        <v>0</v>
      </c>
      <c r="CJ696" s="139">
        <v>0</v>
      </c>
      <c r="CK696" s="139" t="s">
        <v>969</v>
      </c>
      <c r="CL696" s="139" t="s">
        <v>969</v>
      </c>
      <c r="CM696" s="139" t="s">
        <v>969</v>
      </c>
      <c r="CN696" s="139" t="s">
        <v>454</v>
      </c>
      <c r="CO696" s="139">
        <v>20.396680832000001</v>
      </c>
      <c r="CP696" s="139">
        <v>93.252868652000004</v>
      </c>
      <c r="CQ696" s="139" t="s">
        <v>1686</v>
      </c>
      <c r="CR696" s="660" t="s">
        <v>3209</v>
      </c>
      <c r="CS696" s="660"/>
      <c r="CT696" s="24"/>
      <c r="CU696" s="24"/>
      <c r="CV696" s="24"/>
    </row>
    <row r="697" spans="1:100" x14ac:dyDescent="0.25">
      <c r="A697" s="293" t="s">
        <v>2691</v>
      </c>
      <c r="B697" s="206" t="s">
        <v>460</v>
      </c>
      <c r="C697" s="183" t="s">
        <v>454</v>
      </c>
      <c r="D697" s="183" t="s">
        <v>473</v>
      </c>
      <c r="E697" s="183" t="s">
        <v>626</v>
      </c>
      <c r="F697" s="206">
        <v>280</v>
      </c>
      <c r="G697" s="209">
        <v>1423</v>
      </c>
      <c r="H697" s="206"/>
      <c r="I697" s="206"/>
      <c r="J697" s="207"/>
      <c r="K697" s="206"/>
      <c r="L697" s="206" t="s">
        <v>282</v>
      </c>
      <c r="M697" s="208">
        <v>0</v>
      </c>
      <c r="N697" s="208">
        <v>0</v>
      </c>
      <c r="O697" s="316">
        <v>2</v>
      </c>
      <c r="P697" s="317">
        <v>0</v>
      </c>
      <c r="Q697" s="317"/>
      <c r="R697" s="318"/>
      <c r="S697" s="318">
        <v>3</v>
      </c>
      <c r="T697" s="318"/>
      <c r="U697" s="318"/>
      <c r="V697" s="318"/>
      <c r="W697" s="318"/>
      <c r="X697" s="318"/>
      <c r="Y697" s="318"/>
      <c r="Z697" s="318"/>
      <c r="AA697" s="310">
        <v>60</v>
      </c>
      <c r="AB697" s="310"/>
      <c r="AC697" s="66"/>
      <c r="AD697" s="337"/>
      <c r="AE697" s="310">
        <v>60</v>
      </c>
      <c r="AF697" s="310" t="s">
        <v>286</v>
      </c>
      <c r="AG697" s="311" t="s">
        <v>286</v>
      </c>
      <c r="AH697" s="311"/>
      <c r="AI697" s="310"/>
      <c r="AJ697" s="310"/>
      <c r="AK697" s="841">
        <v>1</v>
      </c>
      <c r="AL697" s="842"/>
      <c r="AM697" s="842">
        <v>0</v>
      </c>
      <c r="AN697" s="837"/>
      <c r="AO697" s="837">
        <v>6</v>
      </c>
      <c r="AP697" s="843"/>
      <c r="AQ697" s="843"/>
      <c r="AR697" s="843"/>
      <c r="AS697" s="843"/>
      <c r="AT697" s="843"/>
      <c r="AU697" s="843"/>
      <c r="AV697" s="844"/>
      <c r="AW697" s="208" t="s">
        <v>3208</v>
      </c>
      <c r="AX697" s="211" t="s">
        <v>3208</v>
      </c>
      <c r="AY697" s="210" t="s">
        <v>2576</v>
      </c>
      <c r="AZ697" s="211">
        <v>1</v>
      </c>
      <c r="BA697" s="211">
        <v>0.35137034434293746</v>
      </c>
      <c r="BB697" s="211">
        <v>0.35137034434293746</v>
      </c>
      <c r="BC697" s="209">
        <v>500</v>
      </c>
      <c r="BD697" s="211">
        <v>0</v>
      </c>
      <c r="BE697" s="209">
        <v>0</v>
      </c>
      <c r="BF697" s="211">
        <v>0.35137034434293746</v>
      </c>
      <c r="BG697" s="209">
        <v>500</v>
      </c>
      <c r="BH697" s="214">
        <v>1</v>
      </c>
      <c r="BI697" s="208">
        <v>0.64862965565706254</v>
      </c>
      <c r="BJ697" s="209">
        <v>923</v>
      </c>
      <c r="BK697" s="210">
        <v>2</v>
      </c>
      <c r="BL697" s="210">
        <v>3</v>
      </c>
      <c r="BM697" s="210">
        <v>60</v>
      </c>
      <c r="BN697" s="208">
        <v>0.25298664792691494</v>
      </c>
      <c r="BO697" s="352">
        <v>359.99999999999994</v>
      </c>
      <c r="BP697" s="208">
        <v>0.74631061138439914</v>
      </c>
      <c r="BQ697" s="209">
        <v>177</v>
      </c>
      <c r="BR697" s="210">
        <v>237</v>
      </c>
      <c r="BS697" s="212">
        <v>0</v>
      </c>
      <c r="BT697" s="352" t="s">
        <v>103</v>
      </c>
      <c r="BU697" s="209">
        <v>1423</v>
      </c>
      <c r="BV697" s="209">
        <v>0</v>
      </c>
      <c r="BW697" s="209">
        <v>1</v>
      </c>
      <c r="BX697" s="209">
        <v>0</v>
      </c>
      <c r="BY697" s="209">
        <v>0</v>
      </c>
      <c r="BZ697" s="208">
        <v>0</v>
      </c>
      <c r="CA697" s="212">
        <v>1</v>
      </c>
      <c r="CB697" s="211">
        <v>1</v>
      </c>
      <c r="CC697" s="211">
        <v>0</v>
      </c>
      <c r="CD697" s="211">
        <v>0</v>
      </c>
      <c r="CE697" s="210">
        <v>0</v>
      </c>
      <c r="CF697" s="210">
        <v>0</v>
      </c>
      <c r="CG697" s="210">
        <v>0</v>
      </c>
      <c r="CH697" s="209">
        <v>280</v>
      </c>
      <c r="CI697" s="139">
        <v>0</v>
      </c>
      <c r="CJ697" s="139">
        <v>0</v>
      </c>
      <c r="CK697" s="139" t="s">
        <v>969</v>
      </c>
      <c r="CL697" s="139" t="s">
        <v>969</v>
      </c>
      <c r="CM697" s="139" t="s">
        <v>1054</v>
      </c>
      <c r="CN697" s="139" t="s">
        <v>966</v>
      </c>
      <c r="CO697" s="139">
        <v>20.392137999999999</v>
      </c>
      <c r="CP697" s="139">
        <v>93.257272</v>
      </c>
      <c r="CQ697" s="139" t="s">
        <v>1684</v>
      </c>
      <c r="CR697" s="660" t="s">
        <v>3209</v>
      </c>
      <c r="CS697" s="660"/>
      <c r="CT697" s="24"/>
      <c r="CU697" s="24"/>
      <c r="CV697" s="24"/>
    </row>
    <row r="698" spans="1:100" x14ac:dyDescent="0.25">
      <c r="A698" s="293" t="s">
        <v>2691</v>
      </c>
      <c r="B698" s="206" t="s">
        <v>460</v>
      </c>
      <c r="C698" s="183" t="s">
        <v>454</v>
      </c>
      <c r="D698" s="183" t="s">
        <v>637</v>
      </c>
      <c r="E698" s="183" t="s">
        <v>714</v>
      </c>
      <c r="F698" s="206">
        <f>ROUND(WWWW[[#This Row],[Total PoP ]]/5,0)</f>
        <v>146</v>
      </c>
      <c r="G698" s="209">
        <v>731</v>
      </c>
      <c r="H698" s="206"/>
      <c r="I698" s="206"/>
      <c r="J698" s="207"/>
      <c r="K698" s="206"/>
      <c r="L698" s="206" t="s">
        <v>282</v>
      </c>
      <c r="M698" s="208">
        <v>0</v>
      </c>
      <c r="N698" s="208">
        <v>0</v>
      </c>
      <c r="O698" s="316">
        <v>1</v>
      </c>
      <c r="P698" s="317"/>
      <c r="Q698" s="317"/>
      <c r="R698" s="318"/>
      <c r="S698" s="318">
        <v>0</v>
      </c>
      <c r="T698" s="318"/>
      <c r="U698" s="318"/>
      <c r="V698" s="318"/>
      <c r="W698" s="318"/>
      <c r="X698" s="318"/>
      <c r="Y698" s="318"/>
      <c r="Z698" s="318"/>
      <c r="AA698" s="310">
        <v>5</v>
      </c>
      <c r="AB698" s="310"/>
      <c r="AC698" s="66"/>
      <c r="AD698" s="337"/>
      <c r="AE698" s="310">
        <v>0</v>
      </c>
      <c r="AF698" s="310" t="s">
        <v>286</v>
      </c>
      <c r="AG698" s="311" t="s">
        <v>286</v>
      </c>
      <c r="AH698" s="311"/>
      <c r="AI698" s="310"/>
      <c r="AJ698" s="310"/>
      <c r="AK698" s="841">
        <v>0</v>
      </c>
      <c r="AL698" s="842"/>
      <c r="AM698" s="842">
        <v>0</v>
      </c>
      <c r="AN698" s="837"/>
      <c r="AO698" s="837">
        <v>0</v>
      </c>
      <c r="AP698" s="843"/>
      <c r="AQ698" s="843"/>
      <c r="AR698" s="843"/>
      <c r="AS698" s="843"/>
      <c r="AT698" s="843"/>
      <c r="AU698" s="843"/>
      <c r="AV698" s="844"/>
      <c r="AW698" s="208" t="s">
        <v>3208</v>
      </c>
      <c r="AX698" s="211" t="s">
        <v>3208</v>
      </c>
      <c r="AY698" s="210" t="s">
        <v>2576</v>
      </c>
      <c r="AZ698" s="211">
        <v>1</v>
      </c>
      <c r="BA698" s="211">
        <v>0.34199726402188785</v>
      </c>
      <c r="BB698" s="211">
        <v>0.34199726402188785</v>
      </c>
      <c r="BC698" s="209">
        <v>250.00000000000003</v>
      </c>
      <c r="BD698" s="211">
        <v>0</v>
      </c>
      <c r="BE698" s="209">
        <v>0</v>
      </c>
      <c r="BF698" s="211">
        <v>0.34199726402188785</v>
      </c>
      <c r="BG698" s="209">
        <v>250.00000000000003</v>
      </c>
      <c r="BH698" s="214">
        <v>1</v>
      </c>
      <c r="BI698" s="208">
        <v>0.65800273597811221</v>
      </c>
      <c r="BJ698" s="209">
        <v>481</v>
      </c>
      <c r="BK698" s="210">
        <v>0</v>
      </c>
      <c r="BL698" s="210">
        <v>1</v>
      </c>
      <c r="BM698" s="210">
        <v>5</v>
      </c>
      <c r="BN698" s="208">
        <v>4.1039671682626538E-2</v>
      </c>
      <c r="BO698" s="352">
        <v>30</v>
      </c>
      <c r="BP698" s="208">
        <v>0.96032831737346103</v>
      </c>
      <c r="BQ698" s="209">
        <v>117</v>
      </c>
      <c r="BR698" s="210">
        <v>122</v>
      </c>
      <c r="BS698" s="212">
        <v>0</v>
      </c>
      <c r="BT698" s="352" t="s">
        <v>103</v>
      </c>
      <c r="BU698" s="209">
        <v>0</v>
      </c>
      <c r="BV698" s="209">
        <v>0</v>
      </c>
      <c r="BW698" s="209">
        <v>0</v>
      </c>
      <c r="BX698" s="209">
        <v>0</v>
      </c>
      <c r="BY698" s="209">
        <v>0</v>
      </c>
      <c r="BZ698" s="208">
        <v>0</v>
      </c>
      <c r="CA698" s="212">
        <v>1</v>
      </c>
      <c r="CB698" s="211">
        <v>0</v>
      </c>
      <c r="CC698" s="211">
        <v>0</v>
      </c>
      <c r="CD698" s="211">
        <v>0</v>
      </c>
      <c r="CE698" s="210">
        <v>0</v>
      </c>
      <c r="CF698" s="210">
        <v>0</v>
      </c>
      <c r="CG698" s="210">
        <v>0</v>
      </c>
      <c r="CH698" s="209">
        <v>0</v>
      </c>
      <c r="CI698" s="139">
        <v>0</v>
      </c>
      <c r="CJ698" s="139">
        <v>0</v>
      </c>
      <c r="CK698" s="139" t="s">
        <v>969</v>
      </c>
      <c r="CL698" s="139" t="s">
        <v>969</v>
      </c>
      <c r="CM698" s="139" t="s">
        <v>969</v>
      </c>
      <c r="CN698" s="139" t="s">
        <v>966</v>
      </c>
      <c r="CO698" s="139">
        <v>20.697229385376001</v>
      </c>
      <c r="CP698" s="139">
        <v>93.044059753417997</v>
      </c>
      <c r="CQ698" s="139" t="s">
        <v>1764</v>
      </c>
      <c r="CR698" s="660" t="s">
        <v>3209</v>
      </c>
      <c r="CS698" s="660"/>
      <c r="CT698" s="24"/>
      <c r="CU698" s="24"/>
      <c r="CV698" s="24"/>
    </row>
    <row r="699" spans="1:100" x14ac:dyDescent="0.25">
      <c r="A699" s="293" t="s">
        <v>2691</v>
      </c>
      <c r="B699" s="183" t="s">
        <v>460</v>
      </c>
      <c r="C699" s="183" t="s">
        <v>454</v>
      </c>
      <c r="D699" s="183" t="s">
        <v>637</v>
      </c>
      <c r="E699" s="183" t="s">
        <v>649</v>
      </c>
      <c r="F699" s="206">
        <f>ROUND(WWWW[[#This Row],[Total PoP ]]/5,0)</f>
        <v>23</v>
      </c>
      <c r="G699" s="395">
        <v>117</v>
      </c>
      <c r="H699" s="183"/>
      <c r="I699" s="183"/>
      <c r="J699" s="184"/>
      <c r="K699" s="183"/>
      <c r="L699" s="206" t="s">
        <v>282</v>
      </c>
      <c r="M699" s="208">
        <v>0</v>
      </c>
      <c r="N699" s="208">
        <v>0</v>
      </c>
      <c r="O699" s="319">
        <v>2</v>
      </c>
      <c r="P699" s="320"/>
      <c r="Q699" s="324"/>
      <c r="R699" s="325"/>
      <c r="S699" s="325">
        <v>0</v>
      </c>
      <c r="T699" s="325"/>
      <c r="U699" s="315"/>
      <c r="V699" s="315"/>
      <c r="W699" s="315"/>
      <c r="X699" s="315"/>
      <c r="Y699" s="315"/>
      <c r="Z699" s="315"/>
      <c r="AA699" s="336">
        <v>0</v>
      </c>
      <c r="AB699" s="336"/>
      <c r="AC699" s="337"/>
      <c r="AD699" s="337"/>
      <c r="AE699" s="342">
        <v>0</v>
      </c>
      <c r="AF699" s="342" t="s">
        <v>286</v>
      </c>
      <c r="AG699" s="339" t="s">
        <v>286</v>
      </c>
      <c r="AH699" s="337"/>
      <c r="AI699" s="337"/>
      <c r="AJ699" s="342"/>
      <c r="AK699" s="851">
        <v>0</v>
      </c>
      <c r="AL699" s="855"/>
      <c r="AM699" s="836">
        <v>0</v>
      </c>
      <c r="AN699" s="837"/>
      <c r="AO699" s="837">
        <v>0</v>
      </c>
      <c r="AP699" s="843"/>
      <c r="AQ699" s="839"/>
      <c r="AR699" s="839"/>
      <c r="AS699" s="839"/>
      <c r="AT699" s="839"/>
      <c r="AU699" s="839"/>
      <c r="AV699" s="852"/>
      <c r="AW699" s="134" t="s">
        <v>3208</v>
      </c>
      <c r="AX699" s="136" t="s">
        <v>3208</v>
      </c>
      <c r="AY699" s="137" t="s">
        <v>2576</v>
      </c>
      <c r="AZ699" s="136">
        <v>1</v>
      </c>
      <c r="BA699" s="136">
        <v>1</v>
      </c>
      <c r="BB699" s="136">
        <v>1</v>
      </c>
      <c r="BC699" s="214">
        <v>117</v>
      </c>
      <c r="BD699" s="136">
        <v>0</v>
      </c>
      <c r="BE699" s="214">
        <v>0</v>
      </c>
      <c r="BF699" s="136">
        <v>1</v>
      </c>
      <c r="BG699" s="214">
        <v>117</v>
      </c>
      <c r="BH699" s="214">
        <v>0</v>
      </c>
      <c r="BI699" s="134">
        <v>0</v>
      </c>
      <c r="BJ699" s="214">
        <v>0</v>
      </c>
      <c r="BK699" s="137">
        <v>1</v>
      </c>
      <c r="BL699" s="137">
        <v>1</v>
      </c>
      <c r="BM699" s="137">
        <v>0</v>
      </c>
      <c r="BN699" s="134">
        <v>0</v>
      </c>
      <c r="BO699" s="351">
        <v>0</v>
      </c>
      <c r="BP699" s="134">
        <v>1</v>
      </c>
      <c r="BQ699" s="214">
        <v>20</v>
      </c>
      <c r="BR699" s="137">
        <v>20</v>
      </c>
      <c r="BS699" s="138">
        <v>0</v>
      </c>
      <c r="BT699" s="351" t="s">
        <v>103</v>
      </c>
      <c r="BU699" s="209">
        <v>0</v>
      </c>
      <c r="BV699" s="209">
        <v>0</v>
      </c>
      <c r="BW699" s="209">
        <v>0</v>
      </c>
      <c r="BX699" s="209">
        <v>0</v>
      </c>
      <c r="BY699" s="209">
        <v>0</v>
      </c>
      <c r="BZ699" s="134">
        <v>0</v>
      </c>
      <c r="CA699" s="138">
        <v>1</v>
      </c>
      <c r="CB699" s="136">
        <v>0</v>
      </c>
      <c r="CC699" s="136">
        <v>0</v>
      </c>
      <c r="CD699" s="136">
        <v>0</v>
      </c>
      <c r="CE699" s="137">
        <v>0</v>
      </c>
      <c r="CF699" s="137">
        <v>0</v>
      </c>
      <c r="CG699" s="351">
        <v>0</v>
      </c>
      <c r="CH699" s="214">
        <v>0</v>
      </c>
      <c r="CI699" s="139">
        <v>0</v>
      </c>
      <c r="CJ699" s="139">
        <v>0</v>
      </c>
      <c r="CK699" s="139" t="s">
        <v>969</v>
      </c>
      <c r="CL699" s="139" t="s">
        <v>969</v>
      </c>
      <c r="CM699" s="139" t="s">
        <v>969</v>
      </c>
      <c r="CN699" s="139" t="s">
        <v>454</v>
      </c>
      <c r="CO699" s="139">
        <v>20.489089965820298</v>
      </c>
      <c r="CP699" s="139">
        <v>93.211738586425795</v>
      </c>
      <c r="CQ699" s="139" t="s">
        <v>1699</v>
      </c>
      <c r="CR699" s="449" t="s">
        <v>3209</v>
      </c>
      <c r="CS699" s="139"/>
      <c r="CT699" s="24"/>
      <c r="CU699" s="24"/>
      <c r="CV699" s="24"/>
    </row>
    <row r="700" spans="1:100" x14ac:dyDescent="0.25">
      <c r="A700" s="293" t="s">
        <v>2691</v>
      </c>
      <c r="B700" s="206" t="s">
        <v>460</v>
      </c>
      <c r="C700" s="183" t="s">
        <v>454</v>
      </c>
      <c r="D700" s="183" t="s">
        <v>637</v>
      </c>
      <c r="E700" s="183" t="s">
        <v>640</v>
      </c>
      <c r="F700" s="206">
        <f>ROUND(WWWW[[#This Row],[Total PoP ]]/5,0)</f>
        <v>44</v>
      </c>
      <c r="G700" s="209">
        <v>221</v>
      </c>
      <c r="H700" s="206"/>
      <c r="I700" s="206"/>
      <c r="J700" s="207"/>
      <c r="K700" s="206"/>
      <c r="L700" s="206" t="s">
        <v>282</v>
      </c>
      <c r="M700" s="208">
        <v>0</v>
      </c>
      <c r="N700" s="208">
        <v>0</v>
      </c>
      <c r="O700" s="316">
        <v>2</v>
      </c>
      <c r="P700" s="317"/>
      <c r="Q700" s="317"/>
      <c r="R700" s="318"/>
      <c r="S700" s="318">
        <v>0</v>
      </c>
      <c r="T700" s="318"/>
      <c r="U700" s="318"/>
      <c r="V700" s="318"/>
      <c r="W700" s="318"/>
      <c r="X700" s="318"/>
      <c r="Y700" s="318"/>
      <c r="Z700" s="318"/>
      <c r="AA700" s="310">
        <v>3</v>
      </c>
      <c r="AB700" s="310"/>
      <c r="AC700" s="66"/>
      <c r="AD700" s="337"/>
      <c r="AE700" s="310">
        <v>0</v>
      </c>
      <c r="AF700" s="310" t="s">
        <v>286</v>
      </c>
      <c r="AG700" s="311" t="s">
        <v>286</v>
      </c>
      <c r="AH700" s="311"/>
      <c r="AI700" s="310"/>
      <c r="AJ700" s="310"/>
      <c r="AK700" s="841">
        <v>0</v>
      </c>
      <c r="AL700" s="842"/>
      <c r="AM700" s="842">
        <v>0</v>
      </c>
      <c r="AN700" s="837"/>
      <c r="AO700" s="837">
        <v>0</v>
      </c>
      <c r="AP700" s="843"/>
      <c r="AQ700" s="843"/>
      <c r="AR700" s="843"/>
      <c r="AS700" s="843"/>
      <c r="AT700" s="843"/>
      <c r="AU700" s="843"/>
      <c r="AV700" s="844"/>
      <c r="AW700" s="208" t="s">
        <v>3208</v>
      </c>
      <c r="AX700" s="211" t="s">
        <v>3208</v>
      </c>
      <c r="AY700" s="210" t="s">
        <v>2576</v>
      </c>
      <c r="AZ700" s="211">
        <v>1</v>
      </c>
      <c r="BA700" s="211">
        <v>1</v>
      </c>
      <c r="BB700" s="211">
        <v>1</v>
      </c>
      <c r="BC700" s="209">
        <v>221</v>
      </c>
      <c r="BD700" s="211">
        <v>0</v>
      </c>
      <c r="BE700" s="209">
        <v>0</v>
      </c>
      <c r="BF700" s="211">
        <v>1</v>
      </c>
      <c r="BG700" s="209">
        <v>221</v>
      </c>
      <c r="BH700" s="214">
        <v>0</v>
      </c>
      <c r="BI700" s="208">
        <v>0</v>
      </c>
      <c r="BJ700" s="209">
        <v>0</v>
      </c>
      <c r="BK700" s="210">
        <v>1</v>
      </c>
      <c r="BL700" s="210">
        <v>1</v>
      </c>
      <c r="BM700" s="210">
        <v>3</v>
      </c>
      <c r="BN700" s="208">
        <v>8.1447963800904979E-2</v>
      </c>
      <c r="BO700" s="352">
        <v>18</v>
      </c>
      <c r="BP700" s="208">
        <v>0.92307692307692302</v>
      </c>
      <c r="BQ700" s="209">
        <v>34</v>
      </c>
      <c r="BR700" s="210">
        <v>37</v>
      </c>
      <c r="BS700" s="212">
        <v>0</v>
      </c>
      <c r="BT700" s="352" t="s">
        <v>103</v>
      </c>
      <c r="BU700" s="209">
        <v>0</v>
      </c>
      <c r="BV700" s="209">
        <v>0</v>
      </c>
      <c r="BW700" s="209">
        <v>0</v>
      </c>
      <c r="BX700" s="209">
        <v>0</v>
      </c>
      <c r="BY700" s="209">
        <v>0</v>
      </c>
      <c r="BZ700" s="208">
        <v>0</v>
      </c>
      <c r="CA700" s="212">
        <v>1</v>
      </c>
      <c r="CB700" s="211">
        <v>0</v>
      </c>
      <c r="CC700" s="211">
        <v>0</v>
      </c>
      <c r="CD700" s="211">
        <v>0</v>
      </c>
      <c r="CE700" s="210">
        <v>0</v>
      </c>
      <c r="CF700" s="210">
        <v>0</v>
      </c>
      <c r="CG700" s="210">
        <v>0</v>
      </c>
      <c r="CH700" s="209">
        <v>0</v>
      </c>
      <c r="CI700" s="139">
        <v>0</v>
      </c>
      <c r="CJ700" s="139">
        <v>0</v>
      </c>
      <c r="CK700" s="139" t="s">
        <v>969</v>
      </c>
      <c r="CL700" s="139" t="s">
        <v>969</v>
      </c>
      <c r="CM700" s="139" t="s">
        <v>969</v>
      </c>
      <c r="CN700" s="139" t="s">
        <v>454</v>
      </c>
      <c r="CO700" s="139">
        <v>20.464775085449201</v>
      </c>
      <c r="CP700" s="139">
        <v>93.269363403320298</v>
      </c>
      <c r="CQ700" s="139" t="s">
        <v>1696</v>
      </c>
      <c r="CR700" s="660" t="s">
        <v>3209</v>
      </c>
      <c r="CS700" s="660"/>
      <c r="CT700" s="24"/>
      <c r="CU700" s="24"/>
      <c r="CV700" s="24"/>
    </row>
    <row r="701" spans="1:100" x14ac:dyDescent="0.25">
      <c r="A701" s="293" t="s">
        <v>2691</v>
      </c>
      <c r="B701" s="206" t="s">
        <v>460</v>
      </c>
      <c r="C701" s="183" t="s">
        <v>454</v>
      </c>
      <c r="D701" s="183" t="s">
        <v>637</v>
      </c>
      <c r="E701" s="183" t="s">
        <v>638</v>
      </c>
      <c r="F701" s="206">
        <f>ROUND(WWWW[[#This Row],[Total PoP ]]/5,0)</f>
        <v>161</v>
      </c>
      <c r="G701" s="209">
        <v>807</v>
      </c>
      <c r="H701" s="206"/>
      <c r="I701" s="206"/>
      <c r="J701" s="207"/>
      <c r="K701" s="206"/>
      <c r="L701" s="206" t="s">
        <v>282</v>
      </c>
      <c r="M701" s="208">
        <v>0</v>
      </c>
      <c r="N701" s="208">
        <v>0</v>
      </c>
      <c r="O701" s="316">
        <v>1</v>
      </c>
      <c r="P701" s="317"/>
      <c r="Q701" s="317"/>
      <c r="R701" s="318"/>
      <c r="S701" s="318">
        <v>0</v>
      </c>
      <c r="T701" s="318"/>
      <c r="U701" s="318"/>
      <c r="V701" s="318"/>
      <c r="W701" s="318"/>
      <c r="X701" s="318"/>
      <c r="Y701" s="318"/>
      <c r="Z701" s="318"/>
      <c r="AA701" s="310">
        <v>4</v>
      </c>
      <c r="AB701" s="310"/>
      <c r="AC701" s="66"/>
      <c r="AD701" s="337"/>
      <c r="AE701" s="310">
        <v>0</v>
      </c>
      <c r="AF701" s="310" t="s">
        <v>286</v>
      </c>
      <c r="AG701" s="311" t="s">
        <v>286</v>
      </c>
      <c r="AH701" s="311"/>
      <c r="AI701" s="310"/>
      <c r="AJ701" s="310"/>
      <c r="AK701" s="841">
        <v>0</v>
      </c>
      <c r="AL701" s="842"/>
      <c r="AM701" s="842">
        <v>0</v>
      </c>
      <c r="AN701" s="837"/>
      <c r="AO701" s="837">
        <v>0</v>
      </c>
      <c r="AP701" s="843"/>
      <c r="AQ701" s="843"/>
      <c r="AR701" s="843"/>
      <c r="AS701" s="843"/>
      <c r="AT701" s="843"/>
      <c r="AU701" s="843"/>
      <c r="AV701" s="844"/>
      <c r="AW701" s="208" t="s">
        <v>3208</v>
      </c>
      <c r="AX701" s="211" t="s">
        <v>3208</v>
      </c>
      <c r="AY701" s="210" t="s">
        <v>2576</v>
      </c>
      <c r="AZ701" s="211">
        <v>1</v>
      </c>
      <c r="BA701" s="211">
        <v>0.3097893432465923</v>
      </c>
      <c r="BB701" s="211">
        <v>0.3097893432465923</v>
      </c>
      <c r="BC701" s="209">
        <v>249.99999999999997</v>
      </c>
      <c r="BD701" s="211">
        <v>0</v>
      </c>
      <c r="BE701" s="209">
        <v>0</v>
      </c>
      <c r="BF701" s="211">
        <v>0.3097893432465923</v>
      </c>
      <c r="BG701" s="209">
        <v>249.99999999999997</v>
      </c>
      <c r="BH701" s="214">
        <v>1</v>
      </c>
      <c r="BI701" s="208">
        <v>0.69021065675340765</v>
      </c>
      <c r="BJ701" s="209">
        <v>557</v>
      </c>
      <c r="BK701" s="210">
        <v>1</v>
      </c>
      <c r="BL701" s="210">
        <v>2</v>
      </c>
      <c r="BM701" s="210">
        <v>4</v>
      </c>
      <c r="BN701" s="208">
        <v>2.9739776951672861E-2</v>
      </c>
      <c r="BO701" s="352">
        <v>24</v>
      </c>
      <c r="BP701" s="208">
        <v>0.97397769516728627</v>
      </c>
      <c r="BQ701" s="209">
        <v>131</v>
      </c>
      <c r="BR701" s="210">
        <v>135</v>
      </c>
      <c r="BS701" s="212">
        <v>0</v>
      </c>
      <c r="BT701" s="352" t="s">
        <v>103</v>
      </c>
      <c r="BU701" s="209">
        <v>0</v>
      </c>
      <c r="BV701" s="209">
        <v>0</v>
      </c>
      <c r="BW701" s="209">
        <v>0</v>
      </c>
      <c r="BX701" s="209">
        <v>0</v>
      </c>
      <c r="BY701" s="209">
        <v>0</v>
      </c>
      <c r="BZ701" s="208">
        <v>0</v>
      </c>
      <c r="CA701" s="212">
        <v>1</v>
      </c>
      <c r="CB701" s="211">
        <v>0</v>
      </c>
      <c r="CC701" s="211">
        <v>0</v>
      </c>
      <c r="CD701" s="211">
        <v>0</v>
      </c>
      <c r="CE701" s="210">
        <v>0</v>
      </c>
      <c r="CF701" s="210">
        <v>0</v>
      </c>
      <c r="CG701" s="210">
        <v>0</v>
      </c>
      <c r="CH701" s="209">
        <v>0</v>
      </c>
      <c r="CI701" s="139">
        <v>0</v>
      </c>
      <c r="CJ701" s="139">
        <v>0</v>
      </c>
      <c r="CK701" s="139" t="s">
        <v>969</v>
      </c>
      <c r="CL701" s="139" t="s">
        <v>969</v>
      </c>
      <c r="CM701" s="139" t="s">
        <v>969</v>
      </c>
      <c r="CN701" s="139" t="s">
        <v>454</v>
      </c>
      <c r="CO701" s="139">
        <v>20.4625244140625</v>
      </c>
      <c r="CP701" s="139">
        <v>93.257278442382798</v>
      </c>
      <c r="CQ701" s="139" t="s">
        <v>1695</v>
      </c>
      <c r="CR701" s="660" t="s">
        <v>3209</v>
      </c>
      <c r="CS701" s="660"/>
      <c r="CT701" s="24"/>
      <c r="CU701" s="24"/>
      <c r="CV701" s="24"/>
    </row>
    <row r="702" spans="1:100" x14ac:dyDescent="0.25">
      <c r="A702" s="293" t="s">
        <v>2691</v>
      </c>
      <c r="B702" s="206" t="s">
        <v>460</v>
      </c>
      <c r="C702" s="183" t="s">
        <v>454</v>
      </c>
      <c r="D702" s="183" t="s">
        <v>637</v>
      </c>
      <c r="E702" s="183" t="s">
        <v>715</v>
      </c>
      <c r="F702" s="206">
        <f>ROUND(WWWW[[#This Row],[Total PoP ]]/5,0)</f>
        <v>211</v>
      </c>
      <c r="G702" s="209">
        <v>1055</v>
      </c>
      <c r="H702" s="206"/>
      <c r="I702" s="206"/>
      <c r="J702" s="207"/>
      <c r="K702" s="206"/>
      <c r="L702" s="206" t="s">
        <v>282</v>
      </c>
      <c r="M702" s="208">
        <v>0</v>
      </c>
      <c r="N702" s="208">
        <v>0</v>
      </c>
      <c r="O702" s="316">
        <v>1</v>
      </c>
      <c r="P702" s="317"/>
      <c r="Q702" s="317"/>
      <c r="R702" s="318"/>
      <c r="S702" s="318">
        <v>0</v>
      </c>
      <c r="T702" s="318"/>
      <c r="U702" s="318"/>
      <c r="V702" s="318"/>
      <c r="W702" s="318"/>
      <c r="X702" s="318"/>
      <c r="Y702" s="318"/>
      <c r="Z702" s="318"/>
      <c r="AA702" s="310">
        <v>5</v>
      </c>
      <c r="AB702" s="310"/>
      <c r="AC702" s="66"/>
      <c r="AD702" s="337"/>
      <c r="AE702" s="310">
        <v>0</v>
      </c>
      <c r="AF702" s="310" t="s">
        <v>286</v>
      </c>
      <c r="AG702" s="311" t="s">
        <v>286</v>
      </c>
      <c r="AH702" s="311"/>
      <c r="AI702" s="310"/>
      <c r="AJ702" s="310"/>
      <c r="AK702" s="841">
        <v>0</v>
      </c>
      <c r="AL702" s="842"/>
      <c r="AM702" s="842">
        <v>0</v>
      </c>
      <c r="AN702" s="837"/>
      <c r="AO702" s="837">
        <v>0</v>
      </c>
      <c r="AP702" s="843"/>
      <c r="AQ702" s="843"/>
      <c r="AR702" s="843"/>
      <c r="AS702" s="843"/>
      <c r="AT702" s="843"/>
      <c r="AU702" s="843"/>
      <c r="AV702" s="844"/>
      <c r="AW702" s="208" t="s">
        <v>3208</v>
      </c>
      <c r="AX702" s="211" t="s">
        <v>3208</v>
      </c>
      <c r="AY702" s="210" t="s">
        <v>2576</v>
      </c>
      <c r="AZ702" s="211">
        <v>1</v>
      </c>
      <c r="BA702" s="211">
        <v>0.23696682464454977</v>
      </c>
      <c r="BB702" s="211">
        <v>0.23696682464454977</v>
      </c>
      <c r="BC702" s="209">
        <v>250</v>
      </c>
      <c r="BD702" s="211">
        <v>0</v>
      </c>
      <c r="BE702" s="209">
        <v>0</v>
      </c>
      <c r="BF702" s="211">
        <v>0.23696682464454977</v>
      </c>
      <c r="BG702" s="209">
        <v>250</v>
      </c>
      <c r="BH702" s="214">
        <v>1</v>
      </c>
      <c r="BI702" s="208">
        <v>0.76303317535545023</v>
      </c>
      <c r="BJ702" s="209">
        <v>805</v>
      </c>
      <c r="BK702" s="210">
        <v>1</v>
      </c>
      <c r="BL702" s="210">
        <v>2</v>
      </c>
      <c r="BM702" s="210">
        <v>5</v>
      </c>
      <c r="BN702" s="208">
        <v>2.843601895734597E-2</v>
      </c>
      <c r="BO702" s="352">
        <v>30</v>
      </c>
      <c r="BP702" s="208">
        <v>0.97251184834123217</v>
      </c>
      <c r="BQ702" s="209">
        <v>171</v>
      </c>
      <c r="BR702" s="210">
        <v>176</v>
      </c>
      <c r="BS702" s="212">
        <v>0</v>
      </c>
      <c r="BT702" s="352" t="s">
        <v>103</v>
      </c>
      <c r="BU702" s="209">
        <v>0</v>
      </c>
      <c r="BV702" s="209">
        <v>0</v>
      </c>
      <c r="BW702" s="209">
        <v>0</v>
      </c>
      <c r="BX702" s="209">
        <v>0</v>
      </c>
      <c r="BY702" s="209">
        <v>0</v>
      </c>
      <c r="BZ702" s="208">
        <v>0</v>
      </c>
      <c r="CA702" s="212">
        <v>1</v>
      </c>
      <c r="CB702" s="211">
        <v>0</v>
      </c>
      <c r="CC702" s="211">
        <v>0</v>
      </c>
      <c r="CD702" s="211">
        <v>0</v>
      </c>
      <c r="CE702" s="210">
        <v>0</v>
      </c>
      <c r="CF702" s="210">
        <v>0</v>
      </c>
      <c r="CG702" s="210">
        <v>0</v>
      </c>
      <c r="CH702" s="209">
        <v>0</v>
      </c>
      <c r="CI702" s="139">
        <v>0</v>
      </c>
      <c r="CJ702" s="139">
        <v>0</v>
      </c>
      <c r="CK702" s="139" t="s">
        <v>969</v>
      </c>
      <c r="CL702" s="139" t="s">
        <v>969</v>
      </c>
      <c r="CM702" s="139" t="s">
        <v>969</v>
      </c>
      <c r="CN702" s="139" t="s">
        <v>454</v>
      </c>
      <c r="CO702" s="139">
        <v>20.703550338745099</v>
      </c>
      <c r="CP702" s="139">
        <v>93.060462951660199</v>
      </c>
      <c r="CQ702" s="139" t="s">
        <v>1765</v>
      </c>
      <c r="CR702" s="660" t="s">
        <v>3209</v>
      </c>
      <c r="CS702" s="660"/>
      <c r="CT702" s="24"/>
      <c r="CU702" s="24"/>
      <c r="CV702" s="24"/>
    </row>
    <row r="703" spans="1:100" x14ac:dyDescent="0.25">
      <c r="A703" s="293" t="s">
        <v>2691</v>
      </c>
      <c r="B703" s="206" t="s">
        <v>559</v>
      </c>
      <c r="C703" s="183" t="s">
        <v>454</v>
      </c>
      <c r="D703" s="183" t="s">
        <v>560</v>
      </c>
      <c r="E703" s="183" t="s">
        <v>562</v>
      </c>
      <c r="F703" s="206">
        <v>40</v>
      </c>
      <c r="G703" s="209">
        <v>217</v>
      </c>
      <c r="H703" s="206"/>
      <c r="I703" s="206" t="s">
        <v>388</v>
      </c>
      <c r="J703" s="207">
        <v>43281</v>
      </c>
      <c r="K703" s="206">
        <v>0</v>
      </c>
      <c r="L703" s="206" t="s">
        <v>282</v>
      </c>
      <c r="M703" s="208">
        <v>0</v>
      </c>
      <c r="N703" s="208">
        <v>0</v>
      </c>
      <c r="O703" s="316">
        <v>0</v>
      </c>
      <c r="P703" s="317">
        <v>0</v>
      </c>
      <c r="Q703" s="326">
        <f>45*WWWW[[#This Row],[Total PoP ]]</f>
        <v>9765</v>
      </c>
      <c r="R703" s="318">
        <v>0</v>
      </c>
      <c r="S703" s="318">
        <v>0</v>
      </c>
      <c r="T703" s="318"/>
      <c r="U703" s="318"/>
      <c r="V703" s="318"/>
      <c r="W703" s="318"/>
      <c r="X703" s="318"/>
      <c r="Y703" s="318"/>
      <c r="Z703" s="318"/>
      <c r="AA703" s="310">
        <v>40</v>
      </c>
      <c r="AB703" s="310">
        <v>0</v>
      </c>
      <c r="AC703" s="66"/>
      <c r="AD703" s="337"/>
      <c r="AE703" s="310">
        <v>40</v>
      </c>
      <c r="AF703" s="310" t="s">
        <v>332</v>
      </c>
      <c r="AG703" s="311" t="s">
        <v>283</v>
      </c>
      <c r="AH703" s="311"/>
      <c r="AI703" s="310"/>
      <c r="AJ703" s="310"/>
      <c r="AK703" s="841">
        <v>0</v>
      </c>
      <c r="AL703" s="842"/>
      <c r="AM703" s="842">
        <v>0</v>
      </c>
      <c r="AN703" s="837">
        <v>0</v>
      </c>
      <c r="AO703" s="837">
        <v>2</v>
      </c>
      <c r="AP703" s="843">
        <v>40</v>
      </c>
      <c r="AQ703" s="843">
        <v>40</v>
      </c>
      <c r="AR703" s="843"/>
      <c r="AS703" s="843"/>
      <c r="AT703" s="843">
        <v>0</v>
      </c>
      <c r="AU703" s="843">
        <v>2</v>
      </c>
      <c r="AV703" s="844"/>
      <c r="AW703" s="208" t="s">
        <v>3208</v>
      </c>
      <c r="AX703" s="211" t="s">
        <v>3208</v>
      </c>
      <c r="AY703" s="210" t="s">
        <v>2576</v>
      </c>
      <c r="AZ703" s="211">
        <v>1</v>
      </c>
      <c r="BA703" s="211">
        <v>1</v>
      </c>
      <c r="BB703" s="211">
        <v>1</v>
      </c>
      <c r="BC703" s="209">
        <v>217</v>
      </c>
      <c r="BD703" s="211">
        <v>0</v>
      </c>
      <c r="BE703" s="209">
        <v>0</v>
      </c>
      <c r="BF703" s="211">
        <v>1</v>
      </c>
      <c r="BG703" s="209">
        <v>217</v>
      </c>
      <c r="BH703" s="214">
        <v>0</v>
      </c>
      <c r="BI703" s="208">
        <v>0</v>
      </c>
      <c r="BJ703" s="209">
        <v>0</v>
      </c>
      <c r="BK703" s="210">
        <v>1</v>
      </c>
      <c r="BL703" s="210">
        <v>1</v>
      </c>
      <c r="BM703" s="210">
        <v>40</v>
      </c>
      <c r="BN703" s="208">
        <v>1</v>
      </c>
      <c r="BO703" s="352">
        <v>217</v>
      </c>
      <c r="BP703" s="208">
        <v>0</v>
      </c>
      <c r="BQ703" s="209">
        <v>0</v>
      </c>
      <c r="BR703" s="210">
        <v>36</v>
      </c>
      <c r="BS703" s="212">
        <v>0</v>
      </c>
      <c r="BT703" s="352" t="s">
        <v>103</v>
      </c>
      <c r="BU703" s="209">
        <v>217</v>
      </c>
      <c r="BV703" s="209">
        <v>1</v>
      </c>
      <c r="BW703" s="209">
        <v>1</v>
      </c>
      <c r="BX703" s="209">
        <v>1</v>
      </c>
      <c r="BY703" s="209">
        <v>217</v>
      </c>
      <c r="BZ703" s="208">
        <v>1</v>
      </c>
      <c r="CA703" s="212">
        <v>0</v>
      </c>
      <c r="CB703" s="211">
        <v>1</v>
      </c>
      <c r="CC703" s="211">
        <v>1</v>
      </c>
      <c r="CD703" s="211">
        <v>1</v>
      </c>
      <c r="CE703" s="210">
        <v>200</v>
      </c>
      <c r="CF703" s="210">
        <v>200</v>
      </c>
      <c r="CG703" s="210">
        <v>200</v>
      </c>
      <c r="CH703" s="209">
        <v>0</v>
      </c>
      <c r="CI703" s="139">
        <v>0</v>
      </c>
      <c r="CJ703" s="139">
        <v>0</v>
      </c>
      <c r="CK703" s="139" t="s">
        <v>969</v>
      </c>
      <c r="CL703" s="139" t="s">
        <v>969</v>
      </c>
      <c r="CM703" s="139" t="s">
        <v>992</v>
      </c>
      <c r="CN703" s="139" t="s">
        <v>454</v>
      </c>
      <c r="CO703" s="139">
        <v>20.041981</v>
      </c>
      <c r="CP703" s="139">
        <v>93.373951000000005</v>
      </c>
      <c r="CQ703" s="139" t="s">
        <v>1606</v>
      </c>
      <c r="CR703" s="660" t="s">
        <v>40</v>
      </c>
      <c r="CS703" s="660"/>
      <c r="CT703" s="24"/>
      <c r="CU703" s="24"/>
      <c r="CV703" s="24"/>
    </row>
    <row r="704" spans="1:100" x14ac:dyDescent="0.25">
      <c r="A704" s="293" t="s">
        <v>2691</v>
      </c>
      <c r="B704" s="206" t="s">
        <v>559</v>
      </c>
      <c r="C704" s="183" t="s">
        <v>454</v>
      </c>
      <c r="D704" s="183" t="s">
        <v>560</v>
      </c>
      <c r="E704" s="183" t="s">
        <v>561</v>
      </c>
      <c r="F704" s="206">
        <v>713</v>
      </c>
      <c r="G704" s="209">
        <v>2835</v>
      </c>
      <c r="H704" s="206"/>
      <c r="I704" s="206" t="s">
        <v>388</v>
      </c>
      <c r="J704" s="207">
        <v>43281</v>
      </c>
      <c r="K704" s="206">
        <v>0</v>
      </c>
      <c r="L704" s="206" t="s">
        <v>48</v>
      </c>
      <c r="M704" s="208">
        <v>0.47</v>
      </c>
      <c r="N704" s="208">
        <v>0.105</v>
      </c>
      <c r="O704" s="316">
        <v>0</v>
      </c>
      <c r="P704" s="317">
        <v>0</v>
      </c>
      <c r="Q704" s="317">
        <f>20*WWWW[[#This Row],[Total PoP ]]</f>
        <v>56700</v>
      </c>
      <c r="R704" s="318">
        <v>6</v>
      </c>
      <c r="S704" s="318">
        <v>0</v>
      </c>
      <c r="T704" s="318"/>
      <c r="U704" s="318">
        <v>58</v>
      </c>
      <c r="V704" s="318">
        <v>0.5</v>
      </c>
      <c r="W704" s="318">
        <v>61</v>
      </c>
      <c r="X704" s="318">
        <v>1.45</v>
      </c>
      <c r="Y704" s="318"/>
      <c r="Z704" s="318"/>
      <c r="AA704" s="310">
        <v>197</v>
      </c>
      <c r="AB704" s="310">
        <v>0</v>
      </c>
      <c r="AC704" s="66">
        <v>1</v>
      </c>
      <c r="AD704" s="337" t="s">
        <v>2782</v>
      </c>
      <c r="AE704" s="310">
        <v>0</v>
      </c>
      <c r="AF704" s="310" t="s">
        <v>283</v>
      </c>
      <c r="AG704" s="311" t="s">
        <v>283</v>
      </c>
      <c r="AH704" s="311">
        <v>30</v>
      </c>
      <c r="AI704" s="310"/>
      <c r="AJ704" s="310" t="s">
        <v>283</v>
      </c>
      <c r="AK704" s="841">
        <v>1</v>
      </c>
      <c r="AL704" s="842" t="s">
        <v>376</v>
      </c>
      <c r="AM704" s="842">
        <v>0</v>
      </c>
      <c r="AN704" s="837">
        <v>4</v>
      </c>
      <c r="AO704" s="837">
        <v>8</v>
      </c>
      <c r="AP704" s="843">
        <v>713</v>
      </c>
      <c r="AQ704" s="843">
        <v>713</v>
      </c>
      <c r="AR704" s="843"/>
      <c r="AS704" s="843"/>
      <c r="AT704" s="843">
        <v>0</v>
      </c>
      <c r="AU704" s="843">
        <v>28</v>
      </c>
      <c r="AV704" s="844"/>
      <c r="AW704" s="208">
        <v>8.6206896551724137E-3</v>
      </c>
      <c r="AX704" s="211">
        <v>2.3770491803278688E-2</v>
      </c>
      <c r="AY704" s="210" t="s">
        <v>2577</v>
      </c>
      <c r="AZ704" s="211">
        <v>1</v>
      </c>
      <c r="BA704" s="211">
        <v>1</v>
      </c>
      <c r="BB704" s="211">
        <v>1</v>
      </c>
      <c r="BC704" s="209">
        <v>2835</v>
      </c>
      <c r="BD704" s="211">
        <v>0.52910052910052907</v>
      </c>
      <c r="BE704" s="209">
        <v>1500</v>
      </c>
      <c r="BF704" s="211">
        <v>1</v>
      </c>
      <c r="BG704" s="209">
        <v>2835</v>
      </c>
      <c r="BH704" s="214">
        <v>6</v>
      </c>
      <c r="BI704" s="208">
        <v>0</v>
      </c>
      <c r="BJ704" s="209">
        <v>0</v>
      </c>
      <c r="BK704" s="210">
        <v>0</v>
      </c>
      <c r="BL704" s="210">
        <v>6</v>
      </c>
      <c r="BM704" s="210">
        <v>197</v>
      </c>
      <c r="BN704" s="208">
        <v>1</v>
      </c>
      <c r="BO704" s="352">
        <v>2835</v>
      </c>
      <c r="BP704" s="208">
        <v>0</v>
      </c>
      <c r="BQ704" s="209">
        <v>0</v>
      </c>
      <c r="BR704" s="210">
        <v>142</v>
      </c>
      <c r="BS704" s="212">
        <v>0</v>
      </c>
      <c r="BT704" s="352">
        <v>20</v>
      </c>
      <c r="BU704" s="209">
        <v>2835</v>
      </c>
      <c r="BV704" s="209">
        <v>1</v>
      </c>
      <c r="BW704" s="209">
        <v>1</v>
      </c>
      <c r="BX704" s="209">
        <v>1</v>
      </c>
      <c r="BY704" s="209">
        <v>2835</v>
      </c>
      <c r="BZ704" s="208">
        <v>1</v>
      </c>
      <c r="CA704" s="212">
        <v>0</v>
      </c>
      <c r="CB704" s="211">
        <v>1</v>
      </c>
      <c r="CC704" s="211">
        <v>1</v>
      </c>
      <c r="CD704" s="211">
        <v>1</v>
      </c>
      <c r="CE704" s="210">
        <v>3565</v>
      </c>
      <c r="CF704" s="210">
        <v>3565</v>
      </c>
      <c r="CG704" s="210">
        <v>3565</v>
      </c>
      <c r="CH704" s="209">
        <v>713</v>
      </c>
      <c r="CI704" s="139" t="s">
        <v>48</v>
      </c>
      <c r="CJ704" s="139">
        <v>0</v>
      </c>
      <c r="CK704" s="139" t="s">
        <v>50</v>
      </c>
      <c r="CL704" s="139" t="s">
        <v>50</v>
      </c>
      <c r="CM704" s="139" t="s">
        <v>965</v>
      </c>
      <c r="CN704" s="139" t="s">
        <v>966</v>
      </c>
      <c r="CO704" s="139">
        <v>20.037655000000001</v>
      </c>
      <c r="CP704" s="139">
        <v>93.370037999999994</v>
      </c>
      <c r="CQ704" s="139" t="s">
        <v>1605</v>
      </c>
      <c r="CR704" s="660" t="s">
        <v>40</v>
      </c>
      <c r="CS704" s="660"/>
      <c r="CT704" s="24"/>
      <c r="CU704" s="24"/>
      <c r="CV704" s="24"/>
    </row>
    <row r="705" spans="1:100" x14ac:dyDescent="0.25">
      <c r="A705" s="293" t="s">
        <v>2691</v>
      </c>
      <c r="B705" s="206" t="s">
        <v>426</v>
      </c>
      <c r="C705" s="206" t="s">
        <v>454</v>
      </c>
      <c r="D705" s="206" t="s">
        <v>563</v>
      </c>
      <c r="E705" s="206" t="s">
        <v>573</v>
      </c>
      <c r="F705" s="206">
        <v>379</v>
      </c>
      <c r="G705" s="209">
        <v>1914</v>
      </c>
      <c r="H705" s="206"/>
      <c r="I705" s="206" t="s">
        <v>2910</v>
      </c>
      <c r="J705" s="207" t="s">
        <v>2911</v>
      </c>
      <c r="K705" s="206">
        <v>36</v>
      </c>
      <c r="L705" s="206" t="s">
        <v>282</v>
      </c>
      <c r="M705" s="208">
        <v>0</v>
      </c>
      <c r="N705" s="208">
        <v>0</v>
      </c>
      <c r="O705" s="316">
        <v>0</v>
      </c>
      <c r="P705" s="317">
        <v>0</v>
      </c>
      <c r="Q705" s="317">
        <v>0</v>
      </c>
      <c r="R705" s="318">
        <v>3</v>
      </c>
      <c r="S705" s="318">
        <v>0</v>
      </c>
      <c r="T705" s="318">
        <v>0</v>
      </c>
      <c r="U705" s="318">
        <v>0</v>
      </c>
      <c r="V705" s="318"/>
      <c r="W705" s="318">
        <v>0</v>
      </c>
      <c r="X705" s="318"/>
      <c r="Y705" s="318">
        <v>0</v>
      </c>
      <c r="Z705" s="318" t="s">
        <v>2471</v>
      </c>
      <c r="AA705" s="310"/>
      <c r="AB705" s="310"/>
      <c r="AC705" s="66"/>
      <c r="AD705" s="337"/>
      <c r="AE705" s="310"/>
      <c r="AF705" s="310" t="s">
        <v>1358</v>
      </c>
      <c r="AG705" s="311" t="s">
        <v>283</v>
      </c>
      <c r="AH705" s="311"/>
      <c r="AI705" s="310">
        <v>0</v>
      </c>
      <c r="AJ705" s="310" t="s">
        <v>2472</v>
      </c>
      <c r="AK705" s="841">
        <v>0</v>
      </c>
      <c r="AL705" s="842"/>
      <c r="AM705" s="842">
        <v>0</v>
      </c>
      <c r="AN705" s="837">
        <v>0</v>
      </c>
      <c r="AO705" s="837">
        <v>3</v>
      </c>
      <c r="AP705" s="843"/>
      <c r="AQ705" s="843"/>
      <c r="AR705" s="843"/>
      <c r="AS705" s="843"/>
      <c r="AT705" s="843">
        <v>0</v>
      </c>
      <c r="AU705" s="843">
        <v>0</v>
      </c>
      <c r="AV705" s="844" t="s">
        <v>2473</v>
      </c>
      <c r="AW705" s="208" t="s">
        <v>3208</v>
      </c>
      <c r="AX705" s="211" t="s">
        <v>3208</v>
      </c>
      <c r="AY705" s="210" t="s">
        <v>2576</v>
      </c>
      <c r="AZ705" s="211">
        <v>0</v>
      </c>
      <c r="BA705" s="211">
        <v>0</v>
      </c>
      <c r="BB705" s="211">
        <v>0</v>
      </c>
      <c r="BC705" s="209">
        <v>0</v>
      </c>
      <c r="BD705" s="211">
        <v>0.39184952978056425</v>
      </c>
      <c r="BE705" s="209">
        <v>750</v>
      </c>
      <c r="BF705" s="211">
        <v>0.39184952978056425</v>
      </c>
      <c r="BG705" s="209">
        <v>750</v>
      </c>
      <c r="BH705" s="209">
        <v>1.5</v>
      </c>
      <c r="BI705" s="208">
        <v>0.6081504702194358</v>
      </c>
      <c r="BJ705" s="209">
        <v>1164.0000000000002</v>
      </c>
      <c r="BK705" s="210">
        <v>2.5</v>
      </c>
      <c r="BL705" s="210">
        <v>4</v>
      </c>
      <c r="BM705" s="210">
        <v>0</v>
      </c>
      <c r="BN705" s="208">
        <v>0</v>
      </c>
      <c r="BO705" s="352">
        <v>0</v>
      </c>
      <c r="BP705" s="208">
        <v>1</v>
      </c>
      <c r="BQ705" s="209">
        <v>319</v>
      </c>
      <c r="BR705" s="210">
        <v>319</v>
      </c>
      <c r="BS705" s="212">
        <v>0</v>
      </c>
      <c r="BT705" s="352" t="s">
        <v>103</v>
      </c>
      <c r="BU705" s="209">
        <v>1500</v>
      </c>
      <c r="BV705" s="209">
        <v>0</v>
      </c>
      <c r="BW705" s="209">
        <v>1</v>
      </c>
      <c r="BX705" s="209">
        <v>0</v>
      </c>
      <c r="BY705" s="209">
        <v>0</v>
      </c>
      <c r="BZ705" s="208">
        <v>0</v>
      </c>
      <c r="CA705" s="212">
        <v>1</v>
      </c>
      <c r="CB705" s="211">
        <v>0.78369905956112851</v>
      </c>
      <c r="CC705" s="211">
        <v>0</v>
      </c>
      <c r="CD705" s="211">
        <v>0</v>
      </c>
      <c r="CE705" s="210">
        <v>0</v>
      </c>
      <c r="CF705" s="210">
        <v>0</v>
      </c>
      <c r="CG705" s="210">
        <v>0</v>
      </c>
      <c r="CH705" s="209">
        <v>0</v>
      </c>
      <c r="CI705" s="139">
        <v>0</v>
      </c>
      <c r="CJ705" s="139">
        <v>0</v>
      </c>
      <c r="CK705" s="139" t="s">
        <v>969</v>
      </c>
      <c r="CL705" s="139" t="s">
        <v>969</v>
      </c>
      <c r="CM705" s="139" t="s">
        <v>969</v>
      </c>
      <c r="CN705" s="139" t="s">
        <v>966</v>
      </c>
      <c r="CO705" s="139">
        <v>20.099340438842798</v>
      </c>
      <c r="CP705" s="139">
        <v>92.989143371582003</v>
      </c>
      <c r="CQ705" s="139" t="s">
        <v>1621</v>
      </c>
      <c r="CR705" s="660" t="s">
        <v>40</v>
      </c>
      <c r="CS705" s="660"/>
      <c r="CT705" s="24"/>
      <c r="CU705" s="24"/>
      <c r="CV705" s="24"/>
    </row>
    <row r="706" spans="1:100" x14ac:dyDescent="0.25">
      <c r="A706" s="293" t="s">
        <v>2691</v>
      </c>
      <c r="B706" s="206" t="s">
        <v>426</v>
      </c>
      <c r="C706" s="183" t="s">
        <v>454</v>
      </c>
      <c r="D706" s="183" t="s">
        <v>563</v>
      </c>
      <c r="E706" s="183" t="s">
        <v>574</v>
      </c>
      <c r="F706" s="206">
        <v>1249</v>
      </c>
      <c r="G706" s="209">
        <v>4666</v>
      </c>
      <c r="H706" s="206"/>
      <c r="I706" s="206" t="s">
        <v>2910</v>
      </c>
      <c r="J706" s="207" t="s">
        <v>2911</v>
      </c>
      <c r="K706" s="206">
        <v>0</v>
      </c>
      <c r="L706" s="206" t="s">
        <v>282</v>
      </c>
      <c r="M706" s="208">
        <v>0</v>
      </c>
      <c r="N706" s="208">
        <v>0</v>
      </c>
      <c r="O706" s="316">
        <v>0</v>
      </c>
      <c r="P706" s="317">
        <v>0</v>
      </c>
      <c r="Q706" s="317">
        <v>27983.516483516483</v>
      </c>
      <c r="R706" s="318">
        <v>5</v>
      </c>
      <c r="S706" s="318">
        <v>0</v>
      </c>
      <c r="T706" s="318">
        <v>0</v>
      </c>
      <c r="U706" s="318">
        <v>159</v>
      </c>
      <c r="V706" s="318">
        <v>159</v>
      </c>
      <c r="W706" s="318">
        <v>39</v>
      </c>
      <c r="X706" s="318">
        <v>26</v>
      </c>
      <c r="Y706" s="318">
        <v>0</v>
      </c>
      <c r="Z706" s="318"/>
      <c r="AA706" s="310">
        <v>135</v>
      </c>
      <c r="AB706" s="310">
        <v>19</v>
      </c>
      <c r="AC706" s="66">
        <v>154</v>
      </c>
      <c r="AD706" s="337" t="s">
        <v>2785</v>
      </c>
      <c r="AE706" s="310">
        <v>0</v>
      </c>
      <c r="AF706" s="310" t="s">
        <v>1358</v>
      </c>
      <c r="AG706" s="311" t="s">
        <v>283</v>
      </c>
      <c r="AH706" s="311">
        <v>12.985185185185186</v>
      </c>
      <c r="AI706" s="310">
        <v>0</v>
      </c>
      <c r="AJ706" s="310" t="s">
        <v>2464</v>
      </c>
      <c r="AK706" s="841">
        <v>0</v>
      </c>
      <c r="AL706" s="842" t="s">
        <v>284</v>
      </c>
      <c r="AM706" s="842">
        <v>0</v>
      </c>
      <c r="AN706" s="837">
        <v>0</v>
      </c>
      <c r="AO706" s="837">
        <v>10</v>
      </c>
      <c r="AP706" s="843">
        <v>1249</v>
      </c>
      <c r="AQ706" s="843">
        <v>1249</v>
      </c>
      <c r="AR706" s="843"/>
      <c r="AS706" s="843"/>
      <c r="AT706" s="843"/>
      <c r="AU706" s="843"/>
      <c r="AV706" s="844" t="s">
        <v>2786</v>
      </c>
      <c r="AW706" s="208">
        <v>1</v>
      </c>
      <c r="AX706" s="211">
        <v>0.66666666666666663</v>
      </c>
      <c r="AY706" s="210" t="s">
        <v>2577</v>
      </c>
      <c r="AZ706" s="211">
        <v>0.39982163857003117</v>
      </c>
      <c r="BA706" s="211">
        <v>0.39982163857003117</v>
      </c>
      <c r="BB706" s="211">
        <v>0.39982163857003117</v>
      </c>
      <c r="BC706" s="209">
        <v>1865.5677655677655</v>
      </c>
      <c r="BD706" s="211">
        <v>0.26789541363051866</v>
      </c>
      <c r="BE706" s="209">
        <v>1250</v>
      </c>
      <c r="BF706" s="211">
        <v>0.66771705220054978</v>
      </c>
      <c r="BG706" s="209">
        <v>3115.5677655677655</v>
      </c>
      <c r="BH706" s="214">
        <v>6</v>
      </c>
      <c r="BI706" s="208">
        <v>0.33228294779945022</v>
      </c>
      <c r="BJ706" s="209">
        <v>1550.4322344322347</v>
      </c>
      <c r="BK706" s="210">
        <v>3</v>
      </c>
      <c r="BL706" s="210">
        <v>9</v>
      </c>
      <c r="BM706" s="210">
        <v>154</v>
      </c>
      <c r="BN706" s="208">
        <v>0.57865409344192031</v>
      </c>
      <c r="BO706" s="352">
        <v>2700</v>
      </c>
      <c r="BP706" s="208">
        <v>0.33861980282897552</v>
      </c>
      <c r="BQ706" s="209">
        <v>79</v>
      </c>
      <c r="BR706" s="210">
        <v>233</v>
      </c>
      <c r="BS706" s="212">
        <v>0.12337662337662338</v>
      </c>
      <c r="BT706" s="352">
        <v>3080</v>
      </c>
      <c r="BU706" s="209">
        <v>4666</v>
      </c>
      <c r="BV706" s="209">
        <v>1</v>
      </c>
      <c r="BW706" s="209">
        <v>1</v>
      </c>
      <c r="BX706" s="209">
        <v>1</v>
      </c>
      <c r="BY706" s="209">
        <v>4666</v>
      </c>
      <c r="BZ706" s="208">
        <v>1</v>
      </c>
      <c r="CA706" s="212">
        <v>0</v>
      </c>
      <c r="CB706" s="211">
        <v>1</v>
      </c>
      <c r="CC706" s="211">
        <v>1</v>
      </c>
      <c r="CD706" s="211">
        <v>1</v>
      </c>
      <c r="CE706" s="210">
        <v>6245</v>
      </c>
      <c r="CF706" s="210">
        <v>6245</v>
      </c>
      <c r="CG706" s="210">
        <v>6245</v>
      </c>
      <c r="CH706" s="209">
        <v>0</v>
      </c>
      <c r="CI706" s="139" t="s">
        <v>48</v>
      </c>
      <c r="CJ706" s="139">
        <v>0</v>
      </c>
      <c r="CK706" s="139" t="s">
        <v>50</v>
      </c>
      <c r="CL706" s="139" t="s">
        <v>50</v>
      </c>
      <c r="CM706" s="139" t="s">
        <v>965</v>
      </c>
      <c r="CN706" s="139" t="s">
        <v>966</v>
      </c>
      <c r="CO706" s="139">
        <v>20.108101999999999</v>
      </c>
      <c r="CP706" s="139">
        <v>92.985095000000001</v>
      </c>
      <c r="CQ706" s="139" t="s">
        <v>1624</v>
      </c>
      <c r="CR706" s="660" t="s">
        <v>40</v>
      </c>
      <c r="CS706" s="660"/>
      <c r="CT706" s="24"/>
      <c r="CU706" s="24"/>
      <c r="CV706" s="24"/>
    </row>
    <row r="707" spans="1:100" x14ac:dyDescent="0.25">
      <c r="A707" s="293" t="s">
        <v>2691</v>
      </c>
      <c r="B707" s="132" t="s">
        <v>571</v>
      </c>
      <c r="C707" s="132" t="s">
        <v>454</v>
      </c>
      <c r="D707" s="132" t="s">
        <v>563</v>
      </c>
      <c r="E707" s="132" t="s">
        <v>572</v>
      </c>
      <c r="F707" s="132">
        <v>1341</v>
      </c>
      <c r="G707" s="214">
        <v>5938</v>
      </c>
      <c r="H707" s="132"/>
      <c r="I707" s="132" t="s">
        <v>388</v>
      </c>
      <c r="J707" s="133">
        <v>43373</v>
      </c>
      <c r="K707" s="132">
        <v>0</v>
      </c>
      <c r="L707" s="132" t="s">
        <v>282</v>
      </c>
      <c r="M707" s="134">
        <v>0</v>
      </c>
      <c r="N707" s="134">
        <v>0</v>
      </c>
      <c r="O707" s="320">
        <v>0</v>
      </c>
      <c r="P707" s="326">
        <v>0</v>
      </c>
      <c r="Q707" s="326">
        <v>81000</v>
      </c>
      <c r="R707" s="315">
        <v>2</v>
      </c>
      <c r="S707" s="315">
        <v>0</v>
      </c>
      <c r="T707" s="315"/>
      <c r="U707" s="315">
        <v>0</v>
      </c>
      <c r="V707" s="315">
        <v>0</v>
      </c>
      <c r="W707" s="315">
        <v>0</v>
      </c>
      <c r="X707" s="315">
        <v>0</v>
      </c>
      <c r="Y707" s="315">
        <v>0</v>
      </c>
      <c r="Z707" s="315"/>
      <c r="AA707" s="336">
        <v>144</v>
      </c>
      <c r="AB707" s="336">
        <v>84</v>
      </c>
      <c r="AC707" s="337">
        <v>44</v>
      </c>
      <c r="AD707" s="337" t="s">
        <v>2918</v>
      </c>
      <c r="AE707" s="336">
        <v>0</v>
      </c>
      <c r="AF707" s="336" t="s">
        <v>283</v>
      </c>
      <c r="AG707" s="339" t="s">
        <v>1358</v>
      </c>
      <c r="AH707" s="339">
        <v>0</v>
      </c>
      <c r="AI707" s="336">
        <v>0</v>
      </c>
      <c r="AJ707" s="336"/>
      <c r="AK707" s="848">
        <v>0</v>
      </c>
      <c r="AL707" s="836" t="s">
        <v>284</v>
      </c>
      <c r="AM707" s="836">
        <v>0</v>
      </c>
      <c r="AN707" s="837">
        <v>0</v>
      </c>
      <c r="AO707" s="837">
        <v>20</v>
      </c>
      <c r="AP707" s="839">
        <v>1341</v>
      </c>
      <c r="AQ707" s="839">
        <v>1341</v>
      </c>
      <c r="AR707" s="839" t="s">
        <v>282</v>
      </c>
      <c r="AS707" s="839"/>
      <c r="AT707" s="839">
        <v>20</v>
      </c>
      <c r="AU707" s="839">
        <v>102</v>
      </c>
      <c r="AV707" s="849"/>
      <c r="AW707" s="134" t="s">
        <v>3208</v>
      </c>
      <c r="AX707" s="136" t="s">
        <v>3208</v>
      </c>
      <c r="AY707" s="137" t="s">
        <v>2576</v>
      </c>
      <c r="AZ707" s="136">
        <v>0.90939710340181878</v>
      </c>
      <c r="BA707" s="136">
        <v>0.90939710340181878</v>
      </c>
      <c r="BB707" s="136">
        <v>0.90939710340181878</v>
      </c>
      <c r="BC707" s="214">
        <v>5400</v>
      </c>
      <c r="BD707" s="136">
        <v>8.4203435500168414E-2</v>
      </c>
      <c r="BE707" s="214">
        <v>500.00000000000006</v>
      </c>
      <c r="BF707" s="136">
        <v>0.99360053890198718</v>
      </c>
      <c r="BG707" s="214">
        <v>5900</v>
      </c>
      <c r="BH707" s="214">
        <v>11.8</v>
      </c>
      <c r="BI707" s="134">
        <v>6.3994610980128153E-3</v>
      </c>
      <c r="BJ707" s="214">
        <v>38.000000000000099</v>
      </c>
      <c r="BK707" s="137">
        <v>0.19999999999999929</v>
      </c>
      <c r="BL707" s="137">
        <v>12</v>
      </c>
      <c r="BM707" s="137">
        <v>228</v>
      </c>
      <c r="BN707" s="134">
        <v>0.48501178848097004</v>
      </c>
      <c r="BO707" s="351">
        <v>2880</v>
      </c>
      <c r="BP707" s="134">
        <v>0.23240148198046481</v>
      </c>
      <c r="BQ707" s="214">
        <v>69</v>
      </c>
      <c r="BR707" s="137">
        <v>297</v>
      </c>
      <c r="BS707" s="138">
        <v>0.36842105263157893</v>
      </c>
      <c r="BT707" s="351">
        <v>880</v>
      </c>
      <c r="BU707" s="214">
        <v>5938</v>
      </c>
      <c r="BV707" s="214">
        <v>1</v>
      </c>
      <c r="BW707" s="214">
        <v>1</v>
      </c>
      <c r="BX707" s="214">
        <v>1</v>
      </c>
      <c r="BY707" s="214">
        <v>5938</v>
      </c>
      <c r="BZ707" s="134">
        <v>1</v>
      </c>
      <c r="CA707" s="138">
        <v>0</v>
      </c>
      <c r="CB707" s="136">
        <v>1</v>
      </c>
      <c r="CC707" s="136">
        <v>1</v>
      </c>
      <c r="CD707" s="136">
        <v>1</v>
      </c>
      <c r="CE707" s="137">
        <v>6705</v>
      </c>
      <c r="CF707" s="137">
        <v>6705</v>
      </c>
      <c r="CG707" s="137">
        <v>6705</v>
      </c>
      <c r="CH707" s="214">
        <v>0</v>
      </c>
      <c r="CI707" s="139" t="s">
        <v>48</v>
      </c>
      <c r="CJ707" s="139">
        <v>0</v>
      </c>
      <c r="CK707" s="139" t="s">
        <v>50</v>
      </c>
      <c r="CL707" s="139" t="s">
        <v>50</v>
      </c>
      <c r="CM707" s="139" t="s">
        <v>965</v>
      </c>
      <c r="CN707" s="139" t="s">
        <v>966</v>
      </c>
      <c r="CO707" s="139">
        <v>20.090183</v>
      </c>
      <c r="CP707" s="139">
        <v>93.010368999999997</v>
      </c>
      <c r="CQ707" s="139" t="s">
        <v>1620</v>
      </c>
      <c r="CR707" s="449" t="s">
        <v>40</v>
      </c>
      <c r="CS707" s="449"/>
      <c r="CT707" s="24"/>
      <c r="CU707" s="24"/>
      <c r="CV707" s="24"/>
    </row>
    <row r="708" spans="1:100" x14ac:dyDescent="0.25">
      <c r="A708" s="293" t="s">
        <v>2691</v>
      </c>
      <c r="B708" s="206" t="s">
        <v>426</v>
      </c>
      <c r="C708" s="183" t="s">
        <v>454</v>
      </c>
      <c r="D708" s="183" t="s">
        <v>563</v>
      </c>
      <c r="E708" s="183" t="s">
        <v>568</v>
      </c>
      <c r="F708" s="206">
        <v>1010</v>
      </c>
      <c r="G708" s="209">
        <v>4588</v>
      </c>
      <c r="H708" s="206"/>
      <c r="I708" s="206" t="s">
        <v>2910</v>
      </c>
      <c r="J708" s="207" t="s">
        <v>2911</v>
      </c>
      <c r="K708" s="206">
        <v>0</v>
      </c>
      <c r="L708" s="206" t="s">
        <v>282</v>
      </c>
      <c r="M708" s="208">
        <v>0</v>
      </c>
      <c r="N708" s="208">
        <v>0</v>
      </c>
      <c r="O708" s="316">
        <v>0</v>
      </c>
      <c r="P708" s="317">
        <v>0</v>
      </c>
      <c r="Q708" s="317">
        <v>0</v>
      </c>
      <c r="R708" s="318">
        <v>1</v>
      </c>
      <c r="S708" s="318">
        <v>0</v>
      </c>
      <c r="T708" s="318">
        <v>0</v>
      </c>
      <c r="U708" s="318">
        <v>0</v>
      </c>
      <c r="V708" s="318"/>
      <c r="W708" s="318">
        <v>38</v>
      </c>
      <c r="X708" s="318">
        <v>21</v>
      </c>
      <c r="Y708" s="318">
        <v>0</v>
      </c>
      <c r="Z708" s="318" t="s">
        <v>2784</v>
      </c>
      <c r="AA708" s="310">
        <v>105</v>
      </c>
      <c r="AB708" s="310">
        <v>27</v>
      </c>
      <c r="AC708" s="66">
        <v>132</v>
      </c>
      <c r="AD708" s="337" t="s">
        <v>2785</v>
      </c>
      <c r="AE708" s="310">
        <v>0</v>
      </c>
      <c r="AF708" s="310" t="s">
        <v>1358</v>
      </c>
      <c r="AG708" s="311" t="s">
        <v>1358</v>
      </c>
      <c r="AH708" s="311">
        <v>18.876190476190477</v>
      </c>
      <c r="AI708" s="310">
        <v>0</v>
      </c>
      <c r="AJ708" s="310"/>
      <c r="AK708" s="841">
        <v>0</v>
      </c>
      <c r="AL708" s="842" t="s">
        <v>284</v>
      </c>
      <c r="AM708" s="842">
        <v>0</v>
      </c>
      <c r="AN708" s="837">
        <v>0</v>
      </c>
      <c r="AO708" s="837">
        <v>9</v>
      </c>
      <c r="AP708" s="843">
        <v>1010</v>
      </c>
      <c r="AQ708" s="843">
        <v>1010</v>
      </c>
      <c r="AR708" s="843"/>
      <c r="AS708" s="843"/>
      <c r="AT708" s="843"/>
      <c r="AU708" s="843"/>
      <c r="AV708" s="844" t="s">
        <v>2786</v>
      </c>
      <c r="AW708" s="208" t="s">
        <v>3208</v>
      </c>
      <c r="AX708" s="211">
        <v>0.55263157894736847</v>
      </c>
      <c r="AY708" s="210" t="s">
        <v>2577</v>
      </c>
      <c r="AZ708" s="211">
        <v>0</v>
      </c>
      <c r="BA708" s="211">
        <v>0</v>
      </c>
      <c r="BB708" s="211">
        <v>0</v>
      </c>
      <c r="BC708" s="209">
        <v>0</v>
      </c>
      <c r="BD708" s="211">
        <v>5.4489973844812557E-2</v>
      </c>
      <c r="BE708" s="209">
        <v>250</v>
      </c>
      <c r="BF708" s="211">
        <v>5.4489973844812557E-2</v>
      </c>
      <c r="BG708" s="209">
        <v>250</v>
      </c>
      <c r="BH708" s="214">
        <v>1</v>
      </c>
      <c r="BI708" s="208">
        <v>0.94551002615518742</v>
      </c>
      <c r="BJ708" s="209">
        <v>4338</v>
      </c>
      <c r="BK708" s="210">
        <v>8</v>
      </c>
      <c r="BL708" s="210">
        <v>9</v>
      </c>
      <c r="BM708" s="210">
        <v>132</v>
      </c>
      <c r="BN708" s="208">
        <v>0.45771578029642546</v>
      </c>
      <c r="BO708" s="352">
        <v>2100</v>
      </c>
      <c r="BP708" s="208">
        <v>0.42284219703574544</v>
      </c>
      <c r="BQ708" s="209">
        <v>97</v>
      </c>
      <c r="BR708" s="210">
        <v>229</v>
      </c>
      <c r="BS708" s="212">
        <v>0.20454545454545456</v>
      </c>
      <c r="BT708" s="352">
        <v>2640</v>
      </c>
      <c r="BU708" s="209">
        <v>4500</v>
      </c>
      <c r="BV708" s="209">
        <v>1</v>
      </c>
      <c r="BW708" s="209">
        <v>1</v>
      </c>
      <c r="BX708" s="209">
        <v>1</v>
      </c>
      <c r="BY708" s="209">
        <v>4588</v>
      </c>
      <c r="BZ708" s="208">
        <v>1</v>
      </c>
      <c r="CA708" s="212">
        <v>0</v>
      </c>
      <c r="CB708" s="211">
        <v>0.98081952920662596</v>
      </c>
      <c r="CC708" s="211">
        <v>1</v>
      </c>
      <c r="CD708" s="211">
        <v>1</v>
      </c>
      <c r="CE708" s="210">
        <v>5050</v>
      </c>
      <c r="CF708" s="210">
        <v>5050</v>
      </c>
      <c r="CG708" s="210">
        <v>5050</v>
      </c>
      <c r="CH708" s="209">
        <v>0</v>
      </c>
      <c r="CI708" s="139" t="s">
        <v>48</v>
      </c>
      <c r="CJ708" s="139">
        <v>0</v>
      </c>
      <c r="CK708" s="139" t="s">
        <v>50</v>
      </c>
      <c r="CL708" s="139" t="s">
        <v>50</v>
      </c>
      <c r="CM708" s="139" t="s">
        <v>2396</v>
      </c>
      <c r="CN708" s="139" t="s">
        <v>966</v>
      </c>
      <c r="CO708" s="139">
        <v>20.073437999999999</v>
      </c>
      <c r="CP708" s="139">
        <v>93.154551999999995</v>
      </c>
      <c r="CQ708" s="139" t="s">
        <v>1616</v>
      </c>
      <c r="CR708" s="660" t="s">
        <v>40</v>
      </c>
      <c r="CS708" s="660"/>
      <c r="CT708" s="24"/>
      <c r="CU708" s="24"/>
      <c r="CV708" s="24"/>
    </row>
    <row r="709" spans="1:100" x14ac:dyDescent="0.25">
      <c r="A709" s="293" t="s">
        <v>2691</v>
      </c>
      <c r="B709" s="206" t="s">
        <v>426</v>
      </c>
      <c r="C709" s="183" t="s">
        <v>454</v>
      </c>
      <c r="D709" s="183" t="s">
        <v>563</v>
      </c>
      <c r="E709" s="183" t="s">
        <v>569</v>
      </c>
      <c r="F709" s="206">
        <v>905</v>
      </c>
      <c r="G709" s="209">
        <v>4086</v>
      </c>
      <c r="H709" s="206"/>
      <c r="I709" s="206" t="s">
        <v>2910</v>
      </c>
      <c r="J709" s="207" t="s">
        <v>2911</v>
      </c>
      <c r="K709" s="206">
        <v>0</v>
      </c>
      <c r="L709" s="206" t="s">
        <v>282</v>
      </c>
      <c r="M709" s="208">
        <v>0</v>
      </c>
      <c r="N709" s="208">
        <v>0</v>
      </c>
      <c r="O709" s="316">
        <v>0</v>
      </c>
      <c r="P709" s="317">
        <v>0</v>
      </c>
      <c r="Q709" s="317">
        <v>17648.351648351647</v>
      </c>
      <c r="R709" s="318">
        <v>3</v>
      </c>
      <c r="S709" s="318">
        <v>0</v>
      </c>
      <c r="T709" s="318">
        <v>0</v>
      </c>
      <c r="U709" s="318">
        <v>142</v>
      </c>
      <c r="V709" s="318">
        <v>142</v>
      </c>
      <c r="W709" s="318">
        <v>39</v>
      </c>
      <c r="X709" s="318">
        <v>16</v>
      </c>
      <c r="Y709" s="318">
        <v>0</v>
      </c>
      <c r="Z709" s="318"/>
      <c r="AA709" s="310">
        <v>110</v>
      </c>
      <c r="AB709" s="310">
        <v>12</v>
      </c>
      <c r="AC709" s="66">
        <v>122</v>
      </c>
      <c r="AD709" s="337" t="s">
        <v>2785</v>
      </c>
      <c r="AE709" s="310">
        <v>0</v>
      </c>
      <c r="AF709" s="310" t="s">
        <v>1358</v>
      </c>
      <c r="AG709" s="311" t="s">
        <v>1358</v>
      </c>
      <c r="AH709" s="311">
        <v>14.672727272727272</v>
      </c>
      <c r="AI709" s="310">
        <v>0</v>
      </c>
      <c r="AJ709" s="310"/>
      <c r="AK709" s="841">
        <v>0</v>
      </c>
      <c r="AL709" s="842" t="s">
        <v>284</v>
      </c>
      <c r="AM709" s="842">
        <v>0</v>
      </c>
      <c r="AN709" s="837">
        <v>0</v>
      </c>
      <c r="AO709" s="837">
        <v>10</v>
      </c>
      <c r="AP709" s="843">
        <v>905</v>
      </c>
      <c r="AQ709" s="843">
        <v>905</v>
      </c>
      <c r="AR709" s="843"/>
      <c r="AS709" s="843"/>
      <c r="AT709" s="843"/>
      <c r="AU709" s="843"/>
      <c r="AV709" s="844" t="s">
        <v>2786</v>
      </c>
      <c r="AW709" s="208">
        <v>1</v>
      </c>
      <c r="AX709" s="211">
        <v>0.41025641025641024</v>
      </c>
      <c r="AY709" s="210" t="s">
        <v>2577</v>
      </c>
      <c r="AZ709" s="211">
        <v>0.28794830556945089</v>
      </c>
      <c r="BA709" s="211">
        <v>0.28794830556945089</v>
      </c>
      <c r="BB709" s="211">
        <v>0.28794830556945089</v>
      </c>
      <c r="BC709" s="209">
        <v>1176.5567765567764</v>
      </c>
      <c r="BD709" s="211">
        <v>0.18355359765051396</v>
      </c>
      <c r="BE709" s="209">
        <v>750</v>
      </c>
      <c r="BF709" s="211">
        <v>0.47150190321996488</v>
      </c>
      <c r="BG709" s="209">
        <v>1926.5567765567764</v>
      </c>
      <c r="BH709" s="214">
        <v>4</v>
      </c>
      <c r="BI709" s="208">
        <v>0.52849809678003512</v>
      </c>
      <c r="BJ709" s="209">
        <v>2159.4432234432234</v>
      </c>
      <c r="BK709" s="210">
        <v>4</v>
      </c>
      <c r="BL709" s="210">
        <v>8</v>
      </c>
      <c r="BM709" s="210">
        <v>122</v>
      </c>
      <c r="BN709" s="208">
        <v>0.53842388644150763</v>
      </c>
      <c r="BO709" s="352">
        <v>2200</v>
      </c>
      <c r="BP709" s="208">
        <v>0.40137053352912383</v>
      </c>
      <c r="BQ709" s="209">
        <v>82</v>
      </c>
      <c r="BR709" s="210">
        <v>204</v>
      </c>
      <c r="BS709" s="212">
        <v>9.8360655737704916E-2</v>
      </c>
      <c r="BT709" s="352">
        <v>2440</v>
      </c>
      <c r="BU709" s="209">
        <v>4086</v>
      </c>
      <c r="BV709" s="209">
        <v>1</v>
      </c>
      <c r="BW709" s="209">
        <v>1</v>
      </c>
      <c r="BX709" s="209">
        <v>1</v>
      </c>
      <c r="BY709" s="209">
        <v>4086</v>
      </c>
      <c r="BZ709" s="208">
        <v>1</v>
      </c>
      <c r="CA709" s="212">
        <v>0</v>
      </c>
      <c r="CB709" s="211">
        <v>1</v>
      </c>
      <c r="CC709" s="211">
        <v>1</v>
      </c>
      <c r="CD709" s="211">
        <v>1</v>
      </c>
      <c r="CE709" s="210">
        <v>4525</v>
      </c>
      <c r="CF709" s="210">
        <v>4525</v>
      </c>
      <c r="CG709" s="210">
        <v>4525</v>
      </c>
      <c r="CH709" s="209">
        <v>0</v>
      </c>
      <c r="CI709" s="139" t="s">
        <v>48</v>
      </c>
      <c r="CJ709" s="139">
        <v>0</v>
      </c>
      <c r="CK709" s="139" t="s">
        <v>50</v>
      </c>
      <c r="CL709" s="139" t="s">
        <v>50</v>
      </c>
      <c r="CM709" s="139" t="s">
        <v>965</v>
      </c>
      <c r="CN709" s="139" t="s">
        <v>966</v>
      </c>
      <c r="CO709" s="139">
        <v>20.073437999999999</v>
      </c>
      <c r="CP709" s="139">
        <v>93.154551999999995</v>
      </c>
      <c r="CQ709" s="139" t="s">
        <v>1616</v>
      </c>
      <c r="CR709" s="660" t="s">
        <v>40</v>
      </c>
      <c r="CS709" s="660"/>
      <c r="CT709" s="24"/>
      <c r="CU709" s="24"/>
      <c r="CV709" s="24"/>
    </row>
    <row r="710" spans="1:100" x14ac:dyDescent="0.25">
      <c r="A710" s="293" t="s">
        <v>2691</v>
      </c>
      <c r="B710" s="132" t="s">
        <v>447</v>
      </c>
      <c r="C710" s="132" t="s">
        <v>454</v>
      </c>
      <c r="D710" s="132" t="s">
        <v>563</v>
      </c>
      <c r="E710" s="132" t="s">
        <v>570</v>
      </c>
      <c r="F710" s="132">
        <v>204</v>
      </c>
      <c r="G710" s="214">
        <v>1055</v>
      </c>
      <c r="H710" s="132"/>
      <c r="I710" s="132" t="s">
        <v>391</v>
      </c>
      <c r="J710" s="133">
        <v>43555</v>
      </c>
      <c r="K710" s="132">
        <v>0</v>
      </c>
      <c r="L710" s="132" t="s">
        <v>282</v>
      </c>
      <c r="M710" s="134">
        <v>0</v>
      </c>
      <c r="N710" s="134">
        <v>0</v>
      </c>
      <c r="O710" s="320">
        <v>0</v>
      </c>
      <c r="P710" s="326">
        <v>0</v>
      </c>
      <c r="Q710" s="326">
        <v>0</v>
      </c>
      <c r="R710" s="315">
        <v>2</v>
      </c>
      <c r="S710" s="315">
        <v>0</v>
      </c>
      <c r="T710" s="315"/>
      <c r="U710" s="315">
        <v>0</v>
      </c>
      <c r="V710" s="315">
        <v>0</v>
      </c>
      <c r="W710" s="315">
        <v>0</v>
      </c>
      <c r="X710" s="315">
        <v>0</v>
      </c>
      <c r="Y710" s="315">
        <v>0</v>
      </c>
      <c r="Z710" s="315"/>
      <c r="AA710" s="336">
        <v>45</v>
      </c>
      <c r="AB710" s="336">
        <v>20</v>
      </c>
      <c r="AC710" s="337">
        <v>0</v>
      </c>
      <c r="AD710" s="337"/>
      <c r="AE710" s="336">
        <v>70</v>
      </c>
      <c r="AF710" s="336" t="s">
        <v>332</v>
      </c>
      <c r="AG710" s="339" t="s">
        <v>332</v>
      </c>
      <c r="AH710" s="339">
        <v>0</v>
      </c>
      <c r="AI710" s="336">
        <v>0</v>
      </c>
      <c r="AJ710" s="336"/>
      <c r="AK710" s="848">
        <v>0</v>
      </c>
      <c r="AL710" s="836" t="s">
        <v>284</v>
      </c>
      <c r="AM710" s="836">
        <v>0</v>
      </c>
      <c r="AN710" s="837">
        <v>0</v>
      </c>
      <c r="AO710" s="837">
        <v>3</v>
      </c>
      <c r="AP710" s="839">
        <v>0</v>
      </c>
      <c r="AQ710" s="839">
        <v>0</v>
      </c>
      <c r="AR710" s="839"/>
      <c r="AS710" s="839"/>
      <c r="AT710" s="839"/>
      <c r="AU710" s="839"/>
      <c r="AV710" s="849"/>
      <c r="AW710" s="134" t="s">
        <v>3208</v>
      </c>
      <c r="AX710" s="136" t="s">
        <v>3208</v>
      </c>
      <c r="AY710" s="137" t="s">
        <v>2576</v>
      </c>
      <c r="AZ710" s="136">
        <v>0</v>
      </c>
      <c r="BA710" s="136">
        <v>0</v>
      </c>
      <c r="BB710" s="136">
        <v>0</v>
      </c>
      <c r="BC710" s="214">
        <v>0</v>
      </c>
      <c r="BD710" s="136">
        <v>0.47393364928909953</v>
      </c>
      <c r="BE710" s="214">
        <v>500</v>
      </c>
      <c r="BF710" s="136">
        <v>0.47393364928909953</v>
      </c>
      <c r="BG710" s="214">
        <v>500</v>
      </c>
      <c r="BH710" s="214">
        <v>1</v>
      </c>
      <c r="BI710" s="134">
        <v>0.52606635071090047</v>
      </c>
      <c r="BJ710" s="214">
        <v>555</v>
      </c>
      <c r="BK710" s="137">
        <v>1</v>
      </c>
      <c r="BL710" s="137">
        <v>2</v>
      </c>
      <c r="BM710" s="137">
        <v>65</v>
      </c>
      <c r="BN710" s="134">
        <v>0.25592417061611372</v>
      </c>
      <c r="BO710" s="351">
        <v>270</v>
      </c>
      <c r="BP710" s="134">
        <v>0.63127962085308054</v>
      </c>
      <c r="BQ710" s="214">
        <v>111</v>
      </c>
      <c r="BR710" s="137">
        <v>176</v>
      </c>
      <c r="BS710" s="138">
        <v>0.30769230769230771</v>
      </c>
      <c r="BT710" s="351" t="s">
        <v>103</v>
      </c>
      <c r="BU710" s="214">
        <v>1055</v>
      </c>
      <c r="BV710" s="214">
        <v>0</v>
      </c>
      <c r="BW710" s="214">
        <v>1</v>
      </c>
      <c r="BX710" s="214">
        <v>0</v>
      </c>
      <c r="BY710" s="214">
        <v>0</v>
      </c>
      <c r="BZ710" s="134">
        <v>0</v>
      </c>
      <c r="CA710" s="138">
        <v>1</v>
      </c>
      <c r="CB710" s="136">
        <v>1</v>
      </c>
      <c r="CC710" s="136">
        <v>0</v>
      </c>
      <c r="CD710" s="136">
        <v>0</v>
      </c>
      <c r="CE710" s="137">
        <v>0</v>
      </c>
      <c r="CF710" s="137">
        <v>0</v>
      </c>
      <c r="CG710" s="137">
        <v>0</v>
      </c>
      <c r="CH710" s="214">
        <v>0</v>
      </c>
      <c r="CI710" s="139">
        <v>0</v>
      </c>
      <c r="CJ710" s="139">
        <v>0</v>
      </c>
      <c r="CK710" s="139" t="s">
        <v>969</v>
      </c>
      <c r="CL710" s="139" t="s">
        <v>969</v>
      </c>
      <c r="CM710" s="139" t="s">
        <v>969</v>
      </c>
      <c r="CN710" s="139" t="s">
        <v>454</v>
      </c>
      <c r="CO710" s="139">
        <v>20.0839</v>
      </c>
      <c r="CP710" s="139">
        <v>92.993799999999993</v>
      </c>
      <c r="CQ710" s="139" t="s">
        <v>1618</v>
      </c>
      <c r="CR710" s="449" t="s">
        <v>40</v>
      </c>
      <c r="CS710" s="449"/>
      <c r="CT710" s="24"/>
      <c r="CU710" s="24"/>
      <c r="CV710" s="24"/>
    </row>
    <row r="711" spans="1:100" x14ac:dyDescent="0.25">
      <c r="A711" s="293" t="s">
        <v>2691</v>
      </c>
      <c r="B711" s="132" t="s">
        <v>447</v>
      </c>
      <c r="C711" s="132" t="s">
        <v>454</v>
      </c>
      <c r="D711" s="132" t="s">
        <v>563</v>
      </c>
      <c r="E711" s="132" t="s">
        <v>567</v>
      </c>
      <c r="F711" s="132">
        <v>744</v>
      </c>
      <c r="G711" s="214">
        <v>2810</v>
      </c>
      <c r="H711" s="132"/>
      <c r="I711" s="132" t="s">
        <v>391</v>
      </c>
      <c r="J711" s="133">
        <v>43555</v>
      </c>
      <c r="K711" s="132">
        <v>0</v>
      </c>
      <c r="L711" s="132" t="s">
        <v>282</v>
      </c>
      <c r="M711" s="134">
        <v>0</v>
      </c>
      <c r="N711" s="134">
        <v>0</v>
      </c>
      <c r="O711" s="320">
        <v>14</v>
      </c>
      <c r="P711" s="326">
        <v>0</v>
      </c>
      <c r="Q711" s="326">
        <v>64300</v>
      </c>
      <c r="R711" s="315">
        <v>0</v>
      </c>
      <c r="S711" s="315">
        <v>8</v>
      </c>
      <c r="T711" s="315"/>
      <c r="U711" s="315">
        <v>0</v>
      </c>
      <c r="V711" s="315">
        <v>0</v>
      </c>
      <c r="W711" s="315">
        <v>0</v>
      </c>
      <c r="X711" s="315">
        <v>0</v>
      </c>
      <c r="Y711" s="315">
        <v>0</v>
      </c>
      <c r="Z711" s="315"/>
      <c r="AA711" s="336">
        <v>350</v>
      </c>
      <c r="AB711" s="336">
        <v>16</v>
      </c>
      <c r="AC711" s="337">
        <v>25</v>
      </c>
      <c r="AD711" s="337"/>
      <c r="AE711" s="336">
        <v>366</v>
      </c>
      <c r="AF711" s="336" t="s">
        <v>283</v>
      </c>
      <c r="AG711" s="339" t="s">
        <v>283</v>
      </c>
      <c r="AH711" s="339">
        <v>4</v>
      </c>
      <c r="AI711" s="336">
        <v>2</v>
      </c>
      <c r="AJ711" s="336"/>
      <c r="AK711" s="848">
        <v>0.55000000000000004</v>
      </c>
      <c r="AL711" s="836" t="s">
        <v>291</v>
      </c>
      <c r="AM711" s="836">
        <v>660</v>
      </c>
      <c r="AN711" s="837">
        <v>0</v>
      </c>
      <c r="AO711" s="837">
        <v>7</v>
      </c>
      <c r="AP711" s="839">
        <v>720</v>
      </c>
      <c r="AQ711" s="839">
        <v>720</v>
      </c>
      <c r="AR711" s="839"/>
      <c r="AS711" s="839"/>
      <c r="AT711" s="839"/>
      <c r="AU711" s="839"/>
      <c r="AV711" s="849"/>
      <c r="AW711" s="134" t="s">
        <v>3208</v>
      </c>
      <c r="AX711" s="136" t="s">
        <v>3208</v>
      </c>
      <c r="AY711" s="137" t="s">
        <v>2576</v>
      </c>
      <c r="AZ711" s="136">
        <v>1</v>
      </c>
      <c r="BA711" s="136">
        <v>1</v>
      </c>
      <c r="BB711" s="136">
        <v>1</v>
      </c>
      <c r="BC711" s="214">
        <v>2810</v>
      </c>
      <c r="BD711" s="136">
        <v>0</v>
      </c>
      <c r="BE711" s="214">
        <v>0</v>
      </c>
      <c r="BF711" s="136">
        <v>1</v>
      </c>
      <c r="BG711" s="214">
        <v>2810</v>
      </c>
      <c r="BH711" s="214">
        <v>5.62</v>
      </c>
      <c r="BI711" s="134">
        <v>0</v>
      </c>
      <c r="BJ711" s="214">
        <v>0</v>
      </c>
      <c r="BK711" s="137">
        <v>0.37999999999999989</v>
      </c>
      <c r="BL711" s="137">
        <v>6</v>
      </c>
      <c r="BM711" s="137">
        <v>366</v>
      </c>
      <c r="BN711" s="134">
        <v>1</v>
      </c>
      <c r="BO711" s="351">
        <v>2810</v>
      </c>
      <c r="BP711" s="134">
        <v>0</v>
      </c>
      <c r="BQ711" s="214">
        <v>0</v>
      </c>
      <c r="BR711" s="137">
        <v>141</v>
      </c>
      <c r="BS711" s="138">
        <v>4.3715846994535519E-2</v>
      </c>
      <c r="BT711" s="351">
        <v>500</v>
      </c>
      <c r="BU711" s="214">
        <v>2810</v>
      </c>
      <c r="BV711" s="214">
        <v>0</v>
      </c>
      <c r="BW711" s="214">
        <v>1</v>
      </c>
      <c r="BX711" s="214">
        <v>0</v>
      </c>
      <c r="BY711" s="214">
        <v>0</v>
      </c>
      <c r="BZ711" s="134">
        <v>0</v>
      </c>
      <c r="CA711" s="138">
        <v>1</v>
      </c>
      <c r="CB711" s="136">
        <v>1</v>
      </c>
      <c r="CC711" s="136">
        <v>0.967741935483871</v>
      </c>
      <c r="CD711" s="136">
        <v>0.967741935483871</v>
      </c>
      <c r="CE711" s="137">
        <v>3600</v>
      </c>
      <c r="CF711" s="137">
        <v>3600</v>
      </c>
      <c r="CG711" s="137">
        <v>3600</v>
      </c>
      <c r="CH711" s="214">
        <v>409.20000000000005</v>
      </c>
      <c r="CI711" s="139" t="s">
        <v>48</v>
      </c>
      <c r="CJ711" s="139">
        <v>0</v>
      </c>
      <c r="CK711" s="139" t="s">
        <v>50</v>
      </c>
      <c r="CL711" s="139" t="s">
        <v>50</v>
      </c>
      <c r="CM711" s="139" t="s">
        <v>965</v>
      </c>
      <c r="CN711" s="139" t="s">
        <v>966</v>
      </c>
      <c r="CO711" s="139">
        <v>20.064226000000001</v>
      </c>
      <c r="CP711" s="139">
        <v>92.993758999999997</v>
      </c>
      <c r="CQ711" s="139" t="s">
        <v>1612</v>
      </c>
      <c r="CR711" s="449" t="s">
        <v>40</v>
      </c>
      <c r="CS711" s="449"/>
      <c r="CT711" s="24"/>
      <c r="CU711" s="24"/>
      <c r="CV711" s="24"/>
    </row>
    <row r="712" spans="1:100" x14ac:dyDescent="0.25">
      <c r="A712" s="293" t="s">
        <v>2691</v>
      </c>
      <c r="B712" s="132" t="s">
        <v>447</v>
      </c>
      <c r="C712" s="132" t="s">
        <v>454</v>
      </c>
      <c r="D712" s="132" t="s">
        <v>563</v>
      </c>
      <c r="E712" s="132" t="s">
        <v>566</v>
      </c>
      <c r="F712" s="132">
        <v>948</v>
      </c>
      <c r="G712" s="214">
        <v>3946</v>
      </c>
      <c r="H712" s="132"/>
      <c r="I712" s="132" t="s">
        <v>391</v>
      </c>
      <c r="J712" s="133">
        <v>43555</v>
      </c>
      <c r="K712" s="132">
        <v>0</v>
      </c>
      <c r="L712" s="132" t="s">
        <v>282</v>
      </c>
      <c r="M712" s="134">
        <v>0</v>
      </c>
      <c r="N712" s="134">
        <v>0</v>
      </c>
      <c r="O712" s="320">
        <v>50</v>
      </c>
      <c r="P712" s="326">
        <v>8</v>
      </c>
      <c r="Q712" s="326">
        <v>0</v>
      </c>
      <c r="R712" s="315">
        <v>0</v>
      </c>
      <c r="S712" s="315">
        <v>0</v>
      </c>
      <c r="T712" s="315"/>
      <c r="U712" s="315">
        <v>0</v>
      </c>
      <c r="V712" s="315">
        <v>0</v>
      </c>
      <c r="W712" s="315">
        <v>0</v>
      </c>
      <c r="X712" s="315">
        <v>0</v>
      </c>
      <c r="Y712" s="315">
        <v>0</v>
      </c>
      <c r="Z712" s="315"/>
      <c r="AA712" s="336">
        <v>243</v>
      </c>
      <c r="AB712" s="336">
        <v>97</v>
      </c>
      <c r="AC712" s="337">
        <v>0</v>
      </c>
      <c r="AD712" s="337"/>
      <c r="AE712" s="336">
        <v>340</v>
      </c>
      <c r="AF712" s="336" t="s">
        <v>332</v>
      </c>
      <c r="AG712" s="339" t="s">
        <v>283</v>
      </c>
      <c r="AH712" s="339">
        <v>0</v>
      </c>
      <c r="AI712" s="336">
        <v>0</v>
      </c>
      <c r="AJ712" s="336"/>
      <c r="AK712" s="848">
        <v>0.45</v>
      </c>
      <c r="AL712" s="836" t="s">
        <v>291</v>
      </c>
      <c r="AM712" s="836">
        <v>0</v>
      </c>
      <c r="AN712" s="837">
        <v>0</v>
      </c>
      <c r="AO712" s="837">
        <v>7</v>
      </c>
      <c r="AP712" s="839">
        <v>0</v>
      </c>
      <c r="AQ712" s="839">
        <v>0</v>
      </c>
      <c r="AR712" s="839"/>
      <c r="AS712" s="839"/>
      <c r="AT712" s="839"/>
      <c r="AU712" s="839"/>
      <c r="AV712" s="849"/>
      <c r="AW712" s="134" t="s">
        <v>3208</v>
      </c>
      <c r="AX712" s="136" t="s">
        <v>3208</v>
      </c>
      <c r="AY712" s="137" t="s">
        <v>2576</v>
      </c>
      <c r="AZ712" s="136">
        <v>1</v>
      </c>
      <c r="BA712" s="136">
        <v>1</v>
      </c>
      <c r="BB712" s="136">
        <v>1</v>
      </c>
      <c r="BC712" s="214">
        <v>3946</v>
      </c>
      <c r="BD712" s="136">
        <v>0</v>
      </c>
      <c r="BE712" s="214">
        <v>0</v>
      </c>
      <c r="BF712" s="136">
        <v>1</v>
      </c>
      <c r="BG712" s="214">
        <v>3946</v>
      </c>
      <c r="BH712" s="214">
        <v>7.8920000000000003</v>
      </c>
      <c r="BI712" s="134">
        <v>0</v>
      </c>
      <c r="BJ712" s="214">
        <v>0</v>
      </c>
      <c r="BK712" s="137">
        <v>0.10799999999999965</v>
      </c>
      <c r="BL712" s="137">
        <v>8</v>
      </c>
      <c r="BM712" s="137">
        <v>340</v>
      </c>
      <c r="BN712" s="134">
        <v>0.36948808920425746</v>
      </c>
      <c r="BO712" s="351">
        <v>1458</v>
      </c>
      <c r="BP712" s="134">
        <v>0.48352762290927526</v>
      </c>
      <c r="BQ712" s="214">
        <v>318</v>
      </c>
      <c r="BR712" s="137">
        <v>658</v>
      </c>
      <c r="BS712" s="138">
        <v>0.28529411764705881</v>
      </c>
      <c r="BT712" s="351" t="s">
        <v>103</v>
      </c>
      <c r="BU712" s="214">
        <v>3500</v>
      </c>
      <c r="BV712" s="214">
        <v>0</v>
      </c>
      <c r="BW712" s="214">
        <v>1</v>
      </c>
      <c r="BX712" s="214">
        <v>0</v>
      </c>
      <c r="BY712" s="214">
        <v>0</v>
      </c>
      <c r="BZ712" s="134">
        <v>0</v>
      </c>
      <c r="CA712" s="138">
        <v>1</v>
      </c>
      <c r="CB712" s="136">
        <v>0.88697415103902688</v>
      </c>
      <c r="CC712" s="136">
        <v>0</v>
      </c>
      <c r="CD712" s="136">
        <v>0</v>
      </c>
      <c r="CE712" s="137">
        <v>0</v>
      </c>
      <c r="CF712" s="137">
        <v>0</v>
      </c>
      <c r="CG712" s="137">
        <v>0</v>
      </c>
      <c r="CH712" s="214">
        <v>426.6</v>
      </c>
      <c r="CI712" s="139">
        <v>0</v>
      </c>
      <c r="CJ712" s="139">
        <v>0</v>
      </c>
      <c r="CK712" s="139" t="s">
        <v>969</v>
      </c>
      <c r="CL712" s="139" t="s">
        <v>969</v>
      </c>
      <c r="CM712" s="139" t="s">
        <v>969</v>
      </c>
      <c r="CN712" s="139" t="s">
        <v>966</v>
      </c>
      <c r="CO712" s="139">
        <v>20.0641</v>
      </c>
      <c r="CP712" s="139">
        <v>92.994600000000005</v>
      </c>
      <c r="CQ712" s="139" t="s">
        <v>1611</v>
      </c>
      <c r="CR712" s="449" t="s">
        <v>40</v>
      </c>
      <c r="CS712" s="449"/>
      <c r="CT712" s="24"/>
      <c r="CU712" s="24"/>
      <c r="CV712" s="24"/>
    </row>
    <row r="713" spans="1:100" x14ac:dyDescent="0.25">
      <c r="A713" s="293" t="s">
        <v>2691</v>
      </c>
      <c r="B713" s="132" t="s">
        <v>447</v>
      </c>
      <c r="C713" s="132" t="s">
        <v>454</v>
      </c>
      <c r="D713" s="132" t="s">
        <v>563</v>
      </c>
      <c r="E713" s="132" t="s">
        <v>564</v>
      </c>
      <c r="F713" s="132">
        <v>477</v>
      </c>
      <c r="G713" s="214">
        <v>2034</v>
      </c>
      <c r="H713" s="132"/>
      <c r="I713" s="132" t="s">
        <v>391</v>
      </c>
      <c r="J713" s="133">
        <v>43555</v>
      </c>
      <c r="K713" s="132">
        <v>0</v>
      </c>
      <c r="L713" s="132" t="s">
        <v>282</v>
      </c>
      <c r="M713" s="134">
        <v>0</v>
      </c>
      <c r="N713" s="134">
        <v>0</v>
      </c>
      <c r="O713" s="320">
        <v>15</v>
      </c>
      <c r="P713" s="326">
        <v>7</v>
      </c>
      <c r="Q713" s="326">
        <v>0</v>
      </c>
      <c r="R713" s="315">
        <v>2</v>
      </c>
      <c r="S713" s="315">
        <v>0</v>
      </c>
      <c r="T713" s="315"/>
      <c r="U713" s="315">
        <v>0</v>
      </c>
      <c r="V713" s="315">
        <v>0</v>
      </c>
      <c r="W713" s="315">
        <v>0</v>
      </c>
      <c r="X713" s="315">
        <v>0</v>
      </c>
      <c r="Y713" s="315">
        <v>0</v>
      </c>
      <c r="Z713" s="315"/>
      <c r="AA713" s="336">
        <v>102</v>
      </c>
      <c r="AB713" s="336">
        <v>74</v>
      </c>
      <c r="AC713" s="337">
        <v>0</v>
      </c>
      <c r="AD713" s="337"/>
      <c r="AE713" s="336">
        <v>176</v>
      </c>
      <c r="AF713" s="336" t="s">
        <v>332</v>
      </c>
      <c r="AG713" s="339" t="s">
        <v>283</v>
      </c>
      <c r="AH713" s="339">
        <v>0</v>
      </c>
      <c r="AI713" s="336">
        <v>0</v>
      </c>
      <c r="AJ713" s="336" t="s">
        <v>565</v>
      </c>
      <c r="AK713" s="848">
        <v>0</v>
      </c>
      <c r="AL713" s="836" t="s">
        <v>284</v>
      </c>
      <c r="AM713" s="836">
        <v>0</v>
      </c>
      <c r="AN713" s="837">
        <v>0</v>
      </c>
      <c r="AO713" s="837">
        <v>4</v>
      </c>
      <c r="AP713" s="839">
        <v>0</v>
      </c>
      <c r="AQ713" s="839">
        <v>0</v>
      </c>
      <c r="AR713" s="839"/>
      <c r="AS713" s="839"/>
      <c r="AT713" s="839"/>
      <c r="AU713" s="839"/>
      <c r="AV713" s="849"/>
      <c r="AW713" s="134" t="s">
        <v>3208</v>
      </c>
      <c r="AX713" s="136" t="s">
        <v>3208</v>
      </c>
      <c r="AY713" s="137" t="s">
        <v>2576</v>
      </c>
      <c r="AZ713" s="136">
        <v>1</v>
      </c>
      <c r="BA713" s="136">
        <v>1</v>
      </c>
      <c r="BB713" s="136">
        <v>1</v>
      </c>
      <c r="BC713" s="214">
        <v>2034</v>
      </c>
      <c r="BD713" s="136">
        <v>0.24582104228121926</v>
      </c>
      <c r="BE713" s="214">
        <v>500</v>
      </c>
      <c r="BF713" s="136">
        <v>1</v>
      </c>
      <c r="BG713" s="214">
        <v>2034</v>
      </c>
      <c r="BH713" s="214">
        <v>4.0679999999999996</v>
      </c>
      <c r="BI713" s="134">
        <v>0</v>
      </c>
      <c r="BJ713" s="214">
        <v>0</v>
      </c>
      <c r="BK713" s="137">
        <v>0</v>
      </c>
      <c r="BL713" s="137">
        <v>4</v>
      </c>
      <c r="BM713" s="137">
        <v>176</v>
      </c>
      <c r="BN713" s="134">
        <v>0.30088495575221241</v>
      </c>
      <c r="BO713" s="351">
        <v>612</v>
      </c>
      <c r="BP713" s="134">
        <v>0.4808259587020649</v>
      </c>
      <c r="BQ713" s="214">
        <v>163</v>
      </c>
      <c r="BR713" s="137">
        <v>339</v>
      </c>
      <c r="BS713" s="138">
        <v>0.42045454545454547</v>
      </c>
      <c r="BT713" s="351" t="s">
        <v>103</v>
      </c>
      <c r="BU713" s="214">
        <v>2000</v>
      </c>
      <c r="BV713" s="214">
        <v>0</v>
      </c>
      <c r="BW713" s="214">
        <v>1</v>
      </c>
      <c r="BX713" s="214">
        <v>0</v>
      </c>
      <c r="BY713" s="214">
        <v>0</v>
      </c>
      <c r="BZ713" s="134">
        <v>0</v>
      </c>
      <c r="CA713" s="138">
        <v>1</v>
      </c>
      <c r="CB713" s="136">
        <v>0.98328416912487704</v>
      </c>
      <c r="CC713" s="136">
        <v>0</v>
      </c>
      <c r="CD713" s="136">
        <v>0</v>
      </c>
      <c r="CE713" s="137">
        <v>0</v>
      </c>
      <c r="CF713" s="137">
        <v>0</v>
      </c>
      <c r="CG713" s="137">
        <v>0</v>
      </c>
      <c r="CH713" s="214">
        <v>0</v>
      </c>
      <c r="CI713" s="139">
        <v>0</v>
      </c>
      <c r="CJ713" s="139">
        <v>0</v>
      </c>
      <c r="CK713" s="139" t="s">
        <v>969</v>
      </c>
      <c r="CL713" s="139" t="s">
        <v>969</v>
      </c>
      <c r="CM713" s="139" t="s">
        <v>969</v>
      </c>
      <c r="CN713" s="139" t="s">
        <v>454</v>
      </c>
      <c r="CO713" s="139">
        <v>20.057860999999999</v>
      </c>
      <c r="CP713" s="139">
        <v>92.995181000000002</v>
      </c>
      <c r="CQ713" s="139" t="s">
        <v>1608</v>
      </c>
      <c r="CR713" s="449" t="s">
        <v>40</v>
      </c>
      <c r="CS713" s="449"/>
      <c r="CT713" s="24"/>
      <c r="CU713" s="24"/>
      <c r="CV713" s="24"/>
    </row>
    <row r="714" spans="1:100" x14ac:dyDescent="0.25">
      <c r="A714" s="293" t="s">
        <v>2691</v>
      </c>
      <c r="B714" s="206" t="s">
        <v>460</v>
      </c>
      <c r="C714" s="183" t="s">
        <v>454</v>
      </c>
      <c r="D714" s="183" t="s">
        <v>618</v>
      </c>
      <c r="E714" s="183" t="s">
        <v>650</v>
      </c>
      <c r="F714" s="206">
        <f>ROUND(WWWW[[#This Row],[Total PoP ]]/5,0)</f>
        <v>72</v>
      </c>
      <c r="G714" s="209">
        <v>360</v>
      </c>
      <c r="H714" s="206"/>
      <c r="I714" s="206"/>
      <c r="J714" s="207"/>
      <c r="K714" s="206"/>
      <c r="L714" s="206" t="s">
        <v>282</v>
      </c>
      <c r="M714" s="208">
        <v>0</v>
      </c>
      <c r="N714" s="208">
        <v>0</v>
      </c>
      <c r="O714" s="316">
        <v>0</v>
      </c>
      <c r="P714" s="317"/>
      <c r="Q714" s="317"/>
      <c r="R714" s="318"/>
      <c r="S714" s="318">
        <v>0</v>
      </c>
      <c r="T714" s="318"/>
      <c r="U714" s="318"/>
      <c r="V714" s="318"/>
      <c r="W714" s="318"/>
      <c r="X714" s="318"/>
      <c r="Y714" s="318"/>
      <c r="Z714" s="318"/>
      <c r="AA714" s="310">
        <v>5</v>
      </c>
      <c r="AB714" s="310"/>
      <c r="AC714" s="66"/>
      <c r="AD714" s="337"/>
      <c r="AE714" s="310">
        <v>0</v>
      </c>
      <c r="AF714" s="310" t="s">
        <v>286</v>
      </c>
      <c r="AG714" s="311" t="s">
        <v>286</v>
      </c>
      <c r="AH714" s="311"/>
      <c r="AI714" s="310"/>
      <c r="AJ714" s="310"/>
      <c r="AK714" s="841">
        <v>0</v>
      </c>
      <c r="AL714" s="842"/>
      <c r="AM714" s="842">
        <v>0</v>
      </c>
      <c r="AN714" s="837"/>
      <c r="AO714" s="837">
        <v>0</v>
      </c>
      <c r="AP714" s="843"/>
      <c r="AQ714" s="843"/>
      <c r="AR714" s="843"/>
      <c r="AS714" s="843"/>
      <c r="AT714" s="843"/>
      <c r="AU714" s="843"/>
      <c r="AV714" s="844"/>
      <c r="AW714" s="208" t="s">
        <v>3208</v>
      </c>
      <c r="AX714" s="211" t="s">
        <v>3208</v>
      </c>
      <c r="AY714" s="210" t="s">
        <v>2576</v>
      </c>
      <c r="AZ714" s="211">
        <v>0</v>
      </c>
      <c r="BA714" s="211">
        <v>0</v>
      </c>
      <c r="BB714" s="211">
        <v>0</v>
      </c>
      <c r="BC714" s="209">
        <v>0</v>
      </c>
      <c r="BD714" s="211">
        <v>0</v>
      </c>
      <c r="BE714" s="209">
        <v>0</v>
      </c>
      <c r="BF714" s="211">
        <v>0</v>
      </c>
      <c r="BG714" s="209">
        <v>0</v>
      </c>
      <c r="BH714" s="209">
        <v>0</v>
      </c>
      <c r="BI714" s="208">
        <v>1</v>
      </c>
      <c r="BJ714" s="209">
        <v>360</v>
      </c>
      <c r="BK714" s="210">
        <v>1</v>
      </c>
      <c r="BL714" s="210">
        <v>1</v>
      </c>
      <c r="BM714" s="210">
        <v>5</v>
      </c>
      <c r="BN714" s="208">
        <v>8.3333333333333329E-2</v>
      </c>
      <c r="BO714" s="352">
        <v>30</v>
      </c>
      <c r="BP714" s="208">
        <v>0.91666666666666663</v>
      </c>
      <c r="BQ714" s="209">
        <v>55</v>
      </c>
      <c r="BR714" s="210">
        <v>60</v>
      </c>
      <c r="BS714" s="212">
        <v>0</v>
      </c>
      <c r="BT714" s="352" t="s">
        <v>103</v>
      </c>
      <c r="BU714" s="209">
        <v>0</v>
      </c>
      <c r="BV714" s="209">
        <v>0</v>
      </c>
      <c r="BW714" s="209">
        <v>0</v>
      </c>
      <c r="BX714" s="209">
        <v>0</v>
      </c>
      <c r="BY714" s="209">
        <v>0</v>
      </c>
      <c r="BZ714" s="208">
        <v>0</v>
      </c>
      <c r="CA714" s="212">
        <v>1</v>
      </c>
      <c r="CB714" s="211">
        <v>0</v>
      </c>
      <c r="CC714" s="211">
        <v>0</v>
      </c>
      <c r="CD714" s="211">
        <v>0</v>
      </c>
      <c r="CE714" s="210">
        <v>0</v>
      </c>
      <c r="CF714" s="210">
        <v>0</v>
      </c>
      <c r="CG714" s="210">
        <v>0</v>
      </c>
      <c r="CH714" s="209">
        <v>0</v>
      </c>
      <c r="CI714" s="139">
        <v>0</v>
      </c>
      <c r="CJ714" s="139">
        <v>0</v>
      </c>
      <c r="CK714" s="139" t="s">
        <v>969</v>
      </c>
      <c r="CL714" s="139" t="s">
        <v>969</v>
      </c>
      <c r="CM714" s="139" t="s">
        <v>969</v>
      </c>
      <c r="CN714" s="139" t="s">
        <v>966</v>
      </c>
      <c r="CO714" s="139">
        <v>20.494340897000001</v>
      </c>
      <c r="CP714" s="139">
        <v>93.054298400999997</v>
      </c>
      <c r="CQ714" s="139" t="s">
        <v>1700</v>
      </c>
      <c r="CR714" s="660" t="s">
        <v>3209</v>
      </c>
      <c r="CS714" s="660"/>
      <c r="CT714" s="24"/>
      <c r="CU714" s="24"/>
      <c r="CV714" s="24"/>
    </row>
    <row r="715" spans="1:100" x14ac:dyDescent="0.25">
      <c r="A715" s="293" t="s">
        <v>2691</v>
      </c>
      <c r="B715" s="206" t="s">
        <v>460</v>
      </c>
      <c r="C715" s="183" t="s">
        <v>454</v>
      </c>
      <c r="D715" s="183" t="s">
        <v>618</v>
      </c>
      <c r="E715" s="183" t="s">
        <v>674</v>
      </c>
      <c r="F715" s="206">
        <f>ROUND(WWWW[[#This Row],[Total PoP ]]/5,0)</f>
        <v>324</v>
      </c>
      <c r="G715" s="209">
        <v>1618</v>
      </c>
      <c r="H715" s="206"/>
      <c r="I715" s="206"/>
      <c r="J715" s="207"/>
      <c r="K715" s="206"/>
      <c r="L715" s="206" t="s">
        <v>282</v>
      </c>
      <c r="M715" s="208">
        <v>0</v>
      </c>
      <c r="N715" s="208">
        <v>0</v>
      </c>
      <c r="O715" s="316">
        <v>0</v>
      </c>
      <c r="P715" s="317"/>
      <c r="Q715" s="317"/>
      <c r="R715" s="318"/>
      <c r="S715" s="318">
        <v>0</v>
      </c>
      <c r="T715" s="318"/>
      <c r="U715" s="318"/>
      <c r="V715" s="318"/>
      <c r="W715" s="318"/>
      <c r="X715" s="318"/>
      <c r="Y715" s="318"/>
      <c r="Z715" s="318"/>
      <c r="AA715" s="310">
        <v>45</v>
      </c>
      <c r="AB715" s="310"/>
      <c r="AC715" s="66"/>
      <c r="AD715" s="337"/>
      <c r="AE715" s="310">
        <v>0</v>
      </c>
      <c r="AF715" s="310" t="s">
        <v>286</v>
      </c>
      <c r="AG715" s="311" t="s">
        <v>286</v>
      </c>
      <c r="AH715" s="311"/>
      <c r="AI715" s="310"/>
      <c r="AJ715" s="310"/>
      <c r="AK715" s="841">
        <v>0</v>
      </c>
      <c r="AL715" s="842"/>
      <c r="AM715" s="842">
        <v>0</v>
      </c>
      <c r="AN715" s="837"/>
      <c r="AO715" s="837">
        <v>0</v>
      </c>
      <c r="AP715" s="843"/>
      <c r="AQ715" s="843"/>
      <c r="AR715" s="843"/>
      <c r="AS715" s="843"/>
      <c r="AT715" s="843"/>
      <c r="AU715" s="843"/>
      <c r="AV715" s="844"/>
      <c r="AW715" s="208" t="s">
        <v>3208</v>
      </c>
      <c r="AX715" s="211" t="s">
        <v>3208</v>
      </c>
      <c r="AY715" s="210" t="s">
        <v>2576</v>
      </c>
      <c r="AZ715" s="211">
        <v>0</v>
      </c>
      <c r="BA715" s="211">
        <v>0</v>
      </c>
      <c r="BB715" s="211">
        <v>0</v>
      </c>
      <c r="BC715" s="209">
        <v>0</v>
      </c>
      <c r="BD715" s="211">
        <v>0</v>
      </c>
      <c r="BE715" s="209">
        <v>0</v>
      </c>
      <c r="BF715" s="211">
        <v>0</v>
      </c>
      <c r="BG715" s="209">
        <v>0</v>
      </c>
      <c r="BH715" s="209">
        <v>0</v>
      </c>
      <c r="BI715" s="208">
        <v>1</v>
      </c>
      <c r="BJ715" s="209">
        <v>1618</v>
      </c>
      <c r="BK715" s="210">
        <v>3</v>
      </c>
      <c r="BL715" s="210">
        <v>3</v>
      </c>
      <c r="BM715" s="210">
        <v>45</v>
      </c>
      <c r="BN715" s="208">
        <v>0.1668726823238566</v>
      </c>
      <c r="BO715" s="352">
        <v>270</v>
      </c>
      <c r="BP715" s="208">
        <v>0.83436341161928296</v>
      </c>
      <c r="BQ715" s="209">
        <v>225</v>
      </c>
      <c r="BR715" s="210">
        <v>270</v>
      </c>
      <c r="BS715" s="212">
        <v>0</v>
      </c>
      <c r="BT715" s="352" t="s">
        <v>103</v>
      </c>
      <c r="BU715" s="209">
        <v>0</v>
      </c>
      <c r="BV715" s="209">
        <v>0</v>
      </c>
      <c r="BW715" s="209">
        <v>0</v>
      </c>
      <c r="BX715" s="209">
        <v>0</v>
      </c>
      <c r="BY715" s="209">
        <v>0</v>
      </c>
      <c r="BZ715" s="208">
        <v>0</v>
      </c>
      <c r="CA715" s="212">
        <v>1</v>
      </c>
      <c r="CB715" s="211">
        <v>0</v>
      </c>
      <c r="CC715" s="211">
        <v>0</v>
      </c>
      <c r="CD715" s="211">
        <v>0</v>
      </c>
      <c r="CE715" s="210">
        <v>0</v>
      </c>
      <c r="CF715" s="210">
        <v>0</v>
      </c>
      <c r="CG715" s="210">
        <v>0</v>
      </c>
      <c r="CH715" s="209">
        <v>0</v>
      </c>
      <c r="CI715" s="139">
        <v>0</v>
      </c>
      <c r="CJ715" s="139">
        <v>0</v>
      </c>
      <c r="CK715" s="139" t="s">
        <v>969</v>
      </c>
      <c r="CL715" s="139" t="s">
        <v>969</v>
      </c>
      <c r="CM715" s="139" t="s">
        <v>969</v>
      </c>
      <c r="CN715" s="139" t="s">
        <v>966</v>
      </c>
      <c r="CO715" s="139">
        <v>20.608819961999998</v>
      </c>
      <c r="CP715" s="139">
        <v>93.022407532000003</v>
      </c>
      <c r="CQ715" s="139" t="s">
        <v>1732</v>
      </c>
      <c r="CR715" s="660" t="s">
        <v>3209</v>
      </c>
      <c r="CS715" s="660"/>
      <c r="CT715" s="24"/>
      <c r="CU715" s="24"/>
      <c r="CV715" s="24"/>
    </row>
    <row r="716" spans="1:100" x14ac:dyDescent="0.25">
      <c r="A716" s="293" t="s">
        <v>2691</v>
      </c>
      <c r="B716" s="206" t="s">
        <v>460</v>
      </c>
      <c r="C716" s="183" t="s">
        <v>454</v>
      </c>
      <c r="D716" s="183" t="s">
        <v>618</v>
      </c>
      <c r="E716" s="183" t="s">
        <v>675</v>
      </c>
      <c r="F716" s="206">
        <f>ROUND(WWWW[[#This Row],[Total PoP ]]/5,0)</f>
        <v>149</v>
      </c>
      <c r="G716" s="209">
        <v>747</v>
      </c>
      <c r="H716" s="206"/>
      <c r="I716" s="206"/>
      <c r="J716" s="207"/>
      <c r="K716" s="206"/>
      <c r="L716" s="206" t="s">
        <v>282</v>
      </c>
      <c r="M716" s="208">
        <v>0</v>
      </c>
      <c r="N716" s="208">
        <v>0</v>
      </c>
      <c r="O716" s="316">
        <v>0</v>
      </c>
      <c r="P716" s="317"/>
      <c r="Q716" s="317"/>
      <c r="R716" s="318"/>
      <c r="S716" s="318">
        <v>0</v>
      </c>
      <c r="T716" s="318"/>
      <c r="U716" s="318"/>
      <c r="V716" s="318"/>
      <c r="W716" s="318"/>
      <c r="X716" s="318"/>
      <c r="Y716" s="318"/>
      <c r="Z716" s="318"/>
      <c r="AA716" s="310">
        <v>0</v>
      </c>
      <c r="AB716" s="310"/>
      <c r="AC716" s="66"/>
      <c r="AD716" s="337"/>
      <c r="AE716" s="310">
        <v>0</v>
      </c>
      <c r="AF716" s="310" t="s">
        <v>286</v>
      </c>
      <c r="AG716" s="311" t="s">
        <v>286</v>
      </c>
      <c r="AH716" s="311"/>
      <c r="AI716" s="310"/>
      <c r="AJ716" s="310"/>
      <c r="AK716" s="841">
        <v>0</v>
      </c>
      <c r="AL716" s="842"/>
      <c r="AM716" s="842">
        <v>0</v>
      </c>
      <c r="AN716" s="837"/>
      <c r="AO716" s="837">
        <v>0</v>
      </c>
      <c r="AP716" s="843"/>
      <c r="AQ716" s="843"/>
      <c r="AR716" s="843"/>
      <c r="AS716" s="843"/>
      <c r="AT716" s="843"/>
      <c r="AU716" s="843"/>
      <c r="AV716" s="844"/>
      <c r="AW716" s="208" t="s">
        <v>3208</v>
      </c>
      <c r="AX716" s="211" t="s">
        <v>3208</v>
      </c>
      <c r="AY716" s="210" t="s">
        <v>2576</v>
      </c>
      <c r="AZ716" s="211">
        <v>0</v>
      </c>
      <c r="BA716" s="211">
        <v>0</v>
      </c>
      <c r="BB716" s="211">
        <v>0</v>
      </c>
      <c r="BC716" s="209">
        <v>0</v>
      </c>
      <c r="BD716" s="211">
        <v>0</v>
      </c>
      <c r="BE716" s="209">
        <v>0</v>
      </c>
      <c r="BF716" s="211">
        <v>0</v>
      </c>
      <c r="BG716" s="209">
        <v>0</v>
      </c>
      <c r="BH716" s="209">
        <v>0</v>
      </c>
      <c r="BI716" s="208">
        <v>1</v>
      </c>
      <c r="BJ716" s="209">
        <v>747</v>
      </c>
      <c r="BK716" s="210">
        <v>1</v>
      </c>
      <c r="BL716" s="210">
        <v>1</v>
      </c>
      <c r="BM716" s="210">
        <v>0</v>
      </c>
      <c r="BN716" s="208">
        <v>0</v>
      </c>
      <c r="BO716" s="352">
        <v>0</v>
      </c>
      <c r="BP716" s="208">
        <v>1</v>
      </c>
      <c r="BQ716" s="209">
        <v>125</v>
      </c>
      <c r="BR716" s="210">
        <v>125</v>
      </c>
      <c r="BS716" s="212">
        <v>0</v>
      </c>
      <c r="BT716" s="352" t="s">
        <v>103</v>
      </c>
      <c r="BU716" s="209">
        <v>0</v>
      </c>
      <c r="BV716" s="209">
        <v>0</v>
      </c>
      <c r="BW716" s="209">
        <v>0</v>
      </c>
      <c r="BX716" s="209">
        <v>0</v>
      </c>
      <c r="BY716" s="209">
        <v>0</v>
      </c>
      <c r="BZ716" s="208">
        <v>0</v>
      </c>
      <c r="CA716" s="212">
        <v>1</v>
      </c>
      <c r="CB716" s="211">
        <v>0</v>
      </c>
      <c r="CC716" s="211">
        <v>0</v>
      </c>
      <c r="CD716" s="211">
        <v>0</v>
      </c>
      <c r="CE716" s="210">
        <v>0</v>
      </c>
      <c r="CF716" s="210">
        <v>0</v>
      </c>
      <c r="CG716" s="210">
        <v>0</v>
      </c>
      <c r="CH716" s="209">
        <v>0</v>
      </c>
      <c r="CI716" s="139">
        <v>0</v>
      </c>
      <c r="CJ716" s="139">
        <v>0</v>
      </c>
      <c r="CK716" s="139" t="s">
        <v>969</v>
      </c>
      <c r="CL716" s="139" t="s">
        <v>969</v>
      </c>
      <c r="CM716" s="139" t="s">
        <v>969</v>
      </c>
      <c r="CN716" s="139" t="s">
        <v>454</v>
      </c>
      <c r="CO716" s="139">
        <v>20.630609511999999</v>
      </c>
      <c r="CP716" s="139">
        <v>92.998641968000001</v>
      </c>
      <c r="CQ716" s="139" t="s">
        <v>1734</v>
      </c>
      <c r="CR716" s="660" t="s">
        <v>3209</v>
      </c>
      <c r="CS716" s="660"/>
      <c r="CT716" s="24"/>
      <c r="CU716" s="24"/>
      <c r="CV716" s="24"/>
    </row>
    <row r="717" spans="1:100" x14ac:dyDescent="0.25">
      <c r="A717" s="293" t="s">
        <v>2691</v>
      </c>
      <c r="B717" s="206" t="s">
        <v>460</v>
      </c>
      <c r="C717" s="183" t="s">
        <v>454</v>
      </c>
      <c r="D717" s="183" t="s">
        <v>618</v>
      </c>
      <c r="E717" s="183" t="s">
        <v>681</v>
      </c>
      <c r="F717" s="206">
        <f>ROUND(WWWW[[#This Row],[Total PoP ]]/5,0)</f>
        <v>83</v>
      </c>
      <c r="G717" s="209">
        <v>417</v>
      </c>
      <c r="H717" s="206"/>
      <c r="I717" s="206"/>
      <c r="J717" s="207"/>
      <c r="K717" s="206"/>
      <c r="L717" s="206" t="s">
        <v>282</v>
      </c>
      <c r="M717" s="208">
        <v>0</v>
      </c>
      <c r="N717" s="208">
        <v>0</v>
      </c>
      <c r="O717" s="316">
        <v>0</v>
      </c>
      <c r="P717" s="317"/>
      <c r="Q717" s="317"/>
      <c r="R717" s="318"/>
      <c r="S717" s="318">
        <v>0</v>
      </c>
      <c r="T717" s="318"/>
      <c r="U717" s="318"/>
      <c r="V717" s="318"/>
      <c r="W717" s="318"/>
      <c r="X717" s="318"/>
      <c r="Y717" s="318"/>
      <c r="Z717" s="318"/>
      <c r="AA717" s="310">
        <v>10</v>
      </c>
      <c r="AB717" s="310"/>
      <c r="AC717" s="66"/>
      <c r="AD717" s="337"/>
      <c r="AE717" s="310">
        <v>0</v>
      </c>
      <c r="AF717" s="310" t="s">
        <v>286</v>
      </c>
      <c r="AG717" s="311" t="s">
        <v>286</v>
      </c>
      <c r="AH717" s="311"/>
      <c r="AI717" s="310"/>
      <c r="AJ717" s="310"/>
      <c r="AK717" s="841">
        <v>0</v>
      </c>
      <c r="AL717" s="842"/>
      <c r="AM717" s="842">
        <v>0</v>
      </c>
      <c r="AN717" s="837"/>
      <c r="AO717" s="837">
        <v>0</v>
      </c>
      <c r="AP717" s="843"/>
      <c r="AQ717" s="843"/>
      <c r="AR717" s="843"/>
      <c r="AS717" s="843"/>
      <c r="AT717" s="843"/>
      <c r="AU717" s="843"/>
      <c r="AV717" s="844"/>
      <c r="AW717" s="208" t="s">
        <v>3208</v>
      </c>
      <c r="AX717" s="211" t="s">
        <v>3208</v>
      </c>
      <c r="AY717" s="210" t="s">
        <v>2576</v>
      </c>
      <c r="AZ717" s="211">
        <v>0</v>
      </c>
      <c r="BA717" s="211">
        <v>0</v>
      </c>
      <c r="BB717" s="211">
        <v>0</v>
      </c>
      <c r="BC717" s="209">
        <v>0</v>
      </c>
      <c r="BD717" s="211">
        <v>0</v>
      </c>
      <c r="BE717" s="209">
        <v>0</v>
      </c>
      <c r="BF717" s="211">
        <v>0</v>
      </c>
      <c r="BG717" s="209">
        <v>0</v>
      </c>
      <c r="BH717" s="209">
        <v>0</v>
      </c>
      <c r="BI717" s="208">
        <v>1</v>
      </c>
      <c r="BJ717" s="209">
        <v>417</v>
      </c>
      <c r="BK717" s="210">
        <v>1</v>
      </c>
      <c r="BL717" s="210">
        <v>1</v>
      </c>
      <c r="BM717" s="210">
        <v>10</v>
      </c>
      <c r="BN717" s="208">
        <v>0.14388489208633093</v>
      </c>
      <c r="BO717" s="352">
        <v>60</v>
      </c>
      <c r="BP717" s="208">
        <v>0.86330935251798557</v>
      </c>
      <c r="BQ717" s="209">
        <v>60</v>
      </c>
      <c r="BR717" s="210">
        <v>70</v>
      </c>
      <c r="BS717" s="212">
        <v>0</v>
      </c>
      <c r="BT717" s="352" t="s">
        <v>103</v>
      </c>
      <c r="BU717" s="209">
        <v>0</v>
      </c>
      <c r="BV717" s="209">
        <v>0</v>
      </c>
      <c r="BW717" s="209">
        <v>0</v>
      </c>
      <c r="BX717" s="209">
        <v>0</v>
      </c>
      <c r="BY717" s="209">
        <v>0</v>
      </c>
      <c r="BZ717" s="208">
        <v>0</v>
      </c>
      <c r="CA717" s="212">
        <v>1</v>
      </c>
      <c r="CB717" s="211">
        <v>0</v>
      </c>
      <c r="CC717" s="211">
        <v>0</v>
      </c>
      <c r="CD717" s="211">
        <v>0</v>
      </c>
      <c r="CE717" s="210">
        <v>0</v>
      </c>
      <c r="CF717" s="210">
        <v>0</v>
      </c>
      <c r="CG717" s="210">
        <v>0</v>
      </c>
      <c r="CH717" s="209">
        <v>0</v>
      </c>
      <c r="CI717" s="139">
        <v>0</v>
      </c>
      <c r="CJ717" s="139">
        <v>0</v>
      </c>
      <c r="CK717" s="139" t="s">
        <v>969</v>
      </c>
      <c r="CL717" s="139" t="s">
        <v>969</v>
      </c>
      <c r="CM717" s="139" t="s">
        <v>969</v>
      </c>
      <c r="CN717" s="139" t="s">
        <v>454</v>
      </c>
      <c r="CO717" s="139">
        <v>20.645240783999999</v>
      </c>
      <c r="CP717" s="139">
        <v>92.939758300999998</v>
      </c>
      <c r="CQ717" s="139" t="s">
        <v>1741</v>
      </c>
      <c r="CR717" s="660" t="s">
        <v>3209</v>
      </c>
      <c r="CS717" s="660"/>
      <c r="CT717" s="24"/>
      <c r="CU717" s="24"/>
      <c r="CV717" s="24"/>
    </row>
    <row r="718" spans="1:100" x14ac:dyDescent="0.25">
      <c r="A718" s="293" t="s">
        <v>2691</v>
      </c>
      <c r="B718" s="206" t="s">
        <v>460</v>
      </c>
      <c r="C718" s="183" t="s">
        <v>454</v>
      </c>
      <c r="D718" s="183" t="s">
        <v>618</v>
      </c>
      <c r="E718" s="183" t="s">
        <v>647</v>
      </c>
      <c r="F718" s="206">
        <f>ROUND(WWWW[[#This Row],[Total PoP ]]/5,0)</f>
        <v>130</v>
      </c>
      <c r="G718" s="209">
        <v>650</v>
      </c>
      <c r="H718" s="206"/>
      <c r="I718" s="206"/>
      <c r="J718" s="207"/>
      <c r="K718" s="206"/>
      <c r="L718" s="206" t="s">
        <v>282</v>
      </c>
      <c r="M718" s="208">
        <v>0</v>
      </c>
      <c r="N718" s="208">
        <v>0</v>
      </c>
      <c r="O718" s="316">
        <v>0</v>
      </c>
      <c r="P718" s="317"/>
      <c r="Q718" s="317"/>
      <c r="R718" s="318"/>
      <c r="S718" s="318">
        <v>0</v>
      </c>
      <c r="T718" s="318"/>
      <c r="U718" s="318"/>
      <c r="V718" s="318"/>
      <c r="W718" s="318"/>
      <c r="X718" s="318"/>
      <c r="Y718" s="318"/>
      <c r="Z718" s="318"/>
      <c r="AA718" s="310">
        <v>23</v>
      </c>
      <c r="AB718" s="310"/>
      <c r="AC718" s="66"/>
      <c r="AD718" s="337"/>
      <c r="AE718" s="310">
        <v>0</v>
      </c>
      <c r="AF718" s="310" t="s">
        <v>286</v>
      </c>
      <c r="AG718" s="311" t="s">
        <v>286</v>
      </c>
      <c r="AH718" s="311"/>
      <c r="AI718" s="310"/>
      <c r="AJ718" s="310"/>
      <c r="AK718" s="841">
        <v>0</v>
      </c>
      <c r="AL718" s="842"/>
      <c r="AM718" s="842">
        <v>0</v>
      </c>
      <c r="AN718" s="837"/>
      <c r="AO718" s="837">
        <v>0</v>
      </c>
      <c r="AP718" s="843"/>
      <c r="AQ718" s="843"/>
      <c r="AR718" s="843"/>
      <c r="AS718" s="843"/>
      <c r="AT718" s="843"/>
      <c r="AU718" s="843"/>
      <c r="AV718" s="844"/>
      <c r="AW718" s="208" t="s">
        <v>3208</v>
      </c>
      <c r="AX718" s="211" t="s">
        <v>3208</v>
      </c>
      <c r="AY718" s="210" t="s">
        <v>2576</v>
      </c>
      <c r="AZ718" s="211">
        <v>0</v>
      </c>
      <c r="BA718" s="211">
        <v>0</v>
      </c>
      <c r="BB718" s="211">
        <v>0</v>
      </c>
      <c r="BC718" s="209">
        <v>0</v>
      </c>
      <c r="BD718" s="211">
        <v>0</v>
      </c>
      <c r="BE718" s="209">
        <v>0</v>
      </c>
      <c r="BF718" s="211">
        <v>0</v>
      </c>
      <c r="BG718" s="209">
        <v>0</v>
      </c>
      <c r="BH718" s="209">
        <v>0</v>
      </c>
      <c r="BI718" s="208">
        <v>1</v>
      </c>
      <c r="BJ718" s="209">
        <v>650</v>
      </c>
      <c r="BK718" s="210">
        <v>1</v>
      </c>
      <c r="BL718" s="210">
        <v>1</v>
      </c>
      <c r="BM718" s="210">
        <v>23</v>
      </c>
      <c r="BN718" s="208">
        <v>0.21230769230769231</v>
      </c>
      <c r="BO718" s="352">
        <v>138</v>
      </c>
      <c r="BP718" s="208">
        <v>0.7846153846153846</v>
      </c>
      <c r="BQ718" s="209">
        <v>85</v>
      </c>
      <c r="BR718" s="210">
        <v>108</v>
      </c>
      <c r="BS718" s="212">
        <v>0</v>
      </c>
      <c r="BT718" s="352" t="s">
        <v>103</v>
      </c>
      <c r="BU718" s="209">
        <v>0</v>
      </c>
      <c r="BV718" s="209">
        <v>0</v>
      </c>
      <c r="BW718" s="209">
        <v>0</v>
      </c>
      <c r="BX718" s="209">
        <v>0</v>
      </c>
      <c r="BY718" s="209">
        <v>0</v>
      </c>
      <c r="BZ718" s="208">
        <v>0</v>
      </c>
      <c r="CA718" s="212">
        <v>1</v>
      </c>
      <c r="CB718" s="211">
        <v>0</v>
      </c>
      <c r="CC718" s="211">
        <v>0</v>
      </c>
      <c r="CD718" s="211">
        <v>0</v>
      </c>
      <c r="CE718" s="210">
        <v>0</v>
      </c>
      <c r="CF718" s="210">
        <v>0</v>
      </c>
      <c r="CG718" s="210">
        <v>0</v>
      </c>
      <c r="CH718" s="209">
        <v>0</v>
      </c>
      <c r="CI718" s="139">
        <v>0</v>
      </c>
      <c r="CJ718" s="139">
        <v>0</v>
      </c>
      <c r="CK718" s="139" t="s">
        <v>969</v>
      </c>
      <c r="CL718" s="139" t="s">
        <v>969</v>
      </c>
      <c r="CM718" s="139" t="s">
        <v>969</v>
      </c>
      <c r="CN718" s="139" t="s">
        <v>454</v>
      </c>
      <c r="CO718" s="139">
        <v>20.482030868999999</v>
      </c>
      <c r="CP718" s="139">
        <v>93.045410156000003</v>
      </c>
      <c r="CQ718" s="139" t="s">
        <v>1698</v>
      </c>
      <c r="CR718" s="660" t="s">
        <v>3209</v>
      </c>
      <c r="CS718" s="660"/>
      <c r="CT718" s="24"/>
      <c r="CU718" s="24"/>
      <c r="CV718" s="24"/>
    </row>
    <row r="719" spans="1:100" x14ac:dyDescent="0.25">
      <c r="A719" s="293" t="s">
        <v>2691</v>
      </c>
      <c r="B719" s="183" t="s">
        <v>460</v>
      </c>
      <c r="C719" s="183" t="s">
        <v>454</v>
      </c>
      <c r="D719" s="183" t="s">
        <v>618</v>
      </c>
      <c r="E719" s="183" t="s">
        <v>676</v>
      </c>
      <c r="F719" s="206">
        <f>ROUND(WWWW[[#This Row],[Total PoP ]]/5,0)</f>
        <v>82</v>
      </c>
      <c r="G719" s="395">
        <v>408</v>
      </c>
      <c r="H719" s="183"/>
      <c r="I719" s="183"/>
      <c r="J719" s="184"/>
      <c r="K719" s="183"/>
      <c r="L719" s="206" t="s">
        <v>282</v>
      </c>
      <c r="M719" s="208">
        <v>0</v>
      </c>
      <c r="N719" s="208">
        <v>0</v>
      </c>
      <c r="O719" s="319">
        <v>0</v>
      </c>
      <c r="P719" s="320"/>
      <c r="Q719" s="324"/>
      <c r="R719" s="325"/>
      <c r="S719" s="325">
        <v>0</v>
      </c>
      <c r="T719" s="325"/>
      <c r="U719" s="315"/>
      <c r="V719" s="315"/>
      <c r="W719" s="315"/>
      <c r="X719" s="315"/>
      <c r="Y719" s="315"/>
      <c r="Z719" s="315"/>
      <c r="AA719" s="336">
        <v>0</v>
      </c>
      <c r="AB719" s="336"/>
      <c r="AC719" s="342"/>
      <c r="AD719" s="337"/>
      <c r="AE719" s="342">
        <v>0</v>
      </c>
      <c r="AF719" s="342" t="s">
        <v>286</v>
      </c>
      <c r="AG719" s="339" t="s">
        <v>286</v>
      </c>
      <c r="AH719" s="337"/>
      <c r="AI719" s="337"/>
      <c r="AJ719" s="342"/>
      <c r="AK719" s="851">
        <v>0</v>
      </c>
      <c r="AL719" s="855"/>
      <c r="AM719" s="836">
        <v>0</v>
      </c>
      <c r="AN719" s="837"/>
      <c r="AO719" s="837">
        <v>0</v>
      </c>
      <c r="AP719" s="843"/>
      <c r="AQ719" s="839"/>
      <c r="AR719" s="839"/>
      <c r="AS719" s="839"/>
      <c r="AT719" s="839"/>
      <c r="AU719" s="839"/>
      <c r="AV719" s="852"/>
      <c r="AW719" s="134" t="s">
        <v>3208</v>
      </c>
      <c r="AX719" s="136" t="s">
        <v>3208</v>
      </c>
      <c r="AY719" s="137" t="s">
        <v>2576</v>
      </c>
      <c r="AZ719" s="136">
        <v>0</v>
      </c>
      <c r="BA719" s="136">
        <v>0</v>
      </c>
      <c r="BB719" s="136">
        <v>0</v>
      </c>
      <c r="BC719" s="214">
        <v>0</v>
      </c>
      <c r="BD719" s="136">
        <v>0</v>
      </c>
      <c r="BE719" s="214">
        <v>0</v>
      </c>
      <c r="BF719" s="136">
        <v>0</v>
      </c>
      <c r="BG719" s="214">
        <v>0</v>
      </c>
      <c r="BH719" s="214">
        <v>0</v>
      </c>
      <c r="BI719" s="134">
        <v>1</v>
      </c>
      <c r="BJ719" s="214">
        <v>408</v>
      </c>
      <c r="BK719" s="137">
        <v>1</v>
      </c>
      <c r="BL719" s="137">
        <v>1</v>
      </c>
      <c r="BM719" s="137">
        <v>0</v>
      </c>
      <c r="BN719" s="134">
        <v>0</v>
      </c>
      <c r="BO719" s="351">
        <v>0</v>
      </c>
      <c r="BP719" s="134">
        <v>1</v>
      </c>
      <c r="BQ719" s="214">
        <v>68</v>
      </c>
      <c r="BR719" s="137">
        <v>68</v>
      </c>
      <c r="BS719" s="138">
        <v>0</v>
      </c>
      <c r="BT719" s="351" t="s">
        <v>103</v>
      </c>
      <c r="BU719" s="209">
        <v>0</v>
      </c>
      <c r="BV719" s="209">
        <v>0</v>
      </c>
      <c r="BW719" s="209">
        <v>0</v>
      </c>
      <c r="BX719" s="209">
        <v>0</v>
      </c>
      <c r="BY719" s="209">
        <v>0</v>
      </c>
      <c r="BZ719" s="134">
        <v>0</v>
      </c>
      <c r="CA719" s="138">
        <v>1</v>
      </c>
      <c r="CB719" s="136">
        <v>0</v>
      </c>
      <c r="CC719" s="136">
        <v>0</v>
      </c>
      <c r="CD719" s="136">
        <v>0</v>
      </c>
      <c r="CE719" s="137">
        <v>0</v>
      </c>
      <c r="CF719" s="137">
        <v>0</v>
      </c>
      <c r="CG719" s="351">
        <v>0</v>
      </c>
      <c r="CH719" s="214">
        <v>0</v>
      </c>
      <c r="CI719" s="139">
        <v>0</v>
      </c>
      <c r="CJ719" s="139">
        <v>0</v>
      </c>
      <c r="CK719" s="139" t="s">
        <v>969</v>
      </c>
      <c r="CL719" s="139" t="s">
        <v>969</v>
      </c>
      <c r="CM719" s="139" t="s">
        <v>969</v>
      </c>
      <c r="CN719" s="139" t="s">
        <v>454</v>
      </c>
      <c r="CO719" s="139">
        <v>20.632720946999999</v>
      </c>
      <c r="CP719" s="139">
        <v>92.940132141000007</v>
      </c>
      <c r="CQ719" s="139" t="s">
        <v>1735</v>
      </c>
      <c r="CR719" s="449" t="s">
        <v>3209</v>
      </c>
      <c r="CS719" s="139"/>
      <c r="CT719" s="24"/>
      <c r="CU719" s="24"/>
      <c r="CV719" s="24"/>
    </row>
    <row r="720" spans="1:100" x14ac:dyDescent="0.25">
      <c r="A720" s="293" t="s">
        <v>2691</v>
      </c>
      <c r="B720" s="206" t="s">
        <v>460</v>
      </c>
      <c r="C720" s="183" t="s">
        <v>454</v>
      </c>
      <c r="D720" s="183" t="s">
        <v>618</v>
      </c>
      <c r="E720" s="183" t="s">
        <v>673</v>
      </c>
      <c r="F720" s="206">
        <f>ROUND(WWWW[[#This Row],[Total PoP ]]/5,0)</f>
        <v>246</v>
      </c>
      <c r="G720" s="209">
        <v>1232</v>
      </c>
      <c r="H720" s="206"/>
      <c r="I720" s="206"/>
      <c r="J720" s="207"/>
      <c r="K720" s="206"/>
      <c r="L720" s="206" t="s">
        <v>282</v>
      </c>
      <c r="M720" s="208">
        <v>0</v>
      </c>
      <c r="N720" s="208">
        <v>0</v>
      </c>
      <c r="O720" s="316">
        <v>0</v>
      </c>
      <c r="P720" s="317"/>
      <c r="Q720" s="317"/>
      <c r="R720" s="318"/>
      <c r="S720" s="318">
        <v>0</v>
      </c>
      <c r="T720" s="318"/>
      <c r="U720" s="318"/>
      <c r="V720" s="318"/>
      <c r="W720" s="318"/>
      <c r="X720" s="318"/>
      <c r="Y720" s="318"/>
      <c r="Z720" s="318"/>
      <c r="AA720" s="310">
        <v>42</v>
      </c>
      <c r="AB720" s="310"/>
      <c r="AC720" s="66"/>
      <c r="AD720" s="337"/>
      <c r="AE720" s="310">
        <v>0</v>
      </c>
      <c r="AF720" s="310" t="s">
        <v>286</v>
      </c>
      <c r="AG720" s="311" t="s">
        <v>286</v>
      </c>
      <c r="AH720" s="311"/>
      <c r="AI720" s="310"/>
      <c r="AJ720" s="310"/>
      <c r="AK720" s="841">
        <v>0</v>
      </c>
      <c r="AL720" s="842"/>
      <c r="AM720" s="842">
        <v>0</v>
      </c>
      <c r="AN720" s="837"/>
      <c r="AO720" s="837">
        <v>0</v>
      </c>
      <c r="AP720" s="843"/>
      <c r="AQ720" s="843"/>
      <c r="AR720" s="843"/>
      <c r="AS720" s="843"/>
      <c r="AT720" s="843"/>
      <c r="AU720" s="843"/>
      <c r="AV720" s="844"/>
      <c r="AW720" s="208" t="s">
        <v>3208</v>
      </c>
      <c r="AX720" s="211" t="s">
        <v>3208</v>
      </c>
      <c r="AY720" s="210" t="s">
        <v>2576</v>
      </c>
      <c r="AZ720" s="211">
        <v>0</v>
      </c>
      <c r="BA720" s="211">
        <v>0</v>
      </c>
      <c r="BB720" s="211">
        <v>0</v>
      </c>
      <c r="BC720" s="209">
        <v>0</v>
      </c>
      <c r="BD720" s="211">
        <v>0</v>
      </c>
      <c r="BE720" s="209">
        <v>0</v>
      </c>
      <c r="BF720" s="211">
        <v>0</v>
      </c>
      <c r="BG720" s="209">
        <v>0</v>
      </c>
      <c r="BH720" s="209">
        <v>0</v>
      </c>
      <c r="BI720" s="208">
        <v>1</v>
      </c>
      <c r="BJ720" s="209">
        <v>1232</v>
      </c>
      <c r="BK720" s="210">
        <v>2</v>
      </c>
      <c r="BL720" s="210">
        <v>2</v>
      </c>
      <c r="BM720" s="210">
        <v>42</v>
      </c>
      <c r="BN720" s="208">
        <v>0.20454545454545456</v>
      </c>
      <c r="BO720" s="352">
        <v>252.00000000000003</v>
      </c>
      <c r="BP720" s="208">
        <v>0.79383116883116878</v>
      </c>
      <c r="BQ720" s="209">
        <v>163</v>
      </c>
      <c r="BR720" s="210">
        <v>205</v>
      </c>
      <c r="BS720" s="212">
        <v>0</v>
      </c>
      <c r="BT720" s="352" t="s">
        <v>103</v>
      </c>
      <c r="BU720" s="209">
        <v>0</v>
      </c>
      <c r="BV720" s="209">
        <v>0</v>
      </c>
      <c r="BW720" s="209">
        <v>0</v>
      </c>
      <c r="BX720" s="209">
        <v>0</v>
      </c>
      <c r="BY720" s="209">
        <v>0</v>
      </c>
      <c r="BZ720" s="208">
        <v>0</v>
      </c>
      <c r="CA720" s="212">
        <v>1</v>
      </c>
      <c r="CB720" s="211">
        <v>0</v>
      </c>
      <c r="CC720" s="211">
        <v>0</v>
      </c>
      <c r="CD720" s="211">
        <v>0</v>
      </c>
      <c r="CE720" s="210">
        <v>0</v>
      </c>
      <c r="CF720" s="210">
        <v>0</v>
      </c>
      <c r="CG720" s="210">
        <v>0</v>
      </c>
      <c r="CH720" s="209">
        <v>0</v>
      </c>
      <c r="CI720" s="139">
        <v>0</v>
      </c>
      <c r="CJ720" s="139">
        <v>0</v>
      </c>
      <c r="CK720" s="139" t="s">
        <v>969</v>
      </c>
      <c r="CL720" s="139" t="s">
        <v>969</v>
      </c>
      <c r="CM720" s="139" t="s">
        <v>969</v>
      </c>
      <c r="CN720" s="139" t="s">
        <v>454</v>
      </c>
      <c r="CO720" s="139">
        <v>20.596279144</v>
      </c>
      <c r="CP720" s="139">
        <v>92.987480164000004</v>
      </c>
      <c r="CQ720" s="139" t="s">
        <v>1730</v>
      </c>
      <c r="CR720" s="660" t="s">
        <v>3209</v>
      </c>
      <c r="CS720" s="660"/>
      <c r="CT720" s="24"/>
      <c r="CU720" s="24"/>
      <c r="CV720" s="24"/>
    </row>
    <row r="721" spans="1:100" x14ac:dyDescent="0.25">
      <c r="A721" s="293" t="s">
        <v>2691</v>
      </c>
      <c r="B721" s="101" t="s">
        <v>460</v>
      </c>
      <c r="C721" s="101" t="s">
        <v>454</v>
      </c>
      <c r="D721" s="101" t="s">
        <v>618</v>
      </c>
      <c r="E721" s="101" t="s">
        <v>619</v>
      </c>
      <c r="F721" s="206">
        <f>ROUND(WWWW[[#This Row],[Total PoP ]]/5,0)</f>
        <v>362</v>
      </c>
      <c r="G721" s="396">
        <v>1811</v>
      </c>
      <c r="H721" s="101"/>
      <c r="I721" s="101"/>
      <c r="J721" s="102"/>
      <c r="K721" s="101"/>
      <c r="L721" s="206" t="s">
        <v>282</v>
      </c>
      <c r="M721" s="208">
        <v>0</v>
      </c>
      <c r="N721" s="208">
        <v>0</v>
      </c>
      <c r="O721" s="320">
        <v>0</v>
      </c>
      <c r="P721" s="320">
        <v>4</v>
      </c>
      <c r="Q721" s="321"/>
      <c r="R721" s="322"/>
      <c r="S721" s="322">
        <v>0</v>
      </c>
      <c r="T721" s="322"/>
      <c r="U721" s="322"/>
      <c r="V721" s="322"/>
      <c r="W721" s="322"/>
      <c r="X721" s="322"/>
      <c r="Y721" s="315"/>
      <c r="Z721" s="318"/>
      <c r="AA721" s="310">
        <v>141</v>
      </c>
      <c r="AB721" s="311"/>
      <c r="AC721" s="337"/>
      <c r="AD721" s="337"/>
      <c r="AE721" s="340">
        <v>141</v>
      </c>
      <c r="AF721" s="66" t="s">
        <v>286</v>
      </c>
      <c r="AG721" s="66" t="s">
        <v>286</v>
      </c>
      <c r="AH721" s="66"/>
      <c r="AI721" s="66"/>
      <c r="AJ721" s="341"/>
      <c r="AK721" s="845">
        <v>0</v>
      </c>
      <c r="AL721" s="846"/>
      <c r="AM721" s="844">
        <v>0</v>
      </c>
      <c r="AN721" s="837"/>
      <c r="AO721" s="837">
        <v>0</v>
      </c>
      <c r="AP721" s="843"/>
      <c r="AQ721" s="843"/>
      <c r="AR721" s="843"/>
      <c r="AS721" s="843"/>
      <c r="AT721" s="843"/>
      <c r="AU721" s="843"/>
      <c r="AV721" s="847"/>
      <c r="AW721" s="134" t="s">
        <v>3208</v>
      </c>
      <c r="AX721" s="136" t="s">
        <v>3208</v>
      </c>
      <c r="AY721" s="137" t="s">
        <v>2576</v>
      </c>
      <c r="AZ721" s="136">
        <v>1</v>
      </c>
      <c r="BA721" s="136">
        <v>0.55218111540585313</v>
      </c>
      <c r="BB721" s="136">
        <v>0.55218111540585313</v>
      </c>
      <c r="BC721" s="214">
        <v>1000</v>
      </c>
      <c r="BD721" s="136">
        <v>0</v>
      </c>
      <c r="BE721" s="214">
        <v>0</v>
      </c>
      <c r="BF721" s="136">
        <v>0.55218111540585313</v>
      </c>
      <c r="BG721" s="214">
        <v>1000</v>
      </c>
      <c r="BH721" s="214">
        <v>2</v>
      </c>
      <c r="BI721" s="134">
        <v>0.44781888459414687</v>
      </c>
      <c r="BJ721" s="214">
        <v>811</v>
      </c>
      <c r="BK721" s="137">
        <v>2</v>
      </c>
      <c r="BL721" s="137">
        <v>4</v>
      </c>
      <c r="BM721" s="137">
        <v>141</v>
      </c>
      <c r="BN721" s="134">
        <v>0.46714522363335176</v>
      </c>
      <c r="BO721" s="351">
        <v>846</v>
      </c>
      <c r="BP721" s="134">
        <v>0.53340695748205413</v>
      </c>
      <c r="BQ721" s="214">
        <v>161</v>
      </c>
      <c r="BR721" s="137">
        <v>302</v>
      </c>
      <c r="BS721" s="138">
        <v>0</v>
      </c>
      <c r="BT721" s="351" t="s">
        <v>103</v>
      </c>
      <c r="BU721" s="209">
        <v>0</v>
      </c>
      <c r="BV721" s="209">
        <v>0</v>
      </c>
      <c r="BW721" s="209">
        <v>0</v>
      </c>
      <c r="BX721" s="209">
        <v>0</v>
      </c>
      <c r="BY721" s="209">
        <v>0</v>
      </c>
      <c r="BZ721" s="134">
        <v>0</v>
      </c>
      <c r="CA721" s="138">
        <v>1</v>
      </c>
      <c r="CB721" s="136">
        <v>0</v>
      </c>
      <c r="CC721" s="136">
        <v>0</v>
      </c>
      <c r="CD721" s="136">
        <v>0</v>
      </c>
      <c r="CE721" s="137">
        <v>0</v>
      </c>
      <c r="CF721" s="137">
        <v>0</v>
      </c>
      <c r="CG721" s="351">
        <v>0</v>
      </c>
      <c r="CH721" s="214">
        <v>0</v>
      </c>
      <c r="CI721" s="139">
        <v>0</v>
      </c>
      <c r="CJ721" s="139">
        <v>0</v>
      </c>
      <c r="CK721" s="139" t="s">
        <v>969</v>
      </c>
      <c r="CL721" s="139" t="s">
        <v>969</v>
      </c>
      <c r="CM721" s="139" t="s">
        <v>969</v>
      </c>
      <c r="CN721" s="139" t="s">
        <v>454</v>
      </c>
      <c r="CO721" s="139">
        <v>20.268000000000001</v>
      </c>
      <c r="CP721" s="139">
        <v>92.977999999999994</v>
      </c>
      <c r="CQ721" s="139" t="s">
        <v>1674</v>
      </c>
      <c r="CR721" s="449" t="s">
        <v>3209</v>
      </c>
      <c r="CS721" s="139"/>
      <c r="CT721" s="24"/>
      <c r="CU721" s="24"/>
      <c r="CV721" s="24"/>
    </row>
    <row r="722" spans="1:100" x14ac:dyDescent="0.25">
      <c r="A722" s="293" t="s">
        <v>2691</v>
      </c>
      <c r="B722" s="101" t="s">
        <v>460</v>
      </c>
      <c r="C722" s="101" t="s">
        <v>454</v>
      </c>
      <c r="D722" s="101" t="s">
        <v>618</v>
      </c>
      <c r="E722" s="101" t="s">
        <v>622</v>
      </c>
      <c r="F722" s="206">
        <f>ROUND(WWWW[[#This Row],[Total PoP ]]/5,0)</f>
        <v>139</v>
      </c>
      <c r="G722" s="396">
        <v>695</v>
      </c>
      <c r="H722" s="101"/>
      <c r="I722" s="101"/>
      <c r="J722" s="102"/>
      <c r="K722" s="101"/>
      <c r="L722" s="206" t="s">
        <v>282</v>
      </c>
      <c r="M722" s="208">
        <v>0</v>
      </c>
      <c r="N722" s="208">
        <v>0</v>
      </c>
      <c r="O722" s="320">
        <v>0</v>
      </c>
      <c r="P722" s="320">
        <v>0</v>
      </c>
      <c r="Q722" s="326"/>
      <c r="R722" s="315"/>
      <c r="S722" s="315">
        <v>0</v>
      </c>
      <c r="T722" s="315"/>
      <c r="U722" s="315"/>
      <c r="V722" s="315"/>
      <c r="W722" s="315"/>
      <c r="X722" s="315"/>
      <c r="Y722" s="315"/>
      <c r="Z722" s="315"/>
      <c r="AA722" s="336">
        <v>44</v>
      </c>
      <c r="AB722" s="336"/>
      <c r="AC722" s="337"/>
      <c r="AD722" s="337"/>
      <c r="AE722" s="336">
        <v>44</v>
      </c>
      <c r="AF722" s="336" t="s">
        <v>286</v>
      </c>
      <c r="AG722" s="339" t="s">
        <v>286</v>
      </c>
      <c r="AH722" s="337"/>
      <c r="AI722" s="337"/>
      <c r="AJ722" s="336"/>
      <c r="AK722" s="848">
        <v>0</v>
      </c>
      <c r="AL722" s="836"/>
      <c r="AM722" s="836">
        <v>0</v>
      </c>
      <c r="AN722" s="837"/>
      <c r="AO722" s="837">
        <v>0</v>
      </c>
      <c r="AP722" s="843"/>
      <c r="AQ722" s="839"/>
      <c r="AR722" s="839"/>
      <c r="AS722" s="839"/>
      <c r="AT722" s="839"/>
      <c r="AU722" s="839"/>
      <c r="AV722" s="849"/>
      <c r="AW722" s="134" t="s">
        <v>3208</v>
      </c>
      <c r="AX722" s="136" t="s">
        <v>3208</v>
      </c>
      <c r="AY722" s="137" t="s">
        <v>2576</v>
      </c>
      <c r="AZ722" s="136">
        <v>0</v>
      </c>
      <c r="BA722" s="136">
        <v>0</v>
      </c>
      <c r="BB722" s="136">
        <v>0</v>
      </c>
      <c r="BC722" s="214">
        <v>0</v>
      </c>
      <c r="BD722" s="136">
        <v>0</v>
      </c>
      <c r="BE722" s="214">
        <v>0</v>
      </c>
      <c r="BF722" s="136">
        <v>0</v>
      </c>
      <c r="BG722" s="214">
        <v>0</v>
      </c>
      <c r="BH722" s="214"/>
      <c r="BI722" s="134">
        <v>1</v>
      </c>
      <c r="BJ722" s="214">
        <v>695</v>
      </c>
      <c r="BK722" s="137">
        <v>1</v>
      </c>
      <c r="BL722" s="137">
        <v>1</v>
      </c>
      <c r="BM722" s="137">
        <v>44</v>
      </c>
      <c r="BN722" s="134">
        <v>0.37985611510791367</v>
      </c>
      <c r="BO722" s="351">
        <v>264</v>
      </c>
      <c r="BP722" s="134">
        <v>0.62158273381294971</v>
      </c>
      <c r="BQ722" s="214">
        <v>72</v>
      </c>
      <c r="BR722" s="137">
        <v>116</v>
      </c>
      <c r="BS722" s="138">
        <v>0</v>
      </c>
      <c r="BT722" s="351" t="s">
        <v>103</v>
      </c>
      <c r="BU722" s="209">
        <v>0</v>
      </c>
      <c r="BV722" s="209">
        <v>0</v>
      </c>
      <c r="BW722" s="209">
        <v>0</v>
      </c>
      <c r="BX722" s="209">
        <v>0</v>
      </c>
      <c r="BY722" s="209">
        <v>0</v>
      </c>
      <c r="BZ722" s="134">
        <v>0</v>
      </c>
      <c r="CA722" s="138">
        <v>1</v>
      </c>
      <c r="CB722" s="136">
        <v>0</v>
      </c>
      <c r="CC722" s="136">
        <v>0</v>
      </c>
      <c r="CD722" s="136">
        <v>0</v>
      </c>
      <c r="CE722" s="137">
        <v>0</v>
      </c>
      <c r="CF722" s="137">
        <v>0</v>
      </c>
      <c r="CG722" s="351">
        <v>0</v>
      </c>
      <c r="CH722" s="214">
        <v>0</v>
      </c>
      <c r="CI722" s="139">
        <v>0</v>
      </c>
      <c r="CJ722" s="139">
        <v>0</v>
      </c>
      <c r="CK722" s="139" t="s">
        <v>969</v>
      </c>
      <c r="CL722" s="139" t="s">
        <v>969</v>
      </c>
      <c r="CM722" s="139" t="s">
        <v>969</v>
      </c>
      <c r="CN722" s="139" t="s">
        <v>454</v>
      </c>
      <c r="CO722" s="139">
        <v>20.292100000000001</v>
      </c>
      <c r="CP722" s="139">
        <v>92.994100000000003</v>
      </c>
      <c r="CQ722" s="139" t="s">
        <v>1675</v>
      </c>
      <c r="CR722" s="449" t="s">
        <v>3209</v>
      </c>
      <c r="CS722" s="139"/>
      <c r="CT722" s="24"/>
      <c r="CU722" s="24"/>
      <c r="CV722" s="24"/>
    </row>
    <row r="723" spans="1:100" x14ac:dyDescent="0.25">
      <c r="A723" s="293" t="s">
        <v>2691</v>
      </c>
      <c r="B723" s="179" t="s">
        <v>460</v>
      </c>
      <c r="C723" s="179" t="s">
        <v>454</v>
      </c>
      <c r="D723" s="179" t="s">
        <v>618</v>
      </c>
      <c r="E723" s="179" t="s">
        <v>653</v>
      </c>
      <c r="F723" s="206">
        <f>ROUND(WWWW[[#This Row],[Total PoP ]]/5,0)</f>
        <v>91</v>
      </c>
      <c r="G723" s="397">
        <v>456</v>
      </c>
      <c r="H723" s="179"/>
      <c r="I723" s="179"/>
      <c r="J723" s="180"/>
      <c r="K723" s="179"/>
      <c r="L723" s="206" t="s">
        <v>282</v>
      </c>
      <c r="M723" s="208">
        <v>0</v>
      </c>
      <c r="N723" s="208">
        <v>0</v>
      </c>
      <c r="O723" s="319">
        <v>0</v>
      </c>
      <c r="P723" s="320"/>
      <c r="Q723" s="327"/>
      <c r="R723" s="328"/>
      <c r="S723" s="328">
        <v>0</v>
      </c>
      <c r="T723" s="328"/>
      <c r="U723" s="318"/>
      <c r="V723" s="318"/>
      <c r="W723" s="318"/>
      <c r="X723" s="318"/>
      <c r="Y723" s="315"/>
      <c r="Z723" s="318"/>
      <c r="AA723" s="310">
        <v>6</v>
      </c>
      <c r="AB723" s="311"/>
      <c r="AC723" s="337"/>
      <c r="AD723" s="337"/>
      <c r="AE723" s="343">
        <v>0</v>
      </c>
      <c r="AF723" s="343" t="s">
        <v>286</v>
      </c>
      <c r="AG723" s="311" t="s">
        <v>286</v>
      </c>
      <c r="AH723" s="66"/>
      <c r="AI723" s="66"/>
      <c r="AJ723" s="344"/>
      <c r="AK723" s="856">
        <v>0</v>
      </c>
      <c r="AL723" s="857"/>
      <c r="AM723" s="844">
        <v>0</v>
      </c>
      <c r="AN723" s="837"/>
      <c r="AO723" s="837">
        <v>0</v>
      </c>
      <c r="AP723" s="843"/>
      <c r="AQ723" s="843"/>
      <c r="AR723" s="843"/>
      <c r="AS723" s="843"/>
      <c r="AT723" s="843"/>
      <c r="AU723" s="843"/>
      <c r="AV723" s="858"/>
      <c r="AW723" s="134" t="s">
        <v>3208</v>
      </c>
      <c r="AX723" s="136" t="s">
        <v>3208</v>
      </c>
      <c r="AY723" s="137" t="s">
        <v>2576</v>
      </c>
      <c r="AZ723" s="136">
        <v>0</v>
      </c>
      <c r="BA723" s="136">
        <v>0</v>
      </c>
      <c r="BB723" s="136">
        <v>0</v>
      </c>
      <c r="BC723" s="214">
        <v>0</v>
      </c>
      <c r="BD723" s="136">
        <v>0</v>
      </c>
      <c r="BE723" s="214">
        <v>0</v>
      </c>
      <c r="BF723" s="136">
        <v>0</v>
      </c>
      <c r="BG723" s="214">
        <v>0</v>
      </c>
      <c r="BH723" s="214">
        <v>0</v>
      </c>
      <c r="BI723" s="134">
        <v>1</v>
      </c>
      <c r="BJ723" s="214">
        <v>456</v>
      </c>
      <c r="BK723" s="137">
        <v>1</v>
      </c>
      <c r="BL723" s="137">
        <v>1</v>
      </c>
      <c r="BM723" s="137">
        <v>6</v>
      </c>
      <c r="BN723" s="134">
        <v>7.8947368421052627E-2</v>
      </c>
      <c r="BO723" s="351">
        <v>36</v>
      </c>
      <c r="BP723" s="134">
        <v>0.92105263157894735</v>
      </c>
      <c r="BQ723" s="214">
        <v>70</v>
      </c>
      <c r="BR723" s="137">
        <v>76</v>
      </c>
      <c r="BS723" s="138">
        <v>0</v>
      </c>
      <c r="BT723" s="351" t="s">
        <v>103</v>
      </c>
      <c r="BU723" s="209">
        <v>0</v>
      </c>
      <c r="BV723" s="209">
        <v>0</v>
      </c>
      <c r="BW723" s="209">
        <v>0</v>
      </c>
      <c r="BX723" s="209">
        <v>0</v>
      </c>
      <c r="BY723" s="209">
        <v>0</v>
      </c>
      <c r="BZ723" s="134">
        <v>0</v>
      </c>
      <c r="CA723" s="138">
        <v>1</v>
      </c>
      <c r="CB723" s="136">
        <v>0</v>
      </c>
      <c r="CC723" s="136">
        <v>0</v>
      </c>
      <c r="CD723" s="136">
        <v>0</v>
      </c>
      <c r="CE723" s="137">
        <v>0</v>
      </c>
      <c r="CF723" s="137">
        <v>0</v>
      </c>
      <c r="CG723" s="351">
        <v>0</v>
      </c>
      <c r="CH723" s="214">
        <v>0</v>
      </c>
      <c r="CI723" s="139">
        <v>0</v>
      </c>
      <c r="CJ723" s="139">
        <v>0</v>
      </c>
      <c r="CK723" s="139" t="s">
        <v>969</v>
      </c>
      <c r="CL723" s="139" t="s">
        <v>969</v>
      </c>
      <c r="CM723" s="139" t="s">
        <v>969</v>
      </c>
      <c r="CN723" s="139" t="s">
        <v>454</v>
      </c>
      <c r="CO723" s="139">
        <v>20.509660720999999</v>
      </c>
      <c r="CP723" s="139">
        <v>92.997230529999996</v>
      </c>
      <c r="CQ723" s="139" t="s">
        <v>1704</v>
      </c>
      <c r="CR723" s="449" t="s">
        <v>3209</v>
      </c>
      <c r="CS723" s="139"/>
      <c r="CT723" s="24"/>
      <c r="CU723" s="24"/>
      <c r="CV723" s="24"/>
    </row>
    <row r="724" spans="1:100" x14ac:dyDescent="0.25">
      <c r="A724" s="293" t="s">
        <v>2691</v>
      </c>
      <c r="B724" s="101" t="s">
        <v>460</v>
      </c>
      <c r="C724" s="101" t="s">
        <v>454</v>
      </c>
      <c r="D724" s="101" t="s">
        <v>618</v>
      </c>
      <c r="E724" s="101" t="s">
        <v>625</v>
      </c>
      <c r="F724" s="206">
        <f>ROUND(WWWW[[#This Row],[Total PoP ]]/5,0)</f>
        <v>97</v>
      </c>
      <c r="G724" s="396">
        <v>487</v>
      </c>
      <c r="H724" s="101"/>
      <c r="I724" s="101"/>
      <c r="J724" s="102"/>
      <c r="K724" s="101"/>
      <c r="L724" s="206" t="s">
        <v>282</v>
      </c>
      <c r="M724" s="208">
        <v>0</v>
      </c>
      <c r="N724" s="208">
        <v>0</v>
      </c>
      <c r="O724" s="320">
        <v>0</v>
      </c>
      <c r="P724" s="320"/>
      <c r="Q724" s="321"/>
      <c r="R724" s="322"/>
      <c r="S724" s="322">
        <v>0</v>
      </c>
      <c r="T724" s="322"/>
      <c r="U724" s="317"/>
      <c r="V724" s="317"/>
      <c r="W724" s="317"/>
      <c r="X724" s="317"/>
      <c r="Y724" s="315"/>
      <c r="Z724" s="318"/>
      <c r="AA724" s="310">
        <v>5</v>
      </c>
      <c r="AB724" s="311"/>
      <c r="AC724" s="337"/>
      <c r="AD724" s="337"/>
      <c r="AE724" s="340">
        <v>0</v>
      </c>
      <c r="AF724" s="66" t="s">
        <v>286</v>
      </c>
      <c r="AG724" s="66" t="s">
        <v>286</v>
      </c>
      <c r="AH724" s="66"/>
      <c r="AI724" s="66"/>
      <c r="AJ724" s="341"/>
      <c r="AK724" s="845">
        <v>0</v>
      </c>
      <c r="AL724" s="846"/>
      <c r="AM724" s="844">
        <v>0</v>
      </c>
      <c r="AN724" s="837"/>
      <c r="AO724" s="837">
        <v>0</v>
      </c>
      <c r="AP724" s="843"/>
      <c r="AQ724" s="843"/>
      <c r="AR724" s="843"/>
      <c r="AS724" s="843"/>
      <c r="AT724" s="843"/>
      <c r="AU724" s="843"/>
      <c r="AV724" s="847"/>
      <c r="AW724" s="134" t="s">
        <v>3208</v>
      </c>
      <c r="AX724" s="136" t="s">
        <v>3208</v>
      </c>
      <c r="AY724" s="137" t="s">
        <v>2576</v>
      </c>
      <c r="AZ724" s="136">
        <v>0</v>
      </c>
      <c r="BA724" s="136">
        <v>0</v>
      </c>
      <c r="BB724" s="136">
        <v>0</v>
      </c>
      <c r="BC724" s="214">
        <v>0</v>
      </c>
      <c r="BD724" s="136">
        <v>0</v>
      </c>
      <c r="BE724" s="214">
        <v>0</v>
      </c>
      <c r="BF724" s="136">
        <v>0</v>
      </c>
      <c r="BG724" s="214">
        <v>0</v>
      </c>
      <c r="BH724" s="214">
        <v>0</v>
      </c>
      <c r="BI724" s="134">
        <v>1</v>
      </c>
      <c r="BJ724" s="214">
        <v>487</v>
      </c>
      <c r="BK724" s="137">
        <v>1</v>
      </c>
      <c r="BL724" s="137">
        <v>1</v>
      </c>
      <c r="BM724" s="137">
        <v>5</v>
      </c>
      <c r="BN724" s="134">
        <v>6.1601642710472276E-2</v>
      </c>
      <c r="BO724" s="351">
        <v>30</v>
      </c>
      <c r="BP724" s="134">
        <v>0.93634496919917864</v>
      </c>
      <c r="BQ724" s="214">
        <v>76</v>
      </c>
      <c r="BR724" s="137">
        <v>81</v>
      </c>
      <c r="BS724" s="138">
        <v>0</v>
      </c>
      <c r="BT724" s="351" t="s">
        <v>103</v>
      </c>
      <c r="BU724" s="209">
        <v>0</v>
      </c>
      <c r="BV724" s="209">
        <v>0</v>
      </c>
      <c r="BW724" s="209">
        <v>0</v>
      </c>
      <c r="BX724" s="209">
        <v>0</v>
      </c>
      <c r="BY724" s="209">
        <v>0</v>
      </c>
      <c r="BZ724" s="134">
        <v>0</v>
      </c>
      <c r="CA724" s="138">
        <v>1</v>
      </c>
      <c r="CB724" s="136">
        <v>0</v>
      </c>
      <c r="CC724" s="136">
        <v>0</v>
      </c>
      <c r="CD724" s="136">
        <v>0</v>
      </c>
      <c r="CE724" s="137">
        <v>0</v>
      </c>
      <c r="CF724" s="137">
        <v>0</v>
      </c>
      <c r="CG724" s="351">
        <v>0</v>
      </c>
      <c r="CH724" s="214">
        <v>0</v>
      </c>
      <c r="CI724" s="139">
        <v>0</v>
      </c>
      <c r="CJ724" s="139">
        <v>0</v>
      </c>
      <c r="CK724" s="139" t="s">
        <v>969</v>
      </c>
      <c r="CL724" s="139" t="s">
        <v>969</v>
      </c>
      <c r="CM724" s="139" t="s">
        <v>969</v>
      </c>
      <c r="CN724" s="139" t="s">
        <v>454</v>
      </c>
      <c r="CO724" s="139">
        <v>20.361530303999999</v>
      </c>
      <c r="CP724" s="139">
        <v>92.992073059000006</v>
      </c>
      <c r="CQ724" s="139" t="s">
        <v>1680</v>
      </c>
      <c r="CR724" s="449" t="s">
        <v>3209</v>
      </c>
      <c r="CS724" s="139"/>
      <c r="CT724" s="24"/>
      <c r="CU724" s="24"/>
      <c r="CV724" s="24"/>
    </row>
    <row r="725" spans="1:100" x14ac:dyDescent="0.25">
      <c r="A725" s="293" t="s">
        <v>2691</v>
      </c>
      <c r="B725" s="206" t="s">
        <v>460</v>
      </c>
      <c r="C725" s="183" t="s">
        <v>454</v>
      </c>
      <c r="D725" s="183" t="s">
        <v>618</v>
      </c>
      <c r="E725" s="183" t="s">
        <v>652</v>
      </c>
      <c r="F725" s="206">
        <f>ROUND(WWWW[[#This Row],[Total PoP ]]/5,0)</f>
        <v>26</v>
      </c>
      <c r="G725" s="209">
        <v>130</v>
      </c>
      <c r="H725" s="206"/>
      <c r="I725" s="206"/>
      <c r="J725" s="207"/>
      <c r="K725" s="206"/>
      <c r="L725" s="206" t="s">
        <v>282</v>
      </c>
      <c r="M725" s="208">
        <v>0</v>
      </c>
      <c r="N725" s="208">
        <v>0</v>
      </c>
      <c r="O725" s="316">
        <v>0</v>
      </c>
      <c r="P725" s="317"/>
      <c r="Q725" s="317"/>
      <c r="R725" s="318"/>
      <c r="S725" s="318">
        <v>0</v>
      </c>
      <c r="T725" s="318"/>
      <c r="U725" s="318"/>
      <c r="V725" s="318"/>
      <c r="W725" s="318"/>
      <c r="X725" s="318"/>
      <c r="Y725" s="318"/>
      <c r="Z725" s="318"/>
      <c r="AA725" s="310">
        <v>5</v>
      </c>
      <c r="AB725" s="310"/>
      <c r="AC725" s="66"/>
      <c r="AD725" s="337"/>
      <c r="AE725" s="310">
        <v>0</v>
      </c>
      <c r="AF725" s="310" t="s">
        <v>286</v>
      </c>
      <c r="AG725" s="311" t="s">
        <v>286</v>
      </c>
      <c r="AH725" s="311"/>
      <c r="AI725" s="310"/>
      <c r="AJ725" s="310"/>
      <c r="AK725" s="841">
        <v>0</v>
      </c>
      <c r="AL725" s="842"/>
      <c r="AM725" s="842">
        <v>0</v>
      </c>
      <c r="AN725" s="837"/>
      <c r="AO725" s="837">
        <v>0</v>
      </c>
      <c r="AP725" s="843"/>
      <c r="AQ725" s="843"/>
      <c r="AR725" s="843"/>
      <c r="AS725" s="843"/>
      <c r="AT725" s="843"/>
      <c r="AU725" s="843"/>
      <c r="AV725" s="844"/>
      <c r="AW725" s="208" t="s">
        <v>3208</v>
      </c>
      <c r="AX725" s="211" t="s">
        <v>3208</v>
      </c>
      <c r="AY725" s="210" t="s">
        <v>2576</v>
      </c>
      <c r="AZ725" s="211">
        <v>0</v>
      </c>
      <c r="BA725" s="211">
        <v>0</v>
      </c>
      <c r="BB725" s="211">
        <v>0</v>
      </c>
      <c r="BC725" s="209">
        <v>0</v>
      </c>
      <c r="BD725" s="211">
        <v>0</v>
      </c>
      <c r="BE725" s="209">
        <v>0</v>
      </c>
      <c r="BF725" s="211">
        <v>0</v>
      </c>
      <c r="BG725" s="209">
        <v>0</v>
      </c>
      <c r="BH725" s="209">
        <v>0</v>
      </c>
      <c r="BI725" s="208">
        <v>1</v>
      </c>
      <c r="BJ725" s="209">
        <v>130</v>
      </c>
      <c r="BK725" s="210">
        <v>1</v>
      </c>
      <c r="BL725" s="210">
        <v>1</v>
      </c>
      <c r="BM725" s="210">
        <v>5</v>
      </c>
      <c r="BN725" s="208">
        <v>0.23076923076923078</v>
      </c>
      <c r="BO725" s="352">
        <v>30</v>
      </c>
      <c r="BP725" s="208">
        <v>0.7846153846153846</v>
      </c>
      <c r="BQ725" s="209">
        <v>17</v>
      </c>
      <c r="BR725" s="210">
        <v>22</v>
      </c>
      <c r="BS725" s="212">
        <v>0</v>
      </c>
      <c r="BT725" s="352" t="s">
        <v>103</v>
      </c>
      <c r="BU725" s="209">
        <v>0</v>
      </c>
      <c r="BV725" s="209">
        <v>0</v>
      </c>
      <c r="BW725" s="209">
        <v>0</v>
      </c>
      <c r="BX725" s="209">
        <v>0</v>
      </c>
      <c r="BY725" s="209">
        <v>0</v>
      </c>
      <c r="BZ725" s="208">
        <v>0</v>
      </c>
      <c r="CA725" s="212">
        <v>1</v>
      </c>
      <c r="CB725" s="211">
        <v>0</v>
      </c>
      <c r="CC725" s="211">
        <v>0</v>
      </c>
      <c r="CD725" s="211">
        <v>0</v>
      </c>
      <c r="CE725" s="210">
        <v>0</v>
      </c>
      <c r="CF725" s="210">
        <v>0</v>
      </c>
      <c r="CG725" s="210">
        <v>0</v>
      </c>
      <c r="CH725" s="209">
        <v>0</v>
      </c>
      <c r="CI725" s="139">
        <v>0</v>
      </c>
      <c r="CJ725" s="139">
        <v>0</v>
      </c>
      <c r="CK725" s="139" t="s">
        <v>969</v>
      </c>
      <c r="CL725" s="139" t="s">
        <v>969</v>
      </c>
      <c r="CM725" s="139" t="s">
        <v>969</v>
      </c>
      <c r="CN725" s="139" t="s">
        <v>454</v>
      </c>
      <c r="CO725" s="139">
        <v>20.506580353</v>
      </c>
      <c r="CP725" s="139">
        <v>93.043449401999993</v>
      </c>
      <c r="CQ725" s="139" t="s">
        <v>1703</v>
      </c>
      <c r="CR725" s="660" t="s">
        <v>3209</v>
      </c>
      <c r="CS725" s="660"/>
      <c r="CT725" s="24"/>
      <c r="CU725" s="24"/>
      <c r="CV725" s="24"/>
    </row>
    <row r="726" spans="1:100" x14ac:dyDescent="0.25">
      <c r="A726" s="293" t="s">
        <v>2691</v>
      </c>
      <c r="B726" s="101" t="s">
        <v>460</v>
      </c>
      <c r="C726" s="101" t="s">
        <v>454</v>
      </c>
      <c r="D726" s="101" t="s">
        <v>618</v>
      </c>
      <c r="E726" s="101" t="s">
        <v>666</v>
      </c>
      <c r="F726" s="206">
        <f>ROUND(WWWW[[#This Row],[Total PoP ]]/5,0)</f>
        <v>97</v>
      </c>
      <c r="G726" s="396">
        <v>484</v>
      </c>
      <c r="H726" s="101"/>
      <c r="I726" s="101"/>
      <c r="J726" s="102"/>
      <c r="K726" s="101"/>
      <c r="L726" s="206" t="s">
        <v>282</v>
      </c>
      <c r="M726" s="208">
        <v>0</v>
      </c>
      <c r="N726" s="208">
        <v>0</v>
      </c>
      <c r="O726" s="319">
        <v>0</v>
      </c>
      <c r="P726" s="320"/>
      <c r="Q726" s="321"/>
      <c r="R726" s="322"/>
      <c r="S726" s="322">
        <v>0</v>
      </c>
      <c r="T726" s="322"/>
      <c r="U726" s="322"/>
      <c r="V726" s="322"/>
      <c r="W726" s="317"/>
      <c r="X726" s="317"/>
      <c r="Y726" s="315"/>
      <c r="Z726" s="318"/>
      <c r="AA726" s="310">
        <v>10</v>
      </c>
      <c r="AB726" s="311"/>
      <c r="AC726" s="337"/>
      <c r="AD726" s="337"/>
      <c r="AE726" s="340">
        <v>0</v>
      </c>
      <c r="AF726" s="66" t="s">
        <v>286</v>
      </c>
      <c r="AG726" s="66" t="s">
        <v>286</v>
      </c>
      <c r="AH726" s="66"/>
      <c r="AI726" s="66"/>
      <c r="AJ726" s="341"/>
      <c r="AK726" s="845">
        <v>0</v>
      </c>
      <c r="AL726" s="846"/>
      <c r="AM726" s="844">
        <v>0</v>
      </c>
      <c r="AN726" s="837"/>
      <c r="AO726" s="837">
        <v>0</v>
      </c>
      <c r="AP726" s="843"/>
      <c r="AQ726" s="843"/>
      <c r="AR726" s="843"/>
      <c r="AS726" s="843"/>
      <c r="AT726" s="843"/>
      <c r="AU726" s="843"/>
      <c r="AV726" s="847"/>
      <c r="AW726" s="134" t="s">
        <v>3208</v>
      </c>
      <c r="AX726" s="136" t="s">
        <v>3208</v>
      </c>
      <c r="AY726" s="137" t="s">
        <v>2576</v>
      </c>
      <c r="AZ726" s="136">
        <v>0</v>
      </c>
      <c r="BA726" s="136">
        <v>0</v>
      </c>
      <c r="BB726" s="136">
        <v>0</v>
      </c>
      <c r="BC726" s="214">
        <v>0</v>
      </c>
      <c r="BD726" s="136">
        <v>0</v>
      </c>
      <c r="BE726" s="214">
        <v>0</v>
      </c>
      <c r="BF726" s="136">
        <v>0</v>
      </c>
      <c r="BG726" s="214">
        <v>0</v>
      </c>
      <c r="BH726" s="214">
        <v>0</v>
      </c>
      <c r="BI726" s="134">
        <v>1</v>
      </c>
      <c r="BJ726" s="214">
        <v>484</v>
      </c>
      <c r="BK726" s="137">
        <v>1</v>
      </c>
      <c r="BL726" s="137">
        <v>1</v>
      </c>
      <c r="BM726" s="137">
        <v>10</v>
      </c>
      <c r="BN726" s="134">
        <v>0.12396694214876033</v>
      </c>
      <c r="BO726" s="351">
        <v>60</v>
      </c>
      <c r="BP726" s="134">
        <v>0.8801652892561983</v>
      </c>
      <c r="BQ726" s="214">
        <v>71</v>
      </c>
      <c r="BR726" s="137">
        <v>81</v>
      </c>
      <c r="BS726" s="138">
        <v>0</v>
      </c>
      <c r="BT726" s="351" t="s">
        <v>103</v>
      </c>
      <c r="BU726" s="209">
        <v>0</v>
      </c>
      <c r="BV726" s="209">
        <v>0</v>
      </c>
      <c r="BW726" s="209">
        <v>0</v>
      </c>
      <c r="BX726" s="209">
        <v>0</v>
      </c>
      <c r="BY726" s="209">
        <v>0</v>
      </c>
      <c r="BZ726" s="134">
        <v>0</v>
      </c>
      <c r="CA726" s="138">
        <v>1</v>
      </c>
      <c r="CB726" s="136">
        <v>0</v>
      </c>
      <c r="CC726" s="136">
        <v>0</v>
      </c>
      <c r="CD726" s="136">
        <v>0</v>
      </c>
      <c r="CE726" s="137">
        <v>0</v>
      </c>
      <c r="CF726" s="137">
        <v>0</v>
      </c>
      <c r="CG726" s="351">
        <v>0</v>
      </c>
      <c r="CH726" s="214">
        <v>0</v>
      </c>
      <c r="CI726" s="139">
        <v>0</v>
      </c>
      <c r="CJ726" s="139">
        <v>0</v>
      </c>
      <c r="CK726" s="139" t="s">
        <v>969</v>
      </c>
      <c r="CL726" s="139" t="s">
        <v>969</v>
      </c>
      <c r="CM726" s="139" t="s">
        <v>969</v>
      </c>
      <c r="CN726" s="139" t="s">
        <v>454</v>
      </c>
      <c r="CO726" s="139">
        <v>20.564739227</v>
      </c>
      <c r="CP726" s="139">
        <v>93.064781189000001</v>
      </c>
      <c r="CQ726" s="139" t="s">
        <v>1718</v>
      </c>
      <c r="CR726" s="449" t="s">
        <v>3209</v>
      </c>
      <c r="CS726" s="139"/>
      <c r="CT726" s="24"/>
      <c r="CU726" s="24"/>
      <c r="CV726" s="24"/>
    </row>
    <row r="727" spans="1:100" x14ac:dyDescent="0.25">
      <c r="A727" s="293" t="s">
        <v>2691</v>
      </c>
      <c r="B727" s="206" t="s">
        <v>460</v>
      </c>
      <c r="C727" s="183" t="s">
        <v>454</v>
      </c>
      <c r="D727" s="183" t="s">
        <v>618</v>
      </c>
      <c r="E727" s="183" t="s">
        <v>634</v>
      </c>
      <c r="F727" s="206">
        <f>ROUND(WWWW[[#This Row],[Total PoP ]]/5,0)</f>
        <v>291</v>
      </c>
      <c r="G727" s="209">
        <v>1455</v>
      </c>
      <c r="H727" s="206"/>
      <c r="I727" s="206"/>
      <c r="J727" s="207"/>
      <c r="K727" s="206"/>
      <c r="L727" s="206" t="s">
        <v>282</v>
      </c>
      <c r="M727" s="208">
        <v>0</v>
      </c>
      <c r="N727" s="208">
        <v>0</v>
      </c>
      <c r="O727" s="316">
        <v>0</v>
      </c>
      <c r="P727" s="317">
        <v>0</v>
      </c>
      <c r="Q727" s="317"/>
      <c r="R727" s="318"/>
      <c r="S727" s="318">
        <v>0</v>
      </c>
      <c r="T727" s="318"/>
      <c r="U727" s="318"/>
      <c r="V727" s="318"/>
      <c r="W727" s="318"/>
      <c r="X727" s="318"/>
      <c r="Y727" s="318"/>
      <c r="Z727" s="318"/>
      <c r="AA727" s="310">
        <v>44</v>
      </c>
      <c r="AB727" s="310"/>
      <c r="AC727" s="66"/>
      <c r="AD727" s="337"/>
      <c r="AE727" s="310">
        <v>44</v>
      </c>
      <c r="AF727" s="310" t="s">
        <v>286</v>
      </c>
      <c r="AG727" s="311" t="s">
        <v>286</v>
      </c>
      <c r="AH727" s="311"/>
      <c r="AI727" s="310"/>
      <c r="AJ727" s="310"/>
      <c r="AK727" s="841">
        <v>0</v>
      </c>
      <c r="AL727" s="842"/>
      <c r="AM727" s="842">
        <v>0</v>
      </c>
      <c r="AN727" s="837"/>
      <c r="AO727" s="837">
        <v>0</v>
      </c>
      <c r="AP727" s="843"/>
      <c r="AQ727" s="843"/>
      <c r="AR727" s="843"/>
      <c r="AS727" s="843"/>
      <c r="AT727" s="843"/>
      <c r="AU727" s="843"/>
      <c r="AV727" s="844"/>
      <c r="AW727" s="208" t="s">
        <v>3208</v>
      </c>
      <c r="AX727" s="211" t="s">
        <v>3208</v>
      </c>
      <c r="AY727" s="210" t="s">
        <v>2576</v>
      </c>
      <c r="AZ727" s="211">
        <v>0</v>
      </c>
      <c r="BA727" s="211">
        <v>0</v>
      </c>
      <c r="BB727" s="211">
        <v>0</v>
      </c>
      <c r="BC727" s="209">
        <v>0</v>
      </c>
      <c r="BD727" s="211">
        <v>0</v>
      </c>
      <c r="BE727" s="209">
        <v>0</v>
      </c>
      <c r="BF727" s="211">
        <v>0</v>
      </c>
      <c r="BG727" s="209">
        <v>0</v>
      </c>
      <c r="BH727" s="209">
        <v>0</v>
      </c>
      <c r="BI727" s="208">
        <v>1</v>
      </c>
      <c r="BJ727" s="209">
        <v>1455</v>
      </c>
      <c r="BK727" s="210">
        <v>3</v>
      </c>
      <c r="BL727" s="210">
        <v>3</v>
      </c>
      <c r="BM727" s="210">
        <v>44</v>
      </c>
      <c r="BN727" s="208">
        <v>0.18144329896907216</v>
      </c>
      <c r="BO727" s="352">
        <v>264</v>
      </c>
      <c r="BP727" s="208">
        <v>0.8206185567010309</v>
      </c>
      <c r="BQ727" s="209">
        <v>199</v>
      </c>
      <c r="BR727" s="210">
        <v>243</v>
      </c>
      <c r="BS727" s="212">
        <v>0</v>
      </c>
      <c r="BT727" s="352" t="s">
        <v>103</v>
      </c>
      <c r="BU727" s="209">
        <v>0</v>
      </c>
      <c r="BV727" s="209">
        <v>0</v>
      </c>
      <c r="BW727" s="209">
        <v>0</v>
      </c>
      <c r="BX727" s="209">
        <v>0</v>
      </c>
      <c r="BY727" s="209">
        <v>0</v>
      </c>
      <c r="BZ727" s="208">
        <v>0</v>
      </c>
      <c r="CA727" s="212">
        <v>1</v>
      </c>
      <c r="CB727" s="211">
        <v>0</v>
      </c>
      <c r="CC727" s="211">
        <v>0</v>
      </c>
      <c r="CD727" s="211">
        <v>0</v>
      </c>
      <c r="CE727" s="210">
        <v>0</v>
      </c>
      <c r="CF727" s="210">
        <v>0</v>
      </c>
      <c r="CG727" s="210">
        <v>0</v>
      </c>
      <c r="CH727" s="209">
        <v>0</v>
      </c>
      <c r="CI727" s="139">
        <v>0</v>
      </c>
      <c r="CJ727" s="139">
        <v>0</v>
      </c>
      <c r="CK727" s="139" t="s">
        <v>969</v>
      </c>
      <c r="CL727" s="139" t="s">
        <v>969</v>
      </c>
      <c r="CM727" s="139" t="s">
        <v>969</v>
      </c>
      <c r="CN727" s="139" t="s">
        <v>454</v>
      </c>
      <c r="CO727" s="139">
        <v>20.424389999999999</v>
      </c>
      <c r="CP727" s="139">
        <v>93.012960000000007</v>
      </c>
      <c r="CQ727" s="139" t="s">
        <v>1693</v>
      </c>
      <c r="CR727" s="660" t="s">
        <v>3209</v>
      </c>
      <c r="CS727" s="660"/>
      <c r="CT727" s="24"/>
      <c r="CU727" s="24"/>
      <c r="CV727" s="24"/>
    </row>
    <row r="728" spans="1:100" x14ac:dyDescent="0.25">
      <c r="A728" s="293" t="s">
        <v>2691</v>
      </c>
      <c r="B728" s="206" t="s">
        <v>460</v>
      </c>
      <c r="C728" s="183" t="s">
        <v>454</v>
      </c>
      <c r="D728" s="183" t="s">
        <v>498</v>
      </c>
      <c r="E728" s="183" t="s">
        <v>664</v>
      </c>
      <c r="F728" s="206">
        <v>367</v>
      </c>
      <c r="G728" s="209">
        <v>1768</v>
      </c>
      <c r="H728" s="206"/>
      <c r="I728" s="206"/>
      <c r="J728" s="207"/>
      <c r="K728" s="206">
        <v>0</v>
      </c>
      <c r="L728" s="206" t="s">
        <v>48</v>
      </c>
      <c r="M728" s="208"/>
      <c r="N728" s="208"/>
      <c r="O728" s="316">
        <v>0</v>
      </c>
      <c r="P728" s="317">
        <v>0</v>
      </c>
      <c r="Q728" s="317">
        <v>0</v>
      </c>
      <c r="R728" s="318">
        <v>3</v>
      </c>
      <c r="S728" s="318">
        <v>0</v>
      </c>
      <c r="T728" s="318"/>
      <c r="U728" s="318"/>
      <c r="V728" s="318"/>
      <c r="W728" s="318"/>
      <c r="X728" s="318"/>
      <c r="Y728" s="318"/>
      <c r="Z728" s="318"/>
      <c r="AA728" s="310">
        <v>0</v>
      </c>
      <c r="AB728" s="310">
        <v>0</v>
      </c>
      <c r="AC728" s="66"/>
      <c r="AD728" s="337"/>
      <c r="AE728" s="310">
        <v>0</v>
      </c>
      <c r="AF728" s="310" t="s">
        <v>332</v>
      </c>
      <c r="AG728" s="311" t="s">
        <v>332</v>
      </c>
      <c r="AH728" s="311"/>
      <c r="AI728" s="310"/>
      <c r="AJ728" s="310"/>
      <c r="AK728" s="841">
        <v>0</v>
      </c>
      <c r="AL728" s="842" t="s">
        <v>284</v>
      </c>
      <c r="AM728" s="842">
        <v>0</v>
      </c>
      <c r="AN728" s="837">
        <v>0</v>
      </c>
      <c r="AO728" s="837">
        <v>7</v>
      </c>
      <c r="AP728" s="843"/>
      <c r="AQ728" s="843"/>
      <c r="AR728" s="843"/>
      <c r="AS728" s="843"/>
      <c r="AT728" s="843"/>
      <c r="AU728" s="843"/>
      <c r="AV728" s="844"/>
      <c r="AW728" s="208" t="s">
        <v>3208</v>
      </c>
      <c r="AX728" s="211" t="s">
        <v>3208</v>
      </c>
      <c r="AY728" s="210" t="s">
        <v>2576</v>
      </c>
      <c r="AZ728" s="211">
        <v>0</v>
      </c>
      <c r="BA728" s="211">
        <v>0</v>
      </c>
      <c r="BB728" s="211">
        <v>0</v>
      </c>
      <c r="BC728" s="209">
        <v>0</v>
      </c>
      <c r="BD728" s="211">
        <v>0.42420814479638008</v>
      </c>
      <c r="BE728" s="209">
        <v>750</v>
      </c>
      <c r="BF728" s="211">
        <v>0.42420814479638008</v>
      </c>
      <c r="BG728" s="209">
        <v>750</v>
      </c>
      <c r="BH728" s="209">
        <v>1.5</v>
      </c>
      <c r="BI728" s="208">
        <v>0.57579185520361986</v>
      </c>
      <c r="BJ728" s="209">
        <v>1017.9999999999999</v>
      </c>
      <c r="BK728" s="210">
        <v>2.5</v>
      </c>
      <c r="BL728" s="210">
        <v>4</v>
      </c>
      <c r="BM728" s="210">
        <v>0</v>
      </c>
      <c r="BN728" s="208">
        <v>0</v>
      </c>
      <c r="BO728" s="352">
        <v>0</v>
      </c>
      <c r="BP728" s="208">
        <v>1</v>
      </c>
      <c r="BQ728" s="209">
        <v>295</v>
      </c>
      <c r="BR728" s="210">
        <v>295</v>
      </c>
      <c r="BS728" s="212">
        <v>0</v>
      </c>
      <c r="BT728" s="352" t="s">
        <v>103</v>
      </c>
      <c r="BU728" s="209">
        <v>1768</v>
      </c>
      <c r="BV728" s="209">
        <v>0</v>
      </c>
      <c r="BW728" s="209">
        <v>1</v>
      </c>
      <c r="BX728" s="209">
        <v>0</v>
      </c>
      <c r="BY728" s="209">
        <v>0</v>
      </c>
      <c r="BZ728" s="208">
        <v>0</v>
      </c>
      <c r="CA728" s="212">
        <v>1</v>
      </c>
      <c r="CB728" s="211">
        <v>1</v>
      </c>
      <c r="CC728" s="211">
        <v>0</v>
      </c>
      <c r="CD728" s="211">
        <v>0</v>
      </c>
      <c r="CE728" s="210">
        <v>0</v>
      </c>
      <c r="CF728" s="210">
        <v>0</v>
      </c>
      <c r="CG728" s="210">
        <v>0</v>
      </c>
      <c r="CH728" s="209">
        <v>0</v>
      </c>
      <c r="CI728" s="139">
        <v>0</v>
      </c>
      <c r="CJ728" s="139">
        <v>0</v>
      </c>
      <c r="CK728" s="139" t="s">
        <v>969</v>
      </c>
      <c r="CL728" s="139" t="s">
        <v>969</v>
      </c>
      <c r="CM728" s="139" t="s">
        <v>969</v>
      </c>
      <c r="CN728" s="139" t="s">
        <v>966</v>
      </c>
      <c r="CO728" s="139">
        <v>20.555610656738299</v>
      </c>
      <c r="CP728" s="139">
        <v>92.643516540527301</v>
      </c>
      <c r="CQ728" s="139">
        <v>197593</v>
      </c>
      <c r="CR728" s="660" t="s">
        <v>3209</v>
      </c>
      <c r="CS728" s="660" t="s">
        <v>2797</v>
      </c>
      <c r="CT728" s="24"/>
      <c r="CU728" s="24"/>
      <c r="CV728" s="24"/>
    </row>
    <row r="729" spans="1:100" x14ac:dyDescent="0.25">
      <c r="A729" s="293" t="s">
        <v>2691</v>
      </c>
      <c r="B729" s="206" t="s">
        <v>460</v>
      </c>
      <c r="C729" s="101" t="s">
        <v>454</v>
      </c>
      <c r="D729" s="101" t="s">
        <v>498</v>
      </c>
      <c r="E729" s="101" t="s">
        <v>632</v>
      </c>
      <c r="F729" s="132">
        <v>425</v>
      </c>
      <c r="G729" s="214">
        <v>2552</v>
      </c>
      <c r="H729" s="132"/>
      <c r="I729" s="206" t="s">
        <v>391</v>
      </c>
      <c r="J729" s="207">
        <v>43220</v>
      </c>
      <c r="K729" s="206"/>
      <c r="L729" s="206" t="s">
        <v>48</v>
      </c>
      <c r="M729" s="208">
        <v>0.5</v>
      </c>
      <c r="N729" s="208">
        <v>0</v>
      </c>
      <c r="O729" s="319">
        <v>48</v>
      </c>
      <c r="P729" s="320">
        <v>0</v>
      </c>
      <c r="Q729" s="321">
        <v>0</v>
      </c>
      <c r="R729" s="322">
        <v>0</v>
      </c>
      <c r="S729" s="322">
        <v>48</v>
      </c>
      <c r="T729" s="322"/>
      <c r="U729" s="317"/>
      <c r="V729" s="317"/>
      <c r="W729" s="317"/>
      <c r="X729" s="317"/>
      <c r="Y729" s="317"/>
      <c r="Z729" s="315" t="s">
        <v>2458</v>
      </c>
      <c r="AA729" s="310">
        <v>328</v>
      </c>
      <c r="AB729" s="311">
        <v>0</v>
      </c>
      <c r="AC729" s="337"/>
      <c r="AD729" s="337"/>
      <c r="AE729" s="340">
        <v>0</v>
      </c>
      <c r="AF729" s="336" t="s">
        <v>286</v>
      </c>
      <c r="AG729" s="66" t="s">
        <v>286</v>
      </c>
      <c r="AH729" s="66"/>
      <c r="AI729" s="66"/>
      <c r="AJ729" s="341"/>
      <c r="AK729" s="845">
        <v>0</v>
      </c>
      <c r="AL729" s="846"/>
      <c r="AM729" s="844">
        <v>580</v>
      </c>
      <c r="AN729" s="837">
        <v>0</v>
      </c>
      <c r="AO729" s="837">
        <v>0</v>
      </c>
      <c r="AP729" s="843"/>
      <c r="AQ729" s="843"/>
      <c r="AR729" s="843"/>
      <c r="AS729" s="843"/>
      <c r="AT729" s="843"/>
      <c r="AU729" s="843"/>
      <c r="AV729" s="849"/>
      <c r="AW729" s="134" t="s">
        <v>3208</v>
      </c>
      <c r="AX729" s="136" t="s">
        <v>3208</v>
      </c>
      <c r="AY729" s="137" t="s">
        <v>2576</v>
      </c>
      <c r="AZ729" s="136">
        <v>1</v>
      </c>
      <c r="BA729" s="136">
        <v>1</v>
      </c>
      <c r="BB729" s="136">
        <v>1</v>
      </c>
      <c r="BC729" s="214">
        <v>2552</v>
      </c>
      <c r="BD729" s="136">
        <v>0</v>
      </c>
      <c r="BE729" s="214">
        <v>0</v>
      </c>
      <c r="BF729" s="136">
        <v>1</v>
      </c>
      <c r="BG729" s="214">
        <v>2552</v>
      </c>
      <c r="BH729" s="214">
        <v>5.1040000000000001</v>
      </c>
      <c r="BI729" s="134">
        <v>0</v>
      </c>
      <c r="BJ729" s="214">
        <v>0</v>
      </c>
      <c r="BK729" s="137">
        <v>0</v>
      </c>
      <c r="BL729" s="137">
        <v>5</v>
      </c>
      <c r="BM729" s="137">
        <v>328</v>
      </c>
      <c r="BN729" s="134">
        <v>0.7711598746081505</v>
      </c>
      <c r="BO729" s="351">
        <v>1968</v>
      </c>
      <c r="BP729" s="134">
        <v>0.2280564263322884</v>
      </c>
      <c r="BQ729" s="214">
        <v>97</v>
      </c>
      <c r="BR729" s="137">
        <v>425</v>
      </c>
      <c r="BS729" s="138">
        <v>0</v>
      </c>
      <c r="BT729" s="351" t="s">
        <v>103</v>
      </c>
      <c r="BU729" s="209">
        <v>0</v>
      </c>
      <c r="BV729" s="209">
        <v>0</v>
      </c>
      <c r="BW729" s="209">
        <v>0</v>
      </c>
      <c r="BX729" s="209">
        <v>0</v>
      </c>
      <c r="BY729" s="209">
        <v>0</v>
      </c>
      <c r="BZ729" s="134">
        <v>0</v>
      </c>
      <c r="CA729" s="138">
        <v>1</v>
      </c>
      <c r="CB729" s="136">
        <v>0</v>
      </c>
      <c r="CC729" s="136">
        <v>0</v>
      </c>
      <c r="CD729" s="136">
        <v>0</v>
      </c>
      <c r="CE729" s="137">
        <v>0</v>
      </c>
      <c r="CF729" s="137">
        <v>0</v>
      </c>
      <c r="CG729" s="351">
        <v>0</v>
      </c>
      <c r="CH729" s="214">
        <v>0</v>
      </c>
      <c r="CI729" s="139">
        <v>0</v>
      </c>
      <c r="CJ729" s="139">
        <v>0</v>
      </c>
      <c r="CK729" s="139" t="s">
        <v>969</v>
      </c>
      <c r="CL729" s="139" t="s">
        <v>969</v>
      </c>
      <c r="CM729" s="139" t="s">
        <v>1054</v>
      </c>
      <c r="CN729" s="139" t="s">
        <v>966</v>
      </c>
      <c r="CO729" s="139">
        <v>20.399269</v>
      </c>
      <c r="CP729" s="139">
        <v>92.781294000000003</v>
      </c>
      <c r="CQ729" s="139" t="s">
        <v>1689</v>
      </c>
      <c r="CR729" s="449" t="s">
        <v>3209</v>
      </c>
      <c r="CS729" s="139"/>
      <c r="CT729" s="24"/>
      <c r="CU729" s="24"/>
      <c r="CV729" s="24"/>
    </row>
    <row r="730" spans="1:100" x14ac:dyDescent="0.25">
      <c r="A730" s="293" t="s">
        <v>2691</v>
      </c>
      <c r="B730" s="206" t="s">
        <v>530</v>
      </c>
      <c r="C730" s="183" t="s">
        <v>454</v>
      </c>
      <c r="D730" s="183" t="s">
        <v>498</v>
      </c>
      <c r="E730" s="183" t="s">
        <v>531</v>
      </c>
      <c r="F730" s="206">
        <v>54</v>
      </c>
      <c r="G730" s="209">
        <v>276</v>
      </c>
      <c r="H730" s="206"/>
      <c r="I730" s="206" t="s">
        <v>388</v>
      </c>
      <c r="J730" s="207">
        <v>43145</v>
      </c>
      <c r="K730" s="206"/>
      <c r="L730" s="206"/>
      <c r="M730" s="208"/>
      <c r="N730" s="208"/>
      <c r="O730" s="316">
        <v>0</v>
      </c>
      <c r="P730" s="317">
        <v>1</v>
      </c>
      <c r="Q730" s="317">
        <v>0</v>
      </c>
      <c r="R730" s="318">
        <v>2</v>
      </c>
      <c r="S730" s="318">
        <v>0</v>
      </c>
      <c r="T730" s="318"/>
      <c r="U730" s="318"/>
      <c r="V730" s="318"/>
      <c r="W730" s="318"/>
      <c r="X730" s="318"/>
      <c r="Y730" s="318"/>
      <c r="Z730" s="318"/>
      <c r="AA730" s="310">
        <v>3</v>
      </c>
      <c r="AB730" s="310">
        <v>0</v>
      </c>
      <c r="AC730" s="66"/>
      <c r="AD730" s="337"/>
      <c r="AE730" s="310">
        <v>3</v>
      </c>
      <c r="AF730" s="310" t="s">
        <v>332</v>
      </c>
      <c r="AG730" s="311" t="s">
        <v>332</v>
      </c>
      <c r="AH730" s="311"/>
      <c r="AI730" s="310"/>
      <c r="AJ730" s="310" t="s">
        <v>2462</v>
      </c>
      <c r="AK730" s="841">
        <v>0</v>
      </c>
      <c r="AL730" s="842" t="s">
        <v>284</v>
      </c>
      <c r="AM730" s="842">
        <v>0</v>
      </c>
      <c r="AN730" s="837">
        <v>0</v>
      </c>
      <c r="AO730" s="850">
        <v>9</v>
      </c>
      <c r="AP730" s="843"/>
      <c r="AQ730" s="843"/>
      <c r="AR730" s="843"/>
      <c r="AS730" s="843"/>
      <c r="AT730" s="843"/>
      <c r="AU730" s="843"/>
      <c r="AV730" s="844"/>
      <c r="AW730" s="208" t="s">
        <v>3208</v>
      </c>
      <c r="AX730" s="211" t="s">
        <v>3208</v>
      </c>
      <c r="AY730" s="210" t="s">
        <v>2576</v>
      </c>
      <c r="AZ730" s="211">
        <v>1</v>
      </c>
      <c r="BA730" s="211">
        <v>0.90579710144927539</v>
      </c>
      <c r="BB730" s="211">
        <v>0.90579710144927539</v>
      </c>
      <c r="BC730" s="209">
        <v>250</v>
      </c>
      <c r="BD730" s="211">
        <v>1</v>
      </c>
      <c r="BE730" s="209">
        <v>276</v>
      </c>
      <c r="BF730" s="211">
        <v>1</v>
      </c>
      <c r="BG730" s="209">
        <v>276</v>
      </c>
      <c r="BH730" s="209">
        <v>0.55200000000000005</v>
      </c>
      <c r="BI730" s="208">
        <v>0</v>
      </c>
      <c r="BJ730" s="209">
        <v>0</v>
      </c>
      <c r="BK730" s="210">
        <v>0.44799999999999995</v>
      </c>
      <c r="BL730" s="210">
        <v>1</v>
      </c>
      <c r="BM730" s="210">
        <v>3</v>
      </c>
      <c r="BN730" s="208">
        <v>6.5217391304347824E-2</v>
      </c>
      <c r="BO730" s="352">
        <v>18</v>
      </c>
      <c r="BP730" s="208">
        <v>0.93478260869565222</v>
      </c>
      <c r="BQ730" s="209">
        <v>43</v>
      </c>
      <c r="BR730" s="210">
        <v>46</v>
      </c>
      <c r="BS730" s="212">
        <v>0</v>
      </c>
      <c r="BT730" s="352" t="s">
        <v>103</v>
      </c>
      <c r="BU730" s="209">
        <v>276</v>
      </c>
      <c r="BV730" s="209">
        <v>0</v>
      </c>
      <c r="BW730" s="209">
        <v>1</v>
      </c>
      <c r="BX730" s="209">
        <v>0</v>
      </c>
      <c r="BY730" s="209">
        <v>0</v>
      </c>
      <c r="BZ730" s="208">
        <v>0</v>
      </c>
      <c r="CA730" s="212">
        <v>1</v>
      </c>
      <c r="CB730" s="211">
        <v>1</v>
      </c>
      <c r="CC730" s="211">
        <v>0</v>
      </c>
      <c r="CD730" s="211">
        <v>0</v>
      </c>
      <c r="CE730" s="210">
        <v>0</v>
      </c>
      <c r="CF730" s="210">
        <v>0</v>
      </c>
      <c r="CG730" s="210">
        <v>0</v>
      </c>
      <c r="CH730" s="209">
        <v>0</v>
      </c>
      <c r="CI730" s="139">
        <v>0</v>
      </c>
      <c r="CJ730" s="139">
        <v>0</v>
      </c>
      <c r="CK730" s="139" t="s">
        <v>969</v>
      </c>
      <c r="CL730" s="139" t="s">
        <v>969</v>
      </c>
      <c r="CM730" s="139" t="s">
        <v>969</v>
      </c>
      <c r="CN730" s="139" t="s">
        <v>454</v>
      </c>
      <c r="CO730" s="139">
        <v>0</v>
      </c>
      <c r="CP730" s="139">
        <v>0</v>
      </c>
      <c r="CQ730" s="139">
        <v>220977</v>
      </c>
      <c r="CR730" s="660" t="s">
        <v>40</v>
      </c>
      <c r="CS730" s="660"/>
      <c r="CT730" s="24"/>
      <c r="CU730" s="24"/>
      <c r="CV730" s="24"/>
    </row>
    <row r="731" spans="1:100" x14ac:dyDescent="0.25">
      <c r="A731" s="293" t="s">
        <v>2691</v>
      </c>
      <c r="B731" s="101" t="s">
        <v>530</v>
      </c>
      <c r="C731" s="206" t="s">
        <v>454</v>
      </c>
      <c r="D731" s="206" t="s">
        <v>498</v>
      </c>
      <c r="E731" s="206" t="s">
        <v>644</v>
      </c>
      <c r="F731" s="132">
        <v>83</v>
      </c>
      <c r="G731" s="214">
        <v>483</v>
      </c>
      <c r="H731" s="132"/>
      <c r="I731" s="206" t="s">
        <v>388</v>
      </c>
      <c r="J731" s="133">
        <v>43145</v>
      </c>
      <c r="K731" s="206"/>
      <c r="L731" s="206"/>
      <c r="M731" s="208"/>
      <c r="N731" s="208"/>
      <c r="O731" s="319">
        <v>0</v>
      </c>
      <c r="P731" s="320">
        <v>0</v>
      </c>
      <c r="Q731" s="317">
        <v>0</v>
      </c>
      <c r="R731" s="318">
        <v>2</v>
      </c>
      <c r="S731" s="318">
        <v>0</v>
      </c>
      <c r="T731" s="318"/>
      <c r="U731" s="317"/>
      <c r="V731" s="317"/>
      <c r="W731" s="317"/>
      <c r="X731" s="317"/>
      <c r="Y731" s="317"/>
      <c r="Z731" s="315"/>
      <c r="AA731" s="310">
        <v>22</v>
      </c>
      <c r="AB731" s="311">
        <v>0</v>
      </c>
      <c r="AC731" s="337"/>
      <c r="AD731" s="337"/>
      <c r="AE731" s="310">
        <v>22</v>
      </c>
      <c r="AF731" s="336" t="s">
        <v>332</v>
      </c>
      <c r="AG731" s="311" t="s">
        <v>332</v>
      </c>
      <c r="AH731" s="66"/>
      <c r="AI731" s="66"/>
      <c r="AJ731" s="310" t="s">
        <v>2462</v>
      </c>
      <c r="AK731" s="841">
        <v>0</v>
      </c>
      <c r="AL731" s="842" t="s">
        <v>284</v>
      </c>
      <c r="AM731" s="842">
        <v>0</v>
      </c>
      <c r="AN731" s="837">
        <v>0</v>
      </c>
      <c r="AO731" s="850">
        <v>9</v>
      </c>
      <c r="AP731" s="843"/>
      <c r="AQ731" s="843"/>
      <c r="AR731" s="843"/>
      <c r="AS731" s="843"/>
      <c r="AT731" s="843"/>
      <c r="AU731" s="843"/>
      <c r="AV731" s="849"/>
      <c r="AW731" s="134" t="s">
        <v>3208</v>
      </c>
      <c r="AX731" s="136" t="s">
        <v>3208</v>
      </c>
      <c r="AY731" s="137" t="s">
        <v>2576</v>
      </c>
      <c r="AZ731" s="136">
        <v>0</v>
      </c>
      <c r="BA731" s="136">
        <v>0</v>
      </c>
      <c r="BB731" s="136">
        <v>0</v>
      </c>
      <c r="BC731" s="214">
        <v>0</v>
      </c>
      <c r="BD731" s="136">
        <v>1</v>
      </c>
      <c r="BE731" s="214">
        <v>483</v>
      </c>
      <c r="BF731" s="136">
        <v>1</v>
      </c>
      <c r="BG731" s="214">
        <v>483</v>
      </c>
      <c r="BH731" s="214">
        <v>0.96599999999999997</v>
      </c>
      <c r="BI731" s="134">
        <v>0</v>
      </c>
      <c r="BJ731" s="214">
        <v>0</v>
      </c>
      <c r="BK731" s="137">
        <v>3.400000000000003E-2</v>
      </c>
      <c r="BL731" s="137">
        <v>1</v>
      </c>
      <c r="BM731" s="137">
        <v>22</v>
      </c>
      <c r="BN731" s="134">
        <v>0.27329192546583853</v>
      </c>
      <c r="BO731" s="351">
        <v>132</v>
      </c>
      <c r="BP731" s="134">
        <v>0.73291925465838514</v>
      </c>
      <c r="BQ731" s="214">
        <v>59</v>
      </c>
      <c r="BR731" s="137">
        <v>81</v>
      </c>
      <c r="BS731" s="138">
        <v>0</v>
      </c>
      <c r="BT731" s="351" t="s">
        <v>103</v>
      </c>
      <c r="BU731" s="209">
        <v>483</v>
      </c>
      <c r="BV731" s="209">
        <v>0</v>
      </c>
      <c r="BW731" s="209">
        <v>1</v>
      </c>
      <c r="BX731" s="209">
        <v>0</v>
      </c>
      <c r="BY731" s="209">
        <v>0</v>
      </c>
      <c r="BZ731" s="134">
        <v>0</v>
      </c>
      <c r="CA731" s="138">
        <v>1</v>
      </c>
      <c r="CB731" s="136">
        <v>1</v>
      </c>
      <c r="CC731" s="136">
        <v>0</v>
      </c>
      <c r="CD731" s="136">
        <v>0</v>
      </c>
      <c r="CE731" s="137">
        <v>0</v>
      </c>
      <c r="CF731" s="137">
        <v>0</v>
      </c>
      <c r="CG731" s="351">
        <v>0</v>
      </c>
      <c r="CH731" s="214">
        <v>0</v>
      </c>
      <c r="CI731" s="139">
        <v>0</v>
      </c>
      <c r="CJ731" s="139">
        <v>0</v>
      </c>
      <c r="CK731" s="139" t="s">
        <v>969</v>
      </c>
      <c r="CL731" s="139" t="s">
        <v>969</v>
      </c>
      <c r="CM731" s="139" t="s">
        <v>969</v>
      </c>
      <c r="CN731" s="139" t="s">
        <v>454</v>
      </c>
      <c r="CO731" s="139">
        <v>20.473930358886701</v>
      </c>
      <c r="CP731" s="139">
        <v>92.668853759765597</v>
      </c>
      <c r="CQ731" s="139">
        <v>197631</v>
      </c>
      <c r="CR731" s="449" t="s">
        <v>40</v>
      </c>
      <c r="CS731" s="139"/>
      <c r="CT731" s="24"/>
      <c r="CU731" s="24"/>
      <c r="CV731" s="24"/>
    </row>
    <row r="732" spans="1:100" x14ac:dyDescent="0.25">
      <c r="A732" s="293" t="s">
        <v>2691</v>
      </c>
      <c r="B732" s="206" t="s">
        <v>460</v>
      </c>
      <c r="C732" s="183" t="s">
        <v>454</v>
      </c>
      <c r="D732" s="183" t="s">
        <v>498</v>
      </c>
      <c r="E732" s="183" t="s">
        <v>669</v>
      </c>
      <c r="F732" s="206">
        <v>280</v>
      </c>
      <c r="G732" s="209">
        <v>2030</v>
      </c>
      <c r="H732" s="206"/>
      <c r="I732" s="206"/>
      <c r="J732" s="207"/>
      <c r="K732" s="206">
        <v>0</v>
      </c>
      <c r="L732" s="206" t="s">
        <v>48</v>
      </c>
      <c r="M732" s="208"/>
      <c r="N732" s="208"/>
      <c r="O732" s="316">
        <v>0</v>
      </c>
      <c r="P732" s="317">
        <v>0</v>
      </c>
      <c r="Q732" s="317">
        <v>0</v>
      </c>
      <c r="R732" s="318">
        <v>3</v>
      </c>
      <c r="S732" s="318">
        <v>0</v>
      </c>
      <c r="T732" s="318"/>
      <c r="U732" s="318"/>
      <c r="V732" s="318"/>
      <c r="W732" s="318"/>
      <c r="X732" s="318"/>
      <c r="Y732" s="318"/>
      <c r="Z732" s="318"/>
      <c r="AA732" s="310">
        <v>0</v>
      </c>
      <c r="AB732" s="310">
        <v>0</v>
      </c>
      <c r="AC732" s="66"/>
      <c r="AD732" s="337"/>
      <c r="AE732" s="310">
        <v>0</v>
      </c>
      <c r="AF732" s="310" t="s">
        <v>332</v>
      </c>
      <c r="AG732" s="311" t="s">
        <v>332</v>
      </c>
      <c r="AH732" s="311"/>
      <c r="AI732" s="310"/>
      <c r="AJ732" s="310"/>
      <c r="AK732" s="841">
        <v>0</v>
      </c>
      <c r="AL732" s="842" t="s">
        <v>284</v>
      </c>
      <c r="AM732" s="842">
        <v>0</v>
      </c>
      <c r="AN732" s="837">
        <v>0</v>
      </c>
      <c r="AO732" s="837">
        <v>7</v>
      </c>
      <c r="AP732" s="843"/>
      <c r="AQ732" s="843"/>
      <c r="AR732" s="843"/>
      <c r="AS732" s="843"/>
      <c r="AT732" s="843"/>
      <c r="AU732" s="843"/>
      <c r="AV732" s="844"/>
      <c r="AW732" s="208" t="s">
        <v>3208</v>
      </c>
      <c r="AX732" s="211" t="s">
        <v>3208</v>
      </c>
      <c r="AY732" s="210" t="s">
        <v>2576</v>
      </c>
      <c r="AZ732" s="211">
        <v>0</v>
      </c>
      <c r="BA732" s="211">
        <v>0</v>
      </c>
      <c r="BB732" s="211">
        <v>0</v>
      </c>
      <c r="BC732" s="209">
        <v>0</v>
      </c>
      <c r="BD732" s="211">
        <v>0.36945812807881773</v>
      </c>
      <c r="BE732" s="209">
        <v>750</v>
      </c>
      <c r="BF732" s="211">
        <v>0.36945812807881773</v>
      </c>
      <c r="BG732" s="209">
        <v>750</v>
      </c>
      <c r="BH732" s="209">
        <v>1.5</v>
      </c>
      <c r="BI732" s="208">
        <v>0.63054187192118227</v>
      </c>
      <c r="BJ732" s="209">
        <v>1280</v>
      </c>
      <c r="BK732" s="210">
        <v>2.5</v>
      </c>
      <c r="BL732" s="210">
        <v>4</v>
      </c>
      <c r="BM732" s="210">
        <v>0</v>
      </c>
      <c r="BN732" s="208">
        <v>0</v>
      </c>
      <c r="BO732" s="352">
        <v>0</v>
      </c>
      <c r="BP732" s="208">
        <v>0.9990147783251232</v>
      </c>
      <c r="BQ732" s="209">
        <v>338</v>
      </c>
      <c r="BR732" s="210">
        <v>338</v>
      </c>
      <c r="BS732" s="212">
        <v>0</v>
      </c>
      <c r="BT732" s="352" t="s">
        <v>103</v>
      </c>
      <c r="BU732" s="209">
        <v>2030</v>
      </c>
      <c r="BV732" s="209">
        <v>0</v>
      </c>
      <c r="BW732" s="209">
        <v>1</v>
      </c>
      <c r="BX732" s="209">
        <v>0</v>
      </c>
      <c r="BY732" s="209">
        <v>0</v>
      </c>
      <c r="BZ732" s="208">
        <v>0</v>
      </c>
      <c r="CA732" s="212">
        <v>1</v>
      </c>
      <c r="CB732" s="211">
        <v>1</v>
      </c>
      <c r="CC732" s="211">
        <v>0</v>
      </c>
      <c r="CD732" s="211">
        <v>0</v>
      </c>
      <c r="CE732" s="210">
        <v>0</v>
      </c>
      <c r="CF732" s="210">
        <v>0</v>
      </c>
      <c r="CG732" s="210">
        <v>0</v>
      </c>
      <c r="CH732" s="209">
        <v>0</v>
      </c>
      <c r="CI732" s="139">
        <v>0</v>
      </c>
      <c r="CJ732" s="139">
        <v>0</v>
      </c>
      <c r="CK732" s="139" t="s">
        <v>969</v>
      </c>
      <c r="CL732" s="139" t="s">
        <v>969</v>
      </c>
      <c r="CM732" s="139" t="s">
        <v>969</v>
      </c>
      <c r="CN732" s="139" t="s">
        <v>966</v>
      </c>
      <c r="CO732" s="139">
        <v>20.581470489501999</v>
      </c>
      <c r="CP732" s="139">
        <v>92.643272399902301</v>
      </c>
      <c r="CQ732" s="139" t="s">
        <v>1723</v>
      </c>
      <c r="CR732" s="660" t="s">
        <v>3209</v>
      </c>
      <c r="CS732" s="660" t="s">
        <v>2797</v>
      </c>
      <c r="CT732" s="24"/>
      <c r="CU732" s="24"/>
      <c r="CV732" s="24"/>
    </row>
    <row r="733" spans="1:100" x14ac:dyDescent="0.25">
      <c r="A733" s="293" t="s">
        <v>2691</v>
      </c>
      <c r="B733" s="206" t="s">
        <v>460</v>
      </c>
      <c r="C733" s="183" t="s">
        <v>454</v>
      </c>
      <c r="D733" s="183" t="s">
        <v>498</v>
      </c>
      <c r="E733" s="183" t="s">
        <v>668</v>
      </c>
      <c r="F733" s="206">
        <v>245</v>
      </c>
      <c r="G733" s="209">
        <v>1292</v>
      </c>
      <c r="H733" s="206"/>
      <c r="I733" s="206"/>
      <c r="J733" s="207"/>
      <c r="K733" s="206">
        <v>0</v>
      </c>
      <c r="L733" s="206" t="s">
        <v>48</v>
      </c>
      <c r="M733" s="208"/>
      <c r="N733" s="208"/>
      <c r="O733" s="316">
        <v>0</v>
      </c>
      <c r="P733" s="317">
        <v>0</v>
      </c>
      <c r="Q733" s="317">
        <v>0</v>
      </c>
      <c r="R733" s="318">
        <v>2</v>
      </c>
      <c r="S733" s="318">
        <v>0</v>
      </c>
      <c r="T733" s="318"/>
      <c r="U733" s="318"/>
      <c r="V733" s="318"/>
      <c r="W733" s="318"/>
      <c r="X733" s="318"/>
      <c r="Y733" s="318"/>
      <c r="Z733" s="318"/>
      <c r="AA733" s="310">
        <v>0</v>
      </c>
      <c r="AB733" s="310">
        <v>0</v>
      </c>
      <c r="AC733" s="66"/>
      <c r="AD733" s="337"/>
      <c r="AE733" s="310">
        <v>0</v>
      </c>
      <c r="AF733" s="310" t="s">
        <v>332</v>
      </c>
      <c r="AG733" s="311" t="s">
        <v>332</v>
      </c>
      <c r="AH733" s="311"/>
      <c r="AI733" s="310"/>
      <c r="AJ733" s="310"/>
      <c r="AK733" s="841">
        <v>0</v>
      </c>
      <c r="AL733" s="842" t="s">
        <v>284</v>
      </c>
      <c r="AM733" s="842">
        <v>0</v>
      </c>
      <c r="AN733" s="837">
        <v>0</v>
      </c>
      <c r="AO733" s="837">
        <v>7</v>
      </c>
      <c r="AP733" s="843"/>
      <c r="AQ733" s="843"/>
      <c r="AR733" s="843"/>
      <c r="AS733" s="843"/>
      <c r="AT733" s="843"/>
      <c r="AU733" s="843"/>
      <c r="AV733" s="844"/>
      <c r="AW733" s="208" t="s">
        <v>3208</v>
      </c>
      <c r="AX733" s="211" t="s">
        <v>3208</v>
      </c>
      <c r="AY733" s="210" t="s">
        <v>2576</v>
      </c>
      <c r="AZ733" s="211">
        <v>0</v>
      </c>
      <c r="BA733" s="211">
        <v>0</v>
      </c>
      <c r="BB733" s="211">
        <v>0</v>
      </c>
      <c r="BC733" s="209">
        <v>0</v>
      </c>
      <c r="BD733" s="211">
        <v>0.38699690402476783</v>
      </c>
      <c r="BE733" s="209">
        <v>500.00000000000006</v>
      </c>
      <c r="BF733" s="211">
        <v>0.38699690402476783</v>
      </c>
      <c r="BG733" s="209">
        <v>500.00000000000006</v>
      </c>
      <c r="BH733" s="209">
        <v>1.0000000000000002</v>
      </c>
      <c r="BI733" s="208">
        <v>0.61300309597523217</v>
      </c>
      <c r="BJ733" s="209">
        <v>792</v>
      </c>
      <c r="BK733" s="210">
        <v>1.9999999999999998</v>
      </c>
      <c r="BL733" s="210">
        <v>3</v>
      </c>
      <c r="BM733" s="210">
        <v>0</v>
      </c>
      <c r="BN733" s="208">
        <v>0</v>
      </c>
      <c r="BO733" s="352">
        <v>0</v>
      </c>
      <c r="BP733" s="208">
        <v>0.99845201238390091</v>
      </c>
      <c r="BQ733" s="209">
        <v>215</v>
      </c>
      <c r="BR733" s="210">
        <v>215</v>
      </c>
      <c r="BS733" s="212">
        <v>0</v>
      </c>
      <c r="BT733" s="352" t="s">
        <v>103</v>
      </c>
      <c r="BU733" s="209">
        <v>1292</v>
      </c>
      <c r="BV733" s="209">
        <v>0</v>
      </c>
      <c r="BW733" s="209">
        <v>1</v>
      </c>
      <c r="BX733" s="209">
        <v>0</v>
      </c>
      <c r="BY733" s="209">
        <v>0</v>
      </c>
      <c r="BZ733" s="208">
        <v>0</v>
      </c>
      <c r="CA733" s="212">
        <v>1</v>
      </c>
      <c r="CB733" s="211">
        <v>1</v>
      </c>
      <c r="CC733" s="211">
        <v>0</v>
      </c>
      <c r="CD733" s="211">
        <v>0</v>
      </c>
      <c r="CE733" s="210">
        <v>0</v>
      </c>
      <c r="CF733" s="210">
        <v>0</v>
      </c>
      <c r="CG733" s="210">
        <v>0</v>
      </c>
      <c r="CH733" s="209">
        <v>0</v>
      </c>
      <c r="CI733" s="139">
        <v>0</v>
      </c>
      <c r="CJ733" s="139">
        <v>0</v>
      </c>
      <c r="CK733" s="139" t="s">
        <v>969</v>
      </c>
      <c r="CL733" s="139" t="s">
        <v>969</v>
      </c>
      <c r="CM733" s="139" t="s">
        <v>969</v>
      </c>
      <c r="CN733" s="139" t="s">
        <v>454</v>
      </c>
      <c r="CO733" s="139">
        <v>20.569759368896499</v>
      </c>
      <c r="CP733" s="139">
        <v>92.641799926757798</v>
      </c>
      <c r="CQ733" s="139" t="s">
        <v>1720</v>
      </c>
      <c r="CR733" s="660" t="s">
        <v>3209</v>
      </c>
      <c r="CS733" s="660" t="s">
        <v>2797</v>
      </c>
      <c r="CT733" s="24"/>
      <c r="CU733" s="24"/>
      <c r="CV733" s="24"/>
    </row>
    <row r="734" spans="1:100" x14ac:dyDescent="0.25">
      <c r="A734" s="293" t="s">
        <v>2691</v>
      </c>
      <c r="B734" s="206" t="s">
        <v>530</v>
      </c>
      <c r="C734" s="183" t="s">
        <v>454</v>
      </c>
      <c r="D734" s="183" t="s">
        <v>498</v>
      </c>
      <c r="E734" s="183" t="s">
        <v>744</v>
      </c>
      <c r="F734" s="206">
        <v>72</v>
      </c>
      <c r="G734" s="209">
        <v>271</v>
      </c>
      <c r="H734" s="206"/>
      <c r="I734" s="206" t="s">
        <v>388</v>
      </c>
      <c r="J734" s="207">
        <v>43145</v>
      </c>
      <c r="K734" s="206"/>
      <c r="L734" s="206"/>
      <c r="M734" s="208"/>
      <c r="N734" s="208"/>
      <c r="O734" s="316">
        <v>0</v>
      </c>
      <c r="P734" s="317">
        <v>3</v>
      </c>
      <c r="Q734" s="317">
        <v>0</v>
      </c>
      <c r="R734" s="318">
        <v>0</v>
      </c>
      <c r="S734" s="318">
        <v>0</v>
      </c>
      <c r="T734" s="318"/>
      <c r="U734" s="318"/>
      <c r="V734" s="318"/>
      <c r="W734" s="318"/>
      <c r="X734" s="318"/>
      <c r="Y734" s="318"/>
      <c r="Z734" s="318"/>
      <c r="AA734" s="310">
        <v>9</v>
      </c>
      <c r="AB734" s="310">
        <v>0</v>
      </c>
      <c r="AC734" s="66"/>
      <c r="AD734" s="337"/>
      <c r="AE734" s="310">
        <v>9</v>
      </c>
      <c r="AF734" s="310" t="s">
        <v>332</v>
      </c>
      <c r="AG734" s="311" t="s">
        <v>332</v>
      </c>
      <c r="AH734" s="311"/>
      <c r="AI734" s="310"/>
      <c r="AJ734" s="310" t="s">
        <v>2462</v>
      </c>
      <c r="AK734" s="841">
        <v>0</v>
      </c>
      <c r="AL734" s="842" t="s">
        <v>284</v>
      </c>
      <c r="AM734" s="842">
        <v>0</v>
      </c>
      <c r="AN734" s="837">
        <v>0</v>
      </c>
      <c r="AO734" s="850">
        <v>9</v>
      </c>
      <c r="AP734" s="843"/>
      <c r="AQ734" s="843"/>
      <c r="AR734" s="843"/>
      <c r="AS734" s="843"/>
      <c r="AT734" s="843"/>
      <c r="AU734" s="843"/>
      <c r="AV734" s="844"/>
      <c r="AW734" s="308" t="s">
        <v>3208</v>
      </c>
      <c r="AX734" s="304" t="s">
        <v>3208</v>
      </c>
      <c r="AY734" s="302" t="s">
        <v>2576</v>
      </c>
      <c r="AZ734" s="304">
        <v>1</v>
      </c>
      <c r="BA734" s="304">
        <v>1</v>
      </c>
      <c r="BB734" s="304">
        <v>1</v>
      </c>
      <c r="BC734" s="307">
        <v>271</v>
      </c>
      <c r="BD734" s="304">
        <v>0</v>
      </c>
      <c r="BE734" s="307">
        <v>0</v>
      </c>
      <c r="BF734" s="304">
        <v>1</v>
      </c>
      <c r="BG734" s="307">
        <v>271</v>
      </c>
      <c r="BH734" s="307">
        <v>0.54200000000000004</v>
      </c>
      <c r="BI734" s="308">
        <v>0</v>
      </c>
      <c r="BJ734" s="307">
        <v>0</v>
      </c>
      <c r="BK734" s="302">
        <v>0.45799999999999996</v>
      </c>
      <c r="BL734" s="302">
        <v>1</v>
      </c>
      <c r="BM734" s="302">
        <v>9</v>
      </c>
      <c r="BN734" s="308">
        <v>0.19926199261992619</v>
      </c>
      <c r="BO734" s="354">
        <v>54</v>
      </c>
      <c r="BP734" s="308">
        <v>0.79704797047970488</v>
      </c>
      <c r="BQ734" s="307">
        <v>36</v>
      </c>
      <c r="BR734" s="302">
        <v>45</v>
      </c>
      <c r="BS734" s="309">
        <v>0</v>
      </c>
      <c r="BT734" s="354" t="s">
        <v>103</v>
      </c>
      <c r="BU734" s="299">
        <v>271</v>
      </c>
      <c r="BV734" s="299">
        <v>0</v>
      </c>
      <c r="BW734" s="299">
        <v>1</v>
      </c>
      <c r="BX734" s="299">
        <v>0</v>
      </c>
      <c r="BY734" s="299">
        <v>0</v>
      </c>
      <c r="BZ734" s="308">
        <v>0</v>
      </c>
      <c r="CA734" s="309">
        <v>1</v>
      </c>
      <c r="CB734" s="304">
        <v>1</v>
      </c>
      <c r="CC734" s="304">
        <v>0</v>
      </c>
      <c r="CD734" s="304">
        <v>0</v>
      </c>
      <c r="CE734" s="302">
        <v>0</v>
      </c>
      <c r="CF734" s="302">
        <v>0</v>
      </c>
      <c r="CG734" s="302">
        <v>0</v>
      </c>
      <c r="CH734" s="307">
        <v>0</v>
      </c>
      <c r="CI734" s="139">
        <v>0</v>
      </c>
      <c r="CJ734" s="139">
        <v>0</v>
      </c>
      <c r="CK734" s="139" t="s">
        <v>969</v>
      </c>
      <c r="CL734" s="139" t="s">
        <v>969</v>
      </c>
      <c r="CM734" s="139" t="s">
        <v>969</v>
      </c>
      <c r="CN734" s="139" t="s">
        <v>454</v>
      </c>
      <c r="CO734" s="139">
        <v>20.495670318603501</v>
      </c>
      <c r="CP734" s="139">
        <v>92.651496887207003</v>
      </c>
      <c r="CQ734" s="139">
        <v>197616</v>
      </c>
      <c r="CR734" s="399" t="s">
        <v>40</v>
      </c>
      <c r="CS734" s="400"/>
      <c r="CT734" s="24"/>
      <c r="CU734" s="24"/>
      <c r="CV734" s="24"/>
    </row>
    <row r="735" spans="1:100" x14ac:dyDescent="0.25">
      <c r="A735" s="293" t="s">
        <v>2691</v>
      </c>
      <c r="B735" s="101" t="s">
        <v>530</v>
      </c>
      <c r="C735" s="101" t="s">
        <v>454</v>
      </c>
      <c r="D735" s="101" t="s">
        <v>498</v>
      </c>
      <c r="E735" s="101" t="s">
        <v>684</v>
      </c>
      <c r="F735" s="132">
        <v>86</v>
      </c>
      <c r="G735" s="214">
        <v>401</v>
      </c>
      <c r="H735" s="132"/>
      <c r="I735" s="101" t="s">
        <v>388</v>
      </c>
      <c r="J735" s="133">
        <v>43145</v>
      </c>
      <c r="K735" s="101"/>
      <c r="L735" s="101"/>
      <c r="M735" s="208"/>
      <c r="N735" s="208"/>
      <c r="O735" s="319">
        <v>0</v>
      </c>
      <c r="P735" s="320">
        <v>0</v>
      </c>
      <c r="Q735" s="321">
        <v>0</v>
      </c>
      <c r="R735" s="322">
        <v>2</v>
      </c>
      <c r="S735" s="322">
        <v>0</v>
      </c>
      <c r="T735" s="322"/>
      <c r="U735" s="317"/>
      <c r="V735" s="317"/>
      <c r="W735" s="317"/>
      <c r="X735" s="317"/>
      <c r="Y735" s="317"/>
      <c r="Z735" s="315"/>
      <c r="AA735" s="310">
        <v>17</v>
      </c>
      <c r="AB735" s="311">
        <v>0</v>
      </c>
      <c r="AC735" s="337"/>
      <c r="AD735" s="337"/>
      <c r="AE735" s="340">
        <v>17</v>
      </c>
      <c r="AF735" s="336" t="s">
        <v>332</v>
      </c>
      <c r="AG735" s="66" t="s">
        <v>332</v>
      </c>
      <c r="AH735" s="66"/>
      <c r="AI735" s="66"/>
      <c r="AJ735" s="310" t="s">
        <v>2462</v>
      </c>
      <c r="AK735" s="841">
        <v>0</v>
      </c>
      <c r="AL735" s="842" t="s">
        <v>284</v>
      </c>
      <c r="AM735" s="842">
        <v>0</v>
      </c>
      <c r="AN735" s="837">
        <v>0</v>
      </c>
      <c r="AO735" s="850">
        <v>9</v>
      </c>
      <c r="AP735" s="843"/>
      <c r="AQ735" s="843"/>
      <c r="AR735" s="843"/>
      <c r="AS735" s="843"/>
      <c r="AT735" s="843"/>
      <c r="AU735" s="843"/>
      <c r="AV735" s="849"/>
      <c r="AW735" s="134" t="s">
        <v>3208</v>
      </c>
      <c r="AX735" s="136" t="s">
        <v>3208</v>
      </c>
      <c r="AY735" s="137" t="s">
        <v>2576</v>
      </c>
      <c r="AZ735" s="136">
        <v>0</v>
      </c>
      <c r="BA735" s="136">
        <v>0</v>
      </c>
      <c r="BB735" s="136">
        <v>0</v>
      </c>
      <c r="BC735" s="214">
        <v>0</v>
      </c>
      <c r="BD735" s="136">
        <v>1</v>
      </c>
      <c r="BE735" s="214">
        <v>401</v>
      </c>
      <c r="BF735" s="136">
        <v>1</v>
      </c>
      <c r="BG735" s="214">
        <v>401</v>
      </c>
      <c r="BH735" s="214">
        <v>0.80200000000000005</v>
      </c>
      <c r="BI735" s="134">
        <v>0</v>
      </c>
      <c r="BJ735" s="214">
        <v>0</v>
      </c>
      <c r="BK735" s="137">
        <v>0.19799999999999995</v>
      </c>
      <c r="BL735" s="137">
        <v>1</v>
      </c>
      <c r="BM735" s="137">
        <v>17</v>
      </c>
      <c r="BN735" s="134">
        <v>0.25436408977556108</v>
      </c>
      <c r="BO735" s="351">
        <v>101.99999999999999</v>
      </c>
      <c r="BP735" s="134">
        <v>0.74812967581047385</v>
      </c>
      <c r="BQ735" s="214">
        <v>50</v>
      </c>
      <c r="BR735" s="137">
        <v>67</v>
      </c>
      <c r="BS735" s="138">
        <v>0</v>
      </c>
      <c r="BT735" s="351" t="s">
        <v>103</v>
      </c>
      <c r="BU735" s="209">
        <v>401</v>
      </c>
      <c r="BV735" s="209">
        <v>0</v>
      </c>
      <c r="BW735" s="209">
        <v>1</v>
      </c>
      <c r="BX735" s="209">
        <v>0</v>
      </c>
      <c r="BY735" s="209">
        <v>0</v>
      </c>
      <c r="BZ735" s="134">
        <v>0</v>
      </c>
      <c r="CA735" s="138">
        <v>1</v>
      </c>
      <c r="CB735" s="136">
        <v>1</v>
      </c>
      <c r="CC735" s="136">
        <v>0</v>
      </c>
      <c r="CD735" s="136">
        <v>0</v>
      </c>
      <c r="CE735" s="137">
        <v>0</v>
      </c>
      <c r="CF735" s="137">
        <v>0</v>
      </c>
      <c r="CG735" s="351">
        <v>0</v>
      </c>
      <c r="CH735" s="214">
        <v>0</v>
      </c>
      <c r="CI735" s="139">
        <v>0</v>
      </c>
      <c r="CJ735" s="139">
        <v>0</v>
      </c>
      <c r="CK735" s="139" t="s">
        <v>969</v>
      </c>
      <c r="CL735" s="139" t="s">
        <v>969</v>
      </c>
      <c r="CM735" s="139" t="s">
        <v>969</v>
      </c>
      <c r="CN735" s="139" t="s">
        <v>454</v>
      </c>
      <c r="CO735" s="139">
        <v>20.651939392089801</v>
      </c>
      <c r="CP735" s="139">
        <v>92.684577941894503</v>
      </c>
      <c r="CQ735" s="139">
        <v>197695</v>
      </c>
      <c r="CR735" s="449" t="s">
        <v>40</v>
      </c>
      <c r="CS735" s="139"/>
      <c r="CT735" s="24"/>
      <c r="CU735" s="24"/>
      <c r="CV735" s="24"/>
    </row>
    <row r="736" spans="1:100" x14ac:dyDescent="0.25">
      <c r="A736" s="293" t="s">
        <v>2691</v>
      </c>
      <c r="B736" s="101" t="s">
        <v>530</v>
      </c>
      <c r="C736" s="101" t="s">
        <v>454</v>
      </c>
      <c r="D736" s="101" t="s">
        <v>498</v>
      </c>
      <c r="E736" s="101" t="s">
        <v>639</v>
      </c>
      <c r="F736" s="132">
        <v>97</v>
      </c>
      <c r="G736" s="214">
        <v>339</v>
      </c>
      <c r="H736" s="132"/>
      <c r="I736" s="101" t="s">
        <v>388</v>
      </c>
      <c r="J736" s="133">
        <v>43145</v>
      </c>
      <c r="K736" s="101"/>
      <c r="L736" s="101"/>
      <c r="M736" s="208"/>
      <c r="N736" s="208"/>
      <c r="O736" s="319">
        <v>0</v>
      </c>
      <c r="P736" s="320">
        <v>0</v>
      </c>
      <c r="Q736" s="321">
        <v>0</v>
      </c>
      <c r="R736" s="322">
        <v>3</v>
      </c>
      <c r="S736" s="322">
        <v>0</v>
      </c>
      <c r="T736" s="322"/>
      <c r="U736" s="317"/>
      <c r="V736" s="317"/>
      <c r="W736" s="317"/>
      <c r="X736" s="317"/>
      <c r="Y736" s="317"/>
      <c r="Z736" s="315"/>
      <c r="AA736" s="310">
        <v>28</v>
      </c>
      <c r="AB736" s="311">
        <v>0</v>
      </c>
      <c r="AC736" s="337"/>
      <c r="AD736" s="337"/>
      <c r="AE736" s="340">
        <v>28</v>
      </c>
      <c r="AF736" s="336" t="s">
        <v>332</v>
      </c>
      <c r="AG736" s="66" t="s">
        <v>332</v>
      </c>
      <c r="AH736" s="66"/>
      <c r="AI736" s="66"/>
      <c r="AJ736" s="310" t="s">
        <v>2462</v>
      </c>
      <c r="AK736" s="841">
        <v>0</v>
      </c>
      <c r="AL736" s="842" t="s">
        <v>284</v>
      </c>
      <c r="AM736" s="842">
        <v>0</v>
      </c>
      <c r="AN736" s="837">
        <v>0</v>
      </c>
      <c r="AO736" s="850">
        <v>9</v>
      </c>
      <c r="AP736" s="843"/>
      <c r="AQ736" s="843"/>
      <c r="AR736" s="843"/>
      <c r="AS736" s="843"/>
      <c r="AT736" s="843"/>
      <c r="AU736" s="843"/>
      <c r="AV736" s="849"/>
      <c r="AW736" s="134" t="s">
        <v>3208</v>
      </c>
      <c r="AX736" s="136" t="s">
        <v>3208</v>
      </c>
      <c r="AY736" s="137" t="s">
        <v>2576</v>
      </c>
      <c r="AZ736" s="136">
        <v>0</v>
      </c>
      <c r="BA736" s="136">
        <v>0</v>
      </c>
      <c r="BB736" s="136">
        <v>0</v>
      </c>
      <c r="BC736" s="214">
        <v>0</v>
      </c>
      <c r="BD736" s="136">
        <v>1</v>
      </c>
      <c r="BE736" s="214">
        <v>339</v>
      </c>
      <c r="BF736" s="136">
        <v>1</v>
      </c>
      <c r="BG736" s="214">
        <v>339</v>
      </c>
      <c r="BH736" s="214">
        <v>0.67800000000000005</v>
      </c>
      <c r="BI736" s="134">
        <v>0</v>
      </c>
      <c r="BJ736" s="214">
        <v>0</v>
      </c>
      <c r="BK736" s="137">
        <v>0.32199999999999995</v>
      </c>
      <c r="BL736" s="137">
        <v>1</v>
      </c>
      <c r="BM736" s="137">
        <v>28</v>
      </c>
      <c r="BN736" s="134">
        <v>0.49557522123893805</v>
      </c>
      <c r="BO736" s="351">
        <v>168</v>
      </c>
      <c r="BP736" s="134">
        <v>0.51327433628318586</v>
      </c>
      <c r="BQ736" s="214">
        <v>29</v>
      </c>
      <c r="BR736" s="137">
        <v>57</v>
      </c>
      <c r="BS736" s="138">
        <v>0</v>
      </c>
      <c r="BT736" s="351" t="s">
        <v>103</v>
      </c>
      <c r="BU736" s="209">
        <v>339</v>
      </c>
      <c r="BV736" s="209">
        <v>0</v>
      </c>
      <c r="BW736" s="209">
        <v>1</v>
      </c>
      <c r="BX736" s="209">
        <v>0</v>
      </c>
      <c r="BY736" s="209">
        <v>0</v>
      </c>
      <c r="BZ736" s="134">
        <v>0</v>
      </c>
      <c r="CA736" s="138">
        <v>1</v>
      </c>
      <c r="CB736" s="136">
        <v>1</v>
      </c>
      <c r="CC736" s="136">
        <v>0</v>
      </c>
      <c r="CD736" s="136">
        <v>0</v>
      </c>
      <c r="CE736" s="137">
        <v>0</v>
      </c>
      <c r="CF736" s="137">
        <v>0</v>
      </c>
      <c r="CG736" s="351">
        <v>0</v>
      </c>
      <c r="CH736" s="214">
        <v>0</v>
      </c>
      <c r="CI736" s="139">
        <v>0</v>
      </c>
      <c r="CJ736" s="139">
        <v>0</v>
      </c>
      <c r="CK736" s="139" t="s">
        <v>969</v>
      </c>
      <c r="CL736" s="139" t="s">
        <v>969</v>
      </c>
      <c r="CM736" s="139" t="s">
        <v>969</v>
      </c>
      <c r="CN736" s="139" t="s">
        <v>454</v>
      </c>
      <c r="CO736" s="139">
        <v>20.463909149169901</v>
      </c>
      <c r="CP736" s="139">
        <v>92.675468444824205</v>
      </c>
      <c r="CQ736" s="139">
        <v>197629</v>
      </c>
      <c r="CR736" s="449" t="s">
        <v>40</v>
      </c>
      <c r="CS736" s="139"/>
      <c r="CT736" s="24"/>
      <c r="CU736" s="24"/>
      <c r="CV736" s="24"/>
    </row>
    <row r="737" spans="1:100" x14ac:dyDescent="0.25">
      <c r="A737" s="293" t="s">
        <v>2691</v>
      </c>
      <c r="B737" s="206" t="s">
        <v>530</v>
      </c>
      <c r="C737" s="183" t="s">
        <v>454</v>
      </c>
      <c r="D737" s="183" t="s">
        <v>498</v>
      </c>
      <c r="E737" s="183" t="s">
        <v>651</v>
      </c>
      <c r="F737" s="206">
        <v>70</v>
      </c>
      <c r="G737" s="209">
        <v>350</v>
      </c>
      <c r="H737" s="206"/>
      <c r="I737" s="206" t="s">
        <v>388</v>
      </c>
      <c r="J737" s="207">
        <v>43145</v>
      </c>
      <c r="K737" s="206"/>
      <c r="L737" s="206"/>
      <c r="M737" s="208"/>
      <c r="N737" s="208"/>
      <c r="O737" s="316">
        <v>0</v>
      </c>
      <c r="P737" s="317">
        <v>0</v>
      </c>
      <c r="Q737" s="317">
        <v>0</v>
      </c>
      <c r="R737" s="318">
        <v>1</v>
      </c>
      <c r="S737" s="318">
        <v>0</v>
      </c>
      <c r="T737" s="318"/>
      <c r="U737" s="318"/>
      <c r="V737" s="318"/>
      <c r="W737" s="318"/>
      <c r="X737" s="318"/>
      <c r="Y737" s="318"/>
      <c r="Z737" s="318"/>
      <c r="AA737" s="310">
        <v>16</v>
      </c>
      <c r="AB737" s="310">
        <v>0</v>
      </c>
      <c r="AC737" s="66"/>
      <c r="AD737" s="337"/>
      <c r="AE737" s="310">
        <v>16</v>
      </c>
      <c r="AF737" s="310" t="s">
        <v>332</v>
      </c>
      <c r="AG737" s="311" t="s">
        <v>332</v>
      </c>
      <c r="AH737" s="311"/>
      <c r="AI737" s="310"/>
      <c r="AJ737" s="310" t="s">
        <v>2462</v>
      </c>
      <c r="AK737" s="841">
        <v>0</v>
      </c>
      <c r="AL737" s="842" t="s">
        <v>284</v>
      </c>
      <c r="AM737" s="842">
        <v>0</v>
      </c>
      <c r="AN737" s="837">
        <v>0</v>
      </c>
      <c r="AO737" s="850">
        <v>9</v>
      </c>
      <c r="AP737" s="843"/>
      <c r="AQ737" s="843"/>
      <c r="AR737" s="843"/>
      <c r="AS737" s="843"/>
      <c r="AT737" s="843"/>
      <c r="AU737" s="843"/>
      <c r="AV737" s="844"/>
      <c r="AW737" s="208" t="s">
        <v>3208</v>
      </c>
      <c r="AX737" s="211" t="s">
        <v>3208</v>
      </c>
      <c r="AY737" s="210" t="s">
        <v>2576</v>
      </c>
      <c r="AZ737" s="211">
        <v>0</v>
      </c>
      <c r="BA737" s="211">
        <v>0</v>
      </c>
      <c r="BB737" s="211">
        <v>0</v>
      </c>
      <c r="BC737" s="209">
        <v>0</v>
      </c>
      <c r="BD737" s="211">
        <v>0.7142857142857143</v>
      </c>
      <c r="BE737" s="209">
        <v>250</v>
      </c>
      <c r="BF737" s="211">
        <v>0.7142857142857143</v>
      </c>
      <c r="BG737" s="209">
        <v>250</v>
      </c>
      <c r="BH737" s="209">
        <v>0.5</v>
      </c>
      <c r="BI737" s="208">
        <v>0.2857142857142857</v>
      </c>
      <c r="BJ737" s="209">
        <v>100</v>
      </c>
      <c r="BK737" s="210">
        <v>0.5</v>
      </c>
      <c r="BL737" s="210">
        <v>1</v>
      </c>
      <c r="BM737" s="210">
        <v>16</v>
      </c>
      <c r="BN737" s="208">
        <v>0.2742857142857143</v>
      </c>
      <c r="BO737" s="352">
        <v>96</v>
      </c>
      <c r="BP737" s="208">
        <v>0.72</v>
      </c>
      <c r="BQ737" s="209">
        <v>42</v>
      </c>
      <c r="BR737" s="210">
        <v>58</v>
      </c>
      <c r="BS737" s="212">
        <v>0</v>
      </c>
      <c r="BT737" s="352" t="s">
        <v>103</v>
      </c>
      <c r="BU737" s="209">
        <v>350</v>
      </c>
      <c r="BV737" s="209">
        <v>0</v>
      </c>
      <c r="BW737" s="209">
        <v>1</v>
      </c>
      <c r="BX737" s="209">
        <v>0</v>
      </c>
      <c r="BY737" s="209">
        <v>0</v>
      </c>
      <c r="BZ737" s="208">
        <v>0</v>
      </c>
      <c r="CA737" s="212">
        <v>1</v>
      </c>
      <c r="CB737" s="211">
        <v>1</v>
      </c>
      <c r="CC737" s="211">
        <v>0</v>
      </c>
      <c r="CD737" s="211">
        <v>0</v>
      </c>
      <c r="CE737" s="210">
        <v>0</v>
      </c>
      <c r="CF737" s="210">
        <v>0</v>
      </c>
      <c r="CG737" s="210">
        <v>0</v>
      </c>
      <c r="CH737" s="209">
        <v>0</v>
      </c>
      <c r="CI737" s="139">
        <v>0</v>
      </c>
      <c r="CJ737" s="139">
        <v>0</v>
      </c>
      <c r="CK737" s="139" t="s">
        <v>969</v>
      </c>
      <c r="CL737" s="139" t="s">
        <v>969</v>
      </c>
      <c r="CM737" s="139" t="s">
        <v>969</v>
      </c>
      <c r="CN737" s="139" t="s">
        <v>454</v>
      </c>
      <c r="CO737" s="139">
        <v>20.502599716186499</v>
      </c>
      <c r="CP737" s="139">
        <v>92.647476196289105</v>
      </c>
      <c r="CQ737" s="139">
        <v>197615</v>
      </c>
      <c r="CR737" s="660" t="s">
        <v>40</v>
      </c>
      <c r="CS737" s="660"/>
      <c r="CT737" s="24"/>
      <c r="CU737" s="24"/>
      <c r="CV737" s="24"/>
    </row>
    <row r="738" spans="1:100" x14ac:dyDescent="0.25">
      <c r="A738" s="293" t="s">
        <v>2691</v>
      </c>
      <c r="B738" s="206" t="s">
        <v>530</v>
      </c>
      <c r="C738" s="183" t="s">
        <v>454</v>
      </c>
      <c r="D738" s="183" t="s">
        <v>498</v>
      </c>
      <c r="E738" s="183" t="s">
        <v>646</v>
      </c>
      <c r="F738" s="206">
        <v>89</v>
      </c>
      <c r="G738" s="209">
        <v>555</v>
      </c>
      <c r="H738" s="206"/>
      <c r="I738" s="206" t="s">
        <v>388</v>
      </c>
      <c r="J738" s="207">
        <v>43145</v>
      </c>
      <c r="K738" s="206"/>
      <c r="L738" s="206"/>
      <c r="M738" s="208"/>
      <c r="N738" s="208"/>
      <c r="O738" s="316">
        <v>0</v>
      </c>
      <c r="P738" s="317">
        <v>1</v>
      </c>
      <c r="Q738" s="317">
        <v>0</v>
      </c>
      <c r="R738" s="318">
        <v>3</v>
      </c>
      <c r="S738" s="318">
        <v>0</v>
      </c>
      <c r="T738" s="318"/>
      <c r="U738" s="318"/>
      <c r="V738" s="318"/>
      <c r="W738" s="318"/>
      <c r="X738" s="318"/>
      <c r="Y738" s="318"/>
      <c r="Z738" s="318"/>
      <c r="AA738" s="310">
        <v>42</v>
      </c>
      <c r="AB738" s="310">
        <v>0</v>
      </c>
      <c r="AC738" s="66"/>
      <c r="AD738" s="337"/>
      <c r="AE738" s="310">
        <v>42</v>
      </c>
      <c r="AF738" s="310" t="s">
        <v>332</v>
      </c>
      <c r="AG738" s="311" t="s">
        <v>332</v>
      </c>
      <c r="AH738" s="311"/>
      <c r="AI738" s="310"/>
      <c r="AJ738" s="310" t="s">
        <v>2462</v>
      </c>
      <c r="AK738" s="841">
        <v>0</v>
      </c>
      <c r="AL738" s="842" t="s">
        <v>284</v>
      </c>
      <c r="AM738" s="842">
        <v>0</v>
      </c>
      <c r="AN738" s="837">
        <v>0</v>
      </c>
      <c r="AO738" s="850">
        <v>9</v>
      </c>
      <c r="AP738" s="843"/>
      <c r="AQ738" s="843"/>
      <c r="AR738" s="843"/>
      <c r="AS738" s="843"/>
      <c r="AT738" s="843"/>
      <c r="AU738" s="843"/>
      <c r="AV738" s="844"/>
      <c r="AW738" s="208" t="s">
        <v>3208</v>
      </c>
      <c r="AX738" s="211" t="s">
        <v>3208</v>
      </c>
      <c r="AY738" s="210" t="s">
        <v>2576</v>
      </c>
      <c r="AZ738" s="211">
        <v>1</v>
      </c>
      <c r="BA738" s="211">
        <v>0.45045045045045046</v>
      </c>
      <c r="BB738" s="211">
        <v>0.45045045045045046</v>
      </c>
      <c r="BC738" s="209">
        <v>250</v>
      </c>
      <c r="BD738" s="211">
        <v>1</v>
      </c>
      <c r="BE738" s="209">
        <v>555</v>
      </c>
      <c r="BF738" s="211">
        <v>1</v>
      </c>
      <c r="BG738" s="209">
        <v>555</v>
      </c>
      <c r="BH738" s="209">
        <v>1.1100000000000001</v>
      </c>
      <c r="BI738" s="208">
        <v>0</v>
      </c>
      <c r="BJ738" s="209">
        <v>0</v>
      </c>
      <c r="BK738" s="210">
        <v>0</v>
      </c>
      <c r="BL738" s="210">
        <v>1</v>
      </c>
      <c r="BM738" s="210">
        <v>42</v>
      </c>
      <c r="BN738" s="208">
        <v>0.45405405405405408</v>
      </c>
      <c r="BO738" s="352">
        <v>252</v>
      </c>
      <c r="BP738" s="208">
        <v>0.55135135135135138</v>
      </c>
      <c r="BQ738" s="209">
        <v>51</v>
      </c>
      <c r="BR738" s="210">
        <v>93</v>
      </c>
      <c r="BS738" s="212">
        <v>0</v>
      </c>
      <c r="BT738" s="352" t="s">
        <v>103</v>
      </c>
      <c r="BU738" s="209">
        <v>555</v>
      </c>
      <c r="BV738" s="209">
        <v>0</v>
      </c>
      <c r="BW738" s="209">
        <v>1</v>
      </c>
      <c r="BX738" s="209">
        <v>0</v>
      </c>
      <c r="BY738" s="209">
        <v>0</v>
      </c>
      <c r="BZ738" s="208">
        <v>0</v>
      </c>
      <c r="CA738" s="212">
        <v>1</v>
      </c>
      <c r="CB738" s="211">
        <v>1</v>
      </c>
      <c r="CC738" s="211">
        <v>0</v>
      </c>
      <c r="CD738" s="211">
        <v>0</v>
      </c>
      <c r="CE738" s="210">
        <v>0</v>
      </c>
      <c r="CF738" s="210">
        <v>0</v>
      </c>
      <c r="CG738" s="210">
        <v>0</v>
      </c>
      <c r="CH738" s="209">
        <v>0</v>
      </c>
      <c r="CI738" s="139">
        <v>0</v>
      </c>
      <c r="CJ738" s="139">
        <v>0</v>
      </c>
      <c r="CK738" s="139" t="s">
        <v>969</v>
      </c>
      <c r="CL738" s="139" t="s">
        <v>969</v>
      </c>
      <c r="CM738" s="139" t="s">
        <v>969</v>
      </c>
      <c r="CN738" s="139" t="s">
        <v>454</v>
      </c>
      <c r="CO738" s="139">
        <v>20.480100631713899</v>
      </c>
      <c r="CP738" s="139">
        <v>92.704818725585895</v>
      </c>
      <c r="CQ738" s="139">
        <v>197618</v>
      </c>
      <c r="CR738" s="660" t="s">
        <v>40</v>
      </c>
      <c r="CS738" s="660"/>
      <c r="CT738" s="24"/>
      <c r="CU738" s="24"/>
      <c r="CV738" s="24"/>
    </row>
    <row r="739" spans="1:100" x14ac:dyDescent="0.25">
      <c r="A739" s="293" t="s">
        <v>2691</v>
      </c>
      <c r="B739" s="101" t="s">
        <v>530</v>
      </c>
      <c r="C739" s="206" t="s">
        <v>454</v>
      </c>
      <c r="D739" s="206" t="s">
        <v>498</v>
      </c>
      <c r="E739" s="206" t="s">
        <v>643</v>
      </c>
      <c r="F739" s="132">
        <v>90</v>
      </c>
      <c r="G739" s="214">
        <v>475</v>
      </c>
      <c r="H739" s="132"/>
      <c r="I739" s="206" t="s">
        <v>388</v>
      </c>
      <c r="J739" s="133">
        <v>43145</v>
      </c>
      <c r="K739" s="206"/>
      <c r="L739" s="206"/>
      <c r="M739" s="208"/>
      <c r="N739" s="208"/>
      <c r="O739" s="319">
        <v>0</v>
      </c>
      <c r="P739" s="320">
        <v>0</v>
      </c>
      <c r="Q739" s="317">
        <v>0</v>
      </c>
      <c r="R739" s="318">
        <v>3</v>
      </c>
      <c r="S739" s="318">
        <v>0</v>
      </c>
      <c r="T739" s="318"/>
      <c r="U739" s="317"/>
      <c r="V739" s="317"/>
      <c r="W739" s="317"/>
      <c r="X739" s="317"/>
      <c r="Y739" s="317"/>
      <c r="Z739" s="315"/>
      <c r="AA739" s="310">
        <v>14</v>
      </c>
      <c r="AB739" s="311">
        <v>0</v>
      </c>
      <c r="AC739" s="337"/>
      <c r="AD739" s="337"/>
      <c r="AE739" s="310">
        <v>14</v>
      </c>
      <c r="AF739" s="336" t="s">
        <v>332</v>
      </c>
      <c r="AG739" s="311" t="s">
        <v>332</v>
      </c>
      <c r="AH739" s="66"/>
      <c r="AI739" s="66"/>
      <c r="AJ739" s="310" t="s">
        <v>2462</v>
      </c>
      <c r="AK739" s="841">
        <v>0</v>
      </c>
      <c r="AL739" s="842" t="s">
        <v>284</v>
      </c>
      <c r="AM739" s="842">
        <v>0</v>
      </c>
      <c r="AN739" s="837">
        <v>0</v>
      </c>
      <c r="AO739" s="850">
        <v>9</v>
      </c>
      <c r="AP739" s="843"/>
      <c r="AQ739" s="843"/>
      <c r="AR739" s="843"/>
      <c r="AS739" s="843"/>
      <c r="AT739" s="843"/>
      <c r="AU739" s="843"/>
      <c r="AV739" s="849"/>
      <c r="AW739" s="134" t="s">
        <v>3208</v>
      </c>
      <c r="AX739" s="136" t="s">
        <v>3208</v>
      </c>
      <c r="AY739" s="137" t="s">
        <v>2576</v>
      </c>
      <c r="AZ739" s="136">
        <v>0</v>
      </c>
      <c r="BA739" s="136">
        <v>0</v>
      </c>
      <c r="BB739" s="136">
        <v>0</v>
      </c>
      <c r="BC739" s="214">
        <v>0</v>
      </c>
      <c r="BD739" s="136">
        <v>1</v>
      </c>
      <c r="BE739" s="214">
        <v>475</v>
      </c>
      <c r="BF739" s="136">
        <v>1</v>
      </c>
      <c r="BG739" s="214">
        <v>475</v>
      </c>
      <c r="BH739" s="214">
        <v>0.95</v>
      </c>
      <c r="BI739" s="134">
        <v>0</v>
      </c>
      <c r="BJ739" s="214">
        <v>0</v>
      </c>
      <c r="BK739" s="137">
        <v>5.0000000000000044E-2</v>
      </c>
      <c r="BL739" s="137">
        <v>1</v>
      </c>
      <c r="BM739" s="137">
        <v>14</v>
      </c>
      <c r="BN739" s="134">
        <v>0.17684210526315788</v>
      </c>
      <c r="BO739" s="351">
        <v>84</v>
      </c>
      <c r="BP739" s="134">
        <v>0.82105263157894737</v>
      </c>
      <c r="BQ739" s="214">
        <v>65</v>
      </c>
      <c r="BR739" s="137">
        <v>79</v>
      </c>
      <c r="BS739" s="138">
        <v>0</v>
      </c>
      <c r="BT739" s="351" t="s">
        <v>103</v>
      </c>
      <c r="BU739" s="209">
        <v>475</v>
      </c>
      <c r="BV739" s="209">
        <v>0</v>
      </c>
      <c r="BW739" s="209">
        <v>1</v>
      </c>
      <c r="BX739" s="209">
        <v>0</v>
      </c>
      <c r="BY739" s="209">
        <v>0</v>
      </c>
      <c r="BZ739" s="134">
        <v>0</v>
      </c>
      <c r="CA739" s="138">
        <v>1</v>
      </c>
      <c r="CB739" s="136">
        <v>1</v>
      </c>
      <c r="CC739" s="136">
        <v>0</v>
      </c>
      <c r="CD739" s="136">
        <v>0</v>
      </c>
      <c r="CE739" s="137">
        <v>0</v>
      </c>
      <c r="CF739" s="137">
        <v>0</v>
      </c>
      <c r="CG739" s="351">
        <v>0</v>
      </c>
      <c r="CH739" s="214">
        <v>0</v>
      </c>
      <c r="CI739" s="139">
        <v>0</v>
      </c>
      <c r="CJ739" s="139">
        <v>0</v>
      </c>
      <c r="CK739" s="139" t="s">
        <v>969</v>
      </c>
      <c r="CL739" s="139" t="s">
        <v>969</v>
      </c>
      <c r="CM739" s="139" t="s">
        <v>969</v>
      </c>
      <c r="CN739" s="139" t="s">
        <v>454</v>
      </c>
      <c r="CO739" s="139">
        <v>20.470119476318398</v>
      </c>
      <c r="CP739" s="139">
        <v>92.672653198242202</v>
      </c>
      <c r="CQ739" s="139">
        <v>197630</v>
      </c>
      <c r="CR739" s="449" t="s">
        <v>40</v>
      </c>
      <c r="CS739" s="139"/>
      <c r="CT739" s="24"/>
      <c r="CU739" s="24"/>
      <c r="CV739" s="24"/>
    </row>
    <row r="740" spans="1:100" x14ac:dyDescent="0.25">
      <c r="A740" s="293" t="s">
        <v>2691</v>
      </c>
      <c r="B740" s="296" t="s">
        <v>530</v>
      </c>
      <c r="C740" s="296" t="s">
        <v>454</v>
      </c>
      <c r="D740" s="296" t="s">
        <v>498</v>
      </c>
      <c r="E740" s="296" t="s">
        <v>2519</v>
      </c>
      <c r="F740" s="305">
        <v>136</v>
      </c>
      <c r="G740" s="307">
        <v>710</v>
      </c>
      <c r="H740" s="305"/>
      <c r="I740" s="296" t="s">
        <v>388</v>
      </c>
      <c r="J740" s="306">
        <v>43343</v>
      </c>
      <c r="K740" s="296"/>
      <c r="L740" s="296"/>
      <c r="M740" s="208"/>
      <c r="N740" s="208"/>
      <c r="O740" s="316">
        <v>0</v>
      </c>
      <c r="P740" s="316">
        <v>0</v>
      </c>
      <c r="Q740" s="316">
        <v>0</v>
      </c>
      <c r="R740" s="316">
        <v>0</v>
      </c>
      <c r="S740" s="316">
        <v>0</v>
      </c>
      <c r="T740" s="331"/>
      <c r="U740" s="331"/>
      <c r="V740" s="331"/>
      <c r="W740" s="331"/>
      <c r="X740" s="331"/>
      <c r="Y740" s="331"/>
      <c r="Z740" s="335"/>
      <c r="AA740" s="345">
        <v>2</v>
      </c>
      <c r="AB740" s="347"/>
      <c r="AC740" s="349"/>
      <c r="AD740" s="337"/>
      <c r="AE740" s="345">
        <v>2</v>
      </c>
      <c r="AF740" s="310" t="s">
        <v>332</v>
      </c>
      <c r="AG740" s="311" t="s">
        <v>332</v>
      </c>
      <c r="AH740" s="346"/>
      <c r="AI740" s="346"/>
      <c r="AJ740" s="310" t="s">
        <v>2462</v>
      </c>
      <c r="AK740" s="841">
        <v>0</v>
      </c>
      <c r="AL740" s="842" t="s">
        <v>284</v>
      </c>
      <c r="AM740" s="842">
        <v>0</v>
      </c>
      <c r="AN740" s="837">
        <v>0</v>
      </c>
      <c r="AO740" s="850">
        <v>9</v>
      </c>
      <c r="AP740" s="853"/>
      <c r="AQ740" s="853"/>
      <c r="AR740" s="853"/>
      <c r="AS740" s="853"/>
      <c r="AT740" s="853"/>
      <c r="AU740" s="853"/>
      <c r="AV740" s="862"/>
      <c r="AW740" s="308" t="s">
        <v>3208</v>
      </c>
      <c r="AX740" s="304" t="s">
        <v>3208</v>
      </c>
      <c r="AY740" s="302" t="s">
        <v>2576</v>
      </c>
      <c r="AZ740" s="304">
        <v>0</v>
      </c>
      <c r="BA740" s="304">
        <v>0</v>
      </c>
      <c r="BB740" s="304">
        <v>0</v>
      </c>
      <c r="BC740" s="307">
        <v>0</v>
      </c>
      <c r="BD740" s="304">
        <v>0</v>
      </c>
      <c r="BE740" s="307">
        <v>0</v>
      </c>
      <c r="BF740" s="304">
        <v>0</v>
      </c>
      <c r="BG740" s="307">
        <v>0</v>
      </c>
      <c r="BH740" s="307">
        <v>0</v>
      </c>
      <c r="BI740" s="308">
        <v>1</v>
      </c>
      <c r="BJ740" s="307">
        <v>710</v>
      </c>
      <c r="BK740" s="302">
        <v>1</v>
      </c>
      <c r="BL740" s="302">
        <v>1</v>
      </c>
      <c r="BM740" s="302">
        <v>2</v>
      </c>
      <c r="BN740" s="308">
        <v>1.6901408450704224E-2</v>
      </c>
      <c r="BO740" s="354">
        <v>11.999999999999998</v>
      </c>
      <c r="BP740" s="308">
        <v>0.9802816901408451</v>
      </c>
      <c r="BQ740" s="307">
        <v>116</v>
      </c>
      <c r="BR740" s="302">
        <v>118</v>
      </c>
      <c r="BS740" s="309">
        <v>0</v>
      </c>
      <c r="BT740" s="354" t="s">
        <v>103</v>
      </c>
      <c r="BU740" s="299">
        <v>710</v>
      </c>
      <c r="BV740" s="299">
        <v>0</v>
      </c>
      <c r="BW740" s="299">
        <v>1</v>
      </c>
      <c r="BX740" s="299">
        <v>0</v>
      </c>
      <c r="BY740" s="299">
        <v>0</v>
      </c>
      <c r="BZ740" s="308">
        <v>0</v>
      </c>
      <c r="CA740" s="309">
        <v>1</v>
      </c>
      <c r="CB740" s="304">
        <v>1</v>
      </c>
      <c r="CC740" s="304">
        <v>0</v>
      </c>
      <c r="CD740" s="304">
        <v>0</v>
      </c>
      <c r="CE740" s="302">
        <v>0</v>
      </c>
      <c r="CF740" s="302">
        <v>0</v>
      </c>
      <c r="CG740" s="302">
        <v>0</v>
      </c>
      <c r="CH740" s="307">
        <v>0</v>
      </c>
      <c r="CI740" s="139">
        <v>0</v>
      </c>
      <c r="CJ740" s="139">
        <v>0</v>
      </c>
      <c r="CK740" s="139" t="s">
        <v>969</v>
      </c>
      <c r="CL740" s="139" t="s">
        <v>969</v>
      </c>
      <c r="CM740" s="139" t="s">
        <v>969</v>
      </c>
      <c r="CN740" s="139" t="s">
        <v>454</v>
      </c>
      <c r="CO740" s="139">
        <v>20.5047302246094</v>
      </c>
      <c r="CP740" s="139">
        <v>92.683113098144503</v>
      </c>
      <c r="CQ740" s="139">
        <v>197611</v>
      </c>
      <c r="CR740" s="399" t="s">
        <v>40</v>
      </c>
      <c r="CS740" s="400"/>
      <c r="CT740" s="24"/>
      <c r="CU740" s="24"/>
      <c r="CV740" s="24"/>
    </row>
    <row r="741" spans="1:100" x14ac:dyDescent="0.25">
      <c r="A741" s="293" t="s">
        <v>2691</v>
      </c>
      <c r="B741" s="296" t="s">
        <v>530</v>
      </c>
      <c r="C741" s="296" t="s">
        <v>454</v>
      </c>
      <c r="D741" s="296" t="s">
        <v>498</v>
      </c>
      <c r="E741" s="296" t="s">
        <v>2520</v>
      </c>
      <c r="F741" s="305">
        <v>65</v>
      </c>
      <c r="G741" s="307">
        <v>304</v>
      </c>
      <c r="H741" s="305"/>
      <c r="I741" s="296" t="s">
        <v>388</v>
      </c>
      <c r="J741" s="306">
        <v>43343</v>
      </c>
      <c r="K741" s="296"/>
      <c r="L741" s="296"/>
      <c r="M741" s="208"/>
      <c r="N741" s="208"/>
      <c r="O741" s="316">
        <v>0</v>
      </c>
      <c r="P741" s="316">
        <v>0</v>
      </c>
      <c r="Q741" s="316">
        <v>0</v>
      </c>
      <c r="R741" s="316">
        <v>0</v>
      </c>
      <c r="S741" s="316">
        <v>0</v>
      </c>
      <c r="T741" s="331"/>
      <c r="U741" s="331"/>
      <c r="V741" s="331"/>
      <c r="W741" s="331"/>
      <c r="X741" s="331"/>
      <c r="Y741" s="331"/>
      <c r="Z741" s="335"/>
      <c r="AA741" s="345">
        <v>3</v>
      </c>
      <c r="AB741" s="347"/>
      <c r="AC741" s="349"/>
      <c r="AD741" s="337"/>
      <c r="AE741" s="345">
        <v>3</v>
      </c>
      <c r="AF741" s="310" t="s">
        <v>332</v>
      </c>
      <c r="AG741" s="311" t="s">
        <v>332</v>
      </c>
      <c r="AH741" s="346"/>
      <c r="AI741" s="346"/>
      <c r="AJ741" s="310" t="s">
        <v>2462</v>
      </c>
      <c r="AK741" s="841">
        <v>0</v>
      </c>
      <c r="AL741" s="842" t="s">
        <v>284</v>
      </c>
      <c r="AM741" s="842">
        <v>0</v>
      </c>
      <c r="AN741" s="837">
        <v>0</v>
      </c>
      <c r="AO741" s="850">
        <v>9</v>
      </c>
      <c r="AP741" s="853"/>
      <c r="AQ741" s="853"/>
      <c r="AR741" s="853"/>
      <c r="AS741" s="853"/>
      <c r="AT741" s="853"/>
      <c r="AU741" s="853"/>
      <c r="AV741" s="862"/>
      <c r="AW741" s="308" t="s">
        <v>3208</v>
      </c>
      <c r="AX741" s="304" t="s">
        <v>3208</v>
      </c>
      <c r="AY741" s="302" t="s">
        <v>2576</v>
      </c>
      <c r="AZ741" s="304">
        <v>0</v>
      </c>
      <c r="BA741" s="304">
        <v>0</v>
      </c>
      <c r="BB741" s="304">
        <v>0</v>
      </c>
      <c r="BC741" s="307">
        <v>0</v>
      </c>
      <c r="BD741" s="304">
        <v>0</v>
      </c>
      <c r="BE741" s="307">
        <v>0</v>
      </c>
      <c r="BF741" s="304">
        <v>0</v>
      </c>
      <c r="BG741" s="307">
        <v>0</v>
      </c>
      <c r="BH741" s="307">
        <v>0</v>
      </c>
      <c r="BI741" s="308">
        <v>1</v>
      </c>
      <c r="BJ741" s="307">
        <v>304</v>
      </c>
      <c r="BK741" s="302">
        <v>1</v>
      </c>
      <c r="BL741" s="302">
        <v>1</v>
      </c>
      <c r="BM741" s="302">
        <v>3</v>
      </c>
      <c r="BN741" s="308">
        <v>5.921052631578947E-2</v>
      </c>
      <c r="BO741" s="354">
        <v>18</v>
      </c>
      <c r="BP741" s="308">
        <v>0.94736842105263164</v>
      </c>
      <c r="BQ741" s="307">
        <v>48</v>
      </c>
      <c r="BR741" s="302">
        <v>51</v>
      </c>
      <c r="BS741" s="309">
        <v>0</v>
      </c>
      <c r="BT741" s="354" t="s">
        <v>103</v>
      </c>
      <c r="BU741" s="299">
        <v>304</v>
      </c>
      <c r="BV741" s="299">
        <v>0</v>
      </c>
      <c r="BW741" s="299">
        <v>1</v>
      </c>
      <c r="BX741" s="299">
        <v>0</v>
      </c>
      <c r="BY741" s="299">
        <v>0</v>
      </c>
      <c r="BZ741" s="308">
        <v>0</v>
      </c>
      <c r="CA741" s="309">
        <v>1</v>
      </c>
      <c r="CB741" s="304">
        <v>1</v>
      </c>
      <c r="CC741" s="304">
        <v>0</v>
      </c>
      <c r="CD741" s="304">
        <v>0</v>
      </c>
      <c r="CE741" s="302">
        <v>0</v>
      </c>
      <c r="CF741" s="302">
        <v>0</v>
      </c>
      <c r="CG741" s="302">
        <v>0</v>
      </c>
      <c r="CH741" s="307">
        <v>0</v>
      </c>
      <c r="CI741" s="139">
        <v>0</v>
      </c>
      <c r="CJ741" s="139">
        <v>0</v>
      </c>
      <c r="CK741" s="139" t="s">
        <v>969</v>
      </c>
      <c r="CL741" s="139" t="s">
        <v>969</v>
      </c>
      <c r="CM741" s="139" t="s">
        <v>969</v>
      </c>
      <c r="CN741" s="139" t="s">
        <v>454</v>
      </c>
      <c r="CO741" s="139">
        <v>20.497299194335898</v>
      </c>
      <c r="CP741" s="139">
        <v>92.683097839355497</v>
      </c>
      <c r="CQ741" s="139">
        <v>197613</v>
      </c>
      <c r="CR741" s="399" t="s">
        <v>40</v>
      </c>
      <c r="CS741" s="400"/>
      <c r="CT741" s="24"/>
      <c r="CU741" s="24"/>
      <c r="CV741" s="24"/>
    </row>
    <row r="742" spans="1:100" x14ac:dyDescent="0.25">
      <c r="A742" s="293" t="s">
        <v>2691</v>
      </c>
      <c r="B742" s="206" t="s">
        <v>530</v>
      </c>
      <c r="C742" s="183" t="s">
        <v>454</v>
      </c>
      <c r="D742" s="183" t="s">
        <v>498</v>
      </c>
      <c r="E742" s="183" t="s">
        <v>636</v>
      </c>
      <c r="F742" s="206">
        <v>96</v>
      </c>
      <c r="G742" s="209">
        <v>543</v>
      </c>
      <c r="H742" s="206"/>
      <c r="I742" s="206" t="s">
        <v>388</v>
      </c>
      <c r="J742" s="207">
        <v>43145</v>
      </c>
      <c r="K742" s="206"/>
      <c r="L742" s="206"/>
      <c r="M742" s="208"/>
      <c r="N742" s="208"/>
      <c r="O742" s="316">
        <v>0</v>
      </c>
      <c r="P742" s="317">
        <v>0</v>
      </c>
      <c r="Q742" s="317">
        <v>0</v>
      </c>
      <c r="R742" s="318">
        <v>5</v>
      </c>
      <c r="S742" s="318">
        <v>0</v>
      </c>
      <c r="T742" s="318"/>
      <c r="U742" s="318"/>
      <c r="V742" s="318"/>
      <c r="W742" s="318"/>
      <c r="X742" s="318"/>
      <c r="Y742" s="318"/>
      <c r="Z742" s="318"/>
      <c r="AA742" s="310">
        <v>13</v>
      </c>
      <c r="AB742" s="310">
        <v>0</v>
      </c>
      <c r="AC742" s="66"/>
      <c r="AD742" s="337"/>
      <c r="AE742" s="310">
        <v>13</v>
      </c>
      <c r="AF742" s="310" t="s">
        <v>332</v>
      </c>
      <c r="AG742" s="311" t="s">
        <v>332</v>
      </c>
      <c r="AH742" s="311"/>
      <c r="AI742" s="310"/>
      <c r="AJ742" s="310" t="s">
        <v>2462</v>
      </c>
      <c r="AK742" s="841">
        <v>0</v>
      </c>
      <c r="AL742" s="842" t="s">
        <v>284</v>
      </c>
      <c r="AM742" s="842">
        <v>0</v>
      </c>
      <c r="AN742" s="837">
        <v>0</v>
      </c>
      <c r="AO742" s="850">
        <v>9</v>
      </c>
      <c r="AP742" s="843"/>
      <c r="AQ742" s="843"/>
      <c r="AR742" s="843"/>
      <c r="AS742" s="843"/>
      <c r="AT742" s="843"/>
      <c r="AU742" s="843"/>
      <c r="AV742" s="844"/>
      <c r="AW742" s="208" t="s">
        <v>3208</v>
      </c>
      <c r="AX742" s="211" t="s">
        <v>3208</v>
      </c>
      <c r="AY742" s="210" t="s">
        <v>2576</v>
      </c>
      <c r="AZ742" s="211">
        <v>0</v>
      </c>
      <c r="BA742" s="211">
        <v>0</v>
      </c>
      <c r="BB742" s="211">
        <v>0</v>
      </c>
      <c r="BC742" s="209">
        <v>0</v>
      </c>
      <c r="BD742" s="211">
        <v>1</v>
      </c>
      <c r="BE742" s="209">
        <v>543</v>
      </c>
      <c r="BF742" s="211">
        <v>1</v>
      </c>
      <c r="BG742" s="209">
        <v>543</v>
      </c>
      <c r="BH742" s="209">
        <v>1.0860000000000001</v>
      </c>
      <c r="BI742" s="208">
        <v>0</v>
      </c>
      <c r="BJ742" s="209">
        <v>0</v>
      </c>
      <c r="BK742" s="210">
        <v>0</v>
      </c>
      <c r="BL742" s="210">
        <v>1</v>
      </c>
      <c r="BM742" s="210">
        <v>13</v>
      </c>
      <c r="BN742" s="208">
        <v>0.143646408839779</v>
      </c>
      <c r="BO742" s="352">
        <v>78</v>
      </c>
      <c r="BP742" s="208">
        <v>0.86187845303867405</v>
      </c>
      <c r="BQ742" s="209">
        <v>78</v>
      </c>
      <c r="BR742" s="210">
        <v>91</v>
      </c>
      <c r="BS742" s="212">
        <v>0</v>
      </c>
      <c r="BT742" s="352" t="s">
        <v>103</v>
      </c>
      <c r="BU742" s="209">
        <v>543</v>
      </c>
      <c r="BV742" s="209">
        <v>0</v>
      </c>
      <c r="BW742" s="209">
        <v>1</v>
      </c>
      <c r="BX742" s="209">
        <v>0</v>
      </c>
      <c r="BY742" s="209">
        <v>0</v>
      </c>
      <c r="BZ742" s="208">
        <v>0</v>
      </c>
      <c r="CA742" s="212">
        <v>1</v>
      </c>
      <c r="CB742" s="211">
        <v>1</v>
      </c>
      <c r="CC742" s="211">
        <v>0</v>
      </c>
      <c r="CD742" s="211">
        <v>0</v>
      </c>
      <c r="CE742" s="210">
        <v>0</v>
      </c>
      <c r="CF742" s="210">
        <v>0</v>
      </c>
      <c r="CG742" s="210">
        <v>0</v>
      </c>
      <c r="CH742" s="209">
        <v>0</v>
      </c>
      <c r="CI742" s="139">
        <v>0</v>
      </c>
      <c r="CJ742" s="139">
        <v>0</v>
      </c>
      <c r="CK742" s="139" t="s">
        <v>969</v>
      </c>
      <c r="CL742" s="139" t="s">
        <v>969</v>
      </c>
      <c r="CM742" s="139" t="s">
        <v>969</v>
      </c>
      <c r="CN742" s="139" t="s">
        <v>454</v>
      </c>
      <c r="CO742" s="139">
        <v>20.453830718994102</v>
      </c>
      <c r="CP742" s="139">
        <v>92.683090209960895</v>
      </c>
      <c r="CQ742" s="139">
        <v>197621</v>
      </c>
      <c r="CR742" s="660" t="s">
        <v>40</v>
      </c>
      <c r="CS742" s="660"/>
      <c r="CT742" s="24"/>
      <c r="CU742" s="24"/>
      <c r="CV742" s="24"/>
    </row>
    <row r="743" spans="1:100" x14ac:dyDescent="0.25">
      <c r="A743" s="293" t="s">
        <v>2691</v>
      </c>
      <c r="B743" s="206" t="s">
        <v>460</v>
      </c>
      <c r="C743" s="183" t="s">
        <v>454</v>
      </c>
      <c r="D743" s="183" t="s">
        <v>498</v>
      </c>
      <c r="E743" s="183" t="s">
        <v>623</v>
      </c>
      <c r="F743" s="206">
        <v>292</v>
      </c>
      <c r="G743" s="209">
        <v>1751</v>
      </c>
      <c r="H743" s="206"/>
      <c r="I743" s="206" t="s">
        <v>391</v>
      </c>
      <c r="J743" s="207">
        <v>43220</v>
      </c>
      <c r="K743" s="206">
        <v>0</v>
      </c>
      <c r="L743" s="206" t="s">
        <v>48</v>
      </c>
      <c r="M743" s="208">
        <v>0.5</v>
      </c>
      <c r="N743" s="208">
        <v>0</v>
      </c>
      <c r="O743" s="316">
        <v>11</v>
      </c>
      <c r="P743" s="317">
        <v>0</v>
      </c>
      <c r="Q743" s="317">
        <v>0</v>
      </c>
      <c r="R743" s="318">
        <v>0</v>
      </c>
      <c r="S743" s="318">
        <v>11</v>
      </c>
      <c r="T743" s="318"/>
      <c r="U743" s="318"/>
      <c r="V743" s="318"/>
      <c r="W743" s="318"/>
      <c r="X743" s="318"/>
      <c r="Y743" s="318"/>
      <c r="Z743" s="318" t="s">
        <v>2458</v>
      </c>
      <c r="AA743" s="310">
        <v>192</v>
      </c>
      <c r="AB743" s="310">
        <v>70</v>
      </c>
      <c r="AC743" s="66"/>
      <c r="AD743" s="337"/>
      <c r="AE743" s="310">
        <v>0</v>
      </c>
      <c r="AF743" s="310" t="s">
        <v>286</v>
      </c>
      <c r="AG743" s="311" t="s">
        <v>286</v>
      </c>
      <c r="AH743" s="311"/>
      <c r="AI743" s="310"/>
      <c r="AJ743" s="310"/>
      <c r="AK743" s="841">
        <v>0</v>
      </c>
      <c r="AL743" s="842"/>
      <c r="AM743" s="842">
        <v>341</v>
      </c>
      <c r="AN743" s="837">
        <v>0</v>
      </c>
      <c r="AO743" s="837">
        <v>0</v>
      </c>
      <c r="AP743" s="843"/>
      <c r="AQ743" s="843"/>
      <c r="AR743" s="843"/>
      <c r="AS743" s="843"/>
      <c r="AT743" s="843"/>
      <c r="AU743" s="843"/>
      <c r="AV743" s="844"/>
      <c r="AW743" s="208" t="s">
        <v>3208</v>
      </c>
      <c r="AX743" s="211" t="s">
        <v>3208</v>
      </c>
      <c r="AY743" s="210" t="s">
        <v>2576</v>
      </c>
      <c r="AZ743" s="211">
        <v>1</v>
      </c>
      <c r="BA743" s="211">
        <v>1</v>
      </c>
      <c r="BB743" s="211">
        <v>1</v>
      </c>
      <c r="BC743" s="209">
        <v>1751</v>
      </c>
      <c r="BD743" s="211">
        <v>0</v>
      </c>
      <c r="BE743" s="209">
        <v>0</v>
      </c>
      <c r="BF743" s="211">
        <v>1</v>
      </c>
      <c r="BG743" s="209">
        <v>1751</v>
      </c>
      <c r="BH743" s="209">
        <v>3.5019999999999998</v>
      </c>
      <c r="BI743" s="208">
        <v>0</v>
      </c>
      <c r="BJ743" s="209">
        <v>0</v>
      </c>
      <c r="BK743" s="210">
        <v>0.49800000000000022</v>
      </c>
      <c r="BL743" s="210">
        <v>4</v>
      </c>
      <c r="BM743" s="210">
        <v>262</v>
      </c>
      <c r="BN743" s="208">
        <v>0.6579097658480868</v>
      </c>
      <c r="BO743" s="352">
        <v>1152</v>
      </c>
      <c r="BP743" s="208">
        <v>0.10279840091376358</v>
      </c>
      <c r="BQ743" s="209">
        <v>30</v>
      </c>
      <c r="BR743" s="210">
        <v>292</v>
      </c>
      <c r="BS743" s="212">
        <v>0.26717557251908397</v>
      </c>
      <c r="BT743" s="352" t="s">
        <v>103</v>
      </c>
      <c r="BU743" s="209">
        <v>0</v>
      </c>
      <c r="BV743" s="209">
        <v>0</v>
      </c>
      <c r="BW743" s="209">
        <v>0</v>
      </c>
      <c r="BX743" s="209">
        <v>0</v>
      </c>
      <c r="BY743" s="209">
        <v>0</v>
      </c>
      <c r="BZ743" s="208">
        <v>0</v>
      </c>
      <c r="CA743" s="212">
        <v>1</v>
      </c>
      <c r="CB743" s="211">
        <v>0</v>
      </c>
      <c r="CC743" s="211">
        <v>0</v>
      </c>
      <c r="CD743" s="211">
        <v>0</v>
      </c>
      <c r="CE743" s="210">
        <v>0</v>
      </c>
      <c r="CF743" s="210">
        <v>0</v>
      </c>
      <c r="CG743" s="210">
        <v>0</v>
      </c>
      <c r="CH743" s="209">
        <v>0</v>
      </c>
      <c r="CI743" s="139">
        <v>0</v>
      </c>
      <c r="CJ743" s="139">
        <v>0</v>
      </c>
      <c r="CK743" s="139" t="s">
        <v>969</v>
      </c>
      <c r="CL743" s="139" t="s">
        <v>969</v>
      </c>
      <c r="CM743" s="139" t="s">
        <v>1054</v>
      </c>
      <c r="CN743" s="139" t="s">
        <v>966</v>
      </c>
      <c r="CO743" s="139">
        <v>20.335864000000001</v>
      </c>
      <c r="CP743" s="139">
        <v>92.785706000000005</v>
      </c>
      <c r="CQ743" s="139" t="s">
        <v>1678</v>
      </c>
      <c r="CR743" s="660" t="s">
        <v>3209</v>
      </c>
      <c r="CS743" s="660"/>
      <c r="CT743" s="24"/>
      <c r="CU743" s="24"/>
      <c r="CV743" s="24"/>
    </row>
    <row r="744" spans="1:100" x14ac:dyDescent="0.25">
      <c r="A744" s="293" t="s">
        <v>2691</v>
      </c>
      <c r="B744" s="206" t="s">
        <v>460</v>
      </c>
      <c r="C744" s="183" t="s">
        <v>454</v>
      </c>
      <c r="D744" s="183" t="s">
        <v>498</v>
      </c>
      <c r="E744" s="183" t="s">
        <v>624</v>
      </c>
      <c r="F744" s="206">
        <v>46</v>
      </c>
      <c r="G744" s="209">
        <v>227</v>
      </c>
      <c r="H744" s="206"/>
      <c r="I744" s="206" t="s">
        <v>391</v>
      </c>
      <c r="J744" s="207">
        <v>43220</v>
      </c>
      <c r="K744" s="206">
        <v>0</v>
      </c>
      <c r="L744" s="206" t="s">
        <v>282</v>
      </c>
      <c r="M744" s="208">
        <v>0</v>
      </c>
      <c r="N744" s="208">
        <v>0</v>
      </c>
      <c r="O744" s="323">
        <v>3</v>
      </c>
      <c r="P744" s="317">
        <v>0</v>
      </c>
      <c r="Q744" s="317">
        <v>0</v>
      </c>
      <c r="R744" s="318">
        <v>0</v>
      </c>
      <c r="S744" s="318">
        <v>3</v>
      </c>
      <c r="T744" s="318"/>
      <c r="U744" s="318"/>
      <c r="V744" s="318"/>
      <c r="W744" s="318"/>
      <c r="X744" s="318"/>
      <c r="Y744" s="318"/>
      <c r="Z744" s="318" t="s">
        <v>2458</v>
      </c>
      <c r="AA744" s="310">
        <v>51</v>
      </c>
      <c r="AB744" s="310">
        <v>23</v>
      </c>
      <c r="AC744" s="66"/>
      <c r="AD744" s="337"/>
      <c r="AE744" s="310">
        <v>0</v>
      </c>
      <c r="AF744" s="310" t="s">
        <v>286</v>
      </c>
      <c r="AG744" s="311" t="s">
        <v>286</v>
      </c>
      <c r="AH744" s="311"/>
      <c r="AI744" s="310"/>
      <c r="AJ744" s="310"/>
      <c r="AK744" s="841">
        <v>0</v>
      </c>
      <c r="AL744" s="842"/>
      <c r="AM744" s="842">
        <v>46</v>
      </c>
      <c r="AN744" s="837">
        <v>0</v>
      </c>
      <c r="AO744" s="837">
        <v>0</v>
      </c>
      <c r="AP744" s="843"/>
      <c r="AQ744" s="843"/>
      <c r="AR744" s="843"/>
      <c r="AS744" s="843"/>
      <c r="AT744" s="843"/>
      <c r="AU744" s="843"/>
      <c r="AV744" s="844"/>
      <c r="AW744" s="208" t="s">
        <v>3208</v>
      </c>
      <c r="AX744" s="211" t="s">
        <v>3208</v>
      </c>
      <c r="AY744" s="210" t="s">
        <v>2576</v>
      </c>
      <c r="AZ744" s="211">
        <v>1</v>
      </c>
      <c r="BA744" s="211">
        <v>1</v>
      </c>
      <c r="BB744" s="211">
        <v>1</v>
      </c>
      <c r="BC744" s="209">
        <v>227</v>
      </c>
      <c r="BD744" s="211">
        <v>0</v>
      </c>
      <c r="BE744" s="209">
        <v>0</v>
      </c>
      <c r="BF744" s="211">
        <v>1</v>
      </c>
      <c r="BG744" s="209">
        <v>227</v>
      </c>
      <c r="BH744" s="209">
        <v>0.45400000000000001</v>
      </c>
      <c r="BI744" s="208">
        <v>0</v>
      </c>
      <c r="BJ744" s="209">
        <v>0</v>
      </c>
      <c r="BK744" s="210">
        <v>0.54600000000000004</v>
      </c>
      <c r="BL744" s="210">
        <v>1</v>
      </c>
      <c r="BM744" s="210">
        <v>74</v>
      </c>
      <c r="BN744" s="208">
        <v>1</v>
      </c>
      <c r="BO744" s="352">
        <v>227</v>
      </c>
      <c r="BP744" s="208">
        <v>0</v>
      </c>
      <c r="BQ744" s="209">
        <v>0</v>
      </c>
      <c r="BR744" s="210">
        <v>38</v>
      </c>
      <c r="BS744" s="212">
        <v>0.3108108108108108</v>
      </c>
      <c r="BT744" s="352" t="s">
        <v>103</v>
      </c>
      <c r="BU744" s="209">
        <v>0</v>
      </c>
      <c r="BV744" s="209">
        <v>0</v>
      </c>
      <c r="BW744" s="209">
        <v>0</v>
      </c>
      <c r="BX744" s="209">
        <v>0</v>
      </c>
      <c r="BY744" s="209">
        <v>0</v>
      </c>
      <c r="BZ744" s="208">
        <v>0</v>
      </c>
      <c r="CA744" s="212">
        <v>1</v>
      </c>
      <c r="CB744" s="211">
        <v>0</v>
      </c>
      <c r="CC744" s="211">
        <v>0</v>
      </c>
      <c r="CD744" s="211">
        <v>0</v>
      </c>
      <c r="CE744" s="210">
        <v>0</v>
      </c>
      <c r="CF744" s="210">
        <v>0</v>
      </c>
      <c r="CG744" s="210">
        <v>0</v>
      </c>
      <c r="CH744" s="209">
        <v>0</v>
      </c>
      <c r="CI744" s="139">
        <v>0</v>
      </c>
      <c r="CJ744" s="139">
        <v>0</v>
      </c>
      <c r="CK744" s="139" t="s">
        <v>969</v>
      </c>
      <c r="CL744" s="139" t="s">
        <v>969</v>
      </c>
      <c r="CM744" s="139" t="s">
        <v>969</v>
      </c>
      <c r="CN744" s="139" t="s">
        <v>454</v>
      </c>
      <c r="CO744" s="139">
        <v>20.339799880981399</v>
      </c>
      <c r="CP744" s="139">
        <v>92.782653808593807</v>
      </c>
      <c r="CQ744" s="139" t="s">
        <v>1679</v>
      </c>
      <c r="CR744" s="660" t="s">
        <v>3209</v>
      </c>
      <c r="CS744" s="660"/>
      <c r="CT744" s="24"/>
      <c r="CU744" s="24"/>
      <c r="CV744" s="24"/>
    </row>
    <row r="745" spans="1:100" x14ac:dyDescent="0.25">
      <c r="A745" s="293" t="s">
        <v>2691</v>
      </c>
      <c r="B745" s="206" t="s">
        <v>530</v>
      </c>
      <c r="C745" s="183" t="s">
        <v>454</v>
      </c>
      <c r="D745" s="183" t="s">
        <v>498</v>
      </c>
      <c r="E745" s="183" t="s">
        <v>641</v>
      </c>
      <c r="F745" s="206">
        <v>147</v>
      </c>
      <c r="G745" s="209">
        <v>817</v>
      </c>
      <c r="H745" s="206"/>
      <c r="I745" s="206" t="s">
        <v>388</v>
      </c>
      <c r="J745" s="207">
        <v>43343</v>
      </c>
      <c r="K745" s="206"/>
      <c r="L745" s="206"/>
      <c r="M745" s="208"/>
      <c r="N745" s="208"/>
      <c r="O745" s="316">
        <v>0</v>
      </c>
      <c r="P745" s="316">
        <v>0</v>
      </c>
      <c r="Q745" s="316">
        <v>0</v>
      </c>
      <c r="R745" s="316">
        <v>0</v>
      </c>
      <c r="S745" s="316">
        <v>0</v>
      </c>
      <c r="T745" s="318"/>
      <c r="U745" s="318"/>
      <c r="V745" s="318"/>
      <c r="W745" s="318"/>
      <c r="X745" s="318"/>
      <c r="Y745" s="318"/>
      <c r="Z745" s="318"/>
      <c r="AA745" s="310">
        <v>2</v>
      </c>
      <c r="AB745" s="310"/>
      <c r="AC745" s="66"/>
      <c r="AD745" s="337"/>
      <c r="AE745" s="310">
        <v>2</v>
      </c>
      <c r="AF745" s="310" t="s">
        <v>332</v>
      </c>
      <c r="AG745" s="311" t="s">
        <v>332</v>
      </c>
      <c r="AH745" s="311"/>
      <c r="AI745" s="310"/>
      <c r="AJ745" s="310" t="s">
        <v>2462</v>
      </c>
      <c r="AK745" s="841">
        <v>0</v>
      </c>
      <c r="AL745" s="842" t="s">
        <v>284</v>
      </c>
      <c r="AM745" s="842">
        <v>0</v>
      </c>
      <c r="AN745" s="837">
        <v>0</v>
      </c>
      <c r="AO745" s="850">
        <v>9</v>
      </c>
      <c r="AP745" s="843"/>
      <c r="AQ745" s="843"/>
      <c r="AR745" s="843"/>
      <c r="AS745" s="843"/>
      <c r="AT745" s="843"/>
      <c r="AU745" s="843"/>
      <c r="AV745" s="844"/>
      <c r="AW745" s="208" t="s">
        <v>3208</v>
      </c>
      <c r="AX745" s="211" t="s">
        <v>3208</v>
      </c>
      <c r="AY745" s="210" t="s">
        <v>2576</v>
      </c>
      <c r="AZ745" s="211">
        <v>0</v>
      </c>
      <c r="BA745" s="211">
        <v>0</v>
      </c>
      <c r="BB745" s="211">
        <v>0</v>
      </c>
      <c r="BC745" s="209">
        <v>0</v>
      </c>
      <c r="BD745" s="211">
        <v>0</v>
      </c>
      <c r="BE745" s="209">
        <v>0</v>
      </c>
      <c r="BF745" s="211">
        <v>0</v>
      </c>
      <c r="BG745" s="209">
        <v>0</v>
      </c>
      <c r="BH745" s="209">
        <v>0</v>
      </c>
      <c r="BI745" s="208">
        <v>1</v>
      </c>
      <c r="BJ745" s="209">
        <v>817</v>
      </c>
      <c r="BK745" s="210">
        <v>2</v>
      </c>
      <c r="BL745" s="210">
        <v>2</v>
      </c>
      <c r="BM745" s="210">
        <v>2</v>
      </c>
      <c r="BN745" s="208">
        <v>1.4687882496940025E-2</v>
      </c>
      <c r="BO745" s="352">
        <v>12</v>
      </c>
      <c r="BP745" s="208">
        <v>0.98408812729498174</v>
      </c>
      <c r="BQ745" s="209">
        <v>134</v>
      </c>
      <c r="BR745" s="210">
        <v>136</v>
      </c>
      <c r="BS745" s="212">
        <v>0</v>
      </c>
      <c r="BT745" s="352" t="s">
        <v>103</v>
      </c>
      <c r="BU745" s="209">
        <v>817</v>
      </c>
      <c r="BV745" s="209">
        <v>0</v>
      </c>
      <c r="BW745" s="209">
        <v>1</v>
      </c>
      <c r="BX745" s="209">
        <v>0</v>
      </c>
      <c r="BY745" s="209">
        <v>0</v>
      </c>
      <c r="BZ745" s="208">
        <v>0</v>
      </c>
      <c r="CA745" s="212">
        <v>1</v>
      </c>
      <c r="CB745" s="211">
        <v>1</v>
      </c>
      <c r="CC745" s="211">
        <v>0</v>
      </c>
      <c r="CD745" s="211">
        <v>0</v>
      </c>
      <c r="CE745" s="210">
        <v>0</v>
      </c>
      <c r="CF745" s="210">
        <v>0</v>
      </c>
      <c r="CG745" s="210">
        <v>0</v>
      </c>
      <c r="CH745" s="209">
        <v>0</v>
      </c>
      <c r="CI745" s="139" t="s">
        <v>48</v>
      </c>
      <c r="CJ745" s="139">
        <v>0</v>
      </c>
      <c r="CK745" s="139" t="s">
        <v>969</v>
      </c>
      <c r="CL745" s="139" t="s">
        <v>969</v>
      </c>
      <c r="CM745" s="139" t="s">
        <v>1054</v>
      </c>
      <c r="CN745" s="139" t="s">
        <v>454</v>
      </c>
      <c r="CO745" s="139">
        <v>20.824777999999998</v>
      </c>
      <c r="CP745" s="139">
        <v>92.362196999999995</v>
      </c>
      <c r="CQ745" s="139" t="s">
        <v>1831</v>
      </c>
      <c r="CR745" s="660" t="s">
        <v>40</v>
      </c>
      <c r="CS745" s="660"/>
      <c r="CT745" s="24"/>
      <c r="CU745" s="24"/>
      <c r="CV745" s="24"/>
    </row>
    <row r="746" spans="1:100" x14ac:dyDescent="0.25">
      <c r="A746" s="293" t="s">
        <v>2691</v>
      </c>
      <c r="B746" s="206" t="s">
        <v>530</v>
      </c>
      <c r="C746" s="183" t="s">
        <v>454</v>
      </c>
      <c r="D746" s="183" t="s">
        <v>498</v>
      </c>
      <c r="E746" s="183" t="s">
        <v>648</v>
      </c>
      <c r="F746" s="206">
        <v>149</v>
      </c>
      <c r="G746" s="209">
        <v>895</v>
      </c>
      <c r="H746" s="206"/>
      <c r="I746" s="206" t="s">
        <v>388</v>
      </c>
      <c r="J746" s="207">
        <v>43145</v>
      </c>
      <c r="K746" s="206"/>
      <c r="L746" s="206"/>
      <c r="M746" s="208"/>
      <c r="N746" s="208"/>
      <c r="O746" s="316">
        <v>0</v>
      </c>
      <c r="P746" s="317">
        <v>0</v>
      </c>
      <c r="Q746" s="317">
        <v>0</v>
      </c>
      <c r="R746" s="318">
        <v>4</v>
      </c>
      <c r="S746" s="318">
        <v>0</v>
      </c>
      <c r="T746" s="318"/>
      <c r="U746" s="318"/>
      <c r="V746" s="318"/>
      <c r="W746" s="318"/>
      <c r="X746" s="318"/>
      <c r="Y746" s="318"/>
      <c r="Z746" s="318"/>
      <c r="AA746" s="310">
        <v>31</v>
      </c>
      <c r="AB746" s="310">
        <v>0</v>
      </c>
      <c r="AC746" s="66"/>
      <c r="AD746" s="337"/>
      <c r="AE746" s="310">
        <v>31</v>
      </c>
      <c r="AF746" s="310" t="s">
        <v>332</v>
      </c>
      <c r="AG746" s="311" t="s">
        <v>332</v>
      </c>
      <c r="AH746" s="311"/>
      <c r="AI746" s="310"/>
      <c r="AJ746" s="310" t="s">
        <v>2462</v>
      </c>
      <c r="AK746" s="841">
        <v>0</v>
      </c>
      <c r="AL746" s="842" t="s">
        <v>284</v>
      </c>
      <c r="AM746" s="842">
        <v>0</v>
      </c>
      <c r="AN746" s="837">
        <v>0</v>
      </c>
      <c r="AO746" s="850">
        <v>9</v>
      </c>
      <c r="AP746" s="843"/>
      <c r="AQ746" s="843"/>
      <c r="AR746" s="843"/>
      <c r="AS746" s="843"/>
      <c r="AT746" s="843"/>
      <c r="AU746" s="843"/>
      <c r="AV746" s="844"/>
      <c r="AW746" s="208" t="s">
        <v>3208</v>
      </c>
      <c r="AX746" s="211" t="s">
        <v>3208</v>
      </c>
      <c r="AY746" s="210" t="s">
        <v>2576</v>
      </c>
      <c r="AZ746" s="211">
        <v>0</v>
      </c>
      <c r="BA746" s="211">
        <v>0</v>
      </c>
      <c r="BB746" s="211">
        <v>0</v>
      </c>
      <c r="BC746" s="209">
        <v>0</v>
      </c>
      <c r="BD746" s="211">
        <v>1</v>
      </c>
      <c r="BE746" s="209">
        <v>895</v>
      </c>
      <c r="BF746" s="211">
        <v>1</v>
      </c>
      <c r="BG746" s="209">
        <v>895</v>
      </c>
      <c r="BH746" s="209">
        <v>1.79</v>
      </c>
      <c r="BI746" s="208">
        <v>0</v>
      </c>
      <c r="BJ746" s="209">
        <v>0</v>
      </c>
      <c r="BK746" s="210">
        <v>0.20999999999999996</v>
      </c>
      <c r="BL746" s="210">
        <v>2</v>
      </c>
      <c r="BM746" s="210">
        <v>31</v>
      </c>
      <c r="BN746" s="208">
        <v>0.20782122905027933</v>
      </c>
      <c r="BO746" s="352">
        <v>186</v>
      </c>
      <c r="BP746" s="208">
        <v>0.79106145251396653</v>
      </c>
      <c r="BQ746" s="209">
        <v>118</v>
      </c>
      <c r="BR746" s="210">
        <v>149</v>
      </c>
      <c r="BS746" s="212">
        <v>0</v>
      </c>
      <c r="BT746" s="352" t="s">
        <v>103</v>
      </c>
      <c r="BU746" s="209">
        <v>895</v>
      </c>
      <c r="BV746" s="209">
        <v>0</v>
      </c>
      <c r="BW746" s="209">
        <v>1</v>
      </c>
      <c r="BX746" s="209">
        <v>0</v>
      </c>
      <c r="BY746" s="209">
        <v>0</v>
      </c>
      <c r="BZ746" s="208">
        <v>0</v>
      </c>
      <c r="CA746" s="212">
        <v>1</v>
      </c>
      <c r="CB746" s="211">
        <v>1</v>
      </c>
      <c r="CC746" s="211">
        <v>0</v>
      </c>
      <c r="CD746" s="211">
        <v>0</v>
      </c>
      <c r="CE746" s="210">
        <v>0</v>
      </c>
      <c r="CF746" s="210">
        <v>0</v>
      </c>
      <c r="CG746" s="210">
        <v>0</v>
      </c>
      <c r="CH746" s="209">
        <v>0</v>
      </c>
      <c r="CI746" s="139">
        <v>0</v>
      </c>
      <c r="CJ746" s="139">
        <v>0</v>
      </c>
      <c r="CK746" s="139" t="s">
        <v>969</v>
      </c>
      <c r="CL746" s="139" t="s">
        <v>969</v>
      </c>
      <c r="CM746" s="139" t="s">
        <v>969</v>
      </c>
      <c r="CN746" s="139" t="s">
        <v>454</v>
      </c>
      <c r="CO746" s="139">
        <v>20.486930847168001</v>
      </c>
      <c r="CP746" s="139">
        <v>92.662757873535199</v>
      </c>
      <c r="CQ746" s="139">
        <v>197614</v>
      </c>
      <c r="CR746" s="660" t="s">
        <v>40</v>
      </c>
      <c r="CS746" s="660"/>
      <c r="CT746" s="24"/>
      <c r="CU746" s="24"/>
      <c r="CV746" s="24"/>
    </row>
    <row r="747" spans="1:100" x14ac:dyDescent="0.25">
      <c r="A747" s="293" t="s">
        <v>2691</v>
      </c>
      <c r="B747" s="206" t="s">
        <v>530</v>
      </c>
      <c r="C747" s="183" t="s">
        <v>454</v>
      </c>
      <c r="D747" s="183" t="s">
        <v>498</v>
      </c>
      <c r="E747" s="183" t="s">
        <v>645</v>
      </c>
      <c r="F747" s="206">
        <v>124</v>
      </c>
      <c r="G747" s="209">
        <v>704</v>
      </c>
      <c r="H747" s="206"/>
      <c r="I747" s="206" t="s">
        <v>388</v>
      </c>
      <c r="J747" s="207">
        <v>43145</v>
      </c>
      <c r="K747" s="206"/>
      <c r="L747" s="206"/>
      <c r="M747" s="208"/>
      <c r="N747" s="208"/>
      <c r="O747" s="316">
        <v>0</v>
      </c>
      <c r="P747" s="317">
        <v>1</v>
      </c>
      <c r="Q747" s="317">
        <v>0</v>
      </c>
      <c r="R747" s="318">
        <v>8</v>
      </c>
      <c r="S747" s="318">
        <v>0</v>
      </c>
      <c r="T747" s="318"/>
      <c r="U747" s="318"/>
      <c r="V747" s="318"/>
      <c r="W747" s="318"/>
      <c r="X747" s="318"/>
      <c r="Y747" s="318"/>
      <c r="Z747" s="318"/>
      <c r="AA747" s="310">
        <v>57</v>
      </c>
      <c r="AB747" s="310">
        <v>0</v>
      </c>
      <c r="AC747" s="66"/>
      <c r="AD747" s="337"/>
      <c r="AE747" s="310">
        <v>57</v>
      </c>
      <c r="AF747" s="310" t="s">
        <v>332</v>
      </c>
      <c r="AG747" s="311" t="s">
        <v>332</v>
      </c>
      <c r="AH747" s="311"/>
      <c r="AI747" s="310"/>
      <c r="AJ747" s="310" t="s">
        <v>2462</v>
      </c>
      <c r="AK747" s="841">
        <v>0</v>
      </c>
      <c r="AL747" s="842" t="s">
        <v>284</v>
      </c>
      <c r="AM747" s="842">
        <v>0</v>
      </c>
      <c r="AN747" s="837">
        <v>0</v>
      </c>
      <c r="AO747" s="850">
        <v>9</v>
      </c>
      <c r="AP747" s="843"/>
      <c r="AQ747" s="843"/>
      <c r="AR747" s="843"/>
      <c r="AS747" s="843"/>
      <c r="AT747" s="843"/>
      <c r="AU747" s="843"/>
      <c r="AV747" s="844"/>
      <c r="AW747" s="208" t="s">
        <v>3208</v>
      </c>
      <c r="AX747" s="211" t="s">
        <v>3208</v>
      </c>
      <c r="AY747" s="210" t="s">
        <v>2576</v>
      </c>
      <c r="AZ747" s="211">
        <v>1</v>
      </c>
      <c r="BA747" s="211">
        <v>0.35511363636363635</v>
      </c>
      <c r="BB747" s="211">
        <v>0.35511363636363635</v>
      </c>
      <c r="BC747" s="209">
        <v>250</v>
      </c>
      <c r="BD747" s="211">
        <v>1</v>
      </c>
      <c r="BE747" s="209">
        <v>704</v>
      </c>
      <c r="BF747" s="211">
        <v>1</v>
      </c>
      <c r="BG747" s="209">
        <v>704</v>
      </c>
      <c r="BH747" s="209">
        <v>1.4079999999999999</v>
      </c>
      <c r="BI747" s="208">
        <v>0</v>
      </c>
      <c r="BJ747" s="209">
        <v>0</v>
      </c>
      <c r="BK747" s="210">
        <v>0</v>
      </c>
      <c r="BL747" s="210">
        <v>1</v>
      </c>
      <c r="BM747" s="210">
        <v>57</v>
      </c>
      <c r="BN747" s="208">
        <v>0.48579545454545453</v>
      </c>
      <c r="BO747" s="352">
        <v>342</v>
      </c>
      <c r="BP747" s="208">
        <v>0.51136363636363635</v>
      </c>
      <c r="BQ747" s="209">
        <v>60</v>
      </c>
      <c r="BR747" s="210">
        <v>117</v>
      </c>
      <c r="BS747" s="212">
        <v>0</v>
      </c>
      <c r="BT747" s="352" t="s">
        <v>103</v>
      </c>
      <c r="BU747" s="209">
        <v>704</v>
      </c>
      <c r="BV747" s="209">
        <v>0</v>
      </c>
      <c r="BW747" s="209">
        <v>1</v>
      </c>
      <c r="BX747" s="209">
        <v>0</v>
      </c>
      <c r="BY747" s="209">
        <v>0</v>
      </c>
      <c r="BZ747" s="208">
        <v>0</v>
      </c>
      <c r="CA747" s="212">
        <v>1</v>
      </c>
      <c r="CB747" s="211">
        <v>1</v>
      </c>
      <c r="CC747" s="211">
        <v>0</v>
      </c>
      <c r="CD747" s="211">
        <v>0</v>
      </c>
      <c r="CE747" s="210">
        <v>0</v>
      </c>
      <c r="CF747" s="210">
        <v>0</v>
      </c>
      <c r="CG747" s="210">
        <v>0</v>
      </c>
      <c r="CH747" s="209">
        <v>0</v>
      </c>
      <c r="CI747" s="139">
        <v>0</v>
      </c>
      <c r="CJ747" s="139">
        <v>0</v>
      </c>
      <c r="CK747" s="139" t="s">
        <v>969</v>
      </c>
      <c r="CL747" s="139" t="s">
        <v>969</v>
      </c>
      <c r="CM747" s="139" t="s">
        <v>969</v>
      </c>
      <c r="CN747" s="139" t="s">
        <v>454</v>
      </c>
      <c r="CO747" s="139">
        <v>20.478969573974599</v>
      </c>
      <c r="CP747" s="139">
        <v>92.683746337890597</v>
      </c>
      <c r="CQ747" s="139">
        <v>197617</v>
      </c>
      <c r="CR747" s="660" t="s">
        <v>40</v>
      </c>
      <c r="CS747" s="660"/>
      <c r="CT747" s="24"/>
      <c r="CU747" s="24"/>
      <c r="CV747" s="24"/>
    </row>
    <row r="748" spans="1:100" x14ac:dyDescent="0.25">
      <c r="A748" s="293" t="s">
        <v>2691</v>
      </c>
      <c r="B748" s="183" t="s">
        <v>530</v>
      </c>
      <c r="C748" s="183" t="s">
        <v>454</v>
      </c>
      <c r="D748" s="183" t="s">
        <v>498</v>
      </c>
      <c r="E748" s="183" t="s">
        <v>642</v>
      </c>
      <c r="F748" s="183">
        <v>20</v>
      </c>
      <c r="G748" s="395">
        <v>62</v>
      </c>
      <c r="H748" s="183"/>
      <c r="I748" s="183" t="s">
        <v>388</v>
      </c>
      <c r="J748" s="184">
        <v>43145</v>
      </c>
      <c r="K748" s="183"/>
      <c r="L748" s="183"/>
      <c r="M748" s="208"/>
      <c r="N748" s="208"/>
      <c r="O748" s="319">
        <v>0</v>
      </c>
      <c r="P748" s="320">
        <v>0</v>
      </c>
      <c r="Q748" s="324">
        <v>0</v>
      </c>
      <c r="R748" s="325">
        <v>2</v>
      </c>
      <c r="S748" s="325">
        <v>0</v>
      </c>
      <c r="T748" s="325"/>
      <c r="U748" s="315"/>
      <c r="V748" s="315"/>
      <c r="W748" s="315"/>
      <c r="X748" s="315"/>
      <c r="Y748" s="315"/>
      <c r="Z748" s="315"/>
      <c r="AA748" s="336">
        <v>10</v>
      </c>
      <c r="AB748" s="336">
        <v>0</v>
      </c>
      <c r="AC748" s="342"/>
      <c r="AD748" s="337"/>
      <c r="AE748" s="342">
        <v>10</v>
      </c>
      <c r="AF748" s="342" t="s">
        <v>332</v>
      </c>
      <c r="AG748" s="339" t="s">
        <v>332</v>
      </c>
      <c r="AH748" s="337"/>
      <c r="AI748" s="337"/>
      <c r="AJ748" s="310" t="s">
        <v>2462</v>
      </c>
      <c r="AK748" s="841">
        <v>0</v>
      </c>
      <c r="AL748" s="842" t="s">
        <v>284</v>
      </c>
      <c r="AM748" s="842">
        <v>0</v>
      </c>
      <c r="AN748" s="837">
        <v>0</v>
      </c>
      <c r="AO748" s="850">
        <v>9</v>
      </c>
      <c r="AP748" s="843"/>
      <c r="AQ748" s="839"/>
      <c r="AR748" s="839"/>
      <c r="AS748" s="839"/>
      <c r="AT748" s="839"/>
      <c r="AU748" s="839"/>
      <c r="AV748" s="852"/>
      <c r="AW748" s="134" t="s">
        <v>3208</v>
      </c>
      <c r="AX748" s="136" t="s">
        <v>3208</v>
      </c>
      <c r="AY748" s="137" t="s">
        <v>2576</v>
      </c>
      <c r="AZ748" s="136">
        <v>0</v>
      </c>
      <c r="BA748" s="136">
        <v>0</v>
      </c>
      <c r="BB748" s="136">
        <v>0</v>
      </c>
      <c r="BC748" s="214">
        <v>0</v>
      </c>
      <c r="BD748" s="136">
        <v>1</v>
      </c>
      <c r="BE748" s="214">
        <v>62</v>
      </c>
      <c r="BF748" s="136">
        <v>1</v>
      </c>
      <c r="BG748" s="214">
        <v>62</v>
      </c>
      <c r="BH748" s="214">
        <v>0.124</v>
      </c>
      <c r="BI748" s="134">
        <v>0</v>
      </c>
      <c r="BJ748" s="214">
        <v>0</v>
      </c>
      <c r="BK748" s="137">
        <v>0.876</v>
      </c>
      <c r="BL748" s="137">
        <v>1</v>
      </c>
      <c r="BM748" s="137">
        <v>10</v>
      </c>
      <c r="BN748" s="134">
        <v>0.967741935483871</v>
      </c>
      <c r="BO748" s="351">
        <v>60</v>
      </c>
      <c r="BP748" s="134">
        <v>0</v>
      </c>
      <c r="BQ748" s="214">
        <v>0</v>
      </c>
      <c r="BR748" s="137">
        <v>10</v>
      </c>
      <c r="BS748" s="138">
        <v>0</v>
      </c>
      <c r="BT748" s="351" t="s">
        <v>103</v>
      </c>
      <c r="BU748" s="209">
        <v>62</v>
      </c>
      <c r="BV748" s="209">
        <v>0</v>
      </c>
      <c r="BW748" s="209">
        <v>1</v>
      </c>
      <c r="BX748" s="209">
        <v>0</v>
      </c>
      <c r="BY748" s="209">
        <v>0</v>
      </c>
      <c r="BZ748" s="134">
        <v>0</v>
      </c>
      <c r="CA748" s="138">
        <v>1</v>
      </c>
      <c r="CB748" s="136">
        <v>1</v>
      </c>
      <c r="CC748" s="136">
        <v>0</v>
      </c>
      <c r="CD748" s="136">
        <v>0</v>
      </c>
      <c r="CE748" s="137">
        <v>0</v>
      </c>
      <c r="CF748" s="137">
        <v>0</v>
      </c>
      <c r="CG748" s="351">
        <v>0</v>
      </c>
      <c r="CH748" s="214">
        <v>0</v>
      </c>
      <c r="CI748" s="139">
        <v>0</v>
      </c>
      <c r="CJ748" s="139">
        <v>0</v>
      </c>
      <c r="CK748" s="139" t="s">
        <v>969</v>
      </c>
      <c r="CL748" s="139" t="s">
        <v>969</v>
      </c>
      <c r="CM748" s="139" t="s">
        <v>969</v>
      </c>
      <c r="CN748" s="139" t="s">
        <v>454</v>
      </c>
      <c r="CO748" s="139">
        <v>20.46994972229</v>
      </c>
      <c r="CP748" s="139">
        <v>92.676437377929702</v>
      </c>
      <c r="CQ748" s="139">
        <v>197632</v>
      </c>
      <c r="CR748" s="449" t="s">
        <v>40</v>
      </c>
      <c r="CS748" s="139"/>
      <c r="CT748" s="24"/>
      <c r="CU748" s="24"/>
      <c r="CV748" s="24"/>
    </row>
    <row r="749" spans="1:100" x14ac:dyDescent="0.25">
      <c r="A749" s="293" t="s">
        <v>2691</v>
      </c>
      <c r="B749" s="132" t="s">
        <v>447</v>
      </c>
      <c r="C749" s="132" t="s">
        <v>454</v>
      </c>
      <c r="D749" s="132" t="s">
        <v>455</v>
      </c>
      <c r="E749" s="132" t="s">
        <v>614</v>
      </c>
      <c r="F749" s="132">
        <v>292</v>
      </c>
      <c r="G749" s="214">
        <v>1414</v>
      </c>
      <c r="H749" s="132"/>
      <c r="I749" s="132" t="s">
        <v>449</v>
      </c>
      <c r="J749" s="133">
        <v>43356</v>
      </c>
      <c r="K749" s="132">
        <v>0</v>
      </c>
      <c r="L749" s="132" t="s">
        <v>282</v>
      </c>
      <c r="M749" s="134">
        <v>0</v>
      </c>
      <c r="N749" s="134">
        <v>0</v>
      </c>
      <c r="O749" s="320">
        <v>7</v>
      </c>
      <c r="P749" s="326">
        <v>48</v>
      </c>
      <c r="Q749" s="326">
        <v>0</v>
      </c>
      <c r="R749" s="315">
        <v>0</v>
      </c>
      <c r="S749" s="315">
        <v>0</v>
      </c>
      <c r="T749" s="315"/>
      <c r="U749" s="315">
        <v>0</v>
      </c>
      <c r="V749" s="315">
        <v>0</v>
      </c>
      <c r="W749" s="315">
        <v>0</v>
      </c>
      <c r="X749" s="315">
        <v>0</v>
      </c>
      <c r="Y749" s="315">
        <v>0</v>
      </c>
      <c r="Z749" s="315"/>
      <c r="AA749" s="336">
        <v>88</v>
      </c>
      <c r="AB749" s="336">
        <v>0</v>
      </c>
      <c r="AC749" s="337">
        <v>0</v>
      </c>
      <c r="AD749" s="337"/>
      <c r="AE749" s="336">
        <v>0</v>
      </c>
      <c r="AF749" s="336" t="s">
        <v>286</v>
      </c>
      <c r="AG749" s="339" t="s">
        <v>286</v>
      </c>
      <c r="AH749" s="339">
        <v>0</v>
      </c>
      <c r="AI749" s="336">
        <v>0</v>
      </c>
      <c r="AJ749" s="336"/>
      <c r="AK749" s="848">
        <v>0</v>
      </c>
      <c r="AL749" s="836" t="s">
        <v>284</v>
      </c>
      <c r="AM749" s="836">
        <v>0</v>
      </c>
      <c r="AN749" s="837">
        <v>0</v>
      </c>
      <c r="AO749" s="837">
        <v>1</v>
      </c>
      <c r="AP749" s="839">
        <v>0</v>
      </c>
      <c r="AQ749" s="839">
        <v>0</v>
      </c>
      <c r="AR749" s="839"/>
      <c r="AS749" s="839"/>
      <c r="AT749" s="839"/>
      <c r="AU749" s="839"/>
      <c r="AV749" s="849"/>
      <c r="AW749" s="134" t="s">
        <v>3208</v>
      </c>
      <c r="AX749" s="136" t="s">
        <v>3208</v>
      </c>
      <c r="AY749" s="137" t="s">
        <v>2576</v>
      </c>
      <c r="AZ749" s="136">
        <v>1</v>
      </c>
      <c r="BA749" s="136">
        <v>1</v>
      </c>
      <c r="BB749" s="136">
        <v>1</v>
      </c>
      <c r="BC749" s="214">
        <v>1414</v>
      </c>
      <c r="BD749" s="136">
        <v>0</v>
      </c>
      <c r="BE749" s="214">
        <v>0</v>
      </c>
      <c r="BF749" s="136">
        <v>1</v>
      </c>
      <c r="BG749" s="214">
        <v>1414</v>
      </c>
      <c r="BH749" s="214">
        <v>2.8279999999999998</v>
      </c>
      <c r="BI749" s="134">
        <v>0</v>
      </c>
      <c r="BJ749" s="214">
        <v>0</v>
      </c>
      <c r="BK749" s="137">
        <v>0.17200000000000015</v>
      </c>
      <c r="BL749" s="137">
        <v>3</v>
      </c>
      <c r="BM749" s="137">
        <v>88</v>
      </c>
      <c r="BN749" s="134">
        <v>0.37340876944837342</v>
      </c>
      <c r="BO749" s="351">
        <v>528</v>
      </c>
      <c r="BP749" s="134">
        <v>0.62800565770862804</v>
      </c>
      <c r="BQ749" s="214">
        <v>148</v>
      </c>
      <c r="BR749" s="137">
        <v>236</v>
      </c>
      <c r="BS749" s="138">
        <v>0</v>
      </c>
      <c r="BT749" s="351" t="s">
        <v>103</v>
      </c>
      <c r="BU749" s="214">
        <v>500</v>
      </c>
      <c r="BV749" s="214">
        <v>0</v>
      </c>
      <c r="BW749" s="214">
        <v>0</v>
      </c>
      <c r="BX749" s="214">
        <v>0</v>
      </c>
      <c r="BY749" s="214">
        <v>0</v>
      </c>
      <c r="BZ749" s="134">
        <v>0</v>
      </c>
      <c r="CA749" s="138">
        <v>1</v>
      </c>
      <c r="CB749" s="136">
        <v>0.3536067892503536</v>
      </c>
      <c r="CC749" s="136">
        <v>0</v>
      </c>
      <c r="CD749" s="136">
        <v>0</v>
      </c>
      <c r="CE749" s="137">
        <v>0</v>
      </c>
      <c r="CF749" s="137">
        <v>0</v>
      </c>
      <c r="CG749" s="137">
        <v>0</v>
      </c>
      <c r="CH749" s="214">
        <v>0</v>
      </c>
      <c r="CI749" s="139">
        <v>0</v>
      </c>
      <c r="CJ749" s="139">
        <v>0</v>
      </c>
      <c r="CK749" s="139" t="s">
        <v>969</v>
      </c>
      <c r="CL749" s="139" t="s">
        <v>969</v>
      </c>
      <c r="CM749" s="139" t="s">
        <v>969</v>
      </c>
      <c r="CN749" s="139" t="s">
        <v>966</v>
      </c>
      <c r="CO749" s="139">
        <v>20.235199999999999</v>
      </c>
      <c r="CP749" s="139">
        <v>92.805000000000007</v>
      </c>
      <c r="CQ749" s="139" t="s">
        <v>1670</v>
      </c>
      <c r="CR749" s="449" t="s">
        <v>40</v>
      </c>
      <c r="CS749" s="449"/>
      <c r="CT749" s="24"/>
      <c r="CU749" s="24"/>
      <c r="CV749" s="24"/>
    </row>
    <row r="750" spans="1:100" x14ac:dyDescent="0.25">
      <c r="A750" s="293" t="s">
        <v>2691</v>
      </c>
      <c r="B750" s="132" t="s">
        <v>447</v>
      </c>
      <c r="C750" s="132" t="s">
        <v>454</v>
      </c>
      <c r="D750" s="132" t="s">
        <v>455</v>
      </c>
      <c r="E750" s="132" t="s">
        <v>615</v>
      </c>
      <c r="F750" s="132">
        <v>380</v>
      </c>
      <c r="G750" s="214">
        <v>1813</v>
      </c>
      <c r="H750" s="132"/>
      <c r="I750" s="132" t="s">
        <v>449</v>
      </c>
      <c r="J750" s="133">
        <v>43356</v>
      </c>
      <c r="K750" s="132">
        <v>0</v>
      </c>
      <c r="L750" s="132" t="s">
        <v>282</v>
      </c>
      <c r="M750" s="134">
        <v>0</v>
      </c>
      <c r="N750" s="134">
        <v>0</v>
      </c>
      <c r="O750" s="320">
        <v>8</v>
      </c>
      <c r="P750" s="326">
        <v>30</v>
      </c>
      <c r="Q750" s="326">
        <v>0</v>
      </c>
      <c r="R750" s="315">
        <v>0</v>
      </c>
      <c r="S750" s="315">
        <v>0</v>
      </c>
      <c r="T750" s="315"/>
      <c r="U750" s="315">
        <v>0</v>
      </c>
      <c r="V750" s="315">
        <v>0</v>
      </c>
      <c r="W750" s="315">
        <v>0</v>
      </c>
      <c r="X750" s="315">
        <v>0</v>
      </c>
      <c r="Y750" s="315">
        <v>0</v>
      </c>
      <c r="Z750" s="315"/>
      <c r="AA750" s="336">
        <v>114</v>
      </c>
      <c r="AB750" s="336">
        <v>0</v>
      </c>
      <c r="AC750" s="337">
        <v>0</v>
      </c>
      <c r="AD750" s="337"/>
      <c r="AE750" s="336">
        <v>0</v>
      </c>
      <c r="AF750" s="336" t="s">
        <v>286</v>
      </c>
      <c r="AG750" s="339" t="s">
        <v>286</v>
      </c>
      <c r="AH750" s="339">
        <v>0</v>
      </c>
      <c r="AI750" s="336">
        <v>0</v>
      </c>
      <c r="AJ750" s="336"/>
      <c r="AK750" s="848">
        <v>0</v>
      </c>
      <c r="AL750" s="836" t="s">
        <v>284</v>
      </c>
      <c r="AM750" s="836">
        <v>0</v>
      </c>
      <c r="AN750" s="837">
        <v>0</v>
      </c>
      <c r="AO750" s="837">
        <v>1</v>
      </c>
      <c r="AP750" s="839">
        <v>0</v>
      </c>
      <c r="AQ750" s="839">
        <v>0</v>
      </c>
      <c r="AR750" s="839"/>
      <c r="AS750" s="839"/>
      <c r="AT750" s="839"/>
      <c r="AU750" s="839"/>
      <c r="AV750" s="849"/>
      <c r="AW750" s="134" t="s">
        <v>3208</v>
      </c>
      <c r="AX750" s="136" t="s">
        <v>3208</v>
      </c>
      <c r="AY750" s="137" t="s">
        <v>2576</v>
      </c>
      <c r="AZ750" s="136">
        <v>1</v>
      </c>
      <c r="BA750" s="136">
        <v>1</v>
      </c>
      <c r="BB750" s="136">
        <v>1</v>
      </c>
      <c r="BC750" s="214">
        <v>1813</v>
      </c>
      <c r="BD750" s="136">
        <v>0</v>
      </c>
      <c r="BE750" s="214">
        <v>0</v>
      </c>
      <c r="BF750" s="136">
        <v>1</v>
      </c>
      <c r="BG750" s="214">
        <v>1813</v>
      </c>
      <c r="BH750" s="214">
        <v>3.6259999999999999</v>
      </c>
      <c r="BI750" s="134">
        <v>0</v>
      </c>
      <c r="BJ750" s="214">
        <v>0</v>
      </c>
      <c r="BK750" s="137">
        <v>0.37400000000000011</v>
      </c>
      <c r="BL750" s="137">
        <v>4</v>
      </c>
      <c r="BM750" s="137">
        <v>114</v>
      </c>
      <c r="BN750" s="134">
        <v>0.37727523441809158</v>
      </c>
      <c r="BO750" s="351">
        <v>684</v>
      </c>
      <c r="BP750" s="134">
        <v>0.62217319360176504</v>
      </c>
      <c r="BQ750" s="214">
        <v>188</v>
      </c>
      <c r="BR750" s="137">
        <v>302</v>
      </c>
      <c r="BS750" s="138">
        <v>0</v>
      </c>
      <c r="BT750" s="351" t="s">
        <v>103</v>
      </c>
      <c r="BU750" s="214">
        <v>500</v>
      </c>
      <c r="BV750" s="214">
        <v>0</v>
      </c>
      <c r="BW750" s="214">
        <v>0</v>
      </c>
      <c r="BX750" s="214">
        <v>0</v>
      </c>
      <c r="BY750" s="214">
        <v>0</v>
      </c>
      <c r="BZ750" s="134">
        <v>0</v>
      </c>
      <c r="CA750" s="138">
        <v>1</v>
      </c>
      <c r="CB750" s="136">
        <v>0.27578599007170435</v>
      </c>
      <c r="CC750" s="136">
        <v>0</v>
      </c>
      <c r="CD750" s="136">
        <v>0</v>
      </c>
      <c r="CE750" s="137">
        <v>0</v>
      </c>
      <c r="CF750" s="137">
        <v>0</v>
      </c>
      <c r="CG750" s="137">
        <v>0</v>
      </c>
      <c r="CH750" s="214">
        <v>0</v>
      </c>
      <c r="CI750" s="139">
        <v>0</v>
      </c>
      <c r="CJ750" s="139">
        <v>0</v>
      </c>
      <c r="CK750" s="139" t="s">
        <v>969</v>
      </c>
      <c r="CL750" s="139" t="s">
        <v>969</v>
      </c>
      <c r="CM750" s="139" t="s">
        <v>969</v>
      </c>
      <c r="CN750" s="139" t="s">
        <v>454</v>
      </c>
      <c r="CO750" s="139">
        <v>20.235199999999999</v>
      </c>
      <c r="CP750" s="139">
        <v>92.790199999999999</v>
      </c>
      <c r="CQ750" s="139" t="s">
        <v>1671</v>
      </c>
      <c r="CR750" s="449" t="s">
        <v>40</v>
      </c>
      <c r="CS750" s="449"/>
      <c r="CT750" s="24"/>
      <c r="CU750" s="24"/>
      <c r="CV750" s="24"/>
    </row>
    <row r="751" spans="1:100" x14ac:dyDescent="0.25">
      <c r="A751" s="293" t="s">
        <v>2691</v>
      </c>
      <c r="B751" s="132" t="s">
        <v>447</v>
      </c>
      <c r="C751" s="132" t="s">
        <v>454</v>
      </c>
      <c r="D751" s="132" t="s">
        <v>455</v>
      </c>
      <c r="E751" s="132" t="s">
        <v>575</v>
      </c>
      <c r="F751" s="132">
        <v>615</v>
      </c>
      <c r="G751" s="214">
        <v>2985</v>
      </c>
      <c r="H751" s="132"/>
      <c r="I751" s="132" t="s">
        <v>449</v>
      </c>
      <c r="J751" s="133">
        <v>43356</v>
      </c>
      <c r="K751" s="132">
        <v>0</v>
      </c>
      <c r="L751" s="132" t="s">
        <v>282</v>
      </c>
      <c r="M751" s="134">
        <v>0</v>
      </c>
      <c r="N751" s="134">
        <v>0</v>
      </c>
      <c r="O751" s="320">
        <v>9</v>
      </c>
      <c r="P751" s="326">
        <v>62</v>
      </c>
      <c r="Q751" s="326">
        <v>0</v>
      </c>
      <c r="R751" s="315">
        <v>0</v>
      </c>
      <c r="S751" s="315">
        <v>0</v>
      </c>
      <c r="T751" s="315"/>
      <c r="U751" s="315">
        <v>0</v>
      </c>
      <c r="V751" s="315">
        <v>0</v>
      </c>
      <c r="W751" s="315">
        <v>0</v>
      </c>
      <c r="X751" s="315">
        <v>0</v>
      </c>
      <c r="Y751" s="315">
        <v>0</v>
      </c>
      <c r="Z751" s="315"/>
      <c r="AA751" s="336">
        <v>2</v>
      </c>
      <c r="AB751" s="336">
        <v>0</v>
      </c>
      <c r="AC751" s="337">
        <v>0</v>
      </c>
      <c r="AD751" s="337"/>
      <c r="AE751" s="336">
        <v>0</v>
      </c>
      <c r="AF751" s="336" t="s">
        <v>286</v>
      </c>
      <c r="AG751" s="339" t="s">
        <v>286</v>
      </c>
      <c r="AH751" s="339">
        <v>0</v>
      </c>
      <c r="AI751" s="336">
        <v>0</v>
      </c>
      <c r="AJ751" s="336"/>
      <c r="AK751" s="848">
        <v>0</v>
      </c>
      <c r="AL751" s="836" t="s">
        <v>284</v>
      </c>
      <c r="AM751" s="836">
        <v>0</v>
      </c>
      <c r="AN751" s="837">
        <v>0</v>
      </c>
      <c r="AO751" s="837">
        <v>1</v>
      </c>
      <c r="AP751" s="839">
        <v>0</v>
      </c>
      <c r="AQ751" s="839">
        <v>0</v>
      </c>
      <c r="AR751" s="839"/>
      <c r="AS751" s="839"/>
      <c r="AT751" s="839"/>
      <c r="AU751" s="839"/>
      <c r="AV751" s="849"/>
      <c r="AW751" s="134" t="s">
        <v>3208</v>
      </c>
      <c r="AX751" s="136" t="s">
        <v>3208</v>
      </c>
      <c r="AY751" s="137" t="s">
        <v>2576</v>
      </c>
      <c r="AZ751" s="136">
        <v>1</v>
      </c>
      <c r="BA751" s="136">
        <v>1</v>
      </c>
      <c r="BB751" s="136">
        <v>1</v>
      </c>
      <c r="BC751" s="214">
        <v>2985</v>
      </c>
      <c r="BD751" s="136">
        <v>0</v>
      </c>
      <c r="BE751" s="214">
        <v>0</v>
      </c>
      <c r="BF751" s="136">
        <v>1</v>
      </c>
      <c r="BG751" s="214">
        <v>2985</v>
      </c>
      <c r="BH751" s="214">
        <v>5.97</v>
      </c>
      <c r="BI751" s="134">
        <v>0</v>
      </c>
      <c r="BJ751" s="214">
        <v>0</v>
      </c>
      <c r="BK751" s="137">
        <v>3.0000000000000249E-2</v>
      </c>
      <c r="BL751" s="137">
        <v>6</v>
      </c>
      <c r="BM751" s="137">
        <v>2</v>
      </c>
      <c r="BN751" s="134">
        <v>4.0201005025125632E-3</v>
      </c>
      <c r="BO751" s="351">
        <v>12.000000000000002</v>
      </c>
      <c r="BP751" s="134">
        <v>0.99698492462311561</v>
      </c>
      <c r="BQ751" s="214">
        <v>496</v>
      </c>
      <c r="BR751" s="137">
        <v>498</v>
      </c>
      <c r="BS751" s="138">
        <v>0</v>
      </c>
      <c r="BT751" s="351" t="s">
        <v>103</v>
      </c>
      <c r="BU751" s="214">
        <v>500</v>
      </c>
      <c r="BV751" s="214">
        <v>0</v>
      </c>
      <c r="BW751" s="214">
        <v>0</v>
      </c>
      <c r="BX751" s="214">
        <v>0</v>
      </c>
      <c r="BY751" s="214">
        <v>0</v>
      </c>
      <c r="BZ751" s="134">
        <v>0</v>
      </c>
      <c r="CA751" s="138">
        <v>1</v>
      </c>
      <c r="CB751" s="136">
        <v>0.16750418760469013</v>
      </c>
      <c r="CC751" s="136">
        <v>0</v>
      </c>
      <c r="CD751" s="136">
        <v>0</v>
      </c>
      <c r="CE751" s="137">
        <v>0</v>
      </c>
      <c r="CF751" s="137">
        <v>0</v>
      </c>
      <c r="CG751" s="137">
        <v>0</v>
      </c>
      <c r="CH751" s="214">
        <v>0</v>
      </c>
      <c r="CI751" s="139">
        <v>0</v>
      </c>
      <c r="CJ751" s="139">
        <v>0</v>
      </c>
      <c r="CK751" s="139" t="s">
        <v>969</v>
      </c>
      <c r="CL751" s="139" t="s">
        <v>969</v>
      </c>
      <c r="CM751" s="139" t="s">
        <v>969</v>
      </c>
      <c r="CN751" s="139" t="s">
        <v>966</v>
      </c>
      <c r="CO751" s="139">
        <v>20.127127999999999</v>
      </c>
      <c r="CP751" s="139">
        <v>92.875450000000001</v>
      </c>
      <c r="CQ751" s="139" t="s">
        <v>1628</v>
      </c>
      <c r="CR751" s="449" t="s">
        <v>40</v>
      </c>
      <c r="CS751" s="449"/>
      <c r="CT751" s="24"/>
      <c r="CU751" s="24"/>
      <c r="CV751" s="24"/>
    </row>
    <row r="752" spans="1:100" ht="18" x14ac:dyDescent="0.25">
      <c r="A752" s="293" t="s">
        <v>2691</v>
      </c>
      <c r="B752" s="132" t="s">
        <v>426</v>
      </c>
      <c r="C752" s="132" t="s">
        <v>454</v>
      </c>
      <c r="D752" s="132" t="s">
        <v>455</v>
      </c>
      <c r="E752" s="132" t="s">
        <v>576</v>
      </c>
      <c r="F752" s="132">
        <v>397</v>
      </c>
      <c r="G752" s="214">
        <v>2111</v>
      </c>
      <c r="H752" s="132"/>
      <c r="I752" s="132" t="s">
        <v>47</v>
      </c>
      <c r="J752" s="133">
        <v>44104</v>
      </c>
      <c r="K752" s="132">
        <v>0</v>
      </c>
      <c r="L752" s="132" t="s">
        <v>282</v>
      </c>
      <c r="M752" s="134">
        <v>0</v>
      </c>
      <c r="N752" s="134">
        <v>0</v>
      </c>
      <c r="O752" s="320">
        <v>0</v>
      </c>
      <c r="P752" s="326">
        <v>33</v>
      </c>
      <c r="Q752" s="326">
        <v>0</v>
      </c>
      <c r="R752" s="315">
        <v>0</v>
      </c>
      <c r="S752" s="315">
        <v>29</v>
      </c>
      <c r="T752" s="315"/>
      <c r="U752" s="315">
        <v>27</v>
      </c>
      <c r="V752" s="315">
        <v>21</v>
      </c>
      <c r="W752" s="315">
        <v>78</v>
      </c>
      <c r="X752" s="315">
        <v>38</v>
      </c>
      <c r="Y752" s="315">
        <v>0</v>
      </c>
      <c r="Z752" s="864" t="s">
        <v>2783</v>
      </c>
      <c r="AA752" s="310">
        <v>104</v>
      </c>
      <c r="AB752" s="311">
        <v>14</v>
      </c>
      <c r="AC752" s="337">
        <v>39</v>
      </c>
      <c r="AD752" s="337"/>
      <c r="AE752" s="336">
        <v>112</v>
      </c>
      <c r="AF752" s="336" t="s">
        <v>283</v>
      </c>
      <c r="AG752" s="339" t="s">
        <v>283</v>
      </c>
      <c r="AH752" s="339">
        <v>0</v>
      </c>
      <c r="AI752" s="336">
        <v>0</v>
      </c>
      <c r="AJ752" s="336"/>
      <c r="AK752" s="848">
        <v>1</v>
      </c>
      <c r="AL752" s="842" t="s">
        <v>284</v>
      </c>
      <c r="AM752" s="836">
        <v>0</v>
      </c>
      <c r="AN752" s="837">
        <v>0</v>
      </c>
      <c r="AO752" s="837">
        <v>2</v>
      </c>
      <c r="AP752" s="839">
        <v>397</v>
      </c>
      <c r="AQ752" s="839">
        <v>397</v>
      </c>
      <c r="AR752" s="839" t="s">
        <v>282</v>
      </c>
      <c r="AS752" s="839"/>
      <c r="AT752" s="839"/>
      <c r="AU752" s="839"/>
      <c r="AV752" s="849"/>
      <c r="AW752" s="134">
        <v>0.77777777777777779</v>
      </c>
      <c r="AX752" s="136">
        <v>0.48717948717948717</v>
      </c>
      <c r="AY752" s="137" t="s">
        <v>2577</v>
      </c>
      <c r="AZ752" s="136">
        <v>1</v>
      </c>
      <c r="BA752" s="136">
        <v>1</v>
      </c>
      <c r="BB752" s="136">
        <v>1</v>
      </c>
      <c r="BC752" s="214">
        <v>2111</v>
      </c>
      <c r="BD752" s="136">
        <v>0</v>
      </c>
      <c r="BE752" s="214">
        <v>0</v>
      </c>
      <c r="BF752" s="136">
        <v>1</v>
      </c>
      <c r="BG752" s="214">
        <v>2111</v>
      </c>
      <c r="BH752" s="214">
        <v>4.2220000000000004</v>
      </c>
      <c r="BI752" s="134">
        <v>0</v>
      </c>
      <c r="BJ752" s="214">
        <v>0</v>
      </c>
      <c r="BK752" s="137">
        <v>0</v>
      </c>
      <c r="BL752" s="137">
        <v>4</v>
      </c>
      <c r="BM752" s="137">
        <v>118</v>
      </c>
      <c r="BN752" s="134">
        <v>0.98531501657982001</v>
      </c>
      <c r="BO752" s="351">
        <v>2080</v>
      </c>
      <c r="BP752" s="134">
        <v>0</v>
      </c>
      <c r="BQ752" s="214">
        <v>0</v>
      </c>
      <c r="BR752" s="137">
        <v>106</v>
      </c>
      <c r="BS752" s="138">
        <v>0.11864406779661017</v>
      </c>
      <c r="BT752" s="351">
        <v>780</v>
      </c>
      <c r="BU752" s="214">
        <v>1000</v>
      </c>
      <c r="BV752" s="214">
        <v>1</v>
      </c>
      <c r="BW752" s="214">
        <v>0</v>
      </c>
      <c r="BX752" s="214">
        <v>1</v>
      </c>
      <c r="BY752" s="214">
        <v>2111</v>
      </c>
      <c r="BZ752" s="134">
        <v>1</v>
      </c>
      <c r="CA752" s="138">
        <v>0</v>
      </c>
      <c r="CB752" s="136">
        <v>0.47370914258645191</v>
      </c>
      <c r="CC752" s="136">
        <v>1</v>
      </c>
      <c r="CD752" s="136">
        <v>1</v>
      </c>
      <c r="CE752" s="137">
        <v>1985</v>
      </c>
      <c r="CF752" s="137">
        <v>1985</v>
      </c>
      <c r="CG752" s="137">
        <v>1985</v>
      </c>
      <c r="CH752" s="214">
        <v>397</v>
      </c>
      <c r="CI752" s="139" t="s">
        <v>48</v>
      </c>
      <c r="CJ752" s="139">
        <v>0</v>
      </c>
      <c r="CK752" s="139" t="s">
        <v>50</v>
      </c>
      <c r="CL752" s="139" t="s">
        <v>50</v>
      </c>
      <c r="CM752" s="139" t="s">
        <v>965</v>
      </c>
      <c r="CN752" s="139" t="s">
        <v>966</v>
      </c>
      <c r="CO752" s="139">
        <v>20.128488999999998</v>
      </c>
      <c r="CP752" s="139">
        <v>92.875814000000005</v>
      </c>
      <c r="CQ752" s="139" t="s">
        <v>1629</v>
      </c>
      <c r="CR752" s="449" t="s">
        <v>40</v>
      </c>
      <c r="CS752" s="449"/>
      <c r="CT752" s="24"/>
      <c r="CU752" s="24"/>
      <c r="CV752" s="24"/>
    </row>
    <row r="753" spans="1:100" x14ac:dyDescent="0.25">
      <c r="A753" s="293" t="s">
        <v>2691</v>
      </c>
      <c r="B753" s="206" t="s">
        <v>460</v>
      </c>
      <c r="C753" s="101" t="s">
        <v>454</v>
      </c>
      <c r="D753" s="101" t="s">
        <v>455</v>
      </c>
      <c r="E753" s="101" t="s">
        <v>593</v>
      </c>
      <c r="F753" s="132">
        <v>22</v>
      </c>
      <c r="G753" s="214">
        <v>114</v>
      </c>
      <c r="H753" s="132"/>
      <c r="I753" s="101"/>
      <c r="J753" s="133"/>
      <c r="K753" s="101"/>
      <c r="L753" s="206" t="s">
        <v>282</v>
      </c>
      <c r="M753" s="208">
        <v>0</v>
      </c>
      <c r="N753" s="208">
        <v>0</v>
      </c>
      <c r="O753" s="320">
        <v>0</v>
      </c>
      <c r="P753" s="320">
        <v>0</v>
      </c>
      <c r="Q753" s="321">
        <v>0</v>
      </c>
      <c r="R753" s="322">
        <v>0</v>
      </c>
      <c r="S753" s="322">
        <v>0</v>
      </c>
      <c r="T753" s="322"/>
      <c r="U753" s="317"/>
      <c r="V753" s="317"/>
      <c r="W753" s="317"/>
      <c r="X753" s="317"/>
      <c r="Y753" s="317"/>
      <c r="Z753" s="315"/>
      <c r="AA753" s="310">
        <v>0</v>
      </c>
      <c r="AB753" s="311">
        <v>0</v>
      </c>
      <c r="AC753" s="337"/>
      <c r="AD753" s="337"/>
      <c r="AE753" s="340">
        <v>0</v>
      </c>
      <c r="AF753" s="336" t="s">
        <v>332</v>
      </c>
      <c r="AG753" s="66" t="s">
        <v>332</v>
      </c>
      <c r="AH753" s="337"/>
      <c r="AI753" s="337"/>
      <c r="AJ753" s="341"/>
      <c r="AK753" s="845">
        <v>0</v>
      </c>
      <c r="AL753" s="846" t="s">
        <v>284</v>
      </c>
      <c r="AM753" s="844">
        <v>0</v>
      </c>
      <c r="AN753" s="837">
        <v>0</v>
      </c>
      <c r="AO753" s="837">
        <v>2</v>
      </c>
      <c r="AP753" s="843"/>
      <c r="AQ753" s="843"/>
      <c r="AR753" s="843"/>
      <c r="AS753" s="843"/>
      <c r="AT753" s="843"/>
      <c r="AU753" s="843"/>
      <c r="AV753" s="849"/>
      <c r="AW753" s="134" t="s">
        <v>3208</v>
      </c>
      <c r="AX753" s="136" t="s">
        <v>3208</v>
      </c>
      <c r="AY753" s="137" t="s">
        <v>2576</v>
      </c>
      <c r="AZ753" s="136">
        <v>0</v>
      </c>
      <c r="BA753" s="136">
        <v>0</v>
      </c>
      <c r="BB753" s="136">
        <v>0</v>
      </c>
      <c r="BC753" s="214">
        <v>0</v>
      </c>
      <c r="BD753" s="136">
        <v>0</v>
      </c>
      <c r="BE753" s="214">
        <v>0</v>
      </c>
      <c r="BF753" s="136">
        <v>0</v>
      </c>
      <c r="BG753" s="214">
        <v>0</v>
      </c>
      <c r="BH753" s="214">
        <v>0</v>
      </c>
      <c r="BI753" s="134">
        <v>1</v>
      </c>
      <c r="BJ753" s="214">
        <v>114</v>
      </c>
      <c r="BK753" s="137">
        <v>1</v>
      </c>
      <c r="BL753" s="137">
        <v>1</v>
      </c>
      <c r="BM753" s="137">
        <v>0</v>
      </c>
      <c r="BN753" s="134">
        <v>0</v>
      </c>
      <c r="BO753" s="351">
        <v>0</v>
      </c>
      <c r="BP753" s="134">
        <v>1</v>
      </c>
      <c r="BQ753" s="214">
        <v>6</v>
      </c>
      <c r="BR753" s="137">
        <v>6</v>
      </c>
      <c r="BS753" s="138">
        <v>0</v>
      </c>
      <c r="BT753" s="351">
        <v>0</v>
      </c>
      <c r="BU753" s="209">
        <v>114</v>
      </c>
      <c r="BV753" s="209">
        <v>0</v>
      </c>
      <c r="BW753" s="209">
        <v>1</v>
      </c>
      <c r="BX753" s="209">
        <v>0</v>
      </c>
      <c r="BY753" s="209">
        <v>0</v>
      </c>
      <c r="BZ753" s="134">
        <v>0</v>
      </c>
      <c r="CA753" s="138">
        <v>1</v>
      </c>
      <c r="CB753" s="136">
        <v>1</v>
      </c>
      <c r="CC753" s="136">
        <v>0</v>
      </c>
      <c r="CD753" s="136">
        <v>0</v>
      </c>
      <c r="CE753" s="137">
        <v>0</v>
      </c>
      <c r="CF753" s="137">
        <v>0</v>
      </c>
      <c r="CG753" s="351">
        <v>0</v>
      </c>
      <c r="CH753" s="214">
        <v>0</v>
      </c>
      <c r="CI753" s="139" t="s">
        <v>48</v>
      </c>
      <c r="CJ753" s="139">
        <v>0</v>
      </c>
      <c r="CK753" s="139" t="s">
        <v>50</v>
      </c>
      <c r="CL753" s="139" t="s">
        <v>50</v>
      </c>
      <c r="CM753" s="139" t="s">
        <v>942</v>
      </c>
      <c r="CN753" s="139" t="s">
        <v>966</v>
      </c>
      <c r="CO753" s="139">
        <v>20.182987000000001</v>
      </c>
      <c r="CP753" s="139">
        <v>92.804803000000007</v>
      </c>
      <c r="CQ753" s="139" t="s">
        <v>1654</v>
      </c>
      <c r="CR753" s="449" t="s">
        <v>3209</v>
      </c>
      <c r="CS753" s="139"/>
      <c r="CT753" s="24"/>
      <c r="CU753" s="24"/>
      <c r="CV753" s="24"/>
    </row>
    <row r="754" spans="1:100" ht="18" x14ac:dyDescent="0.25">
      <c r="A754" s="293" t="s">
        <v>2691</v>
      </c>
      <c r="B754" s="132" t="s">
        <v>426</v>
      </c>
      <c r="C754" s="132" t="s">
        <v>454</v>
      </c>
      <c r="D754" s="132" t="s">
        <v>455</v>
      </c>
      <c r="E754" s="132" t="s">
        <v>587</v>
      </c>
      <c r="F754" s="132">
        <v>1016</v>
      </c>
      <c r="G754" s="214">
        <v>4892</v>
      </c>
      <c r="H754" s="132"/>
      <c r="I754" s="132" t="s">
        <v>47</v>
      </c>
      <c r="J754" s="133">
        <v>44104</v>
      </c>
      <c r="K754" s="132">
        <v>0</v>
      </c>
      <c r="L754" s="132" t="s">
        <v>282</v>
      </c>
      <c r="M754" s="134">
        <v>0</v>
      </c>
      <c r="N754" s="134">
        <v>0</v>
      </c>
      <c r="O754" s="320">
        <v>0</v>
      </c>
      <c r="P754" s="326">
        <v>46</v>
      </c>
      <c r="Q754" s="326">
        <v>0</v>
      </c>
      <c r="R754" s="315">
        <v>0</v>
      </c>
      <c r="S754" s="315">
        <v>53</v>
      </c>
      <c r="T754" s="315"/>
      <c r="U754" s="315">
        <v>0</v>
      </c>
      <c r="V754" s="315">
        <v>0</v>
      </c>
      <c r="W754" s="315">
        <v>0</v>
      </c>
      <c r="X754" s="315">
        <v>0</v>
      </c>
      <c r="Y754" s="315">
        <v>0</v>
      </c>
      <c r="Z754" s="864" t="s">
        <v>2783</v>
      </c>
      <c r="AA754" s="336">
        <v>257</v>
      </c>
      <c r="AB754" s="336">
        <v>68</v>
      </c>
      <c r="AC754" s="337">
        <v>363</v>
      </c>
      <c r="AD754" s="337"/>
      <c r="AE754" s="336">
        <v>250</v>
      </c>
      <c r="AF754" s="336" t="s">
        <v>283</v>
      </c>
      <c r="AG754" s="339" t="s">
        <v>283</v>
      </c>
      <c r="AH754" s="339">
        <v>0</v>
      </c>
      <c r="AI754" s="336">
        <v>0</v>
      </c>
      <c r="AJ754" s="336"/>
      <c r="AK754" s="848">
        <v>1</v>
      </c>
      <c r="AL754" s="842" t="s">
        <v>284</v>
      </c>
      <c r="AM754" s="836">
        <v>0</v>
      </c>
      <c r="AN754" s="837">
        <v>0</v>
      </c>
      <c r="AO754" s="837">
        <v>9</v>
      </c>
      <c r="AP754" s="839">
        <v>2325</v>
      </c>
      <c r="AQ754" s="839">
        <v>2325</v>
      </c>
      <c r="AR754" s="839" t="s">
        <v>282</v>
      </c>
      <c r="AS754" s="839"/>
      <c r="AT754" s="839"/>
      <c r="AU754" s="839"/>
      <c r="AV754" s="849"/>
      <c r="AW754" s="134" t="s">
        <v>3208</v>
      </c>
      <c r="AX754" s="136" t="s">
        <v>3208</v>
      </c>
      <c r="AY754" s="137" t="s">
        <v>2576</v>
      </c>
      <c r="AZ754" s="136">
        <v>1</v>
      </c>
      <c r="BA754" s="136">
        <v>1</v>
      </c>
      <c r="BB754" s="136">
        <v>1</v>
      </c>
      <c r="BC754" s="214">
        <v>4892</v>
      </c>
      <c r="BD754" s="136">
        <v>0</v>
      </c>
      <c r="BE754" s="214">
        <v>0</v>
      </c>
      <c r="BF754" s="136">
        <v>1</v>
      </c>
      <c r="BG754" s="214">
        <v>4892</v>
      </c>
      <c r="BH754" s="214">
        <v>9.7840000000000007</v>
      </c>
      <c r="BI754" s="134">
        <v>0</v>
      </c>
      <c r="BJ754" s="214">
        <v>0</v>
      </c>
      <c r="BK754" s="137">
        <v>0.2159999999999993</v>
      </c>
      <c r="BL754" s="137">
        <v>10</v>
      </c>
      <c r="BM754" s="137">
        <v>325</v>
      </c>
      <c r="BN754" s="134">
        <v>1</v>
      </c>
      <c r="BO754" s="351">
        <v>4892</v>
      </c>
      <c r="BP754" s="134">
        <v>0</v>
      </c>
      <c r="BQ754" s="214">
        <v>0</v>
      </c>
      <c r="BR754" s="137">
        <v>245</v>
      </c>
      <c r="BS754" s="138">
        <v>0.20923076923076922</v>
      </c>
      <c r="BT754" s="351">
        <v>4892</v>
      </c>
      <c r="BU754" s="214">
        <v>4500</v>
      </c>
      <c r="BV754" s="214">
        <v>1</v>
      </c>
      <c r="BW754" s="214">
        <v>1</v>
      </c>
      <c r="BX754" s="214">
        <v>1</v>
      </c>
      <c r="BY754" s="214">
        <v>4892</v>
      </c>
      <c r="BZ754" s="134">
        <v>1</v>
      </c>
      <c r="CA754" s="138">
        <v>0</v>
      </c>
      <c r="CB754" s="136">
        <v>0.91986917416189695</v>
      </c>
      <c r="CC754" s="136">
        <v>1</v>
      </c>
      <c r="CD754" s="136">
        <v>1</v>
      </c>
      <c r="CE754" s="137">
        <v>11625</v>
      </c>
      <c r="CF754" s="137">
        <v>11625</v>
      </c>
      <c r="CG754" s="137">
        <v>11625</v>
      </c>
      <c r="CH754" s="214">
        <v>1016</v>
      </c>
      <c r="CI754" s="139" t="s">
        <v>48</v>
      </c>
      <c r="CJ754" s="139">
        <v>0</v>
      </c>
      <c r="CK754" s="139" t="s">
        <v>50</v>
      </c>
      <c r="CL754" s="139" t="s">
        <v>50</v>
      </c>
      <c r="CM754" s="139" t="s">
        <v>965</v>
      </c>
      <c r="CN754" s="139" t="s">
        <v>966</v>
      </c>
      <c r="CO754" s="139">
        <v>20.179417000000001</v>
      </c>
      <c r="CP754" s="139">
        <v>92.813028000000003</v>
      </c>
      <c r="CQ754" s="139" t="s">
        <v>1647</v>
      </c>
      <c r="CR754" s="449" t="s">
        <v>40</v>
      </c>
      <c r="CS754" s="449"/>
      <c r="CT754" s="24"/>
      <c r="CU754" s="24"/>
      <c r="CV754" s="24"/>
    </row>
    <row r="755" spans="1:100" ht="18" x14ac:dyDescent="0.25">
      <c r="A755" s="293" t="s">
        <v>2691</v>
      </c>
      <c r="B755" s="132" t="s">
        <v>426</v>
      </c>
      <c r="C755" s="132" t="s">
        <v>454</v>
      </c>
      <c r="D755" s="132" t="s">
        <v>455</v>
      </c>
      <c r="E755" s="132" t="s">
        <v>590</v>
      </c>
      <c r="F755" s="132">
        <v>1311</v>
      </c>
      <c r="G755" s="214">
        <v>6936</v>
      </c>
      <c r="H755" s="132"/>
      <c r="I755" s="132" t="s">
        <v>47</v>
      </c>
      <c r="J755" s="133">
        <v>44104</v>
      </c>
      <c r="K755" s="132">
        <v>0</v>
      </c>
      <c r="L755" s="132" t="s">
        <v>282</v>
      </c>
      <c r="M755" s="134">
        <v>0</v>
      </c>
      <c r="N755" s="134">
        <v>0</v>
      </c>
      <c r="O755" s="320">
        <v>0</v>
      </c>
      <c r="P755" s="326">
        <v>58</v>
      </c>
      <c r="Q755" s="326">
        <v>0</v>
      </c>
      <c r="R755" s="315">
        <v>0</v>
      </c>
      <c r="S755" s="315">
        <v>88</v>
      </c>
      <c r="T755" s="315"/>
      <c r="U755" s="315">
        <v>0</v>
      </c>
      <c r="V755" s="315">
        <v>0</v>
      </c>
      <c r="W755" s="315">
        <v>0</v>
      </c>
      <c r="X755" s="315">
        <v>0</v>
      </c>
      <c r="Y755" s="315">
        <v>0</v>
      </c>
      <c r="Z755" s="864" t="s">
        <v>2783</v>
      </c>
      <c r="AA755" s="336">
        <v>324</v>
      </c>
      <c r="AB755" s="336">
        <v>100</v>
      </c>
      <c r="AC755" s="337"/>
      <c r="AD755" s="337"/>
      <c r="AE755" s="336">
        <v>303</v>
      </c>
      <c r="AF755" s="336" t="s">
        <v>283</v>
      </c>
      <c r="AG755" s="339" t="s">
        <v>283</v>
      </c>
      <c r="AH755" s="339">
        <v>0</v>
      </c>
      <c r="AI755" s="336">
        <v>0</v>
      </c>
      <c r="AJ755" s="336"/>
      <c r="AK755" s="848">
        <v>1</v>
      </c>
      <c r="AL755" s="842" t="s">
        <v>284</v>
      </c>
      <c r="AM755" s="836">
        <v>0</v>
      </c>
      <c r="AN755" s="837">
        <v>0</v>
      </c>
      <c r="AO755" s="837">
        <v>0</v>
      </c>
      <c r="AP755" s="839"/>
      <c r="AQ755" s="839"/>
      <c r="AR755" s="839"/>
      <c r="AS755" s="839"/>
      <c r="AT755" s="839"/>
      <c r="AU755" s="839"/>
      <c r="AV755" s="849"/>
      <c r="AW755" s="134" t="s">
        <v>3208</v>
      </c>
      <c r="AX755" s="136" t="s">
        <v>3208</v>
      </c>
      <c r="AY755" s="137" t="s">
        <v>2576</v>
      </c>
      <c r="AZ755" s="136">
        <v>1</v>
      </c>
      <c r="BA755" s="136">
        <v>1</v>
      </c>
      <c r="BB755" s="136">
        <v>1</v>
      </c>
      <c r="BC755" s="214">
        <v>6936</v>
      </c>
      <c r="BD755" s="136">
        <v>0</v>
      </c>
      <c r="BE755" s="214">
        <v>0</v>
      </c>
      <c r="BF755" s="136">
        <v>1</v>
      </c>
      <c r="BG755" s="214">
        <v>6936</v>
      </c>
      <c r="BH755" s="214">
        <v>13.872</v>
      </c>
      <c r="BI755" s="134">
        <v>0</v>
      </c>
      <c r="BJ755" s="214">
        <v>0</v>
      </c>
      <c r="BK755" s="137">
        <v>0.12800000000000011</v>
      </c>
      <c r="BL755" s="137">
        <v>14</v>
      </c>
      <c r="BM755" s="137">
        <v>424</v>
      </c>
      <c r="BN755" s="134">
        <v>0.93425605536332179</v>
      </c>
      <c r="BO755" s="351">
        <v>6480</v>
      </c>
      <c r="BP755" s="134">
        <v>0</v>
      </c>
      <c r="BQ755" s="214">
        <v>0</v>
      </c>
      <c r="BR755" s="137">
        <v>347</v>
      </c>
      <c r="BS755" s="138">
        <v>0.23584905660377359</v>
      </c>
      <c r="BT755" s="351">
        <v>0</v>
      </c>
      <c r="BU755" s="214">
        <v>0</v>
      </c>
      <c r="BV755" s="214">
        <v>0</v>
      </c>
      <c r="BW755" s="214">
        <v>0</v>
      </c>
      <c r="BX755" s="214">
        <v>0</v>
      </c>
      <c r="BY755" s="214">
        <v>0</v>
      </c>
      <c r="BZ755" s="134">
        <v>0</v>
      </c>
      <c r="CA755" s="138">
        <v>1</v>
      </c>
      <c r="CB755" s="136">
        <v>0</v>
      </c>
      <c r="CC755" s="136">
        <v>0</v>
      </c>
      <c r="CD755" s="136">
        <v>0</v>
      </c>
      <c r="CE755" s="137">
        <v>0</v>
      </c>
      <c r="CF755" s="137">
        <v>0</v>
      </c>
      <c r="CG755" s="137">
        <v>0</v>
      </c>
      <c r="CH755" s="214">
        <v>1311</v>
      </c>
      <c r="CI755" s="139" t="s">
        <v>48</v>
      </c>
      <c r="CJ755" s="139">
        <v>0</v>
      </c>
      <c r="CK755" s="139" t="s">
        <v>50</v>
      </c>
      <c r="CL755" s="139" t="s">
        <v>50</v>
      </c>
      <c r="CM755" s="139" t="s">
        <v>965</v>
      </c>
      <c r="CN755" s="139" t="s">
        <v>966</v>
      </c>
      <c r="CO755" s="139">
        <v>20.181405999999999</v>
      </c>
      <c r="CP755" s="139">
        <v>92.807552000000001</v>
      </c>
      <c r="CQ755" s="139" t="s">
        <v>1651</v>
      </c>
      <c r="CR755" s="449" t="s">
        <v>40</v>
      </c>
      <c r="CS755" s="449"/>
      <c r="CT755" s="24"/>
      <c r="CU755" s="24"/>
      <c r="CV755" s="24"/>
    </row>
    <row r="756" spans="1:100" x14ac:dyDescent="0.25">
      <c r="A756" s="293" t="s">
        <v>2691</v>
      </c>
      <c r="B756" s="206" t="s">
        <v>460</v>
      </c>
      <c r="C756" s="183" t="s">
        <v>454</v>
      </c>
      <c r="D756" s="183" t="s">
        <v>455</v>
      </c>
      <c r="E756" s="183" t="s">
        <v>2447</v>
      </c>
      <c r="F756" s="206">
        <v>14</v>
      </c>
      <c r="G756" s="209">
        <v>93</v>
      </c>
      <c r="H756" s="206"/>
      <c r="I756" s="206"/>
      <c r="J756" s="207"/>
      <c r="K756" s="206"/>
      <c r="L756" s="206" t="s">
        <v>282</v>
      </c>
      <c r="M756" s="208">
        <v>0</v>
      </c>
      <c r="N756" s="208">
        <v>0</v>
      </c>
      <c r="O756" s="316">
        <v>0</v>
      </c>
      <c r="P756" s="317">
        <v>0</v>
      </c>
      <c r="Q756" s="317">
        <v>0</v>
      </c>
      <c r="R756" s="318">
        <v>0</v>
      </c>
      <c r="S756" s="318">
        <v>0</v>
      </c>
      <c r="T756" s="318"/>
      <c r="U756" s="318"/>
      <c r="V756" s="318"/>
      <c r="W756" s="318"/>
      <c r="X756" s="318"/>
      <c r="Y756" s="318"/>
      <c r="Z756" s="318"/>
      <c r="AA756" s="310">
        <v>0</v>
      </c>
      <c r="AB756" s="310">
        <v>0</v>
      </c>
      <c r="AC756" s="66"/>
      <c r="AD756" s="337"/>
      <c r="AE756" s="310">
        <v>0</v>
      </c>
      <c r="AF756" s="310" t="s">
        <v>332</v>
      </c>
      <c r="AG756" s="311" t="s">
        <v>332</v>
      </c>
      <c r="AH756" s="311"/>
      <c r="AI756" s="310"/>
      <c r="AJ756" s="310"/>
      <c r="AK756" s="841">
        <v>0</v>
      </c>
      <c r="AL756" s="842" t="s">
        <v>284</v>
      </c>
      <c r="AM756" s="842">
        <v>0</v>
      </c>
      <c r="AN756" s="837">
        <v>0</v>
      </c>
      <c r="AO756" s="837">
        <v>0</v>
      </c>
      <c r="AP756" s="843"/>
      <c r="AQ756" s="843"/>
      <c r="AR756" s="843"/>
      <c r="AS756" s="843"/>
      <c r="AT756" s="843"/>
      <c r="AU756" s="843"/>
      <c r="AV756" s="844"/>
      <c r="AW756" s="208" t="s">
        <v>3208</v>
      </c>
      <c r="AX756" s="211" t="s">
        <v>3208</v>
      </c>
      <c r="AY756" s="210" t="s">
        <v>2576</v>
      </c>
      <c r="AZ756" s="211">
        <v>0</v>
      </c>
      <c r="BA756" s="211">
        <v>0</v>
      </c>
      <c r="BB756" s="211">
        <v>0</v>
      </c>
      <c r="BC756" s="209">
        <v>0</v>
      </c>
      <c r="BD756" s="211">
        <v>0</v>
      </c>
      <c r="BE756" s="209">
        <v>0</v>
      </c>
      <c r="BF756" s="211">
        <v>0</v>
      </c>
      <c r="BG756" s="209">
        <v>0</v>
      </c>
      <c r="BH756" s="209">
        <v>0</v>
      </c>
      <c r="BI756" s="208">
        <v>1</v>
      </c>
      <c r="BJ756" s="209">
        <v>93</v>
      </c>
      <c r="BK756" s="210">
        <v>1</v>
      </c>
      <c r="BL756" s="210">
        <v>1</v>
      </c>
      <c r="BM756" s="210">
        <v>0</v>
      </c>
      <c r="BN756" s="208">
        <v>0</v>
      </c>
      <c r="BO756" s="352">
        <v>0</v>
      </c>
      <c r="BP756" s="208">
        <v>1</v>
      </c>
      <c r="BQ756" s="209">
        <v>16</v>
      </c>
      <c r="BR756" s="210">
        <v>16</v>
      </c>
      <c r="BS756" s="212">
        <v>0</v>
      </c>
      <c r="BT756" s="352" t="s">
        <v>103</v>
      </c>
      <c r="BU756" s="209">
        <v>0</v>
      </c>
      <c r="BV756" s="209">
        <v>0</v>
      </c>
      <c r="BW756" s="209">
        <v>0</v>
      </c>
      <c r="BX756" s="209">
        <v>0</v>
      </c>
      <c r="BY756" s="209">
        <v>0</v>
      </c>
      <c r="BZ756" s="208">
        <v>0</v>
      </c>
      <c r="CA756" s="212">
        <v>1</v>
      </c>
      <c r="CB756" s="211">
        <v>0</v>
      </c>
      <c r="CC756" s="211">
        <v>0</v>
      </c>
      <c r="CD756" s="211">
        <v>0</v>
      </c>
      <c r="CE756" s="210">
        <v>0</v>
      </c>
      <c r="CF756" s="210">
        <v>0</v>
      </c>
      <c r="CG756" s="210">
        <v>0</v>
      </c>
      <c r="CH756" s="209">
        <v>0</v>
      </c>
      <c r="CI756" s="139">
        <v>0</v>
      </c>
      <c r="CJ756" s="139">
        <v>0</v>
      </c>
      <c r="CK756" s="139" t="s">
        <v>969</v>
      </c>
      <c r="CL756" s="139" t="s">
        <v>969</v>
      </c>
      <c r="CM756" s="139" t="s">
        <v>969</v>
      </c>
      <c r="CN756" s="139" t="s">
        <v>966</v>
      </c>
      <c r="CO756" s="139">
        <v>0</v>
      </c>
      <c r="CP756" s="139">
        <v>0</v>
      </c>
      <c r="CQ756" s="139">
        <v>0</v>
      </c>
      <c r="CR756" s="660" t="s">
        <v>3209</v>
      </c>
      <c r="CS756" s="660"/>
      <c r="CT756" s="24"/>
      <c r="CU756" s="24"/>
      <c r="CV756" s="24"/>
    </row>
    <row r="757" spans="1:100" ht="18" x14ac:dyDescent="0.25">
      <c r="A757" s="293" t="s">
        <v>2691</v>
      </c>
      <c r="B757" s="132" t="s">
        <v>426</v>
      </c>
      <c r="C757" s="132" t="s">
        <v>454</v>
      </c>
      <c r="D757" s="132" t="s">
        <v>455</v>
      </c>
      <c r="E757" s="132" t="s">
        <v>586</v>
      </c>
      <c r="F757" s="132">
        <v>2005</v>
      </c>
      <c r="G757" s="214">
        <v>11625</v>
      </c>
      <c r="H757" s="132"/>
      <c r="I757" s="132" t="s">
        <v>47</v>
      </c>
      <c r="J757" s="133">
        <v>44104</v>
      </c>
      <c r="K757" s="132">
        <v>0</v>
      </c>
      <c r="L757" s="132" t="s">
        <v>282</v>
      </c>
      <c r="M757" s="134">
        <v>0</v>
      </c>
      <c r="N757" s="134">
        <v>0</v>
      </c>
      <c r="O757" s="320">
        <v>0</v>
      </c>
      <c r="P757" s="326">
        <v>70</v>
      </c>
      <c r="Q757" s="326">
        <v>0</v>
      </c>
      <c r="R757" s="315">
        <v>0</v>
      </c>
      <c r="S757" s="315">
        <v>93</v>
      </c>
      <c r="T757" s="315"/>
      <c r="U757" s="315">
        <v>77</v>
      </c>
      <c r="V757" s="315">
        <v>70</v>
      </c>
      <c r="W757" s="315">
        <v>145</v>
      </c>
      <c r="X757" s="315">
        <v>67</v>
      </c>
      <c r="Y757" s="315">
        <v>0</v>
      </c>
      <c r="Z757" s="864" t="s">
        <v>2783</v>
      </c>
      <c r="AA757" s="336">
        <v>352</v>
      </c>
      <c r="AB757" s="336">
        <v>101</v>
      </c>
      <c r="AC757" s="337">
        <v>267</v>
      </c>
      <c r="AD757" s="337"/>
      <c r="AE757" s="336">
        <v>371</v>
      </c>
      <c r="AF757" s="336" t="s">
        <v>283</v>
      </c>
      <c r="AG757" s="339" t="s">
        <v>283</v>
      </c>
      <c r="AH757" s="339">
        <v>0</v>
      </c>
      <c r="AI757" s="336">
        <v>0</v>
      </c>
      <c r="AJ757" s="336"/>
      <c r="AK757" s="848">
        <v>1</v>
      </c>
      <c r="AL757" s="842" t="s">
        <v>284</v>
      </c>
      <c r="AM757" s="836">
        <v>0</v>
      </c>
      <c r="AN757" s="837">
        <v>0</v>
      </c>
      <c r="AO757" s="837">
        <v>8</v>
      </c>
      <c r="AP757" s="839">
        <v>2004</v>
      </c>
      <c r="AQ757" s="839">
        <v>2004</v>
      </c>
      <c r="AR757" s="839" t="s">
        <v>282</v>
      </c>
      <c r="AS757" s="839"/>
      <c r="AT757" s="839"/>
      <c r="AU757" s="839"/>
      <c r="AV757" s="849"/>
      <c r="AW757" s="134">
        <v>0.90909090909090906</v>
      </c>
      <c r="AX757" s="136">
        <v>0.46206896551724136</v>
      </c>
      <c r="AY757" s="137" t="s">
        <v>2577</v>
      </c>
      <c r="AZ757" s="136">
        <v>1</v>
      </c>
      <c r="BA757" s="136">
        <v>1</v>
      </c>
      <c r="BB757" s="136">
        <v>1</v>
      </c>
      <c r="BC757" s="214">
        <v>11625</v>
      </c>
      <c r="BD757" s="136">
        <v>0</v>
      </c>
      <c r="BE757" s="214">
        <v>0</v>
      </c>
      <c r="BF757" s="136">
        <v>1</v>
      </c>
      <c r="BG757" s="214">
        <v>11625</v>
      </c>
      <c r="BH757" s="214">
        <v>23.25</v>
      </c>
      <c r="BI757" s="134">
        <v>0</v>
      </c>
      <c r="BJ757" s="214">
        <v>0</v>
      </c>
      <c r="BK757" s="137">
        <v>0</v>
      </c>
      <c r="BL757" s="137">
        <v>23</v>
      </c>
      <c r="BM757" s="137">
        <v>453</v>
      </c>
      <c r="BN757" s="134">
        <v>0.60559139784946237</v>
      </c>
      <c r="BO757" s="351">
        <v>7040</v>
      </c>
      <c r="BP757" s="134">
        <v>0.22021505376344086</v>
      </c>
      <c r="BQ757" s="214">
        <v>128</v>
      </c>
      <c r="BR757" s="137">
        <v>581</v>
      </c>
      <c r="BS757" s="138">
        <v>0.22295805739514349</v>
      </c>
      <c r="BT757" s="351">
        <v>5340</v>
      </c>
      <c r="BU757" s="214">
        <v>4000</v>
      </c>
      <c r="BV757" s="214">
        <v>0</v>
      </c>
      <c r="BW757" s="214">
        <v>0</v>
      </c>
      <c r="BX757" s="214">
        <v>0</v>
      </c>
      <c r="BY757" s="214">
        <v>0</v>
      </c>
      <c r="BZ757" s="134">
        <v>0</v>
      </c>
      <c r="CA757" s="138">
        <v>1</v>
      </c>
      <c r="CB757" s="136">
        <v>0.34408602150537637</v>
      </c>
      <c r="CC757" s="136">
        <v>0.99950124688279307</v>
      </c>
      <c r="CD757" s="136">
        <v>0.99950124688279307</v>
      </c>
      <c r="CE757" s="137">
        <v>10020</v>
      </c>
      <c r="CF757" s="137">
        <v>10020</v>
      </c>
      <c r="CG757" s="137">
        <v>10020</v>
      </c>
      <c r="CH757" s="214">
        <v>2005</v>
      </c>
      <c r="CI757" s="139" t="s">
        <v>48</v>
      </c>
      <c r="CJ757" s="139">
        <v>0</v>
      </c>
      <c r="CK757" s="139" t="s">
        <v>50</v>
      </c>
      <c r="CL757" s="139" t="s">
        <v>50</v>
      </c>
      <c r="CM757" s="139" t="s">
        <v>965</v>
      </c>
      <c r="CN757" s="139" t="s">
        <v>966</v>
      </c>
      <c r="CO757" s="139">
        <v>20.16846</v>
      </c>
      <c r="CP757" s="139">
        <v>92.827427</v>
      </c>
      <c r="CQ757" s="139" t="s">
        <v>1645</v>
      </c>
      <c r="CR757" s="449" t="s">
        <v>40</v>
      </c>
      <c r="CS757" s="449"/>
      <c r="CT757" s="24"/>
      <c r="CU757" s="24"/>
      <c r="CV757" s="24"/>
    </row>
    <row r="758" spans="1:100" ht="18" x14ac:dyDescent="0.25">
      <c r="A758" s="293" t="s">
        <v>2691</v>
      </c>
      <c r="B758" s="132" t="s">
        <v>426</v>
      </c>
      <c r="C758" s="132" t="s">
        <v>454</v>
      </c>
      <c r="D758" s="132" t="s">
        <v>455</v>
      </c>
      <c r="E758" s="132" t="s">
        <v>585</v>
      </c>
      <c r="F758" s="132">
        <v>601</v>
      </c>
      <c r="G758" s="214">
        <v>3360</v>
      </c>
      <c r="H758" s="132"/>
      <c r="I758" s="132" t="s">
        <v>47</v>
      </c>
      <c r="J758" s="133">
        <v>44104</v>
      </c>
      <c r="K758" s="132">
        <v>0</v>
      </c>
      <c r="L758" s="132" t="s">
        <v>282</v>
      </c>
      <c r="M758" s="134">
        <v>0</v>
      </c>
      <c r="N758" s="134">
        <v>0</v>
      </c>
      <c r="O758" s="320">
        <v>0</v>
      </c>
      <c r="P758" s="326">
        <v>19</v>
      </c>
      <c r="Q758" s="326">
        <v>0</v>
      </c>
      <c r="R758" s="315">
        <v>0</v>
      </c>
      <c r="S758" s="315">
        <v>21</v>
      </c>
      <c r="T758" s="315"/>
      <c r="U758" s="315">
        <v>24</v>
      </c>
      <c r="V758" s="315">
        <v>19</v>
      </c>
      <c r="W758" s="315">
        <v>72</v>
      </c>
      <c r="X758" s="315">
        <v>24</v>
      </c>
      <c r="Y758" s="315">
        <v>0</v>
      </c>
      <c r="Z758" s="864" t="s">
        <v>2783</v>
      </c>
      <c r="AA758" s="336">
        <v>0</v>
      </c>
      <c r="AB758" s="336">
        <v>0</v>
      </c>
      <c r="AC758" s="337"/>
      <c r="AD758" s="337"/>
      <c r="AE758" s="336">
        <v>0</v>
      </c>
      <c r="AF758" s="336" t="s">
        <v>332</v>
      </c>
      <c r="AG758" s="339" t="s">
        <v>332</v>
      </c>
      <c r="AH758" s="339">
        <v>0</v>
      </c>
      <c r="AI758" s="336">
        <v>0</v>
      </c>
      <c r="AJ758" s="336"/>
      <c r="AK758" s="848">
        <v>1</v>
      </c>
      <c r="AL758" s="842" t="s">
        <v>284</v>
      </c>
      <c r="AM758" s="836">
        <v>0</v>
      </c>
      <c r="AN758" s="837">
        <v>0</v>
      </c>
      <c r="AO758" s="837">
        <v>1</v>
      </c>
      <c r="AP758" s="839">
        <v>594</v>
      </c>
      <c r="AQ758" s="839">
        <v>594</v>
      </c>
      <c r="AR758" s="839" t="s">
        <v>282</v>
      </c>
      <c r="AS758" s="839"/>
      <c r="AT758" s="839"/>
      <c r="AU758" s="839"/>
      <c r="AV758" s="849"/>
      <c r="AW758" s="134">
        <v>0.79166666666666663</v>
      </c>
      <c r="AX758" s="136">
        <v>0.33333333333333331</v>
      </c>
      <c r="AY758" s="137" t="s">
        <v>2577</v>
      </c>
      <c r="AZ758" s="136">
        <v>1</v>
      </c>
      <c r="BA758" s="136">
        <v>1</v>
      </c>
      <c r="BB758" s="136">
        <v>1</v>
      </c>
      <c r="BC758" s="214">
        <v>3360</v>
      </c>
      <c r="BD758" s="136">
        <v>0</v>
      </c>
      <c r="BE758" s="214">
        <v>0</v>
      </c>
      <c r="BF758" s="136">
        <v>1</v>
      </c>
      <c r="BG758" s="214">
        <v>3360</v>
      </c>
      <c r="BH758" s="214">
        <v>6.72</v>
      </c>
      <c r="BI758" s="134">
        <v>0</v>
      </c>
      <c r="BJ758" s="214">
        <v>0</v>
      </c>
      <c r="BK758" s="137">
        <v>0.28000000000000025</v>
      </c>
      <c r="BL758" s="137">
        <v>7</v>
      </c>
      <c r="BM758" s="137">
        <v>0</v>
      </c>
      <c r="BN758" s="134">
        <v>0</v>
      </c>
      <c r="BO758" s="351">
        <v>0</v>
      </c>
      <c r="BP758" s="134">
        <v>1</v>
      </c>
      <c r="BQ758" s="214">
        <v>168</v>
      </c>
      <c r="BR758" s="137">
        <v>168</v>
      </c>
      <c r="BS758" s="138">
        <v>0</v>
      </c>
      <c r="BT758" s="351">
        <v>0</v>
      </c>
      <c r="BU758" s="214">
        <v>500</v>
      </c>
      <c r="BV758" s="214">
        <v>0</v>
      </c>
      <c r="BW758" s="214">
        <v>0</v>
      </c>
      <c r="BX758" s="214">
        <v>0</v>
      </c>
      <c r="BY758" s="214">
        <v>0</v>
      </c>
      <c r="BZ758" s="134">
        <v>0</v>
      </c>
      <c r="CA758" s="138">
        <v>1</v>
      </c>
      <c r="CB758" s="136">
        <v>0.14880952380952381</v>
      </c>
      <c r="CC758" s="136">
        <v>0.98835274542429286</v>
      </c>
      <c r="CD758" s="136">
        <v>0.98835274542429286</v>
      </c>
      <c r="CE758" s="137">
        <v>2970</v>
      </c>
      <c r="CF758" s="137">
        <v>2970</v>
      </c>
      <c r="CG758" s="137">
        <v>2970</v>
      </c>
      <c r="CH758" s="214">
        <v>601</v>
      </c>
      <c r="CI758" s="139" t="s">
        <v>48</v>
      </c>
      <c r="CJ758" s="139">
        <v>0</v>
      </c>
      <c r="CK758" s="139" t="s">
        <v>50</v>
      </c>
      <c r="CL758" s="139" t="s">
        <v>50</v>
      </c>
      <c r="CM758" s="139" t="s">
        <v>942</v>
      </c>
      <c r="CN758" s="139" t="s">
        <v>966</v>
      </c>
      <c r="CO758" s="139">
        <v>20.167421999999998</v>
      </c>
      <c r="CP758" s="139">
        <v>92.830074999999994</v>
      </c>
      <c r="CQ758" s="139" t="s">
        <v>1644</v>
      </c>
      <c r="CR758" s="449" t="s">
        <v>40</v>
      </c>
      <c r="CS758" s="449"/>
      <c r="CT758" s="24"/>
      <c r="CU758" s="24"/>
      <c r="CV758" s="24"/>
    </row>
    <row r="759" spans="1:100" x14ac:dyDescent="0.25">
      <c r="A759" s="293" t="s">
        <v>2691</v>
      </c>
      <c r="B759" s="206" t="s">
        <v>460</v>
      </c>
      <c r="C759" s="183" t="s">
        <v>454</v>
      </c>
      <c r="D759" s="183" t="s">
        <v>455</v>
      </c>
      <c r="E759" s="183" t="s">
        <v>459</v>
      </c>
      <c r="F759" s="206">
        <v>357</v>
      </c>
      <c r="G759" s="209">
        <v>2743</v>
      </c>
      <c r="H759" s="206"/>
      <c r="I759" s="206"/>
      <c r="J759" s="207"/>
      <c r="K759" s="206"/>
      <c r="L759" s="206" t="s">
        <v>282</v>
      </c>
      <c r="M759" s="208">
        <v>0</v>
      </c>
      <c r="N759" s="208">
        <v>0</v>
      </c>
      <c r="O759" s="316">
        <v>0</v>
      </c>
      <c r="P759" s="317">
        <v>20</v>
      </c>
      <c r="Q759" s="317">
        <v>0</v>
      </c>
      <c r="R759" s="318">
        <v>0</v>
      </c>
      <c r="S759" s="318">
        <v>0</v>
      </c>
      <c r="T759" s="318"/>
      <c r="U759" s="318"/>
      <c r="V759" s="318"/>
      <c r="W759" s="318"/>
      <c r="X759" s="318"/>
      <c r="Y759" s="318"/>
      <c r="Z759" s="318"/>
      <c r="AA759" s="310">
        <v>39</v>
      </c>
      <c r="AB759" s="310">
        <v>0</v>
      </c>
      <c r="AC759" s="66"/>
      <c r="AD759" s="337"/>
      <c r="AE759" s="310">
        <v>0</v>
      </c>
      <c r="AF759" s="310" t="s">
        <v>286</v>
      </c>
      <c r="AG759" s="311" t="s">
        <v>286</v>
      </c>
      <c r="AH759" s="311"/>
      <c r="AI759" s="310"/>
      <c r="AJ759" s="310"/>
      <c r="AK759" s="841">
        <v>0</v>
      </c>
      <c r="AL759" s="842" t="s">
        <v>284</v>
      </c>
      <c r="AM759" s="842">
        <v>0</v>
      </c>
      <c r="AN759" s="837">
        <v>0</v>
      </c>
      <c r="AO759" s="837">
        <v>2</v>
      </c>
      <c r="AP759" s="843"/>
      <c r="AQ759" s="843"/>
      <c r="AR759" s="843"/>
      <c r="AS759" s="843"/>
      <c r="AT759" s="843"/>
      <c r="AU759" s="843"/>
      <c r="AV759" s="844"/>
      <c r="AW759" s="208" t="s">
        <v>3208</v>
      </c>
      <c r="AX759" s="211" t="s">
        <v>3208</v>
      </c>
      <c r="AY759" s="210" t="s">
        <v>2576</v>
      </c>
      <c r="AZ759" s="211">
        <v>1</v>
      </c>
      <c r="BA759" s="211">
        <v>1</v>
      </c>
      <c r="BB759" s="211">
        <v>1</v>
      </c>
      <c r="BC759" s="209">
        <v>2743</v>
      </c>
      <c r="BD759" s="211">
        <v>0</v>
      </c>
      <c r="BE759" s="209">
        <v>0</v>
      </c>
      <c r="BF759" s="211">
        <v>1</v>
      </c>
      <c r="BG759" s="209">
        <v>2743</v>
      </c>
      <c r="BH759" s="209">
        <v>5.4859999999999998</v>
      </c>
      <c r="BI759" s="208">
        <v>0</v>
      </c>
      <c r="BJ759" s="209">
        <v>0</v>
      </c>
      <c r="BK759" s="210">
        <v>0</v>
      </c>
      <c r="BL759" s="210">
        <v>5</v>
      </c>
      <c r="BM759" s="210">
        <v>39</v>
      </c>
      <c r="BN759" s="208">
        <v>8.5308056872037921E-2</v>
      </c>
      <c r="BO759" s="352">
        <v>234.00000000000003</v>
      </c>
      <c r="BP759" s="208">
        <v>0.91432737878235504</v>
      </c>
      <c r="BQ759" s="209">
        <v>418</v>
      </c>
      <c r="BR759" s="210">
        <v>457</v>
      </c>
      <c r="BS759" s="212">
        <v>0</v>
      </c>
      <c r="BT759" s="352" t="s">
        <v>103</v>
      </c>
      <c r="BU759" s="209">
        <v>1000</v>
      </c>
      <c r="BV759" s="209">
        <v>0</v>
      </c>
      <c r="BW759" s="209">
        <v>0</v>
      </c>
      <c r="BX759" s="209">
        <v>0</v>
      </c>
      <c r="BY759" s="209">
        <v>0</v>
      </c>
      <c r="BZ759" s="208">
        <v>0</v>
      </c>
      <c r="CA759" s="212">
        <v>1</v>
      </c>
      <c r="CB759" s="211">
        <v>0.36456434560699963</v>
      </c>
      <c r="CC759" s="211">
        <v>0</v>
      </c>
      <c r="CD759" s="211">
        <v>0</v>
      </c>
      <c r="CE759" s="210">
        <v>0</v>
      </c>
      <c r="CF759" s="210">
        <v>0</v>
      </c>
      <c r="CG759" s="210">
        <v>0</v>
      </c>
      <c r="CH759" s="209">
        <v>0</v>
      </c>
      <c r="CI759" s="139">
        <v>0</v>
      </c>
      <c r="CJ759" s="139">
        <v>0</v>
      </c>
      <c r="CK759" s="139" t="s">
        <v>969</v>
      </c>
      <c r="CL759" s="139" t="s">
        <v>969</v>
      </c>
      <c r="CM759" s="139" t="s">
        <v>969</v>
      </c>
      <c r="CN759" s="139" t="s">
        <v>966</v>
      </c>
      <c r="CO759" s="139">
        <v>0</v>
      </c>
      <c r="CP759" s="139">
        <v>0</v>
      </c>
      <c r="CQ759" s="139">
        <v>0</v>
      </c>
      <c r="CR759" s="660" t="s">
        <v>3209</v>
      </c>
      <c r="CS759" s="660"/>
      <c r="CT759" s="24"/>
      <c r="CU759" s="24"/>
      <c r="CV759" s="24"/>
    </row>
    <row r="760" spans="1:100" x14ac:dyDescent="0.25">
      <c r="A760" s="293" t="s">
        <v>2691</v>
      </c>
      <c r="B760" s="132" t="s">
        <v>447</v>
      </c>
      <c r="C760" s="132" t="s">
        <v>454</v>
      </c>
      <c r="D760" s="132" t="s">
        <v>455</v>
      </c>
      <c r="E760" s="132" t="s">
        <v>609</v>
      </c>
      <c r="F760" s="132">
        <v>22</v>
      </c>
      <c r="G760" s="214">
        <v>113</v>
      </c>
      <c r="H760" s="132"/>
      <c r="I760" s="132" t="s">
        <v>449</v>
      </c>
      <c r="J760" s="133">
        <v>43356</v>
      </c>
      <c r="K760" s="132">
        <v>0</v>
      </c>
      <c r="L760" s="132" t="s">
        <v>282</v>
      </c>
      <c r="M760" s="134">
        <v>0</v>
      </c>
      <c r="N760" s="134">
        <v>0</v>
      </c>
      <c r="O760" s="320">
        <v>2</v>
      </c>
      <c r="P760" s="326">
        <v>1</v>
      </c>
      <c r="Q760" s="326">
        <v>0</v>
      </c>
      <c r="R760" s="315">
        <v>0</v>
      </c>
      <c r="S760" s="315">
        <v>0</v>
      </c>
      <c r="T760" s="315"/>
      <c r="U760" s="315">
        <v>0</v>
      </c>
      <c r="V760" s="315">
        <v>0</v>
      </c>
      <c r="W760" s="315">
        <v>0</v>
      </c>
      <c r="X760" s="315">
        <v>0</v>
      </c>
      <c r="Y760" s="315">
        <v>0</v>
      </c>
      <c r="Z760" s="315"/>
      <c r="AA760" s="336">
        <v>24</v>
      </c>
      <c r="AB760" s="336">
        <v>0</v>
      </c>
      <c r="AC760" s="337">
        <v>0</v>
      </c>
      <c r="AD760" s="337"/>
      <c r="AE760" s="336">
        <v>0</v>
      </c>
      <c r="AF760" s="336" t="s">
        <v>286</v>
      </c>
      <c r="AG760" s="339" t="s">
        <v>286</v>
      </c>
      <c r="AH760" s="339">
        <v>0</v>
      </c>
      <c r="AI760" s="336">
        <v>0</v>
      </c>
      <c r="AJ760" s="336"/>
      <c r="AK760" s="848">
        <v>0</v>
      </c>
      <c r="AL760" s="836" t="s">
        <v>284</v>
      </c>
      <c r="AM760" s="836">
        <v>0</v>
      </c>
      <c r="AN760" s="837">
        <v>0</v>
      </c>
      <c r="AO760" s="837">
        <v>1</v>
      </c>
      <c r="AP760" s="839">
        <v>0</v>
      </c>
      <c r="AQ760" s="839">
        <v>0</v>
      </c>
      <c r="AR760" s="839"/>
      <c r="AS760" s="839"/>
      <c r="AT760" s="839"/>
      <c r="AU760" s="839"/>
      <c r="AV760" s="849"/>
      <c r="AW760" s="134" t="s">
        <v>3208</v>
      </c>
      <c r="AX760" s="136" t="s">
        <v>3208</v>
      </c>
      <c r="AY760" s="137" t="s">
        <v>2576</v>
      </c>
      <c r="AZ760" s="136">
        <v>1</v>
      </c>
      <c r="BA760" s="136">
        <v>1</v>
      </c>
      <c r="BB760" s="136">
        <v>1</v>
      </c>
      <c r="BC760" s="214">
        <v>113</v>
      </c>
      <c r="BD760" s="136">
        <v>0</v>
      </c>
      <c r="BE760" s="214">
        <v>0</v>
      </c>
      <c r="BF760" s="136">
        <v>1</v>
      </c>
      <c r="BG760" s="214">
        <v>113</v>
      </c>
      <c r="BH760" s="214">
        <v>0.22600000000000001</v>
      </c>
      <c r="BI760" s="134">
        <v>0</v>
      </c>
      <c r="BJ760" s="214">
        <v>0</v>
      </c>
      <c r="BK760" s="137">
        <v>0.77400000000000002</v>
      </c>
      <c r="BL760" s="137">
        <v>1</v>
      </c>
      <c r="BM760" s="137">
        <v>24</v>
      </c>
      <c r="BN760" s="134">
        <v>1</v>
      </c>
      <c r="BO760" s="351">
        <v>113</v>
      </c>
      <c r="BP760" s="134">
        <v>0</v>
      </c>
      <c r="BQ760" s="214">
        <v>0</v>
      </c>
      <c r="BR760" s="137">
        <v>19</v>
      </c>
      <c r="BS760" s="138">
        <v>0</v>
      </c>
      <c r="BT760" s="351" t="s">
        <v>103</v>
      </c>
      <c r="BU760" s="214">
        <v>113</v>
      </c>
      <c r="BV760" s="214">
        <v>0</v>
      </c>
      <c r="BW760" s="214">
        <v>1</v>
      </c>
      <c r="BX760" s="214">
        <v>0</v>
      </c>
      <c r="BY760" s="214">
        <v>0</v>
      </c>
      <c r="BZ760" s="134">
        <v>0</v>
      </c>
      <c r="CA760" s="138">
        <v>1</v>
      </c>
      <c r="CB760" s="136">
        <v>1</v>
      </c>
      <c r="CC760" s="136">
        <v>0</v>
      </c>
      <c r="CD760" s="136">
        <v>0</v>
      </c>
      <c r="CE760" s="137">
        <v>0</v>
      </c>
      <c r="CF760" s="137">
        <v>0</v>
      </c>
      <c r="CG760" s="137">
        <v>0</v>
      </c>
      <c r="CH760" s="214">
        <v>0</v>
      </c>
      <c r="CI760" s="139">
        <v>0</v>
      </c>
      <c r="CJ760" s="139">
        <v>0</v>
      </c>
      <c r="CK760" s="139" t="s">
        <v>969</v>
      </c>
      <c r="CL760" s="139" t="s">
        <v>969</v>
      </c>
      <c r="CM760" s="139" t="s">
        <v>969</v>
      </c>
      <c r="CN760" s="139" t="s">
        <v>454</v>
      </c>
      <c r="CO760" s="139">
        <v>20.218299999999999</v>
      </c>
      <c r="CP760" s="139">
        <v>92.805999999999997</v>
      </c>
      <c r="CQ760" s="139" t="s">
        <v>1666</v>
      </c>
      <c r="CR760" s="449" t="s">
        <v>40</v>
      </c>
      <c r="CS760" s="449"/>
      <c r="CT760" s="24"/>
      <c r="CU760" s="24"/>
      <c r="CV760" s="24"/>
    </row>
    <row r="761" spans="1:100" ht="18" x14ac:dyDescent="0.25">
      <c r="A761" s="293" t="s">
        <v>2691</v>
      </c>
      <c r="B761" s="132" t="s">
        <v>426</v>
      </c>
      <c r="C761" s="132" t="s">
        <v>454</v>
      </c>
      <c r="D761" s="132" t="s">
        <v>455</v>
      </c>
      <c r="E761" s="132" t="s">
        <v>589</v>
      </c>
      <c r="F761" s="132">
        <v>400</v>
      </c>
      <c r="G761" s="214">
        <v>2186</v>
      </c>
      <c r="H761" s="132"/>
      <c r="I761" s="132" t="s">
        <v>47</v>
      </c>
      <c r="J761" s="133">
        <v>44104</v>
      </c>
      <c r="K761" s="132">
        <v>0</v>
      </c>
      <c r="L761" s="132" t="s">
        <v>282</v>
      </c>
      <c r="M761" s="134">
        <v>0</v>
      </c>
      <c r="N761" s="134">
        <v>0</v>
      </c>
      <c r="O761" s="320">
        <v>0</v>
      </c>
      <c r="P761" s="326">
        <v>28</v>
      </c>
      <c r="Q761" s="326">
        <v>0</v>
      </c>
      <c r="R761" s="315">
        <v>0</v>
      </c>
      <c r="S761" s="315">
        <v>27</v>
      </c>
      <c r="T761" s="315"/>
      <c r="U761" s="315">
        <v>8</v>
      </c>
      <c r="V761" s="315">
        <v>5</v>
      </c>
      <c r="W761" s="315">
        <v>43</v>
      </c>
      <c r="X761" s="315">
        <v>13</v>
      </c>
      <c r="Y761" s="315">
        <v>0</v>
      </c>
      <c r="Z761" s="864" t="s">
        <v>2783</v>
      </c>
      <c r="AA761" s="336">
        <v>96</v>
      </c>
      <c r="AB761" s="336">
        <v>8</v>
      </c>
      <c r="AC761" s="337">
        <v>47</v>
      </c>
      <c r="AD761" s="337"/>
      <c r="AE761" s="336">
        <v>102</v>
      </c>
      <c r="AF761" s="336" t="s">
        <v>283</v>
      </c>
      <c r="AG761" s="339" t="s">
        <v>1358</v>
      </c>
      <c r="AH761" s="339">
        <v>0</v>
      </c>
      <c r="AI761" s="336">
        <v>0</v>
      </c>
      <c r="AJ761" s="336"/>
      <c r="AK761" s="848">
        <v>1</v>
      </c>
      <c r="AL761" s="842" t="s">
        <v>284</v>
      </c>
      <c r="AM761" s="836">
        <v>0</v>
      </c>
      <c r="AN761" s="837">
        <v>0</v>
      </c>
      <c r="AO761" s="837">
        <v>2</v>
      </c>
      <c r="AP761" s="839">
        <v>400</v>
      </c>
      <c r="AQ761" s="839">
        <v>400</v>
      </c>
      <c r="AR761" s="839" t="s">
        <v>282</v>
      </c>
      <c r="AS761" s="839"/>
      <c r="AT761" s="839"/>
      <c r="AU761" s="839"/>
      <c r="AV761" s="849"/>
      <c r="AW761" s="134">
        <v>0.625</v>
      </c>
      <c r="AX761" s="136">
        <v>0.30232558139534882</v>
      </c>
      <c r="AY761" s="137" t="s">
        <v>2577</v>
      </c>
      <c r="AZ761" s="136">
        <v>1</v>
      </c>
      <c r="BA761" s="136">
        <v>1</v>
      </c>
      <c r="BB761" s="136">
        <v>1</v>
      </c>
      <c r="BC761" s="214">
        <v>2186</v>
      </c>
      <c r="BD761" s="136">
        <v>0</v>
      </c>
      <c r="BE761" s="214">
        <v>0</v>
      </c>
      <c r="BF761" s="136">
        <v>1</v>
      </c>
      <c r="BG761" s="214">
        <v>2186</v>
      </c>
      <c r="BH761" s="214">
        <v>4.3719999999999999</v>
      </c>
      <c r="BI761" s="134">
        <v>0</v>
      </c>
      <c r="BJ761" s="214">
        <v>0</v>
      </c>
      <c r="BK761" s="137">
        <v>0</v>
      </c>
      <c r="BL761" s="137">
        <v>4</v>
      </c>
      <c r="BM761" s="137">
        <v>104</v>
      </c>
      <c r="BN761" s="134">
        <v>0.87831655992680691</v>
      </c>
      <c r="BO761" s="351">
        <v>1920</v>
      </c>
      <c r="BP761" s="134">
        <v>4.5745654162854532E-2</v>
      </c>
      <c r="BQ761" s="214">
        <v>5</v>
      </c>
      <c r="BR761" s="137">
        <v>109</v>
      </c>
      <c r="BS761" s="138">
        <v>7.6923076923076927E-2</v>
      </c>
      <c r="BT761" s="351">
        <v>940</v>
      </c>
      <c r="BU761" s="214">
        <v>1000</v>
      </c>
      <c r="BV761" s="214">
        <v>1</v>
      </c>
      <c r="BW761" s="214">
        <v>0</v>
      </c>
      <c r="BX761" s="214">
        <v>1</v>
      </c>
      <c r="BY761" s="214">
        <v>2186</v>
      </c>
      <c r="BZ761" s="134">
        <v>1</v>
      </c>
      <c r="CA761" s="138">
        <v>0</v>
      </c>
      <c r="CB761" s="136">
        <v>0.45745654162854527</v>
      </c>
      <c r="CC761" s="136">
        <v>1</v>
      </c>
      <c r="CD761" s="136">
        <v>1</v>
      </c>
      <c r="CE761" s="137">
        <v>2000</v>
      </c>
      <c r="CF761" s="137">
        <v>2000</v>
      </c>
      <c r="CG761" s="137">
        <v>2000</v>
      </c>
      <c r="CH761" s="214">
        <v>400</v>
      </c>
      <c r="CI761" s="139">
        <v>0</v>
      </c>
      <c r="CJ761" s="139">
        <v>0</v>
      </c>
      <c r="CK761" s="139" t="s">
        <v>50</v>
      </c>
      <c r="CL761" s="139" t="s">
        <v>50</v>
      </c>
      <c r="CM761" s="139" t="s">
        <v>929</v>
      </c>
      <c r="CN761" s="139" t="s">
        <v>966</v>
      </c>
      <c r="CO761" s="139">
        <v>20.180194</v>
      </c>
      <c r="CP761" s="139">
        <v>92.816638999999995</v>
      </c>
      <c r="CQ761" s="139" t="s">
        <v>1649</v>
      </c>
      <c r="CR761" s="449" t="s">
        <v>40</v>
      </c>
      <c r="CS761" s="449"/>
      <c r="CT761" s="24"/>
      <c r="CU761" s="24"/>
      <c r="CV761" s="24"/>
    </row>
    <row r="762" spans="1:100" x14ac:dyDescent="0.25">
      <c r="A762" s="293" t="s">
        <v>2691</v>
      </c>
      <c r="B762" s="132" t="s">
        <v>479</v>
      </c>
      <c r="C762" s="132" t="s">
        <v>454</v>
      </c>
      <c r="D762" s="132" t="s">
        <v>455</v>
      </c>
      <c r="E762" s="132" t="s">
        <v>592</v>
      </c>
      <c r="F762" s="206">
        <v>400</v>
      </c>
      <c r="G762" s="209">
        <v>2248</v>
      </c>
      <c r="H762" s="132">
        <v>276</v>
      </c>
      <c r="I762" s="132" t="s">
        <v>2777</v>
      </c>
      <c r="J762" s="133" t="s">
        <v>2778</v>
      </c>
      <c r="K762" s="132">
        <v>0</v>
      </c>
      <c r="L762" s="132" t="s">
        <v>48</v>
      </c>
      <c r="M762" s="134">
        <v>0</v>
      </c>
      <c r="N762" s="134">
        <v>0</v>
      </c>
      <c r="O762" s="320">
        <v>0</v>
      </c>
      <c r="P762" s="326">
        <v>30</v>
      </c>
      <c r="Q762" s="317">
        <v>0</v>
      </c>
      <c r="R762" s="315">
        <v>0</v>
      </c>
      <c r="S762" s="315"/>
      <c r="T762" s="315">
        <v>1</v>
      </c>
      <c r="U762" s="315">
        <v>16</v>
      </c>
      <c r="V762" s="315">
        <v>11</v>
      </c>
      <c r="W762" s="315">
        <v>24</v>
      </c>
      <c r="X762" s="315">
        <v>24</v>
      </c>
      <c r="Y762" s="315">
        <v>0</v>
      </c>
      <c r="Z762" s="315"/>
      <c r="AA762" s="336">
        <v>142</v>
      </c>
      <c r="AB762" s="336">
        <v>0</v>
      </c>
      <c r="AC762" s="337">
        <v>0</v>
      </c>
      <c r="AD762" s="337"/>
      <c r="AE762" s="336">
        <v>142</v>
      </c>
      <c r="AF762" s="336" t="s">
        <v>283</v>
      </c>
      <c r="AG762" s="339" t="s">
        <v>283</v>
      </c>
      <c r="AH762" s="339">
        <v>0</v>
      </c>
      <c r="AI762" s="336">
        <v>0</v>
      </c>
      <c r="AJ762" s="336"/>
      <c r="AK762" s="848">
        <v>0</v>
      </c>
      <c r="AL762" s="836" t="s">
        <v>291</v>
      </c>
      <c r="AM762" s="836">
        <v>399</v>
      </c>
      <c r="AN762" s="837">
        <v>0</v>
      </c>
      <c r="AO762" s="837">
        <v>11</v>
      </c>
      <c r="AP762" s="843">
        <v>400</v>
      </c>
      <c r="AQ762" s="839">
        <v>400</v>
      </c>
      <c r="AR762" s="839"/>
      <c r="AS762" s="839"/>
      <c r="AT762" s="839">
        <v>1</v>
      </c>
      <c r="AU762" s="839">
        <v>9</v>
      </c>
      <c r="AV762" s="849"/>
      <c r="AW762" s="134">
        <v>0.6875</v>
      </c>
      <c r="AX762" s="136">
        <v>1</v>
      </c>
      <c r="AY762" s="137" t="s">
        <v>2577</v>
      </c>
      <c r="AZ762" s="136">
        <v>1</v>
      </c>
      <c r="BA762" s="136">
        <v>1</v>
      </c>
      <c r="BB762" s="136">
        <v>1</v>
      </c>
      <c r="BC762" s="214">
        <v>2248</v>
      </c>
      <c r="BD762" s="136">
        <v>0</v>
      </c>
      <c r="BE762" s="214">
        <v>0</v>
      </c>
      <c r="BF762" s="136">
        <v>1</v>
      </c>
      <c r="BG762" s="214">
        <v>2248</v>
      </c>
      <c r="BH762" s="214">
        <v>4.4960000000000004</v>
      </c>
      <c r="BI762" s="134">
        <v>0</v>
      </c>
      <c r="BJ762" s="214">
        <v>0</v>
      </c>
      <c r="BK762" s="137">
        <v>0</v>
      </c>
      <c r="BL762" s="137">
        <v>4</v>
      </c>
      <c r="BM762" s="137">
        <v>142</v>
      </c>
      <c r="BN762" s="134">
        <v>1</v>
      </c>
      <c r="BO762" s="351">
        <v>2248</v>
      </c>
      <c r="BP762" s="134">
        <v>0</v>
      </c>
      <c r="BQ762" s="214">
        <v>0</v>
      </c>
      <c r="BR762" s="137">
        <v>112</v>
      </c>
      <c r="BS762" s="138">
        <v>0</v>
      </c>
      <c r="BT762" s="351">
        <v>0</v>
      </c>
      <c r="BU762" s="214">
        <v>2248</v>
      </c>
      <c r="BV762" s="214">
        <v>1</v>
      </c>
      <c r="BW762" s="214">
        <v>1</v>
      </c>
      <c r="BX762" s="214">
        <v>1</v>
      </c>
      <c r="BY762" s="214">
        <v>2248</v>
      </c>
      <c r="BZ762" s="134">
        <v>1</v>
      </c>
      <c r="CA762" s="138">
        <v>0</v>
      </c>
      <c r="CB762" s="136">
        <v>1</v>
      </c>
      <c r="CC762" s="136">
        <v>1</v>
      </c>
      <c r="CD762" s="136">
        <v>1</v>
      </c>
      <c r="CE762" s="137">
        <v>2000</v>
      </c>
      <c r="CF762" s="137">
        <v>2000</v>
      </c>
      <c r="CG762" s="137">
        <v>2000</v>
      </c>
      <c r="CH762" s="214">
        <v>0</v>
      </c>
      <c r="CI762" s="139" t="s">
        <v>48</v>
      </c>
      <c r="CJ762" s="139">
        <v>0</v>
      </c>
      <c r="CK762" s="139" t="s">
        <v>50</v>
      </c>
      <c r="CL762" s="139" t="s">
        <v>50</v>
      </c>
      <c r="CM762" s="139" t="s">
        <v>965</v>
      </c>
      <c r="CN762" s="139" t="s">
        <v>966</v>
      </c>
      <c r="CO762" s="139">
        <v>20.181778000000001</v>
      </c>
      <c r="CP762" s="139">
        <v>92.823166999999998</v>
      </c>
      <c r="CQ762" s="139" t="s">
        <v>1653</v>
      </c>
      <c r="CR762" s="449" t="s">
        <v>40</v>
      </c>
      <c r="CS762" s="449"/>
      <c r="CT762" s="24"/>
      <c r="CU762" s="24"/>
      <c r="CV762" s="24"/>
    </row>
    <row r="763" spans="1:100" x14ac:dyDescent="0.25">
      <c r="A763" s="293" t="s">
        <v>2691</v>
      </c>
      <c r="B763" s="132" t="s">
        <v>447</v>
      </c>
      <c r="C763" s="132" t="s">
        <v>454</v>
      </c>
      <c r="D763" s="132" t="s">
        <v>455</v>
      </c>
      <c r="E763" s="132" t="s">
        <v>2761</v>
      </c>
      <c r="F763" s="132">
        <v>126</v>
      </c>
      <c r="G763" s="214">
        <v>600</v>
      </c>
      <c r="H763" s="132"/>
      <c r="I763" s="132" t="s">
        <v>449</v>
      </c>
      <c r="J763" s="133">
        <v>43356</v>
      </c>
      <c r="K763" s="132">
        <v>0</v>
      </c>
      <c r="L763" s="132" t="s">
        <v>282</v>
      </c>
      <c r="M763" s="134">
        <v>0</v>
      </c>
      <c r="N763" s="134">
        <v>0</v>
      </c>
      <c r="O763" s="320">
        <v>4</v>
      </c>
      <c r="P763" s="326">
        <v>23</v>
      </c>
      <c r="Q763" s="326">
        <v>0</v>
      </c>
      <c r="R763" s="315">
        <v>2</v>
      </c>
      <c r="S763" s="315">
        <v>0</v>
      </c>
      <c r="T763" s="315"/>
      <c r="U763" s="315">
        <v>0</v>
      </c>
      <c r="V763" s="315">
        <v>0</v>
      </c>
      <c r="W763" s="315">
        <v>0</v>
      </c>
      <c r="X763" s="315">
        <v>0</v>
      </c>
      <c r="Y763" s="315">
        <v>0</v>
      </c>
      <c r="Z763" s="315"/>
      <c r="AA763" s="336">
        <v>0</v>
      </c>
      <c r="AB763" s="336">
        <v>0</v>
      </c>
      <c r="AC763" s="337">
        <v>0</v>
      </c>
      <c r="AD763" s="337"/>
      <c r="AE763" s="336">
        <v>0</v>
      </c>
      <c r="AF763" s="336" t="s">
        <v>286</v>
      </c>
      <c r="AG763" s="339" t="s">
        <v>286</v>
      </c>
      <c r="AH763" s="339">
        <v>0</v>
      </c>
      <c r="AI763" s="336">
        <v>0</v>
      </c>
      <c r="AJ763" s="336"/>
      <c r="AK763" s="848">
        <v>0</v>
      </c>
      <c r="AL763" s="836" t="s">
        <v>284</v>
      </c>
      <c r="AM763" s="836">
        <v>0</v>
      </c>
      <c r="AN763" s="837">
        <v>0</v>
      </c>
      <c r="AO763" s="837">
        <v>1</v>
      </c>
      <c r="AP763" s="839">
        <v>0</v>
      </c>
      <c r="AQ763" s="839">
        <v>0</v>
      </c>
      <c r="AR763" s="839"/>
      <c r="AS763" s="839"/>
      <c r="AT763" s="839"/>
      <c r="AU763" s="839"/>
      <c r="AV763" s="849"/>
      <c r="AW763" s="134" t="s">
        <v>3208</v>
      </c>
      <c r="AX763" s="136" t="s">
        <v>3208</v>
      </c>
      <c r="AY763" s="137" t="s">
        <v>2576</v>
      </c>
      <c r="AZ763" s="136">
        <v>1</v>
      </c>
      <c r="BA763" s="136">
        <v>1</v>
      </c>
      <c r="BB763" s="136">
        <v>1</v>
      </c>
      <c r="BC763" s="214">
        <v>600</v>
      </c>
      <c r="BD763" s="136">
        <v>0.83333333333333337</v>
      </c>
      <c r="BE763" s="214">
        <v>500</v>
      </c>
      <c r="BF763" s="136">
        <v>1</v>
      </c>
      <c r="BG763" s="214">
        <v>600</v>
      </c>
      <c r="BH763" s="214">
        <v>1.2</v>
      </c>
      <c r="BI763" s="134">
        <v>0</v>
      </c>
      <c r="BJ763" s="214">
        <v>0</v>
      </c>
      <c r="BK763" s="137">
        <v>0</v>
      </c>
      <c r="BL763" s="137">
        <v>1</v>
      </c>
      <c r="BM763" s="137">
        <v>0</v>
      </c>
      <c r="BN763" s="134">
        <v>0</v>
      </c>
      <c r="BO763" s="351">
        <v>0</v>
      </c>
      <c r="BP763" s="134">
        <v>1</v>
      </c>
      <c r="BQ763" s="214">
        <v>100</v>
      </c>
      <c r="BR763" s="137">
        <v>100</v>
      </c>
      <c r="BS763" s="138">
        <v>0</v>
      </c>
      <c r="BT763" s="351" t="s">
        <v>103</v>
      </c>
      <c r="BU763" s="214">
        <v>500</v>
      </c>
      <c r="BV763" s="214">
        <v>0</v>
      </c>
      <c r="BW763" s="214">
        <v>1</v>
      </c>
      <c r="BX763" s="214">
        <v>0</v>
      </c>
      <c r="BY763" s="214">
        <v>0</v>
      </c>
      <c r="BZ763" s="134">
        <v>0</v>
      </c>
      <c r="CA763" s="138">
        <v>1</v>
      </c>
      <c r="CB763" s="136">
        <v>0.83333333333333337</v>
      </c>
      <c r="CC763" s="136">
        <v>0</v>
      </c>
      <c r="CD763" s="136">
        <v>0</v>
      </c>
      <c r="CE763" s="137">
        <v>0</v>
      </c>
      <c r="CF763" s="137">
        <v>0</v>
      </c>
      <c r="CG763" s="137">
        <v>0</v>
      </c>
      <c r="CH763" s="214">
        <v>0</v>
      </c>
      <c r="CI763" s="139">
        <v>0</v>
      </c>
      <c r="CJ763" s="139">
        <v>0</v>
      </c>
      <c r="CK763" s="139" t="s">
        <v>969</v>
      </c>
      <c r="CL763" s="139" t="s">
        <v>969</v>
      </c>
      <c r="CM763" s="139" t="s">
        <v>969</v>
      </c>
      <c r="CN763" s="139" t="s">
        <v>2518</v>
      </c>
      <c r="CO763" s="139">
        <v>20.231519699096701</v>
      </c>
      <c r="CP763" s="139">
        <v>92.876129150390597</v>
      </c>
      <c r="CQ763" s="139">
        <v>196180</v>
      </c>
      <c r="CR763" s="449" t="s">
        <v>40</v>
      </c>
      <c r="CS763" s="449"/>
      <c r="CT763" s="24"/>
      <c r="CU763" s="24"/>
      <c r="CV763" s="24"/>
    </row>
    <row r="764" spans="1:100" x14ac:dyDescent="0.25">
      <c r="A764" s="293" t="s">
        <v>2691</v>
      </c>
      <c r="B764" s="183" t="s">
        <v>460</v>
      </c>
      <c r="C764" s="183" t="s">
        <v>454</v>
      </c>
      <c r="D764" s="183" t="s">
        <v>455</v>
      </c>
      <c r="E764" s="183" t="s">
        <v>616</v>
      </c>
      <c r="F764" s="183">
        <v>197</v>
      </c>
      <c r="G764" s="395">
        <v>488</v>
      </c>
      <c r="H764" s="183"/>
      <c r="I764" s="183"/>
      <c r="J764" s="184"/>
      <c r="K764" s="183"/>
      <c r="L764" s="206" t="s">
        <v>282</v>
      </c>
      <c r="M764" s="208">
        <v>0</v>
      </c>
      <c r="N764" s="208">
        <v>0</v>
      </c>
      <c r="O764" s="319">
        <v>9</v>
      </c>
      <c r="P764" s="320">
        <v>4</v>
      </c>
      <c r="Q764" s="324">
        <v>0</v>
      </c>
      <c r="R764" s="325">
        <v>0</v>
      </c>
      <c r="S764" s="325">
        <v>0</v>
      </c>
      <c r="T764" s="325"/>
      <c r="U764" s="315"/>
      <c r="V764" s="315"/>
      <c r="W764" s="315"/>
      <c r="X764" s="315"/>
      <c r="Y764" s="315"/>
      <c r="Z764" s="315" t="s">
        <v>2459</v>
      </c>
      <c r="AA764" s="336">
        <v>146</v>
      </c>
      <c r="AB764" s="336">
        <v>0</v>
      </c>
      <c r="AC764" s="342"/>
      <c r="AD764" s="337"/>
      <c r="AE764" s="342">
        <v>0</v>
      </c>
      <c r="AF764" s="310" t="s">
        <v>1358</v>
      </c>
      <c r="AG764" s="311" t="s">
        <v>1358</v>
      </c>
      <c r="AH764" s="337"/>
      <c r="AI764" s="337"/>
      <c r="AJ764" s="342"/>
      <c r="AK764" s="851">
        <v>0</v>
      </c>
      <c r="AL764" s="855"/>
      <c r="AM764" s="836">
        <v>0</v>
      </c>
      <c r="AN764" s="837">
        <v>0</v>
      </c>
      <c r="AO764" s="837">
        <v>0</v>
      </c>
      <c r="AP764" s="843"/>
      <c r="AQ764" s="839"/>
      <c r="AR764" s="839"/>
      <c r="AS764" s="839"/>
      <c r="AT764" s="839"/>
      <c r="AU764" s="839"/>
      <c r="AV764" s="852"/>
      <c r="AW764" s="134" t="s">
        <v>3208</v>
      </c>
      <c r="AX764" s="136" t="s">
        <v>3208</v>
      </c>
      <c r="AY764" s="137" t="s">
        <v>2576</v>
      </c>
      <c r="AZ764" s="136">
        <v>1</v>
      </c>
      <c r="BA764" s="136">
        <v>1</v>
      </c>
      <c r="BB764" s="136">
        <v>1</v>
      </c>
      <c r="BC764" s="214">
        <v>488</v>
      </c>
      <c r="BD764" s="136">
        <v>0</v>
      </c>
      <c r="BE764" s="214">
        <v>0</v>
      </c>
      <c r="BF764" s="136">
        <v>1</v>
      </c>
      <c r="BG764" s="214">
        <v>488</v>
      </c>
      <c r="BH764" s="214">
        <v>0.97599999999999998</v>
      </c>
      <c r="BI764" s="134">
        <v>0</v>
      </c>
      <c r="BJ764" s="214">
        <v>0</v>
      </c>
      <c r="BK764" s="137">
        <v>2.4000000000000021E-2</v>
      </c>
      <c r="BL764" s="137">
        <v>1</v>
      </c>
      <c r="BM764" s="137">
        <v>146</v>
      </c>
      <c r="BN764" s="134">
        <v>1</v>
      </c>
      <c r="BO764" s="351">
        <v>488</v>
      </c>
      <c r="BP764" s="134">
        <v>0</v>
      </c>
      <c r="BQ764" s="214">
        <v>0</v>
      </c>
      <c r="BR764" s="137">
        <v>81</v>
      </c>
      <c r="BS764" s="138">
        <v>0</v>
      </c>
      <c r="BT764" s="351" t="s">
        <v>103</v>
      </c>
      <c r="BU764" s="209">
        <v>0</v>
      </c>
      <c r="BV764" s="209">
        <v>0</v>
      </c>
      <c r="BW764" s="209">
        <v>0</v>
      </c>
      <c r="BX764" s="209">
        <v>0</v>
      </c>
      <c r="BY764" s="209">
        <v>0</v>
      </c>
      <c r="BZ764" s="134">
        <v>0</v>
      </c>
      <c r="CA764" s="138">
        <v>1</v>
      </c>
      <c r="CB764" s="136">
        <v>0</v>
      </c>
      <c r="CC764" s="136">
        <v>0</v>
      </c>
      <c r="CD764" s="136">
        <v>0</v>
      </c>
      <c r="CE764" s="137">
        <v>0</v>
      </c>
      <c r="CF764" s="137">
        <v>0</v>
      </c>
      <c r="CG764" s="351">
        <v>0</v>
      </c>
      <c r="CH764" s="214">
        <v>0</v>
      </c>
      <c r="CI764" s="139">
        <v>0</v>
      </c>
      <c r="CJ764" s="139">
        <v>0</v>
      </c>
      <c r="CK764" s="139" t="s">
        <v>969</v>
      </c>
      <c r="CL764" s="139" t="s">
        <v>969</v>
      </c>
      <c r="CM764" s="139" t="s">
        <v>969</v>
      </c>
      <c r="CN764" s="139" t="s">
        <v>454</v>
      </c>
      <c r="CO764" s="139">
        <v>20.245159149169901</v>
      </c>
      <c r="CP764" s="139">
        <v>92.807418823242202</v>
      </c>
      <c r="CQ764" s="139" t="s">
        <v>1673</v>
      </c>
      <c r="CR764" s="449" t="s">
        <v>3209</v>
      </c>
      <c r="CS764" s="139"/>
      <c r="CT764" s="24"/>
      <c r="CU764" s="24"/>
      <c r="CV764" s="24"/>
    </row>
    <row r="765" spans="1:100" ht="18" x14ac:dyDescent="0.25">
      <c r="A765" s="293" t="s">
        <v>2691</v>
      </c>
      <c r="B765" s="132" t="s">
        <v>527</v>
      </c>
      <c r="C765" s="132" t="s">
        <v>454</v>
      </c>
      <c r="D765" s="132" t="s">
        <v>455</v>
      </c>
      <c r="E765" s="132" t="s">
        <v>596</v>
      </c>
      <c r="F765" s="132">
        <v>656</v>
      </c>
      <c r="G765" s="209">
        <v>3486</v>
      </c>
      <c r="H765" s="132"/>
      <c r="I765" s="132" t="s">
        <v>47</v>
      </c>
      <c r="J765" s="133">
        <v>44104</v>
      </c>
      <c r="K765" s="132">
        <v>0</v>
      </c>
      <c r="L765" s="132" t="s">
        <v>282</v>
      </c>
      <c r="M765" s="134">
        <v>0</v>
      </c>
      <c r="N765" s="134">
        <v>0</v>
      </c>
      <c r="O765" s="320">
        <v>0</v>
      </c>
      <c r="P765" s="326">
        <v>35</v>
      </c>
      <c r="Q765" s="326"/>
      <c r="R765" s="315">
        <v>0</v>
      </c>
      <c r="S765" s="315">
        <v>46</v>
      </c>
      <c r="T765" s="315"/>
      <c r="U765" s="315">
        <v>26</v>
      </c>
      <c r="V765" s="315">
        <v>17</v>
      </c>
      <c r="W765" s="315">
        <v>22</v>
      </c>
      <c r="X765" s="315">
        <v>4</v>
      </c>
      <c r="Y765" s="315">
        <v>8</v>
      </c>
      <c r="Z765" s="864" t="s">
        <v>2783</v>
      </c>
      <c r="AA765" s="336">
        <v>172</v>
      </c>
      <c r="AB765" s="336">
        <v>60</v>
      </c>
      <c r="AC765" s="337">
        <v>84</v>
      </c>
      <c r="AD765" s="337"/>
      <c r="AE765" s="336">
        <v>235</v>
      </c>
      <c r="AF765" s="336" t="s">
        <v>283</v>
      </c>
      <c r="AG765" s="339" t="s">
        <v>1358</v>
      </c>
      <c r="AH765" s="339">
        <v>0</v>
      </c>
      <c r="AI765" s="336">
        <v>2</v>
      </c>
      <c r="AJ765" s="336"/>
      <c r="AK765" s="848">
        <v>1</v>
      </c>
      <c r="AL765" s="836" t="s">
        <v>284</v>
      </c>
      <c r="AM765" s="836">
        <v>656</v>
      </c>
      <c r="AN765" s="837">
        <v>0</v>
      </c>
      <c r="AO765" s="837">
        <v>5</v>
      </c>
      <c r="AP765" s="839">
        <v>656</v>
      </c>
      <c r="AQ765" s="839">
        <v>656</v>
      </c>
      <c r="AR765" s="839" t="s">
        <v>282</v>
      </c>
      <c r="AS765" s="839"/>
      <c r="AT765" s="839"/>
      <c r="AU765" s="839"/>
      <c r="AV765" s="849"/>
      <c r="AW765" s="134">
        <v>0.65384615384615385</v>
      </c>
      <c r="AX765" s="136">
        <v>0.18181818181818182</v>
      </c>
      <c r="AY765" s="137" t="s">
        <v>2577</v>
      </c>
      <c r="AZ765" s="136">
        <v>1</v>
      </c>
      <c r="BA765" s="136">
        <v>1</v>
      </c>
      <c r="BB765" s="136">
        <v>1</v>
      </c>
      <c r="BC765" s="214">
        <v>3486</v>
      </c>
      <c r="BD765" s="136">
        <v>0</v>
      </c>
      <c r="BE765" s="214">
        <v>0</v>
      </c>
      <c r="BF765" s="136">
        <v>1</v>
      </c>
      <c r="BG765" s="214">
        <v>3486</v>
      </c>
      <c r="BH765" s="214">
        <v>6.9720000000000004</v>
      </c>
      <c r="BI765" s="134">
        <v>0</v>
      </c>
      <c r="BJ765" s="214">
        <v>0</v>
      </c>
      <c r="BK765" s="137">
        <v>2.7999999999999581E-2</v>
      </c>
      <c r="BL765" s="137">
        <v>7</v>
      </c>
      <c r="BM765" s="137">
        <v>232</v>
      </c>
      <c r="BN765" s="134">
        <v>0.98680436029833618</v>
      </c>
      <c r="BO765" s="351">
        <v>3440</v>
      </c>
      <c r="BP765" s="134">
        <v>0</v>
      </c>
      <c r="BQ765" s="214">
        <v>0</v>
      </c>
      <c r="BR765" s="137">
        <v>174</v>
      </c>
      <c r="BS765" s="138">
        <v>0.25862068965517243</v>
      </c>
      <c r="BT765" s="351">
        <v>1680</v>
      </c>
      <c r="BU765" s="214">
        <v>2500</v>
      </c>
      <c r="BV765" s="214">
        <v>1</v>
      </c>
      <c r="BW765" s="214">
        <v>0</v>
      </c>
      <c r="BX765" s="214">
        <v>1</v>
      </c>
      <c r="BY765" s="214">
        <v>3486</v>
      </c>
      <c r="BZ765" s="134">
        <v>1</v>
      </c>
      <c r="CA765" s="138">
        <v>0</v>
      </c>
      <c r="CB765" s="136">
        <v>0.71715433161216291</v>
      </c>
      <c r="CC765" s="136">
        <v>1</v>
      </c>
      <c r="CD765" s="136">
        <v>1</v>
      </c>
      <c r="CE765" s="137">
        <v>3280</v>
      </c>
      <c r="CF765" s="137">
        <v>3280</v>
      </c>
      <c r="CG765" s="137">
        <v>3280</v>
      </c>
      <c r="CH765" s="214">
        <v>656</v>
      </c>
      <c r="CI765" s="139" t="s">
        <v>48</v>
      </c>
      <c r="CJ765" s="139">
        <v>0</v>
      </c>
      <c r="CK765" s="139" t="s">
        <v>50</v>
      </c>
      <c r="CL765" s="139" t="s">
        <v>50</v>
      </c>
      <c r="CM765" s="139" t="s">
        <v>965</v>
      </c>
      <c r="CN765" s="139" t="s">
        <v>966</v>
      </c>
      <c r="CO765" s="139">
        <v>20.185917</v>
      </c>
      <c r="CP765" s="139">
        <v>92.831000000000003</v>
      </c>
      <c r="CQ765" s="139" t="s">
        <v>1656</v>
      </c>
      <c r="CR765" s="449" t="s">
        <v>40</v>
      </c>
      <c r="CS765" s="449"/>
      <c r="CT765" s="24"/>
      <c r="CU765" s="24"/>
      <c r="CV765" s="24"/>
    </row>
    <row r="766" spans="1:100" x14ac:dyDescent="0.25">
      <c r="A766" s="293" t="s">
        <v>2691</v>
      </c>
      <c r="B766" s="132" t="s">
        <v>2779</v>
      </c>
      <c r="C766" s="132" t="s">
        <v>454</v>
      </c>
      <c r="D766" s="132" t="s">
        <v>455</v>
      </c>
      <c r="E766" s="132" t="s">
        <v>613</v>
      </c>
      <c r="F766" s="132">
        <v>250</v>
      </c>
      <c r="G766" s="214">
        <v>1183</v>
      </c>
      <c r="H766" s="132">
        <v>290</v>
      </c>
      <c r="I766" s="132" t="s">
        <v>2780</v>
      </c>
      <c r="J766" s="133" t="s">
        <v>2781</v>
      </c>
      <c r="K766" s="132">
        <v>0</v>
      </c>
      <c r="L766" s="132" t="s">
        <v>282</v>
      </c>
      <c r="M766" s="134">
        <v>0</v>
      </c>
      <c r="N766" s="134">
        <v>0</v>
      </c>
      <c r="O766" s="320">
        <v>11</v>
      </c>
      <c r="P766" s="326">
        <v>21</v>
      </c>
      <c r="Q766" s="326">
        <v>0</v>
      </c>
      <c r="R766" s="315">
        <v>0</v>
      </c>
      <c r="S766" s="315">
        <v>0</v>
      </c>
      <c r="T766" s="315"/>
      <c r="U766" s="315">
        <v>0</v>
      </c>
      <c r="V766" s="315">
        <v>0</v>
      </c>
      <c r="W766" s="315">
        <v>0</v>
      </c>
      <c r="X766" s="315">
        <v>0</v>
      </c>
      <c r="Y766" s="315">
        <v>0</v>
      </c>
      <c r="Z766" s="315"/>
      <c r="AA766" s="336">
        <v>14</v>
      </c>
      <c r="AB766" s="336">
        <v>0</v>
      </c>
      <c r="AC766" s="337">
        <v>0</v>
      </c>
      <c r="AD766" s="337"/>
      <c r="AE766" s="336">
        <v>0</v>
      </c>
      <c r="AF766" s="336" t="s">
        <v>286</v>
      </c>
      <c r="AG766" s="339" t="s">
        <v>286</v>
      </c>
      <c r="AH766" s="339">
        <v>0</v>
      </c>
      <c r="AI766" s="336">
        <v>0</v>
      </c>
      <c r="AJ766" s="336"/>
      <c r="AK766" s="848">
        <v>0</v>
      </c>
      <c r="AL766" s="836" t="s">
        <v>284</v>
      </c>
      <c r="AM766" s="836">
        <v>0</v>
      </c>
      <c r="AN766" s="837">
        <v>0</v>
      </c>
      <c r="AO766" s="837">
        <v>1</v>
      </c>
      <c r="AP766" s="839">
        <v>0</v>
      </c>
      <c r="AQ766" s="839">
        <v>0</v>
      </c>
      <c r="AR766" s="839"/>
      <c r="AS766" s="839"/>
      <c r="AT766" s="839"/>
      <c r="AU766" s="839"/>
      <c r="AV766" s="849"/>
      <c r="AW766" s="134" t="s">
        <v>3208</v>
      </c>
      <c r="AX766" s="136" t="s">
        <v>3208</v>
      </c>
      <c r="AY766" s="137" t="s">
        <v>2576</v>
      </c>
      <c r="AZ766" s="136">
        <v>1</v>
      </c>
      <c r="BA766" s="136">
        <v>1</v>
      </c>
      <c r="BB766" s="136">
        <v>1</v>
      </c>
      <c r="BC766" s="214">
        <v>1183</v>
      </c>
      <c r="BD766" s="136">
        <v>0</v>
      </c>
      <c r="BE766" s="214">
        <v>0</v>
      </c>
      <c r="BF766" s="136">
        <v>1</v>
      </c>
      <c r="BG766" s="214">
        <v>1183</v>
      </c>
      <c r="BH766" s="214">
        <v>2.3660000000000001</v>
      </c>
      <c r="BI766" s="134">
        <v>0</v>
      </c>
      <c r="BJ766" s="214">
        <v>0</v>
      </c>
      <c r="BK766" s="137">
        <v>0</v>
      </c>
      <c r="BL766" s="137">
        <v>2</v>
      </c>
      <c r="BM766" s="137">
        <v>14</v>
      </c>
      <c r="BN766" s="134">
        <v>7.1005917159763315E-2</v>
      </c>
      <c r="BO766" s="351">
        <v>84</v>
      </c>
      <c r="BP766" s="134">
        <v>0.92814877430262055</v>
      </c>
      <c r="BQ766" s="214">
        <v>183</v>
      </c>
      <c r="BR766" s="137">
        <v>197</v>
      </c>
      <c r="BS766" s="138">
        <v>0</v>
      </c>
      <c r="BT766" s="351" t="s">
        <v>103</v>
      </c>
      <c r="BU766" s="214">
        <v>500</v>
      </c>
      <c r="BV766" s="214">
        <v>0</v>
      </c>
      <c r="BW766" s="214">
        <v>0</v>
      </c>
      <c r="BX766" s="214">
        <v>0</v>
      </c>
      <c r="BY766" s="214">
        <v>0</v>
      </c>
      <c r="BZ766" s="134">
        <v>0</v>
      </c>
      <c r="CA766" s="138">
        <v>1</v>
      </c>
      <c r="CB766" s="136">
        <v>0.42265426880811496</v>
      </c>
      <c r="CC766" s="136">
        <v>0</v>
      </c>
      <c r="CD766" s="136">
        <v>0</v>
      </c>
      <c r="CE766" s="137">
        <v>0</v>
      </c>
      <c r="CF766" s="137">
        <v>0</v>
      </c>
      <c r="CG766" s="137">
        <v>0</v>
      </c>
      <c r="CH766" s="214">
        <v>0</v>
      </c>
      <c r="CI766" s="139">
        <v>0</v>
      </c>
      <c r="CJ766" s="139">
        <v>0</v>
      </c>
      <c r="CK766" s="139" t="s">
        <v>969</v>
      </c>
      <c r="CL766" s="139" t="s">
        <v>969</v>
      </c>
      <c r="CM766" s="139" t="s">
        <v>969</v>
      </c>
      <c r="CN766" s="139" t="s">
        <v>966</v>
      </c>
      <c r="CO766" s="139">
        <v>20.2302</v>
      </c>
      <c r="CP766" s="139">
        <v>92.817999999999998</v>
      </c>
      <c r="CQ766" s="139" t="s">
        <v>1669</v>
      </c>
      <c r="CR766" s="449" t="s">
        <v>40</v>
      </c>
      <c r="CS766" s="449"/>
      <c r="CT766" s="24"/>
      <c r="CU766" s="24"/>
      <c r="CV766" s="24"/>
    </row>
    <row r="767" spans="1:100" x14ac:dyDescent="0.25">
      <c r="A767" s="293" t="s">
        <v>2691</v>
      </c>
      <c r="B767" s="206" t="s">
        <v>453</v>
      </c>
      <c r="C767" s="183" t="s">
        <v>454</v>
      </c>
      <c r="D767" s="183" t="s">
        <v>455</v>
      </c>
      <c r="E767" s="183" t="s">
        <v>2768</v>
      </c>
      <c r="F767" s="206">
        <v>366</v>
      </c>
      <c r="G767" s="209">
        <v>2182</v>
      </c>
      <c r="H767" s="206">
        <v>261</v>
      </c>
      <c r="I767" s="206" t="s">
        <v>2773</v>
      </c>
      <c r="J767" s="207">
        <v>43464</v>
      </c>
      <c r="K767" s="206">
        <v>0</v>
      </c>
      <c r="L767" s="206" t="s">
        <v>282</v>
      </c>
      <c r="M767" s="208">
        <v>0</v>
      </c>
      <c r="N767" s="208">
        <v>0</v>
      </c>
      <c r="O767" s="316">
        <v>0</v>
      </c>
      <c r="P767" s="317"/>
      <c r="Q767" s="317"/>
      <c r="R767" s="318"/>
      <c r="S767" s="318"/>
      <c r="T767" s="318"/>
      <c r="U767" s="318"/>
      <c r="V767" s="318"/>
      <c r="W767" s="318"/>
      <c r="X767" s="318"/>
      <c r="Y767" s="318"/>
      <c r="Z767" s="318"/>
      <c r="AA767" s="310">
        <v>0</v>
      </c>
      <c r="AB767" s="310"/>
      <c r="AC767" s="66"/>
      <c r="AD767" s="337"/>
      <c r="AE767" s="310"/>
      <c r="AF767" s="310" t="s">
        <v>286</v>
      </c>
      <c r="AG767" s="311" t="s">
        <v>286</v>
      </c>
      <c r="AH767" s="311"/>
      <c r="AI767" s="310"/>
      <c r="AJ767" s="310"/>
      <c r="AK767" s="841"/>
      <c r="AL767" s="842" t="s">
        <v>284</v>
      </c>
      <c r="AM767" s="842"/>
      <c r="AN767" s="837"/>
      <c r="AO767" s="837"/>
      <c r="AP767" s="843"/>
      <c r="AQ767" s="843"/>
      <c r="AR767" s="843"/>
      <c r="AS767" s="843"/>
      <c r="AT767" s="843"/>
      <c r="AU767" s="843"/>
      <c r="AV767" s="844"/>
      <c r="AW767" s="208" t="s">
        <v>3208</v>
      </c>
      <c r="AX767" s="211" t="s">
        <v>3208</v>
      </c>
      <c r="AY767" s="210" t="s">
        <v>2576</v>
      </c>
      <c r="AZ767" s="211">
        <v>0</v>
      </c>
      <c r="BA767" s="211">
        <v>0</v>
      </c>
      <c r="BB767" s="211">
        <v>0</v>
      </c>
      <c r="BC767" s="209">
        <v>0</v>
      </c>
      <c r="BD767" s="211">
        <v>0</v>
      </c>
      <c r="BE767" s="209">
        <v>0</v>
      </c>
      <c r="BF767" s="211">
        <v>0</v>
      </c>
      <c r="BG767" s="209">
        <v>0</v>
      </c>
      <c r="BH767" s="209">
        <v>0</v>
      </c>
      <c r="BI767" s="208">
        <v>1</v>
      </c>
      <c r="BJ767" s="209">
        <v>2182</v>
      </c>
      <c r="BK767" s="210">
        <v>4</v>
      </c>
      <c r="BL767" s="210">
        <v>4</v>
      </c>
      <c r="BM767" s="210">
        <v>0</v>
      </c>
      <c r="BN767" s="208">
        <v>0</v>
      </c>
      <c r="BO767" s="352">
        <v>0</v>
      </c>
      <c r="BP767" s="208">
        <v>1</v>
      </c>
      <c r="BQ767" s="209">
        <v>364</v>
      </c>
      <c r="BR767" s="210">
        <v>364</v>
      </c>
      <c r="BS767" s="212">
        <v>0</v>
      </c>
      <c r="BT767" s="352" t="s">
        <v>103</v>
      </c>
      <c r="BU767" s="209">
        <v>0</v>
      </c>
      <c r="BV767" s="209">
        <v>0</v>
      </c>
      <c r="BW767" s="209">
        <v>0</v>
      </c>
      <c r="BX767" s="209">
        <v>0</v>
      </c>
      <c r="BY767" s="209">
        <v>0</v>
      </c>
      <c r="BZ767" s="208">
        <v>0</v>
      </c>
      <c r="CA767" s="212">
        <v>1</v>
      </c>
      <c r="CB767" s="211">
        <v>0</v>
      </c>
      <c r="CC767" s="211">
        <v>0</v>
      </c>
      <c r="CD767" s="211">
        <v>0</v>
      </c>
      <c r="CE767" s="210">
        <v>0</v>
      </c>
      <c r="CF767" s="210">
        <v>0</v>
      </c>
      <c r="CG767" s="210">
        <v>0</v>
      </c>
      <c r="CH767" s="209">
        <v>0</v>
      </c>
      <c r="CI767" s="139">
        <v>0</v>
      </c>
      <c r="CJ767" s="139">
        <v>0</v>
      </c>
      <c r="CK767" s="139" t="s">
        <v>969</v>
      </c>
      <c r="CL767" s="139" t="s">
        <v>969</v>
      </c>
      <c r="CM767" s="139" t="s">
        <v>969</v>
      </c>
      <c r="CN767" s="139">
        <v>0</v>
      </c>
      <c r="CO767" s="139">
        <v>0</v>
      </c>
      <c r="CP767" s="139">
        <v>0</v>
      </c>
      <c r="CQ767" s="139">
        <v>0</v>
      </c>
      <c r="CR767" s="660" t="s">
        <v>40</v>
      </c>
      <c r="CS767" s="660"/>
      <c r="CT767" s="24"/>
      <c r="CU767" s="24"/>
      <c r="CV767" s="24"/>
    </row>
    <row r="768" spans="1:100" x14ac:dyDescent="0.25">
      <c r="A768" s="293" t="s">
        <v>2691</v>
      </c>
      <c r="B768" s="132" t="s">
        <v>447</v>
      </c>
      <c r="C768" s="132" t="s">
        <v>454</v>
      </c>
      <c r="D768" s="132" t="s">
        <v>455</v>
      </c>
      <c r="E768" s="132" t="s">
        <v>608</v>
      </c>
      <c r="F768" s="132">
        <v>164</v>
      </c>
      <c r="G768" s="214">
        <v>908</v>
      </c>
      <c r="H768" s="132"/>
      <c r="I768" s="132" t="s">
        <v>449</v>
      </c>
      <c r="J768" s="133">
        <v>43356</v>
      </c>
      <c r="K768" s="132">
        <v>0</v>
      </c>
      <c r="L768" s="132" t="s">
        <v>282</v>
      </c>
      <c r="M768" s="134">
        <v>0</v>
      </c>
      <c r="N768" s="134">
        <v>0</v>
      </c>
      <c r="O768" s="320">
        <v>20</v>
      </c>
      <c r="P768" s="326">
        <v>35</v>
      </c>
      <c r="Q768" s="326">
        <v>0</v>
      </c>
      <c r="R768" s="315">
        <v>0</v>
      </c>
      <c r="S768" s="315">
        <v>0</v>
      </c>
      <c r="T768" s="315"/>
      <c r="U768" s="315">
        <v>0</v>
      </c>
      <c r="V768" s="315">
        <v>0</v>
      </c>
      <c r="W768" s="315">
        <v>0</v>
      </c>
      <c r="X768" s="315">
        <v>0</v>
      </c>
      <c r="Y768" s="315">
        <v>0</v>
      </c>
      <c r="Z768" s="315"/>
      <c r="AA768" s="336">
        <v>103</v>
      </c>
      <c r="AB768" s="336">
        <v>0</v>
      </c>
      <c r="AC768" s="337">
        <v>0</v>
      </c>
      <c r="AD768" s="337"/>
      <c r="AE768" s="336">
        <v>0</v>
      </c>
      <c r="AF768" s="336" t="s">
        <v>286</v>
      </c>
      <c r="AG768" s="339" t="s">
        <v>286</v>
      </c>
      <c r="AH768" s="339">
        <v>0</v>
      </c>
      <c r="AI768" s="336">
        <v>0</v>
      </c>
      <c r="AJ768" s="336"/>
      <c r="AK768" s="848">
        <v>0</v>
      </c>
      <c r="AL768" s="836" t="s">
        <v>284</v>
      </c>
      <c r="AM768" s="836">
        <v>0</v>
      </c>
      <c r="AN768" s="837">
        <v>0</v>
      </c>
      <c r="AO768" s="837">
        <v>1</v>
      </c>
      <c r="AP768" s="839">
        <v>0</v>
      </c>
      <c r="AQ768" s="839">
        <v>0</v>
      </c>
      <c r="AR768" s="839"/>
      <c r="AS768" s="839"/>
      <c r="AT768" s="839"/>
      <c r="AU768" s="839"/>
      <c r="AV768" s="849"/>
      <c r="AW768" s="134" t="s">
        <v>3208</v>
      </c>
      <c r="AX768" s="136" t="s">
        <v>3208</v>
      </c>
      <c r="AY768" s="137" t="s">
        <v>2576</v>
      </c>
      <c r="AZ768" s="136">
        <v>1</v>
      </c>
      <c r="BA768" s="136">
        <v>1</v>
      </c>
      <c r="BB768" s="136">
        <v>1</v>
      </c>
      <c r="BC768" s="214">
        <v>908</v>
      </c>
      <c r="BD768" s="136">
        <v>0</v>
      </c>
      <c r="BE768" s="214">
        <v>0</v>
      </c>
      <c r="BF768" s="136">
        <v>1</v>
      </c>
      <c r="BG768" s="214">
        <v>908</v>
      </c>
      <c r="BH768" s="214">
        <v>1.8160000000000001</v>
      </c>
      <c r="BI768" s="134">
        <v>0</v>
      </c>
      <c r="BJ768" s="214">
        <v>0</v>
      </c>
      <c r="BK768" s="137">
        <v>0.18399999999999994</v>
      </c>
      <c r="BL768" s="137">
        <v>2</v>
      </c>
      <c r="BM768" s="137">
        <v>103</v>
      </c>
      <c r="BN768" s="134">
        <v>0.68061674008810569</v>
      </c>
      <c r="BO768" s="351">
        <v>618</v>
      </c>
      <c r="BP768" s="134">
        <v>0.31718061674008807</v>
      </c>
      <c r="BQ768" s="214">
        <v>48</v>
      </c>
      <c r="BR768" s="137">
        <v>151</v>
      </c>
      <c r="BS768" s="138">
        <v>0</v>
      </c>
      <c r="BT768" s="351" t="s">
        <v>103</v>
      </c>
      <c r="BU768" s="214">
        <v>500</v>
      </c>
      <c r="BV768" s="214">
        <v>0</v>
      </c>
      <c r="BW768" s="214">
        <v>1</v>
      </c>
      <c r="BX768" s="214">
        <v>0</v>
      </c>
      <c r="BY768" s="214">
        <v>0</v>
      </c>
      <c r="BZ768" s="134">
        <v>0</v>
      </c>
      <c r="CA768" s="138">
        <v>1</v>
      </c>
      <c r="CB768" s="136">
        <v>0.5506607929515418</v>
      </c>
      <c r="CC768" s="136">
        <v>0</v>
      </c>
      <c r="CD768" s="136">
        <v>0</v>
      </c>
      <c r="CE768" s="137">
        <v>0</v>
      </c>
      <c r="CF768" s="137">
        <v>0</v>
      </c>
      <c r="CG768" s="137">
        <v>0</v>
      </c>
      <c r="CH768" s="214">
        <v>0</v>
      </c>
      <c r="CI768" s="139">
        <v>0</v>
      </c>
      <c r="CJ768" s="139">
        <v>0</v>
      </c>
      <c r="CK768" s="139" t="s">
        <v>969</v>
      </c>
      <c r="CL768" s="139" t="s">
        <v>969</v>
      </c>
      <c r="CM768" s="139" t="s">
        <v>969</v>
      </c>
      <c r="CN768" s="139" t="s">
        <v>966</v>
      </c>
      <c r="CO768" s="139">
        <v>20.212700000000002</v>
      </c>
      <c r="CP768" s="139">
        <v>92.820800000000006</v>
      </c>
      <c r="CQ768" s="139" t="s">
        <v>1665</v>
      </c>
      <c r="CR768" s="449" t="s">
        <v>40</v>
      </c>
      <c r="CS768" s="449"/>
      <c r="CT768" s="24"/>
      <c r="CU768" s="24"/>
      <c r="CV768" s="24"/>
    </row>
    <row r="769" spans="1:100" x14ac:dyDescent="0.25">
      <c r="A769" s="293" t="s">
        <v>2691</v>
      </c>
      <c r="B769" s="132" t="s">
        <v>447</v>
      </c>
      <c r="C769" s="132" t="s">
        <v>454</v>
      </c>
      <c r="D769" s="132" t="s">
        <v>455</v>
      </c>
      <c r="E769" s="132" t="s">
        <v>1046</v>
      </c>
      <c r="F769" s="132">
        <v>325</v>
      </c>
      <c r="G769" s="214">
        <v>1857</v>
      </c>
      <c r="H769" s="132"/>
      <c r="I769" s="132" t="s">
        <v>449</v>
      </c>
      <c r="J769" s="133">
        <v>43356</v>
      </c>
      <c r="K769" s="132">
        <v>0</v>
      </c>
      <c r="L769" s="132" t="s">
        <v>282</v>
      </c>
      <c r="M769" s="134">
        <v>0</v>
      </c>
      <c r="N769" s="134">
        <v>0</v>
      </c>
      <c r="O769" s="320">
        <v>20</v>
      </c>
      <c r="P769" s="326">
        <v>30</v>
      </c>
      <c r="Q769" s="326">
        <v>0</v>
      </c>
      <c r="R769" s="315">
        <v>0</v>
      </c>
      <c r="S769" s="315">
        <v>0</v>
      </c>
      <c r="T769" s="315"/>
      <c r="U769" s="315">
        <v>0</v>
      </c>
      <c r="V769" s="315">
        <v>0</v>
      </c>
      <c r="W769" s="315">
        <v>0</v>
      </c>
      <c r="X769" s="315">
        <v>0</v>
      </c>
      <c r="Y769" s="315">
        <v>0</v>
      </c>
      <c r="Z769" s="315"/>
      <c r="AA769" s="336">
        <v>126</v>
      </c>
      <c r="AB769" s="336">
        <v>0</v>
      </c>
      <c r="AC769" s="337">
        <v>0</v>
      </c>
      <c r="AD769" s="337"/>
      <c r="AE769" s="336">
        <v>0</v>
      </c>
      <c r="AF769" s="336" t="s">
        <v>286</v>
      </c>
      <c r="AG769" s="339" t="s">
        <v>286</v>
      </c>
      <c r="AH769" s="339">
        <v>0</v>
      </c>
      <c r="AI769" s="336">
        <v>0</v>
      </c>
      <c r="AJ769" s="336"/>
      <c r="AK769" s="848">
        <v>0</v>
      </c>
      <c r="AL769" s="836" t="s">
        <v>284</v>
      </c>
      <c r="AM769" s="836">
        <v>0</v>
      </c>
      <c r="AN769" s="837">
        <v>0</v>
      </c>
      <c r="AO769" s="837">
        <v>1</v>
      </c>
      <c r="AP769" s="839">
        <v>0</v>
      </c>
      <c r="AQ769" s="839">
        <v>0</v>
      </c>
      <c r="AR769" s="839"/>
      <c r="AS769" s="839"/>
      <c r="AT769" s="839"/>
      <c r="AU769" s="839"/>
      <c r="AV769" s="849"/>
      <c r="AW769" s="134" t="s">
        <v>3208</v>
      </c>
      <c r="AX769" s="136" t="s">
        <v>3208</v>
      </c>
      <c r="AY769" s="137" t="s">
        <v>2576</v>
      </c>
      <c r="AZ769" s="136">
        <v>1</v>
      </c>
      <c r="BA769" s="136">
        <v>1</v>
      </c>
      <c r="BB769" s="136">
        <v>1</v>
      </c>
      <c r="BC769" s="214">
        <v>1857</v>
      </c>
      <c r="BD769" s="136">
        <v>0</v>
      </c>
      <c r="BE769" s="214">
        <v>0</v>
      </c>
      <c r="BF769" s="136">
        <v>1</v>
      </c>
      <c r="BG769" s="214">
        <v>1857</v>
      </c>
      <c r="BH769" s="214">
        <v>3.714</v>
      </c>
      <c r="BI769" s="134">
        <v>0</v>
      </c>
      <c r="BJ769" s="214">
        <v>0</v>
      </c>
      <c r="BK769" s="137">
        <v>0.28600000000000003</v>
      </c>
      <c r="BL769" s="137">
        <v>4</v>
      </c>
      <c r="BM769" s="137">
        <v>126</v>
      </c>
      <c r="BN769" s="134">
        <v>0.40710823909531502</v>
      </c>
      <c r="BO769" s="351">
        <v>756</v>
      </c>
      <c r="BP769" s="134">
        <v>0.59450726978998381</v>
      </c>
      <c r="BQ769" s="214">
        <v>184</v>
      </c>
      <c r="BR769" s="137">
        <v>310</v>
      </c>
      <c r="BS769" s="138">
        <v>0</v>
      </c>
      <c r="BT769" s="351" t="s">
        <v>103</v>
      </c>
      <c r="BU769" s="214">
        <v>500</v>
      </c>
      <c r="BV769" s="214">
        <v>0</v>
      </c>
      <c r="BW769" s="214">
        <v>0</v>
      </c>
      <c r="BX769" s="214">
        <v>0</v>
      </c>
      <c r="BY769" s="214">
        <v>0</v>
      </c>
      <c r="BZ769" s="134">
        <v>0</v>
      </c>
      <c r="CA769" s="138">
        <v>1</v>
      </c>
      <c r="CB769" s="136">
        <v>0.26925148088314488</v>
      </c>
      <c r="CC769" s="136">
        <v>0</v>
      </c>
      <c r="CD769" s="136">
        <v>0</v>
      </c>
      <c r="CE769" s="137">
        <v>0</v>
      </c>
      <c r="CF769" s="137">
        <v>0</v>
      </c>
      <c r="CG769" s="137">
        <v>0</v>
      </c>
      <c r="CH769" s="214">
        <v>0</v>
      </c>
      <c r="CI769" s="139">
        <v>0</v>
      </c>
      <c r="CJ769" s="139">
        <v>0</v>
      </c>
      <c r="CK769" s="139" t="s">
        <v>969</v>
      </c>
      <c r="CL769" s="139" t="s">
        <v>969</v>
      </c>
      <c r="CM769" s="139" t="s">
        <v>969</v>
      </c>
      <c r="CN769" s="139" t="s">
        <v>966</v>
      </c>
      <c r="CO769" s="139">
        <v>20.219509124755898</v>
      </c>
      <c r="CP769" s="139">
        <v>92.811332702636705</v>
      </c>
      <c r="CQ769" s="139">
        <v>196145</v>
      </c>
      <c r="CR769" s="449" t="s">
        <v>40</v>
      </c>
      <c r="CS769" s="449"/>
      <c r="CT769" s="24"/>
      <c r="CU769" s="24"/>
      <c r="CV769" s="24"/>
    </row>
    <row r="770" spans="1:100" x14ac:dyDescent="0.25">
      <c r="A770" s="293" t="s">
        <v>2691</v>
      </c>
      <c r="B770" s="206" t="s">
        <v>479</v>
      </c>
      <c r="C770" s="183" t="s">
        <v>454</v>
      </c>
      <c r="D770" s="183" t="s">
        <v>455</v>
      </c>
      <c r="E770" s="183" t="s">
        <v>606</v>
      </c>
      <c r="F770" s="206">
        <v>673</v>
      </c>
      <c r="G770" s="209">
        <v>3095</v>
      </c>
      <c r="H770" s="206"/>
      <c r="I770" s="132" t="s">
        <v>388</v>
      </c>
      <c r="J770" s="133">
        <v>43266</v>
      </c>
      <c r="K770" s="206">
        <v>0</v>
      </c>
      <c r="L770" s="132" t="s">
        <v>48</v>
      </c>
      <c r="M770" s="134">
        <v>0</v>
      </c>
      <c r="N770" s="134">
        <v>0</v>
      </c>
      <c r="O770" s="316">
        <v>0</v>
      </c>
      <c r="P770" s="317">
        <v>40</v>
      </c>
      <c r="Q770" s="317">
        <v>0</v>
      </c>
      <c r="R770" s="318">
        <v>0</v>
      </c>
      <c r="S770" s="318"/>
      <c r="T770" s="318">
        <v>1</v>
      </c>
      <c r="U770" s="318">
        <v>15</v>
      </c>
      <c r="V770" s="318">
        <v>8</v>
      </c>
      <c r="W770" s="318">
        <v>23</v>
      </c>
      <c r="X770" s="318">
        <v>16</v>
      </c>
      <c r="Y770" s="318"/>
      <c r="Z770" s="318"/>
      <c r="AA770" s="310">
        <v>203</v>
      </c>
      <c r="AB770" s="310">
        <v>0</v>
      </c>
      <c r="AC770" s="66">
        <v>15</v>
      </c>
      <c r="AD770" s="337"/>
      <c r="AE770" s="310">
        <v>203</v>
      </c>
      <c r="AF770" s="310" t="s">
        <v>283</v>
      </c>
      <c r="AG770" s="311" t="s">
        <v>283</v>
      </c>
      <c r="AH770" s="311"/>
      <c r="AI770" s="310"/>
      <c r="AJ770" s="310"/>
      <c r="AK770" s="841">
        <v>0</v>
      </c>
      <c r="AL770" s="842" t="s">
        <v>291</v>
      </c>
      <c r="AM770" s="842">
        <v>592</v>
      </c>
      <c r="AN770" s="837">
        <v>0</v>
      </c>
      <c r="AO770" s="837">
        <v>12</v>
      </c>
      <c r="AP770" s="843">
        <v>673</v>
      </c>
      <c r="AQ770" s="843">
        <v>673</v>
      </c>
      <c r="AR770" s="843"/>
      <c r="AS770" s="843"/>
      <c r="AT770" s="843">
        <v>1</v>
      </c>
      <c r="AU770" s="843">
        <v>11</v>
      </c>
      <c r="AV770" s="844"/>
      <c r="AW770" s="208">
        <v>0.53333333333333333</v>
      </c>
      <c r="AX770" s="211">
        <v>0.69565217391304346</v>
      </c>
      <c r="AY770" s="210" t="s">
        <v>2577</v>
      </c>
      <c r="AZ770" s="211">
        <v>1</v>
      </c>
      <c r="BA770" s="211">
        <v>1</v>
      </c>
      <c r="BB770" s="211">
        <v>1</v>
      </c>
      <c r="BC770" s="209">
        <v>3095</v>
      </c>
      <c r="BD770" s="211">
        <v>0</v>
      </c>
      <c r="BE770" s="209">
        <v>0</v>
      </c>
      <c r="BF770" s="211">
        <v>1</v>
      </c>
      <c r="BG770" s="209">
        <v>3095</v>
      </c>
      <c r="BH770" s="209">
        <v>6.19</v>
      </c>
      <c r="BI770" s="208">
        <v>0</v>
      </c>
      <c r="BJ770" s="209">
        <v>0</v>
      </c>
      <c r="BK770" s="210">
        <v>0</v>
      </c>
      <c r="BL770" s="210">
        <v>6</v>
      </c>
      <c r="BM770" s="210">
        <v>203</v>
      </c>
      <c r="BN770" s="208">
        <v>1</v>
      </c>
      <c r="BO770" s="352">
        <v>3095</v>
      </c>
      <c r="BP770" s="208">
        <v>0</v>
      </c>
      <c r="BQ770" s="209">
        <v>0</v>
      </c>
      <c r="BR770" s="210">
        <v>155</v>
      </c>
      <c r="BS770" s="212">
        <v>0</v>
      </c>
      <c r="BT770" s="352">
        <v>300</v>
      </c>
      <c r="BU770" s="209">
        <v>3095</v>
      </c>
      <c r="BV770" s="209">
        <v>1</v>
      </c>
      <c r="BW770" s="209">
        <v>1</v>
      </c>
      <c r="BX770" s="209">
        <v>1</v>
      </c>
      <c r="BY770" s="209">
        <v>3095</v>
      </c>
      <c r="BZ770" s="208">
        <v>1</v>
      </c>
      <c r="CA770" s="212">
        <v>0</v>
      </c>
      <c r="CB770" s="211">
        <v>1</v>
      </c>
      <c r="CC770" s="211">
        <v>1</v>
      </c>
      <c r="CD770" s="211">
        <v>1</v>
      </c>
      <c r="CE770" s="210">
        <v>3365</v>
      </c>
      <c r="CF770" s="210">
        <v>3365</v>
      </c>
      <c r="CG770" s="210">
        <v>3365</v>
      </c>
      <c r="CH770" s="209">
        <v>0</v>
      </c>
      <c r="CI770" s="139" t="s">
        <v>48</v>
      </c>
      <c r="CJ770" s="139">
        <v>0</v>
      </c>
      <c r="CK770" s="139" t="s">
        <v>50</v>
      </c>
      <c r="CL770" s="139" t="s">
        <v>50</v>
      </c>
      <c r="CM770" s="139" t="s">
        <v>965</v>
      </c>
      <c r="CN770" s="139" t="s">
        <v>966</v>
      </c>
      <c r="CO770" s="139">
        <v>20.206778</v>
      </c>
      <c r="CP770" s="139">
        <v>92.774193999999994</v>
      </c>
      <c r="CQ770" s="139" t="s">
        <v>1663</v>
      </c>
      <c r="CR770" s="660" t="s">
        <v>40</v>
      </c>
      <c r="CS770" s="660"/>
      <c r="CT770" s="24"/>
      <c r="CU770" s="24"/>
      <c r="CV770" s="24"/>
    </row>
    <row r="771" spans="1:100" ht="18" x14ac:dyDescent="0.25">
      <c r="A771" s="293" t="s">
        <v>2691</v>
      </c>
      <c r="B771" s="132" t="s">
        <v>527</v>
      </c>
      <c r="C771" s="132" t="s">
        <v>454</v>
      </c>
      <c r="D771" s="132" t="s">
        <v>455</v>
      </c>
      <c r="E771" s="132" t="s">
        <v>601</v>
      </c>
      <c r="F771" s="132">
        <v>200</v>
      </c>
      <c r="G771" s="209">
        <v>1065</v>
      </c>
      <c r="H771" s="132" t="s">
        <v>286</v>
      </c>
      <c r="I771" s="132" t="s">
        <v>47</v>
      </c>
      <c r="J771" s="133">
        <v>44104</v>
      </c>
      <c r="K771" s="132">
        <v>0</v>
      </c>
      <c r="L771" s="132" t="s">
        <v>282</v>
      </c>
      <c r="M771" s="134">
        <v>0</v>
      </c>
      <c r="N771" s="134">
        <v>0</v>
      </c>
      <c r="O771" s="320">
        <v>0</v>
      </c>
      <c r="P771" s="326">
        <v>0</v>
      </c>
      <c r="Q771" s="326">
        <v>0</v>
      </c>
      <c r="R771" s="315">
        <v>2</v>
      </c>
      <c r="S771" s="315">
        <v>0</v>
      </c>
      <c r="T771" s="315"/>
      <c r="U771" s="315">
        <v>7</v>
      </c>
      <c r="V771" s="315">
        <v>4</v>
      </c>
      <c r="W771" s="315">
        <v>28</v>
      </c>
      <c r="X771" s="315">
        <v>9</v>
      </c>
      <c r="Y771" s="315"/>
      <c r="Z771" s="864" t="s">
        <v>2783</v>
      </c>
      <c r="AA771" s="336">
        <v>0</v>
      </c>
      <c r="AB771" s="336">
        <v>0</v>
      </c>
      <c r="AC771" s="337">
        <v>0</v>
      </c>
      <c r="AD771" s="337"/>
      <c r="AE771" s="336"/>
      <c r="AF771" s="336" t="s">
        <v>283</v>
      </c>
      <c r="AG771" s="339" t="s">
        <v>1358</v>
      </c>
      <c r="AH771" s="339">
        <v>0</v>
      </c>
      <c r="AI771" s="336">
        <v>0</v>
      </c>
      <c r="AJ771" s="336"/>
      <c r="AK771" s="848">
        <v>1</v>
      </c>
      <c r="AL771" s="836" t="s">
        <v>284</v>
      </c>
      <c r="AM771" s="836">
        <v>0</v>
      </c>
      <c r="AN771" s="837">
        <v>0</v>
      </c>
      <c r="AO771" s="837">
        <v>0</v>
      </c>
      <c r="AP771" s="839"/>
      <c r="AQ771" s="839"/>
      <c r="AR771" s="839"/>
      <c r="AS771" s="839"/>
      <c r="AT771" s="839"/>
      <c r="AU771" s="839"/>
      <c r="AV771" s="849"/>
      <c r="AW771" s="134">
        <v>0.5714285714285714</v>
      </c>
      <c r="AX771" s="136">
        <v>0.32142857142857145</v>
      </c>
      <c r="AY771" s="137" t="s">
        <v>2577</v>
      </c>
      <c r="AZ771" s="136">
        <v>0</v>
      </c>
      <c r="BA771" s="136">
        <v>0</v>
      </c>
      <c r="BB771" s="136">
        <v>0</v>
      </c>
      <c r="BC771" s="214">
        <v>0</v>
      </c>
      <c r="BD771" s="136">
        <v>0.46948356807511737</v>
      </c>
      <c r="BE771" s="214">
        <v>500</v>
      </c>
      <c r="BF771" s="136">
        <v>0.46948356807511737</v>
      </c>
      <c r="BG771" s="214">
        <v>500</v>
      </c>
      <c r="BH771" s="214">
        <v>1</v>
      </c>
      <c r="BI771" s="134">
        <v>0.53051643192488263</v>
      </c>
      <c r="BJ771" s="214">
        <v>565</v>
      </c>
      <c r="BK771" s="137">
        <v>1</v>
      </c>
      <c r="BL771" s="137">
        <v>2</v>
      </c>
      <c r="BM771" s="137">
        <v>0</v>
      </c>
      <c r="BN771" s="134">
        <v>0</v>
      </c>
      <c r="BO771" s="351">
        <v>0</v>
      </c>
      <c r="BP771" s="134">
        <v>1</v>
      </c>
      <c r="BQ771" s="214">
        <v>178</v>
      </c>
      <c r="BR771" s="137">
        <v>178</v>
      </c>
      <c r="BS771" s="138">
        <v>0</v>
      </c>
      <c r="BT771" s="351" t="s">
        <v>103</v>
      </c>
      <c r="BU771" s="214">
        <v>0</v>
      </c>
      <c r="BV771" s="214">
        <v>0</v>
      </c>
      <c r="BW771" s="214">
        <v>0</v>
      </c>
      <c r="BX771" s="214">
        <v>0</v>
      </c>
      <c r="BY771" s="214">
        <v>0</v>
      </c>
      <c r="BZ771" s="134">
        <v>0</v>
      </c>
      <c r="CA771" s="138">
        <v>1</v>
      </c>
      <c r="CB771" s="136">
        <v>0</v>
      </c>
      <c r="CC771" s="136">
        <v>0</v>
      </c>
      <c r="CD771" s="136">
        <v>0</v>
      </c>
      <c r="CE771" s="137">
        <v>0</v>
      </c>
      <c r="CF771" s="137">
        <v>0</v>
      </c>
      <c r="CG771" s="137">
        <v>0</v>
      </c>
      <c r="CH771" s="214">
        <v>200</v>
      </c>
      <c r="CI771" s="139">
        <v>0</v>
      </c>
      <c r="CJ771" s="139">
        <v>0</v>
      </c>
      <c r="CK771" s="139" t="s">
        <v>969</v>
      </c>
      <c r="CL771" s="139" t="s">
        <v>969</v>
      </c>
      <c r="CM771" s="139" t="s">
        <v>969</v>
      </c>
      <c r="CN771" s="139" t="s">
        <v>966</v>
      </c>
      <c r="CO771" s="139">
        <v>20.1975498199463</v>
      </c>
      <c r="CP771" s="139">
        <v>92.785682678222699</v>
      </c>
      <c r="CQ771" s="139" t="s">
        <v>1659</v>
      </c>
      <c r="CR771" s="449" t="s">
        <v>40</v>
      </c>
      <c r="CS771" s="449"/>
      <c r="CT771" s="24"/>
      <c r="CU771" s="24"/>
      <c r="CV771" s="24"/>
    </row>
    <row r="772" spans="1:100" ht="18" x14ac:dyDescent="0.25">
      <c r="A772" s="293" t="s">
        <v>2691</v>
      </c>
      <c r="B772" s="132" t="s">
        <v>527</v>
      </c>
      <c r="C772" s="132" t="s">
        <v>454</v>
      </c>
      <c r="D772" s="132" t="s">
        <v>455</v>
      </c>
      <c r="E772" s="132" t="s">
        <v>597</v>
      </c>
      <c r="F772" s="132">
        <v>2428</v>
      </c>
      <c r="G772" s="209">
        <v>13302</v>
      </c>
      <c r="H772" s="132"/>
      <c r="I772" s="132" t="s">
        <v>47</v>
      </c>
      <c r="J772" s="133">
        <v>44104</v>
      </c>
      <c r="K772" s="132">
        <v>0</v>
      </c>
      <c r="L772" s="132" t="s">
        <v>282</v>
      </c>
      <c r="M772" s="134">
        <v>0</v>
      </c>
      <c r="N772" s="134">
        <v>0</v>
      </c>
      <c r="O772" s="320">
        <v>0</v>
      </c>
      <c r="P772" s="326">
        <v>128</v>
      </c>
      <c r="Q772" s="326"/>
      <c r="R772" s="315">
        <v>0</v>
      </c>
      <c r="S772" s="315">
        <v>234</v>
      </c>
      <c r="T772" s="315"/>
      <c r="U772" s="315">
        <v>112</v>
      </c>
      <c r="V772" s="315">
        <v>80</v>
      </c>
      <c r="W772" s="315">
        <v>96</v>
      </c>
      <c r="X772" s="315">
        <v>42</v>
      </c>
      <c r="Y772" s="315">
        <v>9</v>
      </c>
      <c r="Z772" s="864" t="s">
        <v>2783</v>
      </c>
      <c r="AA772" s="336">
        <v>493</v>
      </c>
      <c r="AB772" s="336">
        <v>289</v>
      </c>
      <c r="AC772" s="337">
        <v>326</v>
      </c>
      <c r="AD772" s="337"/>
      <c r="AE772" s="336">
        <v>788</v>
      </c>
      <c r="AF772" s="336" t="s">
        <v>283</v>
      </c>
      <c r="AG772" s="339" t="s">
        <v>1358</v>
      </c>
      <c r="AH772" s="339">
        <v>0</v>
      </c>
      <c r="AI772" s="336">
        <v>18</v>
      </c>
      <c r="AJ772" s="336"/>
      <c r="AK772" s="848">
        <v>1</v>
      </c>
      <c r="AL772" s="836" t="s">
        <v>284</v>
      </c>
      <c r="AM772" s="836">
        <v>2428</v>
      </c>
      <c r="AN772" s="837">
        <v>0</v>
      </c>
      <c r="AO772" s="837">
        <v>24</v>
      </c>
      <c r="AP772" s="839">
        <v>2428</v>
      </c>
      <c r="AQ772" s="839">
        <v>2428</v>
      </c>
      <c r="AR772" s="839" t="s">
        <v>282</v>
      </c>
      <c r="AS772" s="839"/>
      <c r="AT772" s="839"/>
      <c r="AU772" s="839"/>
      <c r="AV772" s="849"/>
      <c r="AW772" s="134">
        <v>0.7142857142857143</v>
      </c>
      <c r="AX772" s="136">
        <v>0.4375</v>
      </c>
      <c r="AY772" s="137" t="s">
        <v>2577</v>
      </c>
      <c r="AZ772" s="136">
        <v>1</v>
      </c>
      <c r="BA772" s="136">
        <v>1</v>
      </c>
      <c r="BB772" s="136">
        <v>1</v>
      </c>
      <c r="BC772" s="214">
        <v>13302</v>
      </c>
      <c r="BD772" s="136">
        <v>0</v>
      </c>
      <c r="BE772" s="214">
        <v>0</v>
      </c>
      <c r="BF772" s="136">
        <v>1</v>
      </c>
      <c r="BG772" s="214">
        <v>13302</v>
      </c>
      <c r="BH772" s="214">
        <v>26.603999999999999</v>
      </c>
      <c r="BI772" s="134">
        <v>0</v>
      </c>
      <c r="BJ772" s="214">
        <v>0</v>
      </c>
      <c r="BK772" s="137">
        <v>0.3960000000000008</v>
      </c>
      <c r="BL772" s="137">
        <v>27</v>
      </c>
      <c r="BM772" s="137">
        <v>782</v>
      </c>
      <c r="BN772" s="134">
        <v>0.74124191850849497</v>
      </c>
      <c r="BO772" s="351">
        <v>9860</v>
      </c>
      <c r="BP772" s="134">
        <v>0</v>
      </c>
      <c r="BQ772" s="214">
        <v>0</v>
      </c>
      <c r="BR772" s="137">
        <v>665</v>
      </c>
      <c r="BS772" s="138">
        <v>0.36956521739130432</v>
      </c>
      <c r="BT772" s="351">
        <v>6520</v>
      </c>
      <c r="BU772" s="214">
        <v>12000</v>
      </c>
      <c r="BV772" s="214">
        <v>1</v>
      </c>
      <c r="BW772" s="214">
        <v>1</v>
      </c>
      <c r="BX772" s="214">
        <v>1</v>
      </c>
      <c r="BY772" s="214">
        <v>13302</v>
      </c>
      <c r="BZ772" s="134">
        <v>1</v>
      </c>
      <c r="CA772" s="138">
        <v>0</v>
      </c>
      <c r="CB772" s="136">
        <v>0.90211998195760035</v>
      </c>
      <c r="CC772" s="136">
        <v>1</v>
      </c>
      <c r="CD772" s="136">
        <v>1</v>
      </c>
      <c r="CE772" s="137">
        <v>12140</v>
      </c>
      <c r="CF772" s="137">
        <v>12140</v>
      </c>
      <c r="CG772" s="137">
        <v>12140</v>
      </c>
      <c r="CH772" s="214">
        <v>2428</v>
      </c>
      <c r="CI772" s="139" t="s">
        <v>48</v>
      </c>
      <c r="CJ772" s="139">
        <v>0</v>
      </c>
      <c r="CK772" s="139" t="s">
        <v>50</v>
      </c>
      <c r="CL772" s="139" t="s">
        <v>50</v>
      </c>
      <c r="CM772" s="139" t="s">
        <v>965</v>
      </c>
      <c r="CN772" s="139" t="s">
        <v>966</v>
      </c>
      <c r="CO772" s="139">
        <v>20.18994</v>
      </c>
      <c r="CP772" s="139">
        <v>92.798880999999994</v>
      </c>
      <c r="CQ772" s="139" t="s">
        <v>1657</v>
      </c>
      <c r="CR772" s="449" t="s">
        <v>40</v>
      </c>
      <c r="CS772" s="449"/>
      <c r="CT772" s="24"/>
      <c r="CU772" s="24"/>
      <c r="CV772" s="24"/>
    </row>
    <row r="773" spans="1:100" x14ac:dyDescent="0.25">
      <c r="A773" s="293" t="s">
        <v>2691</v>
      </c>
      <c r="B773" s="132" t="s">
        <v>571</v>
      </c>
      <c r="C773" s="132" t="s">
        <v>454</v>
      </c>
      <c r="D773" s="132" t="s">
        <v>455</v>
      </c>
      <c r="E773" s="132" t="s">
        <v>595</v>
      </c>
      <c r="F773" s="132">
        <v>2256</v>
      </c>
      <c r="G773" s="214">
        <v>12121</v>
      </c>
      <c r="H773" s="132"/>
      <c r="I773" s="132" t="s">
        <v>442</v>
      </c>
      <c r="J773" s="133">
        <v>43465</v>
      </c>
      <c r="K773" s="132">
        <v>0</v>
      </c>
      <c r="L773" s="132" t="s">
        <v>282</v>
      </c>
      <c r="M773" s="134">
        <v>0</v>
      </c>
      <c r="N773" s="134">
        <v>0</v>
      </c>
      <c r="O773" s="320">
        <v>0</v>
      </c>
      <c r="P773" s="326">
        <v>82</v>
      </c>
      <c r="Q773" s="326">
        <v>0</v>
      </c>
      <c r="R773" s="315">
        <v>0</v>
      </c>
      <c r="S773" s="315">
        <v>73</v>
      </c>
      <c r="T773" s="315"/>
      <c r="U773" s="315">
        <v>118</v>
      </c>
      <c r="V773" s="315">
        <v>85</v>
      </c>
      <c r="W773" s="315">
        <v>0</v>
      </c>
      <c r="X773" s="315">
        <v>0</v>
      </c>
      <c r="Y773" s="315">
        <v>0</v>
      </c>
      <c r="Z773" s="315"/>
      <c r="AA773" s="336">
        <v>593</v>
      </c>
      <c r="AB773" s="336">
        <v>0</v>
      </c>
      <c r="AC773" s="337">
        <v>450</v>
      </c>
      <c r="AD773" s="337" t="s">
        <v>2918</v>
      </c>
      <c r="AE773" s="336">
        <v>0</v>
      </c>
      <c r="AF773" s="336" t="s">
        <v>283</v>
      </c>
      <c r="AG773" s="339" t="s">
        <v>283</v>
      </c>
      <c r="AH773" s="339">
        <v>32</v>
      </c>
      <c r="AI773" s="336">
        <v>0</v>
      </c>
      <c r="AJ773" s="336"/>
      <c r="AK773" s="848">
        <v>0</v>
      </c>
      <c r="AL773" s="836" t="s">
        <v>284</v>
      </c>
      <c r="AM773" s="836">
        <v>0</v>
      </c>
      <c r="AN773" s="837">
        <v>0</v>
      </c>
      <c r="AO773" s="837">
        <v>29</v>
      </c>
      <c r="AP773" s="843">
        <v>2256</v>
      </c>
      <c r="AQ773" s="839">
        <v>2256</v>
      </c>
      <c r="AR773" s="839" t="s">
        <v>282</v>
      </c>
      <c r="AS773" s="839"/>
      <c r="AT773" s="839">
        <v>32</v>
      </c>
      <c r="AU773" s="839">
        <v>150</v>
      </c>
      <c r="AV773" s="849"/>
      <c r="AW773" s="134">
        <v>0.72033898305084743</v>
      </c>
      <c r="AX773" s="136" t="s">
        <v>3208</v>
      </c>
      <c r="AY773" s="137" t="s">
        <v>2577</v>
      </c>
      <c r="AZ773" s="136">
        <v>1</v>
      </c>
      <c r="BA773" s="136">
        <v>1</v>
      </c>
      <c r="BB773" s="136">
        <v>1</v>
      </c>
      <c r="BC773" s="214">
        <v>12121</v>
      </c>
      <c r="BD773" s="136">
        <v>0</v>
      </c>
      <c r="BE773" s="214">
        <v>0</v>
      </c>
      <c r="BF773" s="136">
        <v>1</v>
      </c>
      <c r="BG773" s="214">
        <v>12121</v>
      </c>
      <c r="BH773" s="214">
        <v>24.242000000000001</v>
      </c>
      <c r="BI773" s="134">
        <v>0</v>
      </c>
      <c r="BJ773" s="214">
        <v>0</v>
      </c>
      <c r="BK773" s="137">
        <v>0</v>
      </c>
      <c r="BL773" s="137">
        <v>24</v>
      </c>
      <c r="BM773" s="137">
        <v>593</v>
      </c>
      <c r="BN773" s="134">
        <v>0.97846712317465556</v>
      </c>
      <c r="BO773" s="351">
        <v>11860</v>
      </c>
      <c r="BP773" s="134">
        <v>2.145037538156918E-2</v>
      </c>
      <c r="BQ773" s="214">
        <v>13</v>
      </c>
      <c r="BR773" s="137">
        <v>606</v>
      </c>
      <c r="BS773" s="138">
        <v>0</v>
      </c>
      <c r="BT773" s="351">
        <v>9000</v>
      </c>
      <c r="BU773" s="214">
        <v>12121</v>
      </c>
      <c r="BV773" s="214">
        <v>1</v>
      </c>
      <c r="BW773" s="214">
        <v>1</v>
      </c>
      <c r="BX773" s="214">
        <v>1</v>
      </c>
      <c r="BY773" s="214">
        <v>12121</v>
      </c>
      <c r="BZ773" s="134">
        <v>1</v>
      </c>
      <c r="CA773" s="138">
        <v>0</v>
      </c>
      <c r="CB773" s="136">
        <v>1</v>
      </c>
      <c r="CC773" s="136">
        <v>1</v>
      </c>
      <c r="CD773" s="136">
        <v>1</v>
      </c>
      <c r="CE773" s="137">
        <v>11280</v>
      </c>
      <c r="CF773" s="137">
        <v>11280</v>
      </c>
      <c r="CG773" s="137">
        <v>11280</v>
      </c>
      <c r="CH773" s="214">
        <v>0</v>
      </c>
      <c r="CI773" s="139" t="s">
        <v>48</v>
      </c>
      <c r="CJ773" s="139">
        <v>0</v>
      </c>
      <c r="CK773" s="139" t="s">
        <v>50</v>
      </c>
      <c r="CL773" s="139" t="s">
        <v>50</v>
      </c>
      <c r="CM773" s="139" t="s">
        <v>965</v>
      </c>
      <c r="CN773" s="139" t="s">
        <v>966</v>
      </c>
      <c r="CO773" s="139">
        <v>20.185092000000001</v>
      </c>
      <c r="CP773" s="139">
        <v>92.802295999999998</v>
      </c>
      <c r="CQ773" s="139" t="s">
        <v>1655</v>
      </c>
      <c r="CR773" s="449" t="s">
        <v>40</v>
      </c>
      <c r="CS773" s="449"/>
      <c r="CT773" s="24"/>
      <c r="CU773" s="24"/>
      <c r="CV773" s="24"/>
    </row>
    <row r="774" spans="1:100" x14ac:dyDescent="0.25">
      <c r="A774" s="293" t="s">
        <v>2691</v>
      </c>
      <c r="B774" s="206" t="s">
        <v>460</v>
      </c>
      <c r="C774" s="183" t="s">
        <v>454</v>
      </c>
      <c r="D774" s="183" t="s">
        <v>455</v>
      </c>
      <c r="E774" s="183" t="s">
        <v>461</v>
      </c>
      <c r="F774" s="206">
        <v>87</v>
      </c>
      <c r="G774" s="209">
        <v>447</v>
      </c>
      <c r="H774" s="206"/>
      <c r="I774" s="206"/>
      <c r="J774" s="207"/>
      <c r="K774" s="206"/>
      <c r="L774" s="206" t="s">
        <v>282</v>
      </c>
      <c r="M774" s="208">
        <v>0</v>
      </c>
      <c r="N774" s="208">
        <v>0</v>
      </c>
      <c r="O774" s="316">
        <v>2</v>
      </c>
      <c r="P774" s="317">
        <v>4</v>
      </c>
      <c r="Q774" s="317">
        <v>0</v>
      </c>
      <c r="R774" s="318">
        <v>0</v>
      </c>
      <c r="S774" s="318">
        <v>0</v>
      </c>
      <c r="T774" s="318"/>
      <c r="U774" s="318"/>
      <c r="V774" s="318"/>
      <c r="W774" s="318"/>
      <c r="X774" s="318"/>
      <c r="Y774" s="318"/>
      <c r="Z774" s="318" t="s">
        <v>2459</v>
      </c>
      <c r="AA774" s="310">
        <v>72</v>
      </c>
      <c r="AB774" s="310">
        <v>0</v>
      </c>
      <c r="AC774" s="66"/>
      <c r="AD774" s="337"/>
      <c r="AE774" s="310">
        <v>0</v>
      </c>
      <c r="AF774" s="310" t="s">
        <v>1358</v>
      </c>
      <c r="AG774" s="311" t="s">
        <v>1358</v>
      </c>
      <c r="AH774" s="311"/>
      <c r="AI774" s="310"/>
      <c r="AJ774" s="310"/>
      <c r="AK774" s="841">
        <v>0</v>
      </c>
      <c r="AL774" s="842"/>
      <c r="AM774" s="842">
        <v>0</v>
      </c>
      <c r="AN774" s="837">
        <v>0</v>
      </c>
      <c r="AO774" s="837">
        <v>0</v>
      </c>
      <c r="AP774" s="843"/>
      <c r="AQ774" s="843"/>
      <c r="AR774" s="843"/>
      <c r="AS774" s="843"/>
      <c r="AT774" s="843"/>
      <c r="AU774" s="843"/>
      <c r="AV774" s="844"/>
      <c r="AW774" s="208" t="s">
        <v>3208</v>
      </c>
      <c r="AX774" s="211" t="s">
        <v>3208</v>
      </c>
      <c r="AY774" s="210" t="s">
        <v>2576</v>
      </c>
      <c r="AZ774" s="211">
        <v>1</v>
      </c>
      <c r="BA774" s="211">
        <v>1</v>
      </c>
      <c r="BB774" s="211">
        <v>1</v>
      </c>
      <c r="BC774" s="209">
        <v>447</v>
      </c>
      <c r="BD774" s="211">
        <v>0</v>
      </c>
      <c r="BE774" s="209">
        <v>0</v>
      </c>
      <c r="BF774" s="211">
        <v>1</v>
      </c>
      <c r="BG774" s="209">
        <v>447</v>
      </c>
      <c r="BH774" s="209">
        <v>0.89400000000000002</v>
      </c>
      <c r="BI774" s="208">
        <v>0</v>
      </c>
      <c r="BJ774" s="209">
        <v>0</v>
      </c>
      <c r="BK774" s="210">
        <v>0.10599999999999998</v>
      </c>
      <c r="BL774" s="210">
        <v>1</v>
      </c>
      <c r="BM774" s="210">
        <v>72</v>
      </c>
      <c r="BN774" s="208">
        <v>0.96644295302013428</v>
      </c>
      <c r="BO774" s="352">
        <v>432</v>
      </c>
      <c r="BP774" s="208">
        <v>4.0268456375838924E-2</v>
      </c>
      <c r="BQ774" s="209">
        <v>3</v>
      </c>
      <c r="BR774" s="210">
        <v>75</v>
      </c>
      <c r="BS774" s="212">
        <v>0</v>
      </c>
      <c r="BT774" s="352" t="s">
        <v>103</v>
      </c>
      <c r="BU774" s="209">
        <v>0</v>
      </c>
      <c r="BV774" s="209">
        <v>0</v>
      </c>
      <c r="BW774" s="209">
        <v>0</v>
      </c>
      <c r="BX774" s="209">
        <v>0</v>
      </c>
      <c r="BY774" s="209">
        <v>0</v>
      </c>
      <c r="BZ774" s="208">
        <v>0</v>
      </c>
      <c r="CA774" s="212">
        <v>1</v>
      </c>
      <c r="CB774" s="211">
        <v>0</v>
      </c>
      <c r="CC774" s="211">
        <v>0</v>
      </c>
      <c r="CD774" s="211">
        <v>0</v>
      </c>
      <c r="CE774" s="210">
        <v>0</v>
      </c>
      <c r="CF774" s="210">
        <v>0</v>
      </c>
      <c r="CG774" s="210">
        <v>0</v>
      </c>
      <c r="CH774" s="209">
        <v>0</v>
      </c>
      <c r="CI774" s="139">
        <v>0</v>
      </c>
      <c r="CJ774" s="139">
        <v>0</v>
      </c>
      <c r="CK774" s="139" t="s">
        <v>969</v>
      </c>
      <c r="CL774" s="139" t="s">
        <v>969</v>
      </c>
      <c r="CM774" s="139" t="s">
        <v>969</v>
      </c>
      <c r="CN774" s="139" t="s">
        <v>966</v>
      </c>
      <c r="CO774" s="139">
        <v>0</v>
      </c>
      <c r="CP774" s="139">
        <v>0</v>
      </c>
      <c r="CQ774" s="139">
        <v>0</v>
      </c>
      <c r="CR774" s="660" t="s">
        <v>3209</v>
      </c>
      <c r="CS774" s="660"/>
      <c r="CT774" s="24"/>
      <c r="CU774" s="24"/>
      <c r="CV774" s="24"/>
    </row>
    <row r="775" spans="1:100" x14ac:dyDescent="0.25">
      <c r="A775" s="293" t="s">
        <v>2691</v>
      </c>
      <c r="B775" s="132" t="s">
        <v>571</v>
      </c>
      <c r="C775" s="132" t="s">
        <v>454</v>
      </c>
      <c r="D775" s="132" t="s">
        <v>455</v>
      </c>
      <c r="E775" s="132" t="s">
        <v>607</v>
      </c>
      <c r="F775" s="132">
        <v>400</v>
      </c>
      <c r="G775" s="214">
        <v>2187</v>
      </c>
      <c r="H775" s="132"/>
      <c r="I775" s="132" t="s">
        <v>442</v>
      </c>
      <c r="J775" s="133">
        <v>43465</v>
      </c>
      <c r="K775" s="132">
        <v>0</v>
      </c>
      <c r="L775" s="132" t="s">
        <v>282</v>
      </c>
      <c r="M775" s="134">
        <v>0</v>
      </c>
      <c r="N775" s="134">
        <v>0</v>
      </c>
      <c r="O775" s="320">
        <v>0</v>
      </c>
      <c r="P775" s="326">
        <v>28</v>
      </c>
      <c r="Q775" s="326">
        <v>0</v>
      </c>
      <c r="R775" s="315">
        <v>0</v>
      </c>
      <c r="S775" s="315">
        <v>0</v>
      </c>
      <c r="T775" s="315"/>
      <c r="U775" s="315">
        <v>30</v>
      </c>
      <c r="V775" s="315">
        <v>10</v>
      </c>
      <c r="W775" s="315">
        <v>0</v>
      </c>
      <c r="X775" s="315">
        <v>0</v>
      </c>
      <c r="Y775" s="315">
        <v>0</v>
      </c>
      <c r="Z775" s="315"/>
      <c r="AA775" s="336">
        <v>98</v>
      </c>
      <c r="AB775" s="336">
        <v>2</v>
      </c>
      <c r="AC775" s="337">
        <v>80</v>
      </c>
      <c r="AD775" s="337" t="s">
        <v>2785</v>
      </c>
      <c r="AE775" s="336">
        <v>0</v>
      </c>
      <c r="AF775" s="336" t="s">
        <v>283</v>
      </c>
      <c r="AG775" s="339" t="s">
        <v>283</v>
      </c>
      <c r="AH775" s="339"/>
      <c r="AI775" s="336"/>
      <c r="AJ775" s="336"/>
      <c r="AK775" s="848">
        <v>0</v>
      </c>
      <c r="AL775" s="836" t="s">
        <v>284</v>
      </c>
      <c r="AM775" s="836">
        <v>0</v>
      </c>
      <c r="AN775" s="837">
        <v>0</v>
      </c>
      <c r="AO775" s="837">
        <v>9</v>
      </c>
      <c r="AP775" s="863">
        <v>400</v>
      </c>
      <c r="AQ775" s="850">
        <v>400</v>
      </c>
      <c r="AR775" s="850" t="s">
        <v>282</v>
      </c>
      <c r="AS775" s="850"/>
      <c r="AT775" s="850">
        <v>11</v>
      </c>
      <c r="AU775" s="850">
        <v>39</v>
      </c>
      <c r="AV775" s="849"/>
      <c r="AW775" s="134">
        <v>0.33333333333333331</v>
      </c>
      <c r="AX775" s="136" t="s">
        <v>3208</v>
      </c>
      <c r="AY775" s="137" t="s">
        <v>2577</v>
      </c>
      <c r="AZ775" s="136">
        <v>1</v>
      </c>
      <c r="BA775" s="136">
        <v>1</v>
      </c>
      <c r="BB775" s="136">
        <v>1</v>
      </c>
      <c r="BC775" s="214">
        <v>2187</v>
      </c>
      <c r="BD775" s="136">
        <v>0</v>
      </c>
      <c r="BE775" s="214">
        <v>0</v>
      </c>
      <c r="BF775" s="136">
        <v>1</v>
      </c>
      <c r="BG775" s="214">
        <v>2187</v>
      </c>
      <c r="BH775" s="214">
        <v>4.3739999999999997</v>
      </c>
      <c r="BI775" s="134">
        <v>0</v>
      </c>
      <c r="BJ775" s="214">
        <v>0</v>
      </c>
      <c r="BK775" s="137">
        <v>0</v>
      </c>
      <c r="BL775" s="137">
        <v>4</v>
      </c>
      <c r="BM775" s="137">
        <v>100</v>
      </c>
      <c r="BN775" s="134">
        <v>0.89620484682213075</v>
      </c>
      <c r="BO775" s="351">
        <v>1960</v>
      </c>
      <c r="BP775" s="134">
        <v>8.2304526748971193E-2</v>
      </c>
      <c r="BQ775" s="214">
        <v>9</v>
      </c>
      <c r="BR775" s="137">
        <v>109</v>
      </c>
      <c r="BS775" s="138">
        <v>0.02</v>
      </c>
      <c r="BT775" s="351">
        <v>1600</v>
      </c>
      <c r="BU775" s="214">
        <v>2187</v>
      </c>
      <c r="BV775" s="214">
        <v>1</v>
      </c>
      <c r="BW775" s="214">
        <v>1</v>
      </c>
      <c r="BX775" s="214">
        <v>1</v>
      </c>
      <c r="BY775" s="214">
        <v>2187</v>
      </c>
      <c r="BZ775" s="134">
        <v>1</v>
      </c>
      <c r="CA775" s="138">
        <v>0</v>
      </c>
      <c r="CB775" s="136">
        <v>1</v>
      </c>
      <c r="CC775" s="136">
        <v>1</v>
      </c>
      <c r="CD775" s="136">
        <v>1</v>
      </c>
      <c r="CE775" s="137">
        <v>2000</v>
      </c>
      <c r="CF775" s="137">
        <v>2000</v>
      </c>
      <c r="CG775" s="137">
        <v>2000</v>
      </c>
      <c r="CH775" s="214">
        <v>0</v>
      </c>
      <c r="CI775" s="139">
        <v>0</v>
      </c>
      <c r="CJ775" s="139">
        <v>0</v>
      </c>
      <c r="CK775" s="139" t="s">
        <v>50</v>
      </c>
      <c r="CL775" s="139" t="s">
        <v>50</v>
      </c>
      <c r="CM775" s="139" t="s">
        <v>929</v>
      </c>
      <c r="CN775" s="139" t="s">
        <v>966</v>
      </c>
      <c r="CO775" s="139">
        <v>20.207284999999999</v>
      </c>
      <c r="CP775" s="139">
        <v>92.788177000000005</v>
      </c>
      <c r="CQ775" s="139" t="s">
        <v>1664</v>
      </c>
      <c r="CR775" s="449" t="s">
        <v>40</v>
      </c>
      <c r="CS775" s="449"/>
      <c r="CT775" s="24"/>
      <c r="CU775" s="24"/>
      <c r="CV775" s="24"/>
    </row>
    <row r="776" spans="1:100" x14ac:dyDescent="0.25">
      <c r="A776" s="293" t="s">
        <v>2691</v>
      </c>
      <c r="B776" s="132" t="s">
        <v>447</v>
      </c>
      <c r="C776" s="132" t="s">
        <v>454</v>
      </c>
      <c r="D776" s="132" t="s">
        <v>455</v>
      </c>
      <c r="E776" s="132" t="s">
        <v>2766</v>
      </c>
      <c r="F776" s="132">
        <v>297</v>
      </c>
      <c r="G776" s="214">
        <v>1724</v>
      </c>
      <c r="H776" s="132"/>
      <c r="I776" s="132" t="s">
        <v>449</v>
      </c>
      <c r="J776" s="133">
        <v>43356</v>
      </c>
      <c r="K776" s="132">
        <v>0</v>
      </c>
      <c r="L776" s="132" t="s">
        <v>282</v>
      </c>
      <c r="M776" s="134">
        <v>0</v>
      </c>
      <c r="N776" s="134">
        <v>0</v>
      </c>
      <c r="O776" s="320">
        <v>5</v>
      </c>
      <c r="P776" s="326">
        <v>30</v>
      </c>
      <c r="Q776" s="326">
        <v>0</v>
      </c>
      <c r="R776" s="315">
        <v>0</v>
      </c>
      <c r="S776" s="315">
        <v>0</v>
      </c>
      <c r="T776" s="315"/>
      <c r="U776" s="315">
        <v>0</v>
      </c>
      <c r="V776" s="315">
        <v>0</v>
      </c>
      <c r="W776" s="315">
        <v>0</v>
      </c>
      <c r="X776" s="315">
        <v>0</v>
      </c>
      <c r="Y776" s="315">
        <v>0</v>
      </c>
      <c r="Z776" s="315"/>
      <c r="AA776" s="336">
        <v>0</v>
      </c>
      <c r="AB776" s="336">
        <v>0</v>
      </c>
      <c r="AC776" s="337">
        <v>0</v>
      </c>
      <c r="AD776" s="337"/>
      <c r="AE776" s="336">
        <v>0</v>
      </c>
      <c r="AF776" s="336" t="s">
        <v>286</v>
      </c>
      <c r="AG776" s="339" t="s">
        <v>286</v>
      </c>
      <c r="AH776" s="339">
        <v>0</v>
      </c>
      <c r="AI776" s="336">
        <v>0</v>
      </c>
      <c r="AJ776" s="336"/>
      <c r="AK776" s="848">
        <v>0</v>
      </c>
      <c r="AL776" s="836" t="s">
        <v>284</v>
      </c>
      <c r="AM776" s="836">
        <v>0</v>
      </c>
      <c r="AN776" s="837">
        <v>0</v>
      </c>
      <c r="AO776" s="837">
        <v>1</v>
      </c>
      <c r="AP776" s="839">
        <v>0</v>
      </c>
      <c r="AQ776" s="839">
        <v>0</v>
      </c>
      <c r="AR776" s="839"/>
      <c r="AS776" s="839"/>
      <c r="AT776" s="839"/>
      <c r="AU776" s="839"/>
      <c r="AV776" s="849"/>
      <c r="AW776" s="134" t="s">
        <v>3208</v>
      </c>
      <c r="AX776" s="136" t="s">
        <v>3208</v>
      </c>
      <c r="AY776" s="137" t="s">
        <v>2576</v>
      </c>
      <c r="AZ776" s="136">
        <v>1</v>
      </c>
      <c r="BA776" s="136">
        <v>1</v>
      </c>
      <c r="BB776" s="136">
        <v>1</v>
      </c>
      <c r="BC776" s="214">
        <v>1724</v>
      </c>
      <c r="BD776" s="136">
        <v>0</v>
      </c>
      <c r="BE776" s="214">
        <v>0</v>
      </c>
      <c r="BF776" s="136">
        <v>1</v>
      </c>
      <c r="BG776" s="214">
        <v>1724</v>
      </c>
      <c r="BH776" s="214">
        <v>3.448</v>
      </c>
      <c r="BI776" s="134">
        <v>0</v>
      </c>
      <c r="BJ776" s="214">
        <v>0</v>
      </c>
      <c r="BK776" s="137">
        <v>0</v>
      </c>
      <c r="BL776" s="137">
        <v>3</v>
      </c>
      <c r="BM776" s="137">
        <v>0</v>
      </c>
      <c r="BN776" s="134">
        <v>0</v>
      </c>
      <c r="BO776" s="351">
        <v>0</v>
      </c>
      <c r="BP776" s="134">
        <v>0.99883990719257543</v>
      </c>
      <c r="BQ776" s="214">
        <v>287</v>
      </c>
      <c r="BR776" s="137">
        <v>287</v>
      </c>
      <c r="BS776" s="138">
        <v>0</v>
      </c>
      <c r="BT776" s="351" t="s">
        <v>103</v>
      </c>
      <c r="BU776" s="214">
        <v>500</v>
      </c>
      <c r="BV776" s="214">
        <v>0</v>
      </c>
      <c r="BW776" s="214">
        <v>0</v>
      </c>
      <c r="BX776" s="214">
        <v>0</v>
      </c>
      <c r="BY776" s="214">
        <v>0</v>
      </c>
      <c r="BZ776" s="134">
        <v>0</v>
      </c>
      <c r="CA776" s="138">
        <v>1</v>
      </c>
      <c r="CB776" s="136">
        <v>0.29002320185614849</v>
      </c>
      <c r="CC776" s="136">
        <v>0</v>
      </c>
      <c r="CD776" s="136">
        <v>0</v>
      </c>
      <c r="CE776" s="137">
        <v>0</v>
      </c>
      <c r="CF776" s="137">
        <v>0</v>
      </c>
      <c r="CG776" s="137">
        <v>0</v>
      </c>
      <c r="CH776" s="214">
        <v>0</v>
      </c>
      <c r="CI776" s="139">
        <v>0</v>
      </c>
      <c r="CJ776" s="139">
        <v>0</v>
      </c>
      <c r="CK776" s="139" t="s">
        <v>969</v>
      </c>
      <c r="CL776" s="139" t="s">
        <v>969</v>
      </c>
      <c r="CM776" s="139" t="s">
        <v>969</v>
      </c>
      <c r="CN776" s="139" t="s">
        <v>966</v>
      </c>
      <c r="CO776" s="139">
        <v>20.2399291992188</v>
      </c>
      <c r="CP776" s="139">
        <v>92.827529907226605</v>
      </c>
      <c r="CQ776" s="139">
        <v>196162</v>
      </c>
      <c r="CR776" s="449" t="s">
        <v>40</v>
      </c>
      <c r="CS776" s="449"/>
      <c r="CT776" s="24"/>
      <c r="CU776" s="24"/>
      <c r="CV776" s="24"/>
    </row>
    <row r="777" spans="1:100" x14ac:dyDescent="0.25">
      <c r="A777" s="293" t="s">
        <v>2691</v>
      </c>
      <c r="B777" s="206" t="s">
        <v>479</v>
      </c>
      <c r="C777" s="132" t="s">
        <v>454</v>
      </c>
      <c r="D777" s="132" t="s">
        <v>455</v>
      </c>
      <c r="E777" s="132" t="s">
        <v>580</v>
      </c>
      <c r="F777" s="132">
        <v>249</v>
      </c>
      <c r="G777" s="214">
        <v>1362</v>
      </c>
      <c r="H777" s="132"/>
      <c r="I777" s="132" t="s">
        <v>388</v>
      </c>
      <c r="J777" s="133">
        <v>43266</v>
      </c>
      <c r="K777" s="132">
        <v>0</v>
      </c>
      <c r="L777" s="132" t="s">
        <v>48</v>
      </c>
      <c r="M777" s="134">
        <v>0</v>
      </c>
      <c r="N777" s="134">
        <v>0</v>
      </c>
      <c r="O777" s="320">
        <v>0</v>
      </c>
      <c r="P777" s="326">
        <v>15</v>
      </c>
      <c r="Q777" s="326">
        <v>0</v>
      </c>
      <c r="R777" s="315">
        <v>1</v>
      </c>
      <c r="S777" s="315">
        <v>17</v>
      </c>
      <c r="T777" s="315">
        <v>1</v>
      </c>
      <c r="U777" s="315">
        <v>16</v>
      </c>
      <c r="V777" s="315">
        <v>10</v>
      </c>
      <c r="W777" s="315">
        <v>20</v>
      </c>
      <c r="X777" s="315">
        <v>19</v>
      </c>
      <c r="Y777" s="315"/>
      <c r="Z777" s="315"/>
      <c r="AA777" s="336">
        <v>249</v>
      </c>
      <c r="AB777" s="336">
        <v>0</v>
      </c>
      <c r="AC777" s="337">
        <v>0</v>
      </c>
      <c r="AD777" s="337"/>
      <c r="AE777" s="336">
        <v>249</v>
      </c>
      <c r="AF777" s="336" t="s">
        <v>332</v>
      </c>
      <c r="AG777" s="339" t="s">
        <v>283</v>
      </c>
      <c r="AH777" s="339"/>
      <c r="AI777" s="336"/>
      <c r="AJ777" s="336"/>
      <c r="AK777" s="848">
        <v>0</v>
      </c>
      <c r="AL777" s="836" t="s">
        <v>284</v>
      </c>
      <c r="AM777" s="836">
        <v>0</v>
      </c>
      <c r="AN777" s="837">
        <v>0</v>
      </c>
      <c r="AO777" s="837">
        <v>4</v>
      </c>
      <c r="AP777" s="843">
        <v>249</v>
      </c>
      <c r="AQ777" s="843">
        <v>249</v>
      </c>
      <c r="AR777" s="843"/>
      <c r="AS777" s="843"/>
      <c r="AT777" s="843"/>
      <c r="AU777" s="843">
        <v>4</v>
      </c>
      <c r="AV777" s="849"/>
      <c r="AW777" s="134">
        <v>0.625</v>
      </c>
      <c r="AX777" s="136">
        <v>0.95</v>
      </c>
      <c r="AY777" s="137" t="s">
        <v>2577</v>
      </c>
      <c r="AZ777" s="136">
        <v>1</v>
      </c>
      <c r="BA777" s="136">
        <v>1</v>
      </c>
      <c r="BB777" s="136">
        <v>1</v>
      </c>
      <c r="BC777" s="214">
        <v>1362</v>
      </c>
      <c r="BD777" s="136">
        <v>0.18355359765051396</v>
      </c>
      <c r="BE777" s="214">
        <v>250.00000000000003</v>
      </c>
      <c r="BF777" s="136">
        <v>1</v>
      </c>
      <c r="BG777" s="214">
        <v>1362</v>
      </c>
      <c r="BH777" s="214">
        <v>2.7240000000000002</v>
      </c>
      <c r="BI777" s="134">
        <v>0</v>
      </c>
      <c r="BJ777" s="214">
        <v>0</v>
      </c>
      <c r="BK777" s="137">
        <v>0.2759999999999998</v>
      </c>
      <c r="BL777" s="137">
        <v>3</v>
      </c>
      <c r="BM777" s="137">
        <v>249</v>
      </c>
      <c r="BN777" s="134">
        <v>1</v>
      </c>
      <c r="BO777" s="351">
        <v>1362</v>
      </c>
      <c r="BP777" s="134">
        <v>0</v>
      </c>
      <c r="BQ777" s="214">
        <v>0</v>
      </c>
      <c r="BR777" s="137">
        <v>227</v>
      </c>
      <c r="BS777" s="138">
        <v>0</v>
      </c>
      <c r="BT777" s="351" t="s">
        <v>103</v>
      </c>
      <c r="BU777" s="214">
        <v>1362</v>
      </c>
      <c r="BV777" s="214">
        <v>1</v>
      </c>
      <c r="BW777" s="214">
        <v>1</v>
      </c>
      <c r="BX777" s="214">
        <v>1</v>
      </c>
      <c r="BY777" s="214">
        <v>1362</v>
      </c>
      <c r="BZ777" s="134">
        <v>1</v>
      </c>
      <c r="CA777" s="138">
        <v>0</v>
      </c>
      <c r="CB777" s="136">
        <v>1</v>
      </c>
      <c r="CC777" s="136">
        <v>1</v>
      </c>
      <c r="CD777" s="136">
        <v>1</v>
      </c>
      <c r="CE777" s="137">
        <v>1245</v>
      </c>
      <c r="CF777" s="137">
        <v>1245</v>
      </c>
      <c r="CG777" s="137">
        <v>1245</v>
      </c>
      <c r="CH777" s="214">
        <v>0</v>
      </c>
      <c r="CI777" s="139">
        <v>0</v>
      </c>
      <c r="CJ777" s="139">
        <v>0</v>
      </c>
      <c r="CK777" s="139" t="s">
        <v>969</v>
      </c>
      <c r="CL777" s="139" t="s">
        <v>969</v>
      </c>
      <c r="CM777" s="139" t="s">
        <v>992</v>
      </c>
      <c r="CN777" s="139" t="s">
        <v>454</v>
      </c>
      <c r="CO777" s="139">
        <v>20.151471999999998</v>
      </c>
      <c r="CP777" s="139">
        <v>92.887277999999995</v>
      </c>
      <c r="CQ777" s="139" t="s">
        <v>1637</v>
      </c>
      <c r="CR777" s="449" t="s">
        <v>40</v>
      </c>
      <c r="CS777" s="449"/>
      <c r="CT777" s="24"/>
      <c r="CU777" s="24"/>
      <c r="CV777" s="24"/>
    </row>
    <row r="778" spans="1:100" ht="18" x14ac:dyDescent="0.25">
      <c r="A778" s="293" t="s">
        <v>2691</v>
      </c>
      <c r="B778" s="132" t="s">
        <v>527</v>
      </c>
      <c r="C778" s="132" t="s">
        <v>454</v>
      </c>
      <c r="D778" s="132" t="s">
        <v>455</v>
      </c>
      <c r="E778" s="132" t="s">
        <v>581</v>
      </c>
      <c r="F778" s="132">
        <v>420</v>
      </c>
      <c r="G778" s="209">
        <v>1984</v>
      </c>
      <c r="H778" s="132" t="s">
        <v>286</v>
      </c>
      <c r="I778" s="132" t="s">
        <v>47</v>
      </c>
      <c r="J778" s="133">
        <v>44104</v>
      </c>
      <c r="K778" s="132">
        <v>0</v>
      </c>
      <c r="L778" s="132" t="s">
        <v>282</v>
      </c>
      <c r="M778" s="134">
        <v>0</v>
      </c>
      <c r="N778" s="134">
        <v>0</v>
      </c>
      <c r="O778" s="320">
        <v>0</v>
      </c>
      <c r="P778" s="326">
        <v>0</v>
      </c>
      <c r="Q778" s="326">
        <v>0</v>
      </c>
      <c r="R778" s="315">
        <v>1</v>
      </c>
      <c r="S778" s="315">
        <v>0</v>
      </c>
      <c r="T778" s="315"/>
      <c r="U778" s="315"/>
      <c r="V778" s="315"/>
      <c r="W778" s="315"/>
      <c r="X778" s="315"/>
      <c r="Y778" s="315">
        <v>0</v>
      </c>
      <c r="Z778" s="864" t="s">
        <v>2783</v>
      </c>
      <c r="AA778" s="336">
        <v>420</v>
      </c>
      <c r="AB778" s="336">
        <v>0</v>
      </c>
      <c r="AC778" s="337">
        <v>0</v>
      </c>
      <c r="AD778" s="337"/>
      <c r="AE778" s="336"/>
      <c r="AF778" s="336" t="s">
        <v>283</v>
      </c>
      <c r="AG778" s="339" t="s">
        <v>1358</v>
      </c>
      <c r="AH778" s="339">
        <v>0</v>
      </c>
      <c r="AI778" s="336">
        <v>0</v>
      </c>
      <c r="AJ778" s="336"/>
      <c r="AK778" s="848">
        <v>1</v>
      </c>
      <c r="AL778" s="836" t="s">
        <v>284</v>
      </c>
      <c r="AM778" s="836">
        <v>420</v>
      </c>
      <c r="AN778" s="837">
        <v>0</v>
      </c>
      <c r="AO778" s="837">
        <v>1</v>
      </c>
      <c r="AP778" s="839"/>
      <c r="AQ778" s="839"/>
      <c r="AR778" s="839"/>
      <c r="AS778" s="839"/>
      <c r="AT778" s="839"/>
      <c r="AU778" s="839"/>
      <c r="AV778" s="849"/>
      <c r="AW778" s="134" t="s">
        <v>3208</v>
      </c>
      <c r="AX778" s="136" t="s">
        <v>3208</v>
      </c>
      <c r="AY778" s="137" t="s">
        <v>2576</v>
      </c>
      <c r="AZ778" s="136">
        <v>0</v>
      </c>
      <c r="BA778" s="136">
        <v>0</v>
      </c>
      <c r="BB778" s="136">
        <v>0</v>
      </c>
      <c r="BC778" s="214">
        <v>0</v>
      </c>
      <c r="BD778" s="136">
        <v>0.12600806451612903</v>
      </c>
      <c r="BE778" s="214">
        <v>250</v>
      </c>
      <c r="BF778" s="136">
        <v>0.12600806451612903</v>
      </c>
      <c r="BG778" s="214">
        <v>250</v>
      </c>
      <c r="BH778" s="214">
        <v>0.5</v>
      </c>
      <c r="BI778" s="134">
        <v>0.873991935483871</v>
      </c>
      <c r="BJ778" s="214">
        <v>1734</v>
      </c>
      <c r="BK778" s="137">
        <v>3.5</v>
      </c>
      <c r="BL778" s="137">
        <v>4</v>
      </c>
      <c r="BM778" s="137">
        <v>420</v>
      </c>
      <c r="BN778" s="134">
        <v>1</v>
      </c>
      <c r="BO778" s="351">
        <v>1984</v>
      </c>
      <c r="BP778" s="134">
        <v>0</v>
      </c>
      <c r="BQ778" s="214">
        <v>0</v>
      </c>
      <c r="BR778" s="137">
        <v>331</v>
      </c>
      <c r="BS778" s="138">
        <v>0</v>
      </c>
      <c r="BT778" s="351" t="s">
        <v>103</v>
      </c>
      <c r="BU778" s="214">
        <v>500</v>
      </c>
      <c r="BV778" s="214">
        <v>0</v>
      </c>
      <c r="BW778" s="214">
        <v>0</v>
      </c>
      <c r="BX778" s="214">
        <v>0</v>
      </c>
      <c r="BY778" s="214">
        <v>0</v>
      </c>
      <c r="BZ778" s="134">
        <v>0</v>
      </c>
      <c r="CA778" s="138">
        <v>1</v>
      </c>
      <c r="CB778" s="136">
        <v>0.25201612903225806</v>
      </c>
      <c r="CC778" s="136">
        <v>0</v>
      </c>
      <c r="CD778" s="136">
        <v>0</v>
      </c>
      <c r="CE778" s="137">
        <v>0</v>
      </c>
      <c r="CF778" s="137">
        <v>0</v>
      </c>
      <c r="CG778" s="137">
        <v>0</v>
      </c>
      <c r="CH778" s="214">
        <v>420</v>
      </c>
      <c r="CI778" s="139">
        <v>0</v>
      </c>
      <c r="CJ778" s="139">
        <v>0</v>
      </c>
      <c r="CK778" s="139" t="s">
        <v>969</v>
      </c>
      <c r="CL778" s="139" t="s">
        <v>969</v>
      </c>
      <c r="CM778" s="139" t="s">
        <v>992</v>
      </c>
      <c r="CN778" s="139" t="s">
        <v>454</v>
      </c>
      <c r="CO778" s="139">
        <v>20.151471999999998</v>
      </c>
      <c r="CP778" s="139">
        <v>92.887277999999995</v>
      </c>
      <c r="CQ778" s="139" t="s">
        <v>1638</v>
      </c>
      <c r="CR778" s="449" t="s">
        <v>40</v>
      </c>
      <c r="CS778" s="449"/>
      <c r="CT778" s="24"/>
      <c r="CU778" s="24"/>
      <c r="CV778" s="24"/>
    </row>
    <row r="779" spans="1:100" x14ac:dyDescent="0.25">
      <c r="A779" s="293" t="s">
        <v>2691</v>
      </c>
      <c r="B779" s="132" t="s">
        <v>527</v>
      </c>
      <c r="C779" s="132" t="s">
        <v>454</v>
      </c>
      <c r="D779" s="132" t="s">
        <v>455</v>
      </c>
      <c r="E779" s="132" t="s">
        <v>604</v>
      </c>
      <c r="F779" s="132">
        <v>2280</v>
      </c>
      <c r="G779" s="209">
        <v>11564</v>
      </c>
      <c r="H779" s="132"/>
      <c r="I779" s="132" t="s">
        <v>47</v>
      </c>
      <c r="J779" s="133">
        <v>44104</v>
      </c>
      <c r="K779" s="132">
        <v>0</v>
      </c>
      <c r="L779" s="132" t="s">
        <v>282</v>
      </c>
      <c r="M779" s="134">
        <v>0</v>
      </c>
      <c r="N779" s="134">
        <v>0</v>
      </c>
      <c r="O779" s="320">
        <v>0</v>
      </c>
      <c r="P779" s="326">
        <v>160</v>
      </c>
      <c r="Q779" s="326">
        <v>0</v>
      </c>
      <c r="R779" s="315">
        <v>0</v>
      </c>
      <c r="S779" s="315">
        <v>196</v>
      </c>
      <c r="T779" s="315"/>
      <c r="U779" s="315">
        <v>170</v>
      </c>
      <c r="V779" s="315">
        <v>125</v>
      </c>
      <c r="W779" s="315">
        <v>99</v>
      </c>
      <c r="X779" s="315">
        <v>42</v>
      </c>
      <c r="Y779" s="315">
        <v>13</v>
      </c>
      <c r="Z779" s="315" t="s">
        <v>2783</v>
      </c>
      <c r="AA779" s="336">
        <v>482</v>
      </c>
      <c r="AB779" s="336">
        <v>33</v>
      </c>
      <c r="AC779" s="337">
        <v>172</v>
      </c>
      <c r="AD779" s="337"/>
      <c r="AE779" s="336">
        <v>516</v>
      </c>
      <c r="AF779" s="336" t="s">
        <v>283</v>
      </c>
      <c r="AG779" s="339" t="s">
        <v>1358</v>
      </c>
      <c r="AH779" s="339">
        <v>0</v>
      </c>
      <c r="AI779" s="336">
        <v>26</v>
      </c>
      <c r="AJ779" s="336"/>
      <c r="AK779" s="848">
        <v>1</v>
      </c>
      <c r="AL779" s="836" t="s">
        <v>284</v>
      </c>
      <c r="AM779" s="836">
        <v>2280</v>
      </c>
      <c r="AN779" s="837">
        <v>0</v>
      </c>
      <c r="AO779" s="837">
        <v>26</v>
      </c>
      <c r="AP779" s="839">
        <v>2280</v>
      </c>
      <c r="AQ779" s="839">
        <v>2280</v>
      </c>
      <c r="AR779" s="839" t="s">
        <v>282</v>
      </c>
      <c r="AS779" s="839"/>
      <c r="AT779" s="839"/>
      <c r="AU779" s="839"/>
      <c r="AV779" s="849"/>
      <c r="AW779" s="134">
        <v>0.73529411764705888</v>
      </c>
      <c r="AX779" s="136">
        <v>0.42424242424242425</v>
      </c>
      <c r="AY779" s="137" t="s">
        <v>2577</v>
      </c>
      <c r="AZ779" s="136">
        <v>1</v>
      </c>
      <c r="BA779" s="136">
        <v>1</v>
      </c>
      <c r="BB779" s="136">
        <v>1</v>
      </c>
      <c r="BC779" s="214">
        <v>11564</v>
      </c>
      <c r="BD779" s="136">
        <v>0</v>
      </c>
      <c r="BE779" s="214">
        <v>0</v>
      </c>
      <c r="BF779" s="136">
        <v>1</v>
      </c>
      <c r="BG779" s="214">
        <v>11564</v>
      </c>
      <c r="BH779" s="214">
        <v>23.128</v>
      </c>
      <c r="BI779" s="134">
        <v>0</v>
      </c>
      <c r="BJ779" s="214">
        <v>0</v>
      </c>
      <c r="BK779" s="137">
        <v>0</v>
      </c>
      <c r="BL779" s="137">
        <v>23</v>
      </c>
      <c r="BM779" s="137">
        <v>515</v>
      </c>
      <c r="BN779" s="134">
        <v>0.83362158422691113</v>
      </c>
      <c r="BO779" s="351">
        <v>9640</v>
      </c>
      <c r="BP779" s="134">
        <v>0.10895883777239708</v>
      </c>
      <c r="BQ779" s="214">
        <v>63</v>
      </c>
      <c r="BR779" s="137">
        <v>578</v>
      </c>
      <c r="BS779" s="138">
        <v>6.4077669902912623E-2</v>
      </c>
      <c r="BT779" s="351">
        <v>3440</v>
      </c>
      <c r="BU779" s="214">
        <v>11564</v>
      </c>
      <c r="BV779" s="214">
        <v>1</v>
      </c>
      <c r="BW779" s="214">
        <v>1</v>
      </c>
      <c r="BX779" s="214">
        <v>1</v>
      </c>
      <c r="BY779" s="214">
        <v>11564</v>
      </c>
      <c r="BZ779" s="134">
        <v>1</v>
      </c>
      <c r="CA779" s="138">
        <v>0</v>
      </c>
      <c r="CB779" s="136">
        <v>1</v>
      </c>
      <c r="CC779" s="136">
        <v>1</v>
      </c>
      <c r="CD779" s="136">
        <v>1</v>
      </c>
      <c r="CE779" s="137">
        <v>11400</v>
      </c>
      <c r="CF779" s="137">
        <v>11400</v>
      </c>
      <c r="CG779" s="137">
        <v>11400</v>
      </c>
      <c r="CH779" s="214">
        <v>2280</v>
      </c>
      <c r="CI779" s="139" t="s">
        <v>48</v>
      </c>
      <c r="CJ779" s="139">
        <v>0</v>
      </c>
      <c r="CK779" s="139" t="s">
        <v>50</v>
      </c>
      <c r="CL779" s="139" t="s">
        <v>50</v>
      </c>
      <c r="CM779" s="139" t="s">
        <v>965</v>
      </c>
      <c r="CN779" s="139" t="s">
        <v>966</v>
      </c>
      <c r="CO779" s="139">
        <v>20.202525000000001</v>
      </c>
      <c r="CP779" s="139">
        <v>92.792479999999998</v>
      </c>
      <c r="CQ779" s="139" t="s">
        <v>1661</v>
      </c>
      <c r="CR779" s="449" t="s">
        <v>40</v>
      </c>
      <c r="CS779" s="449"/>
      <c r="CT779" s="24"/>
      <c r="CU779" s="24"/>
      <c r="CV779" s="24"/>
    </row>
    <row r="780" spans="1:100" ht="18" x14ac:dyDescent="0.25">
      <c r="A780" s="293" t="s">
        <v>2691</v>
      </c>
      <c r="B780" s="132" t="s">
        <v>527</v>
      </c>
      <c r="C780" s="132" t="s">
        <v>454</v>
      </c>
      <c r="D780" s="132" t="s">
        <v>455</v>
      </c>
      <c r="E780" s="132" t="s">
        <v>602</v>
      </c>
      <c r="F780" s="132">
        <v>235</v>
      </c>
      <c r="G780" s="209">
        <v>1390</v>
      </c>
      <c r="H780" s="132" t="s">
        <v>286</v>
      </c>
      <c r="I780" s="132" t="s">
        <v>47</v>
      </c>
      <c r="J780" s="133">
        <v>44104</v>
      </c>
      <c r="K780" s="132">
        <v>0</v>
      </c>
      <c r="L780" s="132" t="s">
        <v>282</v>
      </c>
      <c r="M780" s="134">
        <v>0</v>
      </c>
      <c r="N780" s="134">
        <v>0</v>
      </c>
      <c r="O780" s="320">
        <v>0</v>
      </c>
      <c r="P780" s="326">
        <v>10</v>
      </c>
      <c r="Q780" s="326">
        <v>0</v>
      </c>
      <c r="R780" s="315">
        <v>0</v>
      </c>
      <c r="S780" s="315">
        <v>0</v>
      </c>
      <c r="T780" s="315"/>
      <c r="U780" s="315">
        <v>10</v>
      </c>
      <c r="V780" s="315">
        <v>9</v>
      </c>
      <c r="W780" s="315">
        <v>28</v>
      </c>
      <c r="X780" s="315">
        <v>8</v>
      </c>
      <c r="Y780" s="315">
        <v>0</v>
      </c>
      <c r="Z780" s="864" t="s">
        <v>2783</v>
      </c>
      <c r="AA780" s="336">
        <v>0</v>
      </c>
      <c r="AB780" s="336">
        <v>0</v>
      </c>
      <c r="AC780" s="337">
        <v>0</v>
      </c>
      <c r="AD780" s="337"/>
      <c r="AE780" s="336"/>
      <c r="AF780" s="336" t="s">
        <v>283</v>
      </c>
      <c r="AG780" s="339" t="s">
        <v>1358</v>
      </c>
      <c r="AH780" s="339">
        <v>0</v>
      </c>
      <c r="AI780" s="336">
        <v>0</v>
      </c>
      <c r="AJ780" s="336"/>
      <c r="AK780" s="848">
        <v>1</v>
      </c>
      <c r="AL780" s="836" t="s">
        <v>284</v>
      </c>
      <c r="AM780" s="836">
        <v>235</v>
      </c>
      <c r="AN780" s="837">
        <v>0</v>
      </c>
      <c r="AO780" s="837">
        <v>1</v>
      </c>
      <c r="AP780" s="839"/>
      <c r="AQ780" s="839"/>
      <c r="AR780" s="839"/>
      <c r="AS780" s="839"/>
      <c r="AT780" s="839"/>
      <c r="AU780" s="839"/>
      <c r="AV780" s="849"/>
      <c r="AW780" s="134">
        <v>0.9</v>
      </c>
      <c r="AX780" s="136">
        <v>0.2857142857142857</v>
      </c>
      <c r="AY780" s="137" t="s">
        <v>2577</v>
      </c>
      <c r="AZ780" s="136">
        <v>1</v>
      </c>
      <c r="BA780" s="136">
        <v>1</v>
      </c>
      <c r="BB780" s="136">
        <v>1</v>
      </c>
      <c r="BC780" s="214">
        <v>1390</v>
      </c>
      <c r="BD780" s="136">
        <v>0</v>
      </c>
      <c r="BE780" s="214">
        <v>0</v>
      </c>
      <c r="BF780" s="136">
        <v>1</v>
      </c>
      <c r="BG780" s="214">
        <v>1390</v>
      </c>
      <c r="BH780" s="214">
        <v>2.78</v>
      </c>
      <c r="BI780" s="134">
        <v>0</v>
      </c>
      <c r="BJ780" s="214">
        <v>0</v>
      </c>
      <c r="BK780" s="137">
        <v>0.2200000000000002</v>
      </c>
      <c r="BL780" s="137">
        <v>3</v>
      </c>
      <c r="BM780" s="137">
        <v>0</v>
      </c>
      <c r="BN780" s="134">
        <v>0</v>
      </c>
      <c r="BO780" s="351">
        <v>0</v>
      </c>
      <c r="BP780" s="134">
        <v>1</v>
      </c>
      <c r="BQ780" s="214">
        <v>232</v>
      </c>
      <c r="BR780" s="137">
        <v>232</v>
      </c>
      <c r="BS780" s="138">
        <v>0</v>
      </c>
      <c r="BT780" s="351" t="s">
        <v>103</v>
      </c>
      <c r="BU780" s="214">
        <v>500</v>
      </c>
      <c r="BV780" s="214">
        <v>0</v>
      </c>
      <c r="BW780" s="214">
        <v>0</v>
      </c>
      <c r="BX780" s="214">
        <v>0</v>
      </c>
      <c r="BY780" s="214">
        <v>0</v>
      </c>
      <c r="BZ780" s="134">
        <v>0</v>
      </c>
      <c r="CA780" s="138">
        <v>1</v>
      </c>
      <c r="CB780" s="136">
        <v>0.35971223021582732</v>
      </c>
      <c r="CC780" s="136">
        <v>0</v>
      </c>
      <c r="CD780" s="136">
        <v>0</v>
      </c>
      <c r="CE780" s="137">
        <v>0</v>
      </c>
      <c r="CF780" s="137">
        <v>0</v>
      </c>
      <c r="CG780" s="137">
        <v>0</v>
      </c>
      <c r="CH780" s="214">
        <v>235</v>
      </c>
      <c r="CI780" s="139">
        <v>0</v>
      </c>
      <c r="CJ780" s="139">
        <v>0</v>
      </c>
      <c r="CK780" s="139" t="s">
        <v>969</v>
      </c>
      <c r="CL780" s="139" t="s">
        <v>969</v>
      </c>
      <c r="CM780" s="139" t="s">
        <v>969</v>
      </c>
      <c r="CN780" s="139" t="s">
        <v>966</v>
      </c>
      <c r="CO780" s="139">
        <v>20.201499999999999</v>
      </c>
      <c r="CP780" s="139">
        <v>92.796599999999998</v>
      </c>
      <c r="CQ780" s="139">
        <v>196154</v>
      </c>
      <c r="CR780" s="449" t="s">
        <v>40</v>
      </c>
      <c r="CS780" s="449"/>
      <c r="CT780" s="24"/>
      <c r="CU780" s="24"/>
      <c r="CV780" s="24"/>
    </row>
    <row r="781" spans="1:100" ht="18" x14ac:dyDescent="0.25">
      <c r="A781" s="293" t="s">
        <v>2691</v>
      </c>
      <c r="B781" s="132" t="s">
        <v>527</v>
      </c>
      <c r="C781" s="132" t="s">
        <v>454</v>
      </c>
      <c r="D781" s="132" t="s">
        <v>455</v>
      </c>
      <c r="E781" s="132" t="s">
        <v>598</v>
      </c>
      <c r="F781" s="132">
        <v>92</v>
      </c>
      <c r="G781" s="209">
        <v>469</v>
      </c>
      <c r="H781" s="132" t="s">
        <v>286</v>
      </c>
      <c r="I781" s="132" t="s">
        <v>47</v>
      </c>
      <c r="J781" s="133">
        <v>44104</v>
      </c>
      <c r="K781" s="132">
        <v>0</v>
      </c>
      <c r="L781" s="132" t="s">
        <v>282</v>
      </c>
      <c r="M781" s="134">
        <v>0</v>
      </c>
      <c r="N781" s="134">
        <v>0</v>
      </c>
      <c r="O781" s="320">
        <v>12</v>
      </c>
      <c r="P781" s="326">
        <v>7</v>
      </c>
      <c r="Q781" s="326">
        <v>0</v>
      </c>
      <c r="R781" s="315">
        <v>0</v>
      </c>
      <c r="S781" s="315">
        <v>0</v>
      </c>
      <c r="T781" s="315"/>
      <c r="U781" s="315">
        <v>8</v>
      </c>
      <c r="V781" s="315">
        <v>6</v>
      </c>
      <c r="W781" s="315">
        <v>19</v>
      </c>
      <c r="X781" s="315">
        <v>7</v>
      </c>
      <c r="Y781" s="315">
        <v>0</v>
      </c>
      <c r="Z781" s="864" t="s">
        <v>2783</v>
      </c>
      <c r="AA781" s="336">
        <v>0</v>
      </c>
      <c r="AB781" s="336">
        <v>0</v>
      </c>
      <c r="AC781" s="337">
        <v>0</v>
      </c>
      <c r="AD781" s="337"/>
      <c r="AE781" s="336"/>
      <c r="AF781" s="336" t="s">
        <v>283</v>
      </c>
      <c r="AG781" s="339" t="s">
        <v>1358</v>
      </c>
      <c r="AH781" s="339">
        <v>0</v>
      </c>
      <c r="AI781" s="336">
        <v>0</v>
      </c>
      <c r="AJ781" s="336"/>
      <c r="AK781" s="848">
        <v>1</v>
      </c>
      <c r="AL781" s="836" t="s">
        <v>284</v>
      </c>
      <c r="AM781" s="836">
        <v>92</v>
      </c>
      <c r="AN781" s="837">
        <v>0</v>
      </c>
      <c r="AO781" s="837">
        <v>1</v>
      </c>
      <c r="AP781" s="839"/>
      <c r="AQ781" s="839"/>
      <c r="AR781" s="839"/>
      <c r="AS781" s="839"/>
      <c r="AT781" s="839"/>
      <c r="AU781" s="839"/>
      <c r="AV781" s="849"/>
      <c r="AW781" s="134">
        <v>0.75</v>
      </c>
      <c r="AX781" s="136">
        <v>0.36842105263157893</v>
      </c>
      <c r="AY781" s="137" t="s">
        <v>2577</v>
      </c>
      <c r="AZ781" s="136">
        <v>1</v>
      </c>
      <c r="BA781" s="136">
        <v>1</v>
      </c>
      <c r="BB781" s="136">
        <v>1</v>
      </c>
      <c r="BC781" s="214">
        <v>469</v>
      </c>
      <c r="BD781" s="136">
        <v>0</v>
      </c>
      <c r="BE781" s="214">
        <v>0</v>
      </c>
      <c r="BF781" s="136">
        <v>1</v>
      </c>
      <c r="BG781" s="214">
        <v>469</v>
      </c>
      <c r="BH781" s="214">
        <v>0.93799999999999994</v>
      </c>
      <c r="BI781" s="134">
        <v>0</v>
      </c>
      <c r="BJ781" s="214">
        <v>0</v>
      </c>
      <c r="BK781" s="137">
        <v>6.2000000000000055E-2</v>
      </c>
      <c r="BL781" s="137">
        <v>1</v>
      </c>
      <c r="BM781" s="137">
        <v>0</v>
      </c>
      <c r="BN781" s="134">
        <v>0</v>
      </c>
      <c r="BO781" s="351">
        <v>0</v>
      </c>
      <c r="BP781" s="134">
        <v>0.99786780383795304</v>
      </c>
      <c r="BQ781" s="214">
        <v>78</v>
      </c>
      <c r="BR781" s="137">
        <v>78</v>
      </c>
      <c r="BS781" s="138">
        <v>0</v>
      </c>
      <c r="BT781" s="351" t="s">
        <v>103</v>
      </c>
      <c r="BU781" s="214">
        <v>469</v>
      </c>
      <c r="BV781" s="214">
        <v>0</v>
      </c>
      <c r="BW781" s="214">
        <v>1</v>
      </c>
      <c r="BX781" s="214">
        <v>0</v>
      </c>
      <c r="BY781" s="214">
        <v>0</v>
      </c>
      <c r="BZ781" s="134">
        <v>0</v>
      </c>
      <c r="CA781" s="138">
        <v>1</v>
      </c>
      <c r="CB781" s="136">
        <v>1</v>
      </c>
      <c r="CC781" s="136">
        <v>0</v>
      </c>
      <c r="CD781" s="136">
        <v>0</v>
      </c>
      <c r="CE781" s="137">
        <v>0</v>
      </c>
      <c r="CF781" s="137">
        <v>0</v>
      </c>
      <c r="CG781" s="137">
        <v>0</v>
      </c>
      <c r="CH781" s="214">
        <v>92</v>
      </c>
      <c r="CI781" s="139">
        <v>0</v>
      </c>
      <c r="CJ781" s="139">
        <v>0</v>
      </c>
      <c r="CK781" s="139" t="s">
        <v>969</v>
      </c>
      <c r="CL781" s="139" t="s">
        <v>969</v>
      </c>
      <c r="CM781" s="139" t="s">
        <v>969</v>
      </c>
      <c r="CN781" s="139" t="s">
        <v>966</v>
      </c>
      <c r="CO781" s="139">
        <v>20.191719055175799</v>
      </c>
      <c r="CP781" s="139">
        <v>92.808166503906307</v>
      </c>
      <c r="CQ781" s="139" t="s">
        <v>1658</v>
      </c>
      <c r="CR781" s="449" t="s">
        <v>40</v>
      </c>
      <c r="CS781" s="449"/>
      <c r="CT781" s="24"/>
      <c r="CU781" s="24"/>
      <c r="CV781" s="24"/>
    </row>
    <row r="782" spans="1:100" ht="18" x14ac:dyDescent="0.25">
      <c r="A782" s="293" t="s">
        <v>2691</v>
      </c>
      <c r="B782" s="132" t="s">
        <v>527</v>
      </c>
      <c r="C782" s="132" t="s">
        <v>454</v>
      </c>
      <c r="D782" s="132" t="s">
        <v>455</v>
      </c>
      <c r="E782" s="132" t="s">
        <v>578</v>
      </c>
      <c r="F782" s="132">
        <v>72</v>
      </c>
      <c r="G782" s="209">
        <v>447</v>
      </c>
      <c r="H782" s="132" t="s">
        <v>286</v>
      </c>
      <c r="I782" s="132" t="s">
        <v>47</v>
      </c>
      <c r="J782" s="133">
        <v>44104</v>
      </c>
      <c r="K782" s="132">
        <v>0</v>
      </c>
      <c r="L782" s="132" t="s">
        <v>282</v>
      </c>
      <c r="M782" s="134">
        <v>0</v>
      </c>
      <c r="N782" s="134">
        <v>0</v>
      </c>
      <c r="O782" s="320">
        <v>0</v>
      </c>
      <c r="P782" s="326">
        <v>0</v>
      </c>
      <c r="Q782" s="326">
        <v>0</v>
      </c>
      <c r="R782" s="315">
        <v>1</v>
      </c>
      <c r="S782" s="315">
        <v>0</v>
      </c>
      <c r="T782" s="315"/>
      <c r="U782" s="315"/>
      <c r="V782" s="315"/>
      <c r="W782" s="315"/>
      <c r="X782" s="315"/>
      <c r="Y782" s="315">
        <v>0</v>
      </c>
      <c r="Z782" s="864" t="s">
        <v>2783</v>
      </c>
      <c r="AA782" s="336">
        <v>72</v>
      </c>
      <c r="AB782" s="336">
        <v>0</v>
      </c>
      <c r="AC782" s="337">
        <v>0</v>
      </c>
      <c r="AD782" s="337"/>
      <c r="AE782" s="336"/>
      <c r="AF782" s="336" t="s">
        <v>283</v>
      </c>
      <c r="AG782" s="339" t="s">
        <v>1358</v>
      </c>
      <c r="AH782" s="339">
        <v>0</v>
      </c>
      <c r="AI782" s="336">
        <v>0</v>
      </c>
      <c r="AJ782" s="336"/>
      <c r="AK782" s="848">
        <v>1</v>
      </c>
      <c r="AL782" s="836" t="s">
        <v>284</v>
      </c>
      <c r="AM782" s="836">
        <v>72</v>
      </c>
      <c r="AN782" s="837">
        <v>0</v>
      </c>
      <c r="AO782" s="837">
        <v>1</v>
      </c>
      <c r="AP782" s="839"/>
      <c r="AQ782" s="839"/>
      <c r="AR782" s="839"/>
      <c r="AS782" s="839"/>
      <c r="AT782" s="839"/>
      <c r="AU782" s="839"/>
      <c r="AV782" s="849"/>
      <c r="AW782" s="134" t="s">
        <v>3208</v>
      </c>
      <c r="AX782" s="136" t="s">
        <v>3208</v>
      </c>
      <c r="AY782" s="137" t="s">
        <v>2576</v>
      </c>
      <c r="AZ782" s="136">
        <v>0</v>
      </c>
      <c r="BA782" s="136">
        <v>0</v>
      </c>
      <c r="BB782" s="136">
        <v>0</v>
      </c>
      <c r="BC782" s="214">
        <v>0</v>
      </c>
      <c r="BD782" s="136">
        <v>0.5592841163310962</v>
      </c>
      <c r="BE782" s="214">
        <v>250</v>
      </c>
      <c r="BF782" s="136">
        <v>0.5592841163310962</v>
      </c>
      <c r="BG782" s="214">
        <v>250</v>
      </c>
      <c r="BH782" s="214">
        <v>0.5</v>
      </c>
      <c r="BI782" s="134">
        <v>0.4407158836689038</v>
      </c>
      <c r="BJ782" s="214">
        <v>197</v>
      </c>
      <c r="BK782" s="137">
        <v>0.5</v>
      </c>
      <c r="BL782" s="137">
        <v>1</v>
      </c>
      <c r="BM782" s="137">
        <v>72</v>
      </c>
      <c r="BN782" s="134">
        <v>0.96644295302013428</v>
      </c>
      <c r="BO782" s="351">
        <v>432</v>
      </c>
      <c r="BP782" s="134">
        <v>4.0268456375838924E-2</v>
      </c>
      <c r="BQ782" s="214">
        <v>3</v>
      </c>
      <c r="BR782" s="137">
        <v>75</v>
      </c>
      <c r="BS782" s="138">
        <v>0</v>
      </c>
      <c r="BT782" s="351" t="s">
        <v>103</v>
      </c>
      <c r="BU782" s="214">
        <v>447</v>
      </c>
      <c r="BV782" s="214">
        <v>0</v>
      </c>
      <c r="BW782" s="214">
        <v>1</v>
      </c>
      <c r="BX782" s="214">
        <v>0</v>
      </c>
      <c r="BY782" s="214">
        <v>0</v>
      </c>
      <c r="BZ782" s="134">
        <v>0</v>
      </c>
      <c r="CA782" s="138">
        <v>1</v>
      </c>
      <c r="CB782" s="136">
        <v>1</v>
      </c>
      <c r="CC782" s="136">
        <v>0</v>
      </c>
      <c r="CD782" s="136">
        <v>0</v>
      </c>
      <c r="CE782" s="137">
        <v>0</v>
      </c>
      <c r="CF782" s="137">
        <v>0</v>
      </c>
      <c r="CG782" s="137">
        <v>0</v>
      </c>
      <c r="CH782" s="214">
        <v>72</v>
      </c>
      <c r="CI782" s="139">
        <v>0</v>
      </c>
      <c r="CJ782" s="139">
        <v>0</v>
      </c>
      <c r="CK782" s="139" t="s">
        <v>969</v>
      </c>
      <c r="CL782" s="139" t="s">
        <v>969</v>
      </c>
      <c r="CM782" s="139" t="s">
        <v>992</v>
      </c>
      <c r="CN782" s="139" t="s">
        <v>1017</v>
      </c>
      <c r="CO782" s="139">
        <v>20.148584</v>
      </c>
      <c r="CP782" s="139">
        <v>92.880319999999998</v>
      </c>
      <c r="CQ782" s="139" t="s">
        <v>1633</v>
      </c>
      <c r="CR782" s="449" t="s">
        <v>40</v>
      </c>
      <c r="CS782" s="449"/>
      <c r="CT782" s="24"/>
      <c r="CU782" s="24"/>
      <c r="CV782" s="24"/>
    </row>
    <row r="783" spans="1:100" ht="18" x14ac:dyDescent="0.25">
      <c r="A783" s="293" t="s">
        <v>2691</v>
      </c>
      <c r="B783" s="132" t="s">
        <v>527</v>
      </c>
      <c r="C783" s="132" t="s">
        <v>454</v>
      </c>
      <c r="D783" s="132" t="s">
        <v>455</v>
      </c>
      <c r="E783" s="132" t="s">
        <v>2510</v>
      </c>
      <c r="F783" s="132">
        <v>152</v>
      </c>
      <c r="G783" s="214">
        <v>614</v>
      </c>
      <c r="H783" s="132" t="s">
        <v>286</v>
      </c>
      <c r="I783" s="132" t="s">
        <v>47</v>
      </c>
      <c r="J783" s="133">
        <v>44104</v>
      </c>
      <c r="K783" s="132">
        <v>0</v>
      </c>
      <c r="L783" s="132" t="s">
        <v>282</v>
      </c>
      <c r="M783" s="134">
        <v>0</v>
      </c>
      <c r="N783" s="134">
        <v>0</v>
      </c>
      <c r="O783" s="320">
        <v>0</v>
      </c>
      <c r="P783" s="326">
        <v>12</v>
      </c>
      <c r="Q783" s="326">
        <v>0</v>
      </c>
      <c r="R783" s="315">
        <v>0</v>
      </c>
      <c r="S783" s="315">
        <v>0</v>
      </c>
      <c r="T783" s="315"/>
      <c r="U783" s="315">
        <v>4</v>
      </c>
      <c r="V783" s="315">
        <v>4</v>
      </c>
      <c r="W783" s="315">
        <v>2</v>
      </c>
      <c r="X783" s="315">
        <v>2</v>
      </c>
      <c r="Y783" s="315">
        <v>0</v>
      </c>
      <c r="Z783" s="864" t="s">
        <v>2783</v>
      </c>
      <c r="AA783" s="336">
        <v>152</v>
      </c>
      <c r="AB783" s="336">
        <v>0</v>
      </c>
      <c r="AC783" s="337">
        <v>0</v>
      </c>
      <c r="AD783" s="337"/>
      <c r="AE783" s="336"/>
      <c r="AF783" s="336" t="s">
        <v>283</v>
      </c>
      <c r="AG783" s="339" t="s">
        <v>1358</v>
      </c>
      <c r="AH783" s="339">
        <v>0</v>
      </c>
      <c r="AI783" s="336">
        <v>0</v>
      </c>
      <c r="AJ783" s="336"/>
      <c r="AK783" s="848">
        <v>1</v>
      </c>
      <c r="AL783" s="836" t="s">
        <v>284</v>
      </c>
      <c r="AM783" s="836">
        <v>152</v>
      </c>
      <c r="AN783" s="837">
        <v>0</v>
      </c>
      <c r="AO783" s="837">
        <v>1</v>
      </c>
      <c r="AP783" s="839"/>
      <c r="AQ783" s="839"/>
      <c r="AR783" s="839"/>
      <c r="AS783" s="839"/>
      <c r="AT783" s="839"/>
      <c r="AU783" s="839"/>
      <c r="AV783" s="849"/>
      <c r="AW783" s="134">
        <v>1</v>
      </c>
      <c r="AX783" s="136">
        <v>1</v>
      </c>
      <c r="AY783" s="137" t="s">
        <v>2577</v>
      </c>
      <c r="AZ783" s="136">
        <v>1</v>
      </c>
      <c r="BA783" s="136">
        <v>1</v>
      </c>
      <c r="BB783" s="136">
        <v>1</v>
      </c>
      <c r="BC783" s="214">
        <v>614</v>
      </c>
      <c r="BD783" s="136">
        <v>0</v>
      </c>
      <c r="BE783" s="214">
        <v>0</v>
      </c>
      <c r="BF783" s="136">
        <v>1</v>
      </c>
      <c r="BG783" s="214">
        <v>614</v>
      </c>
      <c r="BH783" s="214">
        <v>1.228</v>
      </c>
      <c r="BI783" s="134">
        <v>0</v>
      </c>
      <c r="BJ783" s="214">
        <v>0</v>
      </c>
      <c r="BK783" s="137">
        <v>0</v>
      </c>
      <c r="BL783" s="137">
        <v>1</v>
      </c>
      <c r="BM783" s="137">
        <v>152</v>
      </c>
      <c r="BN783" s="134">
        <v>1</v>
      </c>
      <c r="BO783" s="351">
        <v>614</v>
      </c>
      <c r="BP783" s="134">
        <v>0</v>
      </c>
      <c r="BQ783" s="214">
        <v>0</v>
      </c>
      <c r="BR783" s="137">
        <v>102</v>
      </c>
      <c r="BS783" s="138">
        <v>0</v>
      </c>
      <c r="BT783" s="351" t="s">
        <v>103</v>
      </c>
      <c r="BU783" s="214">
        <v>500</v>
      </c>
      <c r="BV783" s="214">
        <v>0</v>
      </c>
      <c r="BW783" s="214">
        <v>1</v>
      </c>
      <c r="BX783" s="214">
        <v>0</v>
      </c>
      <c r="BY783" s="214">
        <v>0</v>
      </c>
      <c r="BZ783" s="134">
        <v>0</v>
      </c>
      <c r="CA783" s="138">
        <v>1</v>
      </c>
      <c r="CB783" s="136">
        <v>0.81433224755700329</v>
      </c>
      <c r="CC783" s="136">
        <v>0</v>
      </c>
      <c r="CD783" s="136">
        <v>0</v>
      </c>
      <c r="CE783" s="137">
        <v>0</v>
      </c>
      <c r="CF783" s="137">
        <v>0</v>
      </c>
      <c r="CG783" s="137">
        <v>0</v>
      </c>
      <c r="CH783" s="214">
        <v>152</v>
      </c>
      <c r="CI783" s="139">
        <v>0</v>
      </c>
      <c r="CJ783" s="139">
        <v>0</v>
      </c>
      <c r="CK783" s="139" t="s">
        <v>969</v>
      </c>
      <c r="CL783" s="139" t="s">
        <v>969</v>
      </c>
      <c r="CM783" s="139" t="s">
        <v>992</v>
      </c>
      <c r="CN783" s="139" t="s">
        <v>454</v>
      </c>
      <c r="CO783" s="139">
        <v>20.155805999999998</v>
      </c>
      <c r="CP783" s="139">
        <v>92.879138999999995</v>
      </c>
      <c r="CQ783" s="139" t="s">
        <v>1640</v>
      </c>
      <c r="CR783" s="449" t="s">
        <v>40</v>
      </c>
      <c r="CS783" s="449"/>
      <c r="CT783" s="24"/>
      <c r="CU783" s="24"/>
      <c r="CV783" s="24"/>
    </row>
    <row r="784" spans="1:100" x14ac:dyDescent="0.25">
      <c r="A784" s="293" t="s">
        <v>2691</v>
      </c>
      <c r="B784" s="132" t="s">
        <v>447</v>
      </c>
      <c r="C784" s="132" t="s">
        <v>454</v>
      </c>
      <c r="D784" s="132" t="s">
        <v>455</v>
      </c>
      <c r="E784" s="132" t="s">
        <v>2762</v>
      </c>
      <c r="F784" s="132">
        <v>186</v>
      </c>
      <c r="G784" s="214">
        <v>289</v>
      </c>
      <c r="H784" s="132"/>
      <c r="I784" s="132" t="s">
        <v>449</v>
      </c>
      <c r="J784" s="133">
        <v>43356</v>
      </c>
      <c r="K784" s="132">
        <v>0</v>
      </c>
      <c r="L784" s="132" t="s">
        <v>282</v>
      </c>
      <c r="M784" s="134">
        <v>0</v>
      </c>
      <c r="N784" s="134">
        <v>0</v>
      </c>
      <c r="O784" s="320">
        <v>6</v>
      </c>
      <c r="P784" s="326">
        <v>35</v>
      </c>
      <c r="Q784" s="326">
        <v>0</v>
      </c>
      <c r="R784" s="315">
        <v>0</v>
      </c>
      <c r="S784" s="315">
        <v>0</v>
      </c>
      <c r="T784" s="315"/>
      <c r="U784" s="315">
        <v>0</v>
      </c>
      <c r="V784" s="315">
        <v>0</v>
      </c>
      <c r="W784" s="315">
        <v>0</v>
      </c>
      <c r="X784" s="315">
        <v>0</v>
      </c>
      <c r="Y784" s="315">
        <v>0</v>
      </c>
      <c r="Z784" s="315"/>
      <c r="AA784" s="336">
        <v>0</v>
      </c>
      <c r="AB784" s="336">
        <v>0</v>
      </c>
      <c r="AC784" s="337">
        <v>0</v>
      </c>
      <c r="AD784" s="337"/>
      <c r="AE784" s="336">
        <v>0</v>
      </c>
      <c r="AF784" s="336" t="s">
        <v>286</v>
      </c>
      <c r="AG784" s="339" t="s">
        <v>286</v>
      </c>
      <c r="AH784" s="339">
        <v>0</v>
      </c>
      <c r="AI784" s="336">
        <v>0</v>
      </c>
      <c r="AJ784" s="336"/>
      <c r="AK784" s="848">
        <v>0</v>
      </c>
      <c r="AL784" s="836" t="s">
        <v>284</v>
      </c>
      <c r="AM784" s="836">
        <v>0</v>
      </c>
      <c r="AN784" s="837">
        <v>0</v>
      </c>
      <c r="AO784" s="837">
        <v>1</v>
      </c>
      <c r="AP784" s="839">
        <v>0</v>
      </c>
      <c r="AQ784" s="839">
        <v>0</v>
      </c>
      <c r="AR784" s="839"/>
      <c r="AS784" s="839"/>
      <c r="AT784" s="839"/>
      <c r="AU784" s="839"/>
      <c r="AV784" s="849"/>
      <c r="AW784" s="134" t="s">
        <v>3208</v>
      </c>
      <c r="AX784" s="136" t="s">
        <v>3208</v>
      </c>
      <c r="AY784" s="137" t="s">
        <v>2576</v>
      </c>
      <c r="AZ784" s="136">
        <v>1</v>
      </c>
      <c r="BA784" s="136">
        <v>1</v>
      </c>
      <c r="BB784" s="136">
        <v>1</v>
      </c>
      <c r="BC784" s="214">
        <v>289</v>
      </c>
      <c r="BD784" s="136">
        <v>0</v>
      </c>
      <c r="BE784" s="214">
        <v>0</v>
      </c>
      <c r="BF784" s="136">
        <v>1</v>
      </c>
      <c r="BG784" s="214">
        <v>289</v>
      </c>
      <c r="BH784" s="214">
        <v>0.57799999999999996</v>
      </c>
      <c r="BI784" s="134">
        <v>0</v>
      </c>
      <c r="BJ784" s="214">
        <v>0</v>
      </c>
      <c r="BK784" s="137">
        <v>0.42200000000000004</v>
      </c>
      <c r="BL784" s="137">
        <v>1</v>
      </c>
      <c r="BM784" s="137">
        <v>0</v>
      </c>
      <c r="BN784" s="134">
        <v>0</v>
      </c>
      <c r="BO784" s="351">
        <v>0</v>
      </c>
      <c r="BP784" s="134">
        <v>0.99653979238754331</v>
      </c>
      <c r="BQ784" s="214">
        <v>48</v>
      </c>
      <c r="BR784" s="137">
        <v>48</v>
      </c>
      <c r="BS784" s="138">
        <v>0</v>
      </c>
      <c r="BT784" s="351" t="s">
        <v>103</v>
      </c>
      <c r="BU784" s="214">
        <v>289</v>
      </c>
      <c r="BV784" s="214">
        <v>0</v>
      </c>
      <c r="BW784" s="214">
        <v>1</v>
      </c>
      <c r="BX784" s="214">
        <v>0</v>
      </c>
      <c r="BY784" s="214">
        <v>0</v>
      </c>
      <c r="BZ784" s="134">
        <v>0</v>
      </c>
      <c r="CA784" s="138">
        <v>1</v>
      </c>
      <c r="CB784" s="136">
        <v>1</v>
      </c>
      <c r="CC784" s="136">
        <v>0</v>
      </c>
      <c r="CD784" s="136">
        <v>0</v>
      </c>
      <c r="CE784" s="137">
        <v>0</v>
      </c>
      <c r="CF784" s="137">
        <v>0</v>
      </c>
      <c r="CG784" s="137">
        <v>0</v>
      </c>
      <c r="CH784" s="214">
        <v>0</v>
      </c>
      <c r="CI784" s="139">
        <v>0</v>
      </c>
      <c r="CJ784" s="139">
        <v>0</v>
      </c>
      <c r="CK784" s="139" t="s">
        <v>969</v>
      </c>
      <c r="CL784" s="139" t="s">
        <v>969</v>
      </c>
      <c r="CM784" s="139" t="s">
        <v>969</v>
      </c>
      <c r="CN784" s="139" t="s">
        <v>2518</v>
      </c>
      <c r="CO784" s="139">
        <v>20.2369709014893</v>
      </c>
      <c r="CP784" s="139">
        <v>92.877876281738295</v>
      </c>
      <c r="CQ784" s="139">
        <v>196179</v>
      </c>
      <c r="CR784" s="449" t="s">
        <v>40</v>
      </c>
      <c r="CS784" s="449"/>
      <c r="CT784" s="24"/>
      <c r="CU784" s="24"/>
      <c r="CV784" s="24"/>
    </row>
    <row r="785" spans="1:100" ht="18" x14ac:dyDescent="0.25">
      <c r="A785" s="293" t="s">
        <v>2691</v>
      </c>
      <c r="B785" s="132" t="s">
        <v>426</v>
      </c>
      <c r="C785" s="132" t="s">
        <v>454</v>
      </c>
      <c r="D785" s="132" t="s">
        <v>455</v>
      </c>
      <c r="E785" s="132" t="s">
        <v>584</v>
      </c>
      <c r="F785" s="132">
        <v>1897</v>
      </c>
      <c r="G785" s="214">
        <v>9775</v>
      </c>
      <c r="H785" s="132"/>
      <c r="I785" s="132" t="s">
        <v>47</v>
      </c>
      <c r="J785" s="133">
        <v>44104</v>
      </c>
      <c r="K785" s="132">
        <v>0</v>
      </c>
      <c r="L785" s="132" t="s">
        <v>282</v>
      </c>
      <c r="M785" s="134">
        <v>0</v>
      </c>
      <c r="N785" s="134">
        <v>0</v>
      </c>
      <c r="O785" s="320">
        <v>0</v>
      </c>
      <c r="P785" s="326">
        <v>48</v>
      </c>
      <c r="Q785" s="326">
        <v>0</v>
      </c>
      <c r="R785" s="315">
        <v>0</v>
      </c>
      <c r="S785" s="315">
        <v>48</v>
      </c>
      <c r="T785" s="315"/>
      <c r="U785" s="315">
        <v>45</v>
      </c>
      <c r="V785" s="315">
        <v>37</v>
      </c>
      <c r="W785" s="315">
        <v>89</v>
      </c>
      <c r="X785" s="315">
        <v>48</v>
      </c>
      <c r="Y785" s="315">
        <v>0</v>
      </c>
      <c r="Z785" s="864" t="s">
        <v>2783</v>
      </c>
      <c r="AA785" s="336">
        <v>209</v>
      </c>
      <c r="AB785" s="336">
        <v>38</v>
      </c>
      <c r="AC785" s="337">
        <v>162</v>
      </c>
      <c r="AD785" s="337"/>
      <c r="AE785" s="336">
        <v>240</v>
      </c>
      <c r="AF785" s="336" t="s">
        <v>283</v>
      </c>
      <c r="AG785" s="339" t="s">
        <v>283</v>
      </c>
      <c r="AH785" s="339">
        <v>0</v>
      </c>
      <c r="AI785" s="336">
        <v>0</v>
      </c>
      <c r="AJ785" s="336"/>
      <c r="AK785" s="848">
        <v>1</v>
      </c>
      <c r="AL785" s="842" t="s">
        <v>284</v>
      </c>
      <c r="AM785" s="836">
        <v>0</v>
      </c>
      <c r="AN785" s="837">
        <v>0</v>
      </c>
      <c r="AO785" s="837">
        <v>8</v>
      </c>
      <c r="AP785" s="839">
        <v>1887</v>
      </c>
      <c r="AQ785" s="843">
        <v>1887</v>
      </c>
      <c r="AR785" s="839" t="s">
        <v>282</v>
      </c>
      <c r="AS785" s="839"/>
      <c r="AT785" s="839"/>
      <c r="AU785" s="839"/>
      <c r="AV785" s="849"/>
      <c r="AW785" s="134">
        <v>0.82222222222222219</v>
      </c>
      <c r="AX785" s="136">
        <v>0.5393258426966292</v>
      </c>
      <c r="AY785" s="137" t="s">
        <v>2577</v>
      </c>
      <c r="AZ785" s="136">
        <v>1</v>
      </c>
      <c r="BA785" s="136">
        <v>1</v>
      </c>
      <c r="BB785" s="136">
        <v>1</v>
      </c>
      <c r="BC785" s="214">
        <v>9775</v>
      </c>
      <c r="BD785" s="136">
        <v>0</v>
      </c>
      <c r="BE785" s="214">
        <v>0</v>
      </c>
      <c r="BF785" s="136">
        <v>1</v>
      </c>
      <c r="BG785" s="214">
        <v>9775</v>
      </c>
      <c r="BH785" s="214">
        <v>19.55</v>
      </c>
      <c r="BI785" s="134">
        <v>0</v>
      </c>
      <c r="BJ785" s="214">
        <v>0</v>
      </c>
      <c r="BK785" s="137">
        <v>0.44999999999999929</v>
      </c>
      <c r="BL785" s="137">
        <v>20</v>
      </c>
      <c r="BM785" s="137">
        <v>247</v>
      </c>
      <c r="BN785" s="134">
        <v>0.42762148337595907</v>
      </c>
      <c r="BO785" s="351">
        <v>4180</v>
      </c>
      <c r="BP785" s="134">
        <v>0.49514066496163683</v>
      </c>
      <c r="BQ785" s="214">
        <v>242</v>
      </c>
      <c r="BR785" s="137">
        <v>489</v>
      </c>
      <c r="BS785" s="138">
        <v>0.15384615384615385</v>
      </c>
      <c r="BT785" s="351">
        <v>3240</v>
      </c>
      <c r="BU785" s="214">
        <v>4000</v>
      </c>
      <c r="BV785" s="214">
        <v>0</v>
      </c>
      <c r="BW785" s="214">
        <v>0</v>
      </c>
      <c r="BX785" s="214">
        <v>0</v>
      </c>
      <c r="BY785" s="214">
        <v>0</v>
      </c>
      <c r="BZ785" s="134">
        <v>0</v>
      </c>
      <c r="CA785" s="138">
        <v>1</v>
      </c>
      <c r="CB785" s="136">
        <v>0.40920716112531969</v>
      </c>
      <c r="CC785" s="136">
        <v>0.99472851871375856</v>
      </c>
      <c r="CD785" s="136">
        <v>0.99472851871375856</v>
      </c>
      <c r="CE785" s="137">
        <v>9435</v>
      </c>
      <c r="CF785" s="137">
        <v>9435</v>
      </c>
      <c r="CG785" s="137">
        <v>9435</v>
      </c>
      <c r="CH785" s="214">
        <v>1897</v>
      </c>
      <c r="CI785" s="139" t="s">
        <v>48</v>
      </c>
      <c r="CJ785" s="139">
        <v>0</v>
      </c>
      <c r="CK785" s="139" t="s">
        <v>50</v>
      </c>
      <c r="CL785" s="139" t="s">
        <v>50</v>
      </c>
      <c r="CM785" s="139" t="s">
        <v>968</v>
      </c>
      <c r="CN785" s="139" t="s">
        <v>966</v>
      </c>
      <c r="CO785" s="139">
        <v>20.1585</v>
      </c>
      <c r="CP785" s="139">
        <v>92.839416999999997</v>
      </c>
      <c r="CQ785" s="139" t="s">
        <v>1643</v>
      </c>
      <c r="CR785" s="449" t="s">
        <v>40</v>
      </c>
      <c r="CS785" s="449"/>
      <c r="CT785" s="24"/>
      <c r="CU785" s="24"/>
      <c r="CV785" s="24"/>
    </row>
    <row r="786" spans="1:100" ht="18" x14ac:dyDescent="0.25">
      <c r="A786" s="293" t="s">
        <v>2691</v>
      </c>
      <c r="B786" s="132" t="s">
        <v>426</v>
      </c>
      <c r="C786" s="132" t="s">
        <v>454</v>
      </c>
      <c r="D786" s="132" t="s">
        <v>455</v>
      </c>
      <c r="E786" s="132" t="s">
        <v>857</v>
      </c>
      <c r="F786" s="132">
        <v>155</v>
      </c>
      <c r="G786" s="214">
        <v>745</v>
      </c>
      <c r="H786" s="132"/>
      <c r="I786" s="132" t="s">
        <v>47</v>
      </c>
      <c r="J786" s="133">
        <v>44104</v>
      </c>
      <c r="K786" s="132">
        <v>0</v>
      </c>
      <c r="L786" s="132" t="s">
        <v>282</v>
      </c>
      <c r="M786" s="134">
        <v>0</v>
      </c>
      <c r="N786" s="134">
        <v>0</v>
      </c>
      <c r="O786" s="320">
        <v>0</v>
      </c>
      <c r="P786" s="326">
        <v>10</v>
      </c>
      <c r="Q786" s="326">
        <v>0</v>
      </c>
      <c r="R786" s="315">
        <v>0</v>
      </c>
      <c r="S786" s="315">
        <v>10</v>
      </c>
      <c r="T786" s="315"/>
      <c r="U786" s="315">
        <v>9</v>
      </c>
      <c r="V786" s="315">
        <v>6</v>
      </c>
      <c r="W786" s="315">
        <v>23</v>
      </c>
      <c r="X786" s="315">
        <v>8</v>
      </c>
      <c r="Y786" s="315">
        <v>0</v>
      </c>
      <c r="Z786" s="864" t="s">
        <v>2783</v>
      </c>
      <c r="AA786" s="336">
        <v>0</v>
      </c>
      <c r="AB786" s="336">
        <v>0</v>
      </c>
      <c r="AC786" s="337"/>
      <c r="AD786" s="337"/>
      <c r="AE786" s="336">
        <v>0</v>
      </c>
      <c r="AF786" s="336" t="s">
        <v>332</v>
      </c>
      <c r="AG786" s="339" t="s">
        <v>332</v>
      </c>
      <c r="AH786" s="339">
        <v>0</v>
      </c>
      <c r="AI786" s="336">
        <v>0</v>
      </c>
      <c r="AJ786" s="336"/>
      <c r="AK786" s="848">
        <v>1</v>
      </c>
      <c r="AL786" s="842" t="s">
        <v>284</v>
      </c>
      <c r="AM786" s="836">
        <v>0</v>
      </c>
      <c r="AN786" s="837">
        <v>0</v>
      </c>
      <c r="AO786" s="837">
        <v>1</v>
      </c>
      <c r="AP786" s="839">
        <v>0</v>
      </c>
      <c r="AQ786" s="839">
        <v>0</v>
      </c>
      <c r="AR786" s="839" t="s">
        <v>282</v>
      </c>
      <c r="AS786" s="839"/>
      <c r="AT786" s="839"/>
      <c r="AU786" s="839"/>
      <c r="AV786" s="849"/>
      <c r="AW786" s="134">
        <v>0.66666666666666663</v>
      </c>
      <c r="AX786" s="136">
        <v>0.34782608695652173</v>
      </c>
      <c r="AY786" s="137" t="s">
        <v>2577</v>
      </c>
      <c r="AZ786" s="136">
        <v>1</v>
      </c>
      <c r="BA786" s="136">
        <v>1</v>
      </c>
      <c r="BB786" s="136">
        <v>1</v>
      </c>
      <c r="BC786" s="214">
        <v>745</v>
      </c>
      <c r="BD786" s="136">
        <v>0</v>
      </c>
      <c r="BE786" s="214">
        <v>0</v>
      </c>
      <c r="BF786" s="136">
        <v>1</v>
      </c>
      <c r="BG786" s="214">
        <v>745</v>
      </c>
      <c r="BH786" s="214">
        <v>1.49</v>
      </c>
      <c r="BI786" s="134">
        <v>0</v>
      </c>
      <c r="BJ786" s="214">
        <v>0</v>
      </c>
      <c r="BK786" s="137">
        <v>0</v>
      </c>
      <c r="BL786" s="137">
        <v>1</v>
      </c>
      <c r="BM786" s="137">
        <v>0</v>
      </c>
      <c r="BN786" s="134">
        <v>0</v>
      </c>
      <c r="BO786" s="351">
        <v>0</v>
      </c>
      <c r="BP786" s="134">
        <v>0.99865771812080528</v>
      </c>
      <c r="BQ786" s="214">
        <v>124</v>
      </c>
      <c r="BR786" s="137">
        <v>124</v>
      </c>
      <c r="BS786" s="138">
        <v>0</v>
      </c>
      <c r="BT786" s="351" t="s">
        <v>103</v>
      </c>
      <c r="BU786" s="214">
        <v>500</v>
      </c>
      <c r="BV786" s="214">
        <v>0</v>
      </c>
      <c r="BW786" s="214">
        <v>1</v>
      </c>
      <c r="BX786" s="214">
        <v>0</v>
      </c>
      <c r="BY786" s="214">
        <v>0</v>
      </c>
      <c r="BZ786" s="134">
        <v>0</v>
      </c>
      <c r="CA786" s="138">
        <v>1</v>
      </c>
      <c r="CB786" s="136">
        <v>0.67114093959731547</v>
      </c>
      <c r="CC786" s="136">
        <v>0</v>
      </c>
      <c r="CD786" s="136">
        <v>0</v>
      </c>
      <c r="CE786" s="137">
        <v>0</v>
      </c>
      <c r="CF786" s="137">
        <v>0</v>
      </c>
      <c r="CG786" s="137">
        <v>0</v>
      </c>
      <c r="CH786" s="214">
        <v>155</v>
      </c>
      <c r="CI786" s="139">
        <v>0</v>
      </c>
      <c r="CJ786" s="139">
        <v>0</v>
      </c>
      <c r="CK786" s="139" t="s">
        <v>969</v>
      </c>
      <c r="CL786" s="139" t="s">
        <v>969</v>
      </c>
      <c r="CM786" s="139" t="s">
        <v>969</v>
      </c>
      <c r="CN786" s="139" t="s">
        <v>454</v>
      </c>
      <c r="CO786" s="139">
        <v>20.162599563598601</v>
      </c>
      <c r="CP786" s="139">
        <v>92.834457397460895</v>
      </c>
      <c r="CQ786" s="139" t="s">
        <v>2081</v>
      </c>
      <c r="CR786" s="449" t="s">
        <v>40</v>
      </c>
      <c r="CS786" s="449"/>
      <c r="CT786" s="24"/>
      <c r="CU786" s="24"/>
      <c r="CV786" s="24"/>
    </row>
    <row r="787" spans="1:100" x14ac:dyDescent="0.25">
      <c r="A787" s="293" t="s">
        <v>2691</v>
      </c>
      <c r="B787" s="101" t="s">
        <v>453</v>
      </c>
      <c r="C787" s="101" t="s">
        <v>454</v>
      </c>
      <c r="D787" s="101" t="s">
        <v>455</v>
      </c>
      <c r="E787" s="101" t="s">
        <v>462</v>
      </c>
      <c r="F787" s="101">
        <v>155</v>
      </c>
      <c r="G787" s="396">
        <v>581</v>
      </c>
      <c r="H787" s="101">
        <v>139</v>
      </c>
      <c r="I787" s="101" t="s">
        <v>2772</v>
      </c>
      <c r="J787" s="102">
        <v>43464</v>
      </c>
      <c r="K787" s="101">
        <v>0</v>
      </c>
      <c r="L787" s="101" t="s">
        <v>282</v>
      </c>
      <c r="M787" s="103">
        <v>0</v>
      </c>
      <c r="N787" s="103">
        <v>0</v>
      </c>
      <c r="O787" s="320">
        <v>0</v>
      </c>
      <c r="P787" s="320"/>
      <c r="Q787" s="321"/>
      <c r="R787" s="322"/>
      <c r="S787" s="322"/>
      <c r="T787" s="322"/>
      <c r="U787" s="322"/>
      <c r="V787" s="322"/>
      <c r="W787" s="322"/>
      <c r="X787" s="322"/>
      <c r="Y787" s="315">
        <v>7</v>
      </c>
      <c r="Z787" s="318"/>
      <c r="AA787" s="310">
        <v>8</v>
      </c>
      <c r="AB787" s="311">
        <v>9</v>
      </c>
      <c r="AC787" s="337"/>
      <c r="AD787" s="337"/>
      <c r="AE787" s="340">
        <v>12</v>
      </c>
      <c r="AF787" s="66"/>
      <c r="AG787" s="66"/>
      <c r="AH787" s="66"/>
      <c r="AI787" s="66"/>
      <c r="AJ787" s="341"/>
      <c r="AK787" s="845">
        <v>15</v>
      </c>
      <c r="AL787" s="846" t="s">
        <v>284</v>
      </c>
      <c r="AM787" s="844"/>
      <c r="AN787" s="837"/>
      <c r="AO787" s="837"/>
      <c r="AP787" s="843"/>
      <c r="AQ787" s="843"/>
      <c r="AR787" s="843"/>
      <c r="AS787" s="843"/>
      <c r="AT787" s="843"/>
      <c r="AU787" s="843"/>
      <c r="AV787" s="847"/>
      <c r="AW787" s="134" t="s">
        <v>3208</v>
      </c>
      <c r="AX787" s="136" t="s">
        <v>3208</v>
      </c>
      <c r="AY787" s="137" t="s">
        <v>2576</v>
      </c>
      <c r="AZ787" s="136">
        <v>0</v>
      </c>
      <c r="BA787" s="136">
        <v>0</v>
      </c>
      <c r="BB787" s="136">
        <v>0</v>
      </c>
      <c r="BC787" s="214">
        <v>0</v>
      </c>
      <c r="BD787" s="136">
        <v>0</v>
      </c>
      <c r="BE787" s="214">
        <v>0</v>
      </c>
      <c r="BF787" s="136">
        <v>0</v>
      </c>
      <c r="BG787" s="214">
        <v>0</v>
      </c>
      <c r="BH787" s="214">
        <v>0</v>
      </c>
      <c r="BI787" s="134">
        <v>1</v>
      </c>
      <c r="BJ787" s="214">
        <v>581</v>
      </c>
      <c r="BK787" s="137">
        <v>1</v>
      </c>
      <c r="BL787" s="137">
        <v>1</v>
      </c>
      <c r="BM787" s="137">
        <v>17</v>
      </c>
      <c r="BN787" s="134">
        <v>8.2616179001721177E-2</v>
      </c>
      <c r="BO787" s="351">
        <v>48.000000000000007</v>
      </c>
      <c r="BP787" s="134">
        <v>0.82616179001721179</v>
      </c>
      <c r="BQ787" s="214">
        <v>80</v>
      </c>
      <c r="BR787" s="137">
        <v>97</v>
      </c>
      <c r="BS787" s="138">
        <v>0.52941176470588236</v>
      </c>
      <c r="BT787" s="351" t="s">
        <v>103</v>
      </c>
      <c r="BU787" s="209">
        <v>0</v>
      </c>
      <c r="BV787" s="209">
        <v>0</v>
      </c>
      <c r="BW787" s="209">
        <v>0</v>
      </c>
      <c r="BX787" s="209">
        <v>0</v>
      </c>
      <c r="BY787" s="209">
        <v>0</v>
      </c>
      <c r="BZ787" s="134">
        <v>0</v>
      </c>
      <c r="CA787" s="138">
        <v>1</v>
      </c>
      <c r="CB787" s="136">
        <v>0</v>
      </c>
      <c r="CC787" s="136">
        <v>0</v>
      </c>
      <c r="CD787" s="136">
        <v>0</v>
      </c>
      <c r="CE787" s="137">
        <v>0</v>
      </c>
      <c r="CF787" s="137">
        <v>0</v>
      </c>
      <c r="CG787" s="351">
        <v>0</v>
      </c>
      <c r="CH787" s="214">
        <v>2325</v>
      </c>
      <c r="CI787" s="139">
        <v>0</v>
      </c>
      <c r="CJ787" s="139">
        <v>0</v>
      </c>
      <c r="CK787" s="139" t="s">
        <v>975</v>
      </c>
      <c r="CL787" s="139" t="s">
        <v>969</v>
      </c>
      <c r="CM787" s="139" t="s">
        <v>975</v>
      </c>
      <c r="CN787" s="139" t="s">
        <v>966</v>
      </c>
      <c r="CO787" s="139">
        <v>0</v>
      </c>
      <c r="CP787" s="139">
        <v>0</v>
      </c>
      <c r="CQ787" s="139">
        <v>0</v>
      </c>
      <c r="CR787" s="449" t="s">
        <v>40</v>
      </c>
      <c r="CS787" s="139"/>
      <c r="CT787" s="24"/>
      <c r="CU787" s="24"/>
      <c r="CV787" s="24"/>
    </row>
    <row r="788" spans="1:100" x14ac:dyDescent="0.25">
      <c r="A788" s="293" t="s">
        <v>2691</v>
      </c>
      <c r="B788" s="206" t="s">
        <v>460</v>
      </c>
      <c r="C788" s="183" t="s">
        <v>454</v>
      </c>
      <c r="D788" s="183" t="s">
        <v>455</v>
      </c>
      <c r="E788" s="183" t="s">
        <v>583</v>
      </c>
      <c r="F788" s="206">
        <v>251</v>
      </c>
      <c r="G788" s="209">
        <v>1820</v>
      </c>
      <c r="H788" s="206"/>
      <c r="I788" s="206"/>
      <c r="J788" s="207"/>
      <c r="K788" s="206"/>
      <c r="L788" s="206" t="s">
        <v>282</v>
      </c>
      <c r="M788" s="208">
        <v>0</v>
      </c>
      <c r="N788" s="208">
        <v>0</v>
      </c>
      <c r="O788" s="316">
        <v>0</v>
      </c>
      <c r="P788" s="317">
        <v>33</v>
      </c>
      <c r="Q788" s="317">
        <v>0</v>
      </c>
      <c r="R788" s="318">
        <v>0</v>
      </c>
      <c r="S788" s="318">
        <v>0</v>
      </c>
      <c r="T788" s="318"/>
      <c r="U788" s="318"/>
      <c r="V788" s="318"/>
      <c r="W788" s="318"/>
      <c r="X788" s="318"/>
      <c r="Y788" s="318"/>
      <c r="Z788" s="318"/>
      <c r="AA788" s="310">
        <v>0</v>
      </c>
      <c r="AB788" s="310">
        <v>0</v>
      </c>
      <c r="AC788" s="66"/>
      <c r="AD788" s="337"/>
      <c r="AE788" s="310">
        <v>0</v>
      </c>
      <c r="AF788" s="310" t="s">
        <v>286</v>
      </c>
      <c r="AG788" s="311" t="s">
        <v>286</v>
      </c>
      <c r="AH788" s="311"/>
      <c r="AI788" s="310"/>
      <c r="AJ788" s="310"/>
      <c r="AK788" s="841">
        <v>0</v>
      </c>
      <c r="AL788" s="842" t="s">
        <v>284</v>
      </c>
      <c r="AM788" s="842">
        <v>0</v>
      </c>
      <c r="AN788" s="837">
        <v>0</v>
      </c>
      <c r="AO788" s="837">
        <v>1</v>
      </c>
      <c r="AP788" s="843"/>
      <c r="AQ788" s="843"/>
      <c r="AR788" s="843"/>
      <c r="AS788" s="843"/>
      <c r="AT788" s="843"/>
      <c r="AU788" s="843"/>
      <c r="AV788" s="844"/>
      <c r="AW788" s="208" t="s">
        <v>3208</v>
      </c>
      <c r="AX788" s="211" t="s">
        <v>3208</v>
      </c>
      <c r="AY788" s="210" t="s">
        <v>2576</v>
      </c>
      <c r="AZ788" s="211">
        <v>1</v>
      </c>
      <c r="BA788" s="211">
        <v>1</v>
      </c>
      <c r="BB788" s="211">
        <v>1</v>
      </c>
      <c r="BC788" s="209">
        <v>1820</v>
      </c>
      <c r="BD788" s="211">
        <v>0</v>
      </c>
      <c r="BE788" s="209">
        <v>0</v>
      </c>
      <c r="BF788" s="211">
        <v>1</v>
      </c>
      <c r="BG788" s="209">
        <v>1820</v>
      </c>
      <c r="BH788" s="209">
        <v>3.64</v>
      </c>
      <c r="BI788" s="208">
        <v>0</v>
      </c>
      <c r="BJ788" s="209">
        <v>0</v>
      </c>
      <c r="BK788" s="210">
        <v>0.35999999999999988</v>
      </c>
      <c r="BL788" s="210">
        <v>4</v>
      </c>
      <c r="BM788" s="210">
        <v>0</v>
      </c>
      <c r="BN788" s="208">
        <v>0</v>
      </c>
      <c r="BO788" s="352">
        <v>0</v>
      </c>
      <c r="BP788" s="208">
        <v>0.99890109890109902</v>
      </c>
      <c r="BQ788" s="209">
        <v>303</v>
      </c>
      <c r="BR788" s="210">
        <v>303</v>
      </c>
      <c r="BS788" s="212">
        <v>0</v>
      </c>
      <c r="BT788" s="352" t="s">
        <v>103</v>
      </c>
      <c r="BU788" s="209">
        <v>500</v>
      </c>
      <c r="BV788" s="209">
        <v>0</v>
      </c>
      <c r="BW788" s="209">
        <v>0</v>
      </c>
      <c r="BX788" s="209">
        <v>0</v>
      </c>
      <c r="BY788" s="209">
        <v>0</v>
      </c>
      <c r="BZ788" s="208">
        <v>0</v>
      </c>
      <c r="CA788" s="212">
        <v>1</v>
      </c>
      <c r="CB788" s="211">
        <v>0.27472527472527475</v>
      </c>
      <c r="CC788" s="211">
        <v>0</v>
      </c>
      <c r="CD788" s="211">
        <v>0</v>
      </c>
      <c r="CE788" s="210">
        <v>0</v>
      </c>
      <c r="CF788" s="210">
        <v>0</v>
      </c>
      <c r="CG788" s="210">
        <v>0</v>
      </c>
      <c r="CH788" s="209">
        <v>0</v>
      </c>
      <c r="CI788" s="139">
        <v>0</v>
      </c>
      <c r="CJ788" s="139">
        <v>0</v>
      </c>
      <c r="CK788" s="139" t="s">
        <v>969</v>
      </c>
      <c r="CL788" s="139" t="s">
        <v>969</v>
      </c>
      <c r="CM788" s="139" t="s">
        <v>969</v>
      </c>
      <c r="CN788" s="139" t="s">
        <v>966</v>
      </c>
      <c r="CO788" s="139">
        <v>20.1573600769043</v>
      </c>
      <c r="CP788" s="139">
        <v>92.838653564453097</v>
      </c>
      <c r="CQ788" s="139">
        <v>196211</v>
      </c>
      <c r="CR788" s="660" t="s">
        <v>3209</v>
      </c>
      <c r="CS788" s="660"/>
      <c r="CT788" s="24"/>
      <c r="CU788" s="24"/>
      <c r="CV788" s="24"/>
    </row>
    <row r="789" spans="1:100" ht="18" x14ac:dyDescent="0.25">
      <c r="A789" s="293" t="s">
        <v>2691</v>
      </c>
      <c r="B789" s="132" t="s">
        <v>426</v>
      </c>
      <c r="C789" s="132" t="s">
        <v>454</v>
      </c>
      <c r="D789" s="132" t="s">
        <v>455</v>
      </c>
      <c r="E789" s="132" t="s">
        <v>579</v>
      </c>
      <c r="F789" s="132">
        <v>423</v>
      </c>
      <c r="G789" s="214">
        <v>2427</v>
      </c>
      <c r="H789" s="132"/>
      <c r="I789" s="132" t="s">
        <v>47</v>
      </c>
      <c r="J789" s="133">
        <v>44104</v>
      </c>
      <c r="K789" s="132">
        <v>0</v>
      </c>
      <c r="L789" s="132" t="s">
        <v>282</v>
      </c>
      <c r="M789" s="134">
        <v>0</v>
      </c>
      <c r="N789" s="134">
        <v>0</v>
      </c>
      <c r="O789" s="320">
        <v>0</v>
      </c>
      <c r="P789" s="326">
        <v>16</v>
      </c>
      <c r="Q789" s="326">
        <v>0</v>
      </c>
      <c r="R789" s="315">
        <v>0</v>
      </c>
      <c r="S789" s="315">
        <v>18</v>
      </c>
      <c r="T789" s="315"/>
      <c r="U789" s="315">
        <v>13</v>
      </c>
      <c r="V789" s="315">
        <v>11</v>
      </c>
      <c r="W789" s="315">
        <v>33</v>
      </c>
      <c r="X789" s="315">
        <v>12</v>
      </c>
      <c r="Y789" s="315">
        <v>0</v>
      </c>
      <c r="Z789" s="864" t="s">
        <v>2783</v>
      </c>
      <c r="AA789" s="336">
        <v>0</v>
      </c>
      <c r="AB789" s="336">
        <v>0</v>
      </c>
      <c r="AC789" s="337"/>
      <c r="AD789" s="337"/>
      <c r="AE789" s="336">
        <v>0</v>
      </c>
      <c r="AF789" s="336" t="s">
        <v>332</v>
      </c>
      <c r="AG789" s="339" t="s">
        <v>332</v>
      </c>
      <c r="AH789" s="339">
        <v>0</v>
      </c>
      <c r="AI789" s="336">
        <v>0</v>
      </c>
      <c r="AJ789" s="336"/>
      <c r="AK789" s="848">
        <v>1</v>
      </c>
      <c r="AL789" s="842" t="s">
        <v>284</v>
      </c>
      <c r="AM789" s="836">
        <v>0</v>
      </c>
      <c r="AN789" s="837">
        <v>0</v>
      </c>
      <c r="AO789" s="837">
        <v>2</v>
      </c>
      <c r="AP789" s="839">
        <v>413</v>
      </c>
      <c r="AQ789" s="839">
        <v>413</v>
      </c>
      <c r="AR789" s="839" t="s">
        <v>282</v>
      </c>
      <c r="AS789" s="839"/>
      <c r="AT789" s="839"/>
      <c r="AU789" s="839"/>
      <c r="AV789" s="849"/>
      <c r="AW789" s="134">
        <v>0.84615384615384615</v>
      </c>
      <c r="AX789" s="136">
        <v>0.36363636363636365</v>
      </c>
      <c r="AY789" s="137" t="s">
        <v>2577</v>
      </c>
      <c r="AZ789" s="136">
        <v>1</v>
      </c>
      <c r="BA789" s="136">
        <v>1</v>
      </c>
      <c r="BB789" s="136">
        <v>1</v>
      </c>
      <c r="BC789" s="214">
        <v>2427</v>
      </c>
      <c r="BD789" s="136">
        <v>0</v>
      </c>
      <c r="BE789" s="214">
        <v>0</v>
      </c>
      <c r="BF789" s="136">
        <v>1</v>
      </c>
      <c r="BG789" s="214">
        <v>2427</v>
      </c>
      <c r="BH789" s="214">
        <v>4.8540000000000001</v>
      </c>
      <c r="BI789" s="134">
        <v>0</v>
      </c>
      <c r="BJ789" s="214">
        <v>0</v>
      </c>
      <c r="BK789" s="137">
        <v>0.14599999999999991</v>
      </c>
      <c r="BL789" s="137">
        <v>5</v>
      </c>
      <c r="BM789" s="137">
        <v>0</v>
      </c>
      <c r="BN789" s="134">
        <v>0</v>
      </c>
      <c r="BO789" s="351">
        <v>0</v>
      </c>
      <c r="BP789" s="134">
        <v>1</v>
      </c>
      <c r="BQ789" s="214">
        <v>405</v>
      </c>
      <c r="BR789" s="137">
        <v>405</v>
      </c>
      <c r="BS789" s="138">
        <v>0</v>
      </c>
      <c r="BT789" s="351" t="s">
        <v>103</v>
      </c>
      <c r="BU789" s="214">
        <v>1000</v>
      </c>
      <c r="BV789" s="214">
        <v>0</v>
      </c>
      <c r="BW789" s="214">
        <v>0</v>
      </c>
      <c r="BX789" s="214">
        <v>0</v>
      </c>
      <c r="BY789" s="214">
        <v>0</v>
      </c>
      <c r="BZ789" s="134">
        <v>0</v>
      </c>
      <c r="CA789" s="138">
        <v>1</v>
      </c>
      <c r="CB789" s="136">
        <v>0.41203131437989288</v>
      </c>
      <c r="CC789" s="136">
        <v>0.97635933806146569</v>
      </c>
      <c r="CD789" s="136">
        <v>0.97635933806146569</v>
      </c>
      <c r="CE789" s="137">
        <v>2065</v>
      </c>
      <c r="CF789" s="137">
        <v>2065</v>
      </c>
      <c r="CG789" s="137">
        <v>2065</v>
      </c>
      <c r="CH789" s="214">
        <v>423</v>
      </c>
      <c r="CI789" s="139">
        <v>0</v>
      </c>
      <c r="CJ789" s="139">
        <v>0</v>
      </c>
      <c r="CK789" s="139" t="s">
        <v>969</v>
      </c>
      <c r="CL789" s="139" t="s">
        <v>969</v>
      </c>
      <c r="CM789" s="139" t="s">
        <v>969</v>
      </c>
      <c r="CN789" s="139" t="s">
        <v>966</v>
      </c>
      <c r="CO789" s="139">
        <v>20.148910522460898</v>
      </c>
      <c r="CP789" s="139">
        <v>92.846160888671903</v>
      </c>
      <c r="CQ789" s="139" t="s">
        <v>1634</v>
      </c>
      <c r="CR789" s="449" t="s">
        <v>40</v>
      </c>
      <c r="CS789" s="449"/>
      <c r="CT789" s="24"/>
      <c r="CU789" s="24"/>
      <c r="CV789" s="24"/>
    </row>
    <row r="790" spans="1:100" x14ac:dyDescent="0.25">
      <c r="A790" s="293" t="s">
        <v>2691</v>
      </c>
      <c r="B790" s="132" t="s">
        <v>447</v>
      </c>
      <c r="C790" s="132" t="s">
        <v>454</v>
      </c>
      <c r="D790" s="132" t="s">
        <v>455</v>
      </c>
      <c r="E790" s="132" t="s">
        <v>612</v>
      </c>
      <c r="F790" s="132">
        <v>153</v>
      </c>
      <c r="G790" s="214">
        <v>680</v>
      </c>
      <c r="H790" s="132"/>
      <c r="I790" s="132" t="s">
        <v>449</v>
      </c>
      <c r="J790" s="133">
        <v>43356</v>
      </c>
      <c r="K790" s="132">
        <v>0</v>
      </c>
      <c r="L790" s="132" t="s">
        <v>282</v>
      </c>
      <c r="M790" s="134">
        <v>0</v>
      </c>
      <c r="N790" s="134">
        <v>0</v>
      </c>
      <c r="O790" s="320">
        <v>5</v>
      </c>
      <c r="P790" s="326">
        <v>50</v>
      </c>
      <c r="Q790" s="326">
        <v>0</v>
      </c>
      <c r="R790" s="315">
        <v>0</v>
      </c>
      <c r="S790" s="315">
        <v>0</v>
      </c>
      <c r="T790" s="315"/>
      <c r="U790" s="315">
        <v>0</v>
      </c>
      <c r="V790" s="315">
        <v>0</v>
      </c>
      <c r="W790" s="315">
        <v>0</v>
      </c>
      <c r="X790" s="315">
        <v>0</v>
      </c>
      <c r="Y790" s="315">
        <v>0</v>
      </c>
      <c r="Z790" s="315"/>
      <c r="AA790" s="336">
        <v>0</v>
      </c>
      <c r="AB790" s="336">
        <v>0</v>
      </c>
      <c r="AC790" s="337">
        <v>0</v>
      </c>
      <c r="AD790" s="337"/>
      <c r="AE790" s="336">
        <v>0</v>
      </c>
      <c r="AF790" s="336" t="s">
        <v>286</v>
      </c>
      <c r="AG790" s="339" t="s">
        <v>286</v>
      </c>
      <c r="AH790" s="339">
        <v>0</v>
      </c>
      <c r="AI790" s="336">
        <v>0</v>
      </c>
      <c r="AJ790" s="336"/>
      <c r="AK790" s="848">
        <v>0</v>
      </c>
      <c r="AL790" s="836" t="s">
        <v>284</v>
      </c>
      <c r="AM790" s="836">
        <v>0</v>
      </c>
      <c r="AN790" s="837">
        <v>0</v>
      </c>
      <c r="AO790" s="837">
        <v>1</v>
      </c>
      <c r="AP790" s="839">
        <v>0</v>
      </c>
      <c r="AQ790" s="839">
        <v>0</v>
      </c>
      <c r="AR790" s="839"/>
      <c r="AS790" s="839"/>
      <c r="AT790" s="839"/>
      <c r="AU790" s="839"/>
      <c r="AV790" s="849"/>
      <c r="AW790" s="134" t="s">
        <v>3208</v>
      </c>
      <c r="AX790" s="136" t="s">
        <v>3208</v>
      </c>
      <c r="AY790" s="137" t="s">
        <v>2576</v>
      </c>
      <c r="AZ790" s="136">
        <v>1</v>
      </c>
      <c r="BA790" s="136">
        <v>1</v>
      </c>
      <c r="BB790" s="136">
        <v>1</v>
      </c>
      <c r="BC790" s="214">
        <v>680</v>
      </c>
      <c r="BD790" s="136">
        <v>0</v>
      </c>
      <c r="BE790" s="214">
        <v>0</v>
      </c>
      <c r="BF790" s="136">
        <v>1</v>
      </c>
      <c r="BG790" s="214">
        <v>680</v>
      </c>
      <c r="BH790" s="214">
        <v>1.36</v>
      </c>
      <c r="BI790" s="134">
        <v>0</v>
      </c>
      <c r="BJ790" s="214">
        <v>0</v>
      </c>
      <c r="BK790" s="137">
        <v>0</v>
      </c>
      <c r="BL790" s="137">
        <v>1</v>
      </c>
      <c r="BM790" s="137">
        <v>0</v>
      </c>
      <c r="BN790" s="134">
        <v>0</v>
      </c>
      <c r="BO790" s="351">
        <v>0</v>
      </c>
      <c r="BP790" s="134">
        <v>0.99705882352941178</v>
      </c>
      <c r="BQ790" s="214">
        <v>113</v>
      </c>
      <c r="BR790" s="137">
        <v>113</v>
      </c>
      <c r="BS790" s="138">
        <v>0</v>
      </c>
      <c r="BT790" s="351" t="s">
        <v>103</v>
      </c>
      <c r="BU790" s="214">
        <v>500</v>
      </c>
      <c r="BV790" s="214">
        <v>0</v>
      </c>
      <c r="BW790" s="214">
        <v>1</v>
      </c>
      <c r="BX790" s="214">
        <v>0</v>
      </c>
      <c r="BY790" s="214">
        <v>0</v>
      </c>
      <c r="BZ790" s="134">
        <v>0</v>
      </c>
      <c r="CA790" s="138">
        <v>1</v>
      </c>
      <c r="CB790" s="136">
        <v>0.73529411764705888</v>
      </c>
      <c r="CC790" s="136">
        <v>0</v>
      </c>
      <c r="CD790" s="136">
        <v>0</v>
      </c>
      <c r="CE790" s="137">
        <v>0</v>
      </c>
      <c r="CF790" s="137">
        <v>0</v>
      </c>
      <c r="CG790" s="137">
        <v>0</v>
      </c>
      <c r="CH790" s="214">
        <v>0</v>
      </c>
      <c r="CI790" s="139">
        <v>0</v>
      </c>
      <c r="CJ790" s="139">
        <v>0</v>
      </c>
      <c r="CK790" s="139" t="s">
        <v>969</v>
      </c>
      <c r="CL790" s="139" t="s">
        <v>969</v>
      </c>
      <c r="CM790" s="139" t="s">
        <v>969</v>
      </c>
      <c r="CN790" s="139" t="s">
        <v>454</v>
      </c>
      <c r="CO790" s="139">
        <v>20.229290008544901</v>
      </c>
      <c r="CP790" s="139">
        <v>92.864669799804702</v>
      </c>
      <c r="CQ790" s="139">
        <v>196167</v>
      </c>
      <c r="CR790" s="449" t="s">
        <v>40</v>
      </c>
      <c r="CS790" s="449"/>
      <c r="CT790" s="24"/>
      <c r="CU790" s="24"/>
      <c r="CV790" s="24"/>
    </row>
    <row r="791" spans="1:100" ht="18" x14ac:dyDescent="0.25">
      <c r="A791" s="293" t="s">
        <v>2691</v>
      </c>
      <c r="B791" s="132" t="s">
        <v>2774</v>
      </c>
      <c r="C791" s="132" t="s">
        <v>454</v>
      </c>
      <c r="D791" s="132" t="s">
        <v>455</v>
      </c>
      <c r="E791" s="132" t="s">
        <v>588</v>
      </c>
      <c r="F791" s="132">
        <v>1013</v>
      </c>
      <c r="G791" s="214">
        <v>5950</v>
      </c>
      <c r="H791" s="132">
        <v>203</v>
      </c>
      <c r="I791" s="132" t="s">
        <v>2775</v>
      </c>
      <c r="J791" s="133" t="s">
        <v>2776</v>
      </c>
      <c r="K791" s="132">
        <v>0</v>
      </c>
      <c r="L791" s="132" t="s">
        <v>282</v>
      </c>
      <c r="M791" s="134">
        <v>0</v>
      </c>
      <c r="N791" s="134">
        <v>0</v>
      </c>
      <c r="O791" s="320">
        <v>0</v>
      </c>
      <c r="P791" s="326">
        <v>71</v>
      </c>
      <c r="Q791" s="326"/>
      <c r="R791" s="315">
        <v>0</v>
      </c>
      <c r="S791" s="315">
        <v>93</v>
      </c>
      <c r="T791" s="315"/>
      <c r="U791" s="315">
        <v>61</v>
      </c>
      <c r="V791" s="315">
        <v>21</v>
      </c>
      <c r="W791" s="315">
        <v>40</v>
      </c>
      <c r="X791" s="315">
        <v>11</v>
      </c>
      <c r="Y791" s="315">
        <v>4</v>
      </c>
      <c r="Z791" s="864" t="s">
        <v>2783</v>
      </c>
      <c r="AA791" s="336">
        <v>196</v>
      </c>
      <c r="AB791" s="336">
        <v>158</v>
      </c>
      <c r="AC791" s="337">
        <v>182</v>
      </c>
      <c r="AD791" s="337"/>
      <c r="AE791" s="336">
        <v>372</v>
      </c>
      <c r="AF791" s="336" t="s">
        <v>283</v>
      </c>
      <c r="AG791" s="339" t="s">
        <v>1358</v>
      </c>
      <c r="AH791" s="339">
        <v>0</v>
      </c>
      <c r="AI791" s="336">
        <v>17</v>
      </c>
      <c r="AJ791" s="336"/>
      <c r="AK791" s="848">
        <v>1</v>
      </c>
      <c r="AL791" s="836" t="s">
        <v>284</v>
      </c>
      <c r="AM791" s="836">
        <v>1013</v>
      </c>
      <c r="AN791" s="837">
        <v>0</v>
      </c>
      <c r="AO791" s="837">
        <v>10</v>
      </c>
      <c r="AP791" s="839">
        <v>1013</v>
      </c>
      <c r="AQ791" s="839">
        <v>1013</v>
      </c>
      <c r="AR791" s="839" t="s">
        <v>282</v>
      </c>
      <c r="AS791" s="839"/>
      <c r="AT791" s="839"/>
      <c r="AU791" s="839"/>
      <c r="AV791" s="849"/>
      <c r="AW791" s="134">
        <v>0.34426229508196721</v>
      </c>
      <c r="AX791" s="136">
        <v>0.27500000000000002</v>
      </c>
      <c r="AY791" s="137" t="s">
        <v>2577</v>
      </c>
      <c r="AZ791" s="136">
        <v>1</v>
      </c>
      <c r="BA791" s="136">
        <v>1</v>
      </c>
      <c r="BB791" s="136">
        <v>1</v>
      </c>
      <c r="BC791" s="214">
        <v>5950</v>
      </c>
      <c r="BD791" s="136">
        <v>0</v>
      </c>
      <c r="BE791" s="214">
        <v>0</v>
      </c>
      <c r="BF791" s="136">
        <v>1</v>
      </c>
      <c r="BG791" s="214">
        <v>5950</v>
      </c>
      <c r="BH791" s="214">
        <v>11.9</v>
      </c>
      <c r="BI791" s="134">
        <v>0</v>
      </c>
      <c r="BJ791" s="214">
        <v>0</v>
      </c>
      <c r="BK791" s="137">
        <v>9.9999999999999645E-2</v>
      </c>
      <c r="BL791" s="137">
        <v>12</v>
      </c>
      <c r="BM791" s="137">
        <v>354</v>
      </c>
      <c r="BN791" s="134">
        <v>0.6588235294117647</v>
      </c>
      <c r="BO791" s="351">
        <v>3920</v>
      </c>
      <c r="BP791" s="134">
        <v>0</v>
      </c>
      <c r="BQ791" s="214">
        <v>0</v>
      </c>
      <c r="BR791" s="137">
        <v>298</v>
      </c>
      <c r="BS791" s="138">
        <v>0.4463276836158192</v>
      </c>
      <c r="BT791" s="351">
        <v>3640</v>
      </c>
      <c r="BU791" s="214">
        <v>5000</v>
      </c>
      <c r="BV791" s="214">
        <v>1</v>
      </c>
      <c r="BW791" s="214">
        <v>1</v>
      </c>
      <c r="BX791" s="214">
        <v>1</v>
      </c>
      <c r="BY791" s="214">
        <v>5950</v>
      </c>
      <c r="BZ791" s="134">
        <v>1</v>
      </c>
      <c r="CA791" s="138">
        <v>0</v>
      </c>
      <c r="CB791" s="136">
        <v>0.84033613445378152</v>
      </c>
      <c r="CC791" s="136">
        <v>1</v>
      </c>
      <c r="CD791" s="136">
        <v>1</v>
      </c>
      <c r="CE791" s="137">
        <v>5065</v>
      </c>
      <c r="CF791" s="137">
        <v>5065</v>
      </c>
      <c r="CG791" s="137">
        <v>5065</v>
      </c>
      <c r="CH791" s="214">
        <v>1013</v>
      </c>
      <c r="CI791" s="139" t="s">
        <v>48</v>
      </c>
      <c r="CJ791" s="139">
        <v>0</v>
      </c>
      <c r="CK791" s="139" t="s">
        <v>50</v>
      </c>
      <c r="CL791" s="139" t="s">
        <v>50</v>
      </c>
      <c r="CM791" s="139" t="s">
        <v>965</v>
      </c>
      <c r="CN791" s="139" t="s">
        <v>966</v>
      </c>
      <c r="CO791" s="139">
        <v>20.179939999999998</v>
      </c>
      <c r="CP791" s="139">
        <v>92.831879000000001</v>
      </c>
      <c r="CQ791" s="139" t="s">
        <v>1648</v>
      </c>
      <c r="CR791" s="449" t="s">
        <v>40</v>
      </c>
      <c r="CS791" s="449"/>
      <c r="CT791" s="24"/>
      <c r="CU791" s="24"/>
      <c r="CV791" s="24"/>
    </row>
    <row r="792" spans="1:100" ht="18" x14ac:dyDescent="0.25">
      <c r="A792" s="293" t="s">
        <v>2691</v>
      </c>
      <c r="B792" s="132" t="s">
        <v>527</v>
      </c>
      <c r="C792" s="132" t="s">
        <v>454</v>
      </c>
      <c r="D792" s="132" t="s">
        <v>455</v>
      </c>
      <c r="E792" s="132" t="s">
        <v>591</v>
      </c>
      <c r="F792" s="132">
        <v>299</v>
      </c>
      <c r="G792" s="214">
        <v>1670</v>
      </c>
      <c r="H792" s="132"/>
      <c r="I792" s="132" t="s">
        <v>47</v>
      </c>
      <c r="J792" s="133">
        <v>44104</v>
      </c>
      <c r="K792" s="132">
        <v>0</v>
      </c>
      <c r="L792" s="132" t="s">
        <v>282</v>
      </c>
      <c r="M792" s="134">
        <v>0</v>
      </c>
      <c r="N792" s="134">
        <v>0</v>
      </c>
      <c r="O792" s="320">
        <v>0</v>
      </c>
      <c r="P792" s="326">
        <v>0</v>
      </c>
      <c r="Q792" s="326"/>
      <c r="R792" s="315">
        <v>0</v>
      </c>
      <c r="S792" s="315">
        <v>79</v>
      </c>
      <c r="T792" s="315"/>
      <c r="U792" s="315">
        <v>0</v>
      </c>
      <c r="V792" s="315">
        <v>0</v>
      </c>
      <c r="W792" s="315">
        <v>37</v>
      </c>
      <c r="X792" s="315">
        <v>15</v>
      </c>
      <c r="Y792" s="315">
        <v>7</v>
      </c>
      <c r="Z792" s="864" t="s">
        <v>2783</v>
      </c>
      <c r="AA792" s="336">
        <v>192</v>
      </c>
      <c r="AB792" s="336">
        <v>0</v>
      </c>
      <c r="AC792" s="337">
        <v>0</v>
      </c>
      <c r="AD792" s="337"/>
      <c r="AE792" s="336">
        <v>192</v>
      </c>
      <c r="AF792" s="336" t="s">
        <v>283</v>
      </c>
      <c r="AG792" s="339" t="s">
        <v>1358</v>
      </c>
      <c r="AH792" s="339">
        <v>0</v>
      </c>
      <c r="AI792" s="336">
        <v>11</v>
      </c>
      <c r="AJ792" s="336"/>
      <c r="AK792" s="848">
        <v>1</v>
      </c>
      <c r="AL792" s="836" t="s">
        <v>284</v>
      </c>
      <c r="AM792" s="836">
        <v>299</v>
      </c>
      <c r="AN792" s="837">
        <v>0</v>
      </c>
      <c r="AO792" s="837">
        <v>15</v>
      </c>
      <c r="AP792" s="839">
        <v>299</v>
      </c>
      <c r="AQ792" s="839">
        <v>299</v>
      </c>
      <c r="AR792" s="839" t="s">
        <v>282</v>
      </c>
      <c r="AS792" s="839"/>
      <c r="AT792" s="839"/>
      <c r="AU792" s="839"/>
      <c r="AV792" s="849"/>
      <c r="AW792" s="134" t="s">
        <v>3208</v>
      </c>
      <c r="AX792" s="136">
        <v>0.40540540540540543</v>
      </c>
      <c r="AY792" s="137" t="s">
        <v>2577</v>
      </c>
      <c r="AZ792" s="136">
        <v>0</v>
      </c>
      <c r="BA792" s="136">
        <v>0</v>
      </c>
      <c r="BB792" s="136">
        <v>0</v>
      </c>
      <c r="BC792" s="214">
        <v>0</v>
      </c>
      <c r="BD792" s="136">
        <v>0</v>
      </c>
      <c r="BE792" s="214">
        <v>0</v>
      </c>
      <c r="BF792" s="136">
        <v>0</v>
      </c>
      <c r="BG792" s="214">
        <v>0</v>
      </c>
      <c r="BH792" s="214">
        <v>0</v>
      </c>
      <c r="BI792" s="134">
        <v>1</v>
      </c>
      <c r="BJ792" s="214">
        <v>1670</v>
      </c>
      <c r="BK792" s="137">
        <v>3</v>
      </c>
      <c r="BL792" s="137">
        <v>3</v>
      </c>
      <c r="BM792" s="137">
        <v>192</v>
      </c>
      <c r="BN792" s="134">
        <v>1</v>
      </c>
      <c r="BO792" s="351">
        <v>1670</v>
      </c>
      <c r="BP792" s="134">
        <v>0</v>
      </c>
      <c r="BQ792" s="214">
        <v>0</v>
      </c>
      <c r="BR792" s="137">
        <v>84</v>
      </c>
      <c r="BS792" s="138">
        <v>0</v>
      </c>
      <c r="BT792" s="351">
        <v>0</v>
      </c>
      <c r="BU792" s="214">
        <v>1670</v>
      </c>
      <c r="BV792" s="214">
        <v>1</v>
      </c>
      <c r="BW792" s="214">
        <v>1</v>
      </c>
      <c r="BX792" s="214">
        <v>1</v>
      </c>
      <c r="BY792" s="214">
        <v>1670</v>
      </c>
      <c r="BZ792" s="134">
        <v>1</v>
      </c>
      <c r="CA792" s="138">
        <v>0</v>
      </c>
      <c r="CB792" s="136">
        <v>1</v>
      </c>
      <c r="CC792" s="136">
        <v>1</v>
      </c>
      <c r="CD792" s="136">
        <v>1</v>
      </c>
      <c r="CE792" s="137">
        <v>1495</v>
      </c>
      <c r="CF792" s="137">
        <v>1495</v>
      </c>
      <c r="CG792" s="137">
        <v>1495</v>
      </c>
      <c r="CH792" s="214">
        <v>299</v>
      </c>
      <c r="CI792" s="139" t="s">
        <v>48</v>
      </c>
      <c r="CJ792" s="139">
        <v>0</v>
      </c>
      <c r="CK792" s="139" t="s">
        <v>50</v>
      </c>
      <c r="CL792" s="139" t="s">
        <v>50</v>
      </c>
      <c r="CM792" s="139" t="s">
        <v>942</v>
      </c>
      <c r="CN792" s="139" t="s">
        <v>966</v>
      </c>
      <c r="CO792" s="139">
        <v>20.181742</v>
      </c>
      <c r="CP792" s="139">
        <v>92.842230000000001</v>
      </c>
      <c r="CQ792" s="139" t="s">
        <v>1652</v>
      </c>
      <c r="CR792" s="449" t="s">
        <v>40</v>
      </c>
      <c r="CS792" s="449"/>
      <c r="CT792" s="24"/>
      <c r="CU792" s="24"/>
      <c r="CV792" s="24"/>
    </row>
    <row r="793" spans="1:100" x14ac:dyDescent="0.25">
      <c r="A793" s="643" t="s">
        <v>2691</v>
      </c>
      <c r="B793" s="132" t="s">
        <v>527</v>
      </c>
      <c r="C793" s="132" t="s">
        <v>454</v>
      </c>
      <c r="D793" s="132" t="s">
        <v>455</v>
      </c>
      <c r="E793" s="132" t="s">
        <v>599</v>
      </c>
      <c r="F793" s="132">
        <v>17</v>
      </c>
      <c r="G793" s="214">
        <v>74</v>
      </c>
      <c r="H793" s="132"/>
      <c r="I793" s="132"/>
      <c r="J793" s="133"/>
      <c r="K793" s="132"/>
      <c r="L793" s="132"/>
      <c r="M793" s="134"/>
      <c r="N793" s="134"/>
      <c r="O793" s="320">
        <v>0</v>
      </c>
      <c r="P793" s="326">
        <v>2</v>
      </c>
      <c r="Q793" s="326"/>
      <c r="R793" s="315"/>
      <c r="S793" s="315"/>
      <c r="T793" s="315"/>
      <c r="U793" s="315">
        <v>49</v>
      </c>
      <c r="V793" s="315">
        <v>39</v>
      </c>
      <c r="W793" s="315">
        <v>88</v>
      </c>
      <c r="X793" s="315">
        <v>25</v>
      </c>
      <c r="Y793" s="315"/>
      <c r="Z793" s="315"/>
      <c r="AA793" s="336"/>
      <c r="AB793" s="336"/>
      <c r="AC793" s="337"/>
      <c r="AD793" s="337"/>
      <c r="AE793" s="336"/>
      <c r="AF793" s="336" t="s">
        <v>286</v>
      </c>
      <c r="AG793" s="339" t="s">
        <v>286</v>
      </c>
      <c r="AH793" s="339"/>
      <c r="AI793" s="336"/>
      <c r="AJ793" s="336"/>
      <c r="AK793" s="848"/>
      <c r="AL793" s="836"/>
      <c r="AM793" s="836"/>
      <c r="AN793" s="848"/>
      <c r="AO793" s="850"/>
      <c r="AP793" s="839"/>
      <c r="AQ793" s="839"/>
      <c r="AR793" s="839"/>
      <c r="AS793" s="839"/>
      <c r="AT793" s="839"/>
      <c r="AU793" s="839"/>
      <c r="AV793" s="849"/>
      <c r="AW793" s="134">
        <v>0.79591836734693877</v>
      </c>
      <c r="AX793" s="136">
        <v>0.28409090909090912</v>
      </c>
      <c r="AY793" s="137" t="s">
        <v>2577</v>
      </c>
      <c r="AZ793" s="136">
        <v>1</v>
      </c>
      <c r="BA793" s="136">
        <v>1</v>
      </c>
      <c r="BB793" s="136">
        <v>1</v>
      </c>
      <c r="BC793" s="214">
        <v>74</v>
      </c>
      <c r="BD793" s="136">
        <v>0</v>
      </c>
      <c r="BE793" s="214">
        <v>0</v>
      </c>
      <c r="BF793" s="136">
        <v>1</v>
      </c>
      <c r="BG793" s="214">
        <v>74</v>
      </c>
      <c r="BH793" s="214">
        <v>0.14799999999999999</v>
      </c>
      <c r="BI793" s="134">
        <v>0</v>
      </c>
      <c r="BJ793" s="214">
        <v>0</v>
      </c>
      <c r="BK793" s="137">
        <v>0.85199999999999998</v>
      </c>
      <c r="BL793" s="137">
        <v>1</v>
      </c>
      <c r="BM793" s="137">
        <v>0</v>
      </c>
      <c r="BN793" s="134">
        <v>0</v>
      </c>
      <c r="BO793" s="351">
        <v>0</v>
      </c>
      <c r="BP793" s="134">
        <v>0.97297297297297292</v>
      </c>
      <c r="BQ793" s="214">
        <v>12</v>
      </c>
      <c r="BR793" s="137">
        <v>12</v>
      </c>
      <c r="BS793" s="138">
        <v>0</v>
      </c>
      <c r="BT793" s="351" t="s">
        <v>103</v>
      </c>
      <c r="BU793" s="214">
        <v>0</v>
      </c>
      <c r="BV793" s="214">
        <v>0</v>
      </c>
      <c r="BW793" s="214">
        <v>0</v>
      </c>
      <c r="BX793" s="214">
        <v>0</v>
      </c>
      <c r="BY793" s="214">
        <v>0</v>
      </c>
      <c r="BZ793" s="134">
        <v>0</v>
      </c>
      <c r="CA793" s="138">
        <v>1</v>
      </c>
      <c r="CB793" s="136">
        <v>0</v>
      </c>
      <c r="CC793" s="136">
        <v>0</v>
      </c>
      <c r="CD793" s="136">
        <v>0</v>
      </c>
      <c r="CE793" s="137">
        <v>0</v>
      </c>
      <c r="CF793" s="137">
        <v>0</v>
      </c>
      <c r="CG793" s="137">
        <v>0</v>
      </c>
      <c r="CH793" s="214">
        <v>0</v>
      </c>
      <c r="CI793" s="139">
        <v>0</v>
      </c>
      <c r="CJ793" s="139">
        <v>0</v>
      </c>
      <c r="CK793" s="139" t="s">
        <v>975</v>
      </c>
      <c r="CL793" s="139" t="s">
        <v>969</v>
      </c>
      <c r="CM793" s="139" t="s">
        <v>975</v>
      </c>
      <c r="CN793" s="139" t="s">
        <v>966</v>
      </c>
      <c r="CO793" s="139">
        <v>20.1934604644775</v>
      </c>
      <c r="CP793" s="139">
        <v>92.867782592773395</v>
      </c>
      <c r="CQ793" s="139">
        <v>196147</v>
      </c>
      <c r="CR793" s="449" t="s">
        <v>40</v>
      </c>
      <c r="CS793" s="449"/>
      <c r="CT793" s="24"/>
      <c r="CU793" s="24"/>
      <c r="CV793" s="24"/>
    </row>
    <row r="794" spans="1:100" x14ac:dyDescent="0.25">
      <c r="A794" s="293" t="s">
        <v>2691</v>
      </c>
      <c r="B794" s="101" t="s">
        <v>453</v>
      </c>
      <c r="C794" s="101" t="s">
        <v>454</v>
      </c>
      <c r="D794" s="101" t="s">
        <v>455</v>
      </c>
      <c r="E794" s="183" t="s">
        <v>2769</v>
      </c>
      <c r="F794" s="101">
        <v>250</v>
      </c>
      <c r="G794" s="396">
        <v>1183</v>
      </c>
      <c r="H794" s="101">
        <v>180</v>
      </c>
      <c r="I794" s="101" t="s">
        <v>2771</v>
      </c>
      <c r="J794" s="102">
        <v>43373</v>
      </c>
      <c r="K794" s="101">
        <v>0</v>
      </c>
      <c r="L794" s="101" t="s">
        <v>282</v>
      </c>
      <c r="M794" s="103">
        <v>0</v>
      </c>
      <c r="N794" s="103">
        <v>0</v>
      </c>
      <c r="O794" s="320">
        <v>0</v>
      </c>
      <c r="P794" s="320"/>
      <c r="Q794" s="321"/>
      <c r="R794" s="322"/>
      <c r="S794" s="322"/>
      <c r="T794" s="322"/>
      <c r="U794" s="317"/>
      <c r="V794" s="317"/>
      <c r="W794" s="317"/>
      <c r="X794" s="317"/>
      <c r="Y794" s="315"/>
      <c r="Z794" s="318"/>
      <c r="AA794" s="310">
        <v>0</v>
      </c>
      <c r="AB794" s="311">
        <v>0</v>
      </c>
      <c r="AC794" s="337">
        <v>0</v>
      </c>
      <c r="AD794" s="337"/>
      <c r="AE794" s="340">
        <v>0</v>
      </c>
      <c r="AF794" s="66" t="s">
        <v>286</v>
      </c>
      <c r="AG794" s="66" t="s">
        <v>286</v>
      </c>
      <c r="AH794" s="66">
        <v>0</v>
      </c>
      <c r="AI794" s="66">
        <v>0</v>
      </c>
      <c r="AJ794" s="341"/>
      <c r="AK794" s="845">
        <v>0</v>
      </c>
      <c r="AL794" s="846" t="s">
        <v>284</v>
      </c>
      <c r="AM794" s="844">
        <v>0</v>
      </c>
      <c r="AN794" s="837">
        <v>0</v>
      </c>
      <c r="AO794" s="837">
        <v>1</v>
      </c>
      <c r="AP794" s="843">
        <v>0</v>
      </c>
      <c r="AQ794" s="843">
        <v>0</v>
      </c>
      <c r="AR794" s="843"/>
      <c r="AS794" s="843"/>
      <c r="AT794" s="843"/>
      <c r="AU794" s="843"/>
      <c r="AV794" s="847"/>
      <c r="AW794" s="134" t="s">
        <v>3208</v>
      </c>
      <c r="AX794" s="136" t="s">
        <v>3208</v>
      </c>
      <c r="AY794" s="137" t="s">
        <v>2576</v>
      </c>
      <c r="AZ794" s="136">
        <v>0</v>
      </c>
      <c r="BA794" s="136">
        <v>0</v>
      </c>
      <c r="BB794" s="136">
        <v>0</v>
      </c>
      <c r="BC794" s="214">
        <v>0</v>
      </c>
      <c r="BD794" s="136">
        <v>0</v>
      </c>
      <c r="BE794" s="214">
        <v>0</v>
      </c>
      <c r="BF794" s="136">
        <v>0</v>
      </c>
      <c r="BG794" s="214">
        <v>0</v>
      </c>
      <c r="BH794" s="214">
        <v>0</v>
      </c>
      <c r="BI794" s="134">
        <v>1</v>
      </c>
      <c r="BJ794" s="214">
        <v>1183</v>
      </c>
      <c r="BK794" s="137">
        <v>2</v>
      </c>
      <c r="BL794" s="137">
        <v>2</v>
      </c>
      <c r="BM794" s="137">
        <v>0</v>
      </c>
      <c r="BN794" s="134">
        <v>0</v>
      </c>
      <c r="BO794" s="351">
        <v>0</v>
      </c>
      <c r="BP794" s="134">
        <v>0.99915469146238378</v>
      </c>
      <c r="BQ794" s="214">
        <v>197</v>
      </c>
      <c r="BR794" s="137">
        <v>197</v>
      </c>
      <c r="BS794" s="138">
        <v>0</v>
      </c>
      <c r="BT794" s="351" t="s">
        <v>103</v>
      </c>
      <c r="BU794" s="209">
        <v>500</v>
      </c>
      <c r="BV794" s="209">
        <v>0</v>
      </c>
      <c r="BW794" s="209">
        <v>0</v>
      </c>
      <c r="BX794" s="209">
        <v>0</v>
      </c>
      <c r="BY794" s="209">
        <v>0</v>
      </c>
      <c r="BZ794" s="134">
        <v>0</v>
      </c>
      <c r="CA794" s="138">
        <v>1</v>
      </c>
      <c r="CB794" s="136">
        <v>0.42265426880811496</v>
      </c>
      <c r="CC794" s="136">
        <v>0</v>
      </c>
      <c r="CD794" s="136">
        <v>0</v>
      </c>
      <c r="CE794" s="137">
        <v>0</v>
      </c>
      <c r="CF794" s="137">
        <v>0</v>
      </c>
      <c r="CG794" s="351">
        <v>0</v>
      </c>
      <c r="CH794" s="214">
        <v>0</v>
      </c>
      <c r="CI794" s="139">
        <v>0</v>
      </c>
      <c r="CJ794" s="139">
        <v>0</v>
      </c>
      <c r="CK794" s="139" t="s">
        <v>969</v>
      </c>
      <c r="CL794" s="139" t="s">
        <v>969</v>
      </c>
      <c r="CM794" s="139" t="s">
        <v>969</v>
      </c>
      <c r="CN794" s="139">
        <v>0</v>
      </c>
      <c r="CO794" s="139">
        <v>20.227340698242202</v>
      </c>
      <c r="CP794" s="139">
        <v>92.893341064453097</v>
      </c>
      <c r="CQ794" s="139">
        <v>196181</v>
      </c>
      <c r="CR794" s="449" t="s">
        <v>40</v>
      </c>
      <c r="CS794" s="139"/>
      <c r="CT794" s="24"/>
      <c r="CU794" s="24"/>
      <c r="CV794" s="24"/>
    </row>
    <row r="795" spans="1:100" x14ac:dyDescent="0.25">
      <c r="A795" s="293" t="s">
        <v>2691</v>
      </c>
      <c r="B795" s="132" t="s">
        <v>447</v>
      </c>
      <c r="C795" s="132" t="s">
        <v>454</v>
      </c>
      <c r="D795" s="132" t="s">
        <v>455</v>
      </c>
      <c r="E795" s="132" t="s">
        <v>2764</v>
      </c>
      <c r="F795" s="132">
        <v>294</v>
      </c>
      <c r="G795" s="214">
        <v>1214</v>
      </c>
      <c r="H795" s="132"/>
      <c r="I795" s="132" t="s">
        <v>449</v>
      </c>
      <c r="J795" s="133">
        <v>43356</v>
      </c>
      <c r="K795" s="132">
        <v>0</v>
      </c>
      <c r="L795" s="132" t="s">
        <v>282</v>
      </c>
      <c r="M795" s="134">
        <v>0</v>
      </c>
      <c r="N795" s="134">
        <v>0</v>
      </c>
      <c r="O795" s="320">
        <v>6</v>
      </c>
      <c r="P795" s="326">
        <v>1</v>
      </c>
      <c r="Q795" s="326">
        <v>0</v>
      </c>
      <c r="R795" s="315">
        <v>1</v>
      </c>
      <c r="S795" s="315">
        <v>0</v>
      </c>
      <c r="T795" s="315"/>
      <c r="U795" s="315">
        <v>0</v>
      </c>
      <c r="V795" s="315">
        <v>0</v>
      </c>
      <c r="W795" s="315">
        <v>0</v>
      </c>
      <c r="X795" s="315">
        <v>0</v>
      </c>
      <c r="Y795" s="315">
        <v>0</v>
      </c>
      <c r="Z795" s="315"/>
      <c r="AA795" s="336">
        <v>0</v>
      </c>
      <c r="AB795" s="336">
        <v>0</v>
      </c>
      <c r="AC795" s="337">
        <v>0</v>
      </c>
      <c r="AD795" s="337"/>
      <c r="AE795" s="336">
        <v>0</v>
      </c>
      <c r="AF795" s="336" t="s">
        <v>286</v>
      </c>
      <c r="AG795" s="339" t="s">
        <v>286</v>
      </c>
      <c r="AH795" s="339">
        <v>0</v>
      </c>
      <c r="AI795" s="336">
        <v>0</v>
      </c>
      <c r="AJ795" s="336"/>
      <c r="AK795" s="848">
        <v>0</v>
      </c>
      <c r="AL795" s="836" t="s">
        <v>284</v>
      </c>
      <c r="AM795" s="836">
        <v>0</v>
      </c>
      <c r="AN795" s="837">
        <v>0</v>
      </c>
      <c r="AO795" s="837">
        <v>1</v>
      </c>
      <c r="AP795" s="839">
        <v>0</v>
      </c>
      <c r="AQ795" s="839">
        <v>0</v>
      </c>
      <c r="AR795" s="839"/>
      <c r="AS795" s="839"/>
      <c r="AT795" s="839"/>
      <c r="AU795" s="839"/>
      <c r="AV795" s="849"/>
      <c r="AW795" s="134" t="s">
        <v>3208</v>
      </c>
      <c r="AX795" s="136" t="s">
        <v>3208</v>
      </c>
      <c r="AY795" s="137" t="s">
        <v>2576</v>
      </c>
      <c r="AZ795" s="136">
        <v>1</v>
      </c>
      <c r="BA795" s="136">
        <v>1</v>
      </c>
      <c r="BB795" s="136">
        <v>1</v>
      </c>
      <c r="BC795" s="214">
        <v>1214</v>
      </c>
      <c r="BD795" s="136">
        <v>0.20593080724876442</v>
      </c>
      <c r="BE795" s="214">
        <v>250</v>
      </c>
      <c r="BF795" s="136">
        <v>1</v>
      </c>
      <c r="BG795" s="214">
        <v>1214</v>
      </c>
      <c r="BH795" s="214">
        <v>2.4279999999999999</v>
      </c>
      <c r="BI795" s="134">
        <v>0</v>
      </c>
      <c r="BJ795" s="214">
        <v>0</v>
      </c>
      <c r="BK795" s="137">
        <v>0</v>
      </c>
      <c r="BL795" s="137">
        <v>2</v>
      </c>
      <c r="BM795" s="137">
        <v>0</v>
      </c>
      <c r="BN795" s="134">
        <v>0</v>
      </c>
      <c r="BO795" s="351">
        <v>0</v>
      </c>
      <c r="BP795" s="134">
        <v>0.9983525535420098</v>
      </c>
      <c r="BQ795" s="214">
        <v>202</v>
      </c>
      <c r="BR795" s="137">
        <v>202</v>
      </c>
      <c r="BS795" s="138">
        <v>0</v>
      </c>
      <c r="BT795" s="351" t="s">
        <v>103</v>
      </c>
      <c r="BU795" s="214">
        <v>500</v>
      </c>
      <c r="BV795" s="214">
        <v>0</v>
      </c>
      <c r="BW795" s="214">
        <v>0</v>
      </c>
      <c r="BX795" s="214">
        <v>0</v>
      </c>
      <c r="BY795" s="214">
        <v>0</v>
      </c>
      <c r="BZ795" s="134">
        <v>0</v>
      </c>
      <c r="CA795" s="138">
        <v>1</v>
      </c>
      <c r="CB795" s="136">
        <v>0.41186161449752884</v>
      </c>
      <c r="CC795" s="136">
        <v>0</v>
      </c>
      <c r="CD795" s="136">
        <v>0</v>
      </c>
      <c r="CE795" s="137">
        <v>0</v>
      </c>
      <c r="CF795" s="137">
        <v>0</v>
      </c>
      <c r="CG795" s="137">
        <v>0</v>
      </c>
      <c r="CH795" s="214">
        <v>0</v>
      </c>
      <c r="CI795" s="139">
        <v>0</v>
      </c>
      <c r="CJ795" s="139">
        <v>0</v>
      </c>
      <c r="CK795" s="139" t="s">
        <v>969</v>
      </c>
      <c r="CL795" s="139" t="s">
        <v>969</v>
      </c>
      <c r="CM795" s="139" t="s">
        <v>969</v>
      </c>
      <c r="CN795" s="139" t="s">
        <v>454</v>
      </c>
      <c r="CO795" s="139">
        <v>20.257850646972699</v>
      </c>
      <c r="CP795" s="139">
        <v>92.811126708984403</v>
      </c>
      <c r="CQ795" s="139">
        <v>196161</v>
      </c>
      <c r="CR795" s="449" t="s">
        <v>40</v>
      </c>
      <c r="CS795" s="449"/>
      <c r="CT795" s="24"/>
      <c r="CU795" s="24"/>
      <c r="CV795" s="24"/>
    </row>
    <row r="796" spans="1:100" x14ac:dyDescent="0.25">
      <c r="A796" s="293" t="s">
        <v>2691</v>
      </c>
      <c r="B796" s="132" t="s">
        <v>447</v>
      </c>
      <c r="C796" s="132" t="s">
        <v>454</v>
      </c>
      <c r="D796" s="132" t="s">
        <v>455</v>
      </c>
      <c r="E796" s="132" t="s">
        <v>2763</v>
      </c>
      <c r="F796" s="132">
        <v>110</v>
      </c>
      <c r="G796" s="214">
        <v>500</v>
      </c>
      <c r="H796" s="132"/>
      <c r="I796" s="132" t="s">
        <v>449</v>
      </c>
      <c r="J796" s="133">
        <v>43356</v>
      </c>
      <c r="K796" s="132">
        <v>0</v>
      </c>
      <c r="L796" s="132" t="s">
        <v>282</v>
      </c>
      <c r="M796" s="134">
        <v>0</v>
      </c>
      <c r="N796" s="134">
        <v>0</v>
      </c>
      <c r="O796" s="320">
        <v>4</v>
      </c>
      <c r="P796" s="326">
        <v>40</v>
      </c>
      <c r="Q796" s="326">
        <v>0</v>
      </c>
      <c r="R796" s="315">
        <v>0</v>
      </c>
      <c r="S796" s="315">
        <v>0</v>
      </c>
      <c r="T796" s="315"/>
      <c r="U796" s="315">
        <v>0</v>
      </c>
      <c r="V796" s="315">
        <v>0</v>
      </c>
      <c r="W796" s="315">
        <v>0</v>
      </c>
      <c r="X796" s="315">
        <v>0</v>
      </c>
      <c r="Y796" s="315">
        <v>0</v>
      </c>
      <c r="Z796" s="315"/>
      <c r="AA796" s="336">
        <v>0</v>
      </c>
      <c r="AB796" s="336">
        <v>0</v>
      </c>
      <c r="AC796" s="337">
        <v>0</v>
      </c>
      <c r="AD796" s="337"/>
      <c r="AE796" s="336">
        <v>0</v>
      </c>
      <c r="AF796" s="336" t="s">
        <v>286</v>
      </c>
      <c r="AG796" s="339" t="s">
        <v>286</v>
      </c>
      <c r="AH796" s="339">
        <v>0</v>
      </c>
      <c r="AI796" s="336">
        <v>0</v>
      </c>
      <c r="AJ796" s="336"/>
      <c r="AK796" s="848">
        <v>0</v>
      </c>
      <c r="AL796" s="836" t="s">
        <v>284</v>
      </c>
      <c r="AM796" s="836">
        <v>0</v>
      </c>
      <c r="AN796" s="837">
        <v>0</v>
      </c>
      <c r="AO796" s="837">
        <v>1</v>
      </c>
      <c r="AP796" s="839">
        <v>0</v>
      </c>
      <c r="AQ796" s="839">
        <v>0</v>
      </c>
      <c r="AR796" s="839"/>
      <c r="AS796" s="839"/>
      <c r="AT796" s="839"/>
      <c r="AU796" s="839"/>
      <c r="AV796" s="849"/>
      <c r="AW796" s="134" t="s">
        <v>3208</v>
      </c>
      <c r="AX796" s="136" t="s">
        <v>3208</v>
      </c>
      <c r="AY796" s="137" t="s">
        <v>2576</v>
      </c>
      <c r="AZ796" s="136">
        <v>1</v>
      </c>
      <c r="BA796" s="136">
        <v>1</v>
      </c>
      <c r="BB796" s="136">
        <v>1</v>
      </c>
      <c r="BC796" s="214">
        <v>500</v>
      </c>
      <c r="BD796" s="136">
        <v>0</v>
      </c>
      <c r="BE796" s="214">
        <v>0</v>
      </c>
      <c r="BF796" s="136">
        <v>1</v>
      </c>
      <c r="BG796" s="214">
        <v>500</v>
      </c>
      <c r="BH796" s="214">
        <v>1</v>
      </c>
      <c r="BI796" s="134">
        <v>0</v>
      </c>
      <c r="BJ796" s="214">
        <v>0</v>
      </c>
      <c r="BK796" s="137">
        <v>0</v>
      </c>
      <c r="BL796" s="137">
        <v>1</v>
      </c>
      <c r="BM796" s="137">
        <v>0</v>
      </c>
      <c r="BN796" s="134">
        <v>0</v>
      </c>
      <c r="BO796" s="351">
        <v>0</v>
      </c>
      <c r="BP796" s="134">
        <v>0.99600000000000011</v>
      </c>
      <c r="BQ796" s="214">
        <v>83</v>
      </c>
      <c r="BR796" s="137">
        <v>83</v>
      </c>
      <c r="BS796" s="138">
        <v>0</v>
      </c>
      <c r="BT796" s="351" t="s">
        <v>103</v>
      </c>
      <c r="BU796" s="214">
        <v>500</v>
      </c>
      <c r="BV796" s="214">
        <v>0</v>
      </c>
      <c r="BW796" s="214">
        <v>1</v>
      </c>
      <c r="BX796" s="214">
        <v>0</v>
      </c>
      <c r="BY796" s="214">
        <v>0</v>
      </c>
      <c r="BZ796" s="134">
        <v>0</v>
      </c>
      <c r="CA796" s="138">
        <v>1</v>
      </c>
      <c r="CB796" s="136">
        <v>1</v>
      </c>
      <c r="CC796" s="136">
        <v>0</v>
      </c>
      <c r="CD796" s="136">
        <v>0</v>
      </c>
      <c r="CE796" s="137">
        <v>0</v>
      </c>
      <c r="CF796" s="137">
        <v>0</v>
      </c>
      <c r="CG796" s="137">
        <v>0</v>
      </c>
      <c r="CH796" s="214">
        <v>0</v>
      </c>
      <c r="CI796" s="139">
        <v>0</v>
      </c>
      <c r="CJ796" s="139">
        <v>0</v>
      </c>
      <c r="CK796" s="139" t="s">
        <v>969</v>
      </c>
      <c r="CL796" s="139" t="s">
        <v>969</v>
      </c>
      <c r="CM796" s="139" t="s">
        <v>969</v>
      </c>
      <c r="CN796" s="139" t="s">
        <v>2518</v>
      </c>
      <c r="CO796" s="139">
        <v>20.2235107421875</v>
      </c>
      <c r="CP796" s="139">
        <v>92.869842529296903</v>
      </c>
      <c r="CQ796" s="139">
        <v>196168</v>
      </c>
      <c r="CR796" s="449" t="s">
        <v>40</v>
      </c>
      <c r="CS796" s="449"/>
      <c r="CT796" s="24"/>
      <c r="CU796" s="24"/>
      <c r="CV796" s="24"/>
    </row>
    <row r="797" spans="1:100" x14ac:dyDescent="0.25">
      <c r="A797" s="293" t="s">
        <v>2691</v>
      </c>
      <c r="B797" s="132" t="s">
        <v>447</v>
      </c>
      <c r="C797" s="132" t="s">
        <v>454</v>
      </c>
      <c r="D797" s="132" t="s">
        <v>455</v>
      </c>
      <c r="E797" s="132" t="s">
        <v>603</v>
      </c>
      <c r="F797" s="132">
        <v>80</v>
      </c>
      <c r="G797" s="214">
        <v>359</v>
      </c>
      <c r="H797" s="132"/>
      <c r="I797" s="132" t="s">
        <v>449</v>
      </c>
      <c r="J797" s="133">
        <v>43356</v>
      </c>
      <c r="K797" s="132">
        <v>0</v>
      </c>
      <c r="L797" s="132" t="s">
        <v>282</v>
      </c>
      <c r="M797" s="134">
        <v>0</v>
      </c>
      <c r="N797" s="134">
        <v>0</v>
      </c>
      <c r="O797" s="320">
        <v>7</v>
      </c>
      <c r="P797" s="326">
        <v>13</v>
      </c>
      <c r="Q797" s="326">
        <v>0</v>
      </c>
      <c r="R797" s="315">
        <v>0</v>
      </c>
      <c r="S797" s="315">
        <v>0</v>
      </c>
      <c r="T797" s="315"/>
      <c r="U797" s="315">
        <v>0</v>
      </c>
      <c r="V797" s="315">
        <v>0</v>
      </c>
      <c r="W797" s="315">
        <v>0</v>
      </c>
      <c r="X797" s="315">
        <v>0</v>
      </c>
      <c r="Y797" s="315">
        <v>0</v>
      </c>
      <c r="Z797" s="315"/>
      <c r="AA797" s="336">
        <v>92</v>
      </c>
      <c r="AB797" s="336">
        <v>0</v>
      </c>
      <c r="AC797" s="337">
        <v>0</v>
      </c>
      <c r="AD797" s="337"/>
      <c r="AE797" s="336">
        <v>0</v>
      </c>
      <c r="AF797" s="336" t="s">
        <v>286</v>
      </c>
      <c r="AG797" s="339" t="s">
        <v>286</v>
      </c>
      <c r="AH797" s="339">
        <v>0</v>
      </c>
      <c r="AI797" s="336">
        <v>0</v>
      </c>
      <c r="AJ797" s="336"/>
      <c r="AK797" s="848">
        <v>0</v>
      </c>
      <c r="AL797" s="836" t="s">
        <v>284</v>
      </c>
      <c r="AM797" s="836">
        <v>0</v>
      </c>
      <c r="AN797" s="837">
        <v>0</v>
      </c>
      <c r="AO797" s="837">
        <v>1</v>
      </c>
      <c r="AP797" s="839">
        <v>0</v>
      </c>
      <c r="AQ797" s="839">
        <v>0</v>
      </c>
      <c r="AR797" s="839"/>
      <c r="AS797" s="839"/>
      <c r="AT797" s="839"/>
      <c r="AU797" s="839"/>
      <c r="AV797" s="849"/>
      <c r="AW797" s="134" t="s">
        <v>3208</v>
      </c>
      <c r="AX797" s="136" t="s">
        <v>3208</v>
      </c>
      <c r="AY797" s="137" t="s">
        <v>2576</v>
      </c>
      <c r="AZ797" s="136">
        <v>1</v>
      </c>
      <c r="BA797" s="136">
        <v>1</v>
      </c>
      <c r="BB797" s="136">
        <v>1</v>
      </c>
      <c r="BC797" s="214">
        <v>359</v>
      </c>
      <c r="BD797" s="136">
        <v>0</v>
      </c>
      <c r="BE797" s="214">
        <v>0</v>
      </c>
      <c r="BF797" s="136">
        <v>1</v>
      </c>
      <c r="BG797" s="214">
        <v>359</v>
      </c>
      <c r="BH797" s="214">
        <v>0.71799999999999997</v>
      </c>
      <c r="BI797" s="134">
        <v>0</v>
      </c>
      <c r="BJ797" s="214">
        <v>0</v>
      </c>
      <c r="BK797" s="137">
        <v>0.28200000000000003</v>
      </c>
      <c r="BL797" s="137">
        <v>1</v>
      </c>
      <c r="BM797" s="137">
        <v>92</v>
      </c>
      <c r="BN797" s="134">
        <v>1</v>
      </c>
      <c r="BO797" s="351">
        <v>359</v>
      </c>
      <c r="BP797" s="134">
        <v>0</v>
      </c>
      <c r="BQ797" s="214">
        <v>0</v>
      </c>
      <c r="BR797" s="137">
        <v>60</v>
      </c>
      <c r="BS797" s="138">
        <v>0</v>
      </c>
      <c r="BT797" s="351" t="s">
        <v>103</v>
      </c>
      <c r="BU797" s="214">
        <v>359</v>
      </c>
      <c r="BV797" s="214">
        <v>0</v>
      </c>
      <c r="BW797" s="214">
        <v>1</v>
      </c>
      <c r="BX797" s="214">
        <v>0</v>
      </c>
      <c r="BY797" s="214">
        <v>0</v>
      </c>
      <c r="BZ797" s="134">
        <v>0</v>
      </c>
      <c r="CA797" s="138">
        <v>1</v>
      </c>
      <c r="CB797" s="136">
        <v>1</v>
      </c>
      <c r="CC797" s="136">
        <v>0</v>
      </c>
      <c r="CD797" s="136">
        <v>0</v>
      </c>
      <c r="CE797" s="137">
        <v>0</v>
      </c>
      <c r="CF797" s="137">
        <v>0</v>
      </c>
      <c r="CG797" s="137">
        <v>0</v>
      </c>
      <c r="CH797" s="214">
        <v>0</v>
      </c>
      <c r="CI797" s="139">
        <v>0</v>
      </c>
      <c r="CJ797" s="139">
        <v>0</v>
      </c>
      <c r="CK797" s="139" t="s">
        <v>969</v>
      </c>
      <c r="CL797" s="139" t="s">
        <v>969</v>
      </c>
      <c r="CM797" s="139" t="s">
        <v>969</v>
      </c>
      <c r="CN797" s="139" t="s">
        <v>454</v>
      </c>
      <c r="CO797" s="139">
        <v>20.202400000000001</v>
      </c>
      <c r="CP797" s="139">
        <v>92.812799999999996</v>
      </c>
      <c r="CQ797" s="139" t="s">
        <v>1660</v>
      </c>
      <c r="CR797" s="449" t="s">
        <v>40</v>
      </c>
      <c r="CS797" s="449"/>
      <c r="CT797" s="24"/>
      <c r="CU797" s="24"/>
      <c r="CV797" s="24"/>
    </row>
    <row r="798" spans="1:100" x14ac:dyDescent="0.25">
      <c r="A798" s="293" t="s">
        <v>2691</v>
      </c>
      <c r="B798" s="132" t="s">
        <v>2899</v>
      </c>
      <c r="C798" s="132" t="s">
        <v>866</v>
      </c>
      <c r="D798" s="132" t="s">
        <v>888</v>
      </c>
      <c r="E798" s="132" t="s">
        <v>889</v>
      </c>
      <c r="F798" s="132">
        <v>34</v>
      </c>
      <c r="G798" s="214">
        <v>182</v>
      </c>
      <c r="H798" s="132">
        <v>57</v>
      </c>
      <c r="I798" s="132" t="s">
        <v>2903</v>
      </c>
      <c r="J798" s="133" t="s">
        <v>2915</v>
      </c>
      <c r="K798" s="132">
        <v>0</v>
      </c>
      <c r="L798" s="132" t="s">
        <v>48</v>
      </c>
      <c r="M798" s="134">
        <v>0.71</v>
      </c>
      <c r="N798" s="134">
        <v>1</v>
      </c>
      <c r="O798" s="320">
        <v>2</v>
      </c>
      <c r="P798" s="326"/>
      <c r="Q798" s="326">
        <v>9000</v>
      </c>
      <c r="R798" s="315"/>
      <c r="S798" s="315">
        <v>2</v>
      </c>
      <c r="T798" s="315"/>
      <c r="U798" s="315">
        <v>0</v>
      </c>
      <c r="V798" s="315">
        <v>0</v>
      </c>
      <c r="W798" s="315">
        <v>0</v>
      </c>
      <c r="X798" s="315">
        <v>0</v>
      </c>
      <c r="Y798" s="315">
        <v>0</v>
      </c>
      <c r="Z798" s="315"/>
      <c r="AA798" s="336">
        <v>8</v>
      </c>
      <c r="AB798" s="336">
        <v>3</v>
      </c>
      <c r="AC798" s="337">
        <v>0</v>
      </c>
      <c r="AD798" s="337"/>
      <c r="AE798" s="336">
        <v>8</v>
      </c>
      <c r="AF798" s="336" t="s">
        <v>283</v>
      </c>
      <c r="AG798" s="339" t="s">
        <v>332</v>
      </c>
      <c r="AH798" s="339">
        <v>0</v>
      </c>
      <c r="AI798" s="336">
        <v>0</v>
      </c>
      <c r="AJ798" s="336"/>
      <c r="AK798" s="848">
        <v>1</v>
      </c>
      <c r="AL798" s="842" t="s">
        <v>376</v>
      </c>
      <c r="AM798" s="836"/>
      <c r="AN798" s="837">
        <v>4</v>
      </c>
      <c r="AO798" s="837">
        <v>2</v>
      </c>
      <c r="AP798" s="839">
        <v>0</v>
      </c>
      <c r="AQ798" s="839">
        <v>0</v>
      </c>
      <c r="AR798" s="839"/>
      <c r="AS798" s="839"/>
      <c r="AT798" s="839"/>
      <c r="AU798" s="839"/>
      <c r="AV798" s="849"/>
      <c r="AW798" s="134" t="s">
        <v>3208</v>
      </c>
      <c r="AX798" s="136" t="s">
        <v>3208</v>
      </c>
      <c r="AY798" s="137" t="s">
        <v>2576</v>
      </c>
      <c r="AZ798" s="136">
        <v>1</v>
      </c>
      <c r="BA798" s="136">
        <v>1</v>
      </c>
      <c r="BB798" s="136">
        <v>1</v>
      </c>
      <c r="BC798" s="214">
        <v>182</v>
      </c>
      <c r="BD798" s="136">
        <v>0</v>
      </c>
      <c r="BE798" s="214">
        <v>0</v>
      </c>
      <c r="BF798" s="136">
        <v>1</v>
      </c>
      <c r="BG798" s="214">
        <v>182</v>
      </c>
      <c r="BH798" s="214">
        <v>0.36399999999999999</v>
      </c>
      <c r="BI798" s="134">
        <v>0</v>
      </c>
      <c r="BJ798" s="214">
        <v>0</v>
      </c>
      <c r="BK798" s="137">
        <v>0.63600000000000001</v>
      </c>
      <c r="BL798" s="137">
        <v>1</v>
      </c>
      <c r="BM798" s="137">
        <v>11</v>
      </c>
      <c r="BN798" s="134">
        <v>0.87912087912087911</v>
      </c>
      <c r="BO798" s="351">
        <v>160</v>
      </c>
      <c r="BP798" s="134">
        <v>0</v>
      </c>
      <c r="BQ798" s="214">
        <v>0</v>
      </c>
      <c r="BR798" s="137">
        <v>9</v>
      </c>
      <c r="BS798" s="138">
        <v>0.27272727272727271</v>
      </c>
      <c r="BT798" s="351">
        <v>0</v>
      </c>
      <c r="BU798" s="214">
        <v>182</v>
      </c>
      <c r="BV798" s="214">
        <v>0</v>
      </c>
      <c r="BW798" s="214">
        <v>1</v>
      </c>
      <c r="BX798" s="214">
        <v>0</v>
      </c>
      <c r="BY798" s="214">
        <v>0</v>
      </c>
      <c r="BZ798" s="134">
        <v>0</v>
      </c>
      <c r="CA798" s="138">
        <v>1</v>
      </c>
      <c r="CB798" s="136">
        <v>1</v>
      </c>
      <c r="CC798" s="136">
        <v>0</v>
      </c>
      <c r="CD798" s="136">
        <v>0</v>
      </c>
      <c r="CE798" s="137">
        <v>0</v>
      </c>
      <c r="CF798" s="137">
        <v>0</v>
      </c>
      <c r="CG798" s="137">
        <v>0</v>
      </c>
      <c r="CH798" s="214">
        <v>34</v>
      </c>
      <c r="CI798" s="139" t="s">
        <v>48</v>
      </c>
      <c r="CJ798" s="139" t="s">
        <v>287</v>
      </c>
      <c r="CK798" s="139" t="s">
        <v>50</v>
      </c>
      <c r="CL798" s="139" t="s">
        <v>50</v>
      </c>
      <c r="CM798" s="139" t="s">
        <v>50</v>
      </c>
      <c r="CN798" s="139" t="s">
        <v>51</v>
      </c>
      <c r="CO798" s="139">
        <v>23.354268999999999</v>
      </c>
      <c r="CP798" s="139">
        <v>98.218626999999998</v>
      </c>
      <c r="CQ798" s="139" t="s">
        <v>1886</v>
      </c>
      <c r="CR798" s="449" t="s">
        <v>40</v>
      </c>
      <c r="CS798" s="449"/>
      <c r="CT798" s="24"/>
      <c r="CU798" s="24"/>
      <c r="CV798" s="24"/>
    </row>
    <row r="799" spans="1:100" x14ac:dyDescent="0.25">
      <c r="A799" s="293" t="s">
        <v>2691</v>
      </c>
      <c r="B799" s="132" t="s">
        <v>2899</v>
      </c>
      <c r="C799" s="132" t="s">
        <v>866</v>
      </c>
      <c r="D799" s="132" t="s">
        <v>888</v>
      </c>
      <c r="E799" s="132" t="s">
        <v>920</v>
      </c>
      <c r="F799" s="132">
        <v>26</v>
      </c>
      <c r="G799" s="214">
        <v>108</v>
      </c>
      <c r="H799" s="705">
        <v>43</v>
      </c>
      <c r="I799" s="132" t="s">
        <v>2912</v>
      </c>
      <c r="J799" s="133" t="s">
        <v>2913</v>
      </c>
      <c r="K799" s="132"/>
      <c r="L799" s="132" t="s">
        <v>282</v>
      </c>
      <c r="M799" s="134">
        <v>0</v>
      </c>
      <c r="N799" s="134">
        <v>0</v>
      </c>
      <c r="O799" s="320">
        <v>1</v>
      </c>
      <c r="P799" s="326">
        <v>0</v>
      </c>
      <c r="Q799" s="326"/>
      <c r="R799" s="315"/>
      <c r="S799" s="315">
        <v>0</v>
      </c>
      <c r="T799" s="315"/>
      <c r="U799" s="315">
        <v>0</v>
      </c>
      <c r="V799" s="315">
        <v>0</v>
      </c>
      <c r="W799" s="315">
        <v>0</v>
      </c>
      <c r="X799" s="315">
        <v>0</v>
      </c>
      <c r="Y799" s="315">
        <v>0</v>
      </c>
      <c r="Z799" s="315"/>
      <c r="AA799" s="336">
        <v>37</v>
      </c>
      <c r="AB799" s="336">
        <v>0</v>
      </c>
      <c r="AC799" s="337">
        <v>0</v>
      </c>
      <c r="AD799" s="337"/>
      <c r="AE799" s="336">
        <v>0</v>
      </c>
      <c r="AF799" s="336" t="s">
        <v>286</v>
      </c>
      <c r="AG799" s="336" t="s">
        <v>286</v>
      </c>
      <c r="AH799" s="339"/>
      <c r="AI799" s="336"/>
      <c r="AJ799" s="336"/>
      <c r="AK799" s="848"/>
      <c r="AL799" s="836"/>
      <c r="AM799" s="836">
        <v>0</v>
      </c>
      <c r="AN799" s="837"/>
      <c r="AO799" s="837">
        <v>1</v>
      </c>
      <c r="AP799" s="839">
        <v>0</v>
      </c>
      <c r="AQ799" s="839">
        <v>0</v>
      </c>
      <c r="AR799" s="839"/>
      <c r="AS799" s="839"/>
      <c r="AT799" s="839"/>
      <c r="AU799" s="839"/>
      <c r="AV799" s="849"/>
      <c r="AW799" s="134" t="s">
        <v>3208</v>
      </c>
      <c r="AX799" s="136" t="s">
        <v>3208</v>
      </c>
      <c r="AY799" s="137" t="s">
        <v>2576</v>
      </c>
      <c r="AZ799" s="136">
        <v>1</v>
      </c>
      <c r="BA799" s="136">
        <v>1</v>
      </c>
      <c r="BB799" s="136">
        <v>1</v>
      </c>
      <c r="BC799" s="214">
        <v>108</v>
      </c>
      <c r="BD799" s="136">
        <v>0</v>
      </c>
      <c r="BE799" s="214">
        <v>0</v>
      </c>
      <c r="BF799" s="136">
        <v>1</v>
      </c>
      <c r="BG799" s="214">
        <v>108</v>
      </c>
      <c r="BH799" s="214">
        <v>0.216</v>
      </c>
      <c r="BI799" s="134">
        <v>0</v>
      </c>
      <c r="BJ799" s="214">
        <v>0</v>
      </c>
      <c r="BK799" s="137">
        <v>0.78400000000000003</v>
      </c>
      <c r="BL799" s="137">
        <v>1</v>
      </c>
      <c r="BM799" s="137">
        <v>37</v>
      </c>
      <c r="BN799" s="134">
        <v>1</v>
      </c>
      <c r="BO799" s="351">
        <v>108</v>
      </c>
      <c r="BP799" s="134">
        <v>0</v>
      </c>
      <c r="BQ799" s="214">
        <v>0</v>
      </c>
      <c r="BR799" s="137">
        <v>5</v>
      </c>
      <c r="BS799" s="138">
        <v>0</v>
      </c>
      <c r="BT799" s="351">
        <v>0</v>
      </c>
      <c r="BU799" s="214">
        <v>108</v>
      </c>
      <c r="BV799" s="214">
        <v>0</v>
      </c>
      <c r="BW799" s="214">
        <v>1</v>
      </c>
      <c r="BX799" s="214">
        <v>0</v>
      </c>
      <c r="BY799" s="214">
        <v>0</v>
      </c>
      <c r="BZ799" s="134">
        <v>0</v>
      </c>
      <c r="CA799" s="138">
        <v>1</v>
      </c>
      <c r="CB799" s="136">
        <v>1</v>
      </c>
      <c r="CC799" s="136">
        <v>0</v>
      </c>
      <c r="CD799" s="136">
        <v>0</v>
      </c>
      <c r="CE799" s="137">
        <v>0</v>
      </c>
      <c r="CF799" s="137">
        <v>0</v>
      </c>
      <c r="CG799" s="137">
        <v>0</v>
      </c>
      <c r="CH799" s="214">
        <v>0</v>
      </c>
      <c r="CI799" s="139">
        <v>0</v>
      </c>
      <c r="CJ799" s="139">
        <v>0</v>
      </c>
      <c r="CK799" s="139" t="s">
        <v>50</v>
      </c>
      <c r="CL799" s="139" t="s">
        <v>50</v>
      </c>
      <c r="CM799" s="139" t="s">
        <v>929</v>
      </c>
      <c r="CN799" s="139" t="s">
        <v>51</v>
      </c>
      <c r="CO799" s="139">
        <v>23.353999999999999</v>
      </c>
      <c r="CP799" s="139">
        <v>98.221000000000004</v>
      </c>
      <c r="CQ799" s="139" t="s">
        <v>1885</v>
      </c>
      <c r="CR799" s="449" t="s">
        <v>40</v>
      </c>
      <c r="CS799" s="449"/>
      <c r="CT799" s="24"/>
      <c r="CU799" s="24"/>
      <c r="CV799" s="24"/>
    </row>
    <row r="800" spans="1:100" x14ac:dyDescent="0.25">
      <c r="A800" s="293" t="s">
        <v>2691</v>
      </c>
      <c r="B800" s="206" t="s">
        <v>460</v>
      </c>
      <c r="C800" s="206" t="s">
        <v>866</v>
      </c>
      <c r="D800" s="206" t="s">
        <v>911</v>
      </c>
      <c r="E800" s="206" t="s">
        <v>912</v>
      </c>
      <c r="F800" s="206">
        <v>37</v>
      </c>
      <c r="G800" s="209">
        <v>120</v>
      </c>
      <c r="H800" s="206"/>
      <c r="I800" s="206"/>
      <c r="J800" s="207"/>
      <c r="K800" s="206"/>
      <c r="L800" s="206" t="s">
        <v>282</v>
      </c>
      <c r="M800" s="208">
        <v>0</v>
      </c>
      <c r="N800" s="208">
        <v>0</v>
      </c>
      <c r="O800" s="316"/>
      <c r="P800" s="317"/>
      <c r="Q800" s="317"/>
      <c r="R800" s="318"/>
      <c r="S800" s="318"/>
      <c r="T800" s="318"/>
      <c r="U800" s="318"/>
      <c r="V800" s="318"/>
      <c r="W800" s="318"/>
      <c r="X800" s="318"/>
      <c r="Y800" s="318"/>
      <c r="Z800" s="318"/>
      <c r="AA800" s="310">
        <v>0</v>
      </c>
      <c r="AB800" s="310"/>
      <c r="AC800" s="66"/>
      <c r="AD800" s="337"/>
      <c r="AE800" s="310"/>
      <c r="AF800" s="310" t="s">
        <v>286</v>
      </c>
      <c r="AG800" s="311" t="s">
        <v>286</v>
      </c>
      <c r="AH800" s="311"/>
      <c r="AI800" s="310"/>
      <c r="AJ800" s="310"/>
      <c r="AK800" s="841"/>
      <c r="AL800" s="842"/>
      <c r="AM800" s="842"/>
      <c r="AN800" s="837"/>
      <c r="AO800" s="837"/>
      <c r="AP800" s="843"/>
      <c r="AQ800" s="843"/>
      <c r="AR800" s="843"/>
      <c r="AS800" s="843"/>
      <c r="AT800" s="843"/>
      <c r="AU800" s="843"/>
      <c r="AV800" s="844"/>
      <c r="AW800" s="208" t="s">
        <v>3208</v>
      </c>
      <c r="AX800" s="211" t="s">
        <v>3208</v>
      </c>
      <c r="AY800" s="210" t="s">
        <v>2576</v>
      </c>
      <c r="AZ800" s="136">
        <v>0</v>
      </c>
      <c r="BA800" s="211">
        <v>0</v>
      </c>
      <c r="BB800" s="211">
        <v>0</v>
      </c>
      <c r="BC800" s="209">
        <v>0</v>
      </c>
      <c r="BD800" s="211">
        <v>0</v>
      </c>
      <c r="BE800" s="209">
        <v>0</v>
      </c>
      <c r="BF800" s="211">
        <v>0</v>
      </c>
      <c r="BG800" s="209">
        <v>0</v>
      </c>
      <c r="BH800" s="209">
        <v>0</v>
      </c>
      <c r="BI800" s="208">
        <v>1</v>
      </c>
      <c r="BJ800" s="209">
        <v>120</v>
      </c>
      <c r="BK800" s="210">
        <v>1</v>
      </c>
      <c r="BL800" s="210">
        <v>1</v>
      </c>
      <c r="BM800" s="210">
        <v>0</v>
      </c>
      <c r="BN800" s="208">
        <v>0</v>
      </c>
      <c r="BO800" s="352">
        <v>0</v>
      </c>
      <c r="BP800" s="208">
        <v>1</v>
      </c>
      <c r="BQ800" s="209">
        <v>6</v>
      </c>
      <c r="BR800" s="210">
        <v>6</v>
      </c>
      <c r="BS800" s="212">
        <v>0</v>
      </c>
      <c r="BT800" s="352">
        <v>0</v>
      </c>
      <c r="BU800" s="209">
        <v>0</v>
      </c>
      <c r="BV800" s="209">
        <v>0</v>
      </c>
      <c r="BW800" s="209">
        <v>0</v>
      </c>
      <c r="BX800" s="209">
        <v>0</v>
      </c>
      <c r="BY800" s="209">
        <v>0</v>
      </c>
      <c r="BZ800" s="208">
        <v>0</v>
      </c>
      <c r="CA800" s="212">
        <v>1</v>
      </c>
      <c r="CB800" s="211">
        <v>0</v>
      </c>
      <c r="CC800" s="211">
        <v>0</v>
      </c>
      <c r="CD800" s="211">
        <v>0</v>
      </c>
      <c r="CE800" s="210">
        <v>0</v>
      </c>
      <c r="CF800" s="210">
        <v>0</v>
      </c>
      <c r="CG800" s="210">
        <v>0</v>
      </c>
      <c r="CH800" s="209">
        <v>0</v>
      </c>
      <c r="CI800" s="139">
        <v>0</v>
      </c>
      <c r="CJ800" s="139" t="s">
        <v>2959</v>
      </c>
      <c r="CK800" s="139" t="s">
        <v>50</v>
      </c>
      <c r="CL800" s="139" t="s">
        <v>50</v>
      </c>
      <c r="CM800" s="139" t="s">
        <v>946</v>
      </c>
      <c r="CN800" s="139" t="s">
        <v>51</v>
      </c>
      <c r="CO800" s="139">
        <v>22.677008000000001</v>
      </c>
      <c r="CP800" s="139">
        <v>97.314762999999999</v>
      </c>
      <c r="CQ800" s="139" t="s">
        <v>1877</v>
      </c>
      <c r="CR800" s="660" t="s">
        <v>3209</v>
      </c>
      <c r="CS800" s="660" t="s">
        <v>2793</v>
      </c>
      <c r="CT800" s="24"/>
      <c r="CU800" s="24"/>
      <c r="CV800" s="24"/>
    </row>
    <row r="801" spans="1:100" x14ac:dyDescent="0.25">
      <c r="A801" s="293" t="s">
        <v>2691</v>
      </c>
      <c r="B801" s="132" t="s">
        <v>2538</v>
      </c>
      <c r="C801" s="132" t="s">
        <v>866</v>
      </c>
      <c r="D801" s="132" t="s">
        <v>870</v>
      </c>
      <c r="E801" s="132" t="s">
        <v>895</v>
      </c>
      <c r="F801" s="132">
        <v>86</v>
      </c>
      <c r="G801" s="214">
        <v>300</v>
      </c>
      <c r="H801" s="132">
        <v>50</v>
      </c>
      <c r="I801" s="132" t="s">
        <v>2504</v>
      </c>
      <c r="J801" s="133" t="s">
        <v>2904</v>
      </c>
      <c r="K801" s="132">
        <v>0</v>
      </c>
      <c r="L801" s="132" t="s">
        <v>48</v>
      </c>
      <c r="M801" s="134">
        <v>0.11</v>
      </c>
      <c r="N801" s="134">
        <v>0.5</v>
      </c>
      <c r="O801" s="320">
        <v>0</v>
      </c>
      <c r="P801" s="326">
        <v>0</v>
      </c>
      <c r="Q801" s="326">
        <v>8640</v>
      </c>
      <c r="R801" s="315">
        <v>0</v>
      </c>
      <c r="S801" s="315">
        <v>8</v>
      </c>
      <c r="T801" s="315"/>
      <c r="U801" s="315">
        <v>0</v>
      </c>
      <c r="V801" s="315">
        <v>0</v>
      </c>
      <c r="W801" s="315">
        <v>0</v>
      </c>
      <c r="X801" s="315">
        <v>0</v>
      </c>
      <c r="Y801" s="315">
        <v>0</v>
      </c>
      <c r="Z801" s="315"/>
      <c r="AA801" s="336">
        <v>86</v>
      </c>
      <c r="AB801" s="336">
        <v>0</v>
      </c>
      <c r="AC801" s="337">
        <v>0</v>
      </c>
      <c r="AD801" s="337"/>
      <c r="AE801" s="336">
        <v>89</v>
      </c>
      <c r="AF801" s="336" t="s">
        <v>286</v>
      </c>
      <c r="AG801" s="339" t="s">
        <v>286</v>
      </c>
      <c r="AH801" s="339">
        <v>0</v>
      </c>
      <c r="AI801" s="336">
        <v>0</v>
      </c>
      <c r="AJ801" s="336"/>
      <c r="AK801" s="848">
        <v>0</v>
      </c>
      <c r="AL801" s="836" t="s">
        <v>284</v>
      </c>
      <c r="AM801" s="836">
        <v>0</v>
      </c>
      <c r="AN801" s="837">
        <v>0</v>
      </c>
      <c r="AO801" s="837">
        <v>0</v>
      </c>
      <c r="AP801" s="839">
        <v>0</v>
      </c>
      <c r="AQ801" s="839">
        <v>0</v>
      </c>
      <c r="AR801" s="839"/>
      <c r="AS801" s="839"/>
      <c r="AT801" s="839"/>
      <c r="AU801" s="839"/>
      <c r="AV801" s="849"/>
      <c r="AW801" s="134" t="s">
        <v>3208</v>
      </c>
      <c r="AX801" s="136" t="s">
        <v>3208</v>
      </c>
      <c r="AY801" s="137" t="s">
        <v>2576</v>
      </c>
      <c r="AZ801" s="136">
        <v>1</v>
      </c>
      <c r="BA801" s="136">
        <v>1</v>
      </c>
      <c r="BB801" s="136">
        <v>1</v>
      </c>
      <c r="BC801" s="214">
        <v>300</v>
      </c>
      <c r="BD801" s="136">
        <v>0</v>
      </c>
      <c r="BE801" s="214">
        <v>0</v>
      </c>
      <c r="BF801" s="136">
        <v>1</v>
      </c>
      <c r="BG801" s="214">
        <v>300</v>
      </c>
      <c r="BH801" s="214">
        <v>0.6</v>
      </c>
      <c r="BI801" s="134">
        <v>0</v>
      </c>
      <c r="BJ801" s="214">
        <v>0</v>
      </c>
      <c r="BK801" s="137">
        <v>0.4</v>
      </c>
      <c r="BL801" s="137">
        <v>1</v>
      </c>
      <c r="BM801" s="137">
        <v>86</v>
      </c>
      <c r="BN801" s="134">
        <v>1</v>
      </c>
      <c r="BO801" s="351">
        <v>300</v>
      </c>
      <c r="BP801" s="134">
        <v>0</v>
      </c>
      <c r="BQ801" s="214">
        <v>0</v>
      </c>
      <c r="BR801" s="137">
        <v>50</v>
      </c>
      <c r="BS801" s="138">
        <v>0</v>
      </c>
      <c r="BT801" s="351">
        <v>0</v>
      </c>
      <c r="BU801" s="214">
        <v>0</v>
      </c>
      <c r="BV801" s="214">
        <v>0</v>
      </c>
      <c r="BW801" s="214">
        <v>0</v>
      </c>
      <c r="BX801" s="214">
        <v>0</v>
      </c>
      <c r="BY801" s="214">
        <v>0</v>
      </c>
      <c r="BZ801" s="134">
        <v>0</v>
      </c>
      <c r="CA801" s="138">
        <v>1</v>
      </c>
      <c r="CB801" s="136">
        <v>0</v>
      </c>
      <c r="CC801" s="136">
        <v>0</v>
      </c>
      <c r="CD801" s="136">
        <v>0</v>
      </c>
      <c r="CE801" s="137">
        <v>0</v>
      </c>
      <c r="CF801" s="137">
        <v>0</v>
      </c>
      <c r="CG801" s="137">
        <v>0</v>
      </c>
      <c r="CH801" s="214">
        <v>0</v>
      </c>
      <c r="CI801" s="139" t="s">
        <v>48</v>
      </c>
      <c r="CJ801" s="139" t="s">
        <v>287</v>
      </c>
      <c r="CK801" s="139" t="s">
        <v>50</v>
      </c>
      <c r="CL801" s="139" t="s">
        <v>1139</v>
      </c>
      <c r="CM801" s="139" t="s">
        <v>929</v>
      </c>
      <c r="CN801" s="139" t="s">
        <v>51</v>
      </c>
      <c r="CO801" s="139">
        <v>23.4008</v>
      </c>
      <c r="CP801" s="139">
        <v>97.848529999999997</v>
      </c>
      <c r="CQ801" s="139" t="s">
        <v>1890</v>
      </c>
      <c r="CR801" s="449" t="s">
        <v>40</v>
      </c>
      <c r="CS801" s="449"/>
      <c r="CT801" s="24"/>
      <c r="CU801" s="24"/>
      <c r="CV801" s="24"/>
    </row>
    <row r="802" spans="1:100" x14ac:dyDescent="0.25">
      <c r="A802" s="293" t="s">
        <v>2691</v>
      </c>
      <c r="B802" s="132" t="s">
        <v>2899</v>
      </c>
      <c r="C802" s="132" t="s">
        <v>866</v>
      </c>
      <c r="D802" s="132" t="s">
        <v>870</v>
      </c>
      <c r="E802" s="132" t="s">
        <v>896</v>
      </c>
      <c r="F802" s="132">
        <v>57</v>
      </c>
      <c r="G802" s="214">
        <v>274</v>
      </c>
      <c r="H802" s="132">
        <v>126</v>
      </c>
      <c r="I802" s="132" t="s">
        <v>2902</v>
      </c>
      <c r="J802" s="133" t="s">
        <v>2905</v>
      </c>
      <c r="K802" s="132">
        <v>0</v>
      </c>
      <c r="L802" s="132" t="s">
        <v>48</v>
      </c>
      <c r="M802" s="134">
        <v>0.8</v>
      </c>
      <c r="N802" s="134">
        <v>0.6</v>
      </c>
      <c r="O802" s="320"/>
      <c r="P802" s="326">
        <v>2</v>
      </c>
      <c r="Q802" s="326">
        <v>8100</v>
      </c>
      <c r="R802" s="315"/>
      <c r="S802" s="315">
        <v>3</v>
      </c>
      <c r="T802" s="315"/>
      <c r="U802" s="315">
        <v>0</v>
      </c>
      <c r="V802" s="315">
        <v>0</v>
      </c>
      <c r="W802" s="315">
        <v>0</v>
      </c>
      <c r="X802" s="315">
        <v>0</v>
      </c>
      <c r="Y802" s="315">
        <v>0</v>
      </c>
      <c r="Z802" s="315" t="s">
        <v>2791</v>
      </c>
      <c r="AA802" s="336">
        <v>10</v>
      </c>
      <c r="AB802" s="336">
        <v>0</v>
      </c>
      <c r="AC802" s="337">
        <v>0</v>
      </c>
      <c r="AD802" s="337"/>
      <c r="AE802" s="336">
        <v>10</v>
      </c>
      <c r="AF802" s="336" t="s">
        <v>283</v>
      </c>
      <c r="AG802" s="339" t="s">
        <v>283</v>
      </c>
      <c r="AH802" s="339">
        <v>0</v>
      </c>
      <c r="AI802" s="336">
        <v>0</v>
      </c>
      <c r="AJ802" s="336"/>
      <c r="AK802" s="848">
        <v>0.8</v>
      </c>
      <c r="AL802" s="842" t="s">
        <v>376</v>
      </c>
      <c r="AM802" s="836"/>
      <c r="AN802" s="837">
        <v>2</v>
      </c>
      <c r="AO802" s="837">
        <v>1</v>
      </c>
      <c r="AP802" s="839">
        <v>0</v>
      </c>
      <c r="AQ802" s="839">
        <v>0</v>
      </c>
      <c r="AR802" s="839"/>
      <c r="AS802" s="839"/>
      <c r="AT802" s="839"/>
      <c r="AU802" s="839"/>
      <c r="AV802" s="849"/>
      <c r="AW802" s="134" t="s">
        <v>3208</v>
      </c>
      <c r="AX802" s="136" t="s">
        <v>3208</v>
      </c>
      <c r="AY802" s="137" t="s">
        <v>2576</v>
      </c>
      <c r="AZ802" s="136">
        <v>1</v>
      </c>
      <c r="BA802" s="136">
        <v>1</v>
      </c>
      <c r="BB802" s="136">
        <v>1</v>
      </c>
      <c r="BC802" s="214">
        <v>274</v>
      </c>
      <c r="BD802" s="136">
        <v>0</v>
      </c>
      <c r="BE802" s="214">
        <v>0</v>
      </c>
      <c r="BF802" s="136">
        <v>1</v>
      </c>
      <c r="BG802" s="214">
        <v>274</v>
      </c>
      <c r="BH802" s="214">
        <v>0.54800000000000004</v>
      </c>
      <c r="BI802" s="134">
        <v>0</v>
      </c>
      <c r="BJ802" s="214">
        <v>0</v>
      </c>
      <c r="BK802" s="137">
        <v>0.45199999999999996</v>
      </c>
      <c r="BL802" s="137">
        <v>1</v>
      </c>
      <c r="BM802" s="137">
        <v>10</v>
      </c>
      <c r="BN802" s="134">
        <v>0.72992700729927007</v>
      </c>
      <c r="BO802" s="351">
        <v>200</v>
      </c>
      <c r="BP802" s="134">
        <v>0.29197080291970806</v>
      </c>
      <c r="BQ802" s="214">
        <v>4</v>
      </c>
      <c r="BR802" s="137">
        <v>14</v>
      </c>
      <c r="BS802" s="138">
        <v>0</v>
      </c>
      <c r="BT802" s="351">
        <v>0</v>
      </c>
      <c r="BU802" s="214">
        <v>274</v>
      </c>
      <c r="BV802" s="214">
        <v>0</v>
      </c>
      <c r="BW802" s="214">
        <v>1</v>
      </c>
      <c r="BX802" s="214">
        <v>0</v>
      </c>
      <c r="BY802" s="214">
        <v>0</v>
      </c>
      <c r="BZ802" s="134">
        <v>0</v>
      </c>
      <c r="CA802" s="138">
        <v>1</v>
      </c>
      <c r="CB802" s="136">
        <v>1</v>
      </c>
      <c r="CC802" s="136">
        <v>0</v>
      </c>
      <c r="CD802" s="136">
        <v>0</v>
      </c>
      <c r="CE802" s="137">
        <v>0</v>
      </c>
      <c r="CF802" s="137">
        <v>0</v>
      </c>
      <c r="CG802" s="137">
        <v>0</v>
      </c>
      <c r="CH802" s="214">
        <v>45.6</v>
      </c>
      <c r="CI802" s="139" t="s">
        <v>48</v>
      </c>
      <c r="CJ802" s="139" t="s">
        <v>287</v>
      </c>
      <c r="CK802" s="139" t="s">
        <v>50</v>
      </c>
      <c r="CL802" s="139" t="s">
        <v>50</v>
      </c>
      <c r="CM802" s="139" t="s">
        <v>50</v>
      </c>
      <c r="CN802" s="139" t="s">
        <v>51</v>
      </c>
      <c r="CO802" s="139">
        <v>23.450914000000001</v>
      </c>
      <c r="CP802" s="139">
        <v>97.926813999999993</v>
      </c>
      <c r="CQ802" s="139" t="s">
        <v>1892</v>
      </c>
      <c r="CR802" s="449" t="s">
        <v>40</v>
      </c>
      <c r="CS802" s="449"/>
      <c r="CT802" s="24"/>
      <c r="CU802" s="24"/>
      <c r="CV802" s="24"/>
    </row>
    <row r="803" spans="1:100" x14ac:dyDescent="0.25">
      <c r="A803" s="293" t="s">
        <v>2691</v>
      </c>
      <c r="B803" s="132" t="s">
        <v>2488</v>
      </c>
      <c r="C803" s="132" t="s">
        <v>866</v>
      </c>
      <c r="D803" s="132" t="s">
        <v>870</v>
      </c>
      <c r="E803" s="132" t="s">
        <v>901</v>
      </c>
      <c r="F803" s="132">
        <v>35</v>
      </c>
      <c r="G803" s="214">
        <v>142</v>
      </c>
      <c r="H803" s="132">
        <v>57</v>
      </c>
      <c r="I803" s="132" t="s">
        <v>2504</v>
      </c>
      <c r="J803" s="133" t="s">
        <v>2788</v>
      </c>
      <c r="K803" s="132">
        <v>0</v>
      </c>
      <c r="L803" s="132" t="s">
        <v>48</v>
      </c>
      <c r="M803" s="134">
        <v>0.66</v>
      </c>
      <c r="N803" s="134">
        <v>1</v>
      </c>
      <c r="O803" s="320">
        <v>0</v>
      </c>
      <c r="P803" s="326">
        <v>1</v>
      </c>
      <c r="Q803" s="326">
        <v>4725</v>
      </c>
      <c r="R803" s="315">
        <v>0</v>
      </c>
      <c r="S803" s="315">
        <v>7</v>
      </c>
      <c r="T803" s="315"/>
      <c r="U803" s="315">
        <v>0</v>
      </c>
      <c r="V803" s="315">
        <v>0</v>
      </c>
      <c r="W803" s="315">
        <v>0</v>
      </c>
      <c r="X803" s="315">
        <v>0</v>
      </c>
      <c r="Y803" s="315">
        <v>0</v>
      </c>
      <c r="Z803" s="315"/>
      <c r="AA803" s="336">
        <v>12</v>
      </c>
      <c r="AB803" s="336">
        <v>6</v>
      </c>
      <c r="AC803" s="337">
        <v>0</v>
      </c>
      <c r="AD803" s="337"/>
      <c r="AE803" s="336">
        <v>12</v>
      </c>
      <c r="AF803" s="336" t="s">
        <v>283</v>
      </c>
      <c r="AG803" s="339" t="s">
        <v>283</v>
      </c>
      <c r="AH803" s="339">
        <v>0</v>
      </c>
      <c r="AI803" s="336">
        <v>0</v>
      </c>
      <c r="AJ803" s="336"/>
      <c r="AK803" s="848">
        <v>0</v>
      </c>
      <c r="AL803" s="836" t="s">
        <v>376</v>
      </c>
      <c r="AM803" s="836">
        <v>0</v>
      </c>
      <c r="AN803" s="837">
        <v>2</v>
      </c>
      <c r="AO803" s="837">
        <v>1</v>
      </c>
      <c r="AP803" s="839"/>
      <c r="AQ803" s="839">
        <v>0</v>
      </c>
      <c r="AR803" s="839"/>
      <c r="AS803" s="839"/>
      <c r="AT803" s="839"/>
      <c r="AU803" s="839"/>
      <c r="AV803" s="849"/>
      <c r="AW803" s="134" t="s">
        <v>3208</v>
      </c>
      <c r="AX803" s="136" t="s">
        <v>3208</v>
      </c>
      <c r="AY803" s="137" t="s">
        <v>2576</v>
      </c>
      <c r="AZ803" s="136">
        <v>1</v>
      </c>
      <c r="BA803" s="136">
        <v>1</v>
      </c>
      <c r="BB803" s="136">
        <v>1</v>
      </c>
      <c r="BC803" s="214">
        <v>142</v>
      </c>
      <c r="BD803" s="136">
        <v>0</v>
      </c>
      <c r="BE803" s="214">
        <v>0</v>
      </c>
      <c r="BF803" s="136">
        <v>1</v>
      </c>
      <c r="BG803" s="214">
        <v>142</v>
      </c>
      <c r="BH803" s="214">
        <v>0.28399999999999997</v>
      </c>
      <c r="BI803" s="134">
        <v>0</v>
      </c>
      <c r="BJ803" s="214">
        <v>0</v>
      </c>
      <c r="BK803" s="137">
        <v>0.71599999999999997</v>
      </c>
      <c r="BL803" s="137">
        <v>1</v>
      </c>
      <c r="BM803" s="137">
        <v>18</v>
      </c>
      <c r="BN803" s="134">
        <v>1</v>
      </c>
      <c r="BO803" s="351">
        <v>142</v>
      </c>
      <c r="BP803" s="134">
        <v>0</v>
      </c>
      <c r="BQ803" s="214">
        <v>0</v>
      </c>
      <c r="BR803" s="137">
        <v>7</v>
      </c>
      <c r="BS803" s="138">
        <v>0.33333333333333331</v>
      </c>
      <c r="BT803" s="351">
        <v>0</v>
      </c>
      <c r="BU803" s="214">
        <v>142</v>
      </c>
      <c r="BV803" s="214">
        <v>0</v>
      </c>
      <c r="BW803" s="214">
        <v>1</v>
      </c>
      <c r="BX803" s="214">
        <v>0</v>
      </c>
      <c r="BY803" s="214">
        <v>0</v>
      </c>
      <c r="BZ803" s="134">
        <v>0</v>
      </c>
      <c r="CA803" s="138">
        <v>1</v>
      </c>
      <c r="CB803" s="136">
        <v>1</v>
      </c>
      <c r="CC803" s="136">
        <v>0</v>
      </c>
      <c r="CD803" s="136">
        <v>0</v>
      </c>
      <c r="CE803" s="137">
        <v>0</v>
      </c>
      <c r="CF803" s="137">
        <v>0</v>
      </c>
      <c r="CG803" s="137">
        <v>0</v>
      </c>
      <c r="CH803" s="214">
        <v>0</v>
      </c>
      <c r="CI803" s="139" t="s">
        <v>48</v>
      </c>
      <c r="CJ803" s="139" t="s">
        <v>287</v>
      </c>
      <c r="CK803" s="139" t="s">
        <v>50</v>
      </c>
      <c r="CL803" s="139" t="s">
        <v>50</v>
      </c>
      <c r="CM803" s="139" t="s">
        <v>50</v>
      </c>
      <c r="CN803" s="139" t="s">
        <v>51</v>
      </c>
      <c r="CO803" s="139">
        <v>23.460349999999998</v>
      </c>
      <c r="CP803" s="139">
        <v>97.947360000000003</v>
      </c>
      <c r="CQ803" s="139" t="s">
        <v>1893</v>
      </c>
      <c r="CR803" s="449" t="s">
        <v>40</v>
      </c>
      <c r="CS803" s="449"/>
      <c r="CT803" s="24"/>
      <c r="CU803" s="24"/>
      <c r="CV803" s="24"/>
    </row>
    <row r="804" spans="1:100" x14ac:dyDescent="0.25">
      <c r="A804" s="293" t="s">
        <v>2691</v>
      </c>
      <c r="B804" s="132" t="s">
        <v>882</v>
      </c>
      <c r="C804" s="132" t="s">
        <v>866</v>
      </c>
      <c r="D804" s="132" t="s">
        <v>870</v>
      </c>
      <c r="E804" s="132" t="s">
        <v>871</v>
      </c>
      <c r="F804" s="132">
        <v>28</v>
      </c>
      <c r="G804" s="214">
        <v>134</v>
      </c>
      <c r="H804" s="132">
        <v>73</v>
      </c>
      <c r="I804" s="132" t="s">
        <v>2491</v>
      </c>
      <c r="J804" s="133" t="s">
        <v>2906</v>
      </c>
      <c r="K804" s="132">
        <v>0</v>
      </c>
      <c r="L804" s="132" t="s">
        <v>48</v>
      </c>
      <c r="M804" s="134">
        <v>0.65</v>
      </c>
      <c r="N804" s="134">
        <v>1</v>
      </c>
      <c r="O804" s="320">
        <v>1</v>
      </c>
      <c r="P804" s="326"/>
      <c r="Q804" s="326">
        <v>6000</v>
      </c>
      <c r="R804" s="315"/>
      <c r="S804" s="315">
        <v>1</v>
      </c>
      <c r="T804" s="315"/>
      <c r="U804" s="315">
        <v>1</v>
      </c>
      <c r="V804" s="315"/>
      <c r="W804" s="315">
        <v>12</v>
      </c>
      <c r="X804" s="315">
        <v>6</v>
      </c>
      <c r="Y804" s="315">
        <v>0</v>
      </c>
      <c r="Z804" s="315"/>
      <c r="AA804" s="336">
        <v>8</v>
      </c>
      <c r="AB804" s="336">
        <v>0</v>
      </c>
      <c r="AC804" s="337">
        <v>8</v>
      </c>
      <c r="AD804" s="337" t="s">
        <v>2782</v>
      </c>
      <c r="AE804" s="336">
        <v>8</v>
      </c>
      <c r="AF804" s="336" t="s">
        <v>283</v>
      </c>
      <c r="AG804" s="339" t="s">
        <v>283</v>
      </c>
      <c r="AH804" s="339">
        <v>2</v>
      </c>
      <c r="AI804" s="336">
        <v>0</v>
      </c>
      <c r="AJ804" s="336"/>
      <c r="AK804" s="848">
        <v>1</v>
      </c>
      <c r="AL804" s="836" t="s">
        <v>376</v>
      </c>
      <c r="AM804" s="836">
        <v>2</v>
      </c>
      <c r="AN804" s="837">
        <v>1</v>
      </c>
      <c r="AO804" s="837">
        <v>2</v>
      </c>
      <c r="AP804" s="839">
        <v>28</v>
      </c>
      <c r="AQ804" s="839">
        <v>0</v>
      </c>
      <c r="AR804" s="839" t="s">
        <v>48</v>
      </c>
      <c r="AS804" s="839"/>
      <c r="AT804" s="839"/>
      <c r="AU804" s="839"/>
      <c r="AV804" s="849"/>
      <c r="AW804" s="134">
        <v>0</v>
      </c>
      <c r="AX804" s="136">
        <v>0.5</v>
      </c>
      <c r="AY804" s="137" t="s">
        <v>2577</v>
      </c>
      <c r="AZ804" s="136">
        <v>1</v>
      </c>
      <c r="BA804" s="136">
        <v>1</v>
      </c>
      <c r="BB804" s="136">
        <v>1</v>
      </c>
      <c r="BC804" s="214">
        <v>134</v>
      </c>
      <c r="BD804" s="136">
        <v>0</v>
      </c>
      <c r="BE804" s="214">
        <v>0</v>
      </c>
      <c r="BF804" s="136">
        <v>1</v>
      </c>
      <c r="BG804" s="214">
        <v>134</v>
      </c>
      <c r="BH804" s="214">
        <v>0.26800000000000002</v>
      </c>
      <c r="BI804" s="134">
        <v>0</v>
      </c>
      <c r="BJ804" s="214">
        <v>0</v>
      </c>
      <c r="BK804" s="137">
        <v>0.73199999999999998</v>
      </c>
      <c r="BL804" s="137">
        <v>1</v>
      </c>
      <c r="BM804" s="137">
        <v>8</v>
      </c>
      <c r="BN804" s="134">
        <v>1</v>
      </c>
      <c r="BO804" s="351">
        <v>134</v>
      </c>
      <c r="BP804" s="134">
        <v>0</v>
      </c>
      <c r="BQ804" s="214">
        <v>0</v>
      </c>
      <c r="BR804" s="137">
        <v>7</v>
      </c>
      <c r="BS804" s="138">
        <v>0</v>
      </c>
      <c r="BT804" s="351">
        <v>134</v>
      </c>
      <c r="BU804" s="214">
        <v>134</v>
      </c>
      <c r="BV804" s="214">
        <v>0</v>
      </c>
      <c r="BW804" s="214">
        <v>1</v>
      </c>
      <c r="BX804" s="214">
        <v>1</v>
      </c>
      <c r="BY804" s="214">
        <v>134</v>
      </c>
      <c r="BZ804" s="134">
        <v>1</v>
      </c>
      <c r="CA804" s="138">
        <v>0</v>
      </c>
      <c r="CB804" s="136">
        <v>1</v>
      </c>
      <c r="CC804" s="136">
        <v>1</v>
      </c>
      <c r="CD804" s="136">
        <v>0</v>
      </c>
      <c r="CE804" s="137">
        <v>140</v>
      </c>
      <c r="CF804" s="137">
        <v>0</v>
      </c>
      <c r="CG804" s="137">
        <v>140</v>
      </c>
      <c r="CH804" s="214">
        <v>28</v>
      </c>
      <c r="CI804" s="139" t="s">
        <v>48</v>
      </c>
      <c r="CJ804" s="139" t="s">
        <v>1545</v>
      </c>
      <c r="CK804" s="139" t="s">
        <v>50</v>
      </c>
      <c r="CL804" s="139" t="s">
        <v>50</v>
      </c>
      <c r="CM804" s="139" t="s">
        <v>50</v>
      </c>
      <c r="CN804" s="139" t="s">
        <v>51</v>
      </c>
      <c r="CO804" s="139">
        <v>23.460349999999998</v>
      </c>
      <c r="CP804" s="139">
        <v>97.947360000000003</v>
      </c>
      <c r="CQ804" s="139" t="s">
        <v>1894</v>
      </c>
      <c r="CR804" s="449" t="s">
        <v>40</v>
      </c>
      <c r="CS804" s="449"/>
      <c r="CT804" s="24"/>
      <c r="CU804" s="24"/>
      <c r="CV804" s="24"/>
    </row>
    <row r="805" spans="1:100" x14ac:dyDescent="0.25">
      <c r="A805" s="293" t="s">
        <v>2691</v>
      </c>
      <c r="B805" s="132" t="s">
        <v>2808</v>
      </c>
      <c r="C805" s="132" t="s">
        <v>866</v>
      </c>
      <c r="D805" s="132" t="s">
        <v>870</v>
      </c>
      <c r="E805" s="132" t="s">
        <v>921</v>
      </c>
      <c r="F805" s="132">
        <v>36</v>
      </c>
      <c r="G805" s="214">
        <v>145</v>
      </c>
      <c r="H805" s="132"/>
      <c r="I805" s="132" t="s">
        <v>296</v>
      </c>
      <c r="J805" s="133">
        <v>43131</v>
      </c>
      <c r="K805" s="132">
        <v>0</v>
      </c>
      <c r="L805" s="132" t="s">
        <v>48</v>
      </c>
      <c r="M805" s="134">
        <v>1</v>
      </c>
      <c r="N805" s="134">
        <v>1</v>
      </c>
      <c r="O805" s="320">
        <v>0</v>
      </c>
      <c r="P805" s="326">
        <v>1</v>
      </c>
      <c r="Q805" s="326"/>
      <c r="R805" s="315"/>
      <c r="S805" s="315">
        <v>0</v>
      </c>
      <c r="T805" s="315"/>
      <c r="U805" s="315">
        <v>0</v>
      </c>
      <c r="V805" s="315">
        <v>0</v>
      </c>
      <c r="W805" s="315">
        <v>0</v>
      </c>
      <c r="X805" s="315">
        <v>0</v>
      </c>
      <c r="Y805" s="315">
        <v>0</v>
      </c>
      <c r="Z805" s="315"/>
      <c r="AA805" s="336">
        <v>12</v>
      </c>
      <c r="AB805" s="336">
        <v>0</v>
      </c>
      <c r="AC805" s="337">
        <v>0</v>
      </c>
      <c r="AD805" s="337"/>
      <c r="AE805" s="336">
        <v>0</v>
      </c>
      <c r="AF805" s="336" t="s">
        <v>283</v>
      </c>
      <c r="AG805" s="339" t="s">
        <v>283</v>
      </c>
      <c r="AH805" s="339"/>
      <c r="AI805" s="336"/>
      <c r="AJ805" s="336"/>
      <c r="AK805" s="848">
        <v>1</v>
      </c>
      <c r="AL805" s="836"/>
      <c r="AM805" s="836">
        <v>0</v>
      </c>
      <c r="AN805" s="837">
        <v>2</v>
      </c>
      <c r="AO805" s="837">
        <v>1</v>
      </c>
      <c r="AP805" s="839">
        <v>0</v>
      </c>
      <c r="AQ805" s="839">
        <v>0</v>
      </c>
      <c r="AR805" s="839"/>
      <c r="AS805" s="839"/>
      <c r="AT805" s="839"/>
      <c r="AU805" s="839"/>
      <c r="AV805" s="849"/>
      <c r="AW805" s="134" t="s">
        <v>3208</v>
      </c>
      <c r="AX805" s="136" t="s">
        <v>3208</v>
      </c>
      <c r="AY805" s="137" t="s">
        <v>2576</v>
      </c>
      <c r="AZ805" s="136">
        <v>1</v>
      </c>
      <c r="BA805" s="136">
        <v>1</v>
      </c>
      <c r="BB805" s="136">
        <v>1</v>
      </c>
      <c r="BC805" s="214">
        <v>145</v>
      </c>
      <c r="BD805" s="136">
        <v>0</v>
      </c>
      <c r="BE805" s="214">
        <v>0</v>
      </c>
      <c r="BF805" s="136">
        <v>1</v>
      </c>
      <c r="BG805" s="214">
        <v>145</v>
      </c>
      <c r="BH805" s="214">
        <v>0.28999999999999998</v>
      </c>
      <c r="BI805" s="134">
        <v>0</v>
      </c>
      <c r="BJ805" s="214">
        <v>0</v>
      </c>
      <c r="BK805" s="137">
        <v>0.71</v>
      </c>
      <c r="BL805" s="137">
        <v>1</v>
      </c>
      <c r="BM805" s="137">
        <v>12</v>
      </c>
      <c r="BN805" s="134">
        <v>1</v>
      </c>
      <c r="BO805" s="351">
        <v>145</v>
      </c>
      <c r="BP805" s="134">
        <v>0</v>
      </c>
      <c r="BQ805" s="214">
        <v>0</v>
      </c>
      <c r="BR805" s="137">
        <v>7</v>
      </c>
      <c r="BS805" s="138">
        <v>0</v>
      </c>
      <c r="BT805" s="351">
        <v>0</v>
      </c>
      <c r="BU805" s="214">
        <v>145</v>
      </c>
      <c r="BV805" s="214">
        <v>0</v>
      </c>
      <c r="BW805" s="214">
        <v>1</v>
      </c>
      <c r="BX805" s="214">
        <v>0</v>
      </c>
      <c r="BY805" s="214">
        <v>0</v>
      </c>
      <c r="BZ805" s="134">
        <v>0</v>
      </c>
      <c r="CA805" s="138">
        <v>1</v>
      </c>
      <c r="CB805" s="136">
        <v>1</v>
      </c>
      <c r="CC805" s="136">
        <v>0</v>
      </c>
      <c r="CD805" s="136">
        <v>0</v>
      </c>
      <c r="CE805" s="137">
        <v>0</v>
      </c>
      <c r="CF805" s="137">
        <v>0</v>
      </c>
      <c r="CG805" s="137">
        <v>0</v>
      </c>
      <c r="CH805" s="214">
        <v>36</v>
      </c>
      <c r="CI805" s="139">
        <v>0</v>
      </c>
      <c r="CJ805" s="139">
        <v>0</v>
      </c>
      <c r="CK805" s="139" t="s">
        <v>1921</v>
      </c>
      <c r="CL805" s="139" t="s">
        <v>50</v>
      </c>
      <c r="CM805" s="139" t="s">
        <v>50</v>
      </c>
      <c r="CN805" s="139" t="s">
        <v>51</v>
      </c>
      <c r="CO805" s="139">
        <v>0</v>
      </c>
      <c r="CP805" s="139">
        <v>0</v>
      </c>
      <c r="CQ805" s="139">
        <v>0</v>
      </c>
      <c r="CR805" s="449" t="s">
        <v>40</v>
      </c>
      <c r="CS805" s="449"/>
      <c r="CT805" s="24"/>
      <c r="CU805" s="24"/>
      <c r="CV805" s="24"/>
    </row>
    <row r="806" spans="1:100" x14ac:dyDescent="0.25">
      <c r="A806" s="293" t="s">
        <v>2691</v>
      </c>
      <c r="B806" s="132" t="s">
        <v>2900</v>
      </c>
      <c r="C806" s="132" t="s">
        <v>866</v>
      </c>
      <c r="D806" s="132" t="s">
        <v>870</v>
      </c>
      <c r="E806" s="132" t="s">
        <v>2956</v>
      </c>
      <c r="F806" s="132">
        <v>139</v>
      </c>
      <c r="G806" s="214">
        <v>704</v>
      </c>
      <c r="H806" s="132"/>
      <c r="I806" s="132" t="s">
        <v>2912</v>
      </c>
      <c r="J806" s="133" t="s">
        <v>2913</v>
      </c>
      <c r="K806" s="132">
        <v>0</v>
      </c>
      <c r="L806" s="132" t="s">
        <v>282</v>
      </c>
      <c r="M806" s="134">
        <v>0</v>
      </c>
      <c r="N806" s="134">
        <v>0</v>
      </c>
      <c r="O806" s="320">
        <v>1</v>
      </c>
      <c r="P806" s="326"/>
      <c r="Q806" s="326">
        <v>28800</v>
      </c>
      <c r="R806" s="315">
        <v>1</v>
      </c>
      <c r="S806" s="315">
        <v>0</v>
      </c>
      <c r="T806" s="315"/>
      <c r="U806" s="315">
        <v>0</v>
      </c>
      <c r="V806" s="315">
        <v>0</v>
      </c>
      <c r="W806" s="315">
        <v>0</v>
      </c>
      <c r="X806" s="315">
        <v>0</v>
      </c>
      <c r="Y806" s="315">
        <v>0</v>
      </c>
      <c r="Z806" s="315"/>
      <c r="AA806" s="336">
        <v>20</v>
      </c>
      <c r="AB806" s="336"/>
      <c r="AC806" s="337"/>
      <c r="AD806" s="337"/>
      <c r="AE806" s="336">
        <v>20</v>
      </c>
      <c r="AF806" s="336" t="s">
        <v>283</v>
      </c>
      <c r="AG806" s="339" t="s">
        <v>283</v>
      </c>
      <c r="AH806" s="339"/>
      <c r="AI806" s="336"/>
      <c r="AJ806" s="336"/>
      <c r="AK806" s="848">
        <v>0</v>
      </c>
      <c r="AL806" s="836" t="s">
        <v>284</v>
      </c>
      <c r="AM806" s="836">
        <v>1</v>
      </c>
      <c r="AN806" s="837">
        <v>3</v>
      </c>
      <c r="AO806" s="837">
        <v>1</v>
      </c>
      <c r="AP806" s="839">
        <v>0</v>
      </c>
      <c r="AQ806" s="839">
        <v>0</v>
      </c>
      <c r="AR806" s="839"/>
      <c r="AS806" s="839"/>
      <c r="AT806" s="839"/>
      <c r="AU806" s="839"/>
      <c r="AV806" s="849"/>
      <c r="AW806" s="134" t="s">
        <v>3208</v>
      </c>
      <c r="AX806" s="136" t="s">
        <v>3208</v>
      </c>
      <c r="AY806" s="137" t="s">
        <v>2576</v>
      </c>
      <c r="AZ806" s="136">
        <v>1</v>
      </c>
      <c r="BA806" s="136">
        <v>1</v>
      </c>
      <c r="BB806" s="136">
        <v>1</v>
      </c>
      <c r="BC806" s="214">
        <v>704</v>
      </c>
      <c r="BD806" s="136">
        <v>0.35511363636363635</v>
      </c>
      <c r="BE806" s="214">
        <v>250</v>
      </c>
      <c r="BF806" s="136">
        <v>1</v>
      </c>
      <c r="BG806" s="214">
        <v>704</v>
      </c>
      <c r="BH806" s="214">
        <v>1.4079999999999999</v>
      </c>
      <c r="BI806" s="134">
        <v>0</v>
      </c>
      <c r="BJ806" s="214">
        <v>0</v>
      </c>
      <c r="BK806" s="137">
        <v>0</v>
      </c>
      <c r="BL806" s="137">
        <v>1</v>
      </c>
      <c r="BM806" s="137">
        <v>20</v>
      </c>
      <c r="BN806" s="134">
        <v>0.56818181818181823</v>
      </c>
      <c r="BO806" s="351">
        <v>400.00000000000006</v>
      </c>
      <c r="BP806" s="134">
        <v>0.42613636363636359</v>
      </c>
      <c r="BQ806" s="214">
        <v>15</v>
      </c>
      <c r="BR806" s="137">
        <v>35</v>
      </c>
      <c r="BS806" s="138">
        <v>0</v>
      </c>
      <c r="BT806" s="351">
        <v>0</v>
      </c>
      <c r="BU806" s="214">
        <v>500</v>
      </c>
      <c r="BV806" s="214">
        <v>0</v>
      </c>
      <c r="BW806" s="214">
        <v>0</v>
      </c>
      <c r="BX806" s="214">
        <v>0</v>
      </c>
      <c r="BY806" s="214">
        <v>0</v>
      </c>
      <c r="BZ806" s="134">
        <v>0</v>
      </c>
      <c r="CA806" s="138">
        <v>1</v>
      </c>
      <c r="CB806" s="136">
        <v>0.71022727272727271</v>
      </c>
      <c r="CC806" s="136">
        <v>0</v>
      </c>
      <c r="CD806" s="136">
        <v>0</v>
      </c>
      <c r="CE806" s="137">
        <v>0</v>
      </c>
      <c r="CF806" s="137">
        <v>0</v>
      </c>
      <c r="CG806" s="137">
        <v>0</v>
      </c>
      <c r="CH806" s="214">
        <v>0</v>
      </c>
      <c r="CI806" s="139" t="s">
        <v>48</v>
      </c>
      <c r="CJ806" s="139" t="s">
        <v>287</v>
      </c>
      <c r="CK806" s="139" t="s">
        <v>50</v>
      </c>
      <c r="CL806" s="139" t="s">
        <v>50</v>
      </c>
      <c r="CM806" s="139" t="s">
        <v>50</v>
      </c>
      <c r="CN806" s="139" t="s">
        <v>51</v>
      </c>
      <c r="CO806" s="139">
        <v>23.591999999999999</v>
      </c>
      <c r="CP806" s="139">
        <v>97.796999999999997</v>
      </c>
      <c r="CQ806" s="139" t="s">
        <v>1897</v>
      </c>
      <c r="CR806" s="449" t="s">
        <v>40</v>
      </c>
      <c r="CS806" s="449"/>
      <c r="CT806" s="24"/>
      <c r="CU806" s="24"/>
      <c r="CV806" s="24"/>
    </row>
    <row r="807" spans="1:100" x14ac:dyDescent="0.25">
      <c r="A807" s="293" t="s">
        <v>2691</v>
      </c>
      <c r="B807" s="132" t="s">
        <v>447</v>
      </c>
      <c r="C807" s="132" t="s">
        <v>866</v>
      </c>
      <c r="D807" s="132" t="s">
        <v>870</v>
      </c>
      <c r="E807" s="132" t="s">
        <v>909</v>
      </c>
      <c r="F807" s="132">
        <v>20</v>
      </c>
      <c r="G807" s="214">
        <v>82</v>
      </c>
      <c r="H807" s="132">
        <v>20</v>
      </c>
      <c r="I807" s="132" t="s">
        <v>449</v>
      </c>
      <c r="J807" s="133">
        <v>43421</v>
      </c>
      <c r="K807" s="132"/>
      <c r="L807" s="132" t="s">
        <v>48</v>
      </c>
      <c r="M807" s="134">
        <v>0.56999999999999995</v>
      </c>
      <c r="N807" s="134">
        <v>0.43</v>
      </c>
      <c r="O807" s="320">
        <v>0</v>
      </c>
      <c r="P807" s="326">
        <v>0</v>
      </c>
      <c r="Q807" s="326">
        <v>38880</v>
      </c>
      <c r="R807" s="315">
        <v>0</v>
      </c>
      <c r="S807" s="315">
        <v>0</v>
      </c>
      <c r="T807" s="315"/>
      <c r="U807" s="315">
        <v>0</v>
      </c>
      <c r="V807" s="315">
        <v>0</v>
      </c>
      <c r="W807" s="315">
        <v>0</v>
      </c>
      <c r="X807" s="315">
        <v>0</v>
      </c>
      <c r="Y807" s="315">
        <v>0</v>
      </c>
      <c r="Z807" s="315"/>
      <c r="AA807" s="336">
        <v>6</v>
      </c>
      <c r="AB807" s="336"/>
      <c r="AC807" s="337"/>
      <c r="AD807" s="337"/>
      <c r="AE807" s="336">
        <v>6</v>
      </c>
      <c r="AF807" s="336" t="s">
        <v>332</v>
      </c>
      <c r="AG807" s="339" t="s">
        <v>332</v>
      </c>
      <c r="AH807" s="339"/>
      <c r="AI807" s="336"/>
      <c r="AJ807" s="336"/>
      <c r="AK807" s="848">
        <v>0</v>
      </c>
      <c r="AL807" s="842" t="s">
        <v>376</v>
      </c>
      <c r="AM807" s="836"/>
      <c r="AN807" s="837">
        <v>1</v>
      </c>
      <c r="AO807" s="837">
        <v>1</v>
      </c>
      <c r="AP807" s="839">
        <v>20</v>
      </c>
      <c r="AQ807" s="839">
        <v>0</v>
      </c>
      <c r="AR807" s="839"/>
      <c r="AS807" s="839"/>
      <c r="AT807" s="839"/>
      <c r="AU807" s="839"/>
      <c r="AV807" s="849"/>
      <c r="AW807" s="134" t="s">
        <v>3208</v>
      </c>
      <c r="AX807" s="136" t="s">
        <v>3208</v>
      </c>
      <c r="AY807" s="137" t="s">
        <v>2576</v>
      </c>
      <c r="AZ807" s="136">
        <v>1</v>
      </c>
      <c r="BA807" s="136">
        <v>1</v>
      </c>
      <c r="BB807" s="136">
        <v>1</v>
      </c>
      <c r="BC807" s="214">
        <v>82</v>
      </c>
      <c r="BD807" s="136">
        <v>0</v>
      </c>
      <c r="BE807" s="214">
        <v>0</v>
      </c>
      <c r="BF807" s="136">
        <v>1</v>
      </c>
      <c r="BG807" s="214">
        <v>82</v>
      </c>
      <c r="BH807" s="214">
        <v>0.16400000000000001</v>
      </c>
      <c r="BI807" s="134">
        <v>0</v>
      </c>
      <c r="BJ807" s="214">
        <v>0</v>
      </c>
      <c r="BK807" s="137">
        <v>0.83599999999999997</v>
      </c>
      <c r="BL807" s="137">
        <v>1</v>
      </c>
      <c r="BM807" s="137">
        <v>6</v>
      </c>
      <c r="BN807" s="134">
        <v>1</v>
      </c>
      <c r="BO807" s="351">
        <v>82</v>
      </c>
      <c r="BP807" s="134">
        <v>0</v>
      </c>
      <c r="BQ807" s="214">
        <v>0</v>
      </c>
      <c r="BR807" s="137">
        <v>4</v>
      </c>
      <c r="BS807" s="138">
        <v>0</v>
      </c>
      <c r="BT807" s="351">
        <v>0</v>
      </c>
      <c r="BU807" s="214">
        <v>82</v>
      </c>
      <c r="BV807" s="214">
        <v>0</v>
      </c>
      <c r="BW807" s="214">
        <v>1</v>
      </c>
      <c r="BX807" s="214">
        <v>1</v>
      </c>
      <c r="BY807" s="214">
        <v>82</v>
      </c>
      <c r="BZ807" s="134">
        <v>1</v>
      </c>
      <c r="CA807" s="138">
        <v>0</v>
      </c>
      <c r="CB807" s="136">
        <v>1</v>
      </c>
      <c r="CC807" s="136">
        <v>1</v>
      </c>
      <c r="CD807" s="136">
        <v>0</v>
      </c>
      <c r="CE807" s="137">
        <v>100</v>
      </c>
      <c r="CF807" s="137">
        <v>0</v>
      </c>
      <c r="CG807" s="137">
        <v>100</v>
      </c>
      <c r="CH807" s="214">
        <v>0</v>
      </c>
      <c r="CI807" s="139">
        <v>0</v>
      </c>
      <c r="CJ807" s="139" t="s">
        <v>2959</v>
      </c>
      <c r="CK807" s="139" t="s">
        <v>50</v>
      </c>
      <c r="CL807" s="139" t="s">
        <v>50</v>
      </c>
      <c r="CM807" s="139" t="s">
        <v>946</v>
      </c>
      <c r="CN807" s="139" t="s">
        <v>51</v>
      </c>
      <c r="CO807" s="139">
        <v>0</v>
      </c>
      <c r="CP807" s="139">
        <v>0</v>
      </c>
      <c r="CQ807" s="139" t="s">
        <v>2094</v>
      </c>
      <c r="CR807" s="449" t="s">
        <v>40</v>
      </c>
      <c r="CS807" s="449"/>
      <c r="CT807" s="24"/>
      <c r="CU807" s="24"/>
      <c r="CV807" s="24"/>
    </row>
    <row r="808" spans="1:100" x14ac:dyDescent="0.25">
      <c r="A808" s="293" t="s">
        <v>2691</v>
      </c>
      <c r="B808" s="132" t="s">
        <v>2899</v>
      </c>
      <c r="C808" s="132" t="s">
        <v>866</v>
      </c>
      <c r="D808" s="132" t="s">
        <v>870</v>
      </c>
      <c r="E808" s="132" t="s">
        <v>2957</v>
      </c>
      <c r="F808" s="132">
        <v>68</v>
      </c>
      <c r="G808" s="214">
        <v>310</v>
      </c>
      <c r="H808" s="132">
        <v>64</v>
      </c>
      <c r="I808" s="132" t="s">
        <v>2912</v>
      </c>
      <c r="J808" s="133" t="s">
        <v>2913</v>
      </c>
      <c r="K808" s="132">
        <v>0</v>
      </c>
      <c r="L808" s="132" t="s">
        <v>282</v>
      </c>
      <c r="M808" s="134">
        <v>0</v>
      </c>
      <c r="N808" s="134">
        <v>0</v>
      </c>
      <c r="O808" s="320">
        <v>0</v>
      </c>
      <c r="P808" s="326">
        <v>0</v>
      </c>
      <c r="Q808" s="326"/>
      <c r="R808" s="315"/>
      <c r="S808" s="315">
        <v>16</v>
      </c>
      <c r="T808" s="315"/>
      <c r="U808" s="315">
        <v>0</v>
      </c>
      <c r="V808" s="315">
        <v>0</v>
      </c>
      <c r="W808" s="315">
        <v>0</v>
      </c>
      <c r="X808" s="315">
        <v>0</v>
      </c>
      <c r="Y808" s="315">
        <v>0</v>
      </c>
      <c r="Z808" s="315"/>
      <c r="AA808" s="336">
        <v>75</v>
      </c>
      <c r="AB808" s="336">
        <v>0</v>
      </c>
      <c r="AC808" s="337">
        <v>0</v>
      </c>
      <c r="AD808" s="337"/>
      <c r="AE808" s="336">
        <v>75</v>
      </c>
      <c r="AF808" s="336" t="s">
        <v>283</v>
      </c>
      <c r="AG808" s="339" t="s">
        <v>283</v>
      </c>
      <c r="AH808" s="339">
        <v>0</v>
      </c>
      <c r="AI808" s="336">
        <v>0</v>
      </c>
      <c r="AJ808" s="336"/>
      <c r="AK808" s="848">
        <v>0.3</v>
      </c>
      <c r="AL808" s="836" t="s">
        <v>284</v>
      </c>
      <c r="AM808" s="836">
        <v>0</v>
      </c>
      <c r="AN808" s="837">
        <v>6</v>
      </c>
      <c r="AO808" s="837">
        <v>3</v>
      </c>
      <c r="AP808" s="839">
        <v>0</v>
      </c>
      <c r="AQ808" s="839">
        <v>0</v>
      </c>
      <c r="AR808" s="839"/>
      <c r="AS808" s="839"/>
      <c r="AT808" s="839"/>
      <c r="AU808" s="839"/>
      <c r="AV808" s="849"/>
      <c r="AW808" s="134" t="s">
        <v>3208</v>
      </c>
      <c r="AX808" s="136" t="s">
        <v>3208</v>
      </c>
      <c r="AY808" s="137" t="s">
        <v>2576</v>
      </c>
      <c r="AZ808" s="136">
        <v>0</v>
      </c>
      <c r="BA808" s="136">
        <v>0</v>
      </c>
      <c r="BB808" s="136">
        <v>0</v>
      </c>
      <c r="BC808" s="214">
        <v>0</v>
      </c>
      <c r="BD808" s="136">
        <v>0</v>
      </c>
      <c r="BE808" s="214">
        <v>0</v>
      </c>
      <c r="BF808" s="136">
        <v>0</v>
      </c>
      <c r="BG808" s="214">
        <v>0</v>
      </c>
      <c r="BH808" s="214">
        <v>0</v>
      </c>
      <c r="BI808" s="134">
        <v>1</v>
      </c>
      <c r="BJ808" s="214">
        <v>310</v>
      </c>
      <c r="BK808" s="137">
        <v>1</v>
      </c>
      <c r="BL808" s="137">
        <v>1</v>
      </c>
      <c r="BM808" s="137">
        <v>75</v>
      </c>
      <c r="BN808" s="134">
        <v>1</v>
      </c>
      <c r="BO808" s="351">
        <v>310</v>
      </c>
      <c r="BP808" s="134">
        <v>0</v>
      </c>
      <c r="BQ808" s="214">
        <v>0</v>
      </c>
      <c r="BR808" s="137">
        <v>52</v>
      </c>
      <c r="BS808" s="138">
        <v>0</v>
      </c>
      <c r="BT808" s="351">
        <v>0</v>
      </c>
      <c r="BU808" s="214">
        <v>310</v>
      </c>
      <c r="BV808" s="214">
        <v>0</v>
      </c>
      <c r="BW808" s="214">
        <v>1</v>
      </c>
      <c r="BX808" s="214">
        <v>0</v>
      </c>
      <c r="BY808" s="214">
        <v>0</v>
      </c>
      <c r="BZ808" s="134">
        <v>0</v>
      </c>
      <c r="CA808" s="138">
        <v>1</v>
      </c>
      <c r="CB808" s="136">
        <v>1</v>
      </c>
      <c r="CC808" s="136">
        <v>0</v>
      </c>
      <c r="CD808" s="136">
        <v>0</v>
      </c>
      <c r="CE808" s="137">
        <v>0</v>
      </c>
      <c r="CF808" s="137">
        <v>0</v>
      </c>
      <c r="CG808" s="137">
        <v>0</v>
      </c>
      <c r="CH808" s="214">
        <v>20.399999999999999</v>
      </c>
      <c r="CI808" s="139" t="s">
        <v>48</v>
      </c>
      <c r="CJ808" s="139" t="s">
        <v>287</v>
      </c>
      <c r="CK808" s="139" t="s">
        <v>50</v>
      </c>
      <c r="CL808" s="139" t="s">
        <v>1139</v>
      </c>
      <c r="CM808" s="139" t="s">
        <v>50</v>
      </c>
      <c r="CN808" s="139" t="s">
        <v>51</v>
      </c>
      <c r="CO808" s="139">
        <v>23.588920000000002</v>
      </c>
      <c r="CP808" s="139">
        <v>97.793019999999999</v>
      </c>
      <c r="CQ808" s="139" t="s">
        <v>1896</v>
      </c>
      <c r="CR808" s="449" t="s">
        <v>40</v>
      </c>
      <c r="CS808" s="449"/>
      <c r="CT808" s="24"/>
      <c r="CU808" s="24"/>
      <c r="CV808" s="24"/>
    </row>
    <row r="809" spans="1:100" x14ac:dyDescent="0.25">
      <c r="A809" s="293" t="s">
        <v>2691</v>
      </c>
      <c r="B809" s="132" t="s">
        <v>2488</v>
      </c>
      <c r="C809" s="132" t="s">
        <v>866</v>
      </c>
      <c r="D809" s="132" t="s">
        <v>870</v>
      </c>
      <c r="E809" s="132" t="s">
        <v>900</v>
      </c>
      <c r="F809" s="132">
        <v>30</v>
      </c>
      <c r="G809" s="214">
        <v>180</v>
      </c>
      <c r="H809" s="132">
        <v>61</v>
      </c>
      <c r="I809" s="132" t="s">
        <v>2504</v>
      </c>
      <c r="J809" s="133" t="s">
        <v>2904</v>
      </c>
      <c r="K809" s="132">
        <v>0</v>
      </c>
      <c r="L809" s="132" t="s">
        <v>48</v>
      </c>
      <c r="M809" s="134">
        <v>0.44</v>
      </c>
      <c r="N809" s="134">
        <v>1</v>
      </c>
      <c r="O809" s="320">
        <v>0</v>
      </c>
      <c r="P809" s="326">
        <v>0</v>
      </c>
      <c r="Q809" s="326">
        <v>4608</v>
      </c>
      <c r="R809" s="315">
        <v>0</v>
      </c>
      <c r="S809" s="315">
        <v>0</v>
      </c>
      <c r="T809" s="315"/>
      <c r="U809" s="315">
        <v>0</v>
      </c>
      <c r="V809" s="315">
        <v>0</v>
      </c>
      <c r="W809" s="315">
        <v>0</v>
      </c>
      <c r="X809" s="315">
        <v>0</v>
      </c>
      <c r="Y809" s="315">
        <v>0</v>
      </c>
      <c r="Z809" s="315"/>
      <c r="AA809" s="336">
        <v>20</v>
      </c>
      <c r="AB809" s="336">
        <v>0</v>
      </c>
      <c r="AC809" s="337">
        <v>0</v>
      </c>
      <c r="AD809" s="337"/>
      <c r="AE809" s="336">
        <v>20</v>
      </c>
      <c r="AF809" s="336" t="s">
        <v>1358</v>
      </c>
      <c r="AG809" s="339" t="s">
        <v>1358</v>
      </c>
      <c r="AH809" s="339">
        <v>0</v>
      </c>
      <c r="AI809" s="336">
        <v>0</v>
      </c>
      <c r="AJ809" s="336"/>
      <c r="AK809" s="848">
        <v>0</v>
      </c>
      <c r="AL809" s="836" t="s">
        <v>284</v>
      </c>
      <c r="AM809" s="836">
        <v>0</v>
      </c>
      <c r="AN809" s="837">
        <v>0</v>
      </c>
      <c r="AO809" s="837">
        <v>0</v>
      </c>
      <c r="AP809" s="839">
        <v>0</v>
      </c>
      <c r="AQ809" s="839">
        <v>0</v>
      </c>
      <c r="AR809" s="839"/>
      <c r="AS809" s="839"/>
      <c r="AT809" s="839"/>
      <c r="AU809" s="839"/>
      <c r="AV809" s="849"/>
      <c r="AW809" s="134" t="s">
        <v>3208</v>
      </c>
      <c r="AX809" s="136" t="s">
        <v>3208</v>
      </c>
      <c r="AY809" s="137" t="s">
        <v>2576</v>
      </c>
      <c r="AZ809" s="136">
        <v>1</v>
      </c>
      <c r="BA809" s="136">
        <v>1</v>
      </c>
      <c r="BB809" s="136">
        <v>1</v>
      </c>
      <c r="BC809" s="214">
        <v>180</v>
      </c>
      <c r="BD809" s="136">
        <v>0</v>
      </c>
      <c r="BE809" s="214">
        <v>0</v>
      </c>
      <c r="BF809" s="136">
        <v>1</v>
      </c>
      <c r="BG809" s="214">
        <v>180</v>
      </c>
      <c r="BH809" s="214">
        <v>0.36</v>
      </c>
      <c r="BI809" s="134">
        <v>0</v>
      </c>
      <c r="BJ809" s="214">
        <v>0</v>
      </c>
      <c r="BK809" s="137">
        <v>0.64</v>
      </c>
      <c r="BL809" s="137">
        <v>1</v>
      </c>
      <c r="BM809" s="137">
        <v>20</v>
      </c>
      <c r="BN809" s="134">
        <v>1</v>
      </c>
      <c r="BO809" s="351">
        <v>180</v>
      </c>
      <c r="BP809" s="134">
        <v>0</v>
      </c>
      <c r="BQ809" s="214">
        <v>0</v>
      </c>
      <c r="BR809" s="137">
        <v>9</v>
      </c>
      <c r="BS809" s="138">
        <v>0</v>
      </c>
      <c r="BT809" s="351">
        <v>0</v>
      </c>
      <c r="BU809" s="214">
        <v>0</v>
      </c>
      <c r="BV809" s="214">
        <v>0</v>
      </c>
      <c r="BW809" s="214">
        <v>0</v>
      </c>
      <c r="BX809" s="214">
        <v>0</v>
      </c>
      <c r="BY809" s="214">
        <v>0</v>
      </c>
      <c r="BZ809" s="134">
        <v>0</v>
      </c>
      <c r="CA809" s="138">
        <v>1</v>
      </c>
      <c r="CB809" s="136">
        <v>0</v>
      </c>
      <c r="CC809" s="136">
        <v>0</v>
      </c>
      <c r="CD809" s="136">
        <v>0</v>
      </c>
      <c r="CE809" s="137">
        <v>0</v>
      </c>
      <c r="CF809" s="137">
        <v>0</v>
      </c>
      <c r="CG809" s="137">
        <v>0</v>
      </c>
      <c r="CH809" s="214">
        <v>0</v>
      </c>
      <c r="CI809" s="139">
        <v>0</v>
      </c>
      <c r="CJ809" s="139" t="s">
        <v>2959</v>
      </c>
      <c r="CK809" s="139" t="s">
        <v>50</v>
      </c>
      <c r="CL809" s="139" t="s">
        <v>50</v>
      </c>
      <c r="CM809" s="139" t="s">
        <v>946</v>
      </c>
      <c r="CN809" s="139" t="s">
        <v>51</v>
      </c>
      <c r="CO809" s="139">
        <v>23.850999999999999</v>
      </c>
      <c r="CP809" s="139">
        <v>98.337999999999994</v>
      </c>
      <c r="CQ809" s="139" t="s">
        <v>1914</v>
      </c>
      <c r="CR809" s="449" t="s">
        <v>40</v>
      </c>
      <c r="CS809" s="449"/>
      <c r="CT809" s="24"/>
      <c r="CU809" s="24"/>
      <c r="CV809" s="24"/>
    </row>
    <row r="810" spans="1:100" x14ac:dyDescent="0.25">
      <c r="A810" s="293" t="s">
        <v>2691</v>
      </c>
      <c r="B810" s="132" t="s">
        <v>2899</v>
      </c>
      <c r="C810" s="132" t="s">
        <v>866</v>
      </c>
      <c r="D810" s="132" t="s">
        <v>870</v>
      </c>
      <c r="E810" s="132" t="s">
        <v>880</v>
      </c>
      <c r="F810" s="132">
        <v>44</v>
      </c>
      <c r="G810" s="214">
        <v>265</v>
      </c>
      <c r="H810" s="132">
        <v>85</v>
      </c>
      <c r="I810" s="767" t="s">
        <v>2914</v>
      </c>
      <c r="J810" s="133" t="s">
        <v>2919</v>
      </c>
      <c r="K810" s="132">
        <v>0</v>
      </c>
      <c r="L810" s="132" t="s">
        <v>282</v>
      </c>
      <c r="M810" s="134">
        <v>0</v>
      </c>
      <c r="N810" s="134">
        <v>0</v>
      </c>
      <c r="O810" s="320">
        <v>0</v>
      </c>
      <c r="P810" s="326"/>
      <c r="Q810" s="326">
        <v>86400</v>
      </c>
      <c r="R810" s="315"/>
      <c r="S810" s="315">
        <v>12</v>
      </c>
      <c r="T810" s="315"/>
      <c r="U810" s="315">
        <v>0</v>
      </c>
      <c r="V810" s="315">
        <v>0</v>
      </c>
      <c r="W810" s="315">
        <v>0</v>
      </c>
      <c r="X810" s="315">
        <v>0</v>
      </c>
      <c r="Y810" s="315">
        <v>0</v>
      </c>
      <c r="Z810" s="315"/>
      <c r="AA810" s="336">
        <v>49</v>
      </c>
      <c r="AB810" s="336">
        <v>0</v>
      </c>
      <c r="AC810" s="337">
        <v>0</v>
      </c>
      <c r="AD810" s="337"/>
      <c r="AE810" s="336">
        <v>49</v>
      </c>
      <c r="AF810" s="336" t="s">
        <v>1358</v>
      </c>
      <c r="AG810" s="339" t="s">
        <v>1358</v>
      </c>
      <c r="AH810" s="339"/>
      <c r="AI810" s="336"/>
      <c r="AJ810" s="336"/>
      <c r="AK810" s="848">
        <v>0.3</v>
      </c>
      <c r="AL810" s="836" t="s">
        <v>284</v>
      </c>
      <c r="AM810" s="836">
        <v>3</v>
      </c>
      <c r="AN810" s="837">
        <v>2</v>
      </c>
      <c r="AO810" s="837">
        <v>3</v>
      </c>
      <c r="AP810" s="839">
        <v>0</v>
      </c>
      <c r="AQ810" s="839">
        <v>0</v>
      </c>
      <c r="AR810" s="839"/>
      <c r="AS810" s="839"/>
      <c r="AT810" s="839"/>
      <c r="AU810" s="839"/>
      <c r="AV810" s="849"/>
      <c r="AW810" s="134" t="s">
        <v>3208</v>
      </c>
      <c r="AX810" s="136" t="s">
        <v>3208</v>
      </c>
      <c r="AY810" s="137" t="s">
        <v>2576</v>
      </c>
      <c r="AZ810" s="136">
        <v>1</v>
      </c>
      <c r="BA810" s="136">
        <v>1</v>
      </c>
      <c r="BB810" s="136">
        <v>1</v>
      </c>
      <c r="BC810" s="214">
        <v>265</v>
      </c>
      <c r="BD810" s="136">
        <v>0</v>
      </c>
      <c r="BE810" s="214">
        <v>0</v>
      </c>
      <c r="BF810" s="136">
        <v>1</v>
      </c>
      <c r="BG810" s="214">
        <v>265</v>
      </c>
      <c r="BH810" s="214">
        <v>0.53</v>
      </c>
      <c r="BI810" s="134">
        <v>0</v>
      </c>
      <c r="BJ810" s="214">
        <v>0</v>
      </c>
      <c r="BK810" s="137">
        <v>0.47</v>
      </c>
      <c r="BL810" s="137">
        <v>1</v>
      </c>
      <c r="BM810" s="137">
        <v>49</v>
      </c>
      <c r="BN810" s="134">
        <v>1</v>
      </c>
      <c r="BO810" s="351">
        <v>265</v>
      </c>
      <c r="BP810" s="134">
        <v>0</v>
      </c>
      <c r="BQ810" s="214">
        <v>0</v>
      </c>
      <c r="BR810" s="137">
        <v>44</v>
      </c>
      <c r="BS810" s="138">
        <v>0</v>
      </c>
      <c r="BT810" s="351">
        <v>0</v>
      </c>
      <c r="BU810" s="214">
        <v>265</v>
      </c>
      <c r="BV810" s="214">
        <v>0</v>
      </c>
      <c r="BW810" s="214">
        <v>1</v>
      </c>
      <c r="BX810" s="214">
        <v>0</v>
      </c>
      <c r="BY810" s="214">
        <v>0</v>
      </c>
      <c r="BZ810" s="134">
        <v>0</v>
      </c>
      <c r="CA810" s="138">
        <v>1</v>
      </c>
      <c r="CB810" s="136">
        <v>1</v>
      </c>
      <c r="CC810" s="136">
        <v>0</v>
      </c>
      <c r="CD810" s="136">
        <v>0</v>
      </c>
      <c r="CE810" s="137">
        <v>0</v>
      </c>
      <c r="CF810" s="137">
        <v>0</v>
      </c>
      <c r="CG810" s="137">
        <v>0</v>
      </c>
      <c r="CH810" s="214">
        <v>13.2</v>
      </c>
      <c r="CI810" s="139" t="s">
        <v>48</v>
      </c>
      <c r="CJ810" s="139" t="s">
        <v>287</v>
      </c>
      <c r="CK810" s="139" t="s">
        <v>50</v>
      </c>
      <c r="CL810" s="139" t="s">
        <v>1139</v>
      </c>
      <c r="CM810" s="139" t="s">
        <v>50</v>
      </c>
      <c r="CN810" s="139" t="s">
        <v>51</v>
      </c>
      <c r="CO810" s="139">
        <v>23.400155999999999</v>
      </c>
      <c r="CP810" s="139">
        <v>98.220614999999995</v>
      </c>
      <c r="CQ810" s="139" t="s">
        <v>1889</v>
      </c>
      <c r="CR810" s="449" t="s">
        <v>40</v>
      </c>
      <c r="CS810" s="449"/>
      <c r="CT810" s="24"/>
      <c r="CU810" s="24"/>
      <c r="CV810" s="24"/>
    </row>
    <row r="811" spans="1:100" x14ac:dyDescent="0.25">
      <c r="A811" s="293" t="s">
        <v>2691</v>
      </c>
      <c r="B811" s="132" t="s">
        <v>882</v>
      </c>
      <c r="C811" s="132" t="s">
        <v>866</v>
      </c>
      <c r="D811" s="132" t="s">
        <v>870</v>
      </c>
      <c r="E811" s="132" t="s">
        <v>875</v>
      </c>
      <c r="F811" s="132">
        <v>22</v>
      </c>
      <c r="G811" s="214">
        <v>111</v>
      </c>
      <c r="H811" s="132">
        <v>49</v>
      </c>
      <c r="I811" s="132" t="s">
        <v>2491</v>
      </c>
      <c r="J811" s="133" t="s">
        <v>2898</v>
      </c>
      <c r="K811" s="132">
        <v>0</v>
      </c>
      <c r="L811" s="132" t="s">
        <v>48</v>
      </c>
      <c r="M811" s="134">
        <v>0.5</v>
      </c>
      <c r="N811" s="134">
        <v>1</v>
      </c>
      <c r="O811" s="320">
        <v>0</v>
      </c>
      <c r="P811" s="326">
        <v>0</v>
      </c>
      <c r="Q811" s="326">
        <v>5400</v>
      </c>
      <c r="R811" s="315">
        <v>1</v>
      </c>
      <c r="S811" s="315">
        <v>1</v>
      </c>
      <c r="T811" s="315"/>
      <c r="U811" s="315">
        <v>2</v>
      </c>
      <c r="V811" s="315">
        <v>0</v>
      </c>
      <c r="W811" s="315">
        <v>18</v>
      </c>
      <c r="X811" s="315">
        <v>4</v>
      </c>
      <c r="Y811" s="315">
        <v>0</v>
      </c>
      <c r="Z811" s="315"/>
      <c r="AA811" s="336">
        <v>8</v>
      </c>
      <c r="AB811" s="336">
        <v>0</v>
      </c>
      <c r="AC811" s="337">
        <v>0</v>
      </c>
      <c r="AD811" s="337" t="s">
        <v>2782</v>
      </c>
      <c r="AE811" s="336">
        <v>10</v>
      </c>
      <c r="AF811" s="336" t="s">
        <v>283</v>
      </c>
      <c r="AG811" s="339" t="s">
        <v>283</v>
      </c>
      <c r="AH811" s="339">
        <v>0</v>
      </c>
      <c r="AI811" s="336">
        <v>0</v>
      </c>
      <c r="AJ811" s="336"/>
      <c r="AK811" s="848">
        <v>1</v>
      </c>
      <c r="AL811" s="842" t="s">
        <v>376</v>
      </c>
      <c r="AM811" s="836">
        <v>0</v>
      </c>
      <c r="AN811" s="837">
        <v>2</v>
      </c>
      <c r="AO811" s="837">
        <v>2</v>
      </c>
      <c r="AP811" s="839">
        <v>22</v>
      </c>
      <c r="AQ811" s="839">
        <v>0</v>
      </c>
      <c r="AR811" s="839" t="s">
        <v>48</v>
      </c>
      <c r="AS811" s="839"/>
      <c r="AT811" s="839"/>
      <c r="AU811" s="839"/>
      <c r="AV811" s="849"/>
      <c r="AW811" s="134">
        <v>0</v>
      </c>
      <c r="AX811" s="136">
        <v>0.22222222222222221</v>
      </c>
      <c r="AY811" s="137" t="s">
        <v>2577</v>
      </c>
      <c r="AZ811" s="136">
        <v>1</v>
      </c>
      <c r="BA811" s="136">
        <v>1</v>
      </c>
      <c r="BB811" s="136">
        <v>1</v>
      </c>
      <c r="BC811" s="214">
        <v>111</v>
      </c>
      <c r="BD811" s="136">
        <v>1</v>
      </c>
      <c r="BE811" s="214">
        <v>111</v>
      </c>
      <c r="BF811" s="136">
        <v>1</v>
      </c>
      <c r="BG811" s="214">
        <v>111</v>
      </c>
      <c r="BH811" s="214">
        <v>0.222</v>
      </c>
      <c r="BI811" s="134">
        <v>0</v>
      </c>
      <c r="BJ811" s="214">
        <v>0</v>
      </c>
      <c r="BK811" s="137">
        <v>0.77800000000000002</v>
      </c>
      <c r="BL811" s="137">
        <v>1</v>
      </c>
      <c r="BM811" s="137">
        <v>8</v>
      </c>
      <c r="BN811" s="134">
        <v>1</v>
      </c>
      <c r="BO811" s="351">
        <v>111</v>
      </c>
      <c r="BP811" s="134">
        <v>0</v>
      </c>
      <c r="BQ811" s="214">
        <v>0</v>
      </c>
      <c r="BR811" s="137">
        <v>6</v>
      </c>
      <c r="BS811" s="138">
        <v>0</v>
      </c>
      <c r="BT811" s="351">
        <v>0</v>
      </c>
      <c r="BU811" s="214">
        <v>111</v>
      </c>
      <c r="BV811" s="214">
        <v>0</v>
      </c>
      <c r="BW811" s="214">
        <v>1</v>
      </c>
      <c r="BX811" s="214">
        <v>1</v>
      </c>
      <c r="BY811" s="214">
        <v>111</v>
      </c>
      <c r="BZ811" s="134">
        <v>1</v>
      </c>
      <c r="CA811" s="138">
        <v>0</v>
      </c>
      <c r="CB811" s="136">
        <v>1</v>
      </c>
      <c r="CC811" s="136">
        <v>1</v>
      </c>
      <c r="CD811" s="136">
        <v>0</v>
      </c>
      <c r="CE811" s="137">
        <v>110</v>
      </c>
      <c r="CF811" s="137">
        <v>0</v>
      </c>
      <c r="CG811" s="137">
        <v>110</v>
      </c>
      <c r="CH811" s="214">
        <v>22</v>
      </c>
      <c r="CI811" s="139" t="s">
        <v>48</v>
      </c>
      <c r="CJ811" s="139" t="s">
        <v>1545</v>
      </c>
      <c r="CK811" s="139" t="s">
        <v>50</v>
      </c>
      <c r="CL811" s="139" t="s">
        <v>50</v>
      </c>
      <c r="CM811" s="139" t="s">
        <v>50</v>
      </c>
      <c r="CN811" s="139" t="s">
        <v>51</v>
      </c>
      <c r="CO811" s="139">
        <v>23.463000000000001</v>
      </c>
      <c r="CP811" s="139">
        <v>98.248999999999995</v>
      </c>
      <c r="CQ811" s="139" t="s">
        <v>1895</v>
      </c>
      <c r="CR811" s="449" t="s">
        <v>40</v>
      </c>
      <c r="CS811" s="449"/>
      <c r="CT811" s="24"/>
      <c r="CU811" s="24"/>
      <c r="CV811" s="24"/>
    </row>
    <row r="812" spans="1:100" x14ac:dyDescent="0.25">
      <c r="A812" s="293" t="s">
        <v>2691</v>
      </c>
      <c r="B812" s="206" t="s">
        <v>338</v>
      </c>
      <c r="C812" s="206" t="s">
        <v>866</v>
      </c>
      <c r="D812" s="206" t="s">
        <v>870</v>
      </c>
      <c r="E812" s="132" t="s">
        <v>884</v>
      </c>
      <c r="F812" s="132">
        <v>63</v>
      </c>
      <c r="G812" s="214">
        <v>279</v>
      </c>
      <c r="H812" s="132">
        <v>134</v>
      </c>
      <c r="I812" s="132" t="s">
        <v>2504</v>
      </c>
      <c r="J812" s="133" t="s">
        <v>2909</v>
      </c>
      <c r="K812" s="132">
        <v>0</v>
      </c>
      <c r="L812" s="132" t="s">
        <v>48</v>
      </c>
      <c r="M812" s="134">
        <v>0.7</v>
      </c>
      <c r="N812" s="134">
        <v>1</v>
      </c>
      <c r="O812" s="320"/>
      <c r="P812" s="326">
        <v>1</v>
      </c>
      <c r="Q812" s="326">
        <v>15000</v>
      </c>
      <c r="R812" s="315"/>
      <c r="S812" s="315">
        <v>8</v>
      </c>
      <c r="T812" s="315"/>
      <c r="U812" s="315">
        <v>0</v>
      </c>
      <c r="V812" s="315">
        <v>0</v>
      </c>
      <c r="W812" s="315">
        <v>0</v>
      </c>
      <c r="X812" s="315">
        <v>0</v>
      </c>
      <c r="Y812" s="315">
        <v>0</v>
      </c>
      <c r="Z812" s="315"/>
      <c r="AA812" s="336">
        <v>14</v>
      </c>
      <c r="AB812" s="336">
        <v>0</v>
      </c>
      <c r="AC812" s="337">
        <v>0</v>
      </c>
      <c r="AD812" s="337"/>
      <c r="AE812" s="336">
        <v>14</v>
      </c>
      <c r="AF812" s="336" t="s">
        <v>283</v>
      </c>
      <c r="AG812" s="339" t="s">
        <v>283</v>
      </c>
      <c r="AH812" s="339">
        <v>0</v>
      </c>
      <c r="AI812" s="336">
        <v>0</v>
      </c>
      <c r="AJ812" s="336"/>
      <c r="AK812" s="848">
        <v>1</v>
      </c>
      <c r="AL812" s="842" t="s">
        <v>376</v>
      </c>
      <c r="AM812" s="836"/>
      <c r="AN812" s="837">
        <v>2</v>
      </c>
      <c r="AO812" s="837">
        <v>1</v>
      </c>
      <c r="AP812" s="839"/>
      <c r="AQ812" s="839">
        <v>0</v>
      </c>
      <c r="AR812" s="839"/>
      <c r="AS812" s="839"/>
      <c r="AT812" s="839"/>
      <c r="AU812" s="839"/>
      <c r="AV812" s="849"/>
      <c r="AW812" s="134" t="s">
        <v>3208</v>
      </c>
      <c r="AX812" s="136" t="s">
        <v>3208</v>
      </c>
      <c r="AY812" s="137" t="s">
        <v>2576</v>
      </c>
      <c r="AZ812" s="136">
        <v>1</v>
      </c>
      <c r="BA812" s="136">
        <v>1</v>
      </c>
      <c r="BB812" s="136">
        <v>1</v>
      </c>
      <c r="BC812" s="214">
        <v>279</v>
      </c>
      <c r="BD812" s="136">
        <v>0</v>
      </c>
      <c r="BE812" s="214">
        <v>0</v>
      </c>
      <c r="BF812" s="136">
        <v>1</v>
      </c>
      <c r="BG812" s="214">
        <v>279</v>
      </c>
      <c r="BH812" s="214">
        <v>0.55800000000000005</v>
      </c>
      <c r="BI812" s="134">
        <v>0</v>
      </c>
      <c r="BJ812" s="214">
        <v>0</v>
      </c>
      <c r="BK812" s="137">
        <v>0.44199999999999995</v>
      </c>
      <c r="BL812" s="137">
        <v>1</v>
      </c>
      <c r="BM812" s="137">
        <v>14</v>
      </c>
      <c r="BN812" s="134">
        <v>1</v>
      </c>
      <c r="BO812" s="351">
        <v>279</v>
      </c>
      <c r="BP812" s="134">
        <v>0</v>
      </c>
      <c r="BQ812" s="214">
        <v>0</v>
      </c>
      <c r="BR812" s="137">
        <v>14</v>
      </c>
      <c r="BS812" s="138">
        <v>0</v>
      </c>
      <c r="BT812" s="351">
        <v>0</v>
      </c>
      <c r="BU812" s="214">
        <v>279</v>
      </c>
      <c r="BV812" s="214">
        <v>0</v>
      </c>
      <c r="BW812" s="214">
        <v>1</v>
      </c>
      <c r="BX812" s="214">
        <v>0</v>
      </c>
      <c r="BY812" s="214">
        <v>0</v>
      </c>
      <c r="BZ812" s="134">
        <v>0</v>
      </c>
      <c r="CA812" s="138">
        <v>1</v>
      </c>
      <c r="CB812" s="136">
        <v>1</v>
      </c>
      <c r="CC812" s="136">
        <v>0</v>
      </c>
      <c r="CD812" s="136">
        <v>0</v>
      </c>
      <c r="CE812" s="137">
        <v>0</v>
      </c>
      <c r="CF812" s="137">
        <v>0</v>
      </c>
      <c r="CG812" s="137">
        <v>0</v>
      </c>
      <c r="CH812" s="214">
        <v>63</v>
      </c>
      <c r="CI812" s="139" t="s">
        <v>48</v>
      </c>
      <c r="CJ812" s="139" t="s">
        <v>287</v>
      </c>
      <c r="CK812" s="139" t="s">
        <v>50</v>
      </c>
      <c r="CL812" s="139" t="s">
        <v>50</v>
      </c>
      <c r="CM812" s="139" t="s">
        <v>50</v>
      </c>
      <c r="CN812" s="139" t="s">
        <v>51</v>
      </c>
      <c r="CO812" s="139">
        <v>23.694130000000001</v>
      </c>
      <c r="CP812" s="139">
        <v>97.818979999999996</v>
      </c>
      <c r="CQ812" s="139" t="s">
        <v>1901</v>
      </c>
      <c r="CR812" s="449" t="s">
        <v>40</v>
      </c>
      <c r="CS812" s="449"/>
      <c r="CT812" s="24"/>
      <c r="CU812" s="24"/>
      <c r="CV812" s="24"/>
    </row>
    <row r="813" spans="1:100" x14ac:dyDescent="0.25">
      <c r="A813" s="293" t="s">
        <v>2691</v>
      </c>
      <c r="B813" s="206" t="s">
        <v>338</v>
      </c>
      <c r="C813" s="206" t="s">
        <v>866</v>
      </c>
      <c r="D813" s="206" t="s">
        <v>870</v>
      </c>
      <c r="E813" s="132" t="s">
        <v>2958</v>
      </c>
      <c r="F813" s="132">
        <v>39</v>
      </c>
      <c r="G813" s="214">
        <v>146</v>
      </c>
      <c r="H813" s="132"/>
      <c r="I813" s="132" t="s">
        <v>2503</v>
      </c>
      <c r="J813" s="133" t="s">
        <v>2909</v>
      </c>
      <c r="K813" s="132">
        <v>0</v>
      </c>
      <c r="L813" s="132" t="s">
        <v>48</v>
      </c>
      <c r="M813" s="134">
        <v>0.5</v>
      </c>
      <c r="N813" s="134">
        <v>1</v>
      </c>
      <c r="O813" s="320"/>
      <c r="P813" s="326"/>
      <c r="Q813" s="326">
        <v>2700</v>
      </c>
      <c r="R813" s="315"/>
      <c r="S813" s="315">
        <v>3</v>
      </c>
      <c r="T813" s="315"/>
      <c r="U813" s="315">
        <v>0</v>
      </c>
      <c r="V813" s="315">
        <v>0</v>
      </c>
      <c r="W813" s="315">
        <v>0</v>
      </c>
      <c r="X813" s="315">
        <v>0</v>
      </c>
      <c r="Y813" s="315">
        <v>0</v>
      </c>
      <c r="Z813" s="315" t="s">
        <v>887</v>
      </c>
      <c r="AA813" s="336">
        <v>5</v>
      </c>
      <c r="AB813" s="336">
        <v>0</v>
      </c>
      <c r="AC813" s="337">
        <v>0</v>
      </c>
      <c r="AD813" s="337"/>
      <c r="AE813" s="336">
        <v>5</v>
      </c>
      <c r="AF813" s="336" t="s">
        <v>286</v>
      </c>
      <c r="AG813" s="339" t="s">
        <v>286</v>
      </c>
      <c r="AH813" s="339">
        <v>0</v>
      </c>
      <c r="AI813" s="336">
        <v>0</v>
      </c>
      <c r="AJ813" s="336"/>
      <c r="AK813" s="848">
        <v>0</v>
      </c>
      <c r="AL813" s="836" t="s">
        <v>284</v>
      </c>
      <c r="AM813" s="836"/>
      <c r="AN813" s="837">
        <v>0</v>
      </c>
      <c r="AO813" s="837">
        <v>1</v>
      </c>
      <c r="AP813" s="839"/>
      <c r="AQ813" s="839">
        <v>0</v>
      </c>
      <c r="AR813" s="839"/>
      <c r="AS813" s="839"/>
      <c r="AT813" s="839"/>
      <c r="AU813" s="839"/>
      <c r="AV813" s="849"/>
      <c r="AW813" s="134" t="s">
        <v>3208</v>
      </c>
      <c r="AX813" s="136" t="s">
        <v>3208</v>
      </c>
      <c r="AY813" s="137" t="s">
        <v>2576</v>
      </c>
      <c r="AZ813" s="136">
        <v>1</v>
      </c>
      <c r="BA813" s="136">
        <v>1</v>
      </c>
      <c r="BB813" s="136">
        <v>1</v>
      </c>
      <c r="BC813" s="214">
        <v>146</v>
      </c>
      <c r="BD813" s="136">
        <v>0</v>
      </c>
      <c r="BE813" s="214">
        <v>0</v>
      </c>
      <c r="BF813" s="136">
        <v>1</v>
      </c>
      <c r="BG813" s="214">
        <v>146</v>
      </c>
      <c r="BH813" s="214">
        <v>0.29199999999999998</v>
      </c>
      <c r="BI813" s="134">
        <v>0</v>
      </c>
      <c r="BJ813" s="214">
        <v>0</v>
      </c>
      <c r="BK813" s="137">
        <v>0.70799999999999996</v>
      </c>
      <c r="BL813" s="137">
        <v>1</v>
      </c>
      <c r="BM813" s="137">
        <v>5</v>
      </c>
      <c r="BN813" s="134">
        <v>0.68493150684931503</v>
      </c>
      <c r="BO813" s="351">
        <v>100</v>
      </c>
      <c r="BP813" s="134">
        <v>0.27397260273972601</v>
      </c>
      <c r="BQ813" s="214">
        <v>2</v>
      </c>
      <c r="BR813" s="137">
        <v>7</v>
      </c>
      <c r="BS813" s="138">
        <v>0</v>
      </c>
      <c r="BT813" s="351">
        <v>0</v>
      </c>
      <c r="BU813" s="214">
        <v>146</v>
      </c>
      <c r="BV813" s="214">
        <v>0</v>
      </c>
      <c r="BW813" s="214">
        <v>1</v>
      </c>
      <c r="BX813" s="214">
        <v>0</v>
      </c>
      <c r="BY813" s="214">
        <v>0</v>
      </c>
      <c r="BZ813" s="134">
        <v>0</v>
      </c>
      <c r="CA813" s="138">
        <v>1</v>
      </c>
      <c r="CB813" s="136">
        <v>1</v>
      </c>
      <c r="CC813" s="136">
        <v>0</v>
      </c>
      <c r="CD813" s="136">
        <v>0</v>
      </c>
      <c r="CE813" s="137">
        <v>0</v>
      </c>
      <c r="CF813" s="137">
        <v>0</v>
      </c>
      <c r="CG813" s="137">
        <v>0</v>
      </c>
      <c r="CH813" s="214">
        <v>0</v>
      </c>
      <c r="CI813" s="139">
        <v>0</v>
      </c>
      <c r="CJ813" s="139" t="s">
        <v>1545</v>
      </c>
      <c r="CK813" s="139" t="s">
        <v>50</v>
      </c>
      <c r="CL813" s="139" t="s">
        <v>50</v>
      </c>
      <c r="CM813" s="139" t="s">
        <v>50</v>
      </c>
      <c r="CN813" s="139" t="s">
        <v>51</v>
      </c>
      <c r="CO813" s="139">
        <v>23.682887999999998</v>
      </c>
      <c r="CP813" s="139">
        <v>97.810101000000003</v>
      </c>
      <c r="CQ813" s="139" t="s">
        <v>1900</v>
      </c>
      <c r="CR813" s="449" t="s">
        <v>40</v>
      </c>
      <c r="CS813" s="449"/>
      <c r="CT813" s="24"/>
      <c r="CU813" s="24"/>
      <c r="CV813" s="24"/>
    </row>
    <row r="814" spans="1:100" x14ac:dyDescent="0.25">
      <c r="A814" s="293" t="s">
        <v>2691</v>
      </c>
      <c r="B814" s="132" t="s">
        <v>338</v>
      </c>
      <c r="C814" s="132" t="s">
        <v>866</v>
      </c>
      <c r="D814" s="132" t="s">
        <v>870</v>
      </c>
      <c r="E814" s="132" t="s">
        <v>897</v>
      </c>
      <c r="F814" s="132">
        <v>106</v>
      </c>
      <c r="G814" s="214">
        <v>635</v>
      </c>
      <c r="H814" s="132">
        <v>75</v>
      </c>
      <c r="I814" s="132" t="s">
        <v>886</v>
      </c>
      <c r="J814" s="133" t="s">
        <v>2477</v>
      </c>
      <c r="K814" s="132">
        <v>0</v>
      </c>
      <c r="L814" s="132" t="s">
        <v>48</v>
      </c>
      <c r="M814" s="134">
        <v>0.5</v>
      </c>
      <c r="N814" s="134">
        <v>1</v>
      </c>
      <c r="O814" s="320"/>
      <c r="P814" s="326">
        <v>1</v>
      </c>
      <c r="Q814" s="326">
        <v>9600</v>
      </c>
      <c r="R814" s="315"/>
      <c r="S814" s="315">
        <v>5</v>
      </c>
      <c r="T814" s="315"/>
      <c r="U814" s="315">
        <v>0</v>
      </c>
      <c r="V814" s="315">
        <v>0</v>
      </c>
      <c r="W814" s="315">
        <v>0</v>
      </c>
      <c r="X814" s="315">
        <v>0</v>
      </c>
      <c r="Y814" s="315">
        <v>0</v>
      </c>
      <c r="Z814" s="315"/>
      <c r="AA814" s="336">
        <v>106</v>
      </c>
      <c r="AB814" s="336">
        <v>0</v>
      </c>
      <c r="AC814" s="337">
        <v>0</v>
      </c>
      <c r="AD814" s="337"/>
      <c r="AE814" s="336">
        <v>106</v>
      </c>
      <c r="AF814" s="336" t="s">
        <v>283</v>
      </c>
      <c r="AG814" s="339" t="s">
        <v>332</v>
      </c>
      <c r="AH814" s="339">
        <v>0</v>
      </c>
      <c r="AI814" s="336">
        <v>0</v>
      </c>
      <c r="AJ814" s="336"/>
      <c r="AK814" s="848">
        <v>0.4</v>
      </c>
      <c r="AL814" s="842" t="s">
        <v>376</v>
      </c>
      <c r="AM814" s="836"/>
      <c r="AN814" s="837"/>
      <c r="AO814" s="837">
        <v>1</v>
      </c>
      <c r="AP814" s="839">
        <v>0</v>
      </c>
      <c r="AQ814" s="839">
        <v>0</v>
      </c>
      <c r="AR814" s="839"/>
      <c r="AS814" s="839"/>
      <c r="AT814" s="839"/>
      <c r="AU814" s="839"/>
      <c r="AV814" s="849"/>
      <c r="AW814" s="134" t="s">
        <v>3208</v>
      </c>
      <c r="AX814" s="136" t="s">
        <v>3208</v>
      </c>
      <c r="AY814" s="137" t="s">
        <v>2576</v>
      </c>
      <c r="AZ814" s="136">
        <v>1</v>
      </c>
      <c r="BA814" s="136">
        <v>1</v>
      </c>
      <c r="BB814" s="136">
        <v>1</v>
      </c>
      <c r="BC814" s="214">
        <v>635</v>
      </c>
      <c r="BD814" s="136">
        <v>0</v>
      </c>
      <c r="BE814" s="214">
        <v>0</v>
      </c>
      <c r="BF814" s="136">
        <v>1</v>
      </c>
      <c r="BG814" s="214">
        <v>635</v>
      </c>
      <c r="BH814" s="214">
        <v>1.27</v>
      </c>
      <c r="BI814" s="134">
        <v>0</v>
      </c>
      <c r="BJ814" s="214">
        <v>0</v>
      </c>
      <c r="BK814" s="137">
        <v>0</v>
      </c>
      <c r="BL814" s="137">
        <v>1</v>
      </c>
      <c r="BM814" s="137">
        <v>106</v>
      </c>
      <c r="BN814" s="134">
        <v>1</v>
      </c>
      <c r="BO814" s="351">
        <v>635</v>
      </c>
      <c r="BP814" s="134">
        <v>0</v>
      </c>
      <c r="BQ814" s="214">
        <v>0</v>
      </c>
      <c r="BR814" s="137">
        <v>106</v>
      </c>
      <c r="BS814" s="138">
        <v>0</v>
      </c>
      <c r="BT814" s="351">
        <v>0</v>
      </c>
      <c r="BU814" s="214">
        <v>500</v>
      </c>
      <c r="BV814" s="214">
        <v>0</v>
      </c>
      <c r="BW814" s="214">
        <v>0</v>
      </c>
      <c r="BX814" s="214">
        <v>0</v>
      </c>
      <c r="BY814" s="214">
        <v>0</v>
      </c>
      <c r="BZ814" s="134">
        <v>0</v>
      </c>
      <c r="CA814" s="138">
        <v>1</v>
      </c>
      <c r="CB814" s="136">
        <v>0.78740157480314965</v>
      </c>
      <c r="CC814" s="136">
        <v>0</v>
      </c>
      <c r="CD814" s="136">
        <v>0</v>
      </c>
      <c r="CE814" s="137">
        <v>0</v>
      </c>
      <c r="CF814" s="137">
        <v>0</v>
      </c>
      <c r="CG814" s="137">
        <v>0</v>
      </c>
      <c r="CH814" s="214">
        <v>42.400000000000006</v>
      </c>
      <c r="CI814" s="139">
        <v>0</v>
      </c>
      <c r="CJ814" s="139" t="s">
        <v>2959</v>
      </c>
      <c r="CK814" s="139" t="s">
        <v>50</v>
      </c>
      <c r="CL814" s="139" t="s">
        <v>1139</v>
      </c>
      <c r="CM814" s="139" t="s">
        <v>946</v>
      </c>
      <c r="CN814" s="139" t="s">
        <v>51</v>
      </c>
      <c r="CO814" s="139">
        <v>23.447111</v>
      </c>
      <c r="CP814" s="139">
        <v>97.868876999999998</v>
      </c>
      <c r="CQ814" s="139" t="s">
        <v>1891</v>
      </c>
      <c r="CR814" s="449" t="s">
        <v>40</v>
      </c>
      <c r="CS814" s="449"/>
      <c r="CT814" s="24"/>
      <c r="CU814" s="24"/>
      <c r="CV814" s="24"/>
    </row>
    <row r="815" spans="1:100" x14ac:dyDescent="0.25">
      <c r="A815" s="293" t="s">
        <v>2691</v>
      </c>
      <c r="B815" s="206" t="s">
        <v>338</v>
      </c>
      <c r="C815" s="183" t="s">
        <v>866</v>
      </c>
      <c r="D815" s="183" t="s">
        <v>870</v>
      </c>
      <c r="E815" s="183" t="s">
        <v>917</v>
      </c>
      <c r="F815" s="206">
        <v>39</v>
      </c>
      <c r="G815" s="209">
        <v>202</v>
      </c>
      <c r="H815" s="206">
        <v>46</v>
      </c>
      <c r="I815" s="206" t="s">
        <v>488</v>
      </c>
      <c r="J815" s="207"/>
      <c r="K815" s="206"/>
      <c r="L815" s="206" t="s">
        <v>48</v>
      </c>
      <c r="M815" s="208">
        <v>0</v>
      </c>
      <c r="N815" s="208">
        <v>0</v>
      </c>
      <c r="O815" s="316"/>
      <c r="P815" s="317"/>
      <c r="Q815" s="317">
        <v>8000</v>
      </c>
      <c r="R815" s="318"/>
      <c r="S815" s="318">
        <v>4</v>
      </c>
      <c r="T815" s="318"/>
      <c r="U815" s="318"/>
      <c r="V815" s="318"/>
      <c r="W815" s="318"/>
      <c r="X815" s="318"/>
      <c r="Y815" s="318"/>
      <c r="Z815" s="318"/>
      <c r="AA815" s="310">
        <v>0</v>
      </c>
      <c r="AB815" s="310"/>
      <c r="AC815" s="66"/>
      <c r="AD815" s="337"/>
      <c r="AE815" s="310"/>
      <c r="AF815" s="310" t="s">
        <v>332</v>
      </c>
      <c r="AG815" s="310" t="s">
        <v>332</v>
      </c>
      <c r="AH815" s="311"/>
      <c r="AI815" s="310"/>
      <c r="AJ815" s="310"/>
      <c r="AK815" s="841"/>
      <c r="AL815" s="842"/>
      <c r="AM815" s="842"/>
      <c r="AN815" s="837"/>
      <c r="AO815" s="837"/>
      <c r="AP815" s="843"/>
      <c r="AQ815" s="843"/>
      <c r="AR815" s="843"/>
      <c r="AS815" s="843"/>
      <c r="AT815" s="843"/>
      <c r="AU815" s="843"/>
      <c r="AV815" s="844"/>
      <c r="AW815" s="208" t="s">
        <v>3208</v>
      </c>
      <c r="AX815" s="211" t="s">
        <v>3208</v>
      </c>
      <c r="AY815" s="210" t="s">
        <v>2576</v>
      </c>
      <c r="AZ815" s="211">
        <v>1</v>
      </c>
      <c r="BA815" s="211">
        <v>1</v>
      </c>
      <c r="BB815" s="211">
        <v>1</v>
      </c>
      <c r="BC815" s="209">
        <v>202</v>
      </c>
      <c r="BD815" s="211">
        <v>0</v>
      </c>
      <c r="BE815" s="209">
        <v>0</v>
      </c>
      <c r="BF815" s="211">
        <v>1</v>
      </c>
      <c r="BG815" s="209">
        <v>202</v>
      </c>
      <c r="BH815" s="209">
        <v>0.40400000000000003</v>
      </c>
      <c r="BI815" s="208">
        <v>0</v>
      </c>
      <c r="BJ815" s="209">
        <v>0</v>
      </c>
      <c r="BK815" s="210">
        <v>0.59599999999999997</v>
      </c>
      <c r="BL815" s="210">
        <v>1</v>
      </c>
      <c r="BM815" s="210">
        <v>0</v>
      </c>
      <c r="BN815" s="208">
        <v>0</v>
      </c>
      <c r="BO815" s="352">
        <v>0</v>
      </c>
      <c r="BP815" s="208">
        <v>0.99009900990099009</v>
      </c>
      <c r="BQ815" s="209">
        <v>10</v>
      </c>
      <c r="BR815" s="210">
        <v>10</v>
      </c>
      <c r="BS815" s="212">
        <v>0</v>
      </c>
      <c r="BT815" s="352">
        <v>0</v>
      </c>
      <c r="BU815" s="209">
        <v>0</v>
      </c>
      <c r="BV815" s="209">
        <v>0</v>
      </c>
      <c r="BW815" s="209">
        <v>0</v>
      </c>
      <c r="BX815" s="209">
        <v>0</v>
      </c>
      <c r="BY815" s="209">
        <v>0</v>
      </c>
      <c r="BZ815" s="208">
        <v>0</v>
      </c>
      <c r="CA815" s="212">
        <v>1</v>
      </c>
      <c r="CB815" s="211">
        <v>0</v>
      </c>
      <c r="CC815" s="211">
        <v>0</v>
      </c>
      <c r="CD815" s="211">
        <v>0</v>
      </c>
      <c r="CE815" s="210">
        <v>0</v>
      </c>
      <c r="CF815" s="210">
        <v>0</v>
      </c>
      <c r="CG815" s="210">
        <v>0</v>
      </c>
      <c r="CH815" s="209">
        <v>0</v>
      </c>
      <c r="CI815" s="139">
        <v>0</v>
      </c>
      <c r="CJ815" s="139" t="s">
        <v>2959</v>
      </c>
      <c r="CK815" s="139" t="s">
        <v>50</v>
      </c>
      <c r="CL815" s="139" t="s">
        <v>50</v>
      </c>
      <c r="CM815" s="139" t="s">
        <v>946</v>
      </c>
      <c r="CN815" s="139" t="s">
        <v>51</v>
      </c>
      <c r="CO815" s="139">
        <v>0</v>
      </c>
      <c r="CP815" s="139">
        <v>0</v>
      </c>
      <c r="CQ815" s="139" t="s">
        <v>2505</v>
      </c>
      <c r="CR815" s="660" t="s">
        <v>40</v>
      </c>
      <c r="CS815" s="660"/>
      <c r="CT815" s="24"/>
      <c r="CU815" s="24"/>
      <c r="CV815" s="24"/>
    </row>
    <row r="816" spans="1:100" x14ac:dyDescent="0.25">
      <c r="A816" s="293" t="s">
        <v>2691</v>
      </c>
      <c r="B816" s="132" t="s">
        <v>2900</v>
      </c>
      <c r="C816" s="132" t="s">
        <v>866</v>
      </c>
      <c r="D816" s="132" t="s">
        <v>870</v>
      </c>
      <c r="E816" s="132" t="s">
        <v>893</v>
      </c>
      <c r="F816" s="132">
        <v>189</v>
      </c>
      <c r="G816" s="214">
        <v>978</v>
      </c>
      <c r="H816" s="132">
        <v>223</v>
      </c>
      <c r="I816" s="132" t="s">
        <v>2912</v>
      </c>
      <c r="J816" s="133" t="s">
        <v>2913</v>
      </c>
      <c r="K816" s="132">
        <v>0</v>
      </c>
      <c r="L816" s="132" t="s">
        <v>282</v>
      </c>
      <c r="M816" s="134">
        <v>0</v>
      </c>
      <c r="N816" s="134">
        <v>0</v>
      </c>
      <c r="O816" s="320"/>
      <c r="P816" s="326"/>
      <c r="Q816" s="326">
        <v>43200</v>
      </c>
      <c r="R816" s="315"/>
      <c r="S816" s="315">
        <v>16</v>
      </c>
      <c r="T816" s="315"/>
      <c r="U816" s="315">
        <v>0</v>
      </c>
      <c r="V816" s="315">
        <v>0</v>
      </c>
      <c r="W816" s="315">
        <v>0</v>
      </c>
      <c r="X816" s="315">
        <v>0</v>
      </c>
      <c r="Y816" s="315">
        <v>0</v>
      </c>
      <c r="Z816" s="315"/>
      <c r="AA816" s="336">
        <v>127</v>
      </c>
      <c r="AB816" s="336">
        <v>85</v>
      </c>
      <c r="AC816" s="337">
        <v>0</v>
      </c>
      <c r="AD816" s="337"/>
      <c r="AE816" s="336">
        <v>212</v>
      </c>
      <c r="AF816" s="336" t="s">
        <v>1358</v>
      </c>
      <c r="AG816" s="339" t="s">
        <v>332</v>
      </c>
      <c r="AH816" s="339">
        <v>0</v>
      </c>
      <c r="AI816" s="336">
        <v>0</v>
      </c>
      <c r="AJ816" s="336"/>
      <c r="AK816" s="848">
        <v>0.6</v>
      </c>
      <c r="AL816" s="836" t="s">
        <v>291</v>
      </c>
      <c r="AM816" s="836">
        <v>4</v>
      </c>
      <c r="AN816" s="837"/>
      <c r="AO816" s="837">
        <v>1</v>
      </c>
      <c r="AP816" s="839">
        <v>182</v>
      </c>
      <c r="AQ816" s="839">
        <v>0</v>
      </c>
      <c r="AR816" s="839"/>
      <c r="AS816" s="839"/>
      <c r="AT816" s="839"/>
      <c r="AU816" s="839"/>
      <c r="AV816" s="849"/>
      <c r="AW816" s="134" t="s">
        <v>3208</v>
      </c>
      <c r="AX816" s="136" t="s">
        <v>3208</v>
      </c>
      <c r="AY816" s="137" t="s">
        <v>2576</v>
      </c>
      <c r="AZ816" s="136">
        <v>1</v>
      </c>
      <c r="BA816" s="136">
        <v>1</v>
      </c>
      <c r="BB816" s="136">
        <v>1</v>
      </c>
      <c r="BC816" s="214">
        <v>978</v>
      </c>
      <c r="BD816" s="136">
        <v>0</v>
      </c>
      <c r="BE816" s="214">
        <v>0</v>
      </c>
      <c r="BF816" s="136">
        <v>1</v>
      </c>
      <c r="BG816" s="214">
        <v>978</v>
      </c>
      <c r="BH816" s="214">
        <v>1.956</v>
      </c>
      <c r="BI816" s="134">
        <v>0</v>
      </c>
      <c r="BJ816" s="214">
        <v>0</v>
      </c>
      <c r="BK816" s="137">
        <v>4.4000000000000039E-2</v>
      </c>
      <c r="BL816" s="137">
        <v>2</v>
      </c>
      <c r="BM816" s="137">
        <v>212</v>
      </c>
      <c r="BN816" s="134">
        <v>0.77914110429447858</v>
      </c>
      <c r="BO816" s="351">
        <v>762</v>
      </c>
      <c r="BP816" s="134">
        <v>0</v>
      </c>
      <c r="BQ816" s="214">
        <v>0</v>
      </c>
      <c r="BR816" s="137">
        <v>163</v>
      </c>
      <c r="BS816" s="138">
        <v>0.40094339622641512</v>
      </c>
      <c r="BT816" s="351">
        <v>0</v>
      </c>
      <c r="BU816" s="214">
        <v>500</v>
      </c>
      <c r="BV816" s="214">
        <v>0</v>
      </c>
      <c r="BW816" s="214">
        <v>0</v>
      </c>
      <c r="BX816" s="214">
        <v>0</v>
      </c>
      <c r="BY816" s="214">
        <v>0</v>
      </c>
      <c r="BZ816" s="134">
        <v>0</v>
      </c>
      <c r="CA816" s="138">
        <v>1</v>
      </c>
      <c r="CB816" s="136">
        <v>0.5112474437627812</v>
      </c>
      <c r="CC816" s="136">
        <v>0.96296296296296291</v>
      </c>
      <c r="CD816" s="136">
        <v>0</v>
      </c>
      <c r="CE816" s="137">
        <v>910</v>
      </c>
      <c r="CF816" s="137">
        <v>0</v>
      </c>
      <c r="CG816" s="137">
        <v>910</v>
      </c>
      <c r="CH816" s="214">
        <v>113.39999999999999</v>
      </c>
      <c r="CI816" s="139" t="s">
        <v>48</v>
      </c>
      <c r="CJ816" s="139" t="s">
        <v>287</v>
      </c>
      <c r="CK816" s="139" t="s">
        <v>50</v>
      </c>
      <c r="CL816" s="139" t="s">
        <v>1139</v>
      </c>
      <c r="CM816" s="139" t="s">
        <v>50</v>
      </c>
      <c r="CN816" s="139" t="s">
        <v>51</v>
      </c>
      <c r="CO816" s="139">
        <v>23.38503</v>
      </c>
      <c r="CP816" s="139">
        <v>97.837040000000002</v>
      </c>
      <c r="CQ816" s="139" t="s">
        <v>1888</v>
      </c>
      <c r="CR816" s="449" t="s">
        <v>40</v>
      </c>
      <c r="CS816" s="449"/>
      <c r="CT816" s="24"/>
      <c r="CU816" s="24"/>
      <c r="CV816" s="24"/>
    </row>
    <row r="817" spans="1:100" x14ac:dyDescent="0.25">
      <c r="A817" s="293" t="s">
        <v>2691</v>
      </c>
      <c r="B817" s="206" t="s">
        <v>460</v>
      </c>
      <c r="C817" s="183" t="s">
        <v>866</v>
      </c>
      <c r="D817" s="183" t="s">
        <v>873</v>
      </c>
      <c r="E817" s="183" t="s">
        <v>915</v>
      </c>
      <c r="F817" s="206">
        <v>36</v>
      </c>
      <c r="G817" s="209">
        <v>188</v>
      </c>
      <c r="H817" s="206"/>
      <c r="I817" s="206"/>
      <c r="J817" s="207"/>
      <c r="K817" s="206"/>
      <c r="L817" s="206" t="s">
        <v>282</v>
      </c>
      <c r="M817" s="208">
        <v>0</v>
      </c>
      <c r="N817" s="208">
        <v>0</v>
      </c>
      <c r="O817" s="316"/>
      <c r="P817" s="317"/>
      <c r="Q817" s="317"/>
      <c r="R817" s="318"/>
      <c r="S817" s="318"/>
      <c r="T817" s="318"/>
      <c r="U817" s="318"/>
      <c r="V817" s="318"/>
      <c r="W817" s="318"/>
      <c r="X817" s="318"/>
      <c r="Y817" s="318"/>
      <c r="Z817" s="318"/>
      <c r="AA817" s="310">
        <v>0</v>
      </c>
      <c r="AB817" s="310"/>
      <c r="AC817" s="66"/>
      <c r="AD817" s="337"/>
      <c r="AE817" s="310"/>
      <c r="AF817" s="310" t="s">
        <v>286</v>
      </c>
      <c r="AG817" s="311" t="s">
        <v>286</v>
      </c>
      <c r="AH817" s="311"/>
      <c r="AI817" s="310"/>
      <c r="AJ817" s="310"/>
      <c r="AK817" s="841"/>
      <c r="AL817" s="842"/>
      <c r="AM817" s="842"/>
      <c r="AN817" s="837"/>
      <c r="AO817" s="837"/>
      <c r="AP817" s="843"/>
      <c r="AQ817" s="843"/>
      <c r="AR817" s="843"/>
      <c r="AS817" s="843"/>
      <c r="AT817" s="843"/>
      <c r="AU817" s="843"/>
      <c r="AV817" s="844"/>
      <c r="AW817" s="208" t="s">
        <v>3208</v>
      </c>
      <c r="AX817" s="211" t="s">
        <v>3208</v>
      </c>
      <c r="AY817" s="210" t="s">
        <v>2576</v>
      </c>
      <c r="AZ817" s="211">
        <v>0</v>
      </c>
      <c r="BA817" s="211">
        <v>0</v>
      </c>
      <c r="BB817" s="211">
        <v>0</v>
      </c>
      <c r="BC817" s="209">
        <v>0</v>
      </c>
      <c r="BD817" s="211">
        <v>0</v>
      </c>
      <c r="BE817" s="209">
        <v>0</v>
      </c>
      <c r="BF817" s="211">
        <v>0</v>
      </c>
      <c r="BG817" s="209">
        <v>0</v>
      </c>
      <c r="BH817" s="209">
        <v>0</v>
      </c>
      <c r="BI817" s="208">
        <v>1</v>
      </c>
      <c r="BJ817" s="209">
        <v>188</v>
      </c>
      <c r="BK817" s="210">
        <v>1</v>
      </c>
      <c r="BL817" s="210">
        <v>1</v>
      </c>
      <c r="BM817" s="210">
        <v>0</v>
      </c>
      <c r="BN817" s="208">
        <v>0</v>
      </c>
      <c r="BO817" s="352">
        <v>0</v>
      </c>
      <c r="BP817" s="208">
        <v>0.95744680851063824</v>
      </c>
      <c r="BQ817" s="209">
        <v>9</v>
      </c>
      <c r="BR817" s="210">
        <v>9</v>
      </c>
      <c r="BS817" s="212">
        <v>0</v>
      </c>
      <c r="BT817" s="352">
        <v>0</v>
      </c>
      <c r="BU817" s="209">
        <v>0</v>
      </c>
      <c r="BV817" s="209">
        <v>0</v>
      </c>
      <c r="BW817" s="209">
        <v>0</v>
      </c>
      <c r="BX817" s="209">
        <v>0</v>
      </c>
      <c r="BY817" s="209">
        <v>0</v>
      </c>
      <c r="BZ817" s="208">
        <v>0</v>
      </c>
      <c r="CA817" s="212">
        <v>1</v>
      </c>
      <c r="CB817" s="211">
        <v>0</v>
      </c>
      <c r="CC817" s="211">
        <v>0</v>
      </c>
      <c r="CD817" s="211">
        <v>0</v>
      </c>
      <c r="CE817" s="210">
        <v>0</v>
      </c>
      <c r="CF817" s="210">
        <v>0</v>
      </c>
      <c r="CG817" s="210">
        <v>0</v>
      </c>
      <c r="CH817" s="209">
        <v>0</v>
      </c>
      <c r="CI817" s="139">
        <v>0</v>
      </c>
      <c r="CJ817" s="139" t="s">
        <v>2959</v>
      </c>
      <c r="CK817" s="139" t="s">
        <v>50</v>
      </c>
      <c r="CL817" s="139" t="s">
        <v>50</v>
      </c>
      <c r="CM817" s="139" t="s">
        <v>946</v>
      </c>
      <c r="CN817" s="139" t="s">
        <v>51</v>
      </c>
      <c r="CO817" s="139">
        <v>0</v>
      </c>
      <c r="CP817" s="139">
        <v>0</v>
      </c>
      <c r="CQ817" s="139" t="s">
        <v>1546</v>
      </c>
      <c r="CR817" s="660" t="s">
        <v>3209</v>
      </c>
      <c r="CS817" s="660"/>
      <c r="CT817" s="24"/>
      <c r="CU817" s="24"/>
      <c r="CV817" s="24"/>
    </row>
    <row r="818" spans="1:100" x14ac:dyDescent="0.25">
      <c r="A818" s="293" t="s">
        <v>2691</v>
      </c>
      <c r="B818" s="132" t="s">
        <v>2899</v>
      </c>
      <c r="C818" s="132" t="s">
        <v>866</v>
      </c>
      <c r="D818" s="132" t="s">
        <v>873</v>
      </c>
      <c r="E818" s="132" t="s">
        <v>903</v>
      </c>
      <c r="F818" s="132">
        <v>33</v>
      </c>
      <c r="G818" s="214">
        <v>176</v>
      </c>
      <c r="H818" s="132"/>
      <c r="I818" s="767" t="s">
        <v>2914</v>
      </c>
      <c r="J818" s="133" t="s">
        <v>2916</v>
      </c>
      <c r="K818" s="132">
        <v>0</v>
      </c>
      <c r="L818" s="132" t="s">
        <v>282</v>
      </c>
      <c r="M818" s="134">
        <v>0</v>
      </c>
      <c r="N818" s="134">
        <v>0</v>
      </c>
      <c r="O818" s="320"/>
      <c r="P818" s="326">
        <v>1</v>
      </c>
      <c r="Q818" s="326">
        <v>15448</v>
      </c>
      <c r="R818" s="315"/>
      <c r="S818" s="315">
        <v>6</v>
      </c>
      <c r="T818" s="315"/>
      <c r="U818" s="315">
        <v>0</v>
      </c>
      <c r="V818" s="315">
        <v>0</v>
      </c>
      <c r="W818" s="315">
        <v>0</v>
      </c>
      <c r="X818" s="315">
        <v>0</v>
      </c>
      <c r="Y818" s="315">
        <v>0</v>
      </c>
      <c r="Z818" s="315"/>
      <c r="AA818" s="336">
        <v>18</v>
      </c>
      <c r="AB818" s="336">
        <v>0</v>
      </c>
      <c r="AC818" s="337">
        <v>0</v>
      </c>
      <c r="AD818" s="337"/>
      <c r="AE818" s="336">
        <v>18</v>
      </c>
      <c r="AF818" s="336" t="s">
        <v>283</v>
      </c>
      <c r="AG818" s="339" t="s">
        <v>283</v>
      </c>
      <c r="AH818" s="339">
        <v>0</v>
      </c>
      <c r="AI818" s="336">
        <v>0</v>
      </c>
      <c r="AJ818" s="336"/>
      <c r="AK818" s="848">
        <v>0.6</v>
      </c>
      <c r="AL818" s="842" t="s">
        <v>376</v>
      </c>
      <c r="AM818" s="836"/>
      <c r="AN818" s="837">
        <v>5</v>
      </c>
      <c r="AO818" s="837">
        <v>2</v>
      </c>
      <c r="AP818" s="839">
        <v>0</v>
      </c>
      <c r="AQ818" s="839">
        <v>0</v>
      </c>
      <c r="AR818" s="839"/>
      <c r="AS818" s="839"/>
      <c r="AT818" s="839"/>
      <c r="AU818" s="839"/>
      <c r="AV818" s="849"/>
      <c r="AW818" s="134" t="s">
        <v>3208</v>
      </c>
      <c r="AX818" s="136" t="s">
        <v>3208</v>
      </c>
      <c r="AY818" s="137" t="s">
        <v>2576</v>
      </c>
      <c r="AZ818" s="136">
        <v>1</v>
      </c>
      <c r="BA818" s="136">
        <v>1</v>
      </c>
      <c r="BB818" s="136">
        <v>1</v>
      </c>
      <c r="BC818" s="214">
        <v>176</v>
      </c>
      <c r="BD818" s="136">
        <v>0</v>
      </c>
      <c r="BE818" s="214">
        <v>0</v>
      </c>
      <c r="BF818" s="136">
        <v>1</v>
      </c>
      <c r="BG818" s="214">
        <v>176</v>
      </c>
      <c r="BH818" s="214">
        <v>0.35199999999999998</v>
      </c>
      <c r="BI818" s="134">
        <v>0</v>
      </c>
      <c r="BJ818" s="214">
        <v>0</v>
      </c>
      <c r="BK818" s="137">
        <v>0.64800000000000002</v>
      </c>
      <c r="BL818" s="137">
        <v>1</v>
      </c>
      <c r="BM818" s="137">
        <v>18</v>
      </c>
      <c r="BN818" s="134">
        <v>1</v>
      </c>
      <c r="BO818" s="351">
        <v>176</v>
      </c>
      <c r="BP818" s="134">
        <v>0</v>
      </c>
      <c r="BQ818" s="214">
        <v>0</v>
      </c>
      <c r="BR818" s="137">
        <v>9</v>
      </c>
      <c r="BS818" s="138">
        <v>0</v>
      </c>
      <c r="BT818" s="351">
        <v>0</v>
      </c>
      <c r="BU818" s="214">
        <v>176</v>
      </c>
      <c r="BV818" s="214">
        <v>0</v>
      </c>
      <c r="BW818" s="214">
        <v>1</v>
      </c>
      <c r="BX818" s="214">
        <v>0</v>
      </c>
      <c r="BY818" s="214">
        <v>0</v>
      </c>
      <c r="BZ818" s="134">
        <v>0</v>
      </c>
      <c r="CA818" s="138">
        <v>1</v>
      </c>
      <c r="CB818" s="136">
        <v>1</v>
      </c>
      <c r="CC818" s="136">
        <v>0</v>
      </c>
      <c r="CD818" s="136">
        <v>0</v>
      </c>
      <c r="CE818" s="137">
        <v>0</v>
      </c>
      <c r="CF818" s="137">
        <v>0</v>
      </c>
      <c r="CG818" s="137">
        <v>0</v>
      </c>
      <c r="CH818" s="214">
        <v>19.8</v>
      </c>
      <c r="CI818" s="139" t="s">
        <v>48</v>
      </c>
      <c r="CJ818" s="139" t="s">
        <v>287</v>
      </c>
      <c r="CK818" s="139" t="s">
        <v>50</v>
      </c>
      <c r="CL818" s="139" t="s">
        <v>50</v>
      </c>
      <c r="CM818" s="139" t="s">
        <v>50</v>
      </c>
      <c r="CN818" s="139" t="s">
        <v>51</v>
      </c>
      <c r="CO818" s="139">
        <v>23.250678000000001</v>
      </c>
      <c r="CP818" s="139">
        <v>97.124403000000001</v>
      </c>
      <c r="CQ818" s="139" t="s">
        <v>1884</v>
      </c>
      <c r="CR818" s="449" t="s">
        <v>40</v>
      </c>
      <c r="CS818" s="449"/>
      <c r="CT818" s="24"/>
      <c r="CU818" s="24"/>
      <c r="CV818" s="24"/>
    </row>
    <row r="819" spans="1:100" x14ac:dyDescent="0.25">
      <c r="A819" s="293" t="s">
        <v>2691</v>
      </c>
      <c r="B819" s="132" t="s">
        <v>43</v>
      </c>
      <c r="C819" s="132" t="s">
        <v>866</v>
      </c>
      <c r="D819" s="132" t="s">
        <v>873</v>
      </c>
      <c r="E819" s="132" t="s">
        <v>874</v>
      </c>
      <c r="F819" s="132">
        <v>29</v>
      </c>
      <c r="G819" s="214">
        <v>171</v>
      </c>
      <c r="H819" s="132">
        <v>60</v>
      </c>
      <c r="I819" s="132" t="s">
        <v>872</v>
      </c>
      <c r="J819" s="133">
        <v>43465</v>
      </c>
      <c r="K819" s="132">
        <v>0</v>
      </c>
      <c r="L819" s="132" t="s">
        <v>48</v>
      </c>
      <c r="M819" s="134">
        <v>0.75</v>
      </c>
      <c r="N819" s="134">
        <v>1</v>
      </c>
      <c r="O819" s="320">
        <v>0</v>
      </c>
      <c r="P819" s="326">
        <v>1</v>
      </c>
      <c r="Q819" s="326">
        <v>7200</v>
      </c>
      <c r="R819" s="315">
        <v>1</v>
      </c>
      <c r="S819" s="315">
        <v>2</v>
      </c>
      <c r="T819" s="315"/>
      <c r="U819" s="315">
        <v>2</v>
      </c>
      <c r="V819" s="315">
        <v>0</v>
      </c>
      <c r="W819" s="315">
        <v>18</v>
      </c>
      <c r="X819" s="315">
        <v>3</v>
      </c>
      <c r="Y819" s="315">
        <v>0</v>
      </c>
      <c r="Z819" s="315"/>
      <c r="AA819" s="336">
        <v>8</v>
      </c>
      <c r="AB819" s="336">
        <v>0</v>
      </c>
      <c r="AC819" s="337">
        <v>0</v>
      </c>
      <c r="AD819" s="337" t="s">
        <v>2782</v>
      </c>
      <c r="AE819" s="336">
        <v>10</v>
      </c>
      <c r="AF819" s="336" t="s">
        <v>283</v>
      </c>
      <c r="AG819" s="339" t="s">
        <v>1358</v>
      </c>
      <c r="AH819" s="339">
        <v>4</v>
      </c>
      <c r="AI819" s="336">
        <v>0</v>
      </c>
      <c r="AJ819" s="336"/>
      <c r="AK819" s="848">
        <v>1</v>
      </c>
      <c r="AL819" s="842" t="s">
        <v>376</v>
      </c>
      <c r="AM819" s="836">
        <v>0</v>
      </c>
      <c r="AN819" s="837">
        <v>2</v>
      </c>
      <c r="AO819" s="837">
        <v>2</v>
      </c>
      <c r="AP819" s="839">
        <v>29</v>
      </c>
      <c r="AQ819" s="839">
        <v>0</v>
      </c>
      <c r="AR819" s="839" t="s">
        <v>48</v>
      </c>
      <c r="AS819" s="839"/>
      <c r="AT819" s="839"/>
      <c r="AU819" s="839"/>
      <c r="AV819" s="849"/>
      <c r="AW819" s="134">
        <v>0</v>
      </c>
      <c r="AX819" s="136">
        <v>0.16666666666666666</v>
      </c>
      <c r="AY819" s="137" t="s">
        <v>2577</v>
      </c>
      <c r="AZ819" s="136">
        <v>1</v>
      </c>
      <c r="BA819" s="136">
        <v>1</v>
      </c>
      <c r="BB819" s="136">
        <v>1</v>
      </c>
      <c r="BC819" s="214">
        <v>171</v>
      </c>
      <c r="BD819" s="136">
        <v>1</v>
      </c>
      <c r="BE819" s="214">
        <v>171</v>
      </c>
      <c r="BF819" s="136">
        <v>1</v>
      </c>
      <c r="BG819" s="214">
        <v>171</v>
      </c>
      <c r="BH819" s="214">
        <v>0.34200000000000003</v>
      </c>
      <c r="BI819" s="134">
        <v>0</v>
      </c>
      <c r="BJ819" s="214">
        <v>0</v>
      </c>
      <c r="BK819" s="137">
        <v>0.65799999999999992</v>
      </c>
      <c r="BL819" s="137">
        <v>1</v>
      </c>
      <c r="BM819" s="137">
        <v>8</v>
      </c>
      <c r="BN819" s="134">
        <v>0.93567251461988299</v>
      </c>
      <c r="BO819" s="351">
        <v>160</v>
      </c>
      <c r="BP819" s="134">
        <v>0.11695906432748537</v>
      </c>
      <c r="BQ819" s="214">
        <v>1</v>
      </c>
      <c r="BR819" s="137">
        <v>9</v>
      </c>
      <c r="BS819" s="138">
        <v>0</v>
      </c>
      <c r="BT819" s="351">
        <v>0</v>
      </c>
      <c r="BU819" s="214">
        <v>171</v>
      </c>
      <c r="BV819" s="214">
        <v>0</v>
      </c>
      <c r="BW819" s="214">
        <v>1</v>
      </c>
      <c r="BX819" s="214">
        <v>1</v>
      </c>
      <c r="BY819" s="214">
        <v>171</v>
      </c>
      <c r="BZ819" s="134">
        <v>1</v>
      </c>
      <c r="CA819" s="138">
        <v>0</v>
      </c>
      <c r="CB819" s="136">
        <v>1</v>
      </c>
      <c r="CC819" s="136">
        <v>1</v>
      </c>
      <c r="CD819" s="136">
        <v>0</v>
      </c>
      <c r="CE819" s="137">
        <v>145</v>
      </c>
      <c r="CF819" s="137">
        <v>0</v>
      </c>
      <c r="CG819" s="137">
        <v>145</v>
      </c>
      <c r="CH819" s="214">
        <v>29</v>
      </c>
      <c r="CI819" s="139" t="s">
        <v>48</v>
      </c>
      <c r="CJ819" s="139" t="s">
        <v>1545</v>
      </c>
      <c r="CK819" s="139" t="s">
        <v>50</v>
      </c>
      <c r="CL819" s="139" t="s">
        <v>50</v>
      </c>
      <c r="CM819" s="139" t="s">
        <v>50</v>
      </c>
      <c r="CN819" s="139" t="s">
        <v>51</v>
      </c>
      <c r="CO819" s="139">
        <v>23.24661</v>
      </c>
      <c r="CP819" s="139">
        <v>97.116680000000002</v>
      </c>
      <c r="CQ819" s="139" t="s">
        <v>1883</v>
      </c>
      <c r="CR819" s="449" t="s">
        <v>40</v>
      </c>
      <c r="CS819" s="449"/>
      <c r="CT819" s="24"/>
      <c r="CU819" s="24"/>
      <c r="CV819" s="24"/>
    </row>
    <row r="820" spans="1:100" x14ac:dyDescent="0.25">
      <c r="A820" s="293" t="s">
        <v>2691</v>
      </c>
      <c r="B820" s="132" t="s">
        <v>2808</v>
      </c>
      <c r="C820" s="132" t="s">
        <v>866</v>
      </c>
      <c r="D820" s="132" t="s">
        <v>876</v>
      </c>
      <c r="E820" s="132" t="s">
        <v>910</v>
      </c>
      <c r="F820" s="206">
        <v>154</v>
      </c>
      <c r="G820" s="209">
        <v>778</v>
      </c>
      <c r="H820" s="206"/>
      <c r="I820" s="132" t="s">
        <v>2407</v>
      </c>
      <c r="J820" s="133">
        <v>43799</v>
      </c>
      <c r="K820" s="206"/>
      <c r="L820" s="206" t="s">
        <v>282</v>
      </c>
      <c r="M820" s="208">
        <v>0</v>
      </c>
      <c r="N820" s="208">
        <v>0</v>
      </c>
      <c r="O820" s="316"/>
      <c r="P820" s="317"/>
      <c r="Q820" s="317"/>
      <c r="R820" s="318"/>
      <c r="S820" s="318"/>
      <c r="T820" s="318"/>
      <c r="U820" s="318"/>
      <c r="V820" s="318"/>
      <c r="W820" s="318"/>
      <c r="X820" s="318"/>
      <c r="Y820" s="318"/>
      <c r="Z820" s="318"/>
      <c r="AA820" s="310">
        <v>0</v>
      </c>
      <c r="AB820" s="310"/>
      <c r="AC820" s="66"/>
      <c r="AD820" s="337"/>
      <c r="AE820" s="310"/>
      <c r="AF820" s="310" t="s">
        <v>286</v>
      </c>
      <c r="AG820" s="311" t="s">
        <v>286</v>
      </c>
      <c r="AH820" s="311"/>
      <c r="AI820" s="310"/>
      <c r="AJ820" s="310"/>
      <c r="AK820" s="841"/>
      <c r="AL820" s="842"/>
      <c r="AM820" s="842"/>
      <c r="AN820" s="837"/>
      <c r="AO820" s="837"/>
      <c r="AP820" s="843"/>
      <c r="AQ820" s="843"/>
      <c r="AR820" s="843"/>
      <c r="AS820" s="843"/>
      <c r="AT820" s="843"/>
      <c r="AU820" s="843"/>
      <c r="AV820" s="844"/>
      <c r="AW820" s="208" t="s">
        <v>3208</v>
      </c>
      <c r="AX820" s="211" t="s">
        <v>3208</v>
      </c>
      <c r="AY820" s="210" t="s">
        <v>2576</v>
      </c>
      <c r="AZ820" s="211">
        <v>0</v>
      </c>
      <c r="BA820" s="211">
        <v>0</v>
      </c>
      <c r="BB820" s="211">
        <v>0</v>
      </c>
      <c r="BC820" s="209">
        <v>0</v>
      </c>
      <c r="BD820" s="211">
        <v>0</v>
      </c>
      <c r="BE820" s="209">
        <v>0</v>
      </c>
      <c r="BF820" s="211">
        <v>0</v>
      </c>
      <c r="BG820" s="209">
        <v>0</v>
      </c>
      <c r="BH820" s="209">
        <v>0</v>
      </c>
      <c r="BI820" s="208">
        <v>1</v>
      </c>
      <c r="BJ820" s="209">
        <v>778</v>
      </c>
      <c r="BK820" s="210">
        <v>2</v>
      </c>
      <c r="BL820" s="210">
        <v>2</v>
      </c>
      <c r="BM820" s="210">
        <v>0</v>
      </c>
      <c r="BN820" s="208">
        <v>0</v>
      </c>
      <c r="BO820" s="352">
        <v>0</v>
      </c>
      <c r="BP820" s="208">
        <v>1</v>
      </c>
      <c r="BQ820" s="209">
        <v>39</v>
      </c>
      <c r="BR820" s="210">
        <v>39</v>
      </c>
      <c r="BS820" s="212">
        <v>0</v>
      </c>
      <c r="BT820" s="352">
        <v>0</v>
      </c>
      <c r="BU820" s="209">
        <v>0</v>
      </c>
      <c r="BV820" s="209">
        <v>0</v>
      </c>
      <c r="BW820" s="209">
        <v>0</v>
      </c>
      <c r="BX820" s="209">
        <v>0</v>
      </c>
      <c r="BY820" s="209">
        <v>0</v>
      </c>
      <c r="BZ820" s="208">
        <v>0</v>
      </c>
      <c r="CA820" s="212">
        <v>1</v>
      </c>
      <c r="CB820" s="211">
        <v>0</v>
      </c>
      <c r="CC820" s="211">
        <v>0</v>
      </c>
      <c r="CD820" s="211">
        <v>0</v>
      </c>
      <c r="CE820" s="210">
        <v>0</v>
      </c>
      <c r="CF820" s="210">
        <v>0</v>
      </c>
      <c r="CG820" s="210">
        <v>0</v>
      </c>
      <c r="CH820" s="209">
        <v>0</v>
      </c>
      <c r="CI820" s="139" t="s">
        <v>48</v>
      </c>
      <c r="CJ820" s="139" t="s">
        <v>287</v>
      </c>
      <c r="CK820" s="139" t="s">
        <v>50</v>
      </c>
      <c r="CL820" s="139" t="s">
        <v>50</v>
      </c>
      <c r="CM820" s="139" t="s">
        <v>50</v>
      </c>
      <c r="CN820" s="139" t="s">
        <v>51</v>
      </c>
      <c r="CO820" s="139">
        <v>24.08738</v>
      </c>
      <c r="CP820" s="139">
        <v>98.115809999999996</v>
      </c>
      <c r="CQ820" s="139" t="s">
        <v>2090</v>
      </c>
      <c r="CR820" s="660" t="s">
        <v>40</v>
      </c>
      <c r="CS820" s="660"/>
      <c r="CT820" s="24"/>
      <c r="CU820" s="24"/>
      <c r="CV820" s="24"/>
    </row>
    <row r="821" spans="1:100" x14ac:dyDescent="0.25">
      <c r="A821" s="293" t="s">
        <v>2691</v>
      </c>
      <c r="B821" s="132" t="s">
        <v>338</v>
      </c>
      <c r="C821" s="132" t="s">
        <v>866</v>
      </c>
      <c r="D821" s="132" t="s">
        <v>876</v>
      </c>
      <c r="E821" s="132" t="s">
        <v>914</v>
      </c>
      <c r="F821" s="132">
        <v>154</v>
      </c>
      <c r="G821" s="214">
        <v>779</v>
      </c>
      <c r="H821" s="705">
        <v>124</v>
      </c>
      <c r="I821" s="132" t="s">
        <v>447</v>
      </c>
      <c r="J821" s="133">
        <v>43799</v>
      </c>
      <c r="K821" s="132">
        <v>0</v>
      </c>
      <c r="L821" s="132" t="s">
        <v>48</v>
      </c>
      <c r="M821" s="134">
        <v>0.5</v>
      </c>
      <c r="N821" s="134">
        <v>0.8</v>
      </c>
      <c r="O821" s="320">
        <v>0</v>
      </c>
      <c r="P821" s="326">
        <v>1</v>
      </c>
      <c r="Q821" s="326"/>
      <c r="R821" s="315"/>
      <c r="S821" s="315">
        <v>0</v>
      </c>
      <c r="T821" s="315"/>
      <c r="U821" s="315">
        <v>0</v>
      </c>
      <c r="V821" s="315">
        <v>0</v>
      </c>
      <c r="W821" s="315">
        <v>0</v>
      </c>
      <c r="X821" s="315">
        <v>0</v>
      </c>
      <c r="Y821" s="315">
        <v>0</v>
      </c>
      <c r="Z821" s="315"/>
      <c r="AA821" s="336">
        <v>60</v>
      </c>
      <c r="AB821" s="336">
        <v>0</v>
      </c>
      <c r="AC821" s="337">
        <v>0</v>
      </c>
      <c r="AD821" s="337"/>
      <c r="AE821" s="336">
        <v>0</v>
      </c>
      <c r="AF821" s="336" t="s">
        <v>283</v>
      </c>
      <c r="AG821" s="339" t="s">
        <v>283</v>
      </c>
      <c r="AH821" s="339"/>
      <c r="AI821" s="336"/>
      <c r="AJ821" s="336"/>
      <c r="AK821" s="848">
        <v>1</v>
      </c>
      <c r="AL821" s="842" t="s">
        <v>376</v>
      </c>
      <c r="AM821" s="836">
        <v>0</v>
      </c>
      <c r="AN821" s="837">
        <v>11</v>
      </c>
      <c r="AO821" s="837">
        <v>3</v>
      </c>
      <c r="AP821" s="839">
        <v>0</v>
      </c>
      <c r="AQ821" s="839">
        <v>0</v>
      </c>
      <c r="AR821" s="839"/>
      <c r="AS821" s="839"/>
      <c r="AT821" s="839"/>
      <c r="AU821" s="839"/>
      <c r="AV821" s="849"/>
      <c r="AW821" s="134" t="s">
        <v>3208</v>
      </c>
      <c r="AX821" s="136" t="s">
        <v>3208</v>
      </c>
      <c r="AY821" s="137" t="s">
        <v>2576</v>
      </c>
      <c r="AZ821" s="136">
        <v>1</v>
      </c>
      <c r="BA821" s="136">
        <v>0.3209242618741977</v>
      </c>
      <c r="BB821" s="136">
        <v>1</v>
      </c>
      <c r="BC821" s="214">
        <v>779</v>
      </c>
      <c r="BD821" s="136">
        <v>0</v>
      </c>
      <c r="BE821" s="214">
        <v>0</v>
      </c>
      <c r="BF821" s="136">
        <v>1</v>
      </c>
      <c r="BG821" s="214">
        <v>779</v>
      </c>
      <c r="BH821" s="214">
        <v>1.5580000000000001</v>
      </c>
      <c r="BI821" s="134">
        <v>0</v>
      </c>
      <c r="BJ821" s="214">
        <v>0</v>
      </c>
      <c r="BK821" s="137">
        <v>0.44199999999999995</v>
      </c>
      <c r="BL821" s="137">
        <v>2</v>
      </c>
      <c r="BM821" s="137">
        <v>60</v>
      </c>
      <c r="BN821" s="134">
        <v>1</v>
      </c>
      <c r="BO821" s="351">
        <v>779</v>
      </c>
      <c r="BP821" s="134">
        <v>0</v>
      </c>
      <c r="BQ821" s="214">
        <v>0</v>
      </c>
      <c r="BR821" s="137">
        <v>39</v>
      </c>
      <c r="BS821" s="138">
        <v>0</v>
      </c>
      <c r="BT821" s="351">
        <v>0</v>
      </c>
      <c r="BU821" s="214">
        <v>779</v>
      </c>
      <c r="BV821" s="214">
        <v>0</v>
      </c>
      <c r="BW821" s="214">
        <v>1</v>
      </c>
      <c r="BX821" s="214">
        <v>0</v>
      </c>
      <c r="BY821" s="214">
        <v>0</v>
      </c>
      <c r="BZ821" s="134">
        <v>0</v>
      </c>
      <c r="CA821" s="138">
        <v>1</v>
      </c>
      <c r="CB821" s="136">
        <v>1</v>
      </c>
      <c r="CC821" s="136">
        <v>0</v>
      </c>
      <c r="CD821" s="136">
        <v>0</v>
      </c>
      <c r="CE821" s="137">
        <v>0</v>
      </c>
      <c r="CF821" s="137">
        <v>0</v>
      </c>
      <c r="CG821" s="137">
        <v>0</v>
      </c>
      <c r="CH821" s="214">
        <v>154</v>
      </c>
      <c r="CI821" s="139">
        <v>0</v>
      </c>
      <c r="CJ821" s="139">
        <v>0</v>
      </c>
      <c r="CK821" s="139" t="s">
        <v>50</v>
      </c>
      <c r="CL821" s="139" t="s">
        <v>50</v>
      </c>
      <c r="CM821" s="139" t="s">
        <v>929</v>
      </c>
      <c r="CN821" s="139" t="s">
        <v>51</v>
      </c>
      <c r="CO821" s="139">
        <v>24.08738</v>
      </c>
      <c r="CP821" s="139">
        <v>98.115809999999996</v>
      </c>
      <c r="CQ821" s="139" t="s">
        <v>1928</v>
      </c>
      <c r="CR821" s="449" t="s">
        <v>40</v>
      </c>
      <c r="CS821" s="449"/>
      <c r="CT821" s="24"/>
      <c r="CU821" s="24"/>
      <c r="CV821" s="24"/>
    </row>
    <row r="822" spans="1:100" x14ac:dyDescent="0.25">
      <c r="A822" s="293" t="s">
        <v>2691</v>
      </c>
      <c r="B822" s="132" t="s">
        <v>2899</v>
      </c>
      <c r="C822" s="132" t="s">
        <v>866</v>
      </c>
      <c r="D822" s="132" t="s">
        <v>876</v>
      </c>
      <c r="E822" s="132" t="s">
        <v>905</v>
      </c>
      <c r="F822" s="132">
        <v>51</v>
      </c>
      <c r="G822" s="214">
        <v>207</v>
      </c>
      <c r="H822" s="132"/>
      <c r="I822" s="132" t="s">
        <v>2902</v>
      </c>
      <c r="J822" s="133" t="s">
        <v>2905</v>
      </c>
      <c r="K822" s="132">
        <v>0</v>
      </c>
      <c r="L822" s="132" t="s">
        <v>48</v>
      </c>
      <c r="M822" s="134">
        <v>0.5</v>
      </c>
      <c r="N822" s="134">
        <v>1</v>
      </c>
      <c r="O822" s="320">
        <v>0</v>
      </c>
      <c r="P822" s="326">
        <v>1</v>
      </c>
      <c r="Q822" s="326">
        <v>7200</v>
      </c>
      <c r="R822" s="315"/>
      <c r="S822" s="315">
        <v>8</v>
      </c>
      <c r="T822" s="315"/>
      <c r="U822" s="315">
        <v>0</v>
      </c>
      <c r="V822" s="315">
        <v>0</v>
      </c>
      <c r="W822" s="315">
        <v>0</v>
      </c>
      <c r="X822" s="315">
        <v>0</v>
      </c>
      <c r="Y822" s="315">
        <v>0</v>
      </c>
      <c r="Z822" s="315"/>
      <c r="AA822" s="336">
        <v>12</v>
      </c>
      <c r="AB822" s="336">
        <v>0</v>
      </c>
      <c r="AC822" s="337">
        <v>0</v>
      </c>
      <c r="AD822" s="337"/>
      <c r="AE822" s="336">
        <v>9</v>
      </c>
      <c r="AF822" s="336" t="s">
        <v>283</v>
      </c>
      <c r="AG822" s="339" t="s">
        <v>283</v>
      </c>
      <c r="AH822" s="339"/>
      <c r="AI822" s="336"/>
      <c r="AJ822" s="336"/>
      <c r="AK822" s="848">
        <v>0.7</v>
      </c>
      <c r="AL822" s="842" t="s">
        <v>376</v>
      </c>
      <c r="AM822" s="836">
        <v>0</v>
      </c>
      <c r="AN822" s="837">
        <v>3</v>
      </c>
      <c r="AO822" s="837">
        <v>1</v>
      </c>
      <c r="AP822" s="839">
        <v>0</v>
      </c>
      <c r="AQ822" s="839">
        <v>0</v>
      </c>
      <c r="AR822" s="839"/>
      <c r="AS822" s="839"/>
      <c r="AT822" s="839"/>
      <c r="AU822" s="839"/>
      <c r="AV822" s="849"/>
      <c r="AW822" s="134" t="s">
        <v>3208</v>
      </c>
      <c r="AX822" s="136" t="s">
        <v>3208</v>
      </c>
      <c r="AY822" s="137" t="s">
        <v>2576</v>
      </c>
      <c r="AZ822" s="136">
        <v>1</v>
      </c>
      <c r="BA822" s="136">
        <v>1</v>
      </c>
      <c r="BB822" s="136">
        <v>1</v>
      </c>
      <c r="BC822" s="214">
        <v>207</v>
      </c>
      <c r="BD822" s="136">
        <v>0</v>
      </c>
      <c r="BE822" s="214">
        <v>0</v>
      </c>
      <c r="BF822" s="136">
        <v>1</v>
      </c>
      <c r="BG822" s="214">
        <v>207</v>
      </c>
      <c r="BH822" s="214">
        <v>0.41399999999999998</v>
      </c>
      <c r="BI822" s="134">
        <v>0</v>
      </c>
      <c r="BJ822" s="214">
        <v>0</v>
      </c>
      <c r="BK822" s="137">
        <v>0.58600000000000008</v>
      </c>
      <c r="BL822" s="137">
        <v>1</v>
      </c>
      <c r="BM822" s="137">
        <v>12</v>
      </c>
      <c r="BN822" s="134">
        <v>1</v>
      </c>
      <c r="BO822" s="351">
        <v>207</v>
      </c>
      <c r="BP822" s="134">
        <v>0</v>
      </c>
      <c r="BQ822" s="214">
        <v>0</v>
      </c>
      <c r="BR822" s="137">
        <v>10</v>
      </c>
      <c r="BS822" s="138">
        <v>0</v>
      </c>
      <c r="BT822" s="351">
        <v>0</v>
      </c>
      <c r="BU822" s="214">
        <v>207</v>
      </c>
      <c r="BV822" s="214">
        <v>0</v>
      </c>
      <c r="BW822" s="214">
        <v>1</v>
      </c>
      <c r="BX822" s="214">
        <v>0</v>
      </c>
      <c r="BY822" s="214">
        <v>0</v>
      </c>
      <c r="BZ822" s="134">
        <v>0</v>
      </c>
      <c r="CA822" s="138">
        <v>1</v>
      </c>
      <c r="CB822" s="136">
        <v>1</v>
      </c>
      <c r="CC822" s="136">
        <v>0</v>
      </c>
      <c r="CD822" s="136">
        <v>0</v>
      </c>
      <c r="CE822" s="137">
        <v>0</v>
      </c>
      <c r="CF822" s="137">
        <v>0</v>
      </c>
      <c r="CG822" s="137">
        <v>0</v>
      </c>
      <c r="CH822" s="214">
        <v>35.699999999999996</v>
      </c>
      <c r="CI822" s="139" t="s">
        <v>48</v>
      </c>
      <c r="CJ822" s="139" t="s">
        <v>287</v>
      </c>
      <c r="CK822" s="139" t="s">
        <v>50</v>
      </c>
      <c r="CL822" s="139" t="s">
        <v>50</v>
      </c>
      <c r="CM822" s="139" t="s">
        <v>50</v>
      </c>
      <c r="CN822" s="139" t="s">
        <v>51</v>
      </c>
      <c r="CO822" s="139">
        <v>24.006319999999999</v>
      </c>
      <c r="CP822" s="139">
        <v>97.909400000000005</v>
      </c>
      <c r="CQ822" s="139" t="s">
        <v>1924</v>
      </c>
      <c r="CR822" s="449" t="s">
        <v>40</v>
      </c>
      <c r="CS822" s="449"/>
      <c r="CT822" s="24"/>
      <c r="CU822" s="24"/>
      <c r="CV822" s="24"/>
    </row>
    <row r="823" spans="1:100" x14ac:dyDescent="0.25">
      <c r="A823" s="293" t="s">
        <v>2691</v>
      </c>
      <c r="B823" s="132" t="s">
        <v>43</v>
      </c>
      <c r="C823" s="132" t="s">
        <v>866</v>
      </c>
      <c r="D823" s="132" t="s">
        <v>876</v>
      </c>
      <c r="E823" s="132" t="s">
        <v>877</v>
      </c>
      <c r="F823" s="132">
        <v>17</v>
      </c>
      <c r="G823" s="214">
        <v>84</v>
      </c>
      <c r="H823" s="132">
        <v>30</v>
      </c>
      <c r="I823" s="132" t="s">
        <v>872</v>
      </c>
      <c r="J823" s="133">
        <v>43465</v>
      </c>
      <c r="K823" s="132">
        <v>0</v>
      </c>
      <c r="L823" s="132" t="s">
        <v>48</v>
      </c>
      <c r="M823" s="134">
        <v>0.75</v>
      </c>
      <c r="N823" s="134">
        <v>1</v>
      </c>
      <c r="O823" s="320">
        <v>1</v>
      </c>
      <c r="P823" s="326">
        <v>1</v>
      </c>
      <c r="Q823" s="326">
        <v>7200</v>
      </c>
      <c r="R823" s="315"/>
      <c r="S823" s="315">
        <v>2</v>
      </c>
      <c r="T823" s="315"/>
      <c r="U823" s="315">
        <v>2</v>
      </c>
      <c r="V823" s="315">
        <v>1</v>
      </c>
      <c r="W823" s="315">
        <v>10</v>
      </c>
      <c r="X823" s="315">
        <v>1</v>
      </c>
      <c r="Y823" s="315">
        <v>0</v>
      </c>
      <c r="Z823" s="315"/>
      <c r="AA823" s="336">
        <v>8</v>
      </c>
      <c r="AB823" s="336">
        <v>0</v>
      </c>
      <c r="AC823" s="337">
        <v>0</v>
      </c>
      <c r="AD823" s="337"/>
      <c r="AE823" s="336">
        <v>4</v>
      </c>
      <c r="AF823" s="336" t="s">
        <v>283</v>
      </c>
      <c r="AG823" s="339" t="s">
        <v>1358</v>
      </c>
      <c r="AH823" s="339">
        <v>0</v>
      </c>
      <c r="AI823" s="336">
        <v>1</v>
      </c>
      <c r="AJ823" s="336"/>
      <c r="AK823" s="848">
        <v>1</v>
      </c>
      <c r="AL823" s="842" t="s">
        <v>376</v>
      </c>
      <c r="AM823" s="836">
        <v>1</v>
      </c>
      <c r="AN823" s="837">
        <v>0</v>
      </c>
      <c r="AO823" s="837">
        <v>2</v>
      </c>
      <c r="AP823" s="839">
        <v>17</v>
      </c>
      <c r="AQ823" s="839">
        <v>0</v>
      </c>
      <c r="AR823" s="839" t="s">
        <v>48</v>
      </c>
      <c r="AS823" s="839"/>
      <c r="AT823" s="839"/>
      <c r="AU823" s="839"/>
      <c r="AV823" s="849"/>
      <c r="AW823" s="134">
        <v>0.5</v>
      </c>
      <c r="AX823" s="136">
        <v>0.1</v>
      </c>
      <c r="AY823" s="137" t="s">
        <v>2577</v>
      </c>
      <c r="AZ823" s="136">
        <v>1</v>
      </c>
      <c r="BA823" s="136">
        <v>1</v>
      </c>
      <c r="BB823" s="136">
        <v>1</v>
      </c>
      <c r="BC823" s="214">
        <v>84</v>
      </c>
      <c r="BD823" s="136">
        <v>0</v>
      </c>
      <c r="BE823" s="214">
        <v>0</v>
      </c>
      <c r="BF823" s="136">
        <v>1</v>
      </c>
      <c r="BG823" s="214">
        <v>84</v>
      </c>
      <c r="BH823" s="214">
        <v>0.16800000000000001</v>
      </c>
      <c r="BI823" s="134">
        <v>0</v>
      </c>
      <c r="BJ823" s="214">
        <v>0</v>
      </c>
      <c r="BK823" s="137">
        <v>0.83199999999999996</v>
      </c>
      <c r="BL823" s="137">
        <v>1</v>
      </c>
      <c r="BM823" s="137">
        <v>8</v>
      </c>
      <c r="BN823" s="134">
        <v>1</v>
      </c>
      <c r="BO823" s="351">
        <v>84</v>
      </c>
      <c r="BP823" s="134">
        <v>0</v>
      </c>
      <c r="BQ823" s="214">
        <v>0</v>
      </c>
      <c r="BR823" s="137">
        <v>4</v>
      </c>
      <c r="BS823" s="138">
        <v>0</v>
      </c>
      <c r="BT823" s="351">
        <v>0</v>
      </c>
      <c r="BU823" s="214">
        <v>84</v>
      </c>
      <c r="BV823" s="214">
        <v>0</v>
      </c>
      <c r="BW823" s="214">
        <v>1</v>
      </c>
      <c r="BX823" s="214">
        <v>1</v>
      </c>
      <c r="BY823" s="214">
        <v>84</v>
      </c>
      <c r="BZ823" s="134">
        <v>1</v>
      </c>
      <c r="CA823" s="138">
        <v>0</v>
      </c>
      <c r="CB823" s="136">
        <v>1</v>
      </c>
      <c r="CC823" s="136">
        <v>1</v>
      </c>
      <c r="CD823" s="136">
        <v>0</v>
      </c>
      <c r="CE823" s="137">
        <v>85</v>
      </c>
      <c r="CF823" s="137">
        <v>0</v>
      </c>
      <c r="CG823" s="137">
        <v>85</v>
      </c>
      <c r="CH823" s="214">
        <v>17</v>
      </c>
      <c r="CI823" s="139" t="s">
        <v>48</v>
      </c>
      <c r="CJ823" s="139" t="s">
        <v>1545</v>
      </c>
      <c r="CK823" s="139" t="s">
        <v>50</v>
      </c>
      <c r="CL823" s="139" t="s">
        <v>50</v>
      </c>
      <c r="CM823" s="139" t="s">
        <v>50</v>
      </c>
      <c r="CN823" s="139" t="s">
        <v>51</v>
      </c>
      <c r="CO823" s="139">
        <v>24.006789000000001</v>
      </c>
      <c r="CP823" s="139">
        <v>97.911647000000002</v>
      </c>
      <c r="CQ823" s="139" t="s">
        <v>1925</v>
      </c>
      <c r="CR823" s="449" t="s">
        <v>40</v>
      </c>
      <c r="CS823" s="449"/>
      <c r="CT823" s="24"/>
      <c r="CU823" s="24"/>
      <c r="CV823" s="24"/>
    </row>
    <row r="824" spans="1:100" x14ac:dyDescent="0.25">
      <c r="A824" s="293" t="s">
        <v>2691</v>
      </c>
      <c r="B824" s="206" t="s">
        <v>338</v>
      </c>
      <c r="C824" s="183" t="s">
        <v>866</v>
      </c>
      <c r="D824" s="183" t="s">
        <v>876</v>
      </c>
      <c r="E824" s="183" t="s">
        <v>883</v>
      </c>
      <c r="F824" s="206">
        <v>7</v>
      </c>
      <c r="G824" s="209">
        <v>44</v>
      </c>
      <c r="H824" s="206"/>
      <c r="I824" s="206"/>
      <c r="J824" s="207"/>
      <c r="K824" s="206"/>
      <c r="L824" s="206" t="s">
        <v>286</v>
      </c>
      <c r="M824" s="206" t="s">
        <v>286</v>
      </c>
      <c r="N824" s="206" t="s">
        <v>286</v>
      </c>
      <c r="O824" s="316">
        <v>0</v>
      </c>
      <c r="P824" s="317">
        <v>0</v>
      </c>
      <c r="Q824" s="317"/>
      <c r="R824" s="318"/>
      <c r="S824" s="318">
        <v>2</v>
      </c>
      <c r="T824" s="318"/>
      <c r="U824" s="318"/>
      <c r="V824" s="318"/>
      <c r="W824" s="318"/>
      <c r="X824" s="318"/>
      <c r="Y824" s="318"/>
      <c r="Z824" s="318"/>
      <c r="AA824" s="310">
        <v>9</v>
      </c>
      <c r="AB824" s="310"/>
      <c r="AC824" s="66"/>
      <c r="AD824" s="337"/>
      <c r="AE824" s="310">
        <v>9</v>
      </c>
      <c r="AF824" s="310" t="s">
        <v>283</v>
      </c>
      <c r="AG824" s="311" t="s">
        <v>283</v>
      </c>
      <c r="AH824" s="311"/>
      <c r="AI824" s="310"/>
      <c r="AJ824" s="310"/>
      <c r="AK824" s="841">
        <v>0</v>
      </c>
      <c r="AL824" s="842"/>
      <c r="AM824" s="842">
        <v>0</v>
      </c>
      <c r="AN824" s="837"/>
      <c r="AO824" s="837"/>
      <c r="AP824" s="843"/>
      <c r="AQ824" s="843"/>
      <c r="AR824" s="843"/>
      <c r="AS824" s="843"/>
      <c r="AT824" s="843"/>
      <c r="AU824" s="843"/>
      <c r="AV824" s="844"/>
      <c r="AW824" s="208" t="s">
        <v>3208</v>
      </c>
      <c r="AX824" s="211" t="s">
        <v>3208</v>
      </c>
      <c r="AY824" s="210" t="s">
        <v>2576</v>
      </c>
      <c r="AZ824" s="211">
        <v>0</v>
      </c>
      <c r="BA824" s="211">
        <v>0</v>
      </c>
      <c r="BB824" s="211">
        <v>0</v>
      </c>
      <c r="BC824" s="209">
        <v>0</v>
      </c>
      <c r="BD824" s="211">
        <v>0</v>
      </c>
      <c r="BE824" s="209">
        <v>0</v>
      </c>
      <c r="BF824" s="211">
        <v>0</v>
      </c>
      <c r="BG824" s="209">
        <v>0</v>
      </c>
      <c r="BH824" s="209">
        <v>0</v>
      </c>
      <c r="BI824" s="208">
        <v>1</v>
      </c>
      <c r="BJ824" s="209">
        <v>44</v>
      </c>
      <c r="BK824" s="210">
        <v>1</v>
      </c>
      <c r="BL824" s="210">
        <v>1</v>
      </c>
      <c r="BM824" s="210">
        <v>9</v>
      </c>
      <c r="BN824" s="208">
        <v>1</v>
      </c>
      <c r="BO824" s="352">
        <v>44</v>
      </c>
      <c r="BP824" s="208">
        <v>0</v>
      </c>
      <c r="BQ824" s="209">
        <v>0</v>
      </c>
      <c r="BR824" s="210">
        <v>2</v>
      </c>
      <c r="BS824" s="212">
        <v>0</v>
      </c>
      <c r="BT824" s="352">
        <v>0</v>
      </c>
      <c r="BU824" s="209">
        <v>0</v>
      </c>
      <c r="BV824" s="209">
        <v>0</v>
      </c>
      <c r="BW824" s="209">
        <v>0</v>
      </c>
      <c r="BX824" s="209">
        <v>0</v>
      </c>
      <c r="BY824" s="209">
        <v>0</v>
      </c>
      <c r="BZ824" s="208">
        <v>0</v>
      </c>
      <c r="CA824" s="212">
        <v>1</v>
      </c>
      <c r="CB824" s="211">
        <v>0</v>
      </c>
      <c r="CC824" s="211">
        <v>0</v>
      </c>
      <c r="CD824" s="211">
        <v>0</v>
      </c>
      <c r="CE824" s="210">
        <v>0</v>
      </c>
      <c r="CF824" s="210">
        <v>0</v>
      </c>
      <c r="CG824" s="210">
        <v>0</v>
      </c>
      <c r="CH824" s="209">
        <v>0</v>
      </c>
      <c r="CI824" s="139">
        <v>0</v>
      </c>
      <c r="CJ824" s="139">
        <v>0</v>
      </c>
      <c r="CK824" s="139" t="s">
        <v>50</v>
      </c>
      <c r="CL824" s="139" t="s">
        <v>50</v>
      </c>
      <c r="CM824" s="139" t="s">
        <v>929</v>
      </c>
      <c r="CN824" s="139" t="s">
        <v>949</v>
      </c>
      <c r="CO824" s="139">
        <v>23.933098999999999</v>
      </c>
      <c r="CP824" s="139">
        <v>98.139397000000002</v>
      </c>
      <c r="CQ824" s="139" t="s">
        <v>1549</v>
      </c>
      <c r="CR824" s="660" t="s">
        <v>40</v>
      </c>
      <c r="CS824" s="660"/>
      <c r="CT824" s="24"/>
      <c r="CU824" s="24"/>
      <c r="CV824" s="24"/>
    </row>
    <row r="825" spans="1:100" x14ac:dyDescent="0.25">
      <c r="A825" s="293" t="s">
        <v>2691</v>
      </c>
      <c r="B825" s="132" t="s">
        <v>2488</v>
      </c>
      <c r="C825" s="132" t="s">
        <v>866</v>
      </c>
      <c r="D825" s="132" t="s">
        <v>867</v>
      </c>
      <c r="E825" s="132" t="s">
        <v>916</v>
      </c>
      <c r="F825" s="132">
        <v>62</v>
      </c>
      <c r="G825" s="214">
        <v>304</v>
      </c>
      <c r="H825" s="132">
        <v>61</v>
      </c>
      <c r="I825" s="132" t="s">
        <v>2504</v>
      </c>
      <c r="J825" s="133" t="s">
        <v>2904</v>
      </c>
      <c r="K825" s="132">
        <v>0</v>
      </c>
      <c r="L825" s="132" t="s">
        <v>48</v>
      </c>
      <c r="M825" s="134">
        <v>0.67</v>
      </c>
      <c r="N825" s="134">
        <v>1</v>
      </c>
      <c r="O825" s="320">
        <v>0</v>
      </c>
      <c r="P825" s="326">
        <v>0</v>
      </c>
      <c r="Q825" s="326">
        <v>7680</v>
      </c>
      <c r="R825" s="315">
        <v>0</v>
      </c>
      <c r="S825" s="315">
        <v>0</v>
      </c>
      <c r="T825" s="315">
        <v>0</v>
      </c>
      <c r="U825" s="315">
        <v>0</v>
      </c>
      <c r="V825" s="315">
        <v>0</v>
      </c>
      <c r="W825" s="315">
        <v>0</v>
      </c>
      <c r="X825" s="315">
        <v>0</v>
      </c>
      <c r="Y825" s="315">
        <v>0</v>
      </c>
      <c r="Z825" s="315"/>
      <c r="AA825" s="336">
        <v>10</v>
      </c>
      <c r="AB825" s="336">
        <v>0</v>
      </c>
      <c r="AC825" s="337">
        <v>0</v>
      </c>
      <c r="AD825" s="337"/>
      <c r="AE825" s="336">
        <v>10</v>
      </c>
      <c r="AF825" s="336" t="s">
        <v>283</v>
      </c>
      <c r="AG825" s="339" t="s">
        <v>332</v>
      </c>
      <c r="AH825" s="339">
        <v>0</v>
      </c>
      <c r="AI825" s="336">
        <v>0</v>
      </c>
      <c r="AJ825" s="336"/>
      <c r="AK825" s="848">
        <v>0</v>
      </c>
      <c r="AL825" s="842" t="s">
        <v>284</v>
      </c>
      <c r="AM825" s="836">
        <v>0</v>
      </c>
      <c r="AN825" s="837">
        <v>2</v>
      </c>
      <c r="AO825" s="837">
        <v>1</v>
      </c>
      <c r="AP825" s="839">
        <v>0</v>
      </c>
      <c r="AQ825" s="839">
        <v>0</v>
      </c>
      <c r="AR825" s="839"/>
      <c r="AS825" s="839"/>
      <c r="AT825" s="839"/>
      <c r="AU825" s="839"/>
      <c r="AV825" s="849"/>
      <c r="AW825" s="134" t="s">
        <v>3208</v>
      </c>
      <c r="AX825" s="136" t="s">
        <v>3208</v>
      </c>
      <c r="AY825" s="137" t="s">
        <v>2576</v>
      </c>
      <c r="AZ825" s="136">
        <v>1</v>
      </c>
      <c r="BA825" s="136">
        <v>1</v>
      </c>
      <c r="BB825" s="136">
        <v>1</v>
      </c>
      <c r="BC825" s="214">
        <v>304</v>
      </c>
      <c r="BD825" s="136">
        <v>0</v>
      </c>
      <c r="BE825" s="214">
        <v>0</v>
      </c>
      <c r="BF825" s="136">
        <v>1</v>
      </c>
      <c r="BG825" s="214">
        <v>304</v>
      </c>
      <c r="BH825" s="214">
        <v>0.60799999999999998</v>
      </c>
      <c r="BI825" s="134">
        <v>0</v>
      </c>
      <c r="BJ825" s="214">
        <v>0</v>
      </c>
      <c r="BK825" s="137">
        <v>0.39200000000000002</v>
      </c>
      <c r="BL825" s="137">
        <v>1</v>
      </c>
      <c r="BM825" s="137">
        <v>10</v>
      </c>
      <c r="BN825" s="134">
        <v>0.65789473684210531</v>
      </c>
      <c r="BO825" s="351">
        <v>200</v>
      </c>
      <c r="BP825" s="134">
        <v>0.32894736842105265</v>
      </c>
      <c r="BQ825" s="214">
        <v>5</v>
      </c>
      <c r="BR825" s="137">
        <v>15</v>
      </c>
      <c r="BS825" s="138">
        <v>0</v>
      </c>
      <c r="BT825" s="351">
        <v>0</v>
      </c>
      <c r="BU825" s="214">
        <v>304</v>
      </c>
      <c r="BV825" s="214">
        <v>0</v>
      </c>
      <c r="BW825" s="214">
        <v>1</v>
      </c>
      <c r="BX825" s="214">
        <v>0</v>
      </c>
      <c r="BY825" s="214">
        <v>0</v>
      </c>
      <c r="BZ825" s="134">
        <v>0</v>
      </c>
      <c r="CA825" s="138">
        <v>1</v>
      </c>
      <c r="CB825" s="136">
        <v>1</v>
      </c>
      <c r="CC825" s="136">
        <v>0</v>
      </c>
      <c r="CD825" s="136">
        <v>0</v>
      </c>
      <c r="CE825" s="137">
        <v>0</v>
      </c>
      <c r="CF825" s="137">
        <v>0</v>
      </c>
      <c r="CG825" s="137">
        <v>0</v>
      </c>
      <c r="CH825" s="214">
        <v>0</v>
      </c>
      <c r="CI825" s="139">
        <v>0</v>
      </c>
      <c r="CJ825" s="139" t="s">
        <v>2959</v>
      </c>
      <c r="CK825" s="139" t="s">
        <v>50</v>
      </c>
      <c r="CL825" s="139" t="s">
        <v>50</v>
      </c>
      <c r="CM825" s="139" t="s">
        <v>946</v>
      </c>
      <c r="CN825" s="139" t="s">
        <v>51</v>
      </c>
      <c r="CO825" s="139">
        <v>23.611999999999998</v>
      </c>
      <c r="CP825" s="139">
        <v>97.506</v>
      </c>
      <c r="CQ825" s="139" t="s">
        <v>1898</v>
      </c>
      <c r="CR825" s="449" t="s">
        <v>40</v>
      </c>
      <c r="CS825" s="449"/>
      <c r="CT825" s="24"/>
      <c r="CU825" s="24"/>
      <c r="CV825" s="24"/>
    </row>
    <row r="826" spans="1:100" x14ac:dyDescent="0.25">
      <c r="A826" s="293" t="s">
        <v>2691</v>
      </c>
      <c r="B826" s="132" t="s">
        <v>43</v>
      </c>
      <c r="C826" s="132" t="s">
        <v>866</v>
      </c>
      <c r="D826" s="132" t="s">
        <v>867</v>
      </c>
      <c r="E826" s="132" t="s">
        <v>878</v>
      </c>
      <c r="F826" s="132">
        <v>74</v>
      </c>
      <c r="G826" s="214">
        <v>391</v>
      </c>
      <c r="H826" s="132"/>
      <c r="I826" s="132" t="s">
        <v>872</v>
      </c>
      <c r="J826" s="133">
        <v>43465</v>
      </c>
      <c r="K826" s="132">
        <v>0</v>
      </c>
      <c r="L826" s="132" t="s">
        <v>48</v>
      </c>
      <c r="M826" s="134">
        <v>0.5</v>
      </c>
      <c r="N826" s="134">
        <v>0.65</v>
      </c>
      <c r="O826" s="320">
        <v>0</v>
      </c>
      <c r="P826" s="326">
        <v>1</v>
      </c>
      <c r="Q826" s="326">
        <v>14400</v>
      </c>
      <c r="R826" s="315"/>
      <c r="S826" s="315">
        <v>2</v>
      </c>
      <c r="T826" s="315"/>
      <c r="U826" s="315">
        <v>3</v>
      </c>
      <c r="V826" s="315">
        <v>2</v>
      </c>
      <c r="W826" s="315">
        <v>33</v>
      </c>
      <c r="X826" s="315">
        <v>12</v>
      </c>
      <c r="Y826" s="315">
        <v>0</v>
      </c>
      <c r="Z826" s="315"/>
      <c r="AA826" s="336">
        <v>17</v>
      </c>
      <c r="AB826" s="336">
        <v>4</v>
      </c>
      <c r="AC826" s="337">
        <v>0</v>
      </c>
      <c r="AD826" s="337"/>
      <c r="AE826" s="336">
        <v>15</v>
      </c>
      <c r="AF826" s="336" t="s">
        <v>283</v>
      </c>
      <c r="AG826" s="339" t="s">
        <v>283</v>
      </c>
      <c r="AH826" s="339"/>
      <c r="AI826" s="336"/>
      <c r="AJ826" s="336"/>
      <c r="AK826" s="848">
        <v>1</v>
      </c>
      <c r="AL826" s="842" t="s">
        <v>376</v>
      </c>
      <c r="AM826" s="836">
        <v>0</v>
      </c>
      <c r="AN826" s="837">
        <v>2</v>
      </c>
      <c r="AO826" s="837">
        <v>2</v>
      </c>
      <c r="AP826" s="839">
        <v>74</v>
      </c>
      <c r="AQ826" s="839">
        <v>0</v>
      </c>
      <c r="AR826" s="839" t="s">
        <v>48</v>
      </c>
      <c r="AS826" s="839"/>
      <c r="AT826" s="839"/>
      <c r="AU826" s="839"/>
      <c r="AV826" s="849"/>
      <c r="AW826" s="134">
        <v>0.66666666666666663</v>
      </c>
      <c r="AX826" s="136">
        <v>0.36363636363636365</v>
      </c>
      <c r="AY826" s="137" t="s">
        <v>2577</v>
      </c>
      <c r="AZ826" s="136">
        <v>1</v>
      </c>
      <c r="BA826" s="136">
        <v>1</v>
      </c>
      <c r="BB826" s="136">
        <v>1</v>
      </c>
      <c r="BC826" s="214">
        <v>391</v>
      </c>
      <c r="BD826" s="136">
        <v>0</v>
      </c>
      <c r="BE826" s="214">
        <v>0</v>
      </c>
      <c r="BF826" s="136">
        <v>1</v>
      </c>
      <c r="BG826" s="214">
        <v>391</v>
      </c>
      <c r="BH826" s="214">
        <v>0.78200000000000003</v>
      </c>
      <c r="BI826" s="134">
        <v>0</v>
      </c>
      <c r="BJ826" s="214">
        <v>0</v>
      </c>
      <c r="BK826" s="137">
        <v>0.21799999999999997</v>
      </c>
      <c r="BL826" s="137">
        <v>1</v>
      </c>
      <c r="BM826" s="137">
        <v>21</v>
      </c>
      <c r="BN826" s="134">
        <v>0.86956521739130432</v>
      </c>
      <c r="BO826" s="351">
        <v>340</v>
      </c>
      <c r="BP826" s="134">
        <v>0</v>
      </c>
      <c r="BQ826" s="214">
        <v>0</v>
      </c>
      <c r="BR826" s="137">
        <v>20</v>
      </c>
      <c r="BS826" s="138">
        <v>0.19047619047619047</v>
      </c>
      <c r="BT826" s="351">
        <v>0</v>
      </c>
      <c r="BU826" s="214">
        <v>391</v>
      </c>
      <c r="BV826" s="214">
        <v>0</v>
      </c>
      <c r="BW826" s="214">
        <v>1</v>
      </c>
      <c r="BX826" s="214">
        <v>1</v>
      </c>
      <c r="BY826" s="214">
        <v>391</v>
      </c>
      <c r="BZ826" s="134">
        <v>1</v>
      </c>
      <c r="CA826" s="138">
        <v>0</v>
      </c>
      <c r="CB826" s="136">
        <v>1</v>
      </c>
      <c r="CC826" s="136">
        <v>1</v>
      </c>
      <c r="CD826" s="136">
        <v>0</v>
      </c>
      <c r="CE826" s="137">
        <v>370</v>
      </c>
      <c r="CF826" s="137">
        <v>0</v>
      </c>
      <c r="CG826" s="137">
        <v>370</v>
      </c>
      <c r="CH826" s="214">
        <v>74</v>
      </c>
      <c r="CI826" s="139" t="s">
        <v>48</v>
      </c>
      <c r="CJ826" s="139" t="s">
        <v>287</v>
      </c>
      <c r="CK826" s="139" t="s">
        <v>50</v>
      </c>
      <c r="CL826" s="139" t="s">
        <v>50</v>
      </c>
      <c r="CM826" s="139" t="s">
        <v>50</v>
      </c>
      <c r="CN826" s="139" t="s">
        <v>51</v>
      </c>
      <c r="CO826" s="139">
        <v>23.821380000000001</v>
      </c>
      <c r="CP826" s="139">
        <v>97.681970000000007</v>
      </c>
      <c r="CQ826" s="139" t="s">
        <v>1904</v>
      </c>
      <c r="CR826" s="449" t="s">
        <v>40</v>
      </c>
      <c r="CS826" s="449"/>
      <c r="CT826" s="24"/>
      <c r="CU826" s="24"/>
      <c r="CV826" s="24"/>
    </row>
    <row r="827" spans="1:100" x14ac:dyDescent="0.25">
      <c r="A827" s="293" t="s">
        <v>2691</v>
      </c>
      <c r="B827" s="132" t="s">
        <v>447</v>
      </c>
      <c r="C827" s="132" t="s">
        <v>866</v>
      </c>
      <c r="D827" s="132" t="s">
        <v>867</v>
      </c>
      <c r="E827" s="132" t="s">
        <v>919</v>
      </c>
      <c r="F827" s="132">
        <v>69</v>
      </c>
      <c r="G827" s="214">
        <v>359</v>
      </c>
      <c r="H827" s="132">
        <v>140</v>
      </c>
      <c r="I827" s="132" t="s">
        <v>449</v>
      </c>
      <c r="J827" s="133">
        <v>43421</v>
      </c>
      <c r="K827" s="132"/>
      <c r="L827" s="132" t="s">
        <v>48</v>
      </c>
      <c r="M827" s="134">
        <v>0.4</v>
      </c>
      <c r="N827" s="134">
        <v>0.2</v>
      </c>
      <c r="O827" s="320">
        <v>1</v>
      </c>
      <c r="P827" s="326">
        <v>1</v>
      </c>
      <c r="Q827" s="317">
        <v>30800</v>
      </c>
      <c r="R827" s="315">
        <v>3</v>
      </c>
      <c r="S827" s="315">
        <v>2</v>
      </c>
      <c r="T827" s="315"/>
      <c r="U827" s="315">
        <v>0</v>
      </c>
      <c r="V827" s="315">
        <v>0</v>
      </c>
      <c r="W827" s="315">
        <v>10</v>
      </c>
      <c r="X827" s="315">
        <v>8</v>
      </c>
      <c r="Y827" s="315">
        <v>0</v>
      </c>
      <c r="Z827" s="315"/>
      <c r="AA827" s="336">
        <v>10</v>
      </c>
      <c r="AB827" s="336">
        <v>7</v>
      </c>
      <c r="AC827" s="337">
        <v>7</v>
      </c>
      <c r="AD827" s="337" t="s">
        <v>2785</v>
      </c>
      <c r="AE827" s="336">
        <v>10</v>
      </c>
      <c r="AF827" s="336" t="s">
        <v>283</v>
      </c>
      <c r="AG827" s="339" t="s">
        <v>283</v>
      </c>
      <c r="AH827" s="339"/>
      <c r="AI827" s="336"/>
      <c r="AJ827" s="336"/>
      <c r="AK827" s="848">
        <v>0</v>
      </c>
      <c r="AL827" s="842" t="s">
        <v>376</v>
      </c>
      <c r="AM827" s="836">
        <v>0</v>
      </c>
      <c r="AN827" s="837">
        <v>2</v>
      </c>
      <c r="AO827" s="837">
        <v>1</v>
      </c>
      <c r="AP827" s="839">
        <v>69</v>
      </c>
      <c r="AQ827" s="839">
        <v>0</v>
      </c>
      <c r="AR827" s="839"/>
      <c r="AS827" s="839"/>
      <c r="AT827" s="839"/>
      <c r="AU827" s="839"/>
      <c r="AV827" s="849"/>
      <c r="AW827" s="134" t="s">
        <v>3208</v>
      </c>
      <c r="AX827" s="136">
        <v>0.8</v>
      </c>
      <c r="AY827" s="137" t="s">
        <v>2577</v>
      </c>
      <c r="AZ827" s="136">
        <v>1</v>
      </c>
      <c r="BA827" s="136">
        <v>1</v>
      </c>
      <c r="BB827" s="136">
        <v>1</v>
      </c>
      <c r="BC827" s="214">
        <v>359</v>
      </c>
      <c r="BD827" s="136">
        <v>1</v>
      </c>
      <c r="BE827" s="214">
        <v>359</v>
      </c>
      <c r="BF827" s="136">
        <v>1</v>
      </c>
      <c r="BG827" s="214">
        <v>359</v>
      </c>
      <c r="BH827" s="214">
        <v>0.71799999999999997</v>
      </c>
      <c r="BI827" s="134">
        <v>0</v>
      </c>
      <c r="BJ827" s="214">
        <v>0</v>
      </c>
      <c r="BK827" s="137">
        <v>0.28200000000000003</v>
      </c>
      <c r="BL827" s="137">
        <v>1</v>
      </c>
      <c r="BM827" s="137">
        <v>17</v>
      </c>
      <c r="BN827" s="134">
        <v>0.55710306406685239</v>
      </c>
      <c r="BO827" s="351">
        <v>200</v>
      </c>
      <c r="BP827" s="134">
        <v>5.5710306406685242E-2</v>
      </c>
      <c r="BQ827" s="214">
        <v>1</v>
      </c>
      <c r="BR827" s="137">
        <v>18</v>
      </c>
      <c r="BS827" s="138">
        <v>0.41176470588235292</v>
      </c>
      <c r="BT827" s="351">
        <v>140</v>
      </c>
      <c r="BU827" s="214">
        <v>359</v>
      </c>
      <c r="BV827" s="214">
        <v>0</v>
      </c>
      <c r="BW827" s="214">
        <v>1</v>
      </c>
      <c r="BX827" s="214">
        <v>1</v>
      </c>
      <c r="BY827" s="214">
        <v>359</v>
      </c>
      <c r="BZ827" s="134">
        <v>1</v>
      </c>
      <c r="CA827" s="138">
        <v>0</v>
      </c>
      <c r="CB827" s="136">
        <v>1</v>
      </c>
      <c r="CC827" s="136">
        <v>1</v>
      </c>
      <c r="CD827" s="136">
        <v>0</v>
      </c>
      <c r="CE827" s="137">
        <v>345</v>
      </c>
      <c r="CF827" s="137">
        <v>0</v>
      </c>
      <c r="CG827" s="137">
        <v>345</v>
      </c>
      <c r="CH827" s="214">
        <v>0</v>
      </c>
      <c r="CI827" s="139" t="s">
        <v>48</v>
      </c>
      <c r="CJ827" s="139" t="s">
        <v>287</v>
      </c>
      <c r="CK827" s="139" t="s">
        <v>50</v>
      </c>
      <c r="CL827" s="139" t="s">
        <v>50</v>
      </c>
      <c r="CM827" s="139" t="s">
        <v>50</v>
      </c>
      <c r="CN827" s="139" t="s">
        <v>51</v>
      </c>
      <c r="CO827" s="139">
        <v>23.828520000000001</v>
      </c>
      <c r="CP827" s="139">
        <v>97.669557999999995</v>
      </c>
      <c r="CQ827" s="139" t="s">
        <v>1907</v>
      </c>
      <c r="CR827" s="449" t="s">
        <v>40</v>
      </c>
      <c r="CS827" s="449"/>
      <c r="CT827" s="24"/>
      <c r="CU827" s="24"/>
      <c r="CV827" s="24"/>
    </row>
    <row r="828" spans="1:100" x14ac:dyDescent="0.25">
      <c r="A828" s="293" t="s">
        <v>2691</v>
      </c>
      <c r="B828" s="132" t="s">
        <v>2488</v>
      </c>
      <c r="C828" s="132" t="s">
        <v>866</v>
      </c>
      <c r="D828" s="132" t="s">
        <v>867</v>
      </c>
      <c r="E828" s="132" t="s">
        <v>906</v>
      </c>
      <c r="F828" s="132">
        <v>36</v>
      </c>
      <c r="G828" s="214">
        <v>179</v>
      </c>
      <c r="H828" s="132">
        <v>77</v>
      </c>
      <c r="I828" s="132" t="s">
        <v>2506</v>
      </c>
      <c r="J828" s="133" t="s">
        <v>2907</v>
      </c>
      <c r="K828" s="132"/>
      <c r="L828" s="132" t="s">
        <v>48</v>
      </c>
      <c r="M828" s="134">
        <v>0.56999999999999995</v>
      </c>
      <c r="N828" s="134">
        <v>0.14000000000000001</v>
      </c>
      <c r="O828" s="320"/>
      <c r="P828" s="326">
        <v>1</v>
      </c>
      <c r="Q828" s="326">
        <v>46354</v>
      </c>
      <c r="R828" s="315"/>
      <c r="S828" s="315">
        <v>1</v>
      </c>
      <c r="T828" s="315"/>
      <c r="U828" s="315"/>
      <c r="V828" s="315"/>
      <c r="W828" s="315"/>
      <c r="X828" s="315"/>
      <c r="Y828" s="315"/>
      <c r="Z828" s="315"/>
      <c r="AA828" s="310">
        <v>7</v>
      </c>
      <c r="AB828" s="336">
        <v>0</v>
      </c>
      <c r="AC828" s="337">
        <v>0</v>
      </c>
      <c r="AD828" s="337"/>
      <c r="AE828" s="310">
        <v>17</v>
      </c>
      <c r="AF828" s="336" t="s">
        <v>332</v>
      </c>
      <c r="AG828" s="339" t="s">
        <v>283</v>
      </c>
      <c r="AH828" s="339">
        <v>0</v>
      </c>
      <c r="AI828" s="336">
        <v>0</v>
      </c>
      <c r="AJ828" s="336"/>
      <c r="AK828" s="848">
        <v>0</v>
      </c>
      <c r="AL828" s="842" t="s">
        <v>376</v>
      </c>
      <c r="AM828" s="836">
        <v>0</v>
      </c>
      <c r="AN828" s="837">
        <v>1</v>
      </c>
      <c r="AO828" s="837">
        <v>1</v>
      </c>
      <c r="AP828" s="839">
        <v>36</v>
      </c>
      <c r="AQ828" s="839">
        <v>0</v>
      </c>
      <c r="AR828" s="839"/>
      <c r="AS828" s="839"/>
      <c r="AT828" s="839"/>
      <c r="AU828" s="839"/>
      <c r="AV828" s="849"/>
      <c r="AW828" s="134" t="s">
        <v>3208</v>
      </c>
      <c r="AX828" s="136" t="s">
        <v>3208</v>
      </c>
      <c r="AY828" s="137" t="s">
        <v>2576</v>
      </c>
      <c r="AZ828" s="136">
        <v>1</v>
      </c>
      <c r="BA828" s="136">
        <v>1</v>
      </c>
      <c r="BB828" s="136">
        <v>1</v>
      </c>
      <c r="BC828" s="214">
        <v>179</v>
      </c>
      <c r="BD828" s="136">
        <v>0</v>
      </c>
      <c r="BE828" s="214">
        <v>0</v>
      </c>
      <c r="BF828" s="136">
        <v>1</v>
      </c>
      <c r="BG828" s="214">
        <v>179</v>
      </c>
      <c r="BH828" s="214">
        <v>0.35799999999999998</v>
      </c>
      <c r="BI828" s="134">
        <v>0</v>
      </c>
      <c r="BJ828" s="214">
        <v>0</v>
      </c>
      <c r="BK828" s="137">
        <v>0.64200000000000002</v>
      </c>
      <c r="BL828" s="137">
        <v>1</v>
      </c>
      <c r="BM828" s="137">
        <v>7</v>
      </c>
      <c r="BN828" s="134">
        <v>0.78212290502793291</v>
      </c>
      <c r="BO828" s="351">
        <v>140</v>
      </c>
      <c r="BP828" s="134">
        <v>0.223463687150838</v>
      </c>
      <c r="BQ828" s="214">
        <v>2</v>
      </c>
      <c r="BR828" s="137">
        <v>9</v>
      </c>
      <c r="BS828" s="138">
        <v>0</v>
      </c>
      <c r="BT828" s="351">
        <v>0</v>
      </c>
      <c r="BU828" s="214">
        <v>179</v>
      </c>
      <c r="BV828" s="214">
        <v>0</v>
      </c>
      <c r="BW828" s="214">
        <v>1</v>
      </c>
      <c r="BX828" s="214">
        <v>1</v>
      </c>
      <c r="BY828" s="214">
        <v>179</v>
      </c>
      <c r="BZ828" s="134">
        <v>1</v>
      </c>
      <c r="CA828" s="138">
        <v>0</v>
      </c>
      <c r="CB828" s="136">
        <v>1</v>
      </c>
      <c r="CC828" s="136">
        <v>1</v>
      </c>
      <c r="CD828" s="136">
        <v>0</v>
      </c>
      <c r="CE828" s="137">
        <v>180</v>
      </c>
      <c r="CF828" s="137">
        <v>0</v>
      </c>
      <c r="CG828" s="137">
        <v>180</v>
      </c>
      <c r="CH828" s="214">
        <v>0</v>
      </c>
      <c r="CI828" s="139" t="s">
        <v>48</v>
      </c>
      <c r="CJ828" s="139" t="s">
        <v>287</v>
      </c>
      <c r="CK828" s="139" t="s">
        <v>50</v>
      </c>
      <c r="CL828" s="139" t="s">
        <v>50</v>
      </c>
      <c r="CM828" s="139" t="s">
        <v>50</v>
      </c>
      <c r="CN828" s="139" t="s">
        <v>51</v>
      </c>
      <c r="CO828" s="139">
        <v>23.841646999999998</v>
      </c>
      <c r="CP828" s="139">
        <v>97.700940000000003</v>
      </c>
      <c r="CQ828" s="139" t="s">
        <v>1913</v>
      </c>
      <c r="CR828" s="449" t="s">
        <v>40</v>
      </c>
      <c r="CS828" s="449"/>
      <c r="CT828" s="24"/>
      <c r="CU828" s="24"/>
      <c r="CV828" s="24"/>
    </row>
    <row r="829" spans="1:100" x14ac:dyDescent="0.25">
      <c r="A829" s="293" t="s">
        <v>2691</v>
      </c>
      <c r="B829" s="132" t="s">
        <v>43</v>
      </c>
      <c r="C829" s="132" t="s">
        <v>866</v>
      </c>
      <c r="D829" s="132" t="s">
        <v>867</v>
      </c>
      <c r="E829" s="132" t="s">
        <v>868</v>
      </c>
      <c r="F829" s="132">
        <v>42</v>
      </c>
      <c r="G829" s="214">
        <v>217</v>
      </c>
      <c r="H829" s="132">
        <v>115</v>
      </c>
      <c r="I829" s="132" t="s">
        <v>872</v>
      </c>
      <c r="J829" s="133">
        <v>43465</v>
      </c>
      <c r="K829" s="132">
        <v>0</v>
      </c>
      <c r="L829" s="132" t="s">
        <v>48</v>
      </c>
      <c r="M829" s="134">
        <v>0.75</v>
      </c>
      <c r="N829" s="134">
        <v>0.5</v>
      </c>
      <c r="O829" s="320">
        <v>1</v>
      </c>
      <c r="P829" s="326">
        <v>1</v>
      </c>
      <c r="Q829" s="326">
        <v>10800</v>
      </c>
      <c r="R829" s="315"/>
      <c r="S829" s="315">
        <v>2</v>
      </c>
      <c r="T829" s="315"/>
      <c r="U829" s="315">
        <v>2</v>
      </c>
      <c r="V829" s="315">
        <v>2</v>
      </c>
      <c r="W829" s="315">
        <v>19</v>
      </c>
      <c r="X829" s="315">
        <v>7</v>
      </c>
      <c r="Y829" s="315">
        <v>0</v>
      </c>
      <c r="Z829" s="315"/>
      <c r="AA829" s="336">
        <v>16</v>
      </c>
      <c r="AB829" s="336">
        <v>3</v>
      </c>
      <c r="AC829" s="337">
        <v>1</v>
      </c>
      <c r="AD829" s="337"/>
      <c r="AE829" s="336">
        <v>17</v>
      </c>
      <c r="AF829" s="336" t="s">
        <v>283</v>
      </c>
      <c r="AG829" s="339" t="s">
        <v>283</v>
      </c>
      <c r="AH829" s="339"/>
      <c r="AI829" s="336"/>
      <c r="AJ829" s="336"/>
      <c r="AK829" s="848">
        <v>1</v>
      </c>
      <c r="AL829" s="842" t="s">
        <v>376</v>
      </c>
      <c r="AM829" s="836">
        <v>0</v>
      </c>
      <c r="AN829" s="837">
        <v>2</v>
      </c>
      <c r="AO829" s="837">
        <v>2</v>
      </c>
      <c r="AP829" s="839">
        <v>42</v>
      </c>
      <c r="AQ829" s="839">
        <v>0</v>
      </c>
      <c r="AR829" s="839" t="s">
        <v>48</v>
      </c>
      <c r="AS829" s="839"/>
      <c r="AT829" s="839"/>
      <c r="AU829" s="839"/>
      <c r="AV829" s="849"/>
      <c r="AW829" s="134">
        <v>1</v>
      </c>
      <c r="AX829" s="136">
        <v>0.36842105263157893</v>
      </c>
      <c r="AY829" s="137" t="s">
        <v>2577</v>
      </c>
      <c r="AZ829" s="136">
        <v>1</v>
      </c>
      <c r="BA829" s="136">
        <v>1</v>
      </c>
      <c r="BB829" s="136">
        <v>1</v>
      </c>
      <c r="BC829" s="214">
        <v>217</v>
      </c>
      <c r="BD829" s="136">
        <v>0</v>
      </c>
      <c r="BE829" s="214">
        <v>0</v>
      </c>
      <c r="BF829" s="136">
        <v>1</v>
      </c>
      <c r="BG829" s="214">
        <v>217</v>
      </c>
      <c r="BH829" s="214">
        <v>0.434</v>
      </c>
      <c r="BI829" s="134">
        <v>0</v>
      </c>
      <c r="BJ829" s="214">
        <v>0</v>
      </c>
      <c r="BK829" s="137">
        <v>0.56600000000000006</v>
      </c>
      <c r="BL829" s="137">
        <v>1</v>
      </c>
      <c r="BM829" s="137">
        <v>19</v>
      </c>
      <c r="BN829" s="134">
        <v>1</v>
      </c>
      <c r="BO829" s="351">
        <v>217</v>
      </c>
      <c r="BP829" s="134">
        <v>0</v>
      </c>
      <c r="BQ829" s="214">
        <v>0</v>
      </c>
      <c r="BR829" s="137">
        <v>11</v>
      </c>
      <c r="BS829" s="138">
        <v>0.15789473684210525</v>
      </c>
      <c r="BT829" s="351">
        <v>20</v>
      </c>
      <c r="BU829" s="214">
        <v>217</v>
      </c>
      <c r="BV829" s="214">
        <v>0</v>
      </c>
      <c r="BW829" s="214">
        <v>1</v>
      </c>
      <c r="BX829" s="214">
        <v>1</v>
      </c>
      <c r="BY829" s="214">
        <v>217</v>
      </c>
      <c r="BZ829" s="134">
        <v>1</v>
      </c>
      <c r="CA829" s="138">
        <v>0</v>
      </c>
      <c r="CB829" s="136">
        <v>1</v>
      </c>
      <c r="CC829" s="136">
        <v>1</v>
      </c>
      <c r="CD829" s="136">
        <v>0</v>
      </c>
      <c r="CE829" s="137">
        <v>210</v>
      </c>
      <c r="CF829" s="137">
        <v>0</v>
      </c>
      <c r="CG829" s="137">
        <v>210</v>
      </c>
      <c r="CH829" s="214">
        <v>42</v>
      </c>
      <c r="CI829" s="139" t="s">
        <v>48</v>
      </c>
      <c r="CJ829" s="139" t="s">
        <v>1545</v>
      </c>
      <c r="CK829" s="139" t="s">
        <v>50</v>
      </c>
      <c r="CL829" s="139" t="s">
        <v>50</v>
      </c>
      <c r="CM829" s="139" t="s">
        <v>50</v>
      </c>
      <c r="CN829" s="139" t="s">
        <v>51</v>
      </c>
      <c r="CO829" s="139">
        <v>23.828150000000001</v>
      </c>
      <c r="CP829" s="139">
        <v>97.670360000000002</v>
      </c>
      <c r="CQ829" s="139" t="s">
        <v>1906</v>
      </c>
      <c r="CR829" s="449" t="s">
        <v>40</v>
      </c>
      <c r="CS829" s="449" t="s">
        <v>2483</v>
      </c>
      <c r="CT829" s="24"/>
      <c r="CU829" s="24"/>
      <c r="CV829" s="24"/>
    </row>
    <row r="830" spans="1:100" x14ac:dyDescent="0.25">
      <c r="A830" s="293" t="s">
        <v>2691</v>
      </c>
      <c r="B830" s="132" t="s">
        <v>2488</v>
      </c>
      <c r="C830" s="132" t="s">
        <v>866</v>
      </c>
      <c r="D830" s="132" t="s">
        <v>867</v>
      </c>
      <c r="E830" s="132" t="s">
        <v>908</v>
      </c>
      <c r="F830" s="132">
        <v>121</v>
      </c>
      <c r="G830" s="214">
        <v>504</v>
      </c>
      <c r="H830" s="132">
        <v>132</v>
      </c>
      <c r="I830" s="132" t="s">
        <v>2506</v>
      </c>
      <c r="J830" s="133" t="s">
        <v>2908</v>
      </c>
      <c r="K830" s="132"/>
      <c r="L830" s="132" t="s">
        <v>48</v>
      </c>
      <c r="M830" s="134">
        <v>0.5</v>
      </c>
      <c r="N830" s="134">
        <v>1</v>
      </c>
      <c r="O830" s="320">
        <v>0</v>
      </c>
      <c r="P830" s="326">
        <v>1</v>
      </c>
      <c r="Q830" s="326">
        <v>14400</v>
      </c>
      <c r="R830" s="315">
        <v>3</v>
      </c>
      <c r="S830" s="315">
        <v>2</v>
      </c>
      <c r="T830" s="315"/>
      <c r="U830" s="315">
        <v>0</v>
      </c>
      <c r="V830" s="315">
        <v>0</v>
      </c>
      <c r="W830" s="315">
        <v>0</v>
      </c>
      <c r="X830" s="315">
        <v>0</v>
      </c>
      <c r="Y830" s="315">
        <v>0</v>
      </c>
      <c r="Z830" s="315"/>
      <c r="AA830" s="336">
        <v>16</v>
      </c>
      <c r="AB830" s="336">
        <v>0</v>
      </c>
      <c r="AC830" s="337">
        <v>0</v>
      </c>
      <c r="AD830" s="337"/>
      <c r="AE830" s="336">
        <v>16</v>
      </c>
      <c r="AF830" s="336" t="s">
        <v>283</v>
      </c>
      <c r="AG830" s="339" t="s">
        <v>283</v>
      </c>
      <c r="AH830" s="339">
        <v>0</v>
      </c>
      <c r="AI830" s="336">
        <v>0</v>
      </c>
      <c r="AJ830" s="336" t="s">
        <v>2792</v>
      </c>
      <c r="AK830" s="848">
        <v>0</v>
      </c>
      <c r="AL830" s="842" t="s">
        <v>376</v>
      </c>
      <c r="AM830" s="836"/>
      <c r="AN830" s="837">
        <v>6</v>
      </c>
      <c r="AO830" s="837">
        <v>2</v>
      </c>
      <c r="AP830" s="839">
        <v>121</v>
      </c>
      <c r="AQ830" s="839">
        <v>0</v>
      </c>
      <c r="AR830" s="839"/>
      <c r="AS830" s="839"/>
      <c r="AT830" s="839"/>
      <c r="AU830" s="839"/>
      <c r="AV830" s="849"/>
      <c r="AW830" s="134" t="s">
        <v>3208</v>
      </c>
      <c r="AX830" s="136" t="s">
        <v>3208</v>
      </c>
      <c r="AY830" s="137" t="s">
        <v>2576</v>
      </c>
      <c r="AZ830" s="136">
        <v>1</v>
      </c>
      <c r="BA830" s="136">
        <v>1</v>
      </c>
      <c r="BB830" s="136">
        <v>1</v>
      </c>
      <c r="BC830" s="214">
        <v>504</v>
      </c>
      <c r="BD830" s="136">
        <v>1</v>
      </c>
      <c r="BE830" s="214">
        <v>504</v>
      </c>
      <c r="BF830" s="136">
        <v>1</v>
      </c>
      <c r="BG830" s="214">
        <v>504</v>
      </c>
      <c r="BH830" s="214">
        <v>1.008</v>
      </c>
      <c r="BI830" s="134">
        <v>0</v>
      </c>
      <c r="BJ830" s="214">
        <v>0</v>
      </c>
      <c r="BK830" s="137">
        <v>0</v>
      </c>
      <c r="BL830" s="137">
        <v>1</v>
      </c>
      <c r="BM830" s="137">
        <v>16</v>
      </c>
      <c r="BN830" s="134">
        <v>0.63492063492063489</v>
      </c>
      <c r="BO830" s="351">
        <v>320</v>
      </c>
      <c r="BP830" s="134">
        <v>0.35714285714285715</v>
      </c>
      <c r="BQ830" s="214">
        <v>9</v>
      </c>
      <c r="BR830" s="137">
        <v>25</v>
      </c>
      <c r="BS830" s="138">
        <v>0</v>
      </c>
      <c r="BT830" s="351">
        <v>0</v>
      </c>
      <c r="BU830" s="214">
        <v>504</v>
      </c>
      <c r="BV830" s="214">
        <v>0</v>
      </c>
      <c r="BW830" s="214">
        <v>1</v>
      </c>
      <c r="BX830" s="214">
        <v>1</v>
      </c>
      <c r="BY830" s="214">
        <v>504</v>
      </c>
      <c r="BZ830" s="134">
        <v>1</v>
      </c>
      <c r="CA830" s="138">
        <v>0</v>
      </c>
      <c r="CB830" s="136">
        <v>1</v>
      </c>
      <c r="CC830" s="136">
        <v>1</v>
      </c>
      <c r="CD830" s="136">
        <v>0</v>
      </c>
      <c r="CE830" s="137">
        <v>605</v>
      </c>
      <c r="CF830" s="137">
        <v>0</v>
      </c>
      <c r="CG830" s="137">
        <v>605</v>
      </c>
      <c r="CH830" s="214">
        <v>0</v>
      </c>
      <c r="CI830" s="139" t="s">
        <v>48</v>
      </c>
      <c r="CJ830" s="139" t="s">
        <v>287</v>
      </c>
      <c r="CK830" s="139" t="s">
        <v>50</v>
      </c>
      <c r="CL830" s="139" t="s">
        <v>50</v>
      </c>
      <c r="CM830" s="139" t="s">
        <v>50</v>
      </c>
      <c r="CN830" s="139" t="s">
        <v>51</v>
      </c>
      <c r="CO830" s="139">
        <v>23.838190000000001</v>
      </c>
      <c r="CP830" s="139">
        <v>97.709879999999998</v>
      </c>
      <c r="CQ830" s="139" t="s">
        <v>1912</v>
      </c>
      <c r="CR830" s="449" t="s">
        <v>40</v>
      </c>
      <c r="CS830" s="449"/>
      <c r="CT830" s="24"/>
      <c r="CU830" s="24"/>
      <c r="CV830" s="24"/>
    </row>
    <row r="831" spans="1:100" x14ac:dyDescent="0.25">
      <c r="A831" s="293" t="s">
        <v>2691</v>
      </c>
      <c r="B831" s="132" t="s">
        <v>2488</v>
      </c>
      <c r="C831" s="132" t="s">
        <v>866</v>
      </c>
      <c r="D831" s="132" t="s">
        <v>890</v>
      </c>
      <c r="E831" s="132" t="s">
        <v>898</v>
      </c>
      <c r="F831" s="132">
        <v>60</v>
      </c>
      <c r="G831" s="214">
        <v>288</v>
      </c>
      <c r="H831" s="132">
        <v>72</v>
      </c>
      <c r="I831" s="132" t="s">
        <v>2508</v>
      </c>
      <c r="J831" s="133" t="s">
        <v>2907</v>
      </c>
      <c r="K831" s="132"/>
      <c r="L831" s="132" t="s">
        <v>48</v>
      </c>
      <c r="M831" s="134">
        <v>0.28999999999999998</v>
      </c>
      <c r="N831" s="134">
        <v>0.28999999999999998</v>
      </c>
      <c r="O831" s="320">
        <v>1</v>
      </c>
      <c r="P831" s="326">
        <v>0</v>
      </c>
      <c r="Q831" s="326">
        <v>7500</v>
      </c>
      <c r="R831" s="315">
        <v>0</v>
      </c>
      <c r="S831" s="315">
        <v>1</v>
      </c>
      <c r="T831" s="315"/>
      <c r="U831" s="315">
        <v>1</v>
      </c>
      <c r="V831" s="315">
        <v>1</v>
      </c>
      <c r="W831" s="315">
        <v>10</v>
      </c>
      <c r="X831" s="315">
        <v>7</v>
      </c>
      <c r="Y831" s="315">
        <v>0</v>
      </c>
      <c r="Z831" s="315"/>
      <c r="AA831" s="336">
        <v>16</v>
      </c>
      <c r="AB831" s="336">
        <v>0</v>
      </c>
      <c r="AC831" s="337">
        <v>0</v>
      </c>
      <c r="AD831" s="337"/>
      <c r="AE831" s="336">
        <v>16</v>
      </c>
      <c r="AF831" s="336" t="s">
        <v>283</v>
      </c>
      <c r="AG831" s="339" t="s">
        <v>283</v>
      </c>
      <c r="AH831" s="339">
        <v>0</v>
      </c>
      <c r="AI831" s="336">
        <v>0</v>
      </c>
      <c r="AJ831" s="336"/>
      <c r="AK831" s="848">
        <v>0</v>
      </c>
      <c r="AL831" s="842" t="s">
        <v>376</v>
      </c>
      <c r="AM831" s="836">
        <v>0</v>
      </c>
      <c r="AN831" s="837">
        <v>4</v>
      </c>
      <c r="AO831" s="837">
        <v>1</v>
      </c>
      <c r="AP831" s="839">
        <v>60</v>
      </c>
      <c r="AQ831" s="839">
        <v>0</v>
      </c>
      <c r="AR831" s="839"/>
      <c r="AS831" s="839"/>
      <c r="AT831" s="839"/>
      <c r="AU831" s="839"/>
      <c r="AV831" s="849"/>
      <c r="AW831" s="134">
        <v>1</v>
      </c>
      <c r="AX831" s="136">
        <v>0.7</v>
      </c>
      <c r="AY831" s="137" t="s">
        <v>2577</v>
      </c>
      <c r="AZ831" s="136">
        <v>1</v>
      </c>
      <c r="BA831" s="136">
        <v>1</v>
      </c>
      <c r="BB831" s="136">
        <v>1</v>
      </c>
      <c r="BC831" s="214">
        <v>288</v>
      </c>
      <c r="BD831" s="136">
        <v>0</v>
      </c>
      <c r="BE831" s="214">
        <v>0</v>
      </c>
      <c r="BF831" s="136">
        <v>1</v>
      </c>
      <c r="BG831" s="214">
        <v>288</v>
      </c>
      <c r="BH831" s="214">
        <v>0.57599999999999996</v>
      </c>
      <c r="BI831" s="134">
        <v>0</v>
      </c>
      <c r="BJ831" s="214">
        <v>0</v>
      </c>
      <c r="BK831" s="137">
        <v>0.42400000000000004</v>
      </c>
      <c r="BL831" s="137">
        <v>1</v>
      </c>
      <c r="BM831" s="137">
        <v>16</v>
      </c>
      <c r="BN831" s="134">
        <v>1</v>
      </c>
      <c r="BO831" s="351">
        <v>288</v>
      </c>
      <c r="BP831" s="134">
        <v>0</v>
      </c>
      <c r="BQ831" s="214">
        <v>0</v>
      </c>
      <c r="BR831" s="137">
        <v>14</v>
      </c>
      <c r="BS831" s="138">
        <v>0</v>
      </c>
      <c r="BT831" s="351">
        <v>0</v>
      </c>
      <c r="BU831" s="214">
        <v>288</v>
      </c>
      <c r="BV831" s="214">
        <v>0</v>
      </c>
      <c r="BW831" s="214">
        <v>1</v>
      </c>
      <c r="BX831" s="214">
        <v>1</v>
      </c>
      <c r="BY831" s="214">
        <v>288</v>
      </c>
      <c r="BZ831" s="134">
        <v>1</v>
      </c>
      <c r="CA831" s="138">
        <v>0</v>
      </c>
      <c r="CB831" s="136">
        <v>1</v>
      </c>
      <c r="CC831" s="136">
        <v>1</v>
      </c>
      <c r="CD831" s="136">
        <v>0</v>
      </c>
      <c r="CE831" s="137">
        <v>300</v>
      </c>
      <c r="CF831" s="137">
        <v>0</v>
      </c>
      <c r="CG831" s="137">
        <v>300</v>
      </c>
      <c r="CH831" s="214">
        <v>0</v>
      </c>
      <c r="CI831" s="139" t="s">
        <v>48</v>
      </c>
      <c r="CJ831" s="139" t="s">
        <v>1545</v>
      </c>
      <c r="CK831" s="139" t="s">
        <v>50</v>
      </c>
      <c r="CL831" s="139" t="s">
        <v>50</v>
      </c>
      <c r="CM831" s="139" t="s">
        <v>50</v>
      </c>
      <c r="CN831" s="139" t="s">
        <v>51</v>
      </c>
      <c r="CO831" s="139">
        <v>23.099304</v>
      </c>
      <c r="CP831" s="139">
        <v>97.400671000000003</v>
      </c>
      <c r="CQ831" s="139" t="s">
        <v>1881</v>
      </c>
      <c r="CR831" s="449" t="s">
        <v>40</v>
      </c>
      <c r="CS831" s="449"/>
      <c r="CT831" s="24"/>
      <c r="CU831" s="24"/>
      <c r="CV831" s="24"/>
    </row>
    <row r="832" spans="1:100" x14ac:dyDescent="0.25">
      <c r="A832" s="293" t="s">
        <v>2691</v>
      </c>
      <c r="B832" s="132" t="s">
        <v>447</v>
      </c>
      <c r="C832" s="132" t="s">
        <v>866</v>
      </c>
      <c r="D832" s="132" t="s">
        <v>890</v>
      </c>
      <c r="E832" s="132" t="s">
        <v>1278</v>
      </c>
      <c r="F832" s="132">
        <v>58</v>
      </c>
      <c r="G832" s="214">
        <v>257</v>
      </c>
      <c r="H832" s="132"/>
      <c r="I832" s="132" t="s">
        <v>449</v>
      </c>
      <c r="J832" s="133">
        <v>43421</v>
      </c>
      <c r="K832" s="132"/>
      <c r="L832" s="132" t="s">
        <v>48</v>
      </c>
      <c r="M832" s="134">
        <v>0.28999999999999998</v>
      </c>
      <c r="N832" s="134">
        <v>0.28999999999999998</v>
      </c>
      <c r="O832" s="320"/>
      <c r="P832" s="326">
        <v>1</v>
      </c>
      <c r="Q832" s="326">
        <v>5760</v>
      </c>
      <c r="R832" s="315"/>
      <c r="S832" s="315">
        <v>1</v>
      </c>
      <c r="T832" s="315"/>
      <c r="U832" s="315">
        <v>0</v>
      </c>
      <c r="V832" s="315">
        <v>0</v>
      </c>
      <c r="W832" s="315">
        <v>0</v>
      </c>
      <c r="X832" s="315">
        <v>0</v>
      </c>
      <c r="Y832" s="315">
        <v>0</v>
      </c>
      <c r="Z832" s="315"/>
      <c r="AA832" s="336">
        <v>10</v>
      </c>
      <c r="AB832" s="336">
        <v>0</v>
      </c>
      <c r="AC832" s="337">
        <v>0</v>
      </c>
      <c r="AD832" s="337"/>
      <c r="AE832" s="336">
        <v>10</v>
      </c>
      <c r="AF832" s="336" t="s">
        <v>283</v>
      </c>
      <c r="AG832" s="339" t="s">
        <v>332</v>
      </c>
      <c r="AH832" s="339">
        <v>0</v>
      </c>
      <c r="AI832" s="336">
        <v>0</v>
      </c>
      <c r="AJ832" s="336"/>
      <c r="AK832" s="848">
        <v>0</v>
      </c>
      <c r="AL832" s="836"/>
      <c r="AM832" s="836"/>
      <c r="AN832" s="837">
        <v>1</v>
      </c>
      <c r="AO832" s="837">
        <v>1</v>
      </c>
      <c r="AP832" s="839">
        <v>58</v>
      </c>
      <c r="AQ832" s="839"/>
      <c r="AR832" s="839"/>
      <c r="AS832" s="839"/>
      <c r="AT832" s="839"/>
      <c r="AU832" s="839"/>
      <c r="AV832" s="849"/>
      <c r="AW832" s="134" t="s">
        <v>3208</v>
      </c>
      <c r="AX832" s="136" t="s">
        <v>3208</v>
      </c>
      <c r="AY832" s="137" t="s">
        <v>2576</v>
      </c>
      <c r="AZ832" s="136">
        <v>1</v>
      </c>
      <c r="BA832" s="136">
        <v>1</v>
      </c>
      <c r="BB832" s="136">
        <v>1</v>
      </c>
      <c r="BC832" s="214">
        <v>257</v>
      </c>
      <c r="BD832" s="136">
        <v>0</v>
      </c>
      <c r="BE832" s="214">
        <v>0</v>
      </c>
      <c r="BF832" s="136">
        <v>1</v>
      </c>
      <c r="BG832" s="214">
        <v>257</v>
      </c>
      <c r="BH832" s="214">
        <v>0.51400000000000001</v>
      </c>
      <c r="BI832" s="134">
        <v>0</v>
      </c>
      <c r="BJ832" s="214">
        <v>0</v>
      </c>
      <c r="BK832" s="137">
        <v>0.48599999999999999</v>
      </c>
      <c r="BL832" s="137">
        <v>1</v>
      </c>
      <c r="BM832" s="137">
        <v>10</v>
      </c>
      <c r="BN832" s="134">
        <v>0.77821011673151752</v>
      </c>
      <c r="BO832" s="351">
        <v>200</v>
      </c>
      <c r="BP832" s="134">
        <v>0.23346303501945526</v>
      </c>
      <c r="BQ832" s="214">
        <v>3</v>
      </c>
      <c r="BR832" s="137">
        <v>13</v>
      </c>
      <c r="BS832" s="138">
        <v>0</v>
      </c>
      <c r="BT832" s="351">
        <v>0</v>
      </c>
      <c r="BU832" s="214">
        <v>257</v>
      </c>
      <c r="BV832" s="214">
        <v>0</v>
      </c>
      <c r="BW832" s="214">
        <v>1</v>
      </c>
      <c r="BX832" s="214">
        <v>1</v>
      </c>
      <c r="BY832" s="214">
        <v>257</v>
      </c>
      <c r="BZ832" s="134">
        <v>1</v>
      </c>
      <c r="CA832" s="138">
        <v>0</v>
      </c>
      <c r="CB832" s="136">
        <v>1</v>
      </c>
      <c r="CC832" s="136">
        <v>1</v>
      </c>
      <c r="CD832" s="136">
        <v>0</v>
      </c>
      <c r="CE832" s="137">
        <v>290</v>
      </c>
      <c r="CF832" s="137">
        <v>0</v>
      </c>
      <c r="CG832" s="137">
        <v>290</v>
      </c>
      <c r="CH832" s="214">
        <v>0</v>
      </c>
      <c r="CI832" s="139">
        <v>0</v>
      </c>
      <c r="CJ832" s="139">
        <v>0</v>
      </c>
      <c r="CK832" s="139" t="s">
        <v>1921</v>
      </c>
      <c r="CL832" s="139" t="s">
        <v>50</v>
      </c>
      <c r="CM832" s="139" t="s">
        <v>50</v>
      </c>
      <c r="CN832" s="139" t="s">
        <v>51</v>
      </c>
      <c r="CO832" s="139">
        <v>0</v>
      </c>
      <c r="CP832" s="139">
        <v>0</v>
      </c>
      <c r="CQ832" s="139">
        <v>0</v>
      </c>
      <c r="CR832" s="449" t="s">
        <v>40</v>
      </c>
      <c r="CS832" s="449"/>
      <c r="CT832" s="24"/>
      <c r="CU832" s="24"/>
      <c r="CV832" s="24"/>
    </row>
    <row r="833" spans="1:100" x14ac:dyDescent="0.25">
      <c r="A833" s="293" t="s">
        <v>2691</v>
      </c>
      <c r="B833" s="132" t="s">
        <v>338</v>
      </c>
      <c r="C833" s="132" t="s">
        <v>866</v>
      </c>
      <c r="D833" s="132" t="s">
        <v>890</v>
      </c>
      <c r="E833" s="132" t="s">
        <v>899</v>
      </c>
      <c r="F833" s="132">
        <v>28</v>
      </c>
      <c r="G833" s="214">
        <v>128</v>
      </c>
      <c r="H833" s="132"/>
      <c r="I833" s="132" t="s">
        <v>886</v>
      </c>
      <c r="J833" s="133">
        <v>43281</v>
      </c>
      <c r="K833" s="132">
        <v>0</v>
      </c>
      <c r="L833" s="132" t="s">
        <v>282</v>
      </c>
      <c r="M833" s="134">
        <v>0</v>
      </c>
      <c r="N833" s="134">
        <v>0</v>
      </c>
      <c r="O833" s="320"/>
      <c r="P833" s="326">
        <v>1</v>
      </c>
      <c r="Q833" s="326">
        <v>1800</v>
      </c>
      <c r="R833" s="315"/>
      <c r="S833" s="315">
        <v>2</v>
      </c>
      <c r="T833" s="315"/>
      <c r="U833" s="315">
        <v>0</v>
      </c>
      <c r="V833" s="315">
        <v>0</v>
      </c>
      <c r="W833" s="315">
        <v>0</v>
      </c>
      <c r="X833" s="315">
        <v>0</v>
      </c>
      <c r="Y833" s="315">
        <v>0</v>
      </c>
      <c r="Z833" s="315"/>
      <c r="AA833" s="336">
        <v>7</v>
      </c>
      <c r="AB833" s="336">
        <v>0</v>
      </c>
      <c r="AC833" s="337">
        <v>0</v>
      </c>
      <c r="AD833" s="337"/>
      <c r="AE833" s="336">
        <v>5</v>
      </c>
      <c r="AF833" s="336" t="s">
        <v>283</v>
      </c>
      <c r="AG833" s="339" t="s">
        <v>283</v>
      </c>
      <c r="AH833" s="339">
        <v>0</v>
      </c>
      <c r="AI833" s="336">
        <v>0</v>
      </c>
      <c r="AJ833" s="336"/>
      <c r="AK833" s="848">
        <v>0.7</v>
      </c>
      <c r="AL833" s="842" t="s">
        <v>376</v>
      </c>
      <c r="AM833" s="836"/>
      <c r="AN833" s="837">
        <v>2</v>
      </c>
      <c r="AO833" s="837">
        <v>2</v>
      </c>
      <c r="AP833" s="839">
        <v>0</v>
      </c>
      <c r="AQ833" s="839">
        <v>0</v>
      </c>
      <c r="AR833" s="839"/>
      <c r="AS833" s="839"/>
      <c r="AT833" s="839"/>
      <c r="AU833" s="839"/>
      <c r="AV833" s="849"/>
      <c r="AW833" s="134" t="s">
        <v>3208</v>
      </c>
      <c r="AX833" s="136" t="s">
        <v>3208</v>
      </c>
      <c r="AY833" s="137" t="s">
        <v>2576</v>
      </c>
      <c r="AZ833" s="136">
        <v>1</v>
      </c>
      <c r="BA833" s="136">
        <v>1</v>
      </c>
      <c r="BB833" s="136">
        <v>1</v>
      </c>
      <c r="BC833" s="214">
        <v>128</v>
      </c>
      <c r="BD833" s="136">
        <v>0</v>
      </c>
      <c r="BE833" s="214">
        <v>0</v>
      </c>
      <c r="BF833" s="136">
        <v>1</v>
      </c>
      <c r="BG833" s="214">
        <v>128</v>
      </c>
      <c r="BH833" s="214">
        <v>0.25600000000000001</v>
      </c>
      <c r="BI833" s="134">
        <v>0</v>
      </c>
      <c r="BJ833" s="214">
        <v>0</v>
      </c>
      <c r="BK833" s="137">
        <v>0.74399999999999999</v>
      </c>
      <c r="BL833" s="137">
        <v>1</v>
      </c>
      <c r="BM833" s="137">
        <v>7</v>
      </c>
      <c r="BN833" s="134">
        <v>1</v>
      </c>
      <c r="BO833" s="351">
        <v>128</v>
      </c>
      <c r="BP833" s="134">
        <v>0</v>
      </c>
      <c r="BQ833" s="214">
        <v>0</v>
      </c>
      <c r="BR833" s="137">
        <v>6</v>
      </c>
      <c r="BS833" s="138">
        <v>0</v>
      </c>
      <c r="BT833" s="351">
        <v>0</v>
      </c>
      <c r="BU833" s="214">
        <v>128</v>
      </c>
      <c r="BV833" s="214">
        <v>0</v>
      </c>
      <c r="BW833" s="214">
        <v>1</v>
      </c>
      <c r="BX833" s="214">
        <v>0</v>
      </c>
      <c r="BY833" s="214">
        <v>0</v>
      </c>
      <c r="BZ833" s="134">
        <v>0</v>
      </c>
      <c r="CA833" s="138">
        <v>1</v>
      </c>
      <c r="CB833" s="136">
        <v>1</v>
      </c>
      <c r="CC833" s="136">
        <v>0</v>
      </c>
      <c r="CD833" s="136">
        <v>0</v>
      </c>
      <c r="CE833" s="137">
        <v>0</v>
      </c>
      <c r="CF833" s="137">
        <v>0</v>
      </c>
      <c r="CG833" s="137">
        <v>0</v>
      </c>
      <c r="CH833" s="214">
        <v>19.599999999999998</v>
      </c>
      <c r="CI833" s="139" t="s">
        <v>48</v>
      </c>
      <c r="CJ833" s="139" t="s">
        <v>1545</v>
      </c>
      <c r="CK833" s="139" t="s">
        <v>50</v>
      </c>
      <c r="CL833" s="139" t="s">
        <v>50</v>
      </c>
      <c r="CM833" s="139" t="s">
        <v>50</v>
      </c>
      <c r="CN833" s="139" t="s">
        <v>51</v>
      </c>
      <c r="CO833" s="139">
        <v>0</v>
      </c>
      <c r="CP833" s="139">
        <v>0</v>
      </c>
      <c r="CQ833" s="139" t="s">
        <v>1544</v>
      </c>
      <c r="CR833" s="449" t="s">
        <v>40</v>
      </c>
      <c r="CS833" s="449"/>
      <c r="CT833" s="24"/>
      <c r="CU833" s="24"/>
      <c r="CV833" s="24"/>
    </row>
    <row r="834" spans="1:100" x14ac:dyDescent="0.25">
      <c r="A834" s="293" t="s">
        <v>2691</v>
      </c>
      <c r="B834" s="132" t="s">
        <v>2901</v>
      </c>
      <c r="C834" s="132" t="s">
        <v>866</v>
      </c>
      <c r="D834" s="132" t="s">
        <v>890</v>
      </c>
      <c r="E834" s="132" t="s">
        <v>902</v>
      </c>
      <c r="F834" s="132">
        <v>57</v>
      </c>
      <c r="G834" s="214">
        <v>263</v>
      </c>
      <c r="H834" s="132">
        <v>67</v>
      </c>
      <c r="I834" s="132" t="s">
        <v>2525</v>
      </c>
      <c r="J834" s="133" t="s">
        <v>2917</v>
      </c>
      <c r="K834" s="132"/>
      <c r="L834" s="132" t="s">
        <v>48</v>
      </c>
      <c r="M834" s="134">
        <v>0.8</v>
      </c>
      <c r="N834" s="134">
        <v>0.5</v>
      </c>
      <c r="O834" s="320"/>
      <c r="P834" s="326">
        <v>1</v>
      </c>
      <c r="Q834" s="326">
        <v>7500</v>
      </c>
      <c r="R834" s="315"/>
      <c r="S834" s="315">
        <v>7</v>
      </c>
      <c r="T834" s="315"/>
      <c r="U834" s="315">
        <v>0</v>
      </c>
      <c r="V834" s="315">
        <v>0</v>
      </c>
      <c r="W834" s="315">
        <v>0</v>
      </c>
      <c r="X834" s="315">
        <v>0</v>
      </c>
      <c r="Y834" s="315">
        <v>0</v>
      </c>
      <c r="Z834" s="315"/>
      <c r="AA834" s="336">
        <v>16</v>
      </c>
      <c r="AB834" s="336">
        <v>0</v>
      </c>
      <c r="AC834" s="337">
        <v>0</v>
      </c>
      <c r="AD834" s="337"/>
      <c r="AE834" s="336">
        <v>16</v>
      </c>
      <c r="AF834" s="336" t="s">
        <v>283</v>
      </c>
      <c r="AG834" s="339" t="s">
        <v>283</v>
      </c>
      <c r="AH834" s="339">
        <v>0</v>
      </c>
      <c r="AI834" s="336">
        <v>0</v>
      </c>
      <c r="AJ834" s="336"/>
      <c r="AK834" s="848">
        <v>0.8</v>
      </c>
      <c r="AL834" s="842" t="s">
        <v>376</v>
      </c>
      <c r="AM834" s="836"/>
      <c r="AN834" s="837">
        <v>4</v>
      </c>
      <c r="AO834" s="837">
        <v>2</v>
      </c>
      <c r="AP834" s="839">
        <v>48</v>
      </c>
      <c r="AQ834" s="839">
        <v>0</v>
      </c>
      <c r="AR834" s="839"/>
      <c r="AS834" s="839"/>
      <c r="AT834" s="839"/>
      <c r="AU834" s="839"/>
      <c r="AV834" s="849"/>
      <c r="AW834" s="134" t="s">
        <v>3208</v>
      </c>
      <c r="AX834" s="136" t="s">
        <v>3208</v>
      </c>
      <c r="AY834" s="137" t="s">
        <v>2576</v>
      </c>
      <c r="AZ834" s="136">
        <v>1</v>
      </c>
      <c r="BA834" s="136">
        <v>1</v>
      </c>
      <c r="BB834" s="136">
        <v>1</v>
      </c>
      <c r="BC834" s="214">
        <v>263</v>
      </c>
      <c r="BD834" s="136">
        <v>0</v>
      </c>
      <c r="BE834" s="214">
        <v>0</v>
      </c>
      <c r="BF834" s="136">
        <v>1</v>
      </c>
      <c r="BG834" s="214">
        <v>263</v>
      </c>
      <c r="BH834" s="214">
        <v>0.52600000000000002</v>
      </c>
      <c r="BI834" s="134">
        <v>0</v>
      </c>
      <c r="BJ834" s="214">
        <v>0</v>
      </c>
      <c r="BK834" s="137">
        <v>0.47399999999999998</v>
      </c>
      <c r="BL834" s="137">
        <v>1</v>
      </c>
      <c r="BM834" s="137">
        <v>16</v>
      </c>
      <c r="BN834" s="134">
        <v>1</v>
      </c>
      <c r="BO834" s="351">
        <v>263</v>
      </c>
      <c r="BP834" s="134">
        <v>0</v>
      </c>
      <c r="BQ834" s="214">
        <v>0</v>
      </c>
      <c r="BR834" s="137">
        <v>13</v>
      </c>
      <c r="BS834" s="138">
        <v>0</v>
      </c>
      <c r="BT834" s="351">
        <v>0</v>
      </c>
      <c r="BU834" s="214">
        <v>263</v>
      </c>
      <c r="BV834" s="214">
        <v>0</v>
      </c>
      <c r="BW834" s="214">
        <v>1</v>
      </c>
      <c r="BX834" s="214">
        <v>0</v>
      </c>
      <c r="BY834" s="214">
        <v>0</v>
      </c>
      <c r="BZ834" s="134">
        <v>0</v>
      </c>
      <c r="CA834" s="138">
        <v>1</v>
      </c>
      <c r="CB834" s="136">
        <v>1</v>
      </c>
      <c r="CC834" s="136">
        <v>0.84210526315789469</v>
      </c>
      <c r="CD834" s="136">
        <v>0</v>
      </c>
      <c r="CE834" s="137">
        <v>240</v>
      </c>
      <c r="CF834" s="137">
        <v>0</v>
      </c>
      <c r="CG834" s="137">
        <v>240</v>
      </c>
      <c r="CH834" s="214">
        <v>45.6</v>
      </c>
      <c r="CI834" s="139" t="s">
        <v>48</v>
      </c>
      <c r="CJ834" s="139" t="s">
        <v>287</v>
      </c>
      <c r="CK834" s="139" t="s">
        <v>50</v>
      </c>
      <c r="CL834" s="139" t="s">
        <v>50</v>
      </c>
      <c r="CM834" s="139" t="s">
        <v>50</v>
      </c>
      <c r="CN834" s="139" t="s">
        <v>51</v>
      </c>
      <c r="CO834" s="139">
        <v>23.094290000000001</v>
      </c>
      <c r="CP834" s="139">
        <v>97.404089999999997</v>
      </c>
      <c r="CQ834" s="139" t="s">
        <v>1880</v>
      </c>
      <c r="CR834" s="449" t="s">
        <v>40</v>
      </c>
      <c r="CS834" s="449"/>
      <c r="CT834" s="24"/>
      <c r="CU834" s="24"/>
      <c r="CV834" s="24"/>
    </row>
    <row r="835" spans="1:100" x14ac:dyDescent="0.25">
      <c r="A835" s="293" t="s">
        <v>2691</v>
      </c>
      <c r="B835" s="132" t="s">
        <v>338</v>
      </c>
      <c r="C835" s="132" t="s">
        <v>866</v>
      </c>
      <c r="D835" s="132" t="s">
        <v>890</v>
      </c>
      <c r="E835" s="132" t="s">
        <v>891</v>
      </c>
      <c r="F835" s="132">
        <v>19</v>
      </c>
      <c r="G835" s="214">
        <v>82</v>
      </c>
      <c r="H835" s="132">
        <v>18</v>
      </c>
      <c r="I835" s="132" t="s">
        <v>886</v>
      </c>
      <c r="J835" s="133" t="s">
        <v>2477</v>
      </c>
      <c r="K835" s="132"/>
      <c r="L835" s="132" t="s">
        <v>286</v>
      </c>
      <c r="M835" s="206" t="s">
        <v>286</v>
      </c>
      <c r="N835" s="206" t="s">
        <v>286</v>
      </c>
      <c r="O835" s="320">
        <v>0</v>
      </c>
      <c r="P835" s="326">
        <v>0</v>
      </c>
      <c r="Q835" s="326">
        <v>17280</v>
      </c>
      <c r="R835" s="315">
        <v>1</v>
      </c>
      <c r="S835" s="315"/>
      <c r="T835" s="315"/>
      <c r="U835" s="315">
        <v>0</v>
      </c>
      <c r="V835" s="315">
        <v>0</v>
      </c>
      <c r="W835" s="315">
        <v>0</v>
      </c>
      <c r="X835" s="315">
        <v>0</v>
      </c>
      <c r="Y835" s="315">
        <v>0</v>
      </c>
      <c r="Z835" s="315" t="s">
        <v>892</v>
      </c>
      <c r="AA835" s="336">
        <v>17</v>
      </c>
      <c r="AB835" s="336">
        <v>0</v>
      </c>
      <c r="AC835" s="337">
        <v>0</v>
      </c>
      <c r="AD835" s="337"/>
      <c r="AE835" s="336">
        <v>17</v>
      </c>
      <c r="AF835" s="336" t="s">
        <v>332</v>
      </c>
      <c r="AG835" s="339" t="s">
        <v>332</v>
      </c>
      <c r="AH835" s="339">
        <v>0</v>
      </c>
      <c r="AI835" s="336">
        <v>0</v>
      </c>
      <c r="AJ835" s="336"/>
      <c r="AK835" s="848">
        <v>0</v>
      </c>
      <c r="AL835" s="836" t="s">
        <v>284</v>
      </c>
      <c r="AM835" s="836"/>
      <c r="AN835" s="837"/>
      <c r="AO835" s="837">
        <v>1</v>
      </c>
      <c r="AP835" s="839">
        <v>0</v>
      </c>
      <c r="AQ835" s="839">
        <v>0</v>
      </c>
      <c r="AR835" s="839"/>
      <c r="AS835" s="839"/>
      <c r="AT835" s="839"/>
      <c r="AU835" s="839"/>
      <c r="AV835" s="849"/>
      <c r="AW835" s="134" t="s">
        <v>3208</v>
      </c>
      <c r="AX835" s="136" t="s">
        <v>3208</v>
      </c>
      <c r="AY835" s="137" t="s">
        <v>2576</v>
      </c>
      <c r="AZ835" s="136">
        <v>1</v>
      </c>
      <c r="BA835" s="136">
        <v>1</v>
      </c>
      <c r="BB835" s="136">
        <v>1</v>
      </c>
      <c r="BC835" s="214">
        <v>82</v>
      </c>
      <c r="BD835" s="136">
        <v>1</v>
      </c>
      <c r="BE835" s="214">
        <v>82</v>
      </c>
      <c r="BF835" s="136">
        <v>1</v>
      </c>
      <c r="BG835" s="214">
        <v>82</v>
      </c>
      <c r="BH835" s="214">
        <v>0.16400000000000001</v>
      </c>
      <c r="BI835" s="134">
        <v>0</v>
      </c>
      <c r="BJ835" s="214">
        <v>0</v>
      </c>
      <c r="BK835" s="137">
        <v>0.83599999999999997</v>
      </c>
      <c r="BL835" s="137">
        <v>1</v>
      </c>
      <c r="BM835" s="137">
        <v>17</v>
      </c>
      <c r="BN835" s="134">
        <v>1</v>
      </c>
      <c r="BO835" s="351">
        <v>82</v>
      </c>
      <c r="BP835" s="134">
        <v>0</v>
      </c>
      <c r="BQ835" s="214">
        <v>0</v>
      </c>
      <c r="BR835" s="137">
        <v>4</v>
      </c>
      <c r="BS835" s="138">
        <v>0</v>
      </c>
      <c r="BT835" s="351">
        <v>0</v>
      </c>
      <c r="BU835" s="214">
        <v>82</v>
      </c>
      <c r="BV835" s="214">
        <v>0</v>
      </c>
      <c r="BW835" s="214">
        <v>1</v>
      </c>
      <c r="BX835" s="214">
        <v>0</v>
      </c>
      <c r="BY835" s="214">
        <v>0</v>
      </c>
      <c r="BZ835" s="134">
        <v>0</v>
      </c>
      <c r="CA835" s="138">
        <v>1</v>
      </c>
      <c r="CB835" s="136">
        <v>1</v>
      </c>
      <c r="CC835" s="136">
        <v>0</v>
      </c>
      <c r="CD835" s="136">
        <v>0</v>
      </c>
      <c r="CE835" s="137">
        <v>0</v>
      </c>
      <c r="CF835" s="137">
        <v>0</v>
      </c>
      <c r="CG835" s="137">
        <v>0</v>
      </c>
      <c r="CH835" s="214">
        <v>0</v>
      </c>
      <c r="CI835" s="139">
        <v>0</v>
      </c>
      <c r="CJ835" s="139" t="s">
        <v>2959</v>
      </c>
      <c r="CK835" s="139" t="s">
        <v>50</v>
      </c>
      <c r="CL835" s="139" t="s">
        <v>50</v>
      </c>
      <c r="CM835" s="139" t="s">
        <v>946</v>
      </c>
      <c r="CN835" s="139" t="s">
        <v>51</v>
      </c>
      <c r="CO835" s="139">
        <v>22.765999999999998</v>
      </c>
      <c r="CP835" s="139">
        <v>97.358999999999995</v>
      </c>
      <c r="CQ835" s="139" t="s">
        <v>1878</v>
      </c>
      <c r="CR835" s="449" t="s">
        <v>40</v>
      </c>
      <c r="CS835" s="449"/>
      <c r="CT835" s="24"/>
      <c r="CU835" s="24"/>
      <c r="CV835" s="24"/>
    </row>
    <row r="836" spans="1:100" ht="15.75" customHeight="1" x14ac:dyDescent="0.25">
      <c r="A836" s="643" t="s">
        <v>1388</v>
      </c>
      <c r="B836" s="132" t="s">
        <v>426</v>
      </c>
      <c r="C836" s="132" t="s">
        <v>44</v>
      </c>
      <c r="D836" s="132" t="s">
        <v>341</v>
      </c>
      <c r="E836" s="132" t="s">
        <v>1258</v>
      </c>
      <c r="F836" s="132">
        <v>80</v>
      </c>
      <c r="G836" s="214">
        <v>383</v>
      </c>
      <c r="H836" s="132"/>
      <c r="I836" s="132" t="s">
        <v>391</v>
      </c>
      <c r="J836" s="133">
        <v>43220</v>
      </c>
      <c r="K836" s="132">
        <v>0</v>
      </c>
      <c r="L836" s="132" t="s">
        <v>48</v>
      </c>
      <c r="M836" s="134">
        <v>0.6</v>
      </c>
      <c r="N836" s="134">
        <v>0</v>
      </c>
      <c r="O836" s="320">
        <v>0</v>
      </c>
      <c r="P836" s="326">
        <v>10</v>
      </c>
      <c r="Q836" s="326">
        <v>493920</v>
      </c>
      <c r="R836" s="315">
        <v>0</v>
      </c>
      <c r="S836" s="315">
        <v>0</v>
      </c>
      <c r="T836" s="315"/>
      <c r="U836" s="315"/>
      <c r="V836" s="315"/>
      <c r="W836" s="315">
        <v>3</v>
      </c>
      <c r="X836" s="315">
        <v>3</v>
      </c>
      <c r="Y836" s="315"/>
      <c r="Z836" s="315"/>
      <c r="AA836" s="336">
        <v>13</v>
      </c>
      <c r="AB836" s="336">
        <v>0</v>
      </c>
      <c r="AC836" s="337">
        <v>15</v>
      </c>
      <c r="AD836" s="337"/>
      <c r="AE836" s="336">
        <v>0</v>
      </c>
      <c r="AF836" s="336" t="s">
        <v>283</v>
      </c>
      <c r="AG836" s="339" t="s">
        <v>283</v>
      </c>
      <c r="AH836" s="339">
        <v>0</v>
      </c>
      <c r="AI836" s="336">
        <v>0</v>
      </c>
      <c r="AJ836" s="336"/>
      <c r="AK836" s="848">
        <v>1</v>
      </c>
      <c r="AL836" s="836" t="s">
        <v>291</v>
      </c>
      <c r="AM836" s="836">
        <v>0</v>
      </c>
      <c r="AN836" s="848">
        <v>2</v>
      </c>
      <c r="AO836" s="850">
        <v>60</v>
      </c>
      <c r="AP836" s="838">
        <v>0</v>
      </c>
      <c r="AQ836" s="839"/>
      <c r="AR836" s="839"/>
      <c r="AS836" s="839"/>
      <c r="AT836" s="839"/>
      <c r="AU836" s="839"/>
      <c r="AV836" s="849"/>
      <c r="AW836" s="134" t="s">
        <v>3208</v>
      </c>
      <c r="AX836" s="136">
        <v>1</v>
      </c>
      <c r="AY836" s="137" t="s">
        <v>2577</v>
      </c>
      <c r="AZ836" s="136">
        <v>1</v>
      </c>
      <c r="BA836" s="136">
        <v>1</v>
      </c>
      <c r="BB836" s="136">
        <v>1</v>
      </c>
      <c r="BC836" s="214">
        <v>383</v>
      </c>
      <c r="BD836" s="136">
        <v>0</v>
      </c>
      <c r="BE836" s="214">
        <v>0</v>
      </c>
      <c r="BF836" s="136">
        <v>1</v>
      </c>
      <c r="BG836" s="214">
        <v>383</v>
      </c>
      <c r="BH836" s="214">
        <v>0.76600000000000001</v>
      </c>
      <c r="BI836" s="134">
        <v>0</v>
      </c>
      <c r="BJ836" s="214">
        <v>0</v>
      </c>
      <c r="BK836" s="137">
        <v>0.23399999999999999</v>
      </c>
      <c r="BL836" s="137">
        <v>1</v>
      </c>
      <c r="BM836" s="137">
        <v>13</v>
      </c>
      <c r="BN836" s="134">
        <v>0.6788511749347258</v>
      </c>
      <c r="BO836" s="351">
        <v>260</v>
      </c>
      <c r="BP836" s="134">
        <v>0.3133159268929504</v>
      </c>
      <c r="BQ836" s="135">
        <v>6</v>
      </c>
      <c r="BR836" s="137">
        <v>19</v>
      </c>
      <c r="BS836" s="138">
        <v>0</v>
      </c>
      <c r="BT836" s="351">
        <v>300</v>
      </c>
      <c r="BU836" s="214">
        <v>383</v>
      </c>
      <c r="BV836" s="214">
        <v>0</v>
      </c>
      <c r="BW836" s="214">
        <v>1</v>
      </c>
      <c r="BX836" s="214">
        <v>0</v>
      </c>
      <c r="BY836" s="214">
        <v>0</v>
      </c>
      <c r="BZ836" s="134">
        <v>0</v>
      </c>
      <c r="CA836" s="138">
        <v>1</v>
      </c>
      <c r="CB836" s="136">
        <v>1</v>
      </c>
      <c r="CC836" s="136">
        <v>0</v>
      </c>
      <c r="CD836" s="136">
        <v>0</v>
      </c>
      <c r="CE836" s="137">
        <v>0</v>
      </c>
      <c r="CF836" s="137">
        <v>0</v>
      </c>
      <c r="CG836" s="137">
        <v>0</v>
      </c>
      <c r="CH836" s="214">
        <v>80</v>
      </c>
      <c r="CI836" s="139">
        <v>0</v>
      </c>
      <c r="CJ836" s="139">
        <v>0</v>
      </c>
      <c r="CK836" s="139" t="s">
        <v>1921</v>
      </c>
      <c r="CL836" s="139" t="s">
        <v>50</v>
      </c>
      <c r="CM836" s="139" t="s">
        <v>1259</v>
      </c>
      <c r="CN836" s="139" t="s">
        <v>51</v>
      </c>
      <c r="CO836" s="139">
        <v>0</v>
      </c>
      <c r="CP836" s="139">
        <v>0</v>
      </c>
      <c r="CQ836" s="139">
        <v>0</v>
      </c>
      <c r="CR836" s="449" t="s">
        <v>40</v>
      </c>
      <c r="CS836" s="449"/>
      <c r="CT836" s="24"/>
      <c r="CU836" s="24"/>
      <c r="CV836" s="24"/>
    </row>
    <row r="837" spans="1:100" ht="15.75" customHeight="1" x14ac:dyDescent="0.25">
      <c r="A837" s="643" t="s">
        <v>1388</v>
      </c>
      <c r="B837" s="132" t="s">
        <v>426</v>
      </c>
      <c r="C837" s="132" t="s">
        <v>44</v>
      </c>
      <c r="D837" s="132" t="s">
        <v>341</v>
      </c>
      <c r="E837" s="132" t="s">
        <v>427</v>
      </c>
      <c r="F837" s="132">
        <v>177</v>
      </c>
      <c r="G837" s="214">
        <v>895</v>
      </c>
      <c r="H837" s="132"/>
      <c r="I837" s="132" t="s">
        <v>391</v>
      </c>
      <c r="J837" s="133">
        <v>43220</v>
      </c>
      <c r="K837" s="132">
        <v>0</v>
      </c>
      <c r="L837" s="132" t="s">
        <v>48</v>
      </c>
      <c r="M837" s="134">
        <v>0.6</v>
      </c>
      <c r="N837" s="134">
        <v>0</v>
      </c>
      <c r="O837" s="320">
        <v>0</v>
      </c>
      <c r="P837" s="326">
        <v>1</v>
      </c>
      <c r="Q837" s="326">
        <v>1270080</v>
      </c>
      <c r="R837" s="315">
        <v>0</v>
      </c>
      <c r="S837" s="315">
        <v>0</v>
      </c>
      <c r="T837" s="315"/>
      <c r="U837" s="315"/>
      <c r="V837" s="315"/>
      <c r="W837" s="315">
        <v>3</v>
      </c>
      <c r="X837" s="315">
        <v>3</v>
      </c>
      <c r="Y837" s="315"/>
      <c r="Z837" s="315"/>
      <c r="AA837" s="336">
        <v>36</v>
      </c>
      <c r="AB837" s="336">
        <v>0</v>
      </c>
      <c r="AC837" s="337">
        <v>25</v>
      </c>
      <c r="AD837" s="337"/>
      <c r="AE837" s="336">
        <v>0</v>
      </c>
      <c r="AF837" s="336" t="s">
        <v>283</v>
      </c>
      <c r="AG837" s="339" t="s">
        <v>283</v>
      </c>
      <c r="AH837" s="339">
        <v>0</v>
      </c>
      <c r="AI837" s="336">
        <v>0</v>
      </c>
      <c r="AJ837" s="336"/>
      <c r="AK837" s="848">
        <v>1</v>
      </c>
      <c r="AL837" s="836" t="s">
        <v>291</v>
      </c>
      <c r="AM837" s="836">
        <v>0</v>
      </c>
      <c r="AN837" s="848">
        <v>3</v>
      </c>
      <c r="AO837" s="850">
        <v>132</v>
      </c>
      <c r="AP837" s="838">
        <v>0</v>
      </c>
      <c r="AQ837" s="839"/>
      <c r="AR837" s="839"/>
      <c r="AS837" s="839"/>
      <c r="AT837" s="839"/>
      <c r="AU837" s="839"/>
      <c r="AV837" s="849"/>
      <c r="AW837" s="134" t="s">
        <v>3208</v>
      </c>
      <c r="AX837" s="136">
        <v>1</v>
      </c>
      <c r="AY837" s="137" t="s">
        <v>2577</v>
      </c>
      <c r="AZ837" s="136">
        <v>1</v>
      </c>
      <c r="BA837" s="136">
        <v>1</v>
      </c>
      <c r="BB837" s="136">
        <v>1</v>
      </c>
      <c r="BC837" s="214">
        <v>895</v>
      </c>
      <c r="BD837" s="136">
        <v>0</v>
      </c>
      <c r="BE837" s="214">
        <v>0</v>
      </c>
      <c r="BF837" s="136">
        <v>1</v>
      </c>
      <c r="BG837" s="214">
        <v>895</v>
      </c>
      <c r="BH837" s="214">
        <v>1.79</v>
      </c>
      <c r="BI837" s="134">
        <v>0</v>
      </c>
      <c r="BJ837" s="214">
        <v>0</v>
      </c>
      <c r="BK837" s="137">
        <v>0.20999999999999996</v>
      </c>
      <c r="BL837" s="137">
        <v>2</v>
      </c>
      <c r="BM837" s="137">
        <v>36</v>
      </c>
      <c r="BN837" s="134">
        <v>0.8044692737430168</v>
      </c>
      <c r="BO837" s="351">
        <v>720</v>
      </c>
      <c r="BP837" s="134">
        <v>0.2011173184357542</v>
      </c>
      <c r="BQ837" s="214">
        <v>9</v>
      </c>
      <c r="BR837" s="137">
        <v>45</v>
      </c>
      <c r="BS837" s="138">
        <v>0</v>
      </c>
      <c r="BT837" s="351">
        <v>500</v>
      </c>
      <c r="BU837" s="214">
        <v>895</v>
      </c>
      <c r="BV837" s="214">
        <v>0</v>
      </c>
      <c r="BW837" s="214">
        <v>1</v>
      </c>
      <c r="BX837" s="214">
        <v>0</v>
      </c>
      <c r="BY837" s="214">
        <v>0</v>
      </c>
      <c r="BZ837" s="134">
        <v>0</v>
      </c>
      <c r="CA837" s="138">
        <v>1</v>
      </c>
      <c r="CB837" s="136">
        <v>1</v>
      </c>
      <c r="CC837" s="136">
        <v>0</v>
      </c>
      <c r="CD837" s="136">
        <v>0</v>
      </c>
      <c r="CE837" s="137">
        <v>0</v>
      </c>
      <c r="CF837" s="137">
        <v>0</v>
      </c>
      <c r="CG837" s="137">
        <v>0</v>
      </c>
      <c r="CH837" s="214">
        <v>177</v>
      </c>
      <c r="CI837" s="139" t="s">
        <v>48</v>
      </c>
      <c r="CJ837" s="139" t="s">
        <v>49</v>
      </c>
      <c r="CK837" s="139" t="s">
        <v>50</v>
      </c>
      <c r="CL837" s="139" t="s">
        <v>50</v>
      </c>
      <c r="CM837" s="139" t="s">
        <v>50</v>
      </c>
      <c r="CN837" s="139" t="s">
        <v>51</v>
      </c>
      <c r="CO837" s="139">
        <v>24.260719999999999</v>
      </c>
      <c r="CP837" s="139">
        <v>97.238829999999993</v>
      </c>
      <c r="CQ837" s="139" t="s">
        <v>1954</v>
      </c>
      <c r="CR837" s="449" t="s">
        <v>40</v>
      </c>
      <c r="CS837" s="449"/>
      <c r="CT837" s="24"/>
      <c r="CU837" s="24"/>
      <c r="CV837" s="24"/>
    </row>
    <row r="838" spans="1:100" ht="15.75" customHeight="1" x14ac:dyDescent="0.25">
      <c r="A838" s="643" t="s">
        <v>1388</v>
      </c>
      <c r="B838" s="132" t="s">
        <v>338</v>
      </c>
      <c r="C838" s="132" t="s">
        <v>44</v>
      </c>
      <c r="D838" s="132" t="s">
        <v>341</v>
      </c>
      <c r="E838" s="132" t="s">
        <v>342</v>
      </c>
      <c r="F838" s="132">
        <v>11</v>
      </c>
      <c r="G838" s="214">
        <v>52</v>
      </c>
      <c r="H838" s="132"/>
      <c r="I838" s="132" t="s">
        <v>2475</v>
      </c>
      <c r="J838" s="133">
        <v>43344</v>
      </c>
      <c r="K838" s="132">
        <v>0</v>
      </c>
      <c r="L838" s="132" t="s">
        <v>282</v>
      </c>
      <c r="M838" s="134">
        <v>0</v>
      </c>
      <c r="N838" s="134">
        <v>0</v>
      </c>
      <c r="O838" s="320">
        <v>1</v>
      </c>
      <c r="P838" s="326">
        <v>1</v>
      </c>
      <c r="Q838" s="326">
        <v>0</v>
      </c>
      <c r="R838" s="315">
        <v>0</v>
      </c>
      <c r="S838" s="315">
        <v>0</v>
      </c>
      <c r="T838" s="315"/>
      <c r="U838" s="315"/>
      <c r="V838" s="315"/>
      <c r="W838" s="315"/>
      <c r="X838" s="315"/>
      <c r="Y838" s="315"/>
      <c r="Z838" s="315"/>
      <c r="AA838" s="336">
        <v>2</v>
      </c>
      <c r="AB838" s="336">
        <v>0</v>
      </c>
      <c r="AC838" s="337"/>
      <c r="AD838" s="337"/>
      <c r="AE838" s="336">
        <v>0</v>
      </c>
      <c r="AF838" s="336" t="s">
        <v>283</v>
      </c>
      <c r="AG838" s="339" t="s">
        <v>283</v>
      </c>
      <c r="AH838" s="339"/>
      <c r="AI838" s="336"/>
      <c r="AJ838" s="336"/>
      <c r="AK838" s="848">
        <v>0</v>
      </c>
      <c r="AL838" s="836" t="s">
        <v>291</v>
      </c>
      <c r="AM838" s="836">
        <v>0</v>
      </c>
      <c r="AN838" s="848">
        <v>1</v>
      </c>
      <c r="AO838" s="850">
        <v>0</v>
      </c>
      <c r="AP838" s="838">
        <v>11</v>
      </c>
      <c r="AQ838" s="839">
        <v>11</v>
      </c>
      <c r="AR838" s="839"/>
      <c r="AS838" s="839"/>
      <c r="AT838" s="839"/>
      <c r="AU838" s="839"/>
      <c r="AV838" s="849"/>
      <c r="AW838" s="134" t="s">
        <v>3208</v>
      </c>
      <c r="AX838" s="136" t="s">
        <v>3208</v>
      </c>
      <c r="AY838" s="137" t="s">
        <v>2576</v>
      </c>
      <c r="AZ838" s="136">
        <v>1</v>
      </c>
      <c r="BA838" s="136">
        <v>1</v>
      </c>
      <c r="BB838" s="136">
        <v>1</v>
      </c>
      <c r="BC838" s="214">
        <v>52</v>
      </c>
      <c r="BD838" s="136">
        <v>0</v>
      </c>
      <c r="BE838" s="214">
        <v>0</v>
      </c>
      <c r="BF838" s="136">
        <v>1</v>
      </c>
      <c r="BG838" s="214">
        <v>52</v>
      </c>
      <c r="BH838" s="214">
        <v>0.104</v>
      </c>
      <c r="BI838" s="134">
        <v>0</v>
      </c>
      <c r="BJ838" s="214">
        <v>0</v>
      </c>
      <c r="BK838" s="137">
        <v>0.89600000000000002</v>
      </c>
      <c r="BL838" s="137">
        <v>1</v>
      </c>
      <c r="BM838" s="137">
        <v>2</v>
      </c>
      <c r="BN838" s="134">
        <v>0.76923076923076927</v>
      </c>
      <c r="BO838" s="351">
        <v>40</v>
      </c>
      <c r="BP838" s="134">
        <v>0.38461538461538458</v>
      </c>
      <c r="BQ838" s="214">
        <v>1</v>
      </c>
      <c r="BR838" s="137">
        <v>3</v>
      </c>
      <c r="BS838" s="138">
        <v>0</v>
      </c>
      <c r="BT838" s="351">
        <v>0</v>
      </c>
      <c r="BU838" s="214">
        <v>0</v>
      </c>
      <c r="BV838" s="214">
        <v>1</v>
      </c>
      <c r="BW838" s="214">
        <v>0</v>
      </c>
      <c r="BX838" s="214">
        <v>1</v>
      </c>
      <c r="BY838" s="214">
        <v>52</v>
      </c>
      <c r="BZ838" s="134">
        <v>1</v>
      </c>
      <c r="CA838" s="138">
        <v>0</v>
      </c>
      <c r="CB838" s="136">
        <v>0</v>
      </c>
      <c r="CC838" s="136">
        <v>1</v>
      </c>
      <c r="CD838" s="136">
        <v>1</v>
      </c>
      <c r="CE838" s="137">
        <v>55</v>
      </c>
      <c r="CF838" s="137">
        <v>55</v>
      </c>
      <c r="CG838" s="137">
        <v>55</v>
      </c>
      <c r="CH838" s="214">
        <v>0</v>
      </c>
      <c r="CI838" s="139" t="s">
        <v>48</v>
      </c>
      <c r="CJ838" s="139" t="s">
        <v>287</v>
      </c>
      <c r="CK838" s="139" t="s">
        <v>50</v>
      </c>
      <c r="CL838" s="139" t="s">
        <v>50</v>
      </c>
      <c r="CM838" s="139" t="s">
        <v>50</v>
      </c>
      <c r="CN838" s="139" t="s">
        <v>51</v>
      </c>
      <c r="CO838" s="139">
        <v>24.260466999999998</v>
      </c>
      <c r="CP838" s="139">
        <v>97.252650000000003</v>
      </c>
      <c r="CQ838" s="139" t="s">
        <v>1953</v>
      </c>
      <c r="CR838" s="449" t="s">
        <v>40</v>
      </c>
      <c r="CS838" s="449"/>
      <c r="CT838" s="24"/>
      <c r="CU838" s="24"/>
      <c r="CV838" s="24"/>
    </row>
    <row r="839" spans="1:100" ht="15.75" customHeight="1" x14ac:dyDescent="0.25">
      <c r="A839" s="643" t="s">
        <v>1388</v>
      </c>
      <c r="B839" s="132" t="s">
        <v>460</v>
      </c>
      <c r="C839" s="132" t="s">
        <v>44</v>
      </c>
      <c r="D839" s="132" t="s">
        <v>341</v>
      </c>
      <c r="E839" s="132" t="s">
        <v>1180</v>
      </c>
      <c r="F839" s="132">
        <v>76</v>
      </c>
      <c r="G839" s="214">
        <v>256</v>
      </c>
      <c r="H839" s="132"/>
      <c r="I839" s="132"/>
      <c r="J839" s="133"/>
      <c r="K839" s="132"/>
      <c r="L839" s="132" t="s">
        <v>282</v>
      </c>
      <c r="M839" s="134">
        <v>0</v>
      </c>
      <c r="N839" s="134">
        <v>0</v>
      </c>
      <c r="O839" s="320"/>
      <c r="P839" s="326"/>
      <c r="Q839" s="326"/>
      <c r="R839" s="315"/>
      <c r="S839" s="315"/>
      <c r="T839" s="315"/>
      <c r="U839" s="315"/>
      <c r="V839" s="315"/>
      <c r="W839" s="315"/>
      <c r="X839" s="315"/>
      <c r="Y839" s="315"/>
      <c r="Z839" s="315"/>
      <c r="AA839" s="336">
        <v>0</v>
      </c>
      <c r="AB839" s="336"/>
      <c r="AC839" s="337"/>
      <c r="AD839" s="337"/>
      <c r="AE839" s="336"/>
      <c r="AF839" s="336" t="s">
        <v>286</v>
      </c>
      <c r="AG839" s="339" t="s">
        <v>286</v>
      </c>
      <c r="AH839" s="339"/>
      <c r="AI839" s="336"/>
      <c r="AJ839" s="336"/>
      <c r="AK839" s="848"/>
      <c r="AL839" s="836"/>
      <c r="AM839" s="836"/>
      <c r="AN839" s="848"/>
      <c r="AO839" s="850"/>
      <c r="AP839" s="838"/>
      <c r="AQ839" s="839"/>
      <c r="AR839" s="839"/>
      <c r="AS839" s="839"/>
      <c r="AT839" s="839"/>
      <c r="AU839" s="839"/>
      <c r="AV839" s="849"/>
      <c r="AW839" s="134" t="s">
        <v>3208</v>
      </c>
      <c r="AX839" s="136" t="s">
        <v>3208</v>
      </c>
      <c r="AY839" s="137" t="s">
        <v>2576</v>
      </c>
      <c r="AZ839" s="136">
        <v>0</v>
      </c>
      <c r="BA839" s="136">
        <v>0</v>
      </c>
      <c r="BB839" s="136">
        <v>0</v>
      </c>
      <c r="BC839" s="214">
        <v>0</v>
      </c>
      <c r="BD839" s="136">
        <v>0</v>
      </c>
      <c r="BE839" s="214">
        <v>0</v>
      </c>
      <c r="BF839" s="136">
        <v>0</v>
      </c>
      <c r="BG839" s="214">
        <v>0</v>
      </c>
      <c r="BH839" s="214">
        <v>0</v>
      </c>
      <c r="BI839" s="134">
        <v>1</v>
      </c>
      <c r="BJ839" s="214">
        <v>256</v>
      </c>
      <c r="BK839" s="137">
        <v>1</v>
      </c>
      <c r="BL839" s="137">
        <v>1</v>
      </c>
      <c r="BM839" s="137">
        <v>0</v>
      </c>
      <c r="BN839" s="134">
        <v>0</v>
      </c>
      <c r="BO839" s="351">
        <v>0</v>
      </c>
      <c r="BP839" s="134">
        <v>1</v>
      </c>
      <c r="BQ839" s="214">
        <v>13</v>
      </c>
      <c r="BR839" s="137">
        <v>13</v>
      </c>
      <c r="BS839" s="138">
        <v>0</v>
      </c>
      <c r="BT839" s="351">
        <v>0</v>
      </c>
      <c r="BU839" s="214">
        <v>0</v>
      </c>
      <c r="BV839" s="214">
        <v>0</v>
      </c>
      <c r="BW839" s="214">
        <v>0</v>
      </c>
      <c r="BX839" s="214">
        <v>0</v>
      </c>
      <c r="BY839" s="214">
        <v>0</v>
      </c>
      <c r="BZ839" s="134">
        <v>0</v>
      </c>
      <c r="CA839" s="138">
        <v>1</v>
      </c>
      <c r="CB839" s="136">
        <v>0</v>
      </c>
      <c r="CC839" s="136">
        <v>0</v>
      </c>
      <c r="CD839" s="136">
        <v>0</v>
      </c>
      <c r="CE839" s="137">
        <v>0</v>
      </c>
      <c r="CF839" s="137">
        <v>0</v>
      </c>
      <c r="CG839" s="137">
        <v>0</v>
      </c>
      <c r="CH839" s="214">
        <v>0</v>
      </c>
      <c r="CI839" s="139">
        <v>0</v>
      </c>
      <c r="CJ839" s="139" t="s">
        <v>2959</v>
      </c>
      <c r="CK839" s="139" t="s">
        <v>50</v>
      </c>
      <c r="CL839" s="139" t="s">
        <v>50</v>
      </c>
      <c r="CM839" s="139" t="s">
        <v>942</v>
      </c>
      <c r="CN839" s="139" t="s">
        <v>51</v>
      </c>
      <c r="CO839" s="139">
        <v>24.263786</v>
      </c>
      <c r="CP839" s="139">
        <v>97.228835000000004</v>
      </c>
      <c r="CQ839" s="139" t="s">
        <v>1957</v>
      </c>
      <c r="CR839" s="449" t="s">
        <v>3209</v>
      </c>
      <c r="CS839" s="449"/>
      <c r="CT839" s="24"/>
      <c r="CU839" s="24"/>
      <c r="CV839" s="24"/>
    </row>
    <row r="840" spans="1:100" ht="15.75" customHeight="1" x14ac:dyDescent="0.25">
      <c r="A840" s="643" t="s">
        <v>1388</v>
      </c>
      <c r="B840" s="132" t="s">
        <v>338</v>
      </c>
      <c r="C840" s="132" t="s">
        <v>44</v>
      </c>
      <c r="D840" s="132" t="s">
        <v>341</v>
      </c>
      <c r="E840" s="132" t="s">
        <v>344</v>
      </c>
      <c r="F840" s="132">
        <v>39</v>
      </c>
      <c r="G840" s="214">
        <v>232</v>
      </c>
      <c r="H840" s="132"/>
      <c r="I840" s="132" t="s">
        <v>345</v>
      </c>
      <c r="J840" s="133" t="s">
        <v>2474</v>
      </c>
      <c r="K840" s="132">
        <v>0</v>
      </c>
      <c r="L840" s="132" t="s">
        <v>48</v>
      </c>
      <c r="M840" s="134">
        <v>0.4</v>
      </c>
      <c r="N840" s="134">
        <v>0.2</v>
      </c>
      <c r="O840" s="320">
        <v>0</v>
      </c>
      <c r="P840" s="326">
        <v>2</v>
      </c>
      <c r="Q840" s="326">
        <v>0</v>
      </c>
      <c r="R840" s="315">
        <v>0</v>
      </c>
      <c r="S840" s="315">
        <v>0</v>
      </c>
      <c r="T840" s="315"/>
      <c r="U840" s="315"/>
      <c r="V840" s="315"/>
      <c r="W840" s="315"/>
      <c r="X840" s="315"/>
      <c r="Y840" s="315"/>
      <c r="Z840" s="315"/>
      <c r="AA840" s="336">
        <v>7</v>
      </c>
      <c r="AB840" s="336">
        <v>0</v>
      </c>
      <c r="AC840" s="337"/>
      <c r="AD840" s="337"/>
      <c r="AE840" s="336">
        <v>0</v>
      </c>
      <c r="AF840" s="336" t="s">
        <v>283</v>
      </c>
      <c r="AG840" s="339" t="s">
        <v>1358</v>
      </c>
      <c r="AH840" s="339"/>
      <c r="AI840" s="336"/>
      <c r="AJ840" s="336"/>
      <c r="AK840" s="848">
        <v>1</v>
      </c>
      <c r="AL840" s="836" t="s">
        <v>291</v>
      </c>
      <c r="AM840" s="836">
        <v>0</v>
      </c>
      <c r="AN840" s="848">
        <v>2</v>
      </c>
      <c r="AO840" s="850">
        <v>2</v>
      </c>
      <c r="AP840" s="838">
        <v>39</v>
      </c>
      <c r="AQ840" s="839">
        <v>39</v>
      </c>
      <c r="AR840" s="839"/>
      <c r="AS840" s="839"/>
      <c r="AT840" s="839"/>
      <c r="AU840" s="839"/>
      <c r="AV840" s="849"/>
      <c r="AW840" s="134" t="s">
        <v>3208</v>
      </c>
      <c r="AX840" s="136" t="s">
        <v>3208</v>
      </c>
      <c r="AY840" s="137" t="s">
        <v>2576</v>
      </c>
      <c r="AZ840" s="136">
        <v>1</v>
      </c>
      <c r="BA840" s="136">
        <v>1</v>
      </c>
      <c r="BB840" s="136">
        <v>1</v>
      </c>
      <c r="BC840" s="214">
        <v>232</v>
      </c>
      <c r="BD840" s="136">
        <v>0</v>
      </c>
      <c r="BE840" s="214">
        <v>0</v>
      </c>
      <c r="BF840" s="136">
        <v>1</v>
      </c>
      <c r="BG840" s="214">
        <v>232</v>
      </c>
      <c r="BH840" s="214">
        <v>0.46400000000000002</v>
      </c>
      <c r="BI840" s="134">
        <v>0</v>
      </c>
      <c r="BJ840" s="214">
        <v>0</v>
      </c>
      <c r="BK840" s="137">
        <v>0.53600000000000003</v>
      </c>
      <c r="BL840" s="137">
        <v>1</v>
      </c>
      <c r="BM840" s="137">
        <v>7</v>
      </c>
      <c r="BN840" s="134">
        <v>0.60344827586206895</v>
      </c>
      <c r="BO840" s="351">
        <v>140</v>
      </c>
      <c r="BP840" s="134">
        <v>0.43103448275862072</v>
      </c>
      <c r="BQ840" s="214">
        <v>5</v>
      </c>
      <c r="BR840" s="137">
        <v>12</v>
      </c>
      <c r="BS840" s="138">
        <v>0</v>
      </c>
      <c r="BT840" s="351">
        <v>0</v>
      </c>
      <c r="BU840" s="214">
        <v>232</v>
      </c>
      <c r="BV840" s="214">
        <v>1</v>
      </c>
      <c r="BW840" s="214">
        <v>1</v>
      </c>
      <c r="BX840" s="214">
        <v>1</v>
      </c>
      <c r="BY840" s="214">
        <v>232</v>
      </c>
      <c r="BZ840" s="134">
        <v>1</v>
      </c>
      <c r="CA840" s="138">
        <v>0</v>
      </c>
      <c r="CB840" s="136">
        <v>1</v>
      </c>
      <c r="CC840" s="136">
        <v>1</v>
      </c>
      <c r="CD840" s="136">
        <v>1</v>
      </c>
      <c r="CE840" s="137">
        <v>195</v>
      </c>
      <c r="CF840" s="137">
        <v>195</v>
      </c>
      <c r="CG840" s="137">
        <v>195</v>
      </c>
      <c r="CH840" s="214">
        <v>39</v>
      </c>
      <c r="CI840" s="139" t="s">
        <v>48</v>
      </c>
      <c r="CJ840" s="139" t="s">
        <v>287</v>
      </c>
      <c r="CK840" s="139" t="s">
        <v>50</v>
      </c>
      <c r="CL840" s="139" t="s">
        <v>50</v>
      </c>
      <c r="CM840" s="139" t="s">
        <v>50</v>
      </c>
      <c r="CN840" s="139" t="s">
        <v>51</v>
      </c>
      <c r="CO840" s="139">
        <v>24.24766</v>
      </c>
      <c r="CP840" s="139">
        <v>97.236919999999998</v>
      </c>
      <c r="CQ840" s="139" t="s">
        <v>1945</v>
      </c>
      <c r="CR840" s="449" t="s">
        <v>40</v>
      </c>
      <c r="CS840" s="449"/>
      <c r="CT840" s="24"/>
      <c r="CU840" s="24"/>
      <c r="CV840" s="24"/>
    </row>
    <row r="841" spans="1:100" ht="15.75" customHeight="1" x14ac:dyDescent="0.25">
      <c r="A841" s="643" t="s">
        <v>1388</v>
      </c>
      <c r="B841" s="132" t="s">
        <v>338</v>
      </c>
      <c r="C841" s="132" t="s">
        <v>44</v>
      </c>
      <c r="D841" s="132" t="s">
        <v>341</v>
      </c>
      <c r="E841" s="132" t="s">
        <v>346</v>
      </c>
      <c r="F841" s="132">
        <v>131</v>
      </c>
      <c r="G841" s="214">
        <v>757</v>
      </c>
      <c r="H841" s="132"/>
      <c r="I841" s="132" t="s">
        <v>340</v>
      </c>
      <c r="J841" s="133" t="s">
        <v>2474</v>
      </c>
      <c r="K841" s="132">
        <v>0</v>
      </c>
      <c r="L841" s="132" t="s">
        <v>48</v>
      </c>
      <c r="M841" s="134">
        <v>0.9</v>
      </c>
      <c r="N841" s="134">
        <v>0.9</v>
      </c>
      <c r="O841" s="320">
        <v>3</v>
      </c>
      <c r="P841" s="326">
        <v>1</v>
      </c>
      <c r="Q841" s="326">
        <v>0</v>
      </c>
      <c r="R841" s="315">
        <v>0</v>
      </c>
      <c r="S841" s="315">
        <v>0</v>
      </c>
      <c r="T841" s="315"/>
      <c r="U841" s="315"/>
      <c r="V841" s="315"/>
      <c r="W841" s="315"/>
      <c r="X841" s="315"/>
      <c r="Y841" s="315"/>
      <c r="Z841" s="315"/>
      <c r="AA841" s="336">
        <v>23</v>
      </c>
      <c r="AB841" s="336">
        <v>0</v>
      </c>
      <c r="AC841" s="337">
        <v>4</v>
      </c>
      <c r="AD841" s="337"/>
      <c r="AE841" s="336">
        <v>0</v>
      </c>
      <c r="AF841" s="336" t="s">
        <v>283</v>
      </c>
      <c r="AG841" s="339" t="s">
        <v>1358</v>
      </c>
      <c r="AH841" s="339"/>
      <c r="AI841" s="336"/>
      <c r="AJ841" s="336"/>
      <c r="AK841" s="848">
        <v>1</v>
      </c>
      <c r="AL841" s="836" t="s">
        <v>291</v>
      </c>
      <c r="AM841" s="836">
        <v>0</v>
      </c>
      <c r="AN841" s="848">
        <v>5</v>
      </c>
      <c r="AO841" s="850">
        <v>2</v>
      </c>
      <c r="AP841" s="838">
        <v>131</v>
      </c>
      <c r="AQ841" s="839">
        <v>131</v>
      </c>
      <c r="AR841" s="839"/>
      <c r="AS841" s="839"/>
      <c r="AT841" s="839"/>
      <c r="AU841" s="839"/>
      <c r="AV841" s="849"/>
      <c r="AW841" s="134" t="s">
        <v>3208</v>
      </c>
      <c r="AX841" s="136" t="s">
        <v>3208</v>
      </c>
      <c r="AY841" s="137" t="s">
        <v>2576</v>
      </c>
      <c r="AZ841" s="136">
        <v>1</v>
      </c>
      <c r="BA841" s="136">
        <v>1</v>
      </c>
      <c r="BB841" s="136">
        <v>1</v>
      </c>
      <c r="BC841" s="214">
        <v>757</v>
      </c>
      <c r="BD841" s="136">
        <v>0</v>
      </c>
      <c r="BE841" s="214">
        <v>0</v>
      </c>
      <c r="BF841" s="136">
        <v>1</v>
      </c>
      <c r="BG841" s="214">
        <v>757</v>
      </c>
      <c r="BH841" s="214">
        <v>1.514</v>
      </c>
      <c r="BI841" s="134">
        <v>0</v>
      </c>
      <c r="BJ841" s="214">
        <v>0</v>
      </c>
      <c r="BK841" s="137">
        <v>0.48599999999999999</v>
      </c>
      <c r="BL841" s="137">
        <v>2</v>
      </c>
      <c r="BM841" s="137">
        <v>23</v>
      </c>
      <c r="BN841" s="134">
        <v>0.607661822985469</v>
      </c>
      <c r="BO841" s="351">
        <v>460.00000000000006</v>
      </c>
      <c r="BP841" s="134">
        <v>0.39630118890356669</v>
      </c>
      <c r="BQ841" s="214">
        <v>15</v>
      </c>
      <c r="BR841" s="137">
        <v>38</v>
      </c>
      <c r="BS841" s="138">
        <v>0</v>
      </c>
      <c r="BT841" s="351">
        <v>80</v>
      </c>
      <c r="BU841" s="214">
        <v>757</v>
      </c>
      <c r="BV841" s="214">
        <v>1</v>
      </c>
      <c r="BW841" s="214">
        <v>1</v>
      </c>
      <c r="BX841" s="214">
        <v>1</v>
      </c>
      <c r="BY841" s="214">
        <v>757</v>
      </c>
      <c r="BZ841" s="134">
        <v>1</v>
      </c>
      <c r="CA841" s="138">
        <v>0</v>
      </c>
      <c r="CB841" s="136">
        <v>1</v>
      </c>
      <c r="CC841" s="136">
        <v>1</v>
      </c>
      <c r="CD841" s="136">
        <v>1</v>
      </c>
      <c r="CE841" s="137">
        <v>655</v>
      </c>
      <c r="CF841" s="137">
        <v>655</v>
      </c>
      <c r="CG841" s="137">
        <v>655</v>
      </c>
      <c r="CH841" s="214">
        <v>131</v>
      </c>
      <c r="CI841" s="139" t="s">
        <v>48</v>
      </c>
      <c r="CJ841" s="139" t="s">
        <v>389</v>
      </c>
      <c r="CK841" s="139" t="s">
        <v>50</v>
      </c>
      <c r="CL841" s="139" t="s">
        <v>50</v>
      </c>
      <c r="CM841" s="139" t="s">
        <v>50</v>
      </c>
      <c r="CN841" s="139" t="s">
        <v>51</v>
      </c>
      <c r="CO841" s="139">
        <v>24.2631743589744</v>
      </c>
      <c r="CP841" s="139">
        <v>97.240183461538507</v>
      </c>
      <c r="CQ841" s="139" t="s">
        <v>1956</v>
      </c>
      <c r="CR841" s="449" t="s">
        <v>40</v>
      </c>
      <c r="CS841" s="449"/>
      <c r="CT841" s="24"/>
      <c r="CU841" s="24"/>
      <c r="CV841" s="24"/>
    </row>
    <row r="842" spans="1:100" ht="15.75" customHeight="1" x14ac:dyDescent="0.25">
      <c r="A842" s="643" t="s">
        <v>1388</v>
      </c>
      <c r="B842" s="132" t="s">
        <v>338</v>
      </c>
      <c r="C842" s="132" t="s">
        <v>44</v>
      </c>
      <c r="D842" s="132" t="s">
        <v>341</v>
      </c>
      <c r="E842" s="132" t="s">
        <v>347</v>
      </c>
      <c r="F842" s="132">
        <v>11</v>
      </c>
      <c r="G842" s="214">
        <v>51</v>
      </c>
      <c r="H842" s="132"/>
      <c r="I842" s="132" t="s">
        <v>2475</v>
      </c>
      <c r="J842" s="133">
        <v>43344</v>
      </c>
      <c r="K842" s="132">
        <v>0</v>
      </c>
      <c r="L842" s="132" t="s">
        <v>282</v>
      </c>
      <c r="M842" s="134">
        <v>0</v>
      </c>
      <c r="N842" s="134">
        <v>0</v>
      </c>
      <c r="O842" s="320">
        <v>0</v>
      </c>
      <c r="P842" s="326">
        <v>1</v>
      </c>
      <c r="Q842" s="326">
        <v>0</v>
      </c>
      <c r="R842" s="315">
        <v>0</v>
      </c>
      <c r="S842" s="315">
        <v>0</v>
      </c>
      <c r="T842" s="315"/>
      <c r="U842" s="315"/>
      <c r="V842" s="315"/>
      <c r="W842" s="315"/>
      <c r="X842" s="315"/>
      <c r="Y842" s="315"/>
      <c r="Z842" s="315"/>
      <c r="AA842" s="336">
        <v>4</v>
      </c>
      <c r="AB842" s="336">
        <v>0</v>
      </c>
      <c r="AC842" s="337"/>
      <c r="AD842" s="337"/>
      <c r="AE842" s="336">
        <v>0</v>
      </c>
      <c r="AF842" s="336" t="s">
        <v>283</v>
      </c>
      <c r="AG842" s="339" t="s">
        <v>283</v>
      </c>
      <c r="AH842" s="339"/>
      <c r="AI842" s="336"/>
      <c r="AJ842" s="336"/>
      <c r="AK842" s="848">
        <v>1</v>
      </c>
      <c r="AL842" s="836" t="s">
        <v>291</v>
      </c>
      <c r="AM842" s="836">
        <v>0</v>
      </c>
      <c r="AN842" s="848">
        <v>2</v>
      </c>
      <c r="AO842" s="850">
        <v>1</v>
      </c>
      <c r="AP842" s="838">
        <v>11</v>
      </c>
      <c r="AQ842" s="839">
        <v>11</v>
      </c>
      <c r="AR842" s="839"/>
      <c r="AS842" s="839"/>
      <c r="AT842" s="839"/>
      <c r="AU842" s="839"/>
      <c r="AV842" s="849"/>
      <c r="AW842" s="134" t="s">
        <v>3208</v>
      </c>
      <c r="AX842" s="136" t="s">
        <v>3208</v>
      </c>
      <c r="AY842" s="137" t="s">
        <v>2576</v>
      </c>
      <c r="AZ842" s="136">
        <v>1</v>
      </c>
      <c r="BA842" s="136">
        <v>1</v>
      </c>
      <c r="BB842" s="136">
        <v>1</v>
      </c>
      <c r="BC842" s="214">
        <v>51</v>
      </c>
      <c r="BD842" s="136">
        <v>0</v>
      </c>
      <c r="BE842" s="214">
        <v>0</v>
      </c>
      <c r="BF842" s="136">
        <v>1</v>
      </c>
      <c r="BG842" s="214">
        <v>51</v>
      </c>
      <c r="BH842" s="214">
        <v>0.10199999999999999</v>
      </c>
      <c r="BI842" s="134">
        <v>0</v>
      </c>
      <c r="BJ842" s="214">
        <v>0</v>
      </c>
      <c r="BK842" s="137">
        <v>0.89800000000000002</v>
      </c>
      <c r="BL842" s="137">
        <v>1</v>
      </c>
      <c r="BM842" s="137">
        <v>4</v>
      </c>
      <c r="BN842" s="134">
        <v>1</v>
      </c>
      <c r="BO842" s="351">
        <v>51</v>
      </c>
      <c r="BP842" s="134">
        <v>0</v>
      </c>
      <c r="BQ842" s="214">
        <v>0</v>
      </c>
      <c r="BR842" s="137">
        <v>3</v>
      </c>
      <c r="BS842" s="138">
        <v>0</v>
      </c>
      <c r="BT842" s="351">
        <v>0</v>
      </c>
      <c r="BU842" s="214">
        <v>51</v>
      </c>
      <c r="BV842" s="214">
        <v>1</v>
      </c>
      <c r="BW842" s="214">
        <v>1</v>
      </c>
      <c r="BX842" s="214">
        <v>1</v>
      </c>
      <c r="BY842" s="214">
        <v>51</v>
      </c>
      <c r="BZ842" s="134">
        <v>1</v>
      </c>
      <c r="CA842" s="138">
        <v>0</v>
      </c>
      <c r="CB842" s="136">
        <v>1</v>
      </c>
      <c r="CC842" s="136">
        <v>1</v>
      </c>
      <c r="CD842" s="136">
        <v>1</v>
      </c>
      <c r="CE842" s="137">
        <v>55</v>
      </c>
      <c r="CF842" s="137">
        <v>55</v>
      </c>
      <c r="CG842" s="137">
        <v>55</v>
      </c>
      <c r="CH842" s="214">
        <v>11</v>
      </c>
      <c r="CI842" s="139" t="s">
        <v>48</v>
      </c>
      <c r="CJ842" s="139" t="s">
        <v>389</v>
      </c>
      <c r="CK842" s="139" t="s">
        <v>50</v>
      </c>
      <c r="CL842" s="139" t="s">
        <v>50</v>
      </c>
      <c r="CM842" s="139" t="s">
        <v>50</v>
      </c>
      <c r="CN842" s="139" t="s">
        <v>51</v>
      </c>
      <c r="CO842" s="139">
        <v>24.253067000000001</v>
      </c>
      <c r="CP842" s="139">
        <v>97.234200000000001</v>
      </c>
      <c r="CQ842" s="139" t="s">
        <v>1951</v>
      </c>
      <c r="CR842" s="449" t="s">
        <v>40</v>
      </c>
      <c r="CS842" s="449"/>
      <c r="CT842" s="24"/>
      <c r="CU842" s="24"/>
      <c r="CV842" s="24"/>
    </row>
    <row r="843" spans="1:100" ht="15.75" customHeight="1" x14ac:dyDescent="0.25">
      <c r="A843" s="643" t="s">
        <v>1388</v>
      </c>
      <c r="B843" s="132" t="s">
        <v>338</v>
      </c>
      <c r="C843" s="132" t="s">
        <v>44</v>
      </c>
      <c r="D843" s="132" t="s">
        <v>341</v>
      </c>
      <c r="E843" s="132" t="s">
        <v>349</v>
      </c>
      <c r="F843" s="132">
        <v>21</v>
      </c>
      <c r="G843" s="214">
        <v>111</v>
      </c>
      <c r="H843" s="132"/>
      <c r="I843" s="132" t="s">
        <v>2475</v>
      </c>
      <c r="J843" s="133">
        <v>43344</v>
      </c>
      <c r="K843" s="132">
        <v>0</v>
      </c>
      <c r="L843" s="132" t="s">
        <v>48</v>
      </c>
      <c r="M843" s="134">
        <v>0.9</v>
      </c>
      <c r="N843" s="134">
        <v>0.9</v>
      </c>
      <c r="O843" s="320">
        <v>0</v>
      </c>
      <c r="P843" s="326">
        <v>0</v>
      </c>
      <c r="Q843" s="326">
        <v>0</v>
      </c>
      <c r="R843" s="315">
        <v>0</v>
      </c>
      <c r="S843" s="315">
        <v>0</v>
      </c>
      <c r="T843" s="315"/>
      <c r="U843" s="315"/>
      <c r="V843" s="315"/>
      <c r="W843" s="315"/>
      <c r="X843" s="315"/>
      <c r="Y843" s="315"/>
      <c r="Z843" s="315"/>
      <c r="AA843" s="336">
        <v>4</v>
      </c>
      <c r="AB843" s="336">
        <v>0</v>
      </c>
      <c r="AC843" s="337">
        <v>2</v>
      </c>
      <c r="AD843" s="337"/>
      <c r="AE843" s="336">
        <v>0</v>
      </c>
      <c r="AF843" s="336" t="s">
        <v>283</v>
      </c>
      <c r="AG843" s="339" t="s">
        <v>283</v>
      </c>
      <c r="AH843" s="339"/>
      <c r="AI843" s="336"/>
      <c r="AJ843" s="336"/>
      <c r="AK843" s="848">
        <v>1</v>
      </c>
      <c r="AL843" s="836" t="s">
        <v>291</v>
      </c>
      <c r="AM843" s="836">
        <v>0</v>
      </c>
      <c r="AN843" s="848">
        <v>2</v>
      </c>
      <c r="AO843" s="850">
        <v>2</v>
      </c>
      <c r="AP843" s="838">
        <v>21</v>
      </c>
      <c r="AQ843" s="839">
        <v>21</v>
      </c>
      <c r="AR843" s="839"/>
      <c r="AS843" s="839"/>
      <c r="AT843" s="839"/>
      <c r="AU843" s="839"/>
      <c r="AV843" s="849"/>
      <c r="AW843" s="134" t="s">
        <v>3208</v>
      </c>
      <c r="AX843" s="136" t="s">
        <v>3208</v>
      </c>
      <c r="AY843" s="137" t="s">
        <v>2576</v>
      </c>
      <c r="AZ843" s="136">
        <v>0</v>
      </c>
      <c r="BA843" s="136">
        <v>0</v>
      </c>
      <c r="BB843" s="136">
        <v>0</v>
      </c>
      <c r="BC843" s="214">
        <v>0</v>
      </c>
      <c r="BD843" s="136">
        <v>0</v>
      </c>
      <c r="BE843" s="214">
        <v>0</v>
      </c>
      <c r="BF843" s="136">
        <v>0</v>
      </c>
      <c r="BG843" s="214">
        <v>0</v>
      </c>
      <c r="BH843" s="214">
        <v>0</v>
      </c>
      <c r="BI843" s="134">
        <v>1</v>
      </c>
      <c r="BJ843" s="214">
        <v>111</v>
      </c>
      <c r="BK843" s="137">
        <v>1</v>
      </c>
      <c r="BL843" s="137">
        <v>1</v>
      </c>
      <c r="BM843" s="137">
        <v>4</v>
      </c>
      <c r="BN843" s="134">
        <v>0.72072072072072069</v>
      </c>
      <c r="BO843" s="351">
        <v>80</v>
      </c>
      <c r="BP843" s="134">
        <v>0.3603603603603604</v>
      </c>
      <c r="BQ843" s="214">
        <v>2</v>
      </c>
      <c r="BR843" s="137">
        <v>6</v>
      </c>
      <c r="BS843" s="138">
        <v>0</v>
      </c>
      <c r="BT843" s="351">
        <v>40</v>
      </c>
      <c r="BU843" s="214">
        <v>111</v>
      </c>
      <c r="BV843" s="214">
        <v>1</v>
      </c>
      <c r="BW843" s="214">
        <v>1</v>
      </c>
      <c r="BX843" s="214">
        <v>1</v>
      </c>
      <c r="BY843" s="214">
        <v>111</v>
      </c>
      <c r="BZ843" s="134">
        <v>1</v>
      </c>
      <c r="CA843" s="138">
        <v>0</v>
      </c>
      <c r="CB843" s="136">
        <v>1</v>
      </c>
      <c r="CC843" s="136">
        <v>1</v>
      </c>
      <c r="CD843" s="136">
        <v>1</v>
      </c>
      <c r="CE843" s="137">
        <v>105</v>
      </c>
      <c r="CF843" s="137">
        <v>105</v>
      </c>
      <c r="CG843" s="137">
        <v>105</v>
      </c>
      <c r="CH843" s="214">
        <v>21</v>
      </c>
      <c r="CI843" s="139" t="s">
        <v>48</v>
      </c>
      <c r="CJ843" s="139" t="s">
        <v>49</v>
      </c>
      <c r="CK843" s="139" t="s">
        <v>50</v>
      </c>
      <c r="CL843" s="139" t="s">
        <v>50</v>
      </c>
      <c r="CM843" s="139" t="s">
        <v>50</v>
      </c>
      <c r="CN843" s="139" t="s">
        <v>51</v>
      </c>
      <c r="CO843" s="139">
        <v>24.32638</v>
      </c>
      <c r="CP843" s="139">
        <v>97.315860000000001</v>
      </c>
      <c r="CQ843" s="139" t="s">
        <v>1961</v>
      </c>
      <c r="CR843" s="449" t="s">
        <v>40</v>
      </c>
      <c r="CS843" s="449"/>
      <c r="CT843" s="24"/>
      <c r="CU843" s="24"/>
      <c r="CV843" s="24"/>
    </row>
    <row r="844" spans="1:100" ht="15.75" customHeight="1" x14ac:dyDescent="0.25">
      <c r="A844" s="643" t="s">
        <v>1388</v>
      </c>
      <c r="B844" s="132" t="s">
        <v>426</v>
      </c>
      <c r="C844" s="132" t="s">
        <v>44</v>
      </c>
      <c r="D844" s="132" t="s">
        <v>341</v>
      </c>
      <c r="E844" s="132" t="s">
        <v>429</v>
      </c>
      <c r="F844" s="132">
        <v>147</v>
      </c>
      <c r="G844" s="214">
        <v>777</v>
      </c>
      <c r="H844" s="132"/>
      <c r="I844" s="132" t="s">
        <v>391</v>
      </c>
      <c r="J844" s="133">
        <v>43220</v>
      </c>
      <c r="K844" s="132">
        <v>0</v>
      </c>
      <c r="L844" s="132" t="s">
        <v>48</v>
      </c>
      <c r="M844" s="134">
        <v>0.6</v>
      </c>
      <c r="N844" s="134">
        <v>0</v>
      </c>
      <c r="O844" s="320">
        <v>0</v>
      </c>
      <c r="P844" s="326">
        <v>4</v>
      </c>
      <c r="Q844" s="326">
        <v>1890000</v>
      </c>
      <c r="R844" s="315">
        <v>0</v>
      </c>
      <c r="S844" s="315">
        <v>0</v>
      </c>
      <c r="T844" s="315"/>
      <c r="U844" s="315"/>
      <c r="V844" s="315"/>
      <c r="W844" s="315">
        <v>9</v>
      </c>
      <c r="X844" s="315">
        <v>9</v>
      </c>
      <c r="Y844" s="315"/>
      <c r="Z844" s="315"/>
      <c r="AA844" s="336">
        <v>45</v>
      </c>
      <c r="AB844" s="336">
        <v>0</v>
      </c>
      <c r="AC844" s="337">
        <v>26</v>
      </c>
      <c r="AD844" s="337"/>
      <c r="AE844" s="336">
        <v>0</v>
      </c>
      <c r="AF844" s="336" t="s">
        <v>283</v>
      </c>
      <c r="AG844" s="339" t="s">
        <v>283</v>
      </c>
      <c r="AH844" s="339">
        <v>0</v>
      </c>
      <c r="AI844" s="336">
        <v>0</v>
      </c>
      <c r="AJ844" s="336"/>
      <c r="AK844" s="848">
        <v>1</v>
      </c>
      <c r="AL844" s="836" t="s">
        <v>291</v>
      </c>
      <c r="AM844" s="836">
        <v>0</v>
      </c>
      <c r="AN844" s="848">
        <v>8</v>
      </c>
      <c r="AO844" s="850">
        <v>110</v>
      </c>
      <c r="AP844" s="838">
        <v>0</v>
      </c>
      <c r="AQ844" s="839"/>
      <c r="AR844" s="839"/>
      <c r="AS844" s="839"/>
      <c r="AT844" s="839"/>
      <c r="AU844" s="839"/>
      <c r="AV844" s="849"/>
      <c r="AW844" s="134" t="s">
        <v>3208</v>
      </c>
      <c r="AX844" s="136">
        <v>1</v>
      </c>
      <c r="AY844" s="137" t="s">
        <v>2577</v>
      </c>
      <c r="AZ844" s="136">
        <v>1</v>
      </c>
      <c r="BA844" s="136">
        <v>1</v>
      </c>
      <c r="BB844" s="136">
        <v>1</v>
      </c>
      <c r="BC844" s="214">
        <v>777</v>
      </c>
      <c r="BD844" s="136">
        <v>0</v>
      </c>
      <c r="BE844" s="214">
        <v>0</v>
      </c>
      <c r="BF844" s="136">
        <v>1</v>
      </c>
      <c r="BG844" s="214">
        <v>777</v>
      </c>
      <c r="BH844" s="214">
        <v>1.554</v>
      </c>
      <c r="BI844" s="134">
        <v>0</v>
      </c>
      <c r="BJ844" s="214">
        <v>0</v>
      </c>
      <c r="BK844" s="137">
        <v>0.44599999999999995</v>
      </c>
      <c r="BL844" s="137">
        <v>2</v>
      </c>
      <c r="BM844" s="137">
        <v>45</v>
      </c>
      <c r="BN844" s="134">
        <v>1</v>
      </c>
      <c r="BO844" s="351">
        <v>777</v>
      </c>
      <c r="BP844" s="134">
        <v>0</v>
      </c>
      <c r="BQ844" s="214">
        <v>0</v>
      </c>
      <c r="BR844" s="137">
        <v>39</v>
      </c>
      <c r="BS844" s="138">
        <v>0</v>
      </c>
      <c r="BT844" s="351">
        <v>520</v>
      </c>
      <c r="BU844" s="214">
        <v>777</v>
      </c>
      <c r="BV844" s="214">
        <v>0</v>
      </c>
      <c r="BW844" s="214">
        <v>1</v>
      </c>
      <c r="BX844" s="214">
        <v>0</v>
      </c>
      <c r="BY844" s="214">
        <v>0</v>
      </c>
      <c r="BZ844" s="134">
        <v>0</v>
      </c>
      <c r="CA844" s="138">
        <v>1</v>
      </c>
      <c r="CB844" s="136">
        <v>1</v>
      </c>
      <c r="CC844" s="136">
        <v>0</v>
      </c>
      <c r="CD844" s="136">
        <v>0</v>
      </c>
      <c r="CE844" s="137">
        <v>0</v>
      </c>
      <c r="CF844" s="137">
        <v>0</v>
      </c>
      <c r="CG844" s="137">
        <v>0</v>
      </c>
      <c r="CH844" s="214">
        <v>147</v>
      </c>
      <c r="CI844" s="139" t="s">
        <v>48</v>
      </c>
      <c r="CJ844" s="139" t="s">
        <v>287</v>
      </c>
      <c r="CK844" s="139" t="s">
        <v>50</v>
      </c>
      <c r="CL844" s="139" t="s">
        <v>50</v>
      </c>
      <c r="CM844" s="139" t="s">
        <v>50</v>
      </c>
      <c r="CN844" s="139" t="s">
        <v>51</v>
      </c>
      <c r="CO844" s="139">
        <v>24.222349999999999</v>
      </c>
      <c r="CP844" s="139">
        <v>97.252650000000003</v>
      </c>
      <c r="CQ844" s="139" t="s">
        <v>1942</v>
      </c>
      <c r="CR844" s="449" t="s">
        <v>40</v>
      </c>
      <c r="CS844" s="449"/>
      <c r="CT844" s="24"/>
      <c r="CU844" s="24"/>
      <c r="CV844" s="24"/>
    </row>
    <row r="845" spans="1:100" ht="15.75" customHeight="1" x14ac:dyDescent="0.25">
      <c r="A845" s="643" t="s">
        <v>1388</v>
      </c>
      <c r="B845" s="132" t="s">
        <v>426</v>
      </c>
      <c r="C845" s="132" t="s">
        <v>44</v>
      </c>
      <c r="D845" s="132" t="s">
        <v>341</v>
      </c>
      <c r="E845" s="132" t="s">
        <v>430</v>
      </c>
      <c r="F845" s="132">
        <v>637</v>
      </c>
      <c r="G845" s="214">
        <v>3974</v>
      </c>
      <c r="H845" s="132"/>
      <c r="I845" s="132" t="s">
        <v>391</v>
      </c>
      <c r="J845" s="133">
        <v>43220</v>
      </c>
      <c r="K845" s="132">
        <v>0</v>
      </c>
      <c r="L845" s="132" t="s">
        <v>48</v>
      </c>
      <c r="M845" s="134">
        <v>0.63</v>
      </c>
      <c r="N845" s="134">
        <v>0</v>
      </c>
      <c r="O845" s="320">
        <v>0</v>
      </c>
      <c r="P845" s="326">
        <v>22</v>
      </c>
      <c r="Q845" s="326">
        <v>1452600</v>
      </c>
      <c r="R845" s="315">
        <v>0</v>
      </c>
      <c r="S845" s="315">
        <v>0</v>
      </c>
      <c r="T845" s="315"/>
      <c r="U845" s="315"/>
      <c r="V845" s="315"/>
      <c r="W845" s="315">
        <v>9</v>
      </c>
      <c r="X845" s="315">
        <v>5</v>
      </c>
      <c r="Y845" s="315"/>
      <c r="Z845" s="315"/>
      <c r="AA845" s="336">
        <v>160</v>
      </c>
      <c r="AB845" s="336">
        <v>0</v>
      </c>
      <c r="AC845" s="337">
        <v>75</v>
      </c>
      <c r="AD845" s="337"/>
      <c r="AE845" s="336">
        <v>0</v>
      </c>
      <c r="AF845" s="336" t="s">
        <v>283</v>
      </c>
      <c r="AG845" s="339" t="s">
        <v>283</v>
      </c>
      <c r="AH845" s="339">
        <v>0</v>
      </c>
      <c r="AI845" s="336">
        <v>0</v>
      </c>
      <c r="AJ845" s="336"/>
      <c r="AK845" s="848">
        <v>1</v>
      </c>
      <c r="AL845" s="836" t="s">
        <v>291</v>
      </c>
      <c r="AM845" s="836">
        <v>0</v>
      </c>
      <c r="AN845" s="848">
        <v>12</v>
      </c>
      <c r="AO845" s="850">
        <v>477</v>
      </c>
      <c r="AP845" s="838">
        <v>0</v>
      </c>
      <c r="AQ845" s="839"/>
      <c r="AR845" s="839"/>
      <c r="AS845" s="839"/>
      <c r="AT845" s="839"/>
      <c r="AU845" s="839"/>
      <c r="AV845" s="849"/>
      <c r="AW845" s="134" t="s">
        <v>3208</v>
      </c>
      <c r="AX845" s="136">
        <v>0.55555555555555558</v>
      </c>
      <c r="AY845" s="137" t="s">
        <v>2577</v>
      </c>
      <c r="AZ845" s="136">
        <v>1</v>
      </c>
      <c r="BA845" s="136">
        <v>1</v>
      </c>
      <c r="BB845" s="136">
        <v>1</v>
      </c>
      <c r="BC845" s="214">
        <v>3974</v>
      </c>
      <c r="BD845" s="136">
        <v>0</v>
      </c>
      <c r="BE845" s="214">
        <v>0</v>
      </c>
      <c r="BF845" s="136">
        <v>1</v>
      </c>
      <c r="BG845" s="214">
        <v>3974</v>
      </c>
      <c r="BH845" s="214">
        <v>7.9480000000000004</v>
      </c>
      <c r="BI845" s="134">
        <v>0</v>
      </c>
      <c r="BJ845" s="214">
        <v>0</v>
      </c>
      <c r="BK845" s="137">
        <v>5.1999999999999602E-2</v>
      </c>
      <c r="BL845" s="137">
        <v>8</v>
      </c>
      <c r="BM845" s="137">
        <v>160</v>
      </c>
      <c r="BN845" s="134">
        <v>0.80523402113739306</v>
      </c>
      <c r="BO845" s="351">
        <v>3200</v>
      </c>
      <c r="BP845" s="134">
        <v>0.19627579265223957</v>
      </c>
      <c r="BQ845" s="214">
        <v>39</v>
      </c>
      <c r="BR845" s="137">
        <v>199</v>
      </c>
      <c r="BS845" s="138">
        <v>0</v>
      </c>
      <c r="BT845" s="351">
        <v>1500</v>
      </c>
      <c r="BU845" s="214">
        <v>3974</v>
      </c>
      <c r="BV845" s="214">
        <v>0</v>
      </c>
      <c r="BW845" s="214">
        <v>1</v>
      </c>
      <c r="BX845" s="214">
        <v>0</v>
      </c>
      <c r="BY845" s="214">
        <v>0</v>
      </c>
      <c r="BZ845" s="134">
        <v>0</v>
      </c>
      <c r="CA845" s="138">
        <v>1</v>
      </c>
      <c r="CB845" s="136">
        <v>1</v>
      </c>
      <c r="CC845" s="136">
        <v>0</v>
      </c>
      <c r="CD845" s="136">
        <v>0</v>
      </c>
      <c r="CE845" s="137">
        <v>0</v>
      </c>
      <c r="CF845" s="137">
        <v>0</v>
      </c>
      <c r="CG845" s="137">
        <v>0</v>
      </c>
      <c r="CH845" s="214">
        <v>637</v>
      </c>
      <c r="CI845" s="139" t="s">
        <v>48</v>
      </c>
      <c r="CJ845" s="139" t="s">
        <v>287</v>
      </c>
      <c r="CK845" s="139" t="s">
        <v>50</v>
      </c>
      <c r="CL845" s="139" t="s">
        <v>50</v>
      </c>
      <c r="CM845" s="139" t="s">
        <v>50</v>
      </c>
      <c r="CN845" s="139" t="s">
        <v>51</v>
      </c>
      <c r="CO845" s="139">
        <v>24.268292826086999</v>
      </c>
      <c r="CP845" s="139">
        <v>97.229116811594196</v>
      </c>
      <c r="CQ845" s="139" t="s">
        <v>1958</v>
      </c>
      <c r="CR845" s="449" t="s">
        <v>40</v>
      </c>
      <c r="CS845" s="449"/>
      <c r="CT845" s="24"/>
      <c r="CU845" s="24"/>
      <c r="CV845" s="24"/>
    </row>
    <row r="846" spans="1:100" ht="15.75" customHeight="1" x14ac:dyDescent="0.25">
      <c r="A846" s="643" t="s">
        <v>1388</v>
      </c>
      <c r="B846" s="132" t="s">
        <v>426</v>
      </c>
      <c r="C846" s="132" t="s">
        <v>44</v>
      </c>
      <c r="D846" s="132" t="s">
        <v>341</v>
      </c>
      <c r="E846" s="132" t="s">
        <v>2169</v>
      </c>
      <c r="F846" s="132">
        <v>281</v>
      </c>
      <c r="G846" s="214">
        <v>1409</v>
      </c>
      <c r="H846" s="132"/>
      <c r="I846" s="132" t="s">
        <v>391</v>
      </c>
      <c r="J846" s="133">
        <v>43220</v>
      </c>
      <c r="K846" s="132">
        <v>0</v>
      </c>
      <c r="L846" s="132" t="s">
        <v>282</v>
      </c>
      <c r="M846" s="134">
        <v>0</v>
      </c>
      <c r="N846" s="134">
        <v>0</v>
      </c>
      <c r="O846" s="320">
        <v>0</v>
      </c>
      <c r="P846" s="326">
        <v>0</v>
      </c>
      <c r="Q846" s="326">
        <v>0</v>
      </c>
      <c r="R846" s="315">
        <v>0</v>
      </c>
      <c r="S846" s="315">
        <v>0</v>
      </c>
      <c r="T846" s="315"/>
      <c r="U846" s="315">
        <v>0</v>
      </c>
      <c r="V846" s="315">
        <v>0</v>
      </c>
      <c r="W846" s="315">
        <v>0</v>
      </c>
      <c r="X846" s="315">
        <v>0</v>
      </c>
      <c r="Y846" s="315">
        <v>39</v>
      </c>
      <c r="Z846" s="315"/>
      <c r="AA846" s="336">
        <v>0</v>
      </c>
      <c r="AB846" s="336">
        <v>0</v>
      </c>
      <c r="AC846" s="337">
        <v>0</v>
      </c>
      <c r="AD846" s="337"/>
      <c r="AE846" s="336">
        <v>0</v>
      </c>
      <c r="AF846" s="336" t="s">
        <v>283</v>
      </c>
      <c r="AG846" s="339" t="s">
        <v>283</v>
      </c>
      <c r="AH846" s="339">
        <v>0</v>
      </c>
      <c r="AI846" s="336">
        <v>0</v>
      </c>
      <c r="AJ846" s="336"/>
      <c r="AK846" s="848">
        <v>1</v>
      </c>
      <c r="AL846" s="836" t="s">
        <v>291</v>
      </c>
      <c r="AM846" s="836">
        <v>0</v>
      </c>
      <c r="AN846" s="848"/>
      <c r="AO846" s="850"/>
      <c r="AP846" s="838">
        <v>0</v>
      </c>
      <c r="AQ846" s="839">
        <v>0</v>
      </c>
      <c r="AR846" s="839" t="s">
        <v>282</v>
      </c>
      <c r="AS846" s="839"/>
      <c r="AT846" s="839"/>
      <c r="AU846" s="839"/>
      <c r="AV846" s="849"/>
      <c r="AW846" s="134" t="s">
        <v>3208</v>
      </c>
      <c r="AX846" s="136" t="s">
        <v>3208</v>
      </c>
      <c r="AY846" s="137" t="s">
        <v>2576</v>
      </c>
      <c r="AZ846" s="136">
        <v>0</v>
      </c>
      <c r="BA846" s="136">
        <v>0</v>
      </c>
      <c r="BB846" s="136">
        <v>0</v>
      </c>
      <c r="BC846" s="214">
        <v>0</v>
      </c>
      <c r="BD846" s="136">
        <v>0</v>
      </c>
      <c r="BE846" s="214">
        <v>0</v>
      </c>
      <c r="BF846" s="136">
        <v>0</v>
      </c>
      <c r="BG846" s="214">
        <v>0</v>
      </c>
      <c r="BH846" s="214">
        <v>0</v>
      </c>
      <c r="BI846" s="134">
        <v>1</v>
      </c>
      <c r="BJ846" s="214">
        <v>1409</v>
      </c>
      <c r="BK846" s="137">
        <v>3</v>
      </c>
      <c r="BL846" s="137">
        <v>3</v>
      </c>
      <c r="BM846" s="137">
        <v>0</v>
      </c>
      <c r="BN846" s="134">
        <v>0</v>
      </c>
      <c r="BO846" s="351">
        <v>0</v>
      </c>
      <c r="BP846" s="134">
        <v>0.99361249112845984</v>
      </c>
      <c r="BQ846" s="214">
        <v>70</v>
      </c>
      <c r="BR846" s="137">
        <v>70</v>
      </c>
      <c r="BS846" s="138">
        <v>0</v>
      </c>
      <c r="BT846" s="351">
        <v>0</v>
      </c>
      <c r="BU846" s="214">
        <v>0</v>
      </c>
      <c r="BV846" s="214">
        <v>0</v>
      </c>
      <c r="BW846" s="214">
        <v>0</v>
      </c>
      <c r="BX846" s="214">
        <v>0</v>
      </c>
      <c r="BY846" s="214">
        <v>0</v>
      </c>
      <c r="BZ846" s="134">
        <v>0</v>
      </c>
      <c r="CA846" s="138">
        <v>1</v>
      </c>
      <c r="CB846" s="136">
        <v>0</v>
      </c>
      <c r="CC846" s="136">
        <v>0</v>
      </c>
      <c r="CD846" s="136">
        <v>0</v>
      </c>
      <c r="CE846" s="137">
        <v>0</v>
      </c>
      <c r="CF846" s="137">
        <v>0</v>
      </c>
      <c r="CG846" s="137">
        <v>0</v>
      </c>
      <c r="CH846" s="214">
        <v>281</v>
      </c>
      <c r="CI846" s="139" t="s">
        <v>282</v>
      </c>
      <c r="CJ846" s="139">
        <v>0</v>
      </c>
      <c r="CK846" s="139" t="s">
        <v>1921</v>
      </c>
      <c r="CL846" s="139" t="s">
        <v>50</v>
      </c>
      <c r="CM846" s="139" t="s">
        <v>50</v>
      </c>
      <c r="CN846" s="139" t="s">
        <v>51</v>
      </c>
      <c r="CO846" s="139">
        <v>0</v>
      </c>
      <c r="CP846" s="139">
        <v>0</v>
      </c>
      <c r="CQ846" s="139">
        <v>0</v>
      </c>
      <c r="CR846" s="449" t="s">
        <v>40</v>
      </c>
      <c r="CS846" s="449"/>
      <c r="CT846" s="24"/>
      <c r="CU846" s="24"/>
      <c r="CV846" s="24"/>
    </row>
    <row r="847" spans="1:100" ht="15.75" customHeight="1" x14ac:dyDescent="0.25">
      <c r="A847" s="643" t="s">
        <v>1388</v>
      </c>
      <c r="B847" s="132" t="s">
        <v>460</v>
      </c>
      <c r="C847" s="132" t="s">
        <v>44</v>
      </c>
      <c r="D847" s="132" t="s">
        <v>341</v>
      </c>
      <c r="E847" s="132" t="s">
        <v>1182</v>
      </c>
      <c r="F847" s="132">
        <v>21</v>
      </c>
      <c r="G847" s="214">
        <v>95</v>
      </c>
      <c r="H847" s="132"/>
      <c r="I847" s="132"/>
      <c r="J847" s="133"/>
      <c r="K847" s="132"/>
      <c r="L847" s="132" t="s">
        <v>282</v>
      </c>
      <c r="M847" s="134">
        <v>0</v>
      </c>
      <c r="N847" s="134">
        <v>0</v>
      </c>
      <c r="O847" s="320"/>
      <c r="P847" s="326"/>
      <c r="Q847" s="326"/>
      <c r="R847" s="315"/>
      <c r="S847" s="315"/>
      <c r="T847" s="315"/>
      <c r="U847" s="315"/>
      <c r="V847" s="315"/>
      <c r="W847" s="315"/>
      <c r="X847" s="315"/>
      <c r="Y847" s="315"/>
      <c r="Z847" s="315"/>
      <c r="AA847" s="336">
        <v>0</v>
      </c>
      <c r="AB847" s="336"/>
      <c r="AC847" s="337"/>
      <c r="AD847" s="337"/>
      <c r="AE847" s="336"/>
      <c r="AF847" s="336" t="s">
        <v>286</v>
      </c>
      <c r="AG847" s="339" t="s">
        <v>286</v>
      </c>
      <c r="AH847" s="339"/>
      <c r="AI847" s="336"/>
      <c r="AJ847" s="336"/>
      <c r="AK847" s="848"/>
      <c r="AL847" s="836"/>
      <c r="AM847" s="836"/>
      <c r="AN847" s="848"/>
      <c r="AO847" s="850"/>
      <c r="AP847" s="838"/>
      <c r="AQ847" s="839"/>
      <c r="AR847" s="839"/>
      <c r="AS847" s="839"/>
      <c r="AT847" s="839"/>
      <c r="AU847" s="839"/>
      <c r="AV847" s="849"/>
      <c r="AW847" s="134" t="s">
        <v>3208</v>
      </c>
      <c r="AX847" s="136" t="s">
        <v>3208</v>
      </c>
      <c r="AY847" s="137" t="s">
        <v>2576</v>
      </c>
      <c r="AZ847" s="136">
        <v>0</v>
      </c>
      <c r="BA847" s="136">
        <v>0</v>
      </c>
      <c r="BB847" s="136">
        <v>0</v>
      </c>
      <c r="BC847" s="214">
        <v>0</v>
      </c>
      <c r="BD847" s="136">
        <v>0</v>
      </c>
      <c r="BE847" s="214">
        <v>0</v>
      </c>
      <c r="BF847" s="136">
        <v>0</v>
      </c>
      <c r="BG847" s="214">
        <v>0</v>
      </c>
      <c r="BH847" s="214">
        <v>0</v>
      </c>
      <c r="BI847" s="134">
        <v>1</v>
      </c>
      <c r="BJ847" s="214">
        <v>95</v>
      </c>
      <c r="BK847" s="137">
        <v>1</v>
      </c>
      <c r="BL847" s="137">
        <v>1</v>
      </c>
      <c r="BM847" s="137">
        <v>0</v>
      </c>
      <c r="BN847" s="134">
        <v>0</v>
      </c>
      <c r="BO847" s="351">
        <v>0</v>
      </c>
      <c r="BP847" s="134">
        <v>1</v>
      </c>
      <c r="BQ847" s="214">
        <v>5</v>
      </c>
      <c r="BR847" s="137">
        <v>5</v>
      </c>
      <c r="BS847" s="138">
        <v>0</v>
      </c>
      <c r="BT847" s="351">
        <v>0</v>
      </c>
      <c r="BU847" s="214">
        <v>0</v>
      </c>
      <c r="BV847" s="214">
        <v>0</v>
      </c>
      <c r="BW847" s="214">
        <v>0</v>
      </c>
      <c r="BX847" s="214">
        <v>0</v>
      </c>
      <c r="BY847" s="214">
        <v>0</v>
      </c>
      <c r="BZ847" s="134">
        <v>0</v>
      </c>
      <c r="CA847" s="138">
        <v>1</v>
      </c>
      <c r="CB847" s="136">
        <v>0</v>
      </c>
      <c r="CC847" s="136">
        <v>0</v>
      </c>
      <c r="CD847" s="136">
        <v>0</v>
      </c>
      <c r="CE847" s="137">
        <v>0</v>
      </c>
      <c r="CF847" s="137">
        <v>0</v>
      </c>
      <c r="CG847" s="137">
        <v>0</v>
      </c>
      <c r="CH847" s="214">
        <v>0</v>
      </c>
      <c r="CI847" s="139" t="s">
        <v>48</v>
      </c>
      <c r="CJ847" s="139" t="s">
        <v>389</v>
      </c>
      <c r="CK847" s="139" t="s">
        <v>50</v>
      </c>
      <c r="CL847" s="139" t="s">
        <v>50</v>
      </c>
      <c r="CM847" s="139" t="s">
        <v>929</v>
      </c>
      <c r="CN847" s="139" t="s">
        <v>51</v>
      </c>
      <c r="CO847" s="139">
        <v>24.29138</v>
      </c>
      <c r="CP847" s="139">
        <v>97.227789999999999</v>
      </c>
      <c r="CQ847" s="139" t="s">
        <v>1960</v>
      </c>
      <c r="CR847" s="449" t="s">
        <v>3209</v>
      </c>
      <c r="CS847" s="449"/>
      <c r="CT847" s="24"/>
      <c r="CU847" s="24"/>
      <c r="CV847" s="24"/>
    </row>
    <row r="848" spans="1:100" ht="15.75" customHeight="1" x14ac:dyDescent="0.25">
      <c r="A848" s="643" t="s">
        <v>1388</v>
      </c>
      <c r="B848" s="132" t="s">
        <v>338</v>
      </c>
      <c r="C848" s="132" t="s">
        <v>44</v>
      </c>
      <c r="D848" s="132" t="s">
        <v>341</v>
      </c>
      <c r="E848" s="132" t="s">
        <v>350</v>
      </c>
      <c r="F848" s="132">
        <v>13</v>
      </c>
      <c r="G848" s="214">
        <v>75</v>
      </c>
      <c r="H848" s="132"/>
      <c r="I848" s="132" t="s">
        <v>2475</v>
      </c>
      <c r="J848" s="133">
        <v>43344</v>
      </c>
      <c r="K848" s="132">
        <v>0</v>
      </c>
      <c r="L848" s="132" t="s">
        <v>282</v>
      </c>
      <c r="M848" s="134">
        <v>0</v>
      </c>
      <c r="N848" s="134">
        <v>0</v>
      </c>
      <c r="O848" s="320">
        <v>0</v>
      </c>
      <c r="P848" s="326">
        <v>1</v>
      </c>
      <c r="Q848" s="326">
        <v>0</v>
      </c>
      <c r="R848" s="315">
        <v>0</v>
      </c>
      <c r="S848" s="315">
        <v>0</v>
      </c>
      <c r="T848" s="315"/>
      <c r="U848" s="315"/>
      <c r="V848" s="315"/>
      <c r="W848" s="315"/>
      <c r="X848" s="315"/>
      <c r="Y848" s="315"/>
      <c r="Z848" s="315"/>
      <c r="AA848" s="336">
        <v>10</v>
      </c>
      <c r="AB848" s="336">
        <v>0</v>
      </c>
      <c r="AC848" s="337"/>
      <c r="AD848" s="337"/>
      <c r="AE848" s="336">
        <v>0</v>
      </c>
      <c r="AF848" s="336" t="s">
        <v>283</v>
      </c>
      <c r="AG848" s="339" t="s">
        <v>283</v>
      </c>
      <c r="AH848" s="339"/>
      <c r="AI848" s="336"/>
      <c r="AJ848" s="336"/>
      <c r="AK848" s="848">
        <v>1</v>
      </c>
      <c r="AL848" s="836" t="s">
        <v>291</v>
      </c>
      <c r="AM848" s="836">
        <v>0</v>
      </c>
      <c r="AN848" s="848">
        <v>2</v>
      </c>
      <c r="AO848" s="850">
        <v>1</v>
      </c>
      <c r="AP848" s="838">
        <v>13</v>
      </c>
      <c r="AQ848" s="839">
        <v>13</v>
      </c>
      <c r="AR848" s="839"/>
      <c r="AS848" s="839"/>
      <c r="AT848" s="839"/>
      <c r="AU848" s="839"/>
      <c r="AV848" s="849"/>
      <c r="AW848" s="134" t="s">
        <v>3208</v>
      </c>
      <c r="AX848" s="136" t="s">
        <v>3208</v>
      </c>
      <c r="AY848" s="137" t="s">
        <v>2576</v>
      </c>
      <c r="AZ848" s="136">
        <v>1</v>
      </c>
      <c r="BA848" s="136">
        <v>1</v>
      </c>
      <c r="BB848" s="136">
        <v>1</v>
      </c>
      <c r="BC848" s="214">
        <v>75</v>
      </c>
      <c r="BD848" s="136">
        <v>0</v>
      </c>
      <c r="BE848" s="214">
        <v>0</v>
      </c>
      <c r="BF848" s="136">
        <v>1</v>
      </c>
      <c r="BG848" s="214">
        <v>75</v>
      </c>
      <c r="BH848" s="214">
        <v>0.15</v>
      </c>
      <c r="BI848" s="134">
        <v>0</v>
      </c>
      <c r="BJ848" s="214">
        <v>0</v>
      </c>
      <c r="BK848" s="137">
        <v>0.85</v>
      </c>
      <c r="BL848" s="137">
        <v>1</v>
      </c>
      <c r="BM848" s="137">
        <v>10</v>
      </c>
      <c r="BN848" s="134">
        <v>1</v>
      </c>
      <c r="BO848" s="351">
        <v>75</v>
      </c>
      <c r="BP848" s="134">
        <v>0</v>
      </c>
      <c r="BQ848" s="214">
        <v>0</v>
      </c>
      <c r="BR848" s="137">
        <v>4</v>
      </c>
      <c r="BS848" s="138">
        <v>0</v>
      </c>
      <c r="BT848" s="351">
        <v>0</v>
      </c>
      <c r="BU848" s="214">
        <v>75</v>
      </c>
      <c r="BV848" s="214">
        <v>1</v>
      </c>
      <c r="BW848" s="214">
        <v>1</v>
      </c>
      <c r="BX848" s="214">
        <v>1</v>
      </c>
      <c r="BY848" s="214">
        <v>75</v>
      </c>
      <c r="BZ848" s="134">
        <v>1</v>
      </c>
      <c r="CA848" s="138">
        <v>0</v>
      </c>
      <c r="CB848" s="136">
        <v>1</v>
      </c>
      <c r="CC848" s="136">
        <v>1</v>
      </c>
      <c r="CD848" s="136">
        <v>1</v>
      </c>
      <c r="CE848" s="137">
        <v>65</v>
      </c>
      <c r="CF848" s="137">
        <v>65</v>
      </c>
      <c r="CG848" s="137">
        <v>65</v>
      </c>
      <c r="CH848" s="214">
        <v>13</v>
      </c>
      <c r="CI848" s="139" t="s">
        <v>48</v>
      </c>
      <c r="CJ848" s="139" t="s">
        <v>389</v>
      </c>
      <c r="CK848" s="139" t="s">
        <v>50</v>
      </c>
      <c r="CL848" s="139" t="s">
        <v>50</v>
      </c>
      <c r="CM848" s="139" t="s">
        <v>50</v>
      </c>
      <c r="CN848" s="139" t="s">
        <v>51</v>
      </c>
      <c r="CO848" s="139">
        <v>24.24953</v>
      </c>
      <c r="CP848" s="139">
        <v>97.240639999999999</v>
      </c>
      <c r="CQ848" s="139" t="s">
        <v>1946</v>
      </c>
      <c r="CR848" s="449" t="s">
        <v>40</v>
      </c>
      <c r="CS848" s="449"/>
      <c r="CT848" s="24"/>
      <c r="CU848" s="24"/>
      <c r="CV848" s="24"/>
    </row>
    <row r="849" spans="1:100" ht="15.75" customHeight="1" x14ac:dyDescent="0.25">
      <c r="A849" s="643" t="s">
        <v>1388</v>
      </c>
      <c r="B849" s="132" t="s">
        <v>389</v>
      </c>
      <c r="C849" s="132" t="s">
        <v>44</v>
      </c>
      <c r="D849" s="132" t="s">
        <v>292</v>
      </c>
      <c r="E849" s="132" t="s">
        <v>392</v>
      </c>
      <c r="F849" s="132">
        <v>108</v>
      </c>
      <c r="G849" s="214">
        <v>519</v>
      </c>
      <c r="H849" s="132"/>
      <c r="I849" s="132" t="s">
        <v>393</v>
      </c>
      <c r="J849" s="133">
        <v>42947</v>
      </c>
      <c r="K849" s="132">
        <v>0</v>
      </c>
      <c r="L849" s="132" t="s">
        <v>48</v>
      </c>
      <c r="M849" s="134">
        <v>0.6</v>
      </c>
      <c r="N849" s="134">
        <v>1</v>
      </c>
      <c r="O849" s="320">
        <v>0</v>
      </c>
      <c r="P849" s="326">
        <v>0</v>
      </c>
      <c r="Q849" s="326">
        <v>0</v>
      </c>
      <c r="R849" s="315">
        <v>0</v>
      </c>
      <c r="S849" s="315">
        <v>1</v>
      </c>
      <c r="T849" s="315"/>
      <c r="U849" s="315">
        <v>0</v>
      </c>
      <c r="V849" s="315">
        <v>0</v>
      </c>
      <c r="W849" s="315">
        <v>0</v>
      </c>
      <c r="X849" s="315">
        <v>0</v>
      </c>
      <c r="Y849" s="315">
        <v>0</v>
      </c>
      <c r="Z849" s="315" t="s">
        <v>394</v>
      </c>
      <c r="AA849" s="336">
        <v>26</v>
      </c>
      <c r="AB849" s="336">
        <v>4</v>
      </c>
      <c r="AC849" s="337">
        <v>0</v>
      </c>
      <c r="AD849" s="337"/>
      <c r="AE849" s="336">
        <v>26</v>
      </c>
      <c r="AF849" s="336" t="s">
        <v>1358</v>
      </c>
      <c r="AG849" s="339" t="s">
        <v>1358</v>
      </c>
      <c r="AH849" s="339">
        <v>0</v>
      </c>
      <c r="AI849" s="336">
        <v>0</v>
      </c>
      <c r="AJ849" s="336"/>
      <c r="AK849" s="848">
        <v>0.5</v>
      </c>
      <c r="AL849" s="836" t="s">
        <v>376</v>
      </c>
      <c r="AM849" s="836">
        <v>0</v>
      </c>
      <c r="AN849" s="848">
        <v>5</v>
      </c>
      <c r="AO849" s="850">
        <v>0</v>
      </c>
      <c r="AP849" s="838">
        <v>0</v>
      </c>
      <c r="AQ849" s="839">
        <v>0</v>
      </c>
      <c r="AR849" s="839"/>
      <c r="AS849" s="839"/>
      <c r="AT849" s="839"/>
      <c r="AU849" s="839"/>
      <c r="AV849" s="849"/>
      <c r="AW849" s="134" t="s">
        <v>3208</v>
      </c>
      <c r="AX849" s="136" t="s">
        <v>3208</v>
      </c>
      <c r="AY849" s="137" t="s">
        <v>2576</v>
      </c>
      <c r="AZ849" s="136">
        <v>0</v>
      </c>
      <c r="BA849" s="136">
        <v>0</v>
      </c>
      <c r="BB849" s="136">
        <v>0</v>
      </c>
      <c r="BC849" s="214">
        <v>0</v>
      </c>
      <c r="BD849" s="136">
        <v>0</v>
      </c>
      <c r="BE849" s="214">
        <v>0</v>
      </c>
      <c r="BF849" s="136">
        <v>0</v>
      </c>
      <c r="BG849" s="214">
        <v>0</v>
      </c>
      <c r="BH849" s="214">
        <v>0</v>
      </c>
      <c r="BI849" s="134">
        <v>1</v>
      </c>
      <c r="BJ849" s="214">
        <v>519</v>
      </c>
      <c r="BK849" s="137">
        <v>1</v>
      </c>
      <c r="BL849" s="137">
        <v>1</v>
      </c>
      <c r="BM849" s="137">
        <v>30</v>
      </c>
      <c r="BN849" s="134">
        <v>1</v>
      </c>
      <c r="BO849" s="351">
        <v>519</v>
      </c>
      <c r="BP849" s="134">
        <v>0</v>
      </c>
      <c r="BQ849" s="214">
        <v>0</v>
      </c>
      <c r="BR849" s="137">
        <v>26</v>
      </c>
      <c r="BS849" s="138">
        <v>0.13333333333333333</v>
      </c>
      <c r="BT849" s="351">
        <v>0</v>
      </c>
      <c r="BU849" s="214">
        <v>0</v>
      </c>
      <c r="BV849" s="214">
        <v>0</v>
      </c>
      <c r="BW849" s="214">
        <v>0</v>
      </c>
      <c r="BX849" s="214">
        <v>0</v>
      </c>
      <c r="BY849" s="214">
        <v>0</v>
      </c>
      <c r="BZ849" s="134">
        <v>0</v>
      </c>
      <c r="CA849" s="138">
        <v>1</v>
      </c>
      <c r="CB849" s="136">
        <v>0</v>
      </c>
      <c r="CC849" s="136">
        <v>0</v>
      </c>
      <c r="CD849" s="136">
        <v>0</v>
      </c>
      <c r="CE849" s="137">
        <v>0</v>
      </c>
      <c r="CF849" s="137">
        <v>0</v>
      </c>
      <c r="CG849" s="137">
        <v>0</v>
      </c>
      <c r="CH849" s="214">
        <v>54</v>
      </c>
      <c r="CI849" s="139" t="s">
        <v>48</v>
      </c>
      <c r="CJ849" s="139" t="s">
        <v>389</v>
      </c>
      <c r="CK849" s="139" t="s">
        <v>50</v>
      </c>
      <c r="CL849" s="139" t="s">
        <v>50</v>
      </c>
      <c r="CM849" s="139" t="s">
        <v>50</v>
      </c>
      <c r="CN849" s="139" t="s">
        <v>51</v>
      </c>
      <c r="CO849" s="139">
        <v>25.889410000000002</v>
      </c>
      <c r="CP849" s="139">
        <v>98.131550000000004</v>
      </c>
      <c r="CQ849" s="139" t="s">
        <v>2066</v>
      </c>
      <c r="CR849" s="449" t="s">
        <v>40</v>
      </c>
      <c r="CS849" s="449"/>
      <c r="CT849" s="24"/>
      <c r="CU849" s="24"/>
      <c r="CV849" s="24"/>
    </row>
    <row r="850" spans="1:100" ht="15.75" customHeight="1" x14ac:dyDescent="0.25">
      <c r="A850" s="643" t="s">
        <v>1388</v>
      </c>
      <c r="B850" s="132" t="s">
        <v>287</v>
      </c>
      <c r="C850" s="132" t="s">
        <v>44</v>
      </c>
      <c r="D850" s="132" t="s">
        <v>292</v>
      </c>
      <c r="E850" s="132" t="s">
        <v>293</v>
      </c>
      <c r="F850" s="132">
        <v>160</v>
      </c>
      <c r="G850" s="214">
        <v>823</v>
      </c>
      <c r="H850" s="132"/>
      <c r="I850" s="132" t="s">
        <v>290</v>
      </c>
      <c r="J850" s="133">
        <v>43555</v>
      </c>
      <c r="K850" s="132">
        <v>0</v>
      </c>
      <c r="L850" s="132" t="s">
        <v>48</v>
      </c>
      <c r="M850" s="134">
        <v>0.6</v>
      </c>
      <c r="N850" s="134">
        <v>0.5</v>
      </c>
      <c r="O850" s="320">
        <v>0</v>
      </c>
      <c r="P850" s="326">
        <v>0</v>
      </c>
      <c r="Q850" s="326">
        <v>349920</v>
      </c>
      <c r="R850" s="315">
        <v>0</v>
      </c>
      <c r="S850" s="315">
        <v>0</v>
      </c>
      <c r="T850" s="315"/>
      <c r="U850" s="315">
        <v>0</v>
      </c>
      <c r="V850" s="315">
        <v>0</v>
      </c>
      <c r="W850" s="315">
        <v>0</v>
      </c>
      <c r="X850" s="315">
        <v>0</v>
      </c>
      <c r="Y850" s="315">
        <v>0</v>
      </c>
      <c r="Z850" s="315"/>
      <c r="AA850" s="336">
        <v>27</v>
      </c>
      <c r="AB850" s="336">
        <v>0</v>
      </c>
      <c r="AC850" s="337">
        <v>0</v>
      </c>
      <c r="AD850" s="337"/>
      <c r="AE850" s="336">
        <v>0</v>
      </c>
      <c r="AF850" s="336" t="s">
        <v>283</v>
      </c>
      <c r="AG850" s="339" t="s">
        <v>283</v>
      </c>
      <c r="AH850" s="339"/>
      <c r="AI850" s="336">
        <v>5</v>
      </c>
      <c r="AJ850" s="336"/>
      <c r="AK850" s="848">
        <v>0.6</v>
      </c>
      <c r="AL850" s="836" t="s">
        <v>291</v>
      </c>
      <c r="AM850" s="836">
        <v>0</v>
      </c>
      <c r="AN850" s="848">
        <v>4</v>
      </c>
      <c r="AO850" s="850">
        <v>3</v>
      </c>
      <c r="AP850" s="838">
        <v>0</v>
      </c>
      <c r="AQ850" s="839">
        <v>0</v>
      </c>
      <c r="AR850" s="839"/>
      <c r="AS850" s="839"/>
      <c r="AT850" s="839"/>
      <c r="AU850" s="839"/>
      <c r="AV850" s="849"/>
      <c r="AW850" s="134" t="s">
        <v>3208</v>
      </c>
      <c r="AX850" s="136" t="s">
        <v>3208</v>
      </c>
      <c r="AY850" s="137" t="s">
        <v>2576</v>
      </c>
      <c r="AZ850" s="136">
        <v>1</v>
      </c>
      <c r="BA850" s="136">
        <v>1</v>
      </c>
      <c r="BB850" s="136">
        <v>1</v>
      </c>
      <c r="BC850" s="214">
        <v>823</v>
      </c>
      <c r="BD850" s="136">
        <v>0</v>
      </c>
      <c r="BE850" s="214">
        <v>0</v>
      </c>
      <c r="BF850" s="136">
        <v>1</v>
      </c>
      <c r="BG850" s="214">
        <v>823</v>
      </c>
      <c r="BH850" s="214">
        <v>1.6459999999999999</v>
      </c>
      <c r="BI850" s="134">
        <v>0</v>
      </c>
      <c r="BJ850" s="214">
        <v>0</v>
      </c>
      <c r="BK850" s="137">
        <v>0.35400000000000009</v>
      </c>
      <c r="BL850" s="137">
        <v>2</v>
      </c>
      <c r="BM850" s="137">
        <v>27</v>
      </c>
      <c r="BN850" s="134">
        <v>0.65613608748481167</v>
      </c>
      <c r="BO850" s="351">
        <v>540</v>
      </c>
      <c r="BP850" s="134">
        <v>0.3402187120291616</v>
      </c>
      <c r="BQ850" s="214">
        <v>14</v>
      </c>
      <c r="BR850" s="137">
        <v>41</v>
      </c>
      <c r="BS850" s="138">
        <v>0</v>
      </c>
      <c r="BT850" s="351">
        <v>0</v>
      </c>
      <c r="BU850" s="214">
        <v>823</v>
      </c>
      <c r="BV850" s="214">
        <v>0</v>
      </c>
      <c r="BW850" s="214">
        <v>1</v>
      </c>
      <c r="BX850" s="214">
        <v>0</v>
      </c>
      <c r="BY850" s="214">
        <v>0</v>
      </c>
      <c r="BZ850" s="134">
        <v>0</v>
      </c>
      <c r="CA850" s="138">
        <v>1</v>
      </c>
      <c r="CB850" s="136">
        <v>1</v>
      </c>
      <c r="CC850" s="136">
        <v>0</v>
      </c>
      <c r="CD850" s="136">
        <v>0</v>
      </c>
      <c r="CE850" s="137">
        <v>0</v>
      </c>
      <c r="CF850" s="137">
        <v>0</v>
      </c>
      <c r="CG850" s="137">
        <v>0</v>
      </c>
      <c r="CH850" s="214">
        <v>96</v>
      </c>
      <c r="CI850" s="139" t="s">
        <v>48</v>
      </c>
      <c r="CJ850" s="139" t="s">
        <v>287</v>
      </c>
      <c r="CK850" s="139" t="s">
        <v>50</v>
      </c>
      <c r="CL850" s="139" t="s">
        <v>50</v>
      </c>
      <c r="CM850" s="139" t="s">
        <v>50</v>
      </c>
      <c r="CN850" s="139" t="s">
        <v>949</v>
      </c>
      <c r="CO850" s="139">
        <v>25.754110000000001</v>
      </c>
      <c r="CP850" s="139">
        <v>98.475719999999995</v>
      </c>
      <c r="CQ850" s="139" t="s">
        <v>2062</v>
      </c>
      <c r="CR850" s="449" t="s">
        <v>40</v>
      </c>
      <c r="CS850" s="449"/>
      <c r="CT850" s="24"/>
      <c r="CU850" s="24"/>
      <c r="CV850" s="24"/>
    </row>
    <row r="851" spans="1:100" ht="15.75" customHeight="1" x14ac:dyDescent="0.25">
      <c r="A851" s="643" t="s">
        <v>1388</v>
      </c>
      <c r="B851" s="132" t="s">
        <v>389</v>
      </c>
      <c r="C851" s="132" t="s">
        <v>44</v>
      </c>
      <c r="D851" s="132" t="s">
        <v>292</v>
      </c>
      <c r="E851" s="132" t="s">
        <v>395</v>
      </c>
      <c r="F851" s="132">
        <v>143</v>
      </c>
      <c r="G851" s="214">
        <v>640</v>
      </c>
      <c r="H851" s="132"/>
      <c r="I851" s="132" t="s">
        <v>391</v>
      </c>
      <c r="J851" s="133">
        <v>42947</v>
      </c>
      <c r="K851" s="132">
        <v>0</v>
      </c>
      <c r="L851" s="132" t="s">
        <v>48</v>
      </c>
      <c r="M851" s="134">
        <v>0.43</v>
      </c>
      <c r="N851" s="134">
        <v>0</v>
      </c>
      <c r="O851" s="320">
        <v>0</v>
      </c>
      <c r="P851" s="326">
        <v>0</v>
      </c>
      <c r="Q851" s="326">
        <v>0</v>
      </c>
      <c r="R851" s="315">
        <v>0</v>
      </c>
      <c r="S851" s="315">
        <v>2</v>
      </c>
      <c r="T851" s="315"/>
      <c r="U851" s="315">
        <v>0</v>
      </c>
      <c r="V851" s="315">
        <v>0</v>
      </c>
      <c r="W851" s="315">
        <v>0</v>
      </c>
      <c r="X851" s="315">
        <v>0</v>
      </c>
      <c r="Y851" s="315">
        <v>0</v>
      </c>
      <c r="Z851" s="315"/>
      <c r="AA851" s="336">
        <v>39</v>
      </c>
      <c r="AB851" s="336">
        <v>2</v>
      </c>
      <c r="AC851" s="337">
        <v>0</v>
      </c>
      <c r="AD851" s="337"/>
      <c r="AE851" s="336">
        <v>39</v>
      </c>
      <c r="AF851" s="336" t="s">
        <v>1358</v>
      </c>
      <c r="AG851" s="339" t="s">
        <v>1358</v>
      </c>
      <c r="AH851" s="339">
        <v>0</v>
      </c>
      <c r="AI851" s="336">
        <v>0</v>
      </c>
      <c r="AJ851" s="336"/>
      <c r="AK851" s="848">
        <v>0.3</v>
      </c>
      <c r="AL851" s="836" t="s">
        <v>376</v>
      </c>
      <c r="AM851" s="836">
        <v>0</v>
      </c>
      <c r="AN851" s="848">
        <v>9</v>
      </c>
      <c r="AO851" s="850">
        <v>0</v>
      </c>
      <c r="AP851" s="838">
        <v>0</v>
      </c>
      <c r="AQ851" s="839">
        <v>0</v>
      </c>
      <c r="AR851" s="839"/>
      <c r="AS851" s="839"/>
      <c r="AT851" s="839"/>
      <c r="AU851" s="839"/>
      <c r="AV851" s="849"/>
      <c r="AW851" s="134" t="s">
        <v>3208</v>
      </c>
      <c r="AX851" s="136" t="s">
        <v>3208</v>
      </c>
      <c r="AY851" s="137" t="s">
        <v>2576</v>
      </c>
      <c r="AZ851" s="136">
        <v>0</v>
      </c>
      <c r="BA851" s="136">
        <v>0</v>
      </c>
      <c r="BB851" s="136">
        <v>0</v>
      </c>
      <c r="BC851" s="214">
        <v>0</v>
      </c>
      <c r="BD851" s="136">
        <v>0</v>
      </c>
      <c r="BE851" s="214">
        <v>0</v>
      </c>
      <c r="BF851" s="136">
        <v>0</v>
      </c>
      <c r="BG851" s="214">
        <v>0</v>
      </c>
      <c r="BH851" s="214">
        <v>0</v>
      </c>
      <c r="BI851" s="134">
        <v>1</v>
      </c>
      <c r="BJ851" s="214">
        <v>640</v>
      </c>
      <c r="BK851" s="137">
        <v>1</v>
      </c>
      <c r="BL851" s="137">
        <v>1</v>
      </c>
      <c r="BM851" s="137">
        <v>41</v>
      </c>
      <c r="BN851" s="134">
        <v>1</v>
      </c>
      <c r="BO851" s="351">
        <v>640</v>
      </c>
      <c r="BP851" s="134">
        <v>0</v>
      </c>
      <c r="BQ851" s="214">
        <v>0</v>
      </c>
      <c r="BR851" s="137">
        <v>32</v>
      </c>
      <c r="BS851" s="138">
        <v>4.878048780487805E-2</v>
      </c>
      <c r="BT851" s="351">
        <v>0</v>
      </c>
      <c r="BU851" s="214">
        <v>0</v>
      </c>
      <c r="BV851" s="214">
        <v>0</v>
      </c>
      <c r="BW851" s="214">
        <v>0</v>
      </c>
      <c r="BX851" s="214">
        <v>0</v>
      </c>
      <c r="BY851" s="214">
        <v>0</v>
      </c>
      <c r="BZ851" s="134">
        <v>0</v>
      </c>
      <c r="CA851" s="138">
        <v>1</v>
      </c>
      <c r="CB851" s="136">
        <v>0</v>
      </c>
      <c r="CC851" s="136">
        <v>0</v>
      </c>
      <c r="CD851" s="136">
        <v>0</v>
      </c>
      <c r="CE851" s="137">
        <v>0</v>
      </c>
      <c r="CF851" s="137">
        <v>0</v>
      </c>
      <c r="CG851" s="137">
        <v>0</v>
      </c>
      <c r="CH851" s="214">
        <v>42.9</v>
      </c>
      <c r="CI851" s="139" t="s">
        <v>48</v>
      </c>
      <c r="CJ851" s="139" t="s">
        <v>389</v>
      </c>
      <c r="CK851" s="139" t="s">
        <v>50</v>
      </c>
      <c r="CL851" s="139" t="s">
        <v>50</v>
      </c>
      <c r="CM851" s="139" t="s">
        <v>50</v>
      </c>
      <c r="CN851" s="139" t="s">
        <v>51</v>
      </c>
      <c r="CO851" s="139">
        <v>25.887339999999998</v>
      </c>
      <c r="CP851" s="139">
        <v>98.129990000000006</v>
      </c>
      <c r="CQ851" s="139" t="s">
        <v>2065</v>
      </c>
      <c r="CR851" s="449" t="s">
        <v>40</v>
      </c>
      <c r="CS851" s="449"/>
      <c r="CT851" s="24"/>
      <c r="CU851" s="24"/>
      <c r="CV851" s="24"/>
    </row>
    <row r="852" spans="1:100" ht="15.75" customHeight="1" x14ac:dyDescent="0.25">
      <c r="A852" s="643" t="s">
        <v>1388</v>
      </c>
      <c r="B852" s="132" t="s">
        <v>43</v>
      </c>
      <c r="C852" s="132" t="s">
        <v>44</v>
      </c>
      <c r="D852" s="132" t="s">
        <v>292</v>
      </c>
      <c r="E852" s="132" t="s">
        <v>371</v>
      </c>
      <c r="F852" s="132">
        <v>57</v>
      </c>
      <c r="G852" s="214">
        <v>267</v>
      </c>
      <c r="H852" s="132"/>
      <c r="I852" s="132" t="s">
        <v>372</v>
      </c>
      <c r="J852" s="133">
        <v>43465</v>
      </c>
      <c r="K852" s="132">
        <v>0</v>
      </c>
      <c r="L852" s="132" t="s">
        <v>2452</v>
      </c>
      <c r="M852" s="134">
        <v>0.6</v>
      </c>
      <c r="N852" s="134">
        <v>0.3</v>
      </c>
      <c r="O852" s="320">
        <v>0</v>
      </c>
      <c r="P852" s="326">
        <v>0</v>
      </c>
      <c r="Q852" s="326">
        <v>4000</v>
      </c>
      <c r="R852" s="315">
        <v>0</v>
      </c>
      <c r="S852" s="315">
        <v>4</v>
      </c>
      <c r="T852" s="315"/>
      <c r="U852" s="315">
        <v>0</v>
      </c>
      <c r="V852" s="315">
        <v>0</v>
      </c>
      <c r="W852" s="315">
        <v>0</v>
      </c>
      <c r="X852" s="315">
        <v>0</v>
      </c>
      <c r="Y852" s="315">
        <v>0</v>
      </c>
      <c r="Z852" s="315" t="s">
        <v>373</v>
      </c>
      <c r="AA852" s="336">
        <v>12</v>
      </c>
      <c r="AB852" s="336">
        <v>0</v>
      </c>
      <c r="AC852" s="337">
        <v>0</v>
      </c>
      <c r="AD852" s="337"/>
      <c r="AE852" s="336">
        <v>8</v>
      </c>
      <c r="AF852" s="336" t="s">
        <v>283</v>
      </c>
      <c r="AG852" s="339" t="s">
        <v>1358</v>
      </c>
      <c r="AH852" s="339">
        <v>0</v>
      </c>
      <c r="AI852" s="336">
        <v>0</v>
      </c>
      <c r="AJ852" s="336"/>
      <c r="AK852" s="848">
        <v>0</v>
      </c>
      <c r="AL852" s="836" t="s">
        <v>376</v>
      </c>
      <c r="AM852" s="836">
        <v>0</v>
      </c>
      <c r="AN852" s="848">
        <v>3</v>
      </c>
      <c r="AO852" s="850">
        <v>1</v>
      </c>
      <c r="AP852" s="838">
        <v>0</v>
      </c>
      <c r="AQ852" s="839">
        <v>0</v>
      </c>
      <c r="AR852" s="839" t="s">
        <v>282</v>
      </c>
      <c r="AS852" s="839"/>
      <c r="AT852" s="839"/>
      <c r="AU852" s="839"/>
      <c r="AV852" s="849"/>
      <c r="AW852" s="134" t="s">
        <v>3208</v>
      </c>
      <c r="AX852" s="136" t="s">
        <v>3208</v>
      </c>
      <c r="AY852" s="137" t="s">
        <v>2576</v>
      </c>
      <c r="AZ852" s="136">
        <v>0.99875156054931347</v>
      </c>
      <c r="BA852" s="136">
        <v>0.99875156054931347</v>
      </c>
      <c r="BB852" s="136">
        <v>0.99875156054931347</v>
      </c>
      <c r="BC852" s="214">
        <v>266.66666666666669</v>
      </c>
      <c r="BD852" s="136">
        <v>0</v>
      </c>
      <c r="BE852" s="214">
        <v>0</v>
      </c>
      <c r="BF852" s="136">
        <v>0.99875156054931347</v>
      </c>
      <c r="BG852" s="214">
        <v>266.66666666666669</v>
      </c>
      <c r="BH852" s="214">
        <v>0.53333333333333333</v>
      </c>
      <c r="BI852" s="134">
        <v>1.2484394506865337E-3</v>
      </c>
      <c r="BJ852" s="214">
        <v>0.3333333333333045</v>
      </c>
      <c r="BK852" s="137">
        <v>0.46666666666666667</v>
      </c>
      <c r="BL852" s="137">
        <v>1</v>
      </c>
      <c r="BM852" s="137">
        <v>12</v>
      </c>
      <c r="BN852" s="134">
        <v>0.898876404494382</v>
      </c>
      <c r="BO852" s="351">
        <v>240</v>
      </c>
      <c r="BP852" s="134">
        <v>7.4906367041198504E-2</v>
      </c>
      <c r="BQ852" s="214">
        <v>1</v>
      </c>
      <c r="BR852" s="137">
        <v>13</v>
      </c>
      <c r="BS852" s="138">
        <v>0</v>
      </c>
      <c r="BT852" s="351">
        <v>0</v>
      </c>
      <c r="BU852" s="214">
        <v>267</v>
      </c>
      <c r="BV852" s="214">
        <v>0</v>
      </c>
      <c r="BW852" s="214">
        <v>1</v>
      </c>
      <c r="BX852" s="214">
        <v>0</v>
      </c>
      <c r="BY852" s="214">
        <v>0</v>
      </c>
      <c r="BZ852" s="134">
        <v>0</v>
      </c>
      <c r="CA852" s="138">
        <v>1</v>
      </c>
      <c r="CB852" s="136">
        <v>1</v>
      </c>
      <c r="CC852" s="136">
        <v>0</v>
      </c>
      <c r="CD852" s="136">
        <v>0</v>
      </c>
      <c r="CE852" s="137">
        <v>0</v>
      </c>
      <c r="CF852" s="137">
        <v>0</v>
      </c>
      <c r="CG852" s="137">
        <v>0</v>
      </c>
      <c r="CH852" s="214">
        <v>0</v>
      </c>
      <c r="CI852" s="139" t="s">
        <v>48</v>
      </c>
      <c r="CJ852" s="139" t="s">
        <v>1539</v>
      </c>
      <c r="CK852" s="139" t="s">
        <v>50</v>
      </c>
      <c r="CL852" s="139" t="s">
        <v>50</v>
      </c>
      <c r="CM852" s="139" t="s">
        <v>50</v>
      </c>
      <c r="CN852" s="139" t="s">
        <v>51</v>
      </c>
      <c r="CO852" s="139">
        <v>25.60867</v>
      </c>
      <c r="CP852" s="139">
        <v>98.377780000000001</v>
      </c>
      <c r="CQ852" s="139" t="s">
        <v>2043</v>
      </c>
      <c r="CR852" s="449" t="s">
        <v>40</v>
      </c>
      <c r="CS852" s="449"/>
      <c r="CT852" s="24"/>
      <c r="CU852" s="24"/>
      <c r="CV852" s="24"/>
    </row>
    <row r="853" spans="1:100" ht="15.75" customHeight="1" x14ac:dyDescent="0.25">
      <c r="A853" s="643" t="s">
        <v>1388</v>
      </c>
      <c r="B853" s="132" t="s">
        <v>43</v>
      </c>
      <c r="C853" s="132" t="s">
        <v>44</v>
      </c>
      <c r="D853" s="132" t="s">
        <v>292</v>
      </c>
      <c r="E853" s="132" t="s">
        <v>374</v>
      </c>
      <c r="F853" s="132">
        <v>30</v>
      </c>
      <c r="G853" s="214">
        <v>173</v>
      </c>
      <c r="H853" s="132"/>
      <c r="I853" s="132" t="s">
        <v>375</v>
      </c>
      <c r="J853" s="133">
        <v>43465</v>
      </c>
      <c r="K853" s="132">
        <v>0</v>
      </c>
      <c r="L853" s="132" t="s">
        <v>2452</v>
      </c>
      <c r="M853" s="134">
        <v>0.4</v>
      </c>
      <c r="N853" s="134">
        <v>0.3</v>
      </c>
      <c r="O853" s="320">
        <v>0</v>
      </c>
      <c r="P853" s="326">
        <v>0</v>
      </c>
      <c r="Q853" s="326">
        <v>2000</v>
      </c>
      <c r="R853" s="315">
        <v>0</v>
      </c>
      <c r="S853" s="315">
        <v>2</v>
      </c>
      <c r="T853" s="315"/>
      <c r="U853" s="315">
        <v>0</v>
      </c>
      <c r="V853" s="315">
        <v>0</v>
      </c>
      <c r="W853" s="315">
        <v>0</v>
      </c>
      <c r="X853" s="315">
        <v>0</v>
      </c>
      <c r="Y853" s="315">
        <v>0</v>
      </c>
      <c r="Z853" s="315"/>
      <c r="AA853" s="336">
        <v>10</v>
      </c>
      <c r="AB853" s="336">
        <v>0</v>
      </c>
      <c r="AC853" s="337">
        <v>0</v>
      </c>
      <c r="AD853" s="337"/>
      <c r="AE853" s="336">
        <v>0</v>
      </c>
      <c r="AF853" s="336" t="s">
        <v>283</v>
      </c>
      <c r="AG853" s="339" t="s">
        <v>1358</v>
      </c>
      <c r="AH853" s="339">
        <v>0</v>
      </c>
      <c r="AI853" s="336">
        <v>0</v>
      </c>
      <c r="AJ853" s="336"/>
      <c r="AK853" s="848">
        <v>0</v>
      </c>
      <c r="AL853" s="836" t="s">
        <v>376</v>
      </c>
      <c r="AM853" s="836">
        <v>0</v>
      </c>
      <c r="AN853" s="848">
        <v>0</v>
      </c>
      <c r="AO853" s="850">
        <v>1</v>
      </c>
      <c r="AP853" s="838">
        <v>0</v>
      </c>
      <c r="AQ853" s="839">
        <v>0</v>
      </c>
      <c r="AR853" s="839" t="s">
        <v>282</v>
      </c>
      <c r="AS853" s="839"/>
      <c r="AT853" s="839"/>
      <c r="AU853" s="839"/>
      <c r="AV853" s="849"/>
      <c r="AW853" s="134" t="s">
        <v>3208</v>
      </c>
      <c r="AX853" s="136" t="s">
        <v>3208</v>
      </c>
      <c r="AY853" s="137" t="s">
        <v>2576</v>
      </c>
      <c r="AZ853" s="136">
        <v>0.77071290944123316</v>
      </c>
      <c r="BA853" s="136">
        <v>0.77071290944123316</v>
      </c>
      <c r="BB853" s="136">
        <v>0.77071290944123316</v>
      </c>
      <c r="BC853" s="214">
        <v>133.33333333333334</v>
      </c>
      <c r="BD853" s="136">
        <v>0</v>
      </c>
      <c r="BE853" s="214">
        <v>0</v>
      </c>
      <c r="BF853" s="136">
        <v>0.77071290944123316</v>
      </c>
      <c r="BG853" s="214">
        <v>133.33333333333334</v>
      </c>
      <c r="BH853" s="214">
        <v>0.26666666666666666</v>
      </c>
      <c r="BI853" s="134">
        <v>0.22928709055876684</v>
      </c>
      <c r="BJ853" s="214">
        <v>39.666666666666664</v>
      </c>
      <c r="BK853" s="137">
        <v>0.73333333333333339</v>
      </c>
      <c r="BL853" s="137">
        <v>1</v>
      </c>
      <c r="BM853" s="137">
        <v>10</v>
      </c>
      <c r="BN853" s="134">
        <v>1</v>
      </c>
      <c r="BO853" s="351">
        <v>173</v>
      </c>
      <c r="BP853" s="134">
        <v>0</v>
      </c>
      <c r="BQ853" s="214">
        <v>0</v>
      </c>
      <c r="BR853" s="137">
        <v>9</v>
      </c>
      <c r="BS853" s="138">
        <v>0</v>
      </c>
      <c r="BT853" s="351">
        <v>0</v>
      </c>
      <c r="BU853" s="214">
        <v>173</v>
      </c>
      <c r="BV853" s="214">
        <v>0</v>
      </c>
      <c r="BW853" s="214">
        <v>1</v>
      </c>
      <c r="BX853" s="214">
        <v>0</v>
      </c>
      <c r="BY853" s="214">
        <v>0</v>
      </c>
      <c r="BZ853" s="134">
        <v>0</v>
      </c>
      <c r="CA853" s="138">
        <v>1</v>
      </c>
      <c r="CB853" s="136">
        <v>1</v>
      </c>
      <c r="CC853" s="136">
        <v>0</v>
      </c>
      <c r="CD853" s="136">
        <v>0</v>
      </c>
      <c r="CE853" s="137">
        <v>0</v>
      </c>
      <c r="CF853" s="137">
        <v>0</v>
      </c>
      <c r="CG853" s="137">
        <v>0</v>
      </c>
      <c r="CH853" s="214">
        <v>0</v>
      </c>
      <c r="CI853" s="139" t="s">
        <v>48</v>
      </c>
      <c r="CJ853" s="139" t="s">
        <v>1539</v>
      </c>
      <c r="CK853" s="139" t="s">
        <v>50</v>
      </c>
      <c r="CL853" s="139" t="s">
        <v>50</v>
      </c>
      <c r="CM853" s="139" t="s">
        <v>50</v>
      </c>
      <c r="CN853" s="139" t="s">
        <v>51</v>
      </c>
      <c r="CO853" s="139">
        <v>25.645959999999999</v>
      </c>
      <c r="CP853" s="139">
        <v>98.356260000000006</v>
      </c>
      <c r="CQ853" s="139" t="s">
        <v>2053</v>
      </c>
      <c r="CR853" s="449" t="s">
        <v>40</v>
      </c>
      <c r="CS853" s="449"/>
      <c r="CT853" s="24"/>
      <c r="CU853" s="24"/>
      <c r="CV853" s="24"/>
    </row>
    <row r="854" spans="1:100" ht="15.75" customHeight="1" x14ac:dyDescent="0.25">
      <c r="A854" s="643" t="s">
        <v>1388</v>
      </c>
      <c r="B854" s="132" t="s">
        <v>43</v>
      </c>
      <c r="C854" s="132" t="s">
        <v>44</v>
      </c>
      <c r="D854" s="132" t="s">
        <v>294</v>
      </c>
      <c r="E854" s="132" t="s">
        <v>377</v>
      </c>
      <c r="F854" s="132">
        <v>70</v>
      </c>
      <c r="G854" s="214">
        <v>350</v>
      </c>
      <c r="H854" s="132"/>
      <c r="I854" s="132" t="s">
        <v>372</v>
      </c>
      <c r="J854" s="133">
        <v>43465</v>
      </c>
      <c r="K854" s="132">
        <v>0</v>
      </c>
      <c r="L854" s="132" t="s">
        <v>2452</v>
      </c>
      <c r="M854" s="134">
        <v>0.5</v>
      </c>
      <c r="N854" s="134">
        <v>0.1</v>
      </c>
      <c r="O854" s="320">
        <v>2</v>
      </c>
      <c r="P854" s="326">
        <v>0</v>
      </c>
      <c r="Q854" s="326">
        <v>4000</v>
      </c>
      <c r="R854" s="315">
        <v>0</v>
      </c>
      <c r="S854" s="315">
        <v>3</v>
      </c>
      <c r="T854" s="315"/>
      <c r="U854" s="315">
        <v>1</v>
      </c>
      <c r="V854" s="315">
        <v>0</v>
      </c>
      <c r="W854" s="315">
        <v>12</v>
      </c>
      <c r="X854" s="315">
        <v>1</v>
      </c>
      <c r="Y854" s="315">
        <v>0</v>
      </c>
      <c r="Z854" s="315"/>
      <c r="AA854" s="336">
        <v>8</v>
      </c>
      <c r="AB854" s="336">
        <v>0</v>
      </c>
      <c r="AC854" s="337">
        <v>0</v>
      </c>
      <c r="AD854" s="337"/>
      <c r="AE854" s="336">
        <v>8</v>
      </c>
      <c r="AF854" s="336" t="s">
        <v>283</v>
      </c>
      <c r="AG854" s="339" t="s">
        <v>1358</v>
      </c>
      <c r="AH854" s="339">
        <v>0</v>
      </c>
      <c r="AI854" s="336">
        <v>0</v>
      </c>
      <c r="AJ854" s="336"/>
      <c r="AK854" s="848">
        <v>0</v>
      </c>
      <c r="AL854" s="836" t="s">
        <v>376</v>
      </c>
      <c r="AM854" s="836">
        <v>0</v>
      </c>
      <c r="AN854" s="848">
        <v>3</v>
      </c>
      <c r="AO854" s="850">
        <v>2</v>
      </c>
      <c r="AP854" s="838">
        <v>0</v>
      </c>
      <c r="AQ854" s="839">
        <v>0</v>
      </c>
      <c r="AR854" s="839" t="s">
        <v>282</v>
      </c>
      <c r="AS854" s="839"/>
      <c r="AT854" s="839"/>
      <c r="AU854" s="839"/>
      <c r="AV854" s="849"/>
      <c r="AW854" s="134">
        <v>0</v>
      </c>
      <c r="AX854" s="136">
        <v>8.3333333333333329E-2</v>
      </c>
      <c r="AY854" s="137" t="s">
        <v>2577</v>
      </c>
      <c r="AZ854" s="136">
        <v>1</v>
      </c>
      <c r="BA854" s="136">
        <v>1</v>
      </c>
      <c r="BB854" s="136">
        <v>1</v>
      </c>
      <c r="BC854" s="214">
        <v>350</v>
      </c>
      <c r="BD854" s="136">
        <v>0</v>
      </c>
      <c r="BE854" s="214">
        <v>0</v>
      </c>
      <c r="BF854" s="136">
        <v>1</v>
      </c>
      <c r="BG854" s="214">
        <v>350</v>
      </c>
      <c r="BH854" s="214">
        <v>0.7</v>
      </c>
      <c r="BI854" s="134">
        <v>0</v>
      </c>
      <c r="BJ854" s="214">
        <v>0</v>
      </c>
      <c r="BK854" s="137">
        <v>0.30000000000000004</v>
      </c>
      <c r="BL854" s="137">
        <v>1</v>
      </c>
      <c r="BM854" s="137">
        <v>8</v>
      </c>
      <c r="BN854" s="134">
        <v>0.45714285714285713</v>
      </c>
      <c r="BO854" s="351">
        <v>160</v>
      </c>
      <c r="BP854" s="134">
        <v>0.5714285714285714</v>
      </c>
      <c r="BQ854" s="214">
        <v>10</v>
      </c>
      <c r="BR854" s="137">
        <v>18</v>
      </c>
      <c r="BS854" s="138">
        <v>0</v>
      </c>
      <c r="BT854" s="351">
        <v>0</v>
      </c>
      <c r="BU854" s="214">
        <v>350</v>
      </c>
      <c r="BV854" s="214">
        <v>0</v>
      </c>
      <c r="BW854" s="214">
        <v>1</v>
      </c>
      <c r="BX854" s="214">
        <v>0</v>
      </c>
      <c r="BY854" s="214">
        <v>0</v>
      </c>
      <c r="BZ854" s="134">
        <v>0</v>
      </c>
      <c r="CA854" s="138">
        <v>1</v>
      </c>
      <c r="CB854" s="136">
        <v>1</v>
      </c>
      <c r="CC854" s="136">
        <v>0</v>
      </c>
      <c r="CD854" s="136">
        <v>0</v>
      </c>
      <c r="CE854" s="137">
        <v>0</v>
      </c>
      <c r="CF854" s="137">
        <v>0</v>
      </c>
      <c r="CG854" s="137">
        <v>0</v>
      </c>
      <c r="CH854" s="214">
        <v>0</v>
      </c>
      <c r="CI854" s="139" t="s">
        <v>48</v>
      </c>
      <c r="CJ854" s="139" t="s">
        <v>1539</v>
      </c>
      <c r="CK854" s="139" t="s">
        <v>50</v>
      </c>
      <c r="CL854" s="139" t="s">
        <v>50</v>
      </c>
      <c r="CM854" s="139" t="s">
        <v>50</v>
      </c>
      <c r="CN854" s="139" t="s">
        <v>51</v>
      </c>
      <c r="CO854" s="139">
        <v>25.656009999999998</v>
      </c>
      <c r="CP854" s="139">
        <v>96.361609999999999</v>
      </c>
      <c r="CQ854" s="139" t="s">
        <v>2055</v>
      </c>
      <c r="CR854" s="449" t="s">
        <v>40</v>
      </c>
      <c r="CS854" s="449"/>
      <c r="CT854" s="24"/>
      <c r="CU854" s="24"/>
      <c r="CV854" s="24"/>
    </row>
    <row r="855" spans="1:100" ht="15.75" customHeight="1" x14ac:dyDescent="0.25">
      <c r="A855" s="643" t="s">
        <v>1388</v>
      </c>
      <c r="B855" s="132" t="s">
        <v>389</v>
      </c>
      <c r="C855" s="132" t="s">
        <v>44</v>
      </c>
      <c r="D855" s="132" t="s">
        <v>294</v>
      </c>
      <c r="E855" s="132" t="s">
        <v>396</v>
      </c>
      <c r="F855" s="132">
        <v>65</v>
      </c>
      <c r="G855" s="214">
        <v>350</v>
      </c>
      <c r="H855" s="132"/>
      <c r="I855" s="132" t="s">
        <v>391</v>
      </c>
      <c r="J855" s="133">
        <v>42947</v>
      </c>
      <c r="K855" s="132">
        <v>0</v>
      </c>
      <c r="L855" s="132" t="s">
        <v>48</v>
      </c>
      <c r="M855" s="134">
        <v>0.2</v>
      </c>
      <c r="N855" s="134">
        <v>1</v>
      </c>
      <c r="O855" s="320">
        <v>2</v>
      </c>
      <c r="P855" s="326">
        <v>1</v>
      </c>
      <c r="Q855" s="326">
        <v>1500</v>
      </c>
      <c r="R855" s="315">
        <v>0</v>
      </c>
      <c r="S855" s="315">
        <v>3</v>
      </c>
      <c r="T855" s="315"/>
      <c r="U855" s="315">
        <v>0</v>
      </c>
      <c r="V855" s="315">
        <v>0</v>
      </c>
      <c r="W855" s="315">
        <v>0</v>
      </c>
      <c r="X855" s="315">
        <v>0</v>
      </c>
      <c r="Y855" s="315">
        <v>0</v>
      </c>
      <c r="Z855" s="315"/>
      <c r="AA855" s="336">
        <v>20</v>
      </c>
      <c r="AB855" s="336">
        <v>20</v>
      </c>
      <c r="AC855" s="337">
        <v>0</v>
      </c>
      <c r="AD855" s="337"/>
      <c r="AE855" s="336">
        <v>20</v>
      </c>
      <c r="AF855" s="336" t="s">
        <v>283</v>
      </c>
      <c r="AG855" s="339" t="s">
        <v>1358</v>
      </c>
      <c r="AH855" s="339">
        <v>0</v>
      </c>
      <c r="AI855" s="336">
        <v>0</v>
      </c>
      <c r="AJ855" s="336"/>
      <c r="AK855" s="848">
        <v>0.5</v>
      </c>
      <c r="AL855" s="836" t="s">
        <v>376</v>
      </c>
      <c r="AM855" s="836">
        <v>0</v>
      </c>
      <c r="AN855" s="848">
        <v>4</v>
      </c>
      <c r="AO855" s="850">
        <v>0</v>
      </c>
      <c r="AP855" s="838">
        <v>0</v>
      </c>
      <c r="AQ855" s="839">
        <v>0</v>
      </c>
      <c r="AR855" s="839"/>
      <c r="AS855" s="839"/>
      <c r="AT855" s="839"/>
      <c r="AU855" s="839"/>
      <c r="AV855" s="849"/>
      <c r="AW855" s="134" t="s">
        <v>3208</v>
      </c>
      <c r="AX855" s="136" t="s">
        <v>3208</v>
      </c>
      <c r="AY855" s="137" t="s">
        <v>2576</v>
      </c>
      <c r="AZ855" s="136">
        <v>1</v>
      </c>
      <c r="BA855" s="136">
        <v>1</v>
      </c>
      <c r="BB855" s="136">
        <v>1</v>
      </c>
      <c r="BC855" s="214">
        <v>350</v>
      </c>
      <c r="BD855" s="136">
        <v>0</v>
      </c>
      <c r="BE855" s="214">
        <v>0</v>
      </c>
      <c r="BF855" s="136">
        <v>1</v>
      </c>
      <c r="BG855" s="214">
        <v>350</v>
      </c>
      <c r="BH855" s="214">
        <v>0.7</v>
      </c>
      <c r="BI855" s="134">
        <v>0</v>
      </c>
      <c r="BJ855" s="214">
        <v>0</v>
      </c>
      <c r="BK855" s="137">
        <v>0.30000000000000004</v>
      </c>
      <c r="BL855" s="137">
        <v>1</v>
      </c>
      <c r="BM855" s="137">
        <v>40</v>
      </c>
      <c r="BN855" s="134">
        <v>1</v>
      </c>
      <c r="BO855" s="351">
        <v>350</v>
      </c>
      <c r="BP855" s="134">
        <v>0</v>
      </c>
      <c r="BQ855" s="214">
        <v>0</v>
      </c>
      <c r="BR855" s="137">
        <v>18</v>
      </c>
      <c r="BS855" s="138">
        <v>0.5</v>
      </c>
      <c r="BT855" s="351">
        <v>0</v>
      </c>
      <c r="BU855" s="214">
        <v>0</v>
      </c>
      <c r="BV855" s="214">
        <v>0</v>
      </c>
      <c r="BW855" s="214">
        <v>0</v>
      </c>
      <c r="BX855" s="214">
        <v>0</v>
      </c>
      <c r="BY855" s="214">
        <v>0</v>
      </c>
      <c r="BZ855" s="134">
        <v>0</v>
      </c>
      <c r="CA855" s="138">
        <v>1</v>
      </c>
      <c r="CB855" s="136">
        <v>0</v>
      </c>
      <c r="CC855" s="136">
        <v>0</v>
      </c>
      <c r="CD855" s="136">
        <v>0</v>
      </c>
      <c r="CE855" s="137">
        <v>0</v>
      </c>
      <c r="CF855" s="137">
        <v>0</v>
      </c>
      <c r="CG855" s="137">
        <v>0</v>
      </c>
      <c r="CH855" s="214">
        <v>32.5</v>
      </c>
      <c r="CI855" s="139" t="s">
        <v>48</v>
      </c>
      <c r="CJ855" s="139" t="s">
        <v>389</v>
      </c>
      <c r="CK855" s="139" t="s">
        <v>50</v>
      </c>
      <c r="CL855" s="139" t="s">
        <v>50</v>
      </c>
      <c r="CM855" s="139" t="s">
        <v>50</v>
      </c>
      <c r="CN855" s="139" t="s">
        <v>51</v>
      </c>
      <c r="CO855" s="139">
        <v>25.635300000000001</v>
      </c>
      <c r="CP855" s="139">
        <v>96.345569999999995</v>
      </c>
      <c r="CQ855" s="139" t="s">
        <v>2051</v>
      </c>
      <c r="CR855" s="449" t="s">
        <v>40</v>
      </c>
      <c r="CS855" s="449"/>
      <c r="CT855" s="24"/>
      <c r="CU855" s="24"/>
      <c r="CV855" s="24"/>
    </row>
    <row r="856" spans="1:100" ht="15.75" customHeight="1" x14ac:dyDescent="0.25">
      <c r="A856" s="643" t="s">
        <v>1388</v>
      </c>
      <c r="B856" s="132" t="s">
        <v>389</v>
      </c>
      <c r="C856" s="132" t="s">
        <v>44</v>
      </c>
      <c r="D856" s="132" t="s">
        <v>294</v>
      </c>
      <c r="E856" s="132" t="s">
        <v>397</v>
      </c>
      <c r="F856" s="132">
        <v>14</v>
      </c>
      <c r="G856" s="214">
        <v>81</v>
      </c>
      <c r="H856" s="132"/>
      <c r="I856" s="132" t="s">
        <v>391</v>
      </c>
      <c r="J856" s="133">
        <v>42947</v>
      </c>
      <c r="K856" s="132">
        <v>0</v>
      </c>
      <c r="L856" s="132" t="s">
        <v>48</v>
      </c>
      <c r="M856" s="134">
        <v>0.5</v>
      </c>
      <c r="N856" s="134">
        <v>0</v>
      </c>
      <c r="O856" s="320">
        <v>1</v>
      </c>
      <c r="P856" s="326">
        <v>0</v>
      </c>
      <c r="Q856" s="326">
        <v>500</v>
      </c>
      <c r="R856" s="315">
        <v>0</v>
      </c>
      <c r="S856" s="315">
        <v>1</v>
      </c>
      <c r="T856" s="315"/>
      <c r="U856" s="315">
        <v>0</v>
      </c>
      <c r="V856" s="315">
        <v>0</v>
      </c>
      <c r="W856" s="315">
        <v>0</v>
      </c>
      <c r="X856" s="315">
        <v>0</v>
      </c>
      <c r="Y856" s="315">
        <v>0</v>
      </c>
      <c r="Z856" s="315"/>
      <c r="AA856" s="336">
        <v>4</v>
      </c>
      <c r="AB856" s="336">
        <v>0</v>
      </c>
      <c r="AC856" s="337">
        <v>0</v>
      </c>
      <c r="AD856" s="337"/>
      <c r="AE856" s="336">
        <v>4</v>
      </c>
      <c r="AF856" s="336" t="s">
        <v>283</v>
      </c>
      <c r="AG856" s="339" t="s">
        <v>1358</v>
      </c>
      <c r="AH856" s="339">
        <v>0</v>
      </c>
      <c r="AI856" s="336">
        <v>0</v>
      </c>
      <c r="AJ856" s="336"/>
      <c r="AK856" s="848">
        <v>0.2</v>
      </c>
      <c r="AL856" s="836" t="s">
        <v>376</v>
      </c>
      <c r="AM856" s="836">
        <v>0</v>
      </c>
      <c r="AN856" s="848">
        <v>2</v>
      </c>
      <c r="AO856" s="850">
        <v>0</v>
      </c>
      <c r="AP856" s="838">
        <v>0</v>
      </c>
      <c r="AQ856" s="839">
        <v>0</v>
      </c>
      <c r="AR856" s="839"/>
      <c r="AS856" s="839"/>
      <c r="AT856" s="839"/>
      <c r="AU856" s="839"/>
      <c r="AV856" s="849"/>
      <c r="AW856" s="134" t="s">
        <v>3208</v>
      </c>
      <c r="AX856" s="136" t="s">
        <v>3208</v>
      </c>
      <c r="AY856" s="137" t="s">
        <v>2576</v>
      </c>
      <c r="AZ856" s="136">
        <v>1</v>
      </c>
      <c r="BA856" s="136">
        <v>1</v>
      </c>
      <c r="BB856" s="136">
        <v>1</v>
      </c>
      <c r="BC856" s="214">
        <v>81</v>
      </c>
      <c r="BD856" s="136">
        <v>0</v>
      </c>
      <c r="BE856" s="214">
        <v>0</v>
      </c>
      <c r="BF856" s="136">
        <v>1</v>
      </c>
      <c r="BG856" s="214">
        <v>81</v>
      </c>
      <c r="BH856" s="214">
        <v>0.16200000000000001</v>
      </c>
      <c r="BI856" s="134">
        <v>0</v>
      </c>
      <c r="BJ856" s="214">
        <v>0</v>
      </c>
      <c r="BK856" s="137">
        <v>0.83799999999999997</v>
      </c>
      <c r="BL856" s="137">
        <v>1</v>
      </c>
      <c r="BM856" s="137">
        <v>4</v>
      </c>
      <c r="BN856" s="134">
        <v>0.98765432098765427</v>
      </c>
      <c r="BO856" s="351">
        <v>80</v>
      </c>
      <c r="BP856" s="134">
        <v>0</v>
      </c>
      <c r="BQ856" s="214">
        <v>0</v>
      </c>
      <c r="BR856" s="137">
        <v>4</v>
      </c>
      <c r="BS856" s="138">
        <v>0</v>
      </c>
      <c r="BT856" s="351">
        <v>0</v>
      </c>
      <c r="BU856" s="214">
        <v>0</v>
      </c>
      <c r="BV856" s="214">
        <v>0</v>
      </c>
      <c r="BW856" s="214">
        <v>0</v>
      </c>
      <c r="BX856" s="214">
        <v>0</v>
      </c>
      <c r="BY856" s="214">
        <v>0</v>
      </c>
      <c r="BZ856" s="134">
        <v>0</v>
      </c>
      <c r="CA856" s="138">
        <v>1</v>
      </c>
      <c r="CB856" s="136">
        <v>0</v>
      </c>
      <c r="CC856" s="136">
        <v>0</v>
      </c>
      <c r="CD856" s="136">
        <v>0</v>
      </c>
      <c r="CE856" s="137">
        <v>0</v>
      </c>
      <c r="CF856" s="137">
        <v>0</v>
      </c>
      <c r="CG856" s="137">
        <v>0</v>
      </c>
      <c r="CH856" s="214">
        <v>2.8000000000000003</v>
      </c>
      <c r="CI856" s="139" t="s">
        <v>48</v>
      </c>
      <c r="CJ856" s="139" t="s">
        <v>389</v>
      </c>
      <c r="CK856" s="139" t="s">
        <v>50</v>
      </c>
      <c r="CL856" s="139" t="s">
        <v>50</v>
      </c>
      <c r="CM856" s="139" t="s">
        <v>50</v>
      </c>
      <c r="CN856" s="139" t="s">
        <v>51</v>
      </c>
      <c r="CO856" s="139">
        <v>25.616509000000001</v>
      </c>
      <c r="CP856" s="139">
        <v>96.317350000000005</v>
      </c>
      <c r="CQ856" s="139" t="s">
        <v>2048</v>
      </c>
      <c r="CR856" s="449" t="s">
        <v>40</v>
      </c>
      <c r="CS856" s="449"/>
      <c r="CT856" s="24"/>
      <c r="CU856" s="24"/>
      <c r="CV856" s="24"/>
    </row>
    <row r="857" spans="1:100" ht="15.75" customHeight="1" x14ac:dyDescent="0.25">
      <c r="A857" s="643" t="s">
        <v>1388</v>
      </c>
      <c r="B857" s="132" t="s">
        <v>389</v>
      </c>
      <c r="C857" s="132" t="s">
        <v>44</v>
      </c>
      <c r="D857" s="132" t="s">
        <v>294</v>
      </c>
      <c r="E857" s="132" t="s">
        <v>398</v>
      </c>
      <c r="F857" s="132">
        <v>37</v>
      </c>
      <c r="G857" s="214">
        <v>228</v>
      </c>
      <c r="H857" s="132"/>
      <c r="I857" s="132" t="s">
        <v>391</v>
      </c>
      <c r="J857" s="133">
        <v>42947</v>
      </c>
      <c r="K857" s="132">
        <v>0</v>
      </c>
      <c r="L857" s="132" t="s">
        <v>48</v>
      </c>
      <c r="M857" s="134">
        <v>0.5</v>
      </c>
      <c r="N857" s="134">
        <v>0</v>
      </c>
      <c r="O857" s="320">
        <v>2</v>
      </c>
      <c r="P857" s="326">
        <v>0</v>
      </c>
      <c r="Q857" s="326">
        <v>2000</v>
      </c>
      <c r="R857" s="315">
        <v>0</v>
      </c>
      <c r="S857" s="315">
        <v>2</v>
      </c>
      <c r="T857" s="315"/>
      <c r="U857" s="315">
        <v>0</v>
      </c>
      <c r="V857" s="315">
        <v>0</v>
      </c>
      <c r="W857" s="315">
        <v>0</v>
      </c>
      <c r="X857" s="315">
        <v>0</v>
      </c>
      <c r="Y857" s="315">
        <v>0</v>
      </c>
      <c r="Z857" s="315" t="s">
        <v>399</v>
      </c>
      <c r="AA857" s="336">
        <v>10</v>
      </c>
      <c r="AB857" s="336">
        <v>4</v>
      </c>
      <c r="AC857" s="337">
        <v>0</v>
      </c>
      <c r="AD857" s="337"/>
      <c r="AE857" s="336">
        <v>10</v>
      </c>
      <c r="AF857" s="336" t="s">
        <v>283</v>
      </c>
      <c r="AG857" s="339" t="s">
        <v>1358</v>
      </c>
      <c r="AH857" s="339">
        <v>0</v>
      </c>
      <c r="AI857" s="336">
        <v>0</v>
      </c>
      <c r="AJ857" s="336"/>
      <c r="AK857" s="848">
        <v>0.6</v>
      </c>
      <c r="AL857" s="836" t="s">
        <v>376</v>
      </c>
      <c r="AM857" s="836">
        <v>0</v>
      </c>
      <c r="AN857" s="848">
        <v>3</v>
      </c>
      <c r="AO857" s="850">
        <v>0</v>
      </c>
      <c r="AP857" s="838">
        <v>0</v>
      </c>
      <c r="AQ857" s="839">
        <v>0</v>
      </c>
      <c r="AR857" s="839"/>
      <c r="AS857" s="839"/>
      <c r="AT857" s="839"/>
      <c r="AU857" s="839"/>
      <c r="AV857" s="849"/>
      <c r="AW857" s="134" t="s">
        <v>3208</v>
      </c>
      <c r="AX857" s="136" t="s">
        <v>3208</v>
      </c>
      <c r="AY857" s="137" t="s">
        <v>2576</v>
      </c>
      <c r="AZ857" s="136">
        <v>1</v>
      </c>
      <c r="BA857" s="136">
        <v>1</v>
      </c>
      <c r="BB857" s="136">
        <v>1</v>
      </c>
      <c r="BC857" s="214">
        <v>228</v>
      </c>
      <c r="BD857" s="136">
        <v>0</v>
      </c>
      <c r="BE857" s="214">
        <v>0</v>
      </c>
      <c r="BF857" s="136">
        <v>1</v>
      </c>
      <c r="BG857" s="214">
        <v>228</v>
      </c>
      <c r="BH857" s="214">
        <v>0.45600000000000002</v>
      </c>
      <c r="BI857" s="134">
        <v>0</v>
      </c>
      <c r="BJ857" s="214">
        <v>0</v>
      </c>
      <c r="BK857" s="137">
        <v>0.54400000000000004</v>
      </c>
      <c r="BL857" s="137">
        <v>1</v>
      </c>
      <c r="BM857" s="137">
        <v>14</v>
      </c>
      <c r="BN857" s="134">
        <v>0.8771929824561403</v>
      </c>
      <c r="BO857" s="351">
        <v>200</v>
      </c>
      <c r="BP857" s="134">
        <v>0</v>
      </c>
      <c r="BQ857" s="214">
        <v>0</v>
      </c>
      <c r="BR857" s="137">
        <v>11</v>
      </c>
      <c r="BS857" s="138">
        <v>0.2857142857142857</v>
      </c>
      <c r="BT857" s="351">
        <v>0</v>
      </c>
      <c r="BU857" s="214">
        <v>0</v>
      </c>
      <c r="BV857" s="214">
        <v>0</v>
      </c>
      <c r="BW857" s="214">
        <v>0</v>
      </c>
      <c r="BX857" s="214">
        <v>0</v>
      </c>
      <c r="BY857" s="214">
        <v>0</v>
      </c>
      <c r="BZ857" s="134">
        <v>0</v>
      </c>
      <c r="CA857" s="138">
        <v>1</v>
      </c>
      <c r="CB857" s="136">
        <v>0</v>
      </c>
      <c r="CC857" s="136">
        <v>0</v>
      </c>
      <c r="CD857" s="136">
        <v>0</v>
      </c>
      <c r="CE857" s="137">
        <v>0</v>
      </c>
      <c r="CF857" s="137">
        <v>0</v>
      </c>
      <c r="CG857" s="137">
        <v>0</v>
      </c>
      <c r="CH857" s="214">
        <v>22.2</v>
      </c>
      <c r="CI857" s="139" t="s">
        <v>48</v>
      </c>
      <c r="CJ857" s="139" t="s">
        <v>287</v>
      </c>
      <c r="CK857" s="139" t="s">
        <v>50</v>
      </c>
      <c r="CL857" s="139" t="s">
        <v>50</v>
      </c>
      <c r="CM857" s="139" t="s">
        <v>50</v>
      </c>
      <c r="CN857" s="139" t="s">
        <v>51</v>
      </c>
      <c r="CO857" s="139">
        <v>25.647649999999999</v>
      </c>
      <c r="CP857" s="139">
        <v>96.346469999999997</v>
      </c>
      <c r="CQ857" s="139" t="s">
        <v>2054</v>
      </c>
      <c r="CR857" s="449" t="s">
        <v>40</v>
      </c>
      <c r="CS857" s="449"/>
      <c r="CT857" s="24"/>
      <c r="CU857" s="24"/>
      <c r="CV857" s="24"/>
    </row>
    <row r="858" spans="1:100" ht="15.75" customHeight="1" x14ac:dyDescent="0.25">
      <c r="A858" s="643" t="s">
        <v>1388</v>
      </c>
      <c r="B858" s="132" t="s">
        <v>389</v>
      </c>
      <c r="C858" s="132" t="s">
        <v>44</v>
      </c>
      <c r="D858" s="132" t="s">
        <v>294</v>
      </c>
      <c r="E858" s="132" t="s">
        <v>400</v>
      </c>
      <c r="F858" s="132">
        <v>5</v>
      </c>
      <c r="G858" s="214">
        <v>26</v>
      </c>
      <c r="H858" s="132"/>
      <c r="I858" s="132" t="s">
        <v>391</v>
      </c>
      <c r="J858" s="133">
        <v>42947</v>
      </c>
      <c r="K858" s="132">
        <v>0</v>
      </c>
      <c r="L858" s="132" t="s">
        <v>48</v>
      </c>
      <c r="M858" s="134">
        <v>0.25</v>
      </c>
      <c r="N858" s="134">
        <v>1</v>
      </c>
      <c r="O858" s="320">
        <v>0</v>
      </c>
      <c r="P858" s="326">
        <v>0</v>
      </c>
      <c r="Q858" s="326">
        <v>0</v>
      </c>
      <c r="R858" s="315">
        <v>0</v>
      </c>
      <c r="S858" s="315">
        <v>1</v>
      </c>
      <c r="T858" s="315"/>
      <c r="U858" s="315">
        <v>0</v>
      </c>
      <c r="V858" s="315">
        <v>0</v>
      </c>
      <c r="W858" s="315">
        <v>0</v>
      </c>
      <c r="X858" s="315">
        <v>0</v>
      </c>
      <c r="Y858" s="315">
        <v>0</v>
      </c>
      <c r="Z858" s="315" t="s">
        <v>401</v>
      </c>
      <c r="AA858" s="336">
        <v>2</v>
      </c>
      <c r="AB858" s="336">
        <v>0</v>
      </c>
      <c r="AC858" s="337">
        <v>0</v>
      </c>
      <c r="AD858" s="337"/>
      <c r="AE858" s="336">
        <v>2</v>
      </c>
      <c r="AF858" s="336" t="s">
        <v>283</v>
      </c>
      <c r="AG858" s="339" t="s">
        <v>1358</v>
      </c>
      <c r="AH858" s="339">
        <v>0</v>
      </c>
      <c r="AI858" s="336">
        <v>0</v>
      </c>
      <c r="AJ858" s="336"/>
      <c r="AK858" s="848">
        <v>0.5</v>
      </c>
      <c r="AL858" s="836" t="s">
        <v>376</v>
      </c>
      <c r="AM858" s="836">
        <v>0</v>
      </c>
      <c r="AN858" s="848">
        <v>1</v>
      </c>
      <c r="AO858" s="850">
        <v>0</v>
      </c>
      <c r="AP858" s="838">
        <v>0</v>
      </c>
      <c r="AQ858" s="839">
        <v>0</v>
      </c>
      <c r="AR858" s="839"/>
      <c r="AS858" s="839"/>
      <c r="AT858" s="839"/>
      <c r="AU858" s="839"/>
      <c r="AV858" s="849"/>
      <c r="AW858" s="134" t="s">
        <v>3208</v>
      </c>
      <c r="AX858" s="136" t="s">
        <v>3208</v>
      </c>
      <c r="AY858" s="137" t="s">
        <v>2576</v>
      </c>
      <c r="AZ858" s="136">
        <v>0</v>
      </c>
      <c r="BA858" s="136">
        <v>0</v>
      </c>
      <c r="BB858" s="136">
        <v>0</v>
      </c>
      <c r="BC858" s="214">
        <v>0</v>
      </c>
      <c r="BD858" s="136">
        <v>0</v>
      </c>
      <c r="BE858" s="214">
        <v>0</v>
      </c>
      <c r="BF858" s="136">
        <v>0</v>
      </c>
      <c r="BG858" s="214">
        <v>0</v>
      </c>
      <c r="BH858" s="214">
        <v>0</v>
      </c>
      <c r="BI858" s="134">
        <v>1</v>
      </c>
      <c r="BJ858" s="214">
        <v>26</v>
      </c>
      <c r="BK858" s="137">
        <v>1</v>
      </c>
      <c r="BL858" s="137">
        <v>1</v>
      </c>
      <c r="BM858" s="137">
        <v>2</v>
      </c>
      <c r="BN858" s="134">
        <v>1</v>
      </c>
      <c r="BO858" s="351">
        <v>26</v>
      </c>
      <c r="BP858" s="134">
        <v>0</v>
      </c>
      <c r="BQ858" s="214">
        <v>0</v>
      </c>
      <c r="BR858" s="137">
        <v>1</v>
      </c>
      <c r="BS858" s="138">
        <v>0</v>
      </c>
      <c r="BT858" s="351">
        <v>0</v>
      </c>
      <c r="BU858" s="214">
        <v>0</v>
      </c>
      <c r="BV858" s="214">
        <v>0</v>
      </c>
      <c r="BW858" s="214">
        <v>0</v>
      </c>
      <c r="BX858" s="214">
        <v>0</v>
      </c>
      <c r="BY858" s="214">
        <v>0</v>
      </c>
      <c r="BZ858" s="134">
        <v>0</v>
      </c>
      <c r="CA858" s="138">
        <v>1</v>
      </c>
      <c r="CB858" s="136">
        <v>0</v>
      </c>
      <c r="CC858" s="136">
        <v>0</v>
      </c>
      <c r="CD858" s="136">
        <v>0</v>
      </c>
      <c r="CE858" s="137">
        <v>0</v>
      </c>
      <c r="CF858" s="137">
        <v>0</v>
      </c>
      <c r="CG858" s="137">
        <v>0</v>
      </c>
      <c r="CH858" s="214">
        <v>2.5</v>
      </c>
      <c r="CI858" s="139" t="s">
        <v>48</v>
      </c>
      <c r="CJ858" s="139" t="s">
        <v>2959</v>
      </c>
      <c r="CK858" s="139" t="s">
        <v>50</v>
      </c>
      <c r="CL858" s="139" t="s">
        <v>50</v>
      </c>
      <c r="CM858" s="139" t="s">
        <v>946</v>
      </c>
      <c r="CN858" s="139" t="s">
        <v>51</v>
      </c>
      <c r="CO858" s="139">
        <v>25.582065</v>
      </c>
      <c r="CP858" s="139">
        <v>96.283377000000002</v>
      </c>
      <c r="CQ858" s="139" t="s">
        <v>2041</v>
      </c>
      <c r="CR858" s="449" t="s">
        <v>40</v>
      </c>
      <c r="CS858" s="449"/>
      <c r="CT858" s="24"/>
      <c r="CU858" s="24"/>
      <c r="CV858" s="24"/>
    </row>
    <row r="859" spans="1:100" ht="15.75" customHeight="1" x14ac:dyDescent="0.25">
      <c r="A859" s="643" t="s">
        <v>1388</v>
      </c>
      <c r="B859" s="132" t="s">
        <v>389</v>
      </c>
      <c r="C859" s="132" t="s">
        <v>44</v>
      </c>
      <c r="D859" s="132" t="s">
        <v>294</v>
      </c>
      <c r="E859" s="132" t="s">
        <v>402</v>
      </c>
      <c r="F859" s="132">
        <v>70</v>
      </c>
      <c r="G859" s="214">
        <v>365</v>
      </c>
      <c r="H859" s="132"/>
      <c r="I859" s="132" t="s">
        <v>391</v>
      </c>
      <c r="J859" s="133">
        <v>42947</v>
      </c>
      <c r="K859" s="132">
        <v>0</v>
      </c>
      <c r="L859" s="132" t="s">
        <v>48</v>
      </c>
      <c r="M859" s="134">
        <v>0.56999999999999995</v>
      </c>
      <c r="N859" s="134">
        <v>0</v>
      </c>
      <c r="O859" s="320">
        <v>1</v>
      </c>
      <c r="P859" s="326">
        <v>1</v>
      </c>
      <c r="Q859" s="326">
        <v>0</v>
      </c>
      <c r="R859" s="315">
        <v>0</v>
      </c>
      <c r="S859" s="315">
        <v>2</v>
      </c>
      <c r="T859" s="315"/>
      <c r="U859" s="315">
        <v>0</v>
      </c>
      <c r="V859" s="315">
        <v>0</v>
      </c>
      <c r="W859" s="315">
        <v>0</v>
      </c>
      <c r="X859" s="315">
        <v>0</v>
      </c>
      <c r="Y859" s="315">
        <v>0</v>
      </c>
      <c r="Z859" s="315"/>
      <c r="AA859" s="336">
        <v>22</v>
      </c>
      <c r="AB859" s="336">
        <v>18</v>
      </c>
      <c r="AC859" s="337">
        <v>4</v>
      </c>
      <c r="AD859" s="337"/>
      <c r="AE859" s="336">
        <v>22</v>
      </c>
      <c r="AF859" s="336" t="s">
        <v>283</v>
      </c>
      <c r="AG859" s="339" t="s">
        <v>283</v>
      </c>
      <c r="AH859" s="339">
        <v>0</v>
      </c>
      <c r="AI859" s="336">
        <v>0</v>
      </c>
      <c r="AJ859" s="336"/>
      <c r="AK859" s="848">
        <v>0.2</v>
      </c>
      <c r="AL859" s="836" t="s">
        <v>376</v>
      </c>
      <c r="AM859" s="836">
        <v>0</v>
      </c>
      <c r="AN859" s="848">
        <v>3</v>
      </c>
      <c r="AO859" s="850">
        <v>0</v>
      </c>
      <c r="AP859" s="838">
        <v>0</v>
      </c>
      <c r="AQ859" s="839">
        <v>0</v>
      </c>
      <c r="AR859" s="839"/>
      <c r="AS859" s="839"/>
      <c r="AT859" s="839"/>
      <c r="AU859" s="839"/>
      <c r="AV859" s="849"/>
      <c r="AW859" s="134" t="s">
        <v>3208</v>
      </c>
      <c r="AX859" s="136" t="s">
        <v>3208</v>
      </c>
      <c r="AY859" s="137" t="s">
        <v>2576</v>
      </c>
      <c r="AZ859" s="136">
        <v>1</v>
      </c>
      <c r="BA859" s="136">
        <v>1</v>
      </c>
      <c r="BB859" s="136">
        <v>1</v>
      </c>
      <c r="BC859" s="214">
        <v>365</v>
      </c>
      <c r="BD859" s="136">
        <v>0</v>
      </c>
      <c r="BE859" s="214">
        <v>0</v>
      </c>
      <c r="BF859" s="136">
        <v>1</v>
      </c>
      <c r="BG859" s="214">
        <v>365</v>
      </c>
      <c r="BH859" s="214">
        <v>0.73</v>
      </c>
      <c r="BI859" s="134">
        <v>0</v>
      </c>
      <c r="BJ859" s="214">
        <v>0</v>
      </c>
      <c r="BK859" s="137">
        <v>0.27</v>
      </c>
      <c r="BL859" s="137">
        <v>1</v>
      </c>
      <c r="BM859" s="137">
        <v>40</v>
      </c>
      <c r="BN859" s="134">
        <v>1</v>
      </c>
      <c r="BO859" s="351">
        <v>365</v>
      </c>
      <c r="BP859" s="134">
        <v>0</v>
      </c>
      <c r="BQ859" s="214">
        <v>0</v>
      </c>
      <c r="BR859" s="137">
        <v>18</v>
      </c>
      <c r="BS859" s="138">
        <v>0.45</v>
      </c>
      <c r="BT859" s="351">
        <v>80</v>
      </c>
      <c r="BU859" s="214">
        <v>0</v>
      </c>
      <c r="BV859" s="214">
        <v>0</v>
      </c>
      <c r="BW859" s="214">
        <v>0</v>
      </c>
      <c r="BX859" s="214">
        <v>0</v>
      </c>
      <c r="BY859" s="214">
        <v>0</v>
      </c>
      <c r="BZ859" s="134">
        <v>0</v>
      </c>
      <c r="CA859" s="138">
        <v>1</v>
      </c>
      <c r="CB859" s="136">
        <v>0</v>
      </c>
      <c r="CC859" s="136">
        <v>0</v>
      </c>
      <c r="CD859" s="136">
        <v>0</v>
      </c>
      <c r="CE859" s="137">
        <v>0</v>
      </c>
      <c r="CF859" s="137">
        <v>0</v>
      </c>
      <c r="CG859" s="137">
        <v>0</v>
      </c>
      <c r="CH859" s="214">
        <v>14</v>
      </c>
      <c r="CI859" s="139" t="s">
        <v>48</v>
      </c>
      <c r="CJ859" s="139" t="s">
        <v>389</v>
      </c>
      <c r="CK859" s="139" t="s">
        <v>50</v>
      </c>
      <c r="CL859" s="139" t="s">
        <v>50</v>
      </c>
      <c r="CM859" s="139" t="s">
        <v>50</v>
      </c>
      <c r="CN859" s="139" t="s">
        <v>51</v>
      </c>
      <c r="CO859" s="139">
        <v>25.637309999999999</v>
      </c>
      <c r="CP859" s="139">
        <v>96.35257</v>
      </c>
      <c r="CQ859" s="139" t="s">
        <v>2052</v>
      </c>
      <c r="CR859" s="449" t="s">
        <v>40</v>
      </c>
      <c r="CS859" s="449"/>
      <c r="CT859" s="24"/>
      <c r="CU859" s="24"/>
      <c r="CV859" s="24"/>
    </row>
    <row r="860" spans="1:100" ht="15.75" customHeight="1" x14ac:dyDescent="0.25">
      <c r="A860" s="643" t="s">
        <v>1388</v>
      </c>
      <c r="B860" s="132" t="s">
        <v>287</v>
      </c>
      <c r="C860" s="132" t="s">
        <v>44</v>
      </c>
      <c r="D860" s="132" t="s">
        <v>294</v>
      </c>
      <c r="E860" s="132" t="s">
        <v>295</v>
      </c>
      <c r="F860" s="132">
        <v>13</v>
      </c>
      <c r="G860" s="214">
        <v>46</v>
      </c>
      <c r="H860" s="132"/>
      <c r="I860" s="132" t="s">
        <v>296</v>
      </c>
      <c r="J860" s="133">
        <v>43131</v>
      </c>
      <c r="K860" s="132">
        <v>0</v>
      </c>
      <c r="L860" s="132" t="s">
        <v>48</v>
      </c>
      <c r="M860" s="134">
        <v>0.6</v>
      </c>
      <c r="N860" s="134">
        <v>0.5</v>
      </c>
      <c r="O860" s="320">
        <v>0</v>
      </c>
      <c r="P860" s="326">
        <v>3</v>
      </c>
      <c r="Q860" s="326">
        <v>2000</v>
      </c>
      <c r="R860" s="315">
        <v>0</v>
      </c>
      <c r="S860" s="315">
        <v>0</v>
      </c>
      <c r="T860" s="315"/>
      <c r="U860" s="315">
        <v>0</v>
      </c>
      <c r="V860" s="315">
        <v>0</v>
      </c>
      <c r="W860" s="315">
        <v>0</v>
      </c>
      <c r="X860" s="315">
        <v>0</v>
      </c>
      <c r="Y860" s="315">
        <v>0</v>
      </c>
      <c r="Z860" s="315"/>
      <c r="AA860" s="336">
        <v>9</v>
      </c>
      <c r="AB860" s="336">
        <v>0</v>
      </c>
      <c r="AC860" s="337">
        <v>0</v>
      </c>
      <c r="AD860" s="337"/>
      <c r="AE860" s="336">
        <v>0</v>
      </c>
      <c r="AF860" s="336" t="s">
        <v>283</v>
      </c>
      <c r="AG860" s="339" t="s">
        <v>1358</v>
      </c>
      <c r="AH860" s="339"/>
      <c r="AI860" s="336"/>
      <c r="AJ860" s="336"/>
      <c r="AK860" s="848">
        <v>1</v>
      </c>
      <c r="AL860" s="836" t="s">
        <v>376</v>
      </c>
      <c r="AM860" s="836">
        <v>0</v>
      </c>
      <c r="AN860" s="848">
        <v>2</v>
      </c>
      <c r="AO860" s="850">
        <v>1</v>
      </c>
      <c r="AP860" s="838">
        <v>0</v>
      </c>
      <c r="AQ860" s="839">
        <v>0</v>
      </c>
      <c r="AR860" s="839"/>
      <c r="AS860" s="839"/>
      <c r="AT860" s="839"/>
      <c r="AU860" s="839"/>
      <c r="AV860" s="849"/>
      <c r="AW860" s="134" t="s">
        <v>3208</v>
      </c>
      <c r="AX860" s="136" t="s">
        <v>3208</v>
      </c>
      <c r="AY860" s="137" t="s">
        <v>2576</v>
      </c>
      <c r="AZ860" s="136">
        <v>1</v>
      </c>
      <c r="BA860" s="136">
        <v>1</v>
      </c>
      <c r="BB860" s="136">
        <v>1</v>
      </c>
      <c r="BC860" s="214">
        <v>46</v>
      </c>
      <c r="BD860" s="136">
        <v>0</v>
      </c>
      <c r="BE860" s="135">
        <v>0</v>
      </c>
      <c r="BF860" s="136">
        <v>1</v>
      </c>
      <c r="BG860" s="214">
        <v>46</v>
      </c>
      <c r="BH860" s="214">
        <v>9.1999999999999998E-2</v>
      </c>
      <c r="BI860" s="134">
        <v>0</v>
      </c>
      <c r="BJ860" s="135">
        <v>0</v>
      </c>
      <c r="BK860" s="137">
        <v>0.90800000000000003</v>
      </c>
      <c r="BL860" s="137">
        <v>1</v>
      </c>
      <c r="BM860" s="137">
        <v>9</v>
      </c>
      <c r="BN860" s="134">
        <v>1</v>
      </c>
      <c r="BO860" s="351">
        <v>46</v>
      </c>
      <c r="BP860" s="134">
        <v>0</v>
      </c>
      <c r="BQ860" s="135">
        <v>0</v>
      </c>
      <c r="BR860" s="137">
        <v>2</v>
      </c>
      <c r="BS860" s="138">
        <v>0</v>
      </c>
      <c r="BT860" s="351">
        <v>0</v>
      </c>
      <c r="BU860" s="214">
        <v>46</v>
      </c>
      <c r="BV860" s="214">
        <v>0</v>
      </c>
      <c r="BW860" s="214">
        <v>1</v>
      </c>
      <c r="BX860" s="214">
        <v>0</v>
      </c>
      <c r="BY860" s="214">
        <v>0</v>
      </c>
      <c r="BZ860" s="134">
        <v>0</v>
      </c>
      <c r="CA860" s="138">
        <v>1</v>
      </c>
      <c r="CB860" s="136">
        <v>1</v>
      </c>
      <c r="CC860" s="136">
        <v>0</v>
      </c>
      <c r="CD860" s="136">
        <v>0</v>
      </c>
      <c r="CE860" s="137">
        <v>0</v>
      </c>
      <c r="CF860" s="137">
        <v>0</v>
      </c>
      <c r="CG860" s="137">
        <v>0</v>
      </c>
      <c r="CH860" s="135">
        <v>13</v>
      </c>
      <c r="CI860" s="139" t="s">
        <v>48</v>
      </c>
      <c r="CJ860" s="139" t="s">
        <v>287</v>
      </c>
      <c r="CK860" s="139" t="s">
        <v>50</v>
      </c>
      <c r="CL860" s="139" t="s">
        <v>50</v>
      </c>
      <c r="CM860" s="139" t="s">
        <v>50</v>
      </c>
      <c r="CN860" s="139" t="s">
        <v>51</v>
      </c>
      <c r="CO860" s="139">
        <v>25.51352</v>
      </c>
      <c r="CP860" s="139">
        <v>96.705960000000005</v>
      </c>
      <c r="CQ860" s="139" t="s">
        <v>2036</v>
      </c>
      <c r="CR860" s="449" t="s">
        <v>40</v>
      </c>
      <c r="CS860" s="449"/>
      <c r="CT860" s="24"/>
      <c r="CU860" s="24"/>
      <c r="CV860" s="24"/>
    </row>
    <row r="861" spans="1:100" ht="15.75" customHeight="1" x14ac:dyDescent="0.25">
      <c r="A861" s="643" t="s">
        <v>1388</v>
      </c>
      <c r="B861" s="132" t="s">
        <v>389</v>
      </c>
      <c r="C861" s="132" t="s">
        <v>44</v>
      </c>
      <c r="D861" s="132" t="s">
        <v>294</v>
      </c>
      <c r="E861" s="132" t="s">
        <v>403</v>
      </c>
      <c r="F861" s="132">
        <v>4</v>
      </c>
      <c r="G861" s="214">
        <v>27</v>
      </c>
      <c r="H861" s="132"/>
      <c r="I861" s="132" t="s">
        <v>391</v>
      </c>
      <c r="J861" s="133">
        <v>42947</v>
      </c>
      <c r="K861" s="132">
        <v>0</v>
      </c>
      <c r="L861" s="132" t="s">
        <v>48</v>
      </c>
      <c r="M861" s="134">
        <v>1</v>
      </c>
      <c r="N861" s="134">
        <v>0</v>
      </c>
      <c r="O861" s="320">
        <v>1</v>
      </c>
      <c r="P861" s="326">
        <v>0</v>
      </c>
      <c r="Q861" s="326">
        <v>1000</v>
      </c>
      <c r="R861" s="315">
        <v>0</v>
      </c>
      <c r="S861" s="315">
        <v>1</v>
      </c>
      <c r="T861" s="315"/>
      <c r="U861" s="315">
        <v>0</v>
      </c>
      <c r="V861" s="315">
        <v>0</v>
      </c>
      <c r="W861" s="315">
        <v>0</v>
      </c>
      <c r="X861" s="315">
        <v>0</v>
      </c>
      <c r="Y861" s="315">
        <v>0</v>
      </c>
      <c r="Z861" s="315"/>
      <c r="AA861" s="336">
        <v>0</v>
      </c>
      <c r="AB861" s="336">
        <v>0</v>
      </c>
      <c r="AC861" s="337">
        <v>0</v>
      </c>
      <c r="AD861" s="337"/>
      <c r="AE861" s="336">
        <v>0</v>
      </c>
      <c r="AF861" s="336" t="s">
        <v>283</v>
      </c>
      <c r="AG861" s="339" t="s">
        <v>1358</v>
      </c>
      <c r="AH861" s="339">
        <v>0</v>
      </c>
      <c r="AI861" s="336">
        <v>0</v>
      </c>
      <c r="AJ861" s="336"/>
      <c r="AK861" s="848">
        <v>0.6</v>
      </c>
      <c r="AL861" s="836" t="s">
        <v>376</v>
      </c>
      <c r="AM861" s="836">
        <v>0</v>
      </c>
      <c r="AN861" s="848">
        <v>0</v>
      </c>
      <c r="AO861" s="850">
        <v>0</v>
      </c>
      <c r="AP861" s="838">
        <v>0</v>
      </c>
      <c r="AQ861" s="839">
        <v>0</v>
      </c>
      <c r="AR861" s="839"/>
      <c r="AS861" s="839"/>
      <c r="AT861" s="839"/>
      <c r="AU861" s="839"/>
      <c r="AV861" s="849"/>
      <c r="AW861" s="134" t="s">
        <v>3208</v>
      </c>
      <c r="AX861" s="136" t="s">
        <v>3208</v>
      </c>
      <c r="AY861" s="137" t="s">
        <v>2576</v>
      </c>
      <c r="AZ861" s="136">
        <v>1</v>
      </c>
      <c r="BA861" s="136">
        <v>1</v>
      </c>
      <c r="BB861" s="136">
        <v>1</v>
      </c>
      <c r="BC861" s="214">
        <v>27</v>
      </c>
      <c r="BD861" s="136">
        <v>0</v>
      </c>
      <c r="BE861" s="135">
        <v>0</v>
      </c>
      <c r="BF861" s="136">
        <v>1</v>
      </c>
      <c r="BG861" s="214">
        <v>27</v>
      </c>
      <c r="BH861" s="214">
        <v>5.3999999999999999E-2</v>
      </c>
      <c r="BI861" s="134">
        <v>0</v>
      </c>
      <c r="BJ861" s="135">
        <v>0</v>
      </c>
      <c r="BK861" s="137">
        <v>0.94599999999999995</v>
      </c>
      <c r="BL861" s="137">
        <v>1</v>
      </c>
      <c r="BM861" s="137">
        <v>0</v>
      </c>
      <c r="BN861" s="134">
        <v>0</v>
      </c>
      <c r="BO861" s="351">
        <v>0</v>
      </c>
      <c r="BP861" s="134">
        <v>0.7407407407407407</v>
      </c>
      <c r="BQ861" s="135">
        <v>1</v>
      </c>
      <c r="BR861" s="137">
        <v>1</v>
      </c>
      <c r="BS861" s="138">
        <v>0</v>
      </c>
      <c r="BT861" s="351">
        <v>0</v>
      </c>
      <c r="BU861" s="214">
        <v>0</v>
      </c>
      <c r="BV861" s="214">
        <v>0</v>
      </c>
      <c r="BW861" s="214">
        <v>0</v>
      </c>
      <c r="BX861" s="214">
        <v>0</v>
      </c>
      <c r="BY861" s="214">
        <v>0</v>
      </c>
      <c r="BZ861" s="134">
        <v>0</v>
      </c>
      <c r="CA861" s="138">
        <v>1</v>
      </c>
      <c r="CB861" s="136">
        <v>0</v>
      </c>
      <c r="CC861" s="136">
        <v>0</v>
      </c>
      <c r="CD861" s="136">
        <v>0</v>
      </c>
      <c r="CE861" s="137">
        <v>0</v>
      </c>
      <c r="CF861" s="137">
        <v>0</v>
      </c>
      <c r="CG861" s="137">
        <v>0</v>
      </c>
      <c r="CH861" s="135">
        <v>2.4</v>
      </c>
      <c r="CI861" s="139" t="s">
        <v>48</v>
      </c>
      <c r="CJ861" s="139" t="s">
        <v>2959</v>
      </c>
      <c r="CK861" s="139" t="s">
        <v>50</v>
      </c>
      <c r="CL861" s="139" t="s">
        <v>50</v>
      </c>
      <c r="CM861" s="139" t="s">
        <v>946</v>
      </c>
      <c r="CN861" s="139" t="s">
        <v>51</v>
      </c>
      <c r="CO861" s="139">
        <v>25.615960999999999</v>
      </c>
      <c r="CP861" s="139">
        <v>96.316564</v>
      </c>
      <c r="CQ861" s="139" t="s">
        <v>2047</v>
      </c>
      <c r="CR861" s="449" t="s">
        <v>40</v>
      </c>
      <c r="CS861" s="449"/>
      <c r="CT861" s="24"/>
      <c r="CU861" s="24"/>
      <c r="CV861" s="24"/>
    </row>
    <row r="862" spans="1:100" ht="15.75" customHeight="1" x14ac:dyDescent="0.25">
      <c r="A862" s="643" t="s">
        <v>1388</v>
      </c>
      <c r="B862" s="132" t="s">
        <v>389</v>
      </c>
      <c r="C862" s="132" t="s">
        <v>44</v>
      </c>
      <c r="D862" s="132" t="s">
        <v>294</v>
      </c>
      <c r="E862" s="132" t="s">
        <v>404</v>
      </c>
      <c r="F862" s="132">
        <v>103</v>
      </c>
      <c r="G862" s="214">
        <v>504</v>
      </c>
      <c r="H862" s="132"/>
      <c r="I862" s="132" t="s">
        <v>391</v>
      </c>
      <c r="J862" s="133">
        <v>42947</v>
      </c>
      <c r="K862" s="132">
        <v>0</v>
      </c>
      <c r="L862" s="132" t="s">
        <v>48</v>
      </c>
      <c r="M862" s="134">
        <v>0.56999999999999995</v>
      </c>
      <c r="N862" s="134">
        <v>0</v>
      </c>
      <c r="O862" s="320">
        <v>0</v>
      </c>
      <c r="P862" s="326">
        <v>1</v>
      </c>
      <c r="Q862" s="326">
        <v>4000</v>
      </c>
      <c r="R862" s="315">
        <v>0</v>
      </c>
      <c r="S862" s="315">
        <v>1</v>
      </c>
      <c r="T862" s="315"/>
      <c r="U862" s="315">
        <v>0</v>
      </c>
      <c r="V862" s="315">
        <v>0</v>
      </c>
      <c r="W862" s="315">
        <v>0</v>
      </c>
      <c r="X862" s="315">
        <v>0</v>
      </c>
      <c r="Y862" s="315">
        <v>0</v>
      </c>
      <c r="Z862" s="315"/>
      <c r="AA862" s="336">
        <v>30</v>
      </c>
      <c r="AB862" s="336">
        <v>2</v>
      </c>
      <c r="AC862" s="337">
        <v>0</v>
      </c>
      <c r="AD862" s="337"/>
      <c r="AE862" s="336">
        <v>30</v>
      </c>
      <c r="AF862" s="336" t="s">
        <v>283</v>
      </c>
      <c r="AG862" s="339" t="s">
        <v>283</v>
      </c>
      <c r="AH862" s="339">
        <v>0</v>
      </c>
      <c r="AI862" s="336">
        <v>0</v>
      </c>
      <c r="AJ862" s="336"/>
      <c r="AK862" s="848">
        <v>0.5</v>
      </c>
      <c r="AL862" s="836" t="s">
        <v>376</v>
      </c>
      <c r="AM862" s="836">
        <v>0</v>
      </c>
      <c r="AN862" s="848">
        <v>4</v>
      </c>
      <c r="AO862" s="850">
        <v>0</v>
      </c>
      <c r="AP862" s="838">
        <v>0</v>
      </c>
      <c r="AQ862" s="839">
        <v>0</v>
      </c>
      <c r="AR862" s="839"/>
      <c r="AS862" s="839"/>
      <c r="AT862" s="839"/>
      <c r="AU862" s="839"/>
      <c r="AV862" s="849"/>
      <c r="AW862" s="134" t="s">
        <v>3208</v>
      </c>
      <c r="AX862" s="136" t="s">
        <v>3208</v>
      </c>
      <c r="AY862" s="137" t="s">
        <v>2576</v>
      </c>
      <c r="AZ862" s="136">
        <v>1</v>
      </c>
      <c r="BA862" s="136">
        <v>1</v>
      </c>
      <c r="BB862" s="136">
        <v>1</v>
      </c>
      <c r="BC862" s="214">
        <v>504</v>
      </c>
      <c r="BD862" s="136">
        <v>0</v>
      </c>
      <c r="BE862" s="214">
        <v>0</v>
      </c>
      <c r="BF862" s="136">
        <v>1</v>
      </c>
      <c r="BG862" s="214">
        <v>504</v>
      </c>
      <c r="BH862" s="214">
        <v>1.008</v>
      </c>
      <c r="BI862" s="134">
        <v>0</v>
      </c>
      <c r="BJ862" s="214">
        <v>0</v>
      </c>
      <c r="BK862" s="137">
        <v>0</v>
      </c>
      <c r="BL862" s="137">
        <v>1</v>
      </c>
      <c r="BM862" s="137">
        <v>32</v>
      </c>
      <c r="BN862" s="134">
        <v>1</v>
      </c>
      <c r="BO862" s="351">
        <v>504</v>
      </c>
      <c r="BP862" s="134">
        <v>0</v>
      </c>
      <c r="BQ862" s="214">
        <v>0</v>
      </c>
      <c r="BR862" s="137">
        <v>25</v>
      </c>
      <c r="BS862" s="138">
        <v>6.25E-2</v>
      </c>
      <c r="BT862" s="351">
        <v>0</v>
      </c>
      <c r="BU862" s="214">
        <v>0</v>
      </c>
      <c r="BV862" s="214">
        <v>0</v>
      </c>
      <c r="BW862" s="214">
        <v>0</v>
      </c>
      <c r="BX862" s="214">
        <v>0</v>
      </c>
      <c r="BY862" s="214">
        <v>0</v>
      </c>
      <c r="BZ862" s="134">
        <v>0</v>
      </c>
      <c r="CA862" s="138">
        <v>1</v>
      </c>
      <c r="CB862" s="136">
        <v>0</v>
      </c>
      <c r="CC862" s="136">
        <v>0</v>
      </c>
      <c r="CD862" s="136">
        <v>0</v>
      </c>
      <c r="CE862" s="137">
        <v>0</v>
      </c>
      <c r="CF862" s="137">
        <v>0</v>
      </c>
      <c r="CG862" s="137">
        <v>0</v>
      </c>
      <c r="CH862" s="214">
        <v>51.5</v>
      </c>
      <c r="CI862" s="139" t="s">
        <v>48</v>
      </c>
      <c r="CJ862" s="139" t="s">
        <v>287</v>
      </c>
      <c r="CK862" s="139" t="s">
        <v>50</v>
      </c>
      <c r="CL862" s="139" t="s">
        <v>50</v>
      </c>
      <c r="CM862" s="139" t="s">
        <v>50</v>
      </c>
      <c r="CN862" s="139" t="s">
        <v>51</v>
      </c>
      <c r="CO862" s="139">
        <v>25.611160000000002</v>
      </c>
      <c r="CP862" s="139">
        <v>96.312790000000007</v>
      </c>
      <c r="CQ862" s="139" t="s">
        <v>2044</v>
      </c>
      <c r="CR862" s="449" t="s">
        <v>40</v>
      </c>
      <c r="CS862" s="449"/>
      <c r="CT862" s="24"/>
      <c r="CU862" s="24"/>
      <c r="CV862" s="24"/>
    </row>
    <row r="863" spans="1:100" ht="15.75" customHeight="1" x14ac:dyDescent="0.25">
      <c r="A863" s="643" t="s">
        <v>1388</v>
      </c>
      <c r="B863" s="132" t="s">
        <v>389</v>
      </c>
      <c r="C863" s="132" t="s">
        <v>44</v>
      </c>
      <c r="D863" s="132" t="s">
        <v>294</v>
      </c>
      <c r="E863" s="132" t="s">
        <v>390</v>
      </c>
      <c r="F863" s="132">
        <v>123</v>
      </c>
      <c r="G863" s="214">
        <v>656</v>
      </c>
      <c r="H863" s="132"/>
      <c r="I863" s="132" t="s">
        <v>391</v>
      </c>
      <c r="J863" s="133">
        <v>42947</v>
      </c>
      <c r="K863" s="132">
        <v>0</v>
      </c>
      <c r="L863" s="132" t="s">
        <v>48</v>
      </c>
      <c r="M863" s="134">
        <v>0.4</v>
      </c>
      <c r="N863" s="134">
        <v>0</v>
      </c>
      <c r="O863" s="320">
        <v>1</v>
      </c>
      <c r="P863" s="326">
        <v>1</v>
      </c>
      <c r="Q863" s="326">
        <v>1500</v>
      </c>
      <c r="R863" s="315"/>
      <c r="S863" s="315">
        <v>2</v>
      </c>
      <c r="T863" s="315"/>
      <c r="U863" s="315">
        <v>0</v>
      </c>
      <c r="V863" s="315">
        <v>0</v>
      </c>
      <c r="W863" s="315">
        <v>0</v>
      </c>
      <c r="X863" s="315">
        <v>0</v>
      </c>
      <c r="Y863" s="315">
        <v>0</v>
      </c>
      <c r="Z863" s="315"/>
      <c r="AA863" s="336">
        <v>28</v>
      </c>
      <c r="AB863" s="336">
        <v>10</v>
      </c>
      <c r="AC863" s="337">
        <v>10</v>
      </c>
      <c r="AD863" s="337"/>
      <c r="AE863" s="336">
        <v>28</v>
      </c>
      <c r="AF863" s="336" t="s">
        <v>283</v>
      </c>
      <c r="AG863" s="339" t="s">
        <v>283</v>
      </c>
      <c r="AH863" s="339">
        <v>0</v>
      </c>
      <c r="AI863" s="336">
        <v>0</v>
      </c>
      <c r="AJ863" s="336"/>
      <c r="AK863" s="848">
        <v>0.4</v>
      </c>
      <c r="AL863" s="836" t="s">
        <v>376</v>
      </c>
      <c r="AM863" s="836">
        <v>0</v>
      </c>
      <c r="AN863" s="848">
        <v>4</v>
      </c>
      <c r="AO863" s="850">
        <v>0</v>
      </c>
      <c r="AP863" s="838">
        <v>0</v>
      </c>
      <c r="AQ863" s="839">
        <v>0</v>
      </c>
      <c r="AR863" s="839"/>
      <c r="AS863" s="839"/>
      <c r="AT863" s="839"/>
      <c r="AU863" s="839"/>
      <c r="AV863" s="849"/>
      <c r="AW863" s="134" t="s">
        <v>3208</v>
      </c>
      <c r="AX863" s="136" t="s">
        <v>3208</v>
      </c>
      <c r="AY863" s="137" t="s">
        <v>2576</v>
      </c>
      <c r="AZ863" s="136">
        <v>1</v>
      </c>
      <c r="BA863" s="136">
        <v>0.91463414634146345</v>
      </c>
      <c r="BB863" s="136">
        <v>1</v>
      </c>
      <c r="BC863" s="214">
        <v>656</v>
      </c>
      <c r="BD863" s="136">
        <v>0</v>
      </c>
      <c r="BE863" s="135">
        <v>0</v>
      </c>
      <c r="BF863" s="136">
        <v>1</v>
      </c>
      <c r="BG863" s="214">
        <v>656</v>
      </c>
      <c r="BH863" s="214">
        <v>1.3120000000000001</v>
      </c>
      <c r="BI863" s="134">
        <v>0</v>
      </c>
      <c r="BJ863" s="135">
        <v>0</v>
      </c>
      <c r="BK863" s="137">
        <v>0</v>
      </c>
      <c r="BL863" s="137">
        <v>1</v>
      </c>
      <c r="BM863" s="137">
        <v>38</v>
      </c>
      <c r="BN863" s="134">
        <v>0.85365853658536583</v>
      </c>
      <c r="BO863" s="351">
        <v>560</v>
      </c>
      <c r="BP863" s="134">
        <v>0</v>
      </c>
      <c r="BQ863" s="135">
        <v>0</v>
      </c>
      <c r="BR863" s="137">
        <v>33</v>
      </c>
      <c r="BS863" s="138">
        <v>0.26315789473684209</v>
      </c>
      <c r="BT863" s="351">
        <v>200</v>
      </c>
      <c r="BU863" s="214">
        <v>0</v>
      </c>
      <c r="BV863" s="214">
        <v>0</v>
      </c>
      <c r="BW863" s="214">
        <v>0</v>
      </c>
      <c r="BX863" s="214">
        <v>0</v>
      </c>
      <c r="BY863" s="214">
        <v>0</v>
      </c>
      <c r="BZ863" s="134">
        <v>0</v>
      </c>
      <c r="CA863" s="138">
        <v>1</v>
      </c>
      <c r="CB863" s="136">
        <v>0</v>
      </c>
      <c r="CC863" s="136">
        <v>0</v>
      </c>
      <c r="CD863" s="136">
        <v>0</v>
      </c>
      <c r="CE863" s="137">
        <v>0</v>
      </c>
      <c r="CF863" s="137">
        <v>0</v>
      </c>
      <c r="CG863" s="137">
        <v>0</v>
      </c>
      <c r="CH863" s="135">
        <v>49.2</v>
      </c>
      <c r="CI863" s="139" t="s">
        <v>48</v>
      </c>
      <c r="CJ863" s="139" t="s">
        <v>287</v>
      </c>
      <c r="CK863" s="139" t="s">
        <v>50</v>
      </c>
      <c r="CL863" s="139" t="s">
        <v>50</v>
      </c>
      <c r="CM863" s="139" t="s">
        <v>1259</v>
      </c>
      <c r="CN863" s="139" t="s">
        <v>51</v>
      </c>
      <c r="CO863" s="139">
        <v>0</v>
      </c>
      <c r="CP863" s="139">
        <v>0</v>
      </c>
      <c r="CQ863" s="139" t="s">
        <v>2093</v>
      </c>
      <c r="CR863" s="449" t="s">
        <v>40</v>
      </c>
      <c r="CS863" s="449"/>
      <c r="CT863" s="24"/>
      <c r="CU863" s="24"/>
      <c r="CV863" s="24"/>
    </row>
    <row r="864" spans="1:100" ht="15.75" customHeight="1" x14ac:dyDescent="0.25">
      <c r="A864" s="643" t="s">
        <v>1388</v>
      </c>
      <c r="B864" s="132" t="s">
        <v>389</v>
      </c>
      <c r="C864" s="132" t="s">
        <v>44</v>
      </c>
      <c r="D864" s="132" t="s">
        <v>294</v>
      </c>
      <c r="E864" s="132" t="s">
        <v>405</v>
      </c>
      <c r="F864" s="132">
        <v>19</v>
      </c>
      <c r="G864" s="214">
        <v>102</v>
      </c>
      <c r="H864" s="132"/>
      <c r="I864" s="132" t="s">
        <v>391</v>
      </c>
      <c r="J864" s="133">
        <v>42947</v>
      </c>
      <c r="K864" s="132">
        <v>0</v>
      </c>
      <c r="L864" s="132" t="s">
        <v>48</v>
      </c>
      <c r="M864" s="134">
        <v>0.67</v>
      </c>
      <c r="N864" s="134">
        <v>0</v>
      </c>
      <c r="O864" s="320">
        <v>1</v>
      </c>
      <c r="P864" s="326">
        <v>0</v>
      </c>
      <c r="Q864" s="326">
        <v>0</v>
      </c>
      <c r="R864" s="315">
        <v>0</v>
      </c>
      <c r="S864" s="315">
        <v>1</v>
      </c>
      <c r="T864" s="315"/>
      <c r="U864" s="315">
        <v>0</v>
      </c>
      <c r="V864" s="315">
        <v>0</v>
      </c>
      <c r="W864" s="315">
        <v>0</v>
      </c>
      <c r="X864" s="315">
        <v>0</v>
      </c>
      <c r="Y864" s="315">
        <v>0</v>
      </c>
      <c r="Z864" s="315"/>
      <c r="AA864" s="336">
        <v>8</v>
      </c>
      <c r="AB864" s="336">
        <v>0</v>
      </c>
      <c r="AC864" s="337">
        <v>0</v>
      </c>
      <c r="AD864" s="337"/>
      <c r="AE864" s="336">
        <v>8</v>
      </c>
      <c r="AF864" s="336" t="s">
        <v>283</v>
      </c>
      <c r="AG864" s="339" t="s">
        <v>283</v>
      </c>
      <c r="AH864" s="339">
        <v>0</v>
      </c>
      <c r="AI864" s="336">
        <v>0</v>
      </c>
      <c r="AJ864" s="336"/>
      <c r="AK864" s="848">
        <v>0.5</v>
      </c>
      <c r="AL864" s="836" t="s">
        <v>376</v>
      </c>
      <c r="AM864" s="836">
        <v>0</v>
      </c>
      <c r="AN864" s="848">
        <v>4</v>
      </c>
      <c r="AO864" s="850">
        <v>0</v>
      </c>
      <c r="AP864" s="838">
        <v>0</v>
      </c>
      <c r="AQ864" s="839">
        <v>0</v>
      </c>
      <c r="AR864" s="839"/>
      <c r="AS864" s="839"/>
      <c r="AT864" s="839"/>
      <c r="AU864" s="839"/>
      <c r="AV864" s="849"/>
      <c r="AW864" s="134" t="s">
        <v>3208</v>
      </c>
      <c r="AX864" s="136" t="s">
        <v>3208</v>
      </c>
      <c r="AY864" s="137" t="s">
        <v>2576</v>
      </c>
      <c r="AZ864" s="136">
        <v>1</v>
      </c>
      <c r="BA864" s="136">
        <v>1</v>
      </c>
      <c r="BB864" s="136">
        <v>1</v>
      </c>
      <c r="BC864" s="214">
        <v>102</v>
      </c>
      <c r="BD864" s="136">
        <v>0</v>
      </c>
      <c r="BE864" s="135">
        <v>0</v>
      </c>
      <c r="BF864" s="136">
        <v>1</v>
      </c>
      <c r="BG864" s="214">
        <v>102</v>
      </c>
      <c r="BH864" s="214">
        <v>0.20399999999999999</v>
      </c>
      <c r="BI864" s="134">
        <v>0</v>
      </c>
      <c r="BJ864" s="135">
        <v>0</v>
      </c>
      <c r="BK864" s="137">
        <v>0.79600000000000004</v>
      </c>
      <c r="BL864" s="137">
        <v>1</v>
      </c>
      <c r="BM864" s="137">
        <v>8</v>
      </c>
      <c r="BN864" s="134">
        <v>1</v>
      </c>
      <c r="BO864" s="351">
        <v>102</v>
      </c>
      <c r="BP864" s="134">
        <v>0</v>
      </c>
      <c r="BQ864" s="135">
        <v>0</v>
      </c>
      <c r="BR864" s="137">
        <v>5</v>
      </c>
      <c r="BS864" s="138">
        <v>0</v>
      </c>
      <c r="BT864" s="351">
        <v>0</v>
      </c>
      <c r="BU864" s="214">
        <v>0</v>
      </c>
      <c r="BV864" s="214">
        <v>0</v>
      </c>
      <c r="BW864" s="214">
        <v>0</v>
      </c>
      <c r="BX864" s="214">
        <v>0</v>
      </c>
      <c r="BY864" s="214">
        <v>0</v>
      </c>
      <c r="BZ864" s="134">
        <v>0</v>
      </c>
      <c r="CA864" s="138">
        <v>1</v>
      </c>
      <c r="CB864" s="136">
        <v>0</v>
      </c>
      <c r="CC864" s="136">
        <v>0</v>
      </c>
      <c r="CD864" s="136">
        <v>0</v>
      </c>
      <c r="CE864" s="137">
        <v>0</v>
      </c>
      <c r="CF864" s="137">
        <v>0</v>
      </c>
      <c r="CG864" s="137">
        <v>0</v>
      </c>
      <c r="CH864" s="135">
        <v>9.5</v>
      </c>
      <c r="CI864" s="139" t="s">
        <v>48</v>
      </c>
      <c r="CJ864" s="139" t="s">
        <v>389</v>
      </c>
      <c r="CK864" s="139" t="s">
        <v>50</v>
      </c>
      <c r="CL864" s="139" t="s">
        <v>50</v>
      </c>
      <c r="CM864" s="139" t="s">
        <v>50</v>
      </c>
      <c r="CN864" s="139" t="s">
        <v>51</v>
      </c>
      <c r="CO864" s="139">
        <v>25.566510000000001</v>
      </c>
      <c r="CP864" s="139">
        <v>96.269199999999998</v>
      </c>
      <c r="CQ864" s="139" t="s">
        <v>2038</v>
      </c>
      <c r="CR864" s="449" t="s">
        <v>40</v>
      </c>
      <c r="CS864" s="449"/>
      <c r="CT864" s="24"/>
      <c r="CU864" s="24"/>
      <c r="CV864" s="24"/>
    </row>
    <row r="865" spans="1:100" ht="15.75" customHeight="1" x14ac:dyDescent="0.25">
      <c r="A865" s="643" t="s">
        <v>1388</v>
      </c>
      <c r="B865" s="132" t="s">
        <v>389</v>
      </c>
      <c r="C865" s="132" t="s">
        <v>44</v>
      </c>
      <c r="D865" s="132" t="s">
        <v>294</v>
      </c>
      <c r="E865" s="132" t="s">
        <v>406</v>
      </c>
      <c r="F865" s="132">
        <v>12</v>
      </c>
      <c r="G865" s="214">
        <v>62</v>
      </c>
      <c r="H865" s="132"/>
      <c r="I865" s="132" t="s">
        <v>391</v>
      </c>
      <c r="J865" s="133">
        <v>42947</v>
      </c>
      <c r="K865" s="132">
        <v>0</v>
      </c>
      <c r="L865" s="132" t="s">
        <v>48</v>
      </c>
      <c r="M865" s="134">
        <v>0.56999999999999995</v>
      </c>
      <c r="N865" s="134">
        <v>1</v>
      </c>
      <c r="O865" s="320">
        <v>1</v>
      </c>
      <c r="P865" s="326">
        <v>0</v>
      </c>
      <c r="Q865" s="326">
        <v>0</v>
      </c>
      <c r="R865" s="315">
        <v>0</v>
      </c>
      <c r="S865" s="315">
        <v>1</v>
      </c>
      <c r="T865" s="315"/>
      <c r="U865" s="315">
        <v>0</v>
      </c>
      <c r="V865" s="315">
        <v>0</v>
      </c>
      <c r="W865" s="315">
        <v>0</v>
      </c>
      <c r="X865" s="315">
        <v>0</v>
      </c>
      <c r="Y865" s="315">
        <v>0</v>
      </c>
      <c r="Z865" s="315"/>
      <c r="AA865" s="336">
        <v>4</v>
      </c>
      <c r="AB865" s="336">
        <v>0</v>
      </c>
      <c r="AC865" s="337">
        <v>0</v>
      </c>
      <c r="AD865" s="337"/>
      <c r="AE865" s="336">
        <v>4</v>
      </c>
      <c r="AF865" s="336" t="s">
        <v>283</v>
      </c>
      <c r="AG865" s="339" t="s">
        <v>1358</v>
      </c>
      <c r="AH865" s="339">
        <v>0</v>
      </c>
      <c r="AI865" s="336">
        <v>0</v>
      </c>
      <c r="AJ865" s="336"/>
      <c r="AK865" s="848">
        <v>0.6</v>
      </c>
      <c r="AL865" s="836" t="s">
        <v>376</v>
      </c>
      <c r="AM865" s="836">
        <v>0</v>
      </c>
      <c r="AN865" s="848">
        <v>2</v>
      </c>
      <c r="AO865" s="850">
        <v>0</v>
      </c>
      <c r="AP865" s="838">
        <v>0</v>
      </c>
      <c r="AQ865" s="839">
        <v>0</v>
      </c>
      <c r="AR865" s="839"/>
      <c r="AS865" s="839"/>
      <c r="AT865" s="839"/>
      <c r="AU865" s="839"/>
      <c r="AV865" s="849"/>
      <c r="AW865" s="134" t="s">
        <v>3208</v>
      </c>
      <c r="AX865" s="136" t="s">
        <v>3208</v>
      </c>
      <c r="AY865" s="137" t="s">
        <v>2576</v>
      </c>
      <c r="AZ865" s="136">
        <v>1</v>
      </c>
      <c r="BA865" s="136">
        <v>1</v>
      </c>
      <c r="BB865" s="136">
        <v>1</v>
      </c>
      <c r="BC865" s="214">
        <v>62</v>
      </c>
      <c r="BD865" s="136">
        <v>0</v>
      </c>
      <c r="BE865" s="214">
        <v>0</v>
      </c>
      <c r="BF865" s="136">
        <v>1</v>
      </c>
      <c r="BG865" s="214">
        <v>62</v>
      </c>
      <c r="BH865" s="214">
        <v>0.124</v>
      </c>
      <c r="BI865" s="134">
        <v>0</v>
      </c>
      <c r="BJ865" s="214">
        <v>0</v>
      </c>
      <c r="BK865" s="137">
        <v>0.876</v>
      </c>
      <c r="BL865" s="137">
        <v>1</v>
      </c>
      <c r="BM865" s="137">
        <v>4</v>
      </c>
      <c r="BN865" s="134">
        <v>1</v>
      </c>
      <c r="BO865" s="351">
        <v>62</v>
      </c>
      <c r="BP865" s="134">
        <v>0</v>
      </c>
      <c r="BQ865" s="214">
        <v>0</v>
      </c>
      <c r="BR865" s="137">
        <v>3</v>
      </c>
      <c r="BS865" s="138">
        <v>0</v>
      </c>
      <c r="BT865" s="351">
        <v>0</v>
      </c>
      <c r="BU865" s="214">
        <v>0</v>
      </c>
      <c r="BV865" s="214">
        <v>0</v>
      </c>
      <c r="BW865" s="214">
        <v>0</v>
      </c>
      <c r="BX865" s="214">
        <v>0</v>
      </c>
      <c r="BY865" s="214">
        <v>0</v>
      </c>
      <c r="BZ865" s="134">
        <v>0</v>
      </c>
      <c r="CA865" s="138">
        <v>1</v>
      </c>
      <c r="CB865" s="136">
        <v>0</v>
      </c>
      <c r="CC865" s="136">
        <v>0</v>
      </c>
      <c r="CD865" s="136">
        <v>0</v>
      </c>
      <c r="CE865" s="137">
        <v>0</v>
      </c>
      <c r="CF865" s="137">
        <v>0</v>
      </c>
      <c r="CG865" s="137">
        <v>0</v>
      </c>
      <c r="CH865" s="214">
        <v>7.1999999999999993</v>
      </c>
      <c r="CI865" s="139" t="s">
        <v>48</v>
      </c>
      <c r="CJ865" s="139" t="s">
        <v>389</v>
      </c>
      <c r="CK865" s="139" t="s">
        <v>50</v>
      </c>
      <c r="CL865" s="139" t="s">
        <v>50</v>
      </c>
      <c r="CM865" s="139" t="s">
        <v>50</v>
      </c>
      <c r="CN865" s="139" t="s">
        <v>51</v>
      </c>
      <c r="CO865" s="139">
        <v>25.61842</v>
      </c>
      <c r="CP865" s="139">
        <v>96.316400000000002</v>
      </c>
      <c r="CQ865" s="139" t="s">
        <v>2050</v>
      </c>
      <c r="CR865" s="449" t="s">
        <v>40</v>
      </c>
      <c r="CS865" s="449"/>
      <c r="CT865" s="24"/>
      <c r="CU865" s="24"/>
      <c r="CV865" s="24"/>
    </row>
    <row r="866" spans="1:100" ht="15.75" customHeight="1" x14ac:dyDescent="0.25">
      <c r="A866" s="643" t="s">
        <v>1388</v>
      </c>
      <c r="B866" s="132" t="s">
        <v>389</v>
      </c>
      <c r="C866" s="132" t="s">
        <v>44</v>
      </c>
      <c r="D866" s="132" t="s">
        <v>294</v>
      </c>
      <c r="E866" s="132" t="s">
        <v>407</v>
      </c>
      <c r="F866" s="132">
        <v>4</v>
      </c>
      <c r="G866" s="214">
        <v>15</v>
      </c>
      <c r="H866" s="132"/>
      <c r="I866" s="132" t="s">
        <v>391</v>
      </c>
      <c r="J866" s="133">
        <v>42947</v>
      </c>
      <c r="K866" s="132">
        <v>0</v>
      </c>
      <c r="L866" s="132" t="s">
        <v>48</v>
      </c>
      <c r="M866" s="134">
        <v>0.2</v>
      </c>
      <c r="N866" s="134">
        <v>0</v>
      </c>
      <c r="O866" s="320">
        <v>1</v>
      </c>
      <c r="P866" s="326">
        <v>1</v>
      </c>
      <c r="Q866" s="326">
        <v>0</v>
      </c>
      <c r="R866" s="315">
        <v>0</v>
      </c>
      <c r="S866" s="315">
        <v>1</v>
      </c>
      <c r="T866" s="315"/>
      <c r="U866" s="315">
        <v>0</v>
      </c>
      <c r="V866" s="315">
        <v>0</v>
      </c>
      <c r="W866" s="315">
        <v>0</v>
      </c>
      <c r="X866" s="315">
        <v>0</v>
      </c>
      <c r="Y866" s="315">
        <v>0</v>
      </c>
      <c r="Z866" s="315"/>
      <c r="AA866" s="336">
        <v>0</v>
      </c>
      <c r="AB866" s="336">
        <v>0</v>
      </c>
      <c r="AC866" s="337">
        <v>0</v>
      </c>
      <c r="AD866" s="337"/>
      <c r="AE866" s="336">
        <v>0</v>
      </c>
      <c r="AF866" s="336" t="s">
        <v>283</v>
      </c>
      <c r="AG866" s="339" t="s">
        <v>1358</v>
      </c>
      <c r="AH866" s="339">
        <v>0</v>
      </c>
      <c r="AI866" s="336">
        <v>0</v>
      </c>
      <c r="AJ866" s="336"/>
      <c r="AK866" s="848">
        <v>0.6</v>
      </c>
      <c r="AL866" s="836" t="s">
        <v>376</v>
      </c>
      <c r="AM866" s="836">
        <v>0</v>
      </c>
      <c r="AN866" s="848">
        <v>0</v>
      </c>
      <c r="AO866" s="850">
        <v>0</v>
      </c>
      <c r="AP866" s="838">
        <v>0</v>
      </c>
      <c r="AQ866" s="839">
        <v>0</v>
      </c>
      <c r="AR866" s="839"/>
      <c r="AS866" s="839"/>
      <c r="AT866" s="839"/>
      <c r="AU866" s="839"/>
      <c r="AV866" s="849"/>
      <c r="AW866" s="134" t="s">
        <v>3208</v>
      </c>
      <c r="AX866" s="136" t="s">
        <v>3208</v>
      </c>
      <c r="AY866" s="137" t="s">
        <v>2576</v>
      </c>
      <c r="AZ866" s="136">
        <v>1</v>
      </c>
      <c r="BA866" s="136">
        <v>1</v>
      </c>
      <c r="BB866" s="136">
        <v>1</v>
      </c>
      <c r="BC866" s="214">
        <v>15</v>
      </c>
      <c r="BD866" s="136">
        <v>0</v>
      </c>
      <c r="BE866" s="214">
        <v>0</v>
      </c>
      <c r="BF866" s="136">
        <v>1</v>
      </c>
      <c r="BG866" s="214">
        <v>15</v>
      </c>
      <c r="BH866" s="214">
        <v>0.03</v>
      </c>
      <c r="BI866" s="134">
        <v>0</v>
      </c>
      <c r="BJ866" s="214">
        <v>0</v>
      </c>
      <c r="BK866" s="137">
        <v>0.97</v>
      </c>
      <c r="BL866" s="137">
        <v>1</v>
      </c>
      <c r="BM866" s="137">
        <v>0</v>
      </c>
      <c r="BN866" s="134">
        <v>0</v>
      </c>
      <c r="BO866" s="351">
        <v>0</v>
      </c>
      <c r="BP866" s="134">
        <v>1</v>
      </c>
      <c r="BQ866" s="214">
        <v>1</v>
      </c>
      <c r="BR866" s="137">
        <v>1</v>
      </c>
      <c r="BS866" s="138">
        <v>0</v>
      </c>
      <c r="BT866" s="351">
        <v>0</v>
      </c>
      <c r="BU866" s="214">
        <v>0</v>
      </c>
      <c r="BV866" s="214">
        <v>0</v>
      </c>
      <c r="BW866" s="214">
        <v>0</v>
      </c>
      <c r="BX866" s="214">
        <v>0</v>
      </c>
      <c r="BY866" s="214">
        <v>0</v>
      </c>
      <c r="BZ866" s="134">
        <v>0</v>
      </c>
      <c r="CA866" s="138">
        <v>1</v>
      </c>
      <c r="CB866" s="136">
        <v>0</v>
      </c>
      <c r="CC866" s="136">
        <v>0</v>
      </c>
      <c r="CD866" s="136">
        <v>0</v>
      </c>
      <c r="CE866" s="137">
        <v>0</v>
      </c>
      <c r="CF866" s="137">
        <v>0</v>
      </c>
      <c r="CG866" s="137">
        <v>0</v>
      </c>
      <c r="CH866" s="214">
        <v>2.4</v>
      </c>
      <c r="CI866" s="139" t="s">
        <v>48</v>
      </c>
      <c r="CJ866" s="139" t="s">
        <v>2959</v>
      </c>
      <c r="CK866" s="139" t="s">
        <v>50</v>
      </c>
      <c r="CL866" s="139" t="s">
        <v>50</v>
      </c>
      <c r="CM866" s="139" t="s">
        <v>946</v>
      </c>
      <c r="CN866" s="139" t="s">
        <v>51</v>
      </c>
      <c r="CO866" s="139">
        <v>25.6145</v>
      </c>
      <c r="CP866" s="139">
        <v>96.319829999999996</v>
      </c>
      <c r="CQ866" s="139" t="s">
        <v>2046</v>
      </c>
      <c r="CR866" s="449" t="s">
        <v>40</v>
      </c>
      <c r="CS866" s="449"/>
      <c r="CT866" s="24"/>
      <c r="CU866" s="24"/>
      <c r="CV866" s="24"/>
    </row>
    <row r="867" spans="1:100" ht="15.75" customHeight="1" x14ac:dyDescent="0.25">
      <c r="A867" s="643" t="s">
        <v>1388</v>
      </c>
      <c r="B867" s="132" t="s">
        <v>287</v>
      </c>
      <c r="C867" s="132" t="s">
        <v>44</v>
      </c>
      <c r="D867" s="132" t="s">
        <v>294</v>
      </c>
      <c r="E867" s="132" t="s">
        <v>336</v>
      </c>
      <c r="F867" s="132">
        <v>10</v>
      </c>
      <c r="G867" s="214">
        <v>18</v>
      </c>
      <c r="H867" s="132"/>
      <c r="I867" s="132" t="s">
        <v>296</v>
      </c>
      <c r="J867" s="133">
        <v>43131</v>
      </c>
      <c r="K867" s="132">
        <v>30</v>
      </c>
      <c r="L867" s="132" t="s">
        <v>286</v>
      </c>
      <c r="M867" s="134">
        <v>0</v>
      </c>
      <c r="N867" s="134">
        <v>0.5</v>
      </c>
      <c r="O867" s="320">
        <v>0</v>
      </c>
      <c r="P867" s="326">
        <v>0</v>
      </c>
      <c r="Q867" s="326">
        <v>0</v>
      </c>
      <c r="R867" s="315">
        <v>0</v>
      </c>
      <c r="S867" s="315">
        <v>0</v>
      </c>
      <c r="T867" s="315"/>
      <c r="U867" s="315">
        <v>0</v>
      </c>
      <c r="V867" s="315">
        <v>0</v>
      </c>
      <c r="W867" s="315">
        <v>0</v>
      </c>
      <c r="X867" s="315">
        <v>0</v>
      </c>
      <c r="Y867" s="315">
        <v>0</v>
      </c>
      <c r="Z867" s="315"/>
      <c r="AA867" s="336">
        <v>0</v>
      </c>
      <c r="AB867" s="336">
        <v>0</v>
      </c>
      <c r="AC867" s="337">
        <v>0</v>
      </c>
      <c r="AD867" s="337"/>
      <c r="AE867" s="336">
        <v>0</v>
      </c>
      <c r="AF867" s="336" t="s">
        <v>332</v>
      </c>
      <c r="AG867" s="339" t="s">
        <v>1358</v>
      </c>
      <c r="AH867" s="339"/>
      <c r="AI867" s="336"/>
      <c r="AJ867" s="336"/>
      <c r="AK867" s="848">
        <v>0.2</v>
      </c>
      <c r="AL867" s="836" t="s">
        <v>284</v>
      </c>
      <c r="AM867" s="836">
        <v>0</v>
      </c>
      <c r="AN867" s="848">
        <v>0</v>
      </c>
      <c r="AO867" s="850">
        <v>1</v>
      </c>
      <c r="AP867" s="838">
        <v>0</v>
      </c>
      <c r="AQ867" s="839">
        <v>0</v>
      </c>
      <c r="AR867" s="839"/>
      <c r="AS867" s="839"/>
      <c r="AT867" s="839"/>
      <c r="AU867" s="839"/>
      <c r="AV867" s="849"/>
      <c r="AW867" s="134" t="s">
        <v>3208</v>
      </c>
      <c r="AX867" s="136" t="s">
        <v>3208</v>
      </c>
      <c r="AY867" s="137" t="s">
        <v>2576</v>
      </c>
      <c r="AZ867" s="136">
        <v>0</v>
      </c>
      <c r="BA867" s="136">
        <v>0</v>
      </c>
      <c r="BB867" s="136">
        <v>0</v>
      </c>
      <c r="BC867" s="214">
        <v>0</v>
      </c>
      <c r="BD867" s="136">
        <v>0</v>
      </c>
      <c r="BE867" s="214">
        <v>0</v>
      </c>
      <c r="BF867" s="136">
        <v>0</v>
      </c>
      <c r="BG867" s="214">
        <v>0</v>
      </c>
      <c r="BH867" s="214">
        <v>0</v>
      </c>
      <c r="BI867" s="134">
        <v>1</v>
      </c>
      <c r="BJ867" s="214">
        <v>18</v>
      </c>
      <c r="BK867" s="137">
        <v>1</v>
      </c>
      <c r="BL867" s="137">
        <v>1</v>
      </c>
      <c r="BM867" s="137">
        <v>0</v>
      </c>
      <c r="BN867" s="134">
        <v>0</v>
      </c>
      <c r="BO867" s="351">
        <v>0</v>
      </c>
      <c r="BP867" s="134">
        <v>1</v>
      </c>
      <c r="BQ867" s="214">
        <v>1</v>
      </c>
      <c r="BR867" s="137">
        <v>1</v>
      </c>
      <c r="BS867" s="138">
        <v>0</v>
      </c>
      <c r="BT867" s="351">
        <v>0</v>
      </c>
      <c r="BU867" s="214">
        <v>18</v>
      </c>
      <c r="BV867" s="214">
        <v>0</v>
      </c>
      <c r="BW867" s="214">
        <v>1</v>
      </c>
      <c r="BX867" s="214">
        <v>0</v>
      </c>
      <c r="BY867" s="214">
        <v>0</v>
      </c>
      <c r="BZ867" s="134">
        <v>0</v>
      </c>
      <c r="CA867" s="138">
        <v>1</v>
      </c>
      <c r="CB867" s="136">
        <v>1</v>
      </c>
      <c r="CC867" s="136">
        <v>0</v>
      </c>
      <c r="CD867" s="136">
        <v>0</v>
      </c>
      <c r="CE867" s="137">
        <v>0</v>
      </c>
      <c r="CF867" s="137">
        <v>0</v>
      </c>
      <c r="CG867" s="137">
        <v>0</v>
      </c>
      <c r="CH867" s="214">
        <v>2</v>
      </c>
      <c r="CI867" s="139" t="s">
        <v>48</v>
      </c>
      <c r="CJ867" s="139" t="s">
        <v>1539</v>
      </c>
      <c r="CK867" s="139" t="s">
        <v>50</v>
      </c>
      <c r="CL867" s="139" t="s">
        <v>50</v>
      </c>
      <c r="CM867" s="139" t="s">
        <v>50</v>
      </c>
      <c r="CN867" s="139" t="s">
        <v>51</v>
      </c>
      <c r="CO867" s="139">
        <v>25.920006000000001</v>
      </c>
      <c r="CP867" s="139">
        <v>96.662092000000001</v>
      </c>
      <c r="CQ867" s="139" t="s">
        <v>2068</v>
      </c>
      <c r="CR867" s="449" t="s">
        <v>40</v>
      </c>
      <c r="CS867" s="449"/>
      <c r="CT867" s="24"/>
      <c r="CU867" s="24"/>
      <c r="CV867" s="24"/>
    </row>
    <row r="868" spans="1:100" ht="15.75" customHeight="1" x14ac:dyDescent="0.25">
      <c r="A868" s="643" t="s">
        <v>1388</v>
      </c>
      <c r="B868" s="132" t="s">
        <v>389</v>
      </c>
      <c r="C868" s="132" t="s">
        <v>44</v>
      </c>
      <c r="D868" s="132" t="s">
        <v>294</v>
      </c>
      <c r="E868" s="132" t="s">
        <v>408</v>
      </c>
      <c r="F868" s="132">
        <v>11</v>
      </c>
      <c r="G868" s="214">
        <v>45</v>
      </c>
      <c r="H868" s="132"/>
      <c r="I868" s="132" t="s">
        <v>391</v>
      </c>
      <c r="J868" s="133">
        <v>42947</v>
      </c>
      <c r="K868" s="132">
        <v>0</v>
      </c>
      <c r="L868" s="132" t="s">
        <v>48</v>
      </c>
      <c r="M868" s="134">
        <v>0.6</v>
      </c>
      <c r="N868" s="134">
        <v>0</v>
      </c>
      <c r="O868" s="320">
        <v>0</v>
      </c>
      <c r="P868" s="326">
        <v>1</v>
      </c>
      <c r="Q868" s="326">
        <v>1000</v>
      </c>
      <c r="R868" s="315">
        <v>0</v>
      </c>
      <c r="S868" s="315">
        <v>1</v>
      </c>
      <c r="T868" s="315"/>
      <c r="U868" s="315">
        <v>0</v>
      </c>
      <c r="V868" s="315">
        <v>0</v>
      </c>
      <c r="W868" s="315">
        <v>0</v>
      </c>
      <c r="X868" s="315">
        <v>0</v>
      </c>
      <c r="Y868" s="315">
        <v>0</v>
      </c>
      <c r="Z868" s="315"/>
      <c r="AA868" s="336">
        <v>5</v>
      </c>
      <c r="AB868" s="336">
        <v>0</v>
      </c>
      <c r="AC868" s="337">
        <v>0</v>
      </c>
      <c r="AD868" s="337"/>
      <c r="AE868" s="336">
        <v>5</v>
      </c>
      <c r="AF868" s="336" t="s">
        <v>283</v>
      </c>
      <c r="AG868" s="339" t="s">
        <v>1358</v>
      </c>
      <c r="AH868" s="339">
        <v>0</v>
      </c>
      <c r="AI868" s="336">
        <v>0</v>
      </c>
      <c r="AJ868" s="336"/>
      <c r="AK868" s="848">
        <v>0.6</v>
      </c>
      <c r="AL868" s="836" t="s">
        <v>376</v>
      </c>
      <c r="AM868" s="836">
        <v>0</v>
      </c>
      <c r="AN868" s="848">
        <v>2</v>
      </c>
      <c r="AO868" s="850">
        <v>0</v>
      </c>
      <c r="AP868" s="838">
        <v>0</v>
      </c>
      <c r="AQ868" s="839">
        <v>0</v>
      </c>
      <c r="AR868" s="839"/>
      <c r="AS868" s="839"/>
      <c r="AT868" s="839"/>
      <c r="AU868" s="839"/>
      <c r="AV868" s="849"/>
      <c r="AW868" s="134" t="s">
        <v>3208</v>
      </c>
      <c r="AX868" s="136" t="s">
        <v>3208</v>
      </c>
      <c r="AY868" s="137" t="s">
        <v>2576</v>
      </c>
      <c r="AZ868" s="136">
        <v>1</v>
      </c>
      <c r="BA868" s="136">
        <v>1</v>
      </c>
      <c r="BB868" s="136">
        <v>1</v>
      </c>
      <c r="BC868" s="214">
        <v>45</v>
      </c>
      <c r="BD868" s="136">
        <v>0</v>
      </c>
      <c r="BE868" s="214">
        <v>0</v>
      </c>
      <c r="BF868" s="136">
        <v>1</v>
      </c>
      <c r="BG868" s="214">
        <v>45</v>
      </c>
      <c r="BH868" s="214">
        <v>0.09</v>
      </c>
      <c r="BI868" s="134">
        <v>0</v>
      </c>
      <c r="BJ868" s="214">
        <v>0</v>
      </c>
      <c r="BK868" s="137">
        <v>0.91</v>
      </c>
      <c r="BL868" s="137">
        <v>1</v>
      </c>
      <c r="BM868" s="137">
        <v>5</v>
      </c>
      <c r="BN868" s="134">
        <v>1</v>
      </c>
      <c r="BO868" s="351">
        <v>45</v>
      </c>
      <c r="BP868" s="134">
        <v>0</v>
      </c>
      <c r="BQ868" s="214">
        <v>0</v>
      </c>
      <c r="BR868" s="137">
        <v>2</v>
      </c>
      <c r="BS868" s="138">
        <v>0</v>
      </c>
      <c r="BT868" s="351">
        <v>0</v>
      </c>
      <c r="BU868" s="214">
        <v>0</v>
      </c>
      <c r="BV868" s="214">
        <v>0</v>
      </c>
      <c r="BW868" s="214">
        <v>0</v>
      </c>
      <c r="BX868" s="214">
        <v>0</v>
      </c>
      <c r="BY868" s="214">
        <v>0</v>
      </c>
      <c r="BZ868" s="134">
        <v>0</v>
      </c>
      <c r="CA868" s="138">
        <v>1</v>
      </c>
      <c r="CB868" s="136">
        <v>0</v>
      </c>
      <c r="CC868" s="136">
        <v>0</v>
      </c>
      <c r="CD868" s="136">
        <v>0</v>
      </c>
      <c r="CE868" s="137">
        <v>0</v>
      </c>
      <c r="CF868" s="137">
        <v>0</v>
      </c>
      <c r="CG868" s="137">
        <v>0</v>
      </c>
      <c r="CH868" s="214">
        <v>6.6</v>
      </c>
      <c r="CI868" s="139" t="s">
        <v>48</v>
      </c>
      <c r="CJ868" s="139" t="s">
        <v>2959</v>
      </c>
      <c r="CK868" s="139" t="s">
        <v>50</v>
      </c>
      <c r="CL868" s="139" t="s">
        <v>50</v>
      </c>
      <c r="CM868" s="139" t="s">
        <v>946</v>
      </c>
      <c r="CN868" s="139" t="s">
        <v>51</v>
      </c>
      <c r="CO868" s="139">
        <v>25.617998</v>
      </c>
      <c r="CP868" s="139">
        <v>96.339590000000001</v>
      </c>
      <c r="CQ868" s="139" t="s">
        <v>2049</v>
      </c>
      <c r="CR868" s="449" t="s">
        <v>40</v>
      </c>
      <c r="CS868" s="449"/>
      <c r="CT868" s="24"/>
      <c r="CU868" s="24"/>
      <c r="CV868" s="24"/>
    </row>
    <row r="869" spans="1:100" ht="15.75" customHeight="1" x14ac:dyDescent="0.25">
      <c r="A869" s="643" t="s">
        <v>1388</v>
      </c>
      <c r="B869" s="132" t="s">
        <v>43</v>
      </c>
      <c r="C869" s="132" t="s">
        <v>44</v>
      </c>
      <c r="D869" s="132" t="s">
        <v>294</v>
      </c>
      <c r="E869" s="132" t="s">
        <v>378</v>
      </c>
      <c r="F869" s="132">
        <v>48</v>
      </c>
      <c r="G869" s="214">
        <v>221</v>
      </c>
      <c r="H869" s="132"/>
      <c r="I869" s="132" t="s">
        <v>372</v>
      </c>
      <c r="J869" s="133">
        <v>43465</v>
      </c>
      <c r="K869" s="132">
        <v>0</v>
      </c>
      <c r="L869" s="132" t="s">
        <v>2452</v>
      </c>
      <c r="M869" s="134">
        <v>0.6</v>
      </c>
      <c r="N869" s="134">
        <v>0.1</v>
      </c>
      <c r="O869" s="320">
        <v>1</v>
      </c>
      <c r="P869" s="326">
        <v>1</v>
      </c>
      <c r="Q869" s="326">
        <v>4000</v>
      </c>
      <c r="R869" s="315">
        <v>0</v>
      </c>
      <c r="S869" s="315">
        <v>2</v>
      </c>
      <c r="T869" s="315"/>
      <c r="U869" s="315">
        <v>1</v>
      </c>
      <c r="V869" s="315">
        <v>0</v>
      </c>
      <c r="W869" s="315">
        <v>15</v>
      </c>
      <c r="X869" s="315">
        <v>4</v>
      </c>
      <c r="Y869" s="315">
        <v>0</v>
      </c>
      <c r="Z869" s="315"/>
      <c r="AA869" s="336">
        <v>8</v>
      </c>
      <c r="AB869" s="336">
        <v>0</v>
      </c>
      <c r="AC869" s="337">
        <v>0</v>
      </c>
      <c r="AD869" s="337"/>
      <c r="AE869" s="336">
        <v>16</v>
      </c>
      <c r="AF869" s="336" t="s">
        <v>283</v>
      </c>
      <c r="AG869" s="339" t="s">
        <v>283</v>
      </c>
      <c r="AH869" s="339">
        <v>0</v>
      </c>
      <c r="AI869" s="336">
        <v>0</v>
      </c>
      <c r="AJ869" s="336"/>
      <c r="AK869" s="848">
        <v>0</v>
      </c>
      <c r="AL869" s="836" t="s">
        <v>376</v>
      </c>
      <c r="AM869" s="836">
        <v>0</v>
      </c>
      <c r="AN869" s="848">
        <v>2</v>
      </c>
      <c r="AO869" s="850">
        <v>2</v>
      </c>
      <c r="AP869" s="838">
        <v>0</v>
      </c>
      <c r="AQ869" s="839">
        <v>0</v>
      </c>
      <c r="AR869" s="839" t="s">
        <v>282</v>
      </c>
      <c r="AS869" s="839"/>
      <c r="AT869" s="839"/>
      <c r="AU869" s="839"/>
      <c r="AV869" s="849"/>
      <c r="AW869" s="134">
        <v>0</v>
      </c>
      <c r="AX869" s="136">
        <v>0.26666666666666666</v>
      </c>
      <c r="AY869" s="137" t="s">
        <v>2577</v>
      </c>
      <c r="AZ869" s="136">
        <v>1</v>
      </c>
      <c r="BA869" s="136">
        <v>1</v>
      </c>
      <c r="BB869" s="136">
        <v>1</v>
      </c>
      <c r="BC869" s="214">
        <v>221</v>
      </c>
      <c r="BD869" s="136">
        <v>0</v>
      </c>
      <c r="BE869" s="214">
        <v>0</v>
      </c>
      <c r="BF869" s="136">
        <v>1</v>
      </c>
      <c r="BG869" s="214">
        <v>221</v>
      </c>
      <c r="BH869" s="214">
        <v>0.442</v>
      </c>
      <c r="BI869" s="134">
        <v>0</v>
      </c>
      <c r="BJ869" s="214">
        <v>0</v>
      </c>
      <c r="BK869" s="137">
        <v>0.55800000000000005</v>
      </c>
      <c r="BL869" s="137">
        <v>1</v>
      </c>
      <c r="BM869" s="137">
        <v>8</v>
      </c>
      <c r="BN869" s="134">
        <v>0.72398190045248867</v>
      </c>
      <c r="BO869" s="351">
        <v>160</v>
      </c>
      <c r="BP869" s="134">
        <v>0.27149321266968324</v>
      </c>
      <c r="BQ869" s="214">
        <v>3</v>
      </c>
      <c r="BR869" s="137">
        <v>11</v>
      </c>
      <c r="BS869" s="138">
        <v>0</v>
      </c>
      <c r="BT869" s="351">
        <v>0</v>
      </c>
      <c r="BU869" s="214">
        <v>221</v>
      </c>
      <c r="BV869" s="214">
        <v>0</v>
      </c>
      <c r="BW869" s="214">
        <v>1</v>
      </c>
      <c r="BX869" s="214">
        <v>0</v>
      </c>
      <c r="BY869" s="214">
        <v>0</v>
      </c>
      <c r="BZ869" s="134">
        <v>0</v>
      </c>
      <c r="CA869" s="138">
        <v>1</v>
      </c>
      <c r="CB869" s="136">
        <v>1</v>
      </c>
      <c r="CC869" s="136">
        <v>0</v>
      </c>
      <c r="CD869" s="136">
        <v>0</v>
      </c>
      <c r="CE869" s="137">
        <v>0</v>
      </c>
      <c r="CF869" s="137">
        <v>0</v>
      </c>
      <c r="CG869" s="137">
        <v>0</v>
      </c>
      <c r="CH869" s="214">
        <v>0</v>
      </c>
      <c r="CI869" s="139" t="s">
        <v>48</v>
      </c>
      <c r="CJ869" s="139" t="s">
        <v>1539</v>
      </c>
      <c r="CK869" s="139" t="s">
        <v>50</v>
      </c>
      <c r="CL869" s="139" t="s">
        <v>50</v>
      </c>
      <c r="CM869" s="139" t="s">
        <v>50</v>
      </c>
      <c r="CN869" s="139" t="s">
        <v>51</v>
      </c>
      <c r="CO869" s="139">
        <v>25.613894999999999</v>
      </c>
      <c r="CP869" s="139">
        <v>96.341352999999998</v>
      </c>
      <c r="CQ869" s="139" t="s">
        <v>2045</v>
      </c>
      <c r="CR869" s="449" t="s">
        <v>40</v>
      </c>
      <c r="CS869" s="449"/>
      <c r="CT869" s="24"/>
      <c r="CU869" s="24"/>
      <c r="CV869" s="24"/>
    </row>
    <row r="870" spans="1:100" ht="15.75" customHeight="1" x14ac:dyDescent="0.25">
      <c r="A870" s="643" t="s">
        <v>1388</v>
      </c>
      <c r="B870" s="132" t="s">
        <v>389</v>
      </c>
      <c r="C870" s="132" t="s">
        <v>44</v>
      </c>
      <c r="D870" s="132" t="s">
        <v>294</v>
      </c>
      <c r="E870" s="132" t="s">
        <v>409</v>
      </c>
      <c r="F870" s="132">
        <v>10</v>
      </c>
      <c r="G870" s="214">
        <v>37</v>
      </c>
      <c r="H870" s="132"/>
      <c r="I870" s="132" t="s">
        <v>391</v>
      </c>
      <c r="J870" s="133">
        <v>42947</v>
      </c>
      <c r="K870" s="132">
        <v>0</v>
      </c>
      <c r="L870" s="132" t="s">
        <v>48</v>
      </c>
      <c r="M870" s="134">
        <v>0.5</v>
      </c>
      <c r="N870" s="134">
        <v>0</v>
      </c>
      <c r="O870" s="320">
        <v>1</v>
      </c>
      <c r="P870" s="326">
        <v>1</v>
      </c>
      <c r="Q870" s="326">
        <v>0</v>
      </c>
      <c r="R870" s="315">
        <v>0</v>
      </c>
      <c r="S870" s="315">
        <v>2</v>
      </c>
      <c r="T870" s="315"/>
      <c r="U870" s="315">
        <v>0</v>
      </c>
      <c r="V870" s="315">
        <v>0</v>
      </c>
      <c r="W870" s="315">
        <v>0</v>
      </c>
      <c r="X870" s="315">
        <v>0</v>
      </c>
      <c r="Y870" s="315">
        <v>0</v>
      </c>
      <c r="Z870" s="315"/>
      <c r="AA870" s="336">
        <v>2</v>
      </c>
      <c r="AB870" s="336">
        <v>2</v>
      </c>
      <c r="AC870" s="337">
        <v>0</v>
      </c>
      <c r="AD870" s="337"/>
      <c r="AE870" s="336">
        <v>2</v>
      </c>
      <c r="AF870" s="336" t="s">
        <v>283</v>
      </c>
      <c r="AG870" s="339" t="s">
        <v>283</v>
      </c>
      <c r="AH870" s="339">
        <v>0</v>
      </c>
      <c r="AI870" s="336">
        <v>0</v>
      </c>
      <c r="AJ870" s="336"/>
      <c r="AK870" s="848">
        <v>0.5</v>
      </c>
      <c r="AL870" s="836" t="s">
        <v>376</v>
      </c>
      <c r="AM870" s="836">
        <v>0</v>
      </c>
      <c r="AN870" s="848">
        <v>2</v>
      </c>
      <c r="AO870" s="850">
        <v>0</v>
      </c>
      <c r="AP870" s="838">
        <v>0</v>
      </c>
      <c r="AQ870" s="839">
        <v>0</v>
      </c>
      <c r="AR870" s="839"/>
      <c r="AS870" s="839"/>
      <c r="AT870" s="839"/>
      <c r="AU870" s="839"/>
      <c r="AV870" s="849"/>
      <c r="AW870" s="134" t="s">
        <v>3208</v>
      </c>
      <c r="AX870" s="136" t="s">
        <v>3208</v>
      </c>
      <c r="AY870" s="137" t="s">
        <v>2576</v>
      </c>
      <c r="AZ870" s="136">
        <v>1</v>
      </c>
      <c r="BA870" s="136">
        <v>1</v>
      </c>
      <c r="BB870" s="136">
        <v>1</v>
      </c>
      <c r="BC870" s="214">
        <v>37</v>
      </c>
      <c r="BD870" s="136">
        <v>0</v>
      </c>
      <c r="BE870" s="214">
        <v>0</v>
      </c>
      <c r="BF870" s="136">
        <v>1</v>
      </c>
      <c r="BG870" s="214">
        <v>37</v>
      </c>
      <c r="BH870" s="214">
        <v>7.3999999999999996E-2</v>
      </c>
      <c r="BI870" s="134">
        <v>0</v>
      </c>
      <c r="BJ870" s="214">
        <v>0</v>
      </c>
      <c r="BK870" s="137">
        <v>0.92600000000000005</v>
      </c>
      <c r="BL870" s="137">
        <v>1</v>
      </c>
      <c r="BM870" s="137">
        <v>4</v>
      </c>
      <c r="BN870" s="134">
        <v>1</v>
      </c>
      <c r="BO870" s="351">
        <v>37</v>
      </c>
      <c r="BP870" s="134">
        <v>0</v>
      </c>
      <c r="BQ870" s="214">
        <v>0</v>
      </c>
      <c r="BR870" s="137">
        <v>2</v>
      </c>
      <c r="BS870" s="138">
        <v>0.5</v>
      </c>
      <c r="BT870" s="351">
        <v>0</v>
      </c>
      <c r="BU870" s="214">
        <v>0</v>
      </c>
      <c r="BV870" s="214">
        <v>0</v>
      </c>
      <c r="BW870" s="214">
        <v>0</v>
      </c>
      <c r="BX870" s="214">
        <v>0</v>
      </c>
      <c r="BY870" s="214">
        <v>0</v>
      </c>
      <c r="BZ870" s="134">
        <v>0</v>
      </c>
      <c r="CA870" s="138">
        <v>1</v>
      </c>
      <c r="CB870" s="136">
        <v>0</v>
      </c>
      <c r="CC870" s="136">
        <v>0</v>
      </c>
      <c r="CD870" s="136">
        <v>0</v>
      </c>
      <c r="CE870" s="137">
        <v>0</v>
      </c>
      <c r="CF870" s="137">
        <v>0</v>
      </c>
      <c r="CG870" s="137">
        <v>0</v>
      </c>
      <c r="CH870" s="214">
        <v>5</v>
      </c>
      <c r="CI870" s="139" t="s">
        <v>48</v>
      </c>
      <c r="CJ870" s="139" t="s">
        <v>2959</v>
      </c>
      <c r="CK870" s="139" t="s">
        <v>50</v>
      </c>
      <c r="CL870" s="139" t="s">
        <v>50</v>
      </c>
      <c r="CM870" s="139" t="s">
        <v>946</v>
      </c>
      <c r="CN870" s="139" t="s">
        <v>51</v>
      </c>
      <c r="CO870" s="139">
        <v>25.56551</v>
      </c>
      <c r="CP870" s="139">
        <v>96.279200000000003</v>
      </c>
      <c r="CQ870" s="139" t="s">
        <v>2037</v>
      </c>
      <c r="CR870" s="449" t="s">
        <v>40</v>
      </c>
      <c r="CS870" s="449"/>
      <c r="CT870" s="24"/>
      <c r="CU870" s="24"/>
      <c r="CV870" s="24"/>
    </row>
    <row r="871" spans="1:100" ht="15.75" customHeight="1" x14ac:dyDescent="0.25">
      <c r="A871" s="643" t="s">
        <v>1388</v>
      </c>
      <c r="B871" s="132" t="s">
        <v>389</v>
      </c>
      <c r="C871" s="132" t="s">
        <v>44</v>
      </c>
      <c r="D871" s="132" t="s">
        <v>294</v>
      </c>
      <c r="E871" s="132" t="s">
        <v>410</v>
      </c>
      <c r="F871" s="132">
        <v>8</v>
      </c>
      <c r="G871" s="214">
        <v>25</v>
      </c>
      <c r="H871" s="132"/>
      <c r="I871" s="132" t="s">
        <v>391</v>
      </c>
      <c r="J871" s="133">
        <v>42947</v>
      </c>
      <c r="K871" s="132">
        <v>0</v>
      </c>
      <c r="L871" s="132" t="s">
        <v>48</v>
      </c>
      <c r="M871" s="134">
        <v>0</v>
      </c>
      <c r="N871" s="134">
        <v>0</v>
      </c>
      <c r="O871" s="320">
        <v>1</v>
      </c>
      <c r="P871" s="326">
        <v>0</v>
      </c>
      <c r="Q871" s="326">
        <v>1000</v>
      </c>
      <c r="R871" s="315">
        <v>0</v>
      </c>
      <c r="S871" s="315">
        <v>1</v>
      </c>
      <c r="T871" s="315"/>
      <c r="U871" s="315">
        <v>0</v>
      </c>
      <c r="V871" s="315">
        <v>0</v>
      </c>
      <c r="W871" s="315">
        <v>0</v>
      </c>
      <c r="X871" s="315">
        <v>0</v>
      </c>
      <c r="Y871" s="315">
        <v>0</v>
      </c>
      <c r="Z871" s="315"/>
      <c r="AA871" s="336">
        <v>0</v>
      </c>
      <c r="AB871" s="336">
        <v>0</v>
      </c>
      <c r="AC871" s="337">
        <v>0</v>
      </c>
      <c r="AD871" s="337"/>
      <c r="AE871" s="336">
        <v>0</v>
      </c>
      <c r="AF871" s="336" t="s">
        <v>283</v>
      </c>
      <c r="AG871" s="339" t="s">
        <v>1358</v>
      </c>
      <c r="AH871" s="339">
        <v>0</v>
      </c>
      <c r="AI871" s="336">
        <v>0</v>
      </c>
      <c r="AJ871" s="336"/>
      <c r="AK871" s="848">
        <v>0.6</v>
      </c>
      <c r="AL871" s="836" t="s">
        <v>376</v>
      </c>
      <c r="AM871" s="836">
        <v>0</v>
      </c>
      <c r="AN871" s="848">
        <v>0</v>
      </c>
      <c r="AO871" s="850">
        <v>0</v>
      </c>
      <c r="AP871" s="838">
        <v>0</v>
      </c>
      <c r="AQ871" s="839">
        <v>0</v>
      </c>
      <c r="AR871" s="839"/>
      <c r="AS871" s="839"/>
      <c r="AT871" s="839"/>
      <c r="AU871" s="839"/>
      <c r="AV871" s="849"/>
      <c r="AW871" s="134" t="s">
        <v>3208</v>
      </c>
      <c r="AX871" s="136" t="s">
        <v>3208</v>
      </c>
      <c r="AY871" s="137" t="s">
        <v>2576</v>
      </c>
      <c r="AZ871" s="136">
        <v>1</v>
      </c>
      <c r="BA871" s="136">
        <v>1</v>
      </c>
      <c r="BB871" s="136">
        <v>1</v>
      </c>
      <c r="BC871" s="214">
        <v>25</v>
      </c>
      <c r="BD871" s="136">
        <v>0</v>
      </c>
      <c r="BE871" s="214">
        <v>0</v>
      </c>
      <c r="BF871" s="136">
        <v>1</v>
      </c>
      <c r="BG871" s="214">
        <v>25</v>
      </c>
      <c r="BH871" s="214">
        <v>0.05</v>
      </c>
      <c r="BI871" s="134">
        <v>0</v>
      </c>
      <c r="BJ871" s="214">
        <v>0</v>
      </c>
      <c r="BK871" s="137">
        <v>0.95</v>
      </c>
      <c r="BL871" s="137">
        <v>1</v>
      </c>
      <c r="BM871" s="137">
        <v>0</v>
      </c>
      <c r="BN871" s="134">
        <v>0</v>
      </c>
      <c r="BO871" s="351">
        <v>0</v>
      </c>
      <c r="BP871" s="134">
        <v>0.8</v>
      </c>
      <c r="BQ871" s="214">
        <v>1</v>
      </c>
      <c r="BR871" s="137">
        <v>1</v>
      </c>
      <c r="BS871" s="138">
        <v>0</v>
      </c>
      <c r="BT871" s="351">
        <v>0</v>
      </c>
      <c r="BU871" s="214">
        <v>0</v>
      </c>
      <c r="BV871" s="214">
        <v>0</v>
      </c>
      <c r="BW871" s="214">
        <v>0</v>
      </c>
      <c r="BX871" s="214">
        <v>0</v>
      </c>
      <c r="BY871" s="214">
        <v>0</v>
      </c>
      <c r="BZ871" s="134">
        <v>0</v>
      </c>
      <c r="CA871" s="138">
        <v>1</v>
      </c>
      <c r="CB871" s="136">
        <v>0</v>
      </c>
      <c r="CC871" s="136">
        <v>0</v>
      </c>
      <c r="CD871" s="136">
        <v>0</v>
      </c>
      <c r="CE871" s="137">
        <v>0</v>
      </c>
      <c r="CF871" s="137">
        <v>0</v>
      </c>
      <c r="CG871" s="137">
        <v>0</v>
      </c>
      <c r="CH871" s="214">
        <v>4.8</v>
      </c>
      <c r="CI871" s="139" t="s">
        <v>48</v>
      </c>
      <c r="CJ871" s="139" t="s">
        <v>287</v>
      </c>
      <c r="CK871" s="139" t="s">
        <v>50</v>
      </c>
      <c r="CL871" s="139" t="s">
        <v>50</v>
      </c>
      <c r="CM871" s="139" t="s">
        <v>929</v>
      </c>
      <c r="CN871" s="139" t="s">
        <v>51</v>
      </c>
      <c r="CO871" s="139">
        <v>25.668399999999998</v>
      </c>
      <c r="CP871" s="139">
        <v>96.353030000000004</v>
      </c>
      <c r="CQ871" s="139" t="s">
        <v>2058</v>
      </c>
      <c r="CR871" s="449" t="s">
        <v>40</v>
      </c>
      <c r="CS871" s="449"/>
      <c r="CT871" s="24"/>
      <c r="CU871" s="24"/>
      <c r="CV871" s="24"/>
    </row>
    <row r="872" spans="1:100" ht="15.75" customHeight="1" x14ac:dyDescent="0.25">
      <c r="A872" s="643" t="s">
        <v>1388</v>
      </c>
      <c r="B872" s="132" t="s">
        <v>287</v>
      </c>
      <c r="C872" s="132" t="s">
        <v>44</v>
      </c>
      <c r="D872" s="132" t="s">
        <v>294</v>
      </c>
      <c r="E872" s="132" t="s">
        <v>334</v>
      </c>
      <c r="F872" s="132">
        <v>30</v>
      </c>
      <c r="G872" s="214">
        <v>120</v>
      </c>
      <c r="H872" s="132"/>
      <c r="I872" s="132" t="s">
        <v>296</v>
      </c>
      <c r="J872" s="133">
        <v>43131</v>
      </c>
      <c r="K872" s="132">
        <v>0</v>
      </c>
      <c r="L872" s="132" t="s">
        <v>48</v>
      </c>
      <c r="M872" s="134">
        <v>0.4</v>
      </c>
      <c r="N872" s="134">
        <v>0.5</v>
      </c>
      <c r="O872" s="320">
        <v>1</v>
      </c>
      <c r="P872" s="326">
        <v>1</v>
      </c>
      <c r="Q872" s="326">
        <v>0</v>
      </c>
      <c r="R872" s="315">
        <v>0</v>
      </c>
      <c r="S872" s="315">
        <v>0</v>
      </c>
      <c r="T872" s="315"/>
      <c r="U872" s="315">
        <v>0</v>
      </c>
      <c r="V872" s="315">
        <v>0</v>
      </c>
      <c r="W872" s="315">
        <v>0</v>
      </c>
      <c r="X872" s="315">
        <v>0</v>
      </c>
      <c r="Y872" s="315">
        <v>0</v>
      </c>
      <c r="Z872" s="315"/>
      <c r="AA872" s="336">
        <v>8</v>
      </c>
      <c r="AB872" s="336">
        <v>0</v>
      </c>
      <c r="AC872" s="337">
        <v>0</v>
      </c>
      <c r="AD872" s="337"/>
      <c r="AE872" s="336">
        <v>0</v>
      </c>
      <c r="AF872" s="336" t="s">
        <v>332</v>
      </c>
      <c r="AG872" s="339" t="s">
        <v>1358</v>
      </c>
      <c r="AH872" s="339"/>
      <c r="AI872" s="336"/>
      <c r="AJ872" s="336"/>
      <c r="AK872" s="848">
        <v>0.2</v>
      </c>
      <c r="AL872" s="836" t="s">
        <v>376</v>
      </c>
      <c r="AM872" s="836">
        <v>0</v>
      </c>
      <c r="AN872" s="848">
        <v>2</v>
      </c>
      <c r="AO872" s="850">
        <v>1</v>
      </c>
      <c r="AP872" s="838">
        <v>0</v>
      </c>
      <c r="AQ872" s="839">
        <v>0</v>
      </c>
      <c r="AR872" s="839"/>
      <c r="AS872" s="839"/>
      <c r="AT872" s="839"/>
      <c r="AU872" s="839"/>
      <c r="AV872" s="849"/>
      <c r="AW872" s="134" t="s">
        <v>3208</v>
      </c>
      <c r="AX872" s="136" t="s">
        <v>3208</v>
      </c>
      <c r="AY872" s="137" t="s">
        <v>2576</v>
      </c>
      <c r="AZ872" s="136">
        <v>1</v>
      </c>
      <c r="BA872" s="136">
        <v>1</v>
      </c>
      <c r="BB872" s="136">
        <v>1</v>
      </c>
      <c r="BC872" s="214">
        <v>120</v>
      </c>
      <c r="BD872" s="136">
        <v>0</v>
      </c>
      <c r="BE872" s="214">
        <v>0</v>
      </c>
      <c r="BF872" s="136">
        <v>1</v>
      </c>
      <c r="BG872" s="214">
        <v>120</v>
      </c>
      <c r="BH872" s="214">
        <v>0.24</v>
      </c>
      <c r="BI872" s="134">
        <v>0</v>
      </c>
      <c r="BJ872" s="214">
        <v>0</v>
      </c>
      <c r="BK872" s="137">
        <v>0.76</v>
      </c>
      <c r="BL872" s="137">
        <v>1</v>
      </c>
      <c r="BM872" s="137">
        <v>8</v>
      </c>
      <c r="BN872" s="134">
        <v>1</v>
      </c>
      <c r="BO872" s="351">
        <v>120</v>
      </c>
      <c r="BP872" s="134">
        <v>0</v>
      </c>
      <c r="BQ872" s="214">
        <v>0</v>
      </c>
      <c r="BR872" s="137">
        <v>6</v>
      </c>
      <c r="BS872" s="138">
        <v>0</v>
      </c>
      <c r="BT872" s="351">
        <v>0</v>
      </c>
      <c r="BU872" s="214">
        <v>120</v>
      </c>
      <c r="BV872" s="214">
        <v>0</v>
      </c>
      <c r="BW872" s="214">
        <v>1</v>
      </c>
      <c r="BX872" s="214">
        <v>0</v>
      </c>
      <c r="BY872" s="214">
        <v>0</v>
      </c>
      <c r="BZ872" s="134">
        <v>0</v>
      </c>
      <c r="CA872" s="138">
        <v>1</v>
      </c>
      <c r="CB872" s="136">
        <v>1</v>
      </c>
      <c r="CC872" s="136">
        <v>0</v>
      </c>
      <c r="CD872" s="136">
        <v>0</v>
      </c>
      <c r="CE872" s="137">
        <v>0</v>
      </c>
      <c r="CF872" s="137">
        <v>0</v>
      </c>
      <c r="CG872" s="137">
        <v>0</v>
      </c>
      <c r="CH872" s="214">
        <v>6</v>
      </c>
      <c r="CI872" s="139" t="s">
        <v>48</v>
      </c>
      <c r="CJ872" s="139" t="s">
        <v>287</v>
      </c>
      <c r="CK872" s="139" t="s">
        <v>50</v>
      </c>
      <c r="CL872" s="139" t="s">
        <v>50</v>
      </c>
      <c r="CM872" s="139" t="s">
        <v>50</v>
      </c>
      <c r="CN872" s="139" t="s">
        <v>51</v>
      </c>
      <c r="CO872" s="139">
        <v>25.920006000000001</v>
      </c>
      <c r="CP872" s="139">
        <v>96.662092000000001</v>
      </c>
      <c r="CQ872" s="139" t="s">
        <v>2069</v>
      </c>
      <c r="CR872" s="449" t="s">
        <v>40</v>
      </c>
      <c r="CS872" s="449"/>
      <c r="CT872" s="24"/>
      <c r="CU872" s="24"/>
      <c r="CV872" s="24"/>
    </row>
    <row r="873" spans="1:100" ht="15.75" customHeight="1" x14ac:dyDescent="0.25">
      <c r="A873" s="643" t="s">
        <v>1388</v>
      </c>
      <c r="B873" s="132" t="s">
        <v>287</v>
      </c>
      <c r="C873" s="132" t="s">
        <v>44</v>
      </c>
      <c r="D873" s="132" t="s">
        <v>294</v>
      </c>
      <c r="E873" s="132" t="s">
        <v>335</v>
      </c>
      <c r="F873" s="132">
        <v>6</v>
      </c>
      <c r="G873" s="214">
        <v>15</v>
      </c>
      <c r="H873" s="132"/>
      <c r="I873" s="132" t="s">
        <v>296</v>
      </c>
      <c r="J873" s="133">
        <v>43131</v>
      </c>
      <c r="K873" s="132">
        <v>0</v>
      </c>
      <c r="L873" s="132" t="s">
        <v>48</v>
      </c>
      <c r="M873" s="134">
        <v>0.4</v>
      </c>
      <c r="N873" s="134">
        <v>0.5</v>
      </c>
      <c r="O873" s="320">
        <v>0</v>
      </c>
      <c r="P873" s="326">
        <v>1</v>
      </c>
      <c r="Q873" s="326">
        <v>0</v>
      </c>
      <c r="R873" s="315">
        <v>0</v>
      </c>
      <c r="S873" s="315">
        <v>0</v>
      </c>
      <c r="T873" s="315"/>
      <c r="U873" s="315">
        <v>0</v>
      </c>
      <c r="V873" s="315">
        <v>0</v>
      </c>
      <c r="W873" s="315">
        <v>0</v>
      </c>
      <c r="X873" s="315">
        <v>0</v>
      </c>
      <c r="Y873" s="315">
        <v>0</v>
      </c>
      <c r="Z873" s="315"/>
      <c r="AA873" s="336">
        <v>2</v>
      </c>
      <c r="AB873" s="336">
        <v>0</v>
      </c>
      <c r="AC873" s="337">
        <v>0</v>
      </c>
      <c r="AD873" s="337"/>
      <c r="AE873" s="336">
        <v>0</v>
      </c>
      <c r="AF873" s="336" t="s">
        <v>332</v>
      </c>
      <c r="AG873" s="339" t="s">
        <v>283</v>
      </c>
      <c r="AH873" s="339"/>
      <c r="AI873" s="336"/>
      <c r="AJ873" s="336"/>
      <c r="AK873" s="848">
        <v>0.2</v>
      </c>
      <c r="AL873" s="836" t="s">
        <v>376</v>
      </c>
      <c r="AM873" s="836">
        <v>0</v>
      </c>
      <c r="AN873" s="848">
        <v>1</v>
      </c>
      <c r="AO873" s="850">
        <v>1</v>
      </c>
      <c r="AP873" s="838">
        <v>0</v>
      </c>
      <c r="AQ873" s="839">
        <v>0</v>
      </c>
      <c r="AR873" s="839"/>
      <c r="AS873" s="839"/>
      <c r="AT873" s="839"/>
      <c r="AU873" s="839"/>
      <c r="AV873" s="849"/>
      <c r="AW873" s="134" t="s">
        <v>3208</v>
      </c>
      <c r="AX873" s="136" t="s">
        <v>3208</v>
      </c>
      <c r="AY873" s="137" t="s">
        <v>2576</v>
      </c>
      <c r="AZ873" s="136">
        <v>1</v>
      </c>
      <c r="BA873" s="136">
        <v>1</v>
      </c>
      <c r="BB873" s="136">
        <v>1</v>
      </c>
      <c r="BC873" s="214">
        <v>15</v>
      </c>
      <c r="BD873" s="136">
        <v>0</v>
      </c>
      <c r="BE873" s="214">
        <v>0</v>
      </c>
      <c r="BF873" s="136">
        <v>1</v>
      </c>
      <c r="BG873" s="214">
        <v>15</v>
      </c>
      <c r="BH873" s="214">
        <v>0.03</v>
      </c>
      <c r="BI873" s="134">
        <v>0</v>
      </c>
      <c r="BJ873" s="214">
        <v>0</v>
      </c>
      <c r="BK873" s="137">
        <v>0.97</v>
      </c>
      <c r="BL873" s="137">
        <v>1</v>
      </c>
      <c r="BM873" s="137">
        <v>2</v>
      </c>
      <c r="BN873" s="134">
        <v>1</v>
      </c>
      <c r="BO873" s="351">
        <v>15</v>
      </c>
      <c r="BP873" s="134">
        <v>0</v>
      </c>
      <c r="BQ873" s="214">
        <v>0</v>
      </c>
      <c r="BR873" s="137">
        <v>1</v>
      </c>
      <c r="BS873" s="138">
        <v>0</v>
      </c>
      <c r="BT873" s="351">
        <v>0</v>
      </c>
      <c r="BU873" s="214">
        <v>15</v>
      </c>
      <c r="BV873" s="214">
        <v>0</v>
      </c>
      <c r="BW873" s="214">
        <v>1</v>
      </c>
      <c r="BX873" s="214">
        <v>0</v>
      </c>
      <c r="BY873" s="214">
        <v>0</v>
      </c>
      <c r="BZ873" s="134">
        <v>0</v>
      </c>
      <c r="CA873" s="138">
        <v>1</v>
      </c>
      <c r="CB873" s="136">
        <v>1</v>
      </c>
      <c r="CC873" s="136">
        <v>0</v>
      </c>
      <c r="CD873" s="136">
        <v>0</v>
      </c>
      <c r="CE873" s="137">
        <v>0</v>
      </c>
      <c r="CF873" s="137">
        <v>0</v>
      </c>
      <c r="CG873" s="137">
        <v>0</v>
      </c>
      <c r="CH873" s="214">
        <v>1.2000000000000002</v>
      </c>
      <c r="CI873" s="139" t="s">
        <v>48</v>
      </c>
      <c r="CJ873" s="139" t="s">
        <v>2959</v>
      </c>
      <c r="CK873" s="139" t="s">
        <v>50</v>
      </c>
      <c r="CL873" s="139" t="s">
        <v>50</v>
      </c>
      <c r="CM873" s="139" t="s">
        <v>946</v>
      </c>
      <c r="CN873" s="139" t="s">
        <v>51</v>
      </c>
      <c r="CO873" s="139">
        <v>25.920006000000001</v>
      </c>
      <c r="CP873" s="139">
        <v>96.662092000000001</v>
      </c>
      <c r="CQ873" s="139" t="s">
        <v>2070</v>
      </c>
      <c r="CR873" s="449" t="s">
        <v>40</v>
      </c>
      <c r="CS873" s="449"/>
      <c r="CT873" s="24"/>
      <c r="CU873" s="24"/>
      <c r="CV873" s="24"/>
    </row>
    <row r="874" spans="1:100" ht="15.75" customHeight="1" x14ac:dyDescent="0.25">
      <c r="A874" s="643" t="s">
        <v>1388</v>
      </c>
      <c r="B874" s="132" t="s">
        <v>2540</v>
      </c>
      <c r="C874" s="132" t="s">
        <v>44</v>
      </c>
      <c r="D874" s="132" t="s">
        <v>294</v>
      </c>
      <c r="E874" s="132" t="s">
        <v>337</v>
      </c>
      <c r="F874" s="132">
        <v>20</v>
      </c>
      <c r="G874" s="214">
        <v>84</v>
      </c>
      <c r="H874" s="132"/>
      <c r="I874" s="132" t="s">
        <v>2541</v>
      </c>
      <c r="J874" s="133" t="s">
        <v>2542</v>
      </c>
      <c r="K874" s="132">
        <v>0</v>
      </c>
      <c r="L874" s="132" t="s">
        <v>48</v>
      </c>
      <c r="M874" s="134">
        <v>0.5</v>
      </c>
      <c r="N874" s="134">
        <v>0.5</v>
      </c>
      <c r="O874" s="320">
        <v>0</v>
      </c>
      <c r="P874" s="326">
        <v>1</v>
      </c>
      <c r="Q874" s="326">
        <v>2000</v>
      </c>
      <c r="R874" s="315">
        <v>0</v>
      </c>
      <c r="S874" s="315">
        <v>0</v>
      </c>
      <c r="T874" s="315"/>
      <c r="U874" s="315">
        <v>0</v>
      </c>
      <c r="V874" s="315">
        <v>0</v>
      </c>
      <c r="W874" s="315">
        <v>0</v>
      </c>
      <c r="X874" s="315">
        <v>0</v>
      </c>
      <c r="Y874" s="315">
        <v>0</v>
      </c>
      <c r="Z874" s="315"/>
      <c r="AA874" s="336">
        <v>4</v>
      </c>
      <c r="AB874" s="336">
        <v>0</v>
      </c>
      <c r="AC874" s="337">
        <v>0</v>
      </c>
      <c r="AD874" s="337"/>
      <c r="AE874" s="336">
        <v>0</v>
      </c>
      <c r="AF874" s="336" t="s">
        <v>283</v>
      </c>
      <c r="AG874" s="339" t="s">
        <v>283</v>
      </c>
      <c r="AH874" s="339"/>
      <c r="AI874" s="336"/>
      <c r="AJ874" s="336"/>
      <c r="AK874" s="848">
        <v>0.2</v>
      </c>
      <c r="AL874" s="836" t="s">
        <v>376</v>
      </c>
      <c r="AM874" s="836">
        <v>0</v>
      </c>
      <c r="AN874" s="848">
        <v>1</v>
      </c>
      <c r="AO874" s="850">
        <v>1</v>
      </c>
      <c r="AP874" s="838">
        <v>0</v>
      </c>
      <c r="AQ874" s="839">
        <v>0</v>
      </c>
      <c r="AR874" s="839"/>
      <c r="AS874" s="839"/>
      <c r="AT874" s="839"/>
      <c r="AU874" s="839"/>
      <c r="AV874" s="849"/>
      <c r="AW874" s="134" t="s">
        <v>3208</v>
      </c>
      <c r="AX874" s="136" t="s">
        <v>3208</v>
      </c>
      <c r="AY874" s="137" t="s">
        <v>2576</v>
      </c>
      <c r="AZ874" s="136">
        <v>1</v>
      </c>
      <c r="BA874" s="136">
        <v>1</v>
      </c>
      <c r="BB874" s="136">
        <v>1</v>
      </c>
      <c r="BC874" s="214">
        <v>84</v>
      </c>
      <c r="BD874" s="136">
        <v>0</v>
      </c>
      <c r="BE874" s="135">
        <v>0</v>
      </c>
      <c r="BF874" s="136">
        <v>1</v>
      </c>
      <c r="BG874" s="214">
        <v>84</v>
      </c>
      <c r="BH874" s="214">
        <v>0.16800000000000001</v>
      </c>
      <c r="BI874" s="134">
        <v>0</v>
      </c>
      <c r="BJ874" s="135">
        <v>0</v>
      </c>
      <c r="BK874" s="137">
        <v>0.83199999999999996</v>
      </c>
      <c r="BL874" s="137">
        <v>1</v>
      </c>
      <c r="BM874" s="137">
        <v>4</v>
      </c>
      <c r="BN874" s="134">
        <v>0.95238095238095233</v>
      </c>
      <c r="BO874" s="351">
        <v>80</v>
      </c>
      <c r="BP874" s="134">
        <v>0</v>
      </c>
      <c r="BQ874" s="135">
        <v>0</v>
      </c>
      <c r="BR874" s="137">
        <v>4</v>
      </c>
      <c r="BS874" s="138">
        <v>0</v>
      </c>
      <c r="BT874" s="351">
        <v>0</v>
      </c>
      <c r="BU874" s="214">
        <v>84</v>
      </c>
      <c r="BV874" s="214">
        <v>0</v>
      </c>
      <c r="BW874" s="214">
        <v>1</v>
      </c>
      <c r="BX874" s="214">
        <v>0</v>
      </c>
      <c r="BY874" s="214">
        <v>0</v>
      </c>
      <c r="BZ874" s="134">
        <v>0</v>
      </c>
      <c r="CA874" s="138">
        <v>1</v>
      </c>
      <c r="CB874" s="136">
        <v>1</v>
      </c>
      <c r="CC874" s="136">
        <v>0</v>
      </c>
      <c r="CD874" s="136">
        <v>0</v>
      </c>
      <c r="CE874" s="137">
        <v>0</v>
      </c>
      <c r="CF874" s="137">
        <v>0</v>
      </c>
      <c r="CG874" s="137">
        <v>0</v>
      </c>
      <c r="CH874" s="135">
        <v>4</v>
      </c>
      <c r="CI874" s="139">
        <v>0</v>
      </c>
      <c r="CJ874" s="139">
        <v>0</v>
      </c>
      <c r="CK874" s="139" t="s">
        <v>1921</v>
      </c>
      <c r="CL874" s="139" t="s">
        <v>50</v>
      </c>
      <c r="CM874" s="139" t="s">
        <v>50</v>
      </c>
      <c r="CN874" s="139" t="s">
        <v>51</v>
      </c>
      <c r="CO874" s="139">
        <v>0</v>
      </c>
      <c r="CP874" s="139">
        <v>0</v>
      </c>
      <c r="CQ874" s="139">
        <v>0</v>
      </c>
      <c r="CR874" s="449" t="s">
        <v>40</v>
      </c>
      <c r="CS874" s="449"/>
      <c r="CT874" s="24"/>
      <c r="CU874" s="24"/>
      <c r="CV874" s="24"/>
    </row>
    <row r="875" spans="1:100" ht="15.75" customHeight="1" x14ac:dyDescent="0.25">
      <c r="A875" s="643" t="s">
        <v>1388</v>
      </c>
      <c r="B875" s="132" t="s">
        <v>389</v>
      </c>
      <c r="C875" s="132" t="s">
        <v>44</v>
      </c>
      <c r="D875" s="132" t="s">
        <v>294</v>
      </c>
      <c r="E875" s="132" t="s">
        <v>411</v>
      </c>
      <c r="F875" s="132">
        <v>32</v>
      </c>
      <c r="G875" s="214">
        <v>173</v>
      </c>
      <c r="H875" s="132"/>
      <c r="I875" s="132" t="s">
        <v>391</v>
      </c>
      <c r="J875" s="133">
        <v>42947</v>
      </c>
      <c r="K875" s="132">
        <v>0</v>
      </c>
      <c r="L875" s="132" t="s">
        <v>48</v>
      </c>
      <c r="M875" s="134">
        <v>0.25</v>
      </c>
      <c r="N875" s="134">
        <v>0</v>
      </c>
      <c r="O875" s="320">
        <v>0</v>
      </c>
      <c r="P875" s="326">
        <v>0</v>
      </c>
      <c r="Q875" s="326">
        <v>500</v>
      </c>
      <c r="R875" s="315">
        <v>0</v>
      </c>
      <c r="S875" s="315">
        <v>1</v>
      </c>
      <c r="T875" s="315"/>
      <c r="U875" s="315">
        <v>0</v>
      </c>
      <c r="V875" s="315">
        <v>0</v>
      </c>
      <c r="W875" s="315">
        <v>0</v>
      </c>
      <c r="X875" s="315">
        <v>0</v>
      </c>
      <c r="Y875" s="315">
        <v>0</v>
      </c>
      <c r="Z875" s="315"/>
      <c r="AA875" s="336">
        <v>10</v>
      </c>
      <c r="AB875" s="336">
        <v>4</v>
      </c>
      <c r="AC875" s="337">
        <v>0</v>
      </c>
      <c r="AD875" s="337"/>
      <c r="AE875" s="336">
        <v>10</v>
      </c>
      <c r="AF875" s="336" t="s">
        <v>283</v>
      </c>
      <c r="AG875" s="339" t="s">
        <v>283</v>
      </c>
      <c r="AH875" s="339">
        <v>0</v>
      </c>
      <c r="AI875" s="336">
        <v>0</v>
      </c>
      <c r="AJ875" s="336"/>
      <c r="AK875" s="848">
        <v>0.4</v>
      </c>
      <c r="AL875" s="836" t="s">
        <v>376</v>
      </c>
      <c r="AM875" s="836">
        <v>0</v>
      </c>
      <c r="AN875" s="848">
        <v>3</v>
      </c>
      <c r="AO875" s="850">
        <v>0</v>
      </c>
      <c r="AP875" s="838">
        <v>0</v>
      </c>
      <c r="AQ875" s="839">
        <v>0</v>
      </c>
      <c r="AR875" s="839"/>
      <c r="AS875" s="839"/>
      <c r="AT875" s="839"/>
      <c r="AU875" s="839"/>
      <c r="AV875" s="849"/>
      <c r="AW875" s="134" t="s">
        <v>3208</v>
      </c>
      <c r="AX875" s="136" t="s">
        <v>3208</v>
      </c>
      <c r="AY875" s="137" t="s">
        <v>2576</v>
      </c>
      <c r="AZ875" s="136">
        <v>0.19267822736030829</v>
      </c>
      <c r="BA875" s="136">
        <v>0.19267822736030829</v>
      </c>
      <c r="BB875" s="136">
        <v>0.19267822736030829</v>
      </c>
      <c r="BC875" s="214">
        <v>33.333333333333336</v>
      </c>
      <c r="BD875" s="136">
        <v>0</v>
      </c>
      <c r="BE875" s="214">
        <v>0</v>
      </c>
      <c r="BF875" s="136">
        <v>0.19267822736030829</v>
      </c>
      <c r="BG875" s="214">
        <v>33.333333333333336</v>
      </c>
      <c r="BH875" s="214">
        <v>6.6666666666666666E-2</v>
      </c>
      <c r="BI875" s="134">
        <v>0.80732177263969174</v>
      </c>
      <c r="BJ875" s="214">
        <v>139.66666666666666</v>
      </c>
      <c r="BK875" s="137">
        <v>0.93333333333333335</v>
      </c>
      <c r="BL875" s="137">
        <v>1</v>
      </c>
      <c r="BM875" s="137">
        <v>14</v>
      </c>
      <c r="BN875" s="134">
        <v>1</v>
      </c>
      <c r="BO875" s="351">
        <v>173</v>
      </c>
      <c r="BP875" s="134">
        <v>0</v>
      </c>
      <c r="BQ875" s="135">
        <v>0</v>
      </c>
      <c r="BR875" s="137">
        <v>9</v>
      </c>
      <c r="BS875" s="138">
        <v>0.2857142857142857</v>
      </c>
      <c r="BT875" s="351">
        <v>0</v>
      </c>
      <c r="BU875" s="214">
        <v>0</v>
      </c>
      <c r="BV875" s="214">
        <v>0</v>
      </c>
      <c r="BW875" s="214">
        <v>0</v>
      </c>
      <c r="BX875" s="214">
        <v>0</v>
      </c>
      <c r="BY875" s="214">
        <v>0</v>
      </c>
      <c r="BZ875" s="134">
        <v>0</v>
      </c>
      <c r="CA875" s="138">
        <v>1</v>
      </c>
      <c r="CB875" s="136">
        <v>0</v>
      </c>
      <c r="CC875" s="136">
        <v>0</v>
      </c>
      <c r="CD875" s="136">
        <v>0</v>
      </c>
      <c r="CE875" s="137">
        <v>0</v>
      </c>
      <c r="CF875" s="137">
        <v>0</v>
      </c>
      <c r="CG875" s="137">
        <v>0</v>
      </c>
      <c r="CH875" s="214">
        <v>12.8</v>
      </c>
      <c r="CI875" s="139" t="s">
        <v>48</v>
      </c>
      <c r="CJ875" s="139" t="s">
        <v>287</v>
      </c>
      <c r="CK875" s="139" t="s">
        <v>50</v>
      </c>
      <c r="CL875" s="139" t="s">
        <v>50</v>
      </c>
      <c r="CM875" s="139" t="s">
        <v>50</v>
      </c>
      <c r="CN875" s="139" t="s">
        <v>51</v>
      </c>
      <c r="CO875" s="139">
        <v>25.577559999999998</v>
      </c>
      <c r="CP875" s="139">
        <v>96.286680000000004</v>
      </c>
      <c r="CQ875" s="139" t="s">
        <v>2039</v>
      </c>
      <c r="CR875" s="449" t="s">
        <v>40</v>
      </c>
      <c r="CS875" s="449"/>
      <c r="CT875" s="24"/>
      <c r="CU875" s="24"/>
      <c r="CV875" s="24"/>
    </row>
    <row r="876" spans="1:100" ht="15.75" customHeight="1" x14ac:dyDescent="0.25">
      <c r="A876" s="643" t="s">
        <v>1388</v>
      </c>
      <c r="B876" s="132" t="s">
        <v>389</v>
      </c>
      <c r="C876" s="132" t="s">
        <v>44</v>
      </c>
      <c r="D876" s="132" t="s">
        <v>294</v>
      </c>
      <c r="E876" s="132" t="s">
        <v>412</v>
      </c>
      <c r="F876" s="132">
        <v>16</v>
      </c>
      <c r="G876" s="214">
        <v>67</v>
      </c>
      <c r="H876" s="132"/>
      <c r="I876" s="132" t="s">
        <v>391</v>
      </c>
      <c r="J876" s="133">
        <v>42947</v>
      </c>
      <c r="K876" s="132">
        <v>0</v>
      </c>
      <c r="L876" s="132" t="s">
        <v>48</v>
      </c>
      <c r="M876" s="134">
        <v>0.5</v>
      </c>
      <c r="N876" s="134">
        <v>1</v>
      </c>
      <c r="O876" s="320">
        <v>1</v>
      </c>
      <c r="P876" s="326">
        <v>0</v>
      </c>
      <c r="Q876" s="326">
        <v>0</v>
      </c>
      <c r="R876" s="315">
        <v>0</v>
      </c>
      <c r="S876" s="315">
        <v>1</v>
      </c>
      <c r="T876" s="315"/>
      <c r="U876" s="315">
        <v>0</v>
      </c>
      <c r="V876" s="315">
        <v>0</v>
      </c>
      <c r="W876" s="315">
        <v>0</v>
      </c>
      <c r="X876" s="315">
        <v>0</v>
      </c>
      <c r="Y876" s="315">
        <v>0</v>
      </c>
      <c r="Z876" s="315"/>
      <c r="AA876" s="336">
        <v>2</v>
      </c>
      <c r="AB876" s="336">
        <v>0</v>
      </c>
      <c r="AC876" s="337">
        <v>2</v>
      </c>
      <c r="AD876" s="337"/>
      <c r="AE876" s="336">
        <v>2</v>
      </c>
      <c r="AF876" s="336" t="s">
        <v>283</v>
      </c>
      <c r="AG876" s="339" t="s">
        <v>1358</v>
      </c>
      <c r="AH876" s="339">
        <v>0</v>
      </c>
      <c r="AI876" s="336">
        <v>0</v>
      </c>
      <c r="AJ876" s="336"/>
      <c r="AK876" s="848">
        <v>0.6</v>
      </c>
      <c r="AL876" s="836" t="s">
        <v>376</v>
      </c>
      <c r="AM876" s="836">
        <v>0</v>
      </c>
      <c r="AN876" s="848">
        <v>2</v>
      </c>
      <c r="AO876" s="850">
        <v>0</v>
      </c>
      <c r="AP876" s="838">
        <v>0</v>
      </c>
      <c r="AQ876" s="839">
        <v>0</v>
      </c>
      <c r="AR876" s="839"/>
      <c r="AS876" s="839"/>
      <c r="AT876" s="839"/>
      <c r="AU876" s="839"/>
      <c r="AV876" s="849"/>
      <c r="AW876" s="134" t="s">
        <v>3208</v>
      </c>
      <c r="AX876" s="136" t="s">
        <v>3208</v>
      </c>
      <c r="AY876" s="137" t="s">
        <v>2576</v>
      </c>
      <c r="AZ876" s="136">
        <v>1</v>
      </c>
      <c r="BA876" s="136">
        <v>1</v>
      </c>
      <c r="BB876" s="136">
        <v>1</v>
      </c>
      <c r="BC876" s="214">
        <v>67</v>
      </c>
      <c r="BD876" s="136">
        <v>0</v>
      </c>
      <c r="BE876" s="214">
        <v>0</v>
      </c>
      <c r="BF876" s="136">
        <v>1</v>
      </c>
      <c r="BG876" s="214">
        <v>67</v>
      </c>
      <c r="BH876" s="214">
        <v>0.13400000000000001</v>
      </c>
      <c r="BI876" s="134">
        <v>0</v>
      </c>
      <c r="BJ876" s="214">
        <v>0</v>
      </c>
      <c r="BK876" s="137">
        <v>0.86599999999999999</v>
      </c>
      <c r="BL876" s="137">
        <v>1</v>
      </c>
      <c r="BM876" s="137">
        <v>2</v>
      </c>
      <c r="BN876" s="134">
        <v>0.59701492537313428</v>
      </c>
      <c r="BO876" s="351">
        <v>40</v>
      </c>
      <c r="BP876" s="134">
        <v>0.29850746268656714</v>
      </c>
      <c r="BQ876" s="214">
        <v>1</v>
      </c>
      <c r="BR876" s="137">
        <v>3</v>
      </c>
      <c r="BS876" s="138">
        <v>0</v>
      </c>
      <c r="BT876" s="351">
        <v>40</v>
      </c>
      <c r="BU876" s="214">
        <v>0</v>
      </c>
      <c r="BV876" s="214">
        <v>0</v>
      </c>
      <c r="BW876" s="214">
        <v>0</v>
      </c>
      <c r="BX876" s="214">
        <v>0</v>
      </c>
      <c r="BY876" s="214">
        <v>0</v>
      </c>
      <c r="BZ876" s="134">
        <v>0</v>
      </c>
      <c r="CA876" s="138">
        <v>1</v>
      </c>
      <c r="CB876" s="136">
        <v>0</v>
      </c>
      <c r="CC876" s="136">
        <v>0</v>
      </c>
      <c r="CD876" s="136">
        <v>0</v>
      </c>
      <c r="CE876" s="137">
        <v>0</v>
      </c>
      <c r="CF876" s="137">
        <v>0</v>
      </c>
      <c r="CG876" s="137">
        <v>0</v>
      </c>
      <c r="CH876" s="214">
        <v>9.6</v>
      </c>
      <c r="CI876" s="139" t="s">
        <v>48</v>
      </c>
      <c r="CJ876" s="139" t="s">
        <v>287</v>
      </c>
      <c r="CK876" s="139" t="s">
        <v>50</v>
      </c>
      <c r="CL876" s="139" t="s">
        <v>50</v>
      </c>
      <c r="CM876" s="139" t="s">
        <v>50</v>
      </c>
      <c r="CN876" s="139" t="s">
        <v>51</v>
      </c>
      <c r="CO876" s="139">
        <v>25.599250000000001</v>
      </c>
      <c r="CP876" s="139">
        <v>96.306910999999999</v>
      </c>
      <c r="CQ876" s="139" t="s">
        <v>2042</v>
      </c>
      <c r="CR876" s="449" t="s">
        <v>40</v>
      </c>
      <c r="CS876" s="449"/>
      <c r="CT876" s="24"/>
      <c r="CU876" s="24"/>
      <c r="CV876" s="24"/>
    </row>
    <row r="877" spans="1:100" ht="15.75" customHeight="1" x14ac:dyDescent="0.25">
      <c r="A877" s="643" t="s">
        <v>1388</v>
      </c>
      <c r="B877" s="132" t="s">
        <v>441</v>
      </c>
      <c r="C877" s="132" t="s">
        <v>44</v>
      </c>
      <c r="D877" s="132" t="s">
        <v>45</v>
      </c>
      <c r="E877" s="132" t="s">
        <v>2443</v>
      </c>
      <c r="F877" s="132">
        <v>415</v>
      </c>
      <c r="G877" s="214">
        <v>1786</v>
      </c>
      <c r="H877" s="132"/>
      <c r="I877" s="132" t="s">
        <v>442</v>
      </c>
      <c r="J877" s="133">
        <v>43100</v>
      </c>
      <c r="K877" s="132">
        <v>0</v>
      </c>
      <c r="L877" s="132" t="s">
        <v>286</v>
      </c>
      <c r="M877" s="134">
        <v>0</v>
      </c>
      <c r="N877" s="134">
        <v>0</v>
      </c>
      <c r="O877" s="320">
        <v>1</v>
      </c>
      <c r="P877" s="326">
        <v>0</v>
      </c>
      <c r="Q877" s="326">
        <v>0</v>
      </c>
      <c r="R877" s="315">
        <v>0</v>
      </c>
      <c r="S877" s="315">
        <v>0</v>
      </c>
      <c r="T877" s="315"/>
      <c r="U877" s="315">
        <v>0</v>
      </c>
      <c r="V877" s="315">
        <v>0</v>
      </c>
      <c r="W877" s="315">
        <v>0</v>
      </c>
      <c r="X877" s="315">
        <v>0</v>
      </c>
      <c r="Y877" s="315">
        <v>0</v>
      </c>
      <c r="Z877" s="315"/>
      <c r="AA877" s="336">
        <v>177</v>
      </c>
      <c r="AB877" s="336">
        <v>40</v>
      </c>
      <c r="AC877" s="337">
        <v>0</v>
      </c>
      <c r="AD877" s="337"/>
      <c r="AE877" s="336">
        <v>0</v>
      </c>
      <c r="AF877" s="336" t="s">
        <v>332</v>
      </c>
      <c r="AG877" s="339" t="s">
        <v>332</v>
      </c>
      <c r="AH877" s="339">
        <v>0</v>
      </c>
      <c r="AI877" s="336">
        <v>0</v>
      </c>
      <c r="AJ877" s="336"/>
      <c r="AK877" s="848">
        <v>0</v>
      </c>
      <c r="AL877" s="836" t="s">
        <v>291</v>
      </c>
      <c r="AM877" s="836">
        <v>0</v>
      </c>
      <c r="AN877" s="848">
        <v>15</v>
      </c>
      <c r="AO877" s="850">
        <v>1</v>
      </c>
      <c r="AP877" s="838">
        <v>374</v>
      </c>
      <c r="AQ877" s="839">
        <v>0</v>
      </c>
      <c r="AR877" s="839" t="s">
        <v>282</v>
      </c>
      <c r="AS877" s="839"/>
      <c r="AT877" s="839"/>
      <c r="AU877" s="839"/>
      <c r="AV877" s="849"/>
      <c r="AW877" s="134" t="s">
        <v>3208</v>
      </c>
      <c r="AX877" s="136" t="s">
        <v>3208</v>
      </c>
      <c r="AY877" s="137" t="s">
        <v>2576</v>
      </c>
      <c r="AZ877" s="136">
        <v>1</v>
      </c>
      <c r="BA877" s="136">
        <v>0.13997760358342665</v>
      </c>
      <c r="BB877" s="136">
        <v>1</v>
      </c>
      <c r="BC877" s="214">
        <v>1786</v>
      </c>
      <c r="BD877" s="136">
        <v>0</v>
      </c>
      <c r="BE877" s="214">
        <v>0</v>
      </c>
      <c r="BF877" s="136">
        <v>1</v>
      </c>
      <c r="BG877" s="214">
        <v>1786</v>
      </c>
      <c r="BH877" s="214">
        <v>3.5720000000000001</v>
      </c>
      <c r="BI877" s="134">
        <v>0</v>
      </c>
      <c r="BJ877" s="214">
        <v>0</v>
      </c>
      <c r="BK877" s="137">
        <v>0.42799999999999994</v>
      </c>
      <c r="BL877" s="137">
        <v>4</v>
      </c>
      <c r="BM877" s="137">
        <v>217</v>
      </c>
      <c r="BN877" s="134">
        <v>1</v>
      </c>
      <c r="BO877" s="351">
        <v>1786</v>
      </c>
      <c r="BP877" s="134">
        <v>0</v>
      </c>
      <c r="BQ877" s="214">
        <v>0</v>
      </c>
      <c r="BR877" s="137">
        <v>89</v>
      </c>
      <c r="BS877" s="138">
        <v>0.18433179723502305</v>
      </c>
      <c r="BT877" s="351">
        <v>0</v>
      </c>
      <c r="BU877" s="214">
        <v>500</v>
      </c>
      <c r="BV877" s="214">
        <v>0</v>
      </c>
      <c r="BW877" s="214">
        <v>0</v>
      </c>
      <c r="BX877" s="214">
        <v>0</v>
      </c>
      <c r="BY877" s="214">
        <v>0</v>
      </c>
      <c r="BZ877" s="134">
        <v>0</v>
      </c>
      <c r="CA877" s="138">
        <v>1</v>
      </c>
      <c r="CB877" s="136">
        <v>0.27995520716685329</v>
      </c>
      <c r="CC877" s="136">
        <v>0.90120481927710838</v>
      </c>
      <c r="CD877" s="136">
        <v>0</v>
      </c>
      <c r="CE877" s="137">
        <v>1870</v>
      </c>
      <c r="CF877" s="137">
        <v>0</v>
      </c>
      <c r="CG877" s="137">
        <v>1870</v>
      </c>
      <c r="CH877" s="214">
        <v>0</v>
      </c>
      <c r="CI877" s="139" t="s">
        <v>48</v>
      </c>
      <c r="CJ877" s="139" t="s">
        <v>49</v>
      </c>
      <c r="CK877" s="139" t="s">
        <v>50</v>
      </c>
      <c r="CL877" s="139" t="s">
        <v>50</v>
      </c>
      <c r="CM877" s="139" t="s">
        <v>50</v>
      </c>
      <c r="CN877" s="139" t="s">
        <v>949</v>
      </c>
      <c r="CO877" s="139">
        <v>24.002433</v>
      </c>
      <c r="CP877" s="139">
        <v>97.609832999999995</v>
      </c>
      <c r="CQ877" s="139" t="s">
        <v>1923</v>
      </c>
      <c r="CR877" s="449" t="s">
        <v>40</v>
      </c>
      <c r="CS877" s="449"/>
      <c r="CT877" s="24"/>
      <c r="CU877" s="24"/>
      <c r="CV877" s="24"/>
    </row>
    <row r="878" spans="1:100" ht="15.75" customHeight="1" x14ac:dyDescent="0.25">
      <c r="A878" s="643" t="s">
        <v>1388</v>
      </c>
      <c r="B878" s="132" t="s">
        <v>441</v>
      </c>
      <c r="C878" s="132" t="s">
        <v>44</v>
      </c>
      <c r="D878" s="132" t="s">
        <v>45</v>
      </c>
      <c r="E878" s="132" t="s">
        <v>444</v>
      </c>
      <c r="F878" s="132">
        <v>567</v>
      </c>
      <c r="G878" s="214">
        <v>2478</v>
      </c>
      <c r="H878" s="132"/>
      <c r="I878" s="132" t="s">
        <v>442</v>
      </c>
      <c r="J878" s="133">
        <v>43100</v>
      </c>
      <c r="K878" s="132">
        <v>0</v>
      </c>
      <c r="L878" s="132" t="s">
        <v>286</v>
      </c>
      <c r="M878" s="134">
        <v>0</v>
      </c>
      <c r="N878" s="134">
        <v>0</v>
      </c>
      <c r="O878" s="320">
        <v>2</v>
      </c>
      <c r="P878" s="326">
        <v>0</v>
      </c>
      <c r="Q878" s="326">
        <v>0</v>
      </c>
      <c r="R878" s="315">
        <v>0</v>
      </c>
      <c r="S878" s="315">
        <v>0</v>
      </c>
      <c r="T878" s="315"/>
      <c r="U878" s="315">
        <v>0</v>
      </c>
      <c r="V878" s="315">
        <v>0</v>
      </c>
      <c r="W878" s="315">
        <v>0</v>
      </c>
      <c r="X878" s="315">
        <v>0</v>
      </c>
      <c r="Y878" s="315">
        <v>0</v>
      </c>
      <c r="Z878" s="315"/>
      <c r="AA878" s="336">
        <v>131</v>
      </c>
      <c r="AB878" s="336">
        <v>15</v>
      </c>
      <c r="AC878" s="337">
        <v>0</v>
      </c>
      <c r="AD878" s="337"/>
      <c r="AE878" s="336">
        <v>0</v>
      </c>
      <c r="AF878" s="336" t="s">
        <v>332</v>
      </c>
      <c r="AG878" s="339" t="s">
        <v>283</v>
      </c>
      <c r="AH878" s="339">
        <v>0</v>
      </c>
      <c r="AI878" s="336">
        <v>0</v>
      </c>
      <c r="AJ878" s="336"/>
      <c r="AK878" s="848">
        <v>0</v>
      </c>
      <c r="AL878" s="836" t="s">
        <v>291</v>
      </c>
      <c r="AM878" s="836">
        <v>0</v>
      </c>
      <c r="AN878" s="848">
        <v>3</v>
      </c>
      <c r="AO878" s="850"/>
      <c r="AP878" s="838">
        <v>510</v>
      </c>
      <c r="AQ878" s="839">
        <v>0</v>
      </c>
      <c r="AR878" s="839" t="s">
        <v>282</v>
      </c>
      <c r="AS878" s="839"/>
      <c r="AT878" s="839"/>
      <c r="AU878" s="839"/>
      <c r="AV878" s="849"/>
      <c r="AW878" s="134" t="s">
        <v>3208</v>
      </c>
      <c r="AX878" s="136" t="s">
        <v>3208</v>
      </c>
      <c r="AY878" s="137" t="s">
        <v>2576</v>
      </c>
      <c r="AZ878" s="136">
        <v>1</v>
      </c>
      <c r="BA878" s="136">
        <v>0.20177562550443906</v>
      </c>
      <c r="BB878" s="136">
        <v>1</v>
      </c>
      <c r="BC878" s="214">
        <v>2478</v>
      </c>
      <c r="BD878" s="136">
        <v>0</v>
      </c>
      <c r="BE878" s="214">
        <v>0</v>
      </c>
      <c r="BF878" s="136">
        <v>1</v>
      </c>
      <c r="BG878" s="214">
        <v>2478</v>
      </c>
      <c r="BH878" s="214">
        <v>4.9560000000000004</v>
      </c>
      <c r="BI878" s="134">
        <v>0</v>
      </c>
      <c r="BJ878" s="214">
        <v>0</v>
      </c>
      <c r="BK878" s="137">
        <v>4.3999999999999595E-2</v>
      </c>
      <c r="BL878" s="137">
        <v>5</v>
      </c>
      <c r="BM878" s="137">
        <v>146</v>
      </c>
      <c r="BN878" s="134">
        <v>1</v>
      </c>
      <c r="BO878" s="351">
        <v>2478</v>
      </c>
      <c r="BP878" s="134">
        <v>0</v>
      </c>
      <c r="BQ878" s="214">
        <v>0</v>
      </c>
      <c r="BR878" s="137">
        <v>124</v>
      </c>
      <c r="BS878" s="138">
        <v>0.10273972602739725</v>
      </c>
      <c r="BT878" s="351">
        <v>0</v>
      </c>
      <c r="BU878" s="214">
        <v>0</v>
      </c>
      <c r="BV878" s="214">
        <v>0</v>
      </c>
      <c r="BW878" s="214">
        <v>0</v>
      </c>
      <c r="BX878" s="214">
        <v>0</v>
      </c>
      <c r="BY878" s="214">
        <v>0</v>
      </c>
      <c r="BZ878" s="134">
        <v>0</v>
      </c>
      <c r="CA878" s="138">
        <v>1</v>
      </c>
      <c r="CB878" s="136">
        <v>0</v>
      </c>
      <c r="CC878" s="136">
        <v>0.89947089947089942</v>
      </c>
      <c r="CD878" s="136">
        <v>0</v>
      </c>
      <c r="CE878" s="137">
        <v>2550</v>
      </c>
      <c r="CF878" s="137">
        <v>0</v>
      </c>
      <c r="CG878" s="137">
        <v>2550</v>
      </c>
      <c r="CH878" s="214">
        <v>0</v>
      </c>
      <c r="CI878" s="139" t="s">
        <v>48</v>
      </c>
      <c r="CJ878" s="139" t="s">
        <v>49</v>
      </c>
      <c r="CK878" s="139" t="s">
        <v>50</v>
      </c>
      <c r="CL878" s="139" t="s">
        <v>50</v>
      </c>
      <c r="CM878" s="139" t="s">
        <v>50</v>
      </c>
      <c r="CN878" s="139" t="s">
        <v>949</v>
      </c>
      <c r="CO878" s="139">
        <v>24.056132999999999</v>
      </c>
      <c r="CP878" s="139">
        <v>97.625617000000005</v>
      </c>
      <c r="CQ878" s="139" t="s">
        <v>1927</v>
      </c>
      <c r="CR878" s="449" t="s">
        <v>40</v>
      </c>
      <c r="CS878" s="449"/>
      <c r="CT878" s="24"/>
      <c r="CU878" s="24"/>
      <c r="CV878" s="24"/>
    </row>
    <row r="879" spans="1:100" ht="15.75" customHeight="1" x14ac:dyDescent="0.25">
      <c r="A879" s="643" t="s">
        <v>1388</v>
      </c>
      <c r="B879" s="132" t="s">
        <v>287</v>
      </c>
      <c r="C879" s="132" t="s">
        <v>44</v>
      </c>
      <c r="D879" s="132" t="s">
        <v>45</v>
      </c>
      <c r="E879" s="132" t="s">
        <v>329</v>
      </c>
      <c r="F879" s="132">
        <v>432</v>
      </c>
      <c r="G879" s="214">
        <v>1855</v>
      </c>
      <c r="H879" s="132"/>
      <c r="I879" s="132" t="s">
        <v>290</v>
      </c>
      <c r="J879" s="133">
        <v>43555</v>
      </c>
      <c r="K879" s="132">
        <v>0</v>
      </c>
      <c r="L879" s="132" t="s">
        <v>48</v>
      </c>
      <c r="M879" s="134">
        <v>0.8</v>
      </c>
      <c r="N879" s="134">
        <v>0.5</v>
      </c>
      <c r="O879" s="320">
        <v>0</v>
      </c>
      <c r="P879" s="326">
        <v>4</v>
      </c>
      <c r="Q879" s="326">
        <v>0</v>
      </c>
      <c r="R879" s="315">
        <v>0</v>
      </c>
      <c r="S879" s="315">
        <v>0</v>
      </c>
      <c r="T879" s="315"/>
      <c r="U879" s="315">
        <v>0</v>
      </c>
      <c r="V879" s="315">
        <v>0</v>
      </c>
      <c r="W879" s="315">
        <v>0</v>
      </c>
      <c r="X879" s="315">
        <v>0</v>
      </c>
      <c r="Y879" s="315">
        <v>0</v>
      </c>
      <c r="Z879" s="315"/>
      <c r="AA879" s="336">
        <v>110</v>
      </c>
      <c r="AB879" s="336">
        <v>40</v>
      </c>
      <c r="AC879" s="337">
        <v>0</v>
      </c>
      <c r="AD879" s="337"/>
      <c r="AE879" s="336">
        <v>0</v>
      </c>
      <c r="AF879" s="336" t="s">
        <v>283</v>
      </c>
      <c r="AG879" s="339" t="s">
        <v>1358</v>
      </c>
      <c r="AH879" s="339"/>
      <c r="AI879" s="336"/>
      <c r="AJ879" s="336"/>
      <c r="AK879" s="848">
        <v>0.6</v>
      </c>
      <c r="AL879" s="836" t="s">
        <v>376</v>
      </c>
      <c r="AM879" s="836">
        <v>0</v>
      </c>
      <c r="AN879" s="848">
        <v>10</v>
      </c>
      <c r="AO879" s="850">
        <v>3</v>
      </c>
      <c r="AP879" s="838">
        <v>0</v>
      </c>
      <c r="AQ879" s="839">
        <v>0</v>
      </c>
      <c r="AR879" s="839"/>
      <c r="AS879" s="839"/>
      <c r="AT879" s="839"/>
      <c r="AU879" s="839"/>
      <c r="AV879" s="849"/>
      <c r="AW879" s="134" t="s">
        <v>3208</v>
      </c>
      <c r="AX879" s="136" t="s">
        <v>3208</v>
      </c>
      <c r="AY879" s="137" t="s">
        <v>2576</v>
      </c>
      <c r="AZ879" s="136">
        <v>1</v>
      </c>
      <c r="BA879" s="136">
        <v>0.53908355795148244</v>
      </c>
      <c r="BB879" s="136">
        <v>1</v>
      </c>
      <c r="BC879" s="214">
        <v>1855</v>
      </c>
      <c r="BD879" s="136">
        <v>0</v>
      </c>
      <c r="BE879" s="214">
        <v>0</v>
      </c>
      <c r="BF879" s="136">
        <v>1</v>
      </c>
      <c r="BG879" s="214">
        <v>1855</v>
      </c>
      <c r="BH879" s="214">
        <v>3.71</v>
      </c>
      <c r="BI879" s="134">
        <v>0</v>
      </c>
      <c r="BJ879" s="214">
        <v>0</v>
      </c>
      <c r="BK879" s="137">
        <v>0.29000000000000004</v>
      </c>
      <c r="BL879" s="137">
        <v>4</v>
      </c>
      <c r="BM879" s="137">
        <v>150</v>
      </c>
      <c r="BN879" s="134">
        <v>1</v>
      </c>
      <c r="BO879" s="351">
        <v>1855</v>
      </c>
      <c r="BP879" s="134">
        <v>0</v>
      </c>
      <c r="BQ879" s="214">
        <v>0</v>
      </c>
      <c r="BR879" s="137">
        <v>93</v>
      </c>
      <c r="BS879" s="138">
        <v>0.26666666666666666</v>
      </c>
      <c r="BT879" s="351">
        <v>0</v>
      </c>
      <c r="BU879" s="214">
        <v>1500</v>
      </c>
      <c r="BV879" s="214">
        <v>0</v>
      </c>
      <c r="BW879" s="214">
        <v>0</v>
      </c>
      <c r="BX879" s="214">
        <v>0</v>
      </c>
      <c r="BY879" s="214">
        <v>0</v>
      </c>
      <c r="BZ879" s="134">
        <v>0</v>
      </c>
      <c r="CA879" s="138">
        <v>1</v>
      </c>
      <c r="CB879" s="136">
        <v>0.80862533692722371</v>
      </c>
      <c r="CC879" s="136">
        <v>0</v>
      </c>
      <c r="CD879" s="136">
        <v>0</v>
      </c>
      <c r="CE879" s="137">
        <v>0</v>
      </c>
      <c r="CF879" s="137">
        <v>0</v>
      </c>
      <c r="CG879" s="137">
        <v>0</v>
      </c>
      <c r="CH879" s="214">
        <v>259.2</v>
      </c>
      <c r="CI879" s="139" t="s">
        <v>48</v>
      </c>
      <c r="CJ879" s="139" t="s">
        <v>287</v>
      </c>
      <c r="CK879" s="139" t="s">
        <v>50</v>
      </c>
      <c r="CL879" s="139" t="s">
        <v>50</v>
      </c>
      <c r="CM879" s="139" t="s">
        <v>50</v>
      </c>
      <c r="CN879" s="139" t="s">
        <v>51</v>
      </c>
      <c r="CO879" s="139">
        <v>23.972453000000002</v>
      </c>
      <c r="CP879" s="139">
        <v>97.225881000000001</v>
      </c>
      <c r="CQ879" s="139" t="s">
        <v>1918</v>
      </c>
      <c r="CR879" s="449" t="s">
        <v>40</v>
      </c>
      <c r="CS879" s="449"/>
      <c r="CT879" s="24"/>
      <c r="CU879" s="24"/>
      <c r="CV879" s="24"/>
    </row>
    <row r="880" spans="1:100" ht="15.75" customHeight="1" x14ac:dyDescent="0.25">
      <c r="A880" s="643" t="s">
        <v>1388</v>
      </c>
      <c r="B880" s="132" t="s">
        <v>43</v>
      </c>
      <c r="C880" s="132" t="s">
        <v>44</v>
      </c>
      <c r="D880" s="132" t="s">
        <v>45</v>
      </c>
      <c r="E880" s="132" t="s">
        <v>46</v>
      </c>
      <c r="F880" s="132">
        <v>172</v>
      </c>
      <c r="G880" s="214">
        <v>803</v>
      </c>
      <c r="H880" s="132"/>
      <c r="I880" s="132" t="s">
        <v>47</v>
      </c>
      <c r="J880" s="133">
        <v>44196</v>
      </c>
      <c r="K880" s="132">
        <v>0</v>
      </c>
      <c r="L880" s="132" t="s">
        <v>282</v>
      </c>
      <c r="M880" s="134">
        <v>0</v>
      </c>
      <c r="N880" s="134">
        <v>0</v>
      </c>
      <c r="O880" s="320">
        <v>3</v>
      </c>
      <c r="P880" s="326">
        <v>2</v>
      </c>
      <c r="Q880" s="326">
        <v>0</v>
      </c>
      <c r="R880" s="315">
        <v>0</v>
      </c>
      <c r="S880" s="315" t="s">
        <v>2455</v>
      </c>
      <c r="T880" s="315"/>
      <c r="U880" s="315"/>
      <c r="V880" s="315"/>
      <c r="W880" s="315"/>
      <c r="X880" s="315"/>
      <c r="Y880" s="315"/>
      <c r="Z880" s="315" t="s">
        <v>2456</v>
      </c>
      <c r="AA880" s="336">
        <v>47</v>
      </c>
      <c r="AB880" s="336">
        <v>0</v>
      </c>
      <c r="AC880" s="337"/>
      <c r="AD880" s="337"/>
      <c r="AE880" s="336">
        <v>0</v>
      </c>
      <c r="AF880" s="336" t="s">
        <v>283</v>
      </c>
      <c r="AG880" s="339" t="s">
        <v>283</v>
      </c>
      <c r="AH880" s="339"/>
      <c r="AI880" s="336"/>
      <c r="AJ880" s="336"/>
      <c r="AK880" s="848">
        <v>0.75</v>
      </c>
      <c r="AL880" s="836" t="s">
        <v>284</v>
      </c>
      <c r="AM880" s="836">
        <v>0</v>
      </c>
      <c r="AN880" s="848">
        <v>4</v>
      </c>
      <c r="AO880" s="850">
        <v>2</v>
      </c>
      <c r="AP880" s="838"/>
      <c r="AQ880" s="839"/>
      <c r="AR880" s="839"/>
      <c r="AS880" s="839"/>
      <c r="AT880" s="839"/>
      <c r="AU880" s="839"/>
      <c r="AV880" s="849" t="s">
        <v>2466</v>
      </c>
      <c r="AW880" s="134" t="s">
        <v>3208</v>
      </c>
      <c r="AX880" s="136" t="s">
        <v>3208</v>
      </c>
      <c r="AY880" s="137" t="s">
        <v>2576</v>
      </c>
      <c r="AZ880" s="136">
        <v>1</v>
      </c>
      <c r="BA880" s="136">
        <v>1</v>
      </c>
      <c r="BB880" s="136">
        <v>1</v>
      </c>
      <c r="BC880" s="214">
        <v>803</v>
      </c>
      <c r="BD880" s="136">
        <v>0</v>
      </c>
      <c r="BE880" s="214">
        <v>0</v>
      </c>
      <c r="BF880" s="136">
        <v>1</v>
      </c>
      <c r="BG880" s="214">
        <v>803</v>
      </c>
      <c r="BH880" s="214">
        <v>1.6060000000000001</v>
      </c>
      <c r="BI880" s="134">
        <v>0</v>
      </c>
      <c r="BJ880" s="214">
        <v>0</v>
      </c>
      <c r="BK880" s="137">
        <v>0.39399999999999991</v>
      </c>
      <c r="BL880" s="137">
        <v>2</v>
      </c>
      <c r="BM880" s="137">
        <v>47</v>
      </c>
      <c r="BN880" s="134">
        <v>1</v>
      </c>
      <c r="BO880" s="351">
        <v>803</v>
      </c>
      <c r="BP880" s="134">
        <v>0</v>
      </c>
      <c r="BQ880" s="214">
        <v>0</v>
      </c>
      <c r="BR880" s="137">
        <v>40</v>
      </c>
      <c r="BS880" s="138">
        <v>0</v>
      </c>
      <c r="BT880" s="351">
        <v>0</v>
      </c>
      <c r="BU880" s="214">
        <v>803</v>
      </c>
      <c r="BV880" s="214">
        <v>0</v>
      </c>
      <c r="BW880" s="214">
        <v>1</v>
      </c>
      <c r="BX880" s="214">
        <v>0</v>
      </c>
      <c r="BY880" s="214">
        <v>0</v>
      </c>
      <c r="BZ880" s="134">
        <v>0</v>
      </c>
      <c r="CA880" s="138">
        <v>1</v>
      </c>
      <c r="CB880" s="136">
        <v>1</v>
      </c>
      <c r="CC880" s="136">
        <v>0</v>
      </c>
      <c r="CD880" s="136">
        <v>0</v>
      </c>
      <c r="CE880" s="137">
        <v>0</v>
      </c>
      <c r="CF880" s="137">
        <v>0</v>
      </c>
      <c r="CG880" s="137">
        <v>0</v>
      </c>
      <c r="CH880" s="214">
        <v>129</v>
      </c>
      <c r="CI880" s="139" t="s">
        <v>48</v>
      </c>
      <c r="CJ880" s="139" t="s">
        <v>49</v>
      </c>
      <c r="CK880" s="139" t="s">
        <v>50</v>
      </c>
      <c r="CL880" s="139" t="s">
        <v>50</v>
      </c>
      <c r="CM880" s="139" t="s">
        <v>50</v>
      </c>
      <c r="CN880" s="139" t="s">
        <v>51</v>
      </c>
      <c r="CO880" s="139">
        <v>23.976571</v>
      </c>
      <c r="CP880" s="139">
        <v>97.227057000000002</v>
      </c>
      <c r="CQ880" s="139" t="s">
        <v>1919</v>
      </c>
      <c r="CR880" s="449" t="s">
        <v>40</v>
      </c>
      <c r="CS880" s="449"/>
      <c r="CT880" s="24"/>
      <c r="CU880" s="24"/>
      <c r="CV880" s="24"/>
    </row>
    <row r="881" spans="1:100" ht="15.75" customHeight="1" x14ac:dyDescent="0.25">
      <c r="A881" s="643" t="s">
        <v>1388</v>
      </c>
      <c r="B881" s="132" t="s">
        <v>447</v>
      </c>
      <c r="C881" s="132" t="s">
        <v>44</v>
      </c>
      <c r="D881" s="132" t="s">
        <v>45</v>
      </c>
      <c r="E881" s="132" t="s">
        <v>448</v>
      </c>
      <c r="F881" s="132">
        <v>107</v>
      </c>
      <c r="G881" s="214">
        <v>529</v>
      </c>
      <c r="H881" s="132">
        <v>221</v>
      </c>
      <c r="I881" s="132" t="s">
        <v>449</v>
      </c>
      <c r="J881" s="133">
        <v>43421</v>
      </c>
      <c r="K881" s="132"/>
      <c r="L881" s="132" t="s">
        <v>48</v>
      </c>
      <c r="M881" s="134">
        <v>0.2</v>
      </c>
      <c r="N881" s="134">
        <v>0.2</v>
      </c>
      <c r="O881" s="320">
        <v>0</v>
      </c>
      <c r="P881" s="326">
        <v>1</v>
      </c>
      <c r="Q881" s="326">
        <v>9000</v>
      </c>
      <c r="R881" s="315">
        <v>0</v>
      </c>
      <c r="S881" s="315">
        <v>2</v>
      </c>
      <c r="T881" s="315"/>
      <c r="U881" s="315">
        <v>0</v>
      </c>
      <c r="V881" s="315">
        <v>0</v>
      </c>
      <c r="W881" s="315">
        <v>0</v>
      </c>
      <c r="X881" s="315">
        <v>0</v>
      </c>
      <c r="Y881" s="315">
        <v>0</v>
      </c>
      <c r="Z881" s="315"/>
      <c r="AA881" s="336">
        <v>16</v>
      </c>
      <c r="AB881" s="336">
        <v>16</v>
      </c>
      <c r="AC881" s="337">
        <v>0</v>
      </c>
      <c r="AD881" s="337"/>
      <c r="AE881" s="336">
        <v>16</v>
      </c>
      <c r="AF881" s="336" t="s">
        <v>1358</v>
      </c>
      <c r="AG881" s="339" t="s">
        <v>1358</v>
      </c>
      <c r="AH881" s="339">
        <v>0</v>
      </c>
      <c r="AI881" s="336">
        <v>0</v>
      </c>
      <c r="AJ881" s="336"/>
      <c r="AK881" s="848">
        <v>0.67</v>
      </c>
      <c r="AL881" s="836" t="s">
        <v>376</v>
      </c>
      <c r="AM881" s="836">
        <v>0</v>
      </c>
      <c r="AN881" s="848">
        <v>2</v>
      </c>
      <c r="AO881" s="850">
        <v>1</v>
      </c>
      <c r="AP881" s="838">
        <v>107</v>
      </c>
      <c r="AQ881" s="839">
        <v>0</v>
      </c>
      <c r="AR881" s="839"/>
      <c r="AS881" s="839"/>
      <c r="AT881" s="839"/>
      <c r="AU881" s="839"/>
      <c r="AV881" s="849"/>
      <c r="AW881" s="134" t="s">
        <v>3208</v>
      </c>
      <c r="AX881" s="136" t="s">
        <v>3208</v>
      </c>
      <c r="AY881" s="137" t="s">
        <v>2576</v>
      </c>
      <c r="AZ881" s="136">
        <v>1</v>
      </c>
      <c r="BA881" s="136">
        <v>1</v>
      </c>
      <c r="BB881" s="136">
        <v>1</v>
      </c>
      <c r="BC881" s="214">
        <v>529</v>
      </c>
      <c r="BD881" s="136">
        <v>0</v>
      </c>
      <c r="BE881" s="214">
        <v>0</v>
      </c>
      <c r="BF881" s="136">
        <v>1</v>
      </c>
      <c r="BG881" s="214">
        <v>529</v>
      </c>
      <c r="BH881" s="214">
        <v>1.0580000000000001</v>
      </c>
      <c r="BI881" s="134">
        <v>0</v>
      </c>
      <c r="BJ881" s="214">
        <v>0</v>
      </c>
      <c r="BK881" s="137">
        <v>0</v>
      </c>
      <c r="BL881" s="137">
        <v>1</v>
      </c>
      <c r="BM881" s="137">
        <v>32</v>
      </c>
      <c r="BN881" s="134">
        <v>0.60491493383742911</v>
      </c>
      <c r="BO881" s="351">
        <v>320</v>
      </c>
      <c r="BP881" s="134">
        <v>0</v>
      </c>
      <c r="BQ881" s="214">
        <v>0</v>
      </c>
      <c r="BR881" s="137">
        <v>26</v>
      </c>
      <c r="BS881" s="138">
        <v>0.5</v>
      </c>
      <c r="BT881" s="351">
        <v>0</v>
      </c>
      <c r="BU881" s="214">
        <v>500</v>
      </c>
      <c r="BV881" s="214">
        <v>0</v>
      </c>
      <c r="BW881" s="214">
        <v>1</v>
      </c>
      <c r="BX881" s="214">
        <v>1</v>
      </c>
      <c r="BY881" s="214">
        <v>529</v>
      </c>
      <c r="BZ881" s="134">
        <v>1</v>
      </c>
      <c r="CA881" s="138">
        <v>0</v>
      </c>
      <c r="CB881" s="136">
        <v>0.94517958412098302</v>
      </c>
      <c r="CC881" s="136">
        <v>1</v>
      </c>
      <c r="CD881" s="136">
        <v>0</v>
      </c>
      <c r="CE881" s="137">
        <v>535</v>
      </c>
      <c r="CF881" s="137">
        <v>0</v>
      </c>
      <c r="CG881" s="137">
        <v>535</v>
      </c>
      <c r="CH881" s="214">
        <v>71.69</v>
      </c>
      <c r="CI881" s="139" t="s">
        <v>48</v>
      </c>
      <c r="CJ881" s="139" t="s">
        <v>287</v>
      </c>
      <c r="CK881" s="139" t="s">
        <v>50</v>
      </c>
      <c r="CL881" s="139" t="s">
        <v>50</v>
      </c>
      <c r="CM881" s="139" t="s">
        <v>50</v>
      </c>
      <c r="CN881" s="139" t="s">
        <v>51</v>
      </c>
      <c r="CO881" s="139">
        <v>23.83013</v>
      </c>
      <c r="CP881" s="139">
        <v>97.589979999999997</v>
      </c>
      <c r="CQ881" s="139" t="s">
        <v>1909</v>
      </c>
      <c r="CR881" s="449" t="s">
        <v>40</v>
      </c>
      <c r="CS881" s="449"/>
      <c r="CT881" s="24"/>
      <c r="CU881" s="24"/>
      <c r="CV881" s="24"/>
    </row>
    <row r="882" spans="1:100" ht="15.75" customHeight="1" x14ac:dyDescent="0.25">
      <c r="A882" s="643" t="s">
        <v>1388</v>
      </c>
      <c r="B882" s="132" t="s">
        <v>447</v>
      </c>
      <c r="C882" s="132" t="s">
        <v>44</v>
      </c>
      <c r="D882" s="132" t="s">
        <v>45</v>
      </c>
      <c r="E882" s="132" t="s">
        <v>450</v>
      </c>
      <c r="F882" s="132">
        <v>117</v>
      </c>
      <c r="G882" s="214">
        <v>524</v>
      </c>
      <c r="H882" s="132">
        <v>190</v>
      </c>
      <c r="I882" s="132" t="s">
        <v>449</v>
      </c>
      <c r="J882" s="133">
        <v>43421</v>
      </c>
      <c r="K882" s="132"/>
      <c r="L882" s="132" t="s">
        <v>48</v>
      </c>
      <c r="M882" s="134">
        <v>0.56999999999999995</v>
      </c>
      <c r="N882" s="134">
        <v>0.43</v>
      </c>
      <c r="O882" s="320">
        <v>0</v>
      </c>
      <c r="P882" s="326">
        <v>3</v>
      </c>
      <c r="Q882" s="326">
        <v>40000</v>
      </c>
      <c r="R882" s="315">
        <v>0</v>
      </c>
      <c r="S882" s="315">
        <v>16</v>
      </c>
      <c r="T882" s="315"/>
      <c r="U882" s="315">
        <v>0</v>
      </c>
      <c r="V882" s="315">
        <v>0</v>
      </c>
      <c r="W882" s="315">
        <v>0</v>
      </c>
      <c r="X882" s="315">
        <v>0</v>
      </c>
      <c r="Y882" s="315">
        <v>0</v>
      </c>
      <c r="Z882" s="315"/>
      <c r="AA882" s="336">
        <v>29</v>
      </c>
      <c r="AB882" s="336">
        <v>8</v>
      </c>
      <c r="AC882" s="337">
        <v>0</v>
      </c>
      <c r="AD882" s="337"/>
      <c r="AE882" s="336">
        <v>29</v>
      </c>
      <c r="AF882" s="336" t="s">
        <v>1358</v>
      </c>
      <c r="AG882" s="339" t="s">
        <v>1358</v>
      </c>
      <c r="AH882" s="339">
        <v>0</v>
      </c>
      <c r="AI882" s="336">
        <v>0</v>
      </c>
      <c r="AJ882" s="336"/>
      <c r="AK882" s="848">
        <v>0.92</v>
      </c>
      <c r="AL882" s="836" t="s">
        <v>376</v>
      </c>
      <c r="AM882" s="836">
        <v>0</v>
      </c>
      <c r="AN882" s="848">
        <v>4</v>
      </c>
      <c r="AO882" s="850">
        <v>1</v>
      </c>
      <c r="AP882" s="838">
        <v>117</v>
      </c>
      <c r="AQ882" s="839">
        <v>0</v>
      </c>
      <c r="AR882" s="839"/>
      <c r="AS882" s="839"/>
      <c r="AT882" s="839"/>
      <c r="AU882" s="839"/>
      <c r="AV882" s="849"/>
      <c r="AW882" s="134" t="s">
        <v>3208</v>
      </c>
      <c r="AX882" s="136" t="s">
        <v>3208</v>
      </c>
      <c r="AY882" s="137" t="s">
        <v>2576</v>
      </c>
      <c r="AZ882" s="136">
        <v>1</v>
      </c>
      <c r="BA882" s="136">
        <v>1</v>
      </c>
      <c r="BB882" s="136">
        <v>1</v>
      </c>
      <c r="BC882" s="214">
        <v>524</v>
      </c>
      <c r="BD882" s="136">
        <v>0</v>
      </c>
      <c r="BE882" s="214">
        <v>0</v>
      </c>
      <c r="BF882" s="136">
        <v>1</v>
      </c>
      <c r="BG882" s="214">
        <v>524</v>
      </c>
      <c r="BH882" s="214">
        <v>1.048</v>
      </c>
      <c r="BI882" s="134">
        <v>0</v>
      </c>
      <c r="BJ882" s="214">
        <v>0</v>
      </c>
      <c r="BK882" s="137">
        <v>0</v>
      </c>
      <c r="BL882" s="137">
        <v>1</v>
      </c>
      <c r="BM882" s="137">
        <v>37</v>
      </c>
      <c r="BN882" s="134">
        <v>1</v>
      </c>
      <c r="BO882" s="351">
        <v>524</v>
      </c>
      <c r="BP882" s="134">
        <v>0</v>
      </c>
      <c r="BQ882" s="214">
        <v>0</v>
      </c>
      <c r="BR882" s="137">
        <v>26</v>
      </c>
      <c r="BS882" s="138">
        <v>0.21621621621621623</v>
      </c>
      <c r="BT882" s="351">
        <v>0</v>
      </c>
      <c r="BU882" s="214">
        <v>500</v>
      </c>
      <c r="BV882" s="214">
        <v>0</v>
      </c>
      <c r="BW882" s="214">
        <v>1</v>
      </c>
      <c r="BX882" s="214">
        <v>1</v>
      </c>
      <c r="BY882" s="214">
        <v>524</v>
      </c>
      <c r="BZ882" s="134">
        <v>1</v>
      </c>
      <c r="CA882" s="138">
        <v>0</v>
      </c>
      <c r="CB882" s="136">
        <v>0.95419847328244278</v>
      </c>
      <c r="CC882" s="136">
        <v>1</v>
      </c>
      <c r="CD882" s="136">
        <v>0</v>
      </c>
      <c r="CE882" s="137">
        <v>585</v>
      </c>
      <c r="CF882" s="137">
        <v>0</v>
      </c>
      <c r="CG882" s="137">
        <v>585</v>
      </c>
      <c r="CH882" s="214">
        <v>107.64</v>
      </c>
      <c r="CI882" s="139" t="s">
        <v>48</v>
      </c>
      <c r="CJ882" s="139" t="s">
        <v>287</v>
      </c>
      <c r="CK882" s="139" t="s">
        <v>50</v>
      </c>
      <c r="CL882" s="139" t="s">
        <v>50</v>
      </c>
      <c r="CM882" s="139" t="s">
        <v>50</v>
      </c>
      <c r="CN882" s="139" t="s">
        <v>51</v>
      </c>
      <c r="CO882" s="139">
        <v>23.829599000000002</v>
      </c>
      <c r="CP882" s="139">
        <v>97.590767</v>
      </c>
      <c r="CQ882" s="139" t="s">
        <v>1908</v>
      </c>
      <c r="CR882" s="449" t="s">
        <v>40</v>
      </c>
      <c r="CS882" s="449"/>
      <c r="CT882" s="24"/>
      <c r="CU882" s="24"/>
      <c r="CV882" s="24"/>
    </row>
    <row r="883" spans="1:100" ht="16.5" customHeight="1" x14ac:dyDescent="0.25">
      <c r="A883" s="643" t="s">
        <v>1388</v>
      </c>
      <c r="B883" s="132" t="s">
        <v>447</v>
      </c>
      <c r="C883" s="132" t="s">
        <v>44</v>
      </c>
      <c r="D883" s="132" t="s">
        <v>45</v>
      </c>
      <c r="E883" s="132" t="s">
        <v>451</v>
      </c>
      <c r="F883" s="132">
        <v>443</v>
      </c>
      <c r="G883" s="214">
        <v>2327</v>
      </c>
      <c r="H883" s="132"/>
      <c r="I883" s="132" t="s">
        <v>449</v>
      </c>
      <c r="J883" s="133">
        <v>43421</v>
      </c>
      <c r="K883" s="132"/>
      <c r="L883" s="132" t="s">
        <v>48</v>
      </c>
      <c r="M883" s="134">
        <v>0.14000000000000001</v>
      </c>
      <c r="N883" s="134">
        <v>0.14000000000000001</v>
      </c>
      <c r="O883" s="320">
        <v>1</v>
      </c>
      <c r="P883" s="326">
        <v>2</v>
      </c>
      <c r="Q883" s="326">
        <v>63560</v>
      </c>
      <c r="R883" s="315">
        <v>0</v>
      </c>
      <c r="S883" s="315">
        <v>10</v>
      </c>
      <c r="T883" s="315"/>
      <c r="U883" s="315">
        <v>0</v>
      </c>
      <c r="V883" s="315">
        <v>0</v>
      </c>
      <c r="W883" s="315">
        <v>0</v>
      </c>
      <c r="X883" s="315">
        <v>0</v>
      </c>
      <c r="Y883" s="315">
        <v>0</v>
      </c>
      <c r="Z883" s="315"/>
      <c r="AA883" s="336">
        <v>127</v>
      </c>
      <c r="AB883" s="336">
        <v>28</v>
      </c>
      <c r="AC883" s="337">
        <v>0</v>
      </c>
      <c r="AD883" s="337"/>
      <c r="AE883" s="336">
        <v>127</v>
      </c>
      <c r="AF883" s="336" t="s">
        <v>1358</v>
      </c>
      <c r="AG883" s="339" t="s">
        <v>1358</v>
      </c>
      <c r="AH883" s="339">
        <v>0</v>
      </c>
      <c r="AI883" s="336">
        <v>0</v>
      </c>
      <c r="AJ883" s="336"/>
      <c r="AK883" s="848">
        <v>0.5</v>
      </c>
      <c r="AL883" s="836" t="s">
        <v>376</v>
      </c>
      <c r="AM883" s="836">
        <v>0</v>
      </c>
      <c r="AN883" s="848">
        <v>7</v>
      </c>
      <c r="AO883" s="850">
        <v>2</v>
      </c>
      <c r="AP883" s="839">
        <v>443</v>
      </c>
      <c r="AQ883" s="839">
        <v>0</v>
      </c>
      <c r="AR883" s="839"/>
      <c r="AS883" s="839"/>
      <c r="AT883" s="839"/>
      <c r="AU883" s="839"/>
      <c r="AV883" s="849"/>
      <c r="AW883" s="134" t="s">
        <v>3208</v>
      </c>
      <c r="AX883" s="136" t="s">
        <v>3208</v>
      </c>
      <c r="AY883" s="137" t="s">
        <v>2576</v>
      </c>
      <c r="AZ883" s="136">
        <v>1</v>
      </c>
      <c r="BA883" s="136">
        <v>1</v>
      </c>
      <c r="BB883" s="136">
        <v>1</v>
      </c>
      <c r="BC883" s="214">
        <v>2327</v>
      </c>
      <c r="BD883" s="136">
        <v>0</v>
      </c>
      <c r="BE883" s="214">
        <v>0</v>
      </c>
      <c r="BF883" s="136">
        <v>1</v>
      </c>
      <c r="BG883" s="214">
        <v>2327</v>
      </c>
      <c r="BH883" s="214">
        <v>4.6539999999999999</v>
      </c>
      <c r="BI883" s="134">
        <v>0</v>
      </c>
      <c r="BJ883" s="214">
        <v>0</v>
      </c>
      <c r="BK883" s="137">
        <v>0.34600000000000009</v>
      </c>
      <c r="BL883" s="137">
        <v>5</v>
      </c>
      <c r="BM883" s="137">
        <v>155</v>
      </c>
      <c r="BN883" s="134">
        <v>1</v>
      </c>
      <c r="BO883" s="351">
        <v>2327</v>
      </c>
      <c r="BP883" s="134">
        <v>0</v>
      </c>
      <c r="BQ883" s="214">
        <v>0</v>
      </c>
      <c r="BR883" s="137">
        <v>116</v>
      </c>
      <c r="BS883" s="138">
        <v>0.18064516129032257</v>
      </c>
      <c r="BT883" s="351">
        <v>0</v>
      </c>
      <c r="BU883" s="214">
        <v>1000</v>
      </c>
      <c r="BV883" s="214">
        <v>0</v>
      </c>
      <c r="BW883" s="214">
        <v>0</v>
      </c>
      <c r="BX883" s="214">
        <v>1</v>
      </c>
      <c r="BY883" s="214">
        <v>0</v>
      </c>
      <c r="BZ883" s="134">
        <v>0</v>
      </c>
      <c r="CA883" s="138">
        <v>1</v>
      </c>
      <c r="CB883" s="136">
        <v>0.42973785990545765</v>
      </c>
      <c r="CC883" s="136">
        <v>1</v>
      </c>
      <c r="CD883" s="136">
        <v>0</v>
      </c>
      <c r="CE883" s="137">
        <v>2215</v>
      </c>
      <c r="CF883" s="137">
        <v>0</v>
      </c>
      <c r="CG883" s="137">
        <v>2215</v>
      </c>
      <c r="CH883" s="214">
        <v>221.5</v>
      </c>
      <c r="CI883" s="139" t="s">
        <v>48</v>
      </c>
      <c r="CJ883" s="139" t="s">
        <v>49</v>
      </c>
      <c r="CK883" s="139" t="s">
        <v>50</v>
      </c>
      <c r="CL883" s="139" t="s">
        <v>50</v>
      </c>
      <c r="CM883" s="139" t="s">
        <v>50</v>
      </c>
      <c r="CN883" s="139" t="s">
        <v>51</v>
      </c>
      <c r="CO883" s="139">
        <v>23.835319999999999</v>
      </c>
      <c r="CP883" s="139">
        <v>97.578490000000002</v>
      </c>
      <c r="CQ883" s="139" t="s">
        <v>1911</v>
      </c>
      <c r="CR883" s="449" t="s">
        <v>40</v>
      </c>
      <c r="CS883" s="449"/>
      <c r="CT883" s="24"/>
      <c r="CU883" s="24"/>
      <c r="CV883" s="24"/>
    </row>
    <row r="884" spans="1:100" ht="15.75" customHeight="1" x14ac:dyDescent="0.25">
      <c r="A884" s="643" t="s">
        <v>1388</v>
      </c>
      <c r="B884" s="132" t="s">
        <v>447</v>
      </c>
      <c r="C884" s="132" t="s">
        <v>44</v>
      </c>
      <c r="D884" s="132" t="s">
        <v>45</v>
      </c>
      <c r="E884" s="132" t="s">
        <v>452</v>
      </c>
      <c r="F884" s="132">
        <v>119</v>
      </c>
      <c r="G884" s="214">
        <v>637</v>
      </c>
      <c r="H884" s="132"/>
      <c r="I884" s="132" t="s">
        <v>449</v>
      </c>
      <c r="J884" s="133">
        <v>43421</v>
      </c>
      <c r="K884" s="132"/>
      <c r="L884" s="132" t="s">
        <v>48</v>
      </c>
      <c r="M884" s="134">
        <v>0.28999999999999998</v>
      </c>
      <c r="N884" s="134">
        <v>0.28999999999999998</v>
      </c>
      <c r="O884" s="320">
        <v>1</v>
      </c>
      <c r="P884" s="326">
        <v>2</v>
      </c>
      <c r="Q884" s="326">
        <v>36300</v>
      </c>
      <c r="R884" s="315">
        <v>0</v>
      </c>
      <c r="S884" s="315">
        <v>3</v>
      </c>
      <c r="T884" s="315"/>
      <c r="U884" s="315">
        <v>0</v>
      </c>
      <c r="V884" s="315">
        <v>0</v>
      </c>
      <c r="W884" s="315">
        <v>0</v>
      </c>
      <c r="X884" s="315">
        <v>0</v>
      </c>
      <c r="Y884" s="315">
        <v>0</v>
      </c>
      <c r="Z884" s="315"/>
      <c r="AA884" s="336">
        <v>36</v>
      </c>
      <c r="AB884" s="336">
        <v>0</v>
      </c>
      <c r="AC884" s="337">
        <v>0</v>
      </c>
      <c r="AD884" s="337"/>
      <c r="AE884" s="336">
        <v>36</v>
      </c>
      <c r="AF884" s="336" t="s">
        <v>1358</v>
      </c>
      <c r="AG884" s="339" t="s">
        <v>1358</v>
      </c>
      <c r="AH884" s="339">
        <v>0</v>
      </c>
      <c r="AI884" s="336">
        <v>0</v>
      </c>
      <c r="AJ884" s="336"/>
      <c r="AK884" s="848">
        <v>0</v>
      </c>
      <c r="AL884" s="836"/>
      <c r="AM884" s="836">
        <v>0</v>
      </c>
      <c r="AN884" s="848">
        <v>3</v>
      </c>
      <c r="AO884" s="850">
        <v>1</v>
      </c>
      <c r="AP884" s="838">
        <v>119</v>
      </c>
      <c r="AQ884" s="839">
        <v>0</v>
      </c>
      <c r="AR884" s="839"/>
      <c r="AS884" s="839"/>
      <c r="AT884" s="839"/>
      <c r="AU884" s="839"/>
      <c r="AV884" s="849"/>
      <c r="AW884" s="134" t="s">
        <v>3208</v>
      </c>
      <c r="AX884" s="136" t="s">
        <v>3208</v>
      </c>
      <c r="AY884" s="137" t="s">
        <v>2576</v>
      </c>
      <c r="AZ884" s="136">
        <v>1</v>
      </c>
      <c r="BA884" s="136">
        <v>1</v>
      </c>
      <c r="BB884" s="136">
        <v>1</v>
      </c>
      <c r="BC884" s="214">
        <v>637</v>
      </c>
      <c r="BD884" s="136">
        <v>0</v>
      </c>
      <c r="BE884" s="214">
        <v>0</v>
      </c>
      <c r="BF884" s="136">
        <v>1</v>
      </c>
      <c r="BG884" s="214">
        <v>637</v>
      </c>
      <c r="BH884" s="214">
        <v>1.274</v>
      </c>
      <c r="BI884" s="134">
        <v>0</v>
      </c>
      <c r="BJ884" s="214">
        <v>0</v>
      </c>
      <c r="BK884" s="137">
        <v>0</v>
      </c>
      <c r="BL884" s="137">
        <v>1</v>
      </c>
      <c r="BM884" s="137">
        <v>36</v>
      </c>
      <c r="BN884" s="134">
        <v>1</v>
      </c>
      <c r="BO884" s="351">
        <v>637</v>
      </c>
      <c r="BP884" s="134">
        <v>0</v>
      </c>
      <c r="BQ884" s="214">
        <v>0</v>
      </c>
      <c r="BR884" s="137">
        <v>32</v>
      </c>
      <c r="BS884" s="138">
        <v>0</v>
      </c>
      <c r="BT884" s="351">
        <v>0</v>
      </c>
      <c r="BU884" s="214">
        <v>500</v>
      </c>
      <c r="BV884" s="214">
        <v>0</v>
      </c>
      <c r="BW884" s="214">
        <v>0</v>
      </c>
      <c r="BX884" s="214">
        <v>1</v>
      </c>
      <c r="BY884" s="214">
        <v>0</v>
      </c>
      <c r="BZ884" s="134">
        <v>0</v>
      </c>
      <c r="CA884" s="138">
        <v>1</v>
      </c>
      <c r="CB884" s="136">
        <v>0.78492935635792782</v>
      </c>
      <c r="CC884" s="136">
        <v>1</v>
      </c>
      <c r="CD884" s="136">
        <v>0</v>
      </c>
      <c r="CE884" s="137">
        <v>595</v>
      </c>
      <c r="CF884" s="137">
        <v>0</v>
      </c>
      <c r="CG884" s="137">
        <v>595</v>
      </c>
      <c r="CH884" s="214">
        <v>0</v>
      </c>
      <c r="CI884" s="139" t="s">
        <v>48</v>
      </c>
      <c r="CJ884" s="139" t="s">
        <v>49</v>
      </c>
      <c r="CK884" s="139" t="s">
        <v>50</v>
      </c>
      <c r="CL884" s="139" t="s">
        <v>50</v>
      </c>
      <c r="CM884" s="139" t="s">
        <v>50</v>
      </c>
      <c r="CN884" s="139" t="s">
        <v>51</v>
      </c>
      <c r="CO884" s="139">
        <v>23.833477999999999</v>
      </c>
      <c r="CP884" s="139">
        <v>97.578367</v>
      </c>
      <c r="CQ884" s="139" t="s">
        <v>1910</v>
      </c>
      <c r="CR884" s="449" t="s">
        <v>40</v>
      </c>
      <c r="CS884" s="449"/>
      <c r="CT884" s="24"/>
      <c r="CU884" s="24"/>
      <c r="CV884" s="24"/>
    </row>
    <row r="885" spans="1:100" ht="15.75" customHeight="1" x14ac:dyDescent="0.25">
      <c r="A885" s="643" t="s">
        <v>1388</v>
      </c>
      <c r="B885" s="132" t="s">
        <v>460</v>
      </c>
      <c r="C885" s="132" t="s">
        <v>44</v>
      </c>
      <c r="D885" s="132" t="s">
        <v>45</v>
      </c>
      <c r="E885" s="132" t="s">
        <v>1148</v>
      </c>
      <c r="F885" s="132">
        <v>175</v>
      </c>
      <c r="G885" s="214">
        <v>834</v>
      </c>
      <c r="H885" s="132"/>
      <c r="I885" s="132"/>
      <c r="J885" s="133"/>
      <c r="K885" s="132"/>
      <c r="L885" s="132" t="s">
        <v>282</v>
      </c>
      <c r="M885" s="134">
        <v>0</v>
      </c>
      <c r="N885" s="134">
        <v>0</v>
      </c>
      <c r="O885" s="320"/>
      <c r="P885" s="326"/>
      <c r="Q885" s="326"/>
      <c r="R885" s="315"/>
      <c r="S885" s="315"/>
      <c r="T885" s="315"/>
      <c r="U885" s="315"/>
      <c r="V885" s="315"/>
      <c r="W885" s="315"/>
      <c r="X885" s="315"/>
      <c r="Y885" s="315"/>
      <c r="Z885" s="315"/>
      <c r="AA885" s="336">
        <v>0</v>
      </c>
      <c r="AB885" s="336"/>
      <c r="AC885" s="337"/>
      <c r="AD885" s="337"/>
      <c r="AE885" s="336"/>
      <c r="AF885" s="336" t="s">
        <v>286</v>
      </c>
      <c r="AG885" s="339" t="s">
        <v>286</v>
      </c>
      <c r="AH885" s="339"/>
      <c r="AI885" s="336"/>
      <c r="AJ885" s="336"/>
      <c r="AK885" s="848"/>
      <c r="AL885" s="836"/>
      <c r="AM885" s="836"/>
      <c r="AN885" s="848"/>
      <c r="AO885" s="850"/>
      <c r="AP885" s="838"/>
      <c r="AQ885" s="839"/>
      <c r="AR885" s="839"/>
      <c r="AS885" s="839"/>
      <c r="AT885" s="839"/>
      <c r="AU885" s="839"/>
      <c r="AV885" s="849"/>
      <c r="AW885" s="134" t="s">
        <v>3208</v>
      </c>
      <c r="AX885" s="136" t="s">
        <v>3208</v>
      </c>
      <c r="AY885" s="137" t="s">
        <v>2576</v>
      </c>
      <c r="AZ885" s="136">
        <v>0</v>
      </c>
      <c r="BA885" s="136">
        <v>0</v>
      </c>
      <c r="BB885" s="136">
        <v>0</v>
      </c>
      <c r="BC885" s="214">
        <v>0</v>
      </c>
      <c r="BD885" s="136">
        <v>0</v>
      </c>
      <c r="BE885" s="214">
        <v>0</v>
      </c>
      <c r="BF885" s="136">
        <v>0</v>
      </c>
      <c r="BG885" s="214">
        <v>0</v>
      </c>
      <c r="BH885" s="214">
        <v>0</v>
      </c>
      <c r="BI885" s="134">
        <v>1</v>
      </c>
      <c r="BJ885" s="214">
        <v>834</v>
      </c>
      <c r="BK885" s="137">
        <v>2</v>
      </c>
      <c r="BL885" s="137">
        <v>2</v>
      </c>
      <c r="BM885" s="137">
        <v>0</v>
      </c>
      <c r="BN885" s="134">
        <v>0</v>
      </c>
      <c r="BO885" s="351">
        <v>0</v>
      </c>
      <c r="BP885" s="134">
        <v>1</v>
      </c>
      <c r="BQ885" s="214">
        <v>42</v>
      </c>
      <c r="BR885" s="137">
        <v>42</v>
      </c>
      <c r="BS885" s="138">
        <v>0</v>
      </c>
      <c r="BT885" s="351">
        <v>0</v>
      </c>
      <c r="BU885" s="214">
        <v>0</v>
      </c>
      <c r="BV885" s="214">
        <v>0</v>
      </c>
      <c r="BW885" s="214">
        <v>0</v>
      </c>
      <c r="BX885" s="214">
        <v>0</v>
      </c>
      <c r="BY885" s="214">
        <v>0</v>
      </c>
      <c r="BZ885" s="134">
        <v>0</v>
      </c>
      <c r="CA885" s="138">
        <v>1</v>
      </c>
      <c r="CB885" s="136">
        <v>0</v>
      </c>
      <c r="CC885" s="136">
        <v>0</v>
      </c>
      <c r="CD885" s="136">
        <v>0</v>
      </c>
      <c r="CE885" s="137">
        <v>0</v>
      </c>
      <c r="CF885" s="137">
        <v>0</v>
      </c>
      <c r="CG885" s="137">
        <v>0</v>
      </c>
      <c r="CH885" s="214">
        <v>0</v>
      </c>
      <c r="CI885" s="139">
        <v>0</v>
      </c>
      <c r="CJ885" s="139" t="s">
        <v>2959</v>
      </c>
      <c r="CK885" s="139" t="s">
        <v>50</v>
      </c>
      <c r="CL885" s="139" t="s">
        <v>50</v>
      </c>
      <c r="CM885" s="139" t="s">
        <v>942</v>
      </c>
      <c r="CN885" s="139" t="s">
        <v>51</v>
      </c>
      <c r="CO885" s="139">
        <v>23.827870999999998</v>
      </c>
      <c r="CP885" s="139">
        <v>97.588291999999996</v>
      </c>
      <c r="CQ885" s="139" t="s">
        <v>1905</v>
      </c>
      <c r="CR885" s="449" t="s">
        <v>3209</v>
      </c>
      <c r="CS885" s="449"/>
      <c r="CT885" s="24"/>
      <c r="CU885" s="24"/>
      <c r="CV885" s="24"/>
    </row>
    <row r="886" spans="1:100" ht="15.75" customHeight="1" x14ac:dyDescent="0.25">
      <c r="A886" s="643" t="s">
        <v>1388</v>
      </c>
      <c r="B886" s="132" t="s">
        <v>338</v>
      </c>
      <c r="C886" s="132" t="s">
        <v>44</v>
      </c>
      <c r="D886" s="132" t="s">
        <v>45</v>
      </c>
      <c r="E886" s="132" t="s">
        <v>339</v>
      </c>
      <c r="F886" s="132">
        <v>185</v>
      </c>
      <c r="G886" s="214">
        <v>823</v>
      </c>
      <c r="H886" s="132"/>
      <c r="I886" s="132" t="s">
        <v>2479</v>
      </c>
      <c r="J886" s="133" t="s">
        <v>2476</v>
      </c>
      <c r="K886" s="132">
        <v>0</v>
      </c>
      <c r="L886" s="132" t="s">
        <v>48</v>
      </c>
      <c r="M886" s="134">
        <v>0.8</v>
      </c>
      <c r="N886" s="134">
        <v>0.8</v>
      </c>
      <c r="O886" s="320">
        <v>3</v>
      </c>
      <c r="P886" s="326">
        <v>6</v>
      </c>
      <c r="Q886" s="326">
        <v>0</v>
      </c>
      <c r="R886" s="315">
        <v>0</v>
      </c>
      <c r="S886" s="315">
        <v>0</v>
      </c>
      <c r="T886" s="315"/>
      <c r="U886" s="315"/>
      <c r="V886" s="315"/>
      <c r="W886" s="315"/>
      <c r="X886" s="315"/>
      <c r="Y886" s="315"/>
      <c r="Z886" s="315"/>
      <c r="AA886" s="336">
        <v>44</v>
      </c>
      <c r="AB886" s="336">
        <v>0</v>
      </c>
      <c r="AC886" s="337">
        <v>2</v>
      </c>
      <c r="AD886" s="337"/>
      <c r="AE886" s="336">
        <v>0</v>
      </c>
      <c r="AF886" s="336" t="s">
        <v>283</v>
      </c>
      <c r="AG886" s="339" t="s">
        <v>283</v>
      </c>
      <c r="AH886" s="339"/>
      <c r="AI886" s="336"/>
      <c r="AJ886" s="336"/>
      <c r="AK886" s="848">
        <v>1</v>
      </c>
      <c r="AL886" s="836" t="s">
        <v>291</v>
      </c>
      <c r="AM886" s="836">
        <v>0</v>
      </c>
      <c r="AN886" s="848">
        <v>7</v>
      </c>
      <c r="AO886" s="850">
        <v>3</v>
      </c>
      <c r="AP886" s="839">
        <v>185</v>
      </c>
      <c r="AQ886" s="839">
        <v>185</v>
      </c>
      <c r="AR886" s="839"/>
      <c r="AS886" s="839"/>
      <c r="AT886" s="839"/>
      <c r="AU886" s="839"/>
      <c r="AV886" s="849"/>
      <c r="AW886" s="134" t="s">
        <v>3208</v>
      </c>
      <c r="AX886" s="136" t="s">
        <v>3208</v>
      </c>
      <c r="AY886" s="137" t="s">
        <v>2576</v>
      </c>
      <c r="AZ886" s="136">
        <v>1</v>
      </c>
      <c r="BA886" s="136">
        <v>1</v>
      </c>
      <c r="BB886" s="136">
        <v>1</v>
      </c>
      <c r="BC886" s="214">
        <v>823</v>
      </c>
      <c r="BD886" s="136">
        <v>0</v>
      </c>
      <c r="BE886" s="214">
        <v>0</v>
      </c>
      <c r="BF886" s="136">
        <v>1</v>
      </c>
      <c r="BG886" s="214">
        <v>823</v>
      </c>
      <c r="BH886" s="214">
        <v>1.6459999999999999</v>
      </c>
      <c r="BI886" s="134">
        <v>0</v>
      </c>
      <c r="BJ886" s="214">
        <v>0</v>
      </c>
      <c r="BK886" s="137">
        <v>0.35400000000000009</v>
      </c>
      <c r="BL886" s="137">
        <v>2</v>
      </c>
      <c r="BM886" s="137">
        <v>44</v>
      </c>
      <c r="BN886" s="134">
        <v>1</v>
      </c>
      <c r="BO886" s="351">
        <v>823</v>
      </c>
      <c r="BP886" s="134">
        <v>0</v>
      </c>
      <c r="BQ886" s="214">
        <v>0</v>
      </c>
      <c r="BR886" s="137">
        <v>41</v>
      </c>
      <c r="BS886" s="138">
        <v>0</v>
      </c>
      <c r="BT886" s="351">
        <v>40</v>
      </c>
      <c r="BU886" s="214">
        <v>823</v>
      </c>
      <c r="BV886" s="214">
        <v>1</v>
      </c>
      <c r="BW886" s="214">
        <v>1</v>
      </c>
      <c r="BX886" s="214">
        <v>1</v>
      </c>
      <c r="BY886" s="214">
        <v>823</v>
      </c>
      <c r="BZ886" s="134">
        <v>1</v>
      </c>
      <c r="CA886" s="138">
        <v>0</v>
      </c>
      <c r="CB886" s="136">
        <v>1</v>
      </c>
      <c r="CC886" s="136">
        <v>1</v>
      </c>
      <c r="CD886" s="136">
        <v>1</v>
      </c>
      <c r="CE886" s="137">
        <v>925</v>
      </c>
      <c r="CF886" s="137">
        <v>925</v>
      </c>
      <c r="CG886" s="137">
        <v>925</v>
      </c>
      <c r="CH886" s="214">
        <v>185</v>
      </c>
      <c r="CI886" s="139" t="s">
        <v>48</v>
      </c>
      <c r="CJ886" s="139" t="s">
        <v>287</v>
      </c>
      <c r="CK886" s="139" t="s">
        <v>50</v>
      </c>
      <c r="CL886" s="139" t="s">
        <v>50</v>
      </c>
      <c r="CM886" s="139" t="s">
        <v>50</v>
      </c>
      <c r="CN886" s="139" t="s">
        <v>51</v>
      </c>
      <c r="CO886" s="139">
        <v>24.129059999999999</v>
      </c>
      <c r="CP886" s="139">
        <v>97.291820000000001</v>
      </c>
      <c r="CQ886" s="139" t="s">
        <v>1931</v>
      </c>
      <c r="CR886" s="449" t="s">
        <v>40</v>
      </c>
      <c r="CS886" s="449"/>
      <c r="CT886" s="24"/>
      <c r="CU886" s="24"/>
      <c r="CV886" s="24"/>
    </row>
    <row r="887" spans="1:100" ht="15.75" customHeight="1" x14ac:dyDescent="0.25">
      <c r="A887" s="643" t="s">
        <v>1388</v>
      </c>
      <c r="B887" s="132" t="s">
        <v>460</v>
      </c>
      <c r="C887" s="132" t="s">
        <v>44</v>
      </c>
      <c r="D887" s="132" t="s">
        <v>45</v>
      </c>
      <c r="E887" s="132" t="s">
        <v>1166</v>
      </c>
      <c r="F887" s="132">
        <v>80</v>
      </c>
      <c r="G887" s="214">
        <v>290</v>
      </c>
      <c r="H887" s="201"/>
      <c r="I887" s="132"/>
      <c r="J887" s="133"/>
      <c r="K887" s="132"/>
      <c r="L887" s="132" t="s">
        <v>282</v>
      </c>
      <c r="M887" s="134">
        <v>0</v>
      </c>
      <c r="N887" s="134">
        <v>0</v>
      </c>
      <c r="O887" s="320"/>
      <c r="P887" s="326"/>
      <c r="Q887" s="326"/>
      <c r="R887" s="315"/>
      <c r="S887" s="315"/>
      <c r="T887" s="315"/>
      <c r="U887" s="315"/>
      <c r="V887" s="315"/>
      <c r="W887" s="315"/>
      <c r="X887" s="315"/>
      <c r="Y887" s="315"/>
      <c r="Z887" s="315"/>
      <c r="AA887" s="336">
        <v>0</v>
      </c>
      <c r="AB887" s="336"/>
      <c r="AC887" s="337"/>
      <c r="AD887" s="337"/>
      <c r="AE887" s="336"/>
      <c r="AF887" s="336" t="s">
        <v>286</v>
      </c>
      <c r="AG887" s="339" t="s">
        <v>286</v>
      </c>
      <c r="AH887" s="339"/>
      <c r="AI887" s="336"/>
      <c r="AJ887" s="336"/>
      <c r="AK887" s="848"/>
      <c r="AL887" s="836"/>
      <c r="AM887" s="836"/>
      <c r="AN887" s="848"/>
      <c r="AO887" s="850"/>
      <c r="AP887" s="838"/>
      <c r="AQ887" s="839"/>
      <c r="AR887" s="839"/>
      <c r="AS887" s="839"/>
      <c r="AT887" s="839"/>
      <c r="AU887" s="839"/>
      <c r="AV887" s="849"/>
      <c r="AW887" s="134" t="s">
        <v>3208</v>
      </c>
      <c r="AX887" s="136" t="s">
        <v>3208</v>
      </c>
      <c r="AY887" s="137" t="s">
        <v>2576</v>
      </c>
      <c r="AZ887" s="136">
        <v>0</v>
      </c>
      <c r="BA887" s="136">
        <v>0</v>
      </c>
      <c r="BB887" s="136">
        <v>0</v>
      </c>
      <c r="BC887" s="214">
        <v>0</v>
      </c>
      <c r="BD887" s="136">
        <v>0</v>
      </c>
      <c r="BE887" s="214">
        <v>0</v>
      </c>
      <c r="BF887" s="136">
        <v>0</v>
      </c>
      <c r="BG887" s="214">
        <v>0</v>
      </c>
      <c r="BH887" s="214">
        <v>0</v>
      </c>
      <c r="BI887" s="134">
        <v>1</v>
      </c>
      <c r="BJ887" s="214">
        <v>290</v>
      </c>
      <c r="BK887" s="137">
        <v>1</v>
      </c>
      <c r="BL887" s="137">
        <v>1</v>
      </c>
      <c r="BM887" s="137">
        <v>0</v>
      </c>
      <c r="BN887" s="134">
        <v>0</v>
      </c>
      <c r="BO887" s="351">
        <v>0</v>
      </c>
      <c r="BP887" s="134">
        <v>1</v>
      </c>
      <c r="BQ887" s="214">
        <v>15</v>
      </c>
      <c r="BR887" s="137">
        <v>15</v>
      </c>
      <c r="BS887" s="138">
        <v>0</v>
      </c>
      <c r="BT887" s="351">
        <v>0</v>
      </c>
      <c r="BU887" s="214">
        <v>0</v>
      </c>
      <c r="BV887" s="214">
        <v>0</v>
      </c>
      <c r="BW887" s="214">
        <v>0</v>
      </c>
      <c r="BX887" s="214">
        <v>0</v>
      </c>
      <c r="BY887" s="214">
        <v>0</v>
      </c>
      <c r="BZ887" s="134">
        <v>0</v>
      </c>
      <c r="CA887" s="138">
        <v>1</v>
      </c>
      <c r="CB887" s="136">
        <v>0</v>
      </c>
      <c r="CC887" s="136">
        <v>0</v>
      </c>
      <c r="CD887" s="136">
        <v>0</v>
      </c>
      <c r="CE887" s="137">
        <v>0</v>
      </c>
      <c r="CF887" s="137">
        <v>0</v>
      </c>
      <c r="CG887" s="137">
        <v>0</v>
      </c>
      <c r="CH887" s="214">
        <v>0</v>
      </c>
      <c r="CI887" s="139">
        <v>0</v>
      </c>
      <c r="CJ887" s="139" t="s">
        <v>2959</v>
      </c>
      <c r="CK887" s="139" t="s">
        <v>50</v>
      </c>
      <c r="CL887" s="139" t="s">
        <v>50</v>
      </c>
      <c r="CM887" s="139" t="s">
        <v>942</v>
      </c>
      <c r="CN887" s="139" t="s">
        <v>51</v>
      </c>
      <c r="CO887" s="139">
        <v>24.118618999999999</v>
      </c>
      <c r="CP887" s="139">
        <v>97.298055000000005</v>
      </c>
      <c r="CQ887" s="139" t="s">
        <v>1930</v>
      </c>
      <c r="CR887" s="449" t="s">
        <v>3209</v>
      </c>
      <c r="CS887" s="449"/>
      <c r="CT887" s="24"/>
      <c r="CU887" s="24"/>
      <c r="CV887" s="24"/>
    </row>
    <row r="888" spans="1:100" ht="15.75" customHeight="1" x14ac:dyDescent="0.25">
      <c r="A888" s="643" t="s">
        <v>1388</v>
      </c>
      <c r="B888" s="132" t="s">
        <v>43</v>
      </c>
      <c r="C888" s="132" t="s">
        <v>44</v>
      </c>
      <c r="D888" s="132" t="s">
        <v>45</v>
      </c>
      <c r="E888" s="132" t="s">
        <v>285</v>
      </c>
      <c r="F888" s="132">
        <v>16</v>
      </c>
      <c r="G888" s="214">
        <v>89</v>
      </c>
      <c r="H888" s="201"/>
      <c r="I888" s="201" t="s">
        <v>47</v>
      </c>
      <c r="J888" s="133">
        <v>43008</v>
      </c>
      <c r="K888" s="132">
        <v>0</v>
      </c>
      <c r="L888" s="132" t="s">
        <v>282</v>
      </c>
      <c r="M888" s="134">
        <v>0</v>
      </c>
      <c r="N888" s="134">
        <v>0</v>
      </c>
      <c r="O888" s="320">
        <v>1</v>
      </c>
      <c r="P888" s="326">
        <v>0</v>
      </c>
      <c r="Q888" s="326"/>
      <c r="R888" s="315">
        <v>0</v>
      </c>
      <c r="S888" s="315"/>
      <c r="T888" s="315"/>
      <c r="U888" s="315"/>
      <c r="V888" s="315"/>
      <c r="W888" s="315"/>
      <c r="X888" s="315"/>
      <c r="Y888" s="315"/>
      <c r="Z888" s="315" t="s">
        <v>2457</v>
      </c>
      <c r="AA888" s="336">
        <v>0</v>
      </c>
      <c r="AB888" s="336">
        <v>0</v>
      </c>
      <c r="AC888" s="337"/>
      <c r="AD888" s="337"/>
      <c r="AE888" s="336">
        <v>0</v>
      </c>
      <c r="AF888" s="336" t="s">
        <v>286</v>
      </c>
      <c r="AG888" s="339" t="s">
        <v>286</v>
      </c>
      <c r="AH888" s="339"/>
      <c r="AI888" s="336"/>
      <c r="AJ888" s="336"/>
      <c r="AK888" s="848">
        <v>0</v>
      </c>
      <c r="AL888" s="836"/>
      <c r="AM888" s="836">
        <v>0</v>
      </c>
      <c r="AN888" s="848">
        <v>1</v>
      </c>
      <c r="AO888" s="850">
        <v>0</v>
      </c>
      <c r="AP888" s="838"/>
      <c r="AQ888" s="839"/>
      <c r="AR888" s="839"/>
      <c r="AS888" s="839"/>
      <c r="AT888" s="839"/>
      <c r="AU888" s="839"/>
      <c r="AV888" s="849"/>
      <c r="AW888" s="134" t="s">
        <v>3208</v>
      </c>
      <c r="AX888" s="136" t="s">
        <v>3208</v>
      </c>
      <c r="AY888" s="137" t="s">
        <v>2576</v>
      </c>
      <c r="AZ888" s="136">
        <v>1</v>
      </c>
      <c r="BA888" s="136">
        <v>1</v>
      </c>
      <c r="BB888" s="136">
        <v>1</v>
      </c>
      <c r="BC888" s="214">
        <v>89</v>
      </c>
      <c r="BD888" s="136">
        <v>0</v>
      </c>
      <c r="BE888" s="135">
        <v>0</v>
      </c>
      <c r="BF888" s="136">
        <v>1</v>
      </c>
      <c r="BG888" s="214">
        <v>89</v>
      </c>
      <c r="BH888" s="214">
        <v>0.17799999999999999</v>
      </c>
      <c r="BI888" s="134">
        <v>0</v>
      </c>
      <c r="BJ888" s="135">
        <v>0</v>
      </c>
      <c r="BK888" s="137">
        <v>0.82200000000000006</v>
      </c>
      <c r="BL888" s="137">
        <v>1</v>
      </c>
      <c r="BM888" s="137">
        <v>0</v>
      </c>
      <c r="BN888" s="134">
        <v>0</v>
      </c>
      <c r="BO888" s="351">
        <v>0</v>
      </c>
      <c r="BP888" s="134">
        <v>0.898876404494382</v>
      </c>
      <c r="BQ888" s="135">
        <v>4</v>
      </c>
      <c r="BR888" s="137">
        <v>4</v>
      </c>
      <c r="BS888" s="138">
        <v>0</v>
      </c>
      <c r="BT888" s="351">
        <v>0</v>
      </c>
      <c r="BU888" s="214">
        <v>0</v>
      </c>
      <c r="BV888" s="214">
        <v>0</v>
      </c>
      <c r="BW888" s="214">
        <v>0</v>
      </c>
      <c r="BX888" s="214">
        <v>0</v>
      </c>
      <c r="BY888" s="214">
        <v>0</v>
      </c>
      <c r="BZ888" s="134">
        <v>0</v>
      </c>
      <c r="CA888" s="138">
        <v>1</v>
      </c>
      <c r="CB888" s="136">
        <v>0</v>
      </c>
      <c r="CC888" s="136">
        <v>0</v>
      </c>
      <c r="CD888" s="136">
        <v>0</v>
      </c>
      <c r="CE888" s="137">
        <v>0</v>
      </c>
      <c r="CF888" s="137">
        <v>0</v>
      </c>
      <c r="CG888" s="137">
        <v>0</v>
      </c>
      <c r="CH888" s="135">
        <v>0</v>
      </c>
      <c r="CI888" s="139">
        <v>0</v>
      </c>
      <c r="CJ888" s="139">
        <v>0</v>
      </c>
      <c r="CK888" s="139" t="s">
        <v>1921</v>
      </c>
      <c r="CL888" s="139" t="s">
        <v>50</v>
      </c>
      <c r="CM888" s="139" t="s">
        <v>50</v>
      </c>
      <c r="CN888" s="139" t="s">
        <v>51</v>
      </c>
      <c r="CO888" s="139">
        <v>0</v>
      </c>
      <c r="CP888" s="139">
        <v>0</v>
      </c>
      <c r="CQ888" s="139">
        <v>0</v>
      </c>
      <c r="CR888" s="449" t="s">
        <v>40</v>
      </c>
      <c r="CS888" s="449"/>
      <c r="CT888" s="24"/>
      <c r="CU888" s="24"/>
      <c r="CV888" s="24"/>
    </row>
    <row r="889" spans="1:100" ht="15.75" customHeight="1" x14ac:dyDescent="0.25">
      <c r="A889" s="643" t="s">
        <v>1388</v>
      </c>
      <c r="B889" s="132" t="s">
        <v>287</v>
      </c>
      <c r="C889" s="132" t="s">
        <v>44</v>
      </c>
      <c r="D889" s="132" t="s">
        <v>298</v>
      </c>
      <c r="E889" s="132" t="s">
        <v>299</v>
      </c>
      <c r="F889" s="132">
        <v>13</v>
      </c>
      <c r="G889" s="214">
        <v>66</v>
      </c>
      <c r="H889" s="201"/>
      <c r="I889" s="201" t="s">
        <v>296</v>
      </c>
      <c r="J889" s="133">
        <v>43131</v>
      </c>
      <c r="K889" s="132">
        <v>0</v>
      </c>
      <c r="L889" s="132" t="s">
        <v>48</v>
      </c>
      <c r="M889" s="134">
        <v>0.8</v>
      </c>
      <c r="N889" s="134">
        <v>0.8</v>
      </c>
      <c r="O889" s="320">
        <v>0</v>
      </c>
      <c r="P889" s="326">
        <v>2</v>
      </c>
      <c r="Q889" s="326">
        <v>2000</v>
      </c>
      <c r="R889" s="315">
        <v>0</v>
      </c>
      <c r="S889" s="315">
        <v>0</v>
      </c>
      <c r="T889" s="315"/>
      <c r="U889" s="315">
        <v>0</v>
      </c>
      <c r="V889" s="315">
        <v>0</v>
      </c>
      <c r="W889" s="315">
        <v>0</v>
      </c>
      <c r="X889" s="315">
        <v>0</v>
      </c>
      <c r="Y889" s="315">
        <v>0</v>
      </c>
      <c r="Z889" s="315"/>
      <c r="AA889" s="336">
        <v>6</v>
      </c>
      <c r="AB889" s="336">
        <v>0</v>
      </c>
      <c r="AC889" s="337">
        <v>4</v>
      </c>
      <c r="AD889" s="337"/>
      <c r="AE889" s="336">
        <v>0</v>
      </c>
      <c r="AF889" s="336" t="s">
        <v>283</v>
      </c>
      <c r="AG889" s="339" t="s">
        <v>1358</v>
      </c>
      <c r="AH889" s="339"/>
      <c r="AI889" s="336"/>
      <c r="AJ889" s="336"/>
      <c r="AK889" s="848">
        <v>0.6</v>
      </c>
      <c r="AL889" s="836" t="s">
        <v>376</v>
      </c>
      <c r="AM889" s="836">
        <v>0</v>
      </c>
      <c r="AN889" s="848">
        <v>2</v>
      </c>
      <c r="AO889" s="850">
        <v>1</v>
      </c>
      <c r="AP889" s="838">
        <v>0</v>
      </c>
      <c r="AQ889" s="839">
        <v>0</v>
      </c>
      <c r="AR889" s="839"/>
      <c r="AS889" s="839"/>
      <c r="AT889" s="839"/>
      <c r="AU889" s="839"/>
      <c r="AV889" s="849"/>
      <c r="AW889" s="134" t="s">
        <v>3208</v>
      </c>
      <c r="AX889" s="136" t="s">
        <v>3208</v>
      </c>
      <c r="AY889" s="137" t="s">
        <v>2576</v>
      </c>
      <c r="AZ889" s="136">
        <v>1</v>
      </c>
      <c r="BA889" s="136">
        <v>1</v>
      </c>
      <c r="BB889" s="136">
        <v>1</v>
      </c>
      <c r="BC889" s="214">
        <v>66</v>
      </c>
      <c r="BD889" s="136">
        <v>0</v>
      </c>
      <c r="BE889" s="135">
        <v>0</v>
      </c>
      <c r="BF889" s="136">
        <v>1</v>
      </c>
      <c r="BG889" s="214">
        <v>66</v>
      </c>
      <c r="BH889" s="214">
        <v>0.13200000000000001</v>
      </c>
      <c r="BI889" s="134">
        <v>0</v>
      </c>
      <c r="BJ889" s="135">
        <v>0</v>
      </c>
      <c r="BK889" s="137">
        <v>0.86799999999999999</v>
      </c>
      <c r="BL889" s="137">
        <v>1</v>
      </c>
      <c r="BM889" s="137">
        <v>6</v>
      </c>
      <c r="BN889" s="134">
        <v>1</v>
      </c>
      <c r="BO889" s="351">
        <v>66</v>
      </c>
      <c r="BP889" s="134">
        <v>0</v>
      </c>
      <c r="BQ889" s="135">
        <v>0</v>
      </c>
      <c r="BR889" s="137">
        <v>3</v>
      </c>
      <c r="BS889" s="138">
        <v>0</v>
      </c>
      <c r="BT889" s="351">
        <v>66</v>
      </c>
      <c r="BU889" s="214">
        <v>66</v>
      </c>
      <c r="BV889" s="214">
        <v>0</v>
      </c>
      <c r="BW889" s="214">
        <v>1</v>
      </c>
      <c r="BX889" s="214">
        <v>0</v>
      </c>
      <c r="BY889" s="214">
        <v>0</v>
      </c>
      <c r="BZ889" s="134">
        <v>0</v>
      </c>
      <c r="CA889" s="138">
        <v>1</v>
      </c>
      <c r="CB889" s="136">
        <v>1</v>
      </c>
      <c r="CC889" s="136">
        <v>0</v>
      </c>
      <c r="CD889" s="136">
        <v>0</v>
      </c>
      <c r="CE889" s="137">
        <v>0</v>
      </c>
      <c r="CF889" s="137">
        <v>0</v>
      </c>
      <c r="CG889" s="137">
        <v>0</v>
      </c>
      <c r="CH889" s="135">
        <v>7.8</v>
      </c>
      <c r="CI889" s="139" t="s">
        <v>48</v>
      </c>
      <c r="CJ889" s="139" t="s">
        <v>287</v>
      </c>
      <c r="CK889" s="139" t="s">
        <v>50</v>
      </c>
      <c r="CL889" s="139" t="s">
        <v>50</v>
      </c>
      <c r="CM889" s="139" t="s">
        <v>50</v>
      </c>
      <c r="CN889" s="139" t="s">
        <v>51</v>
      </c>
      <c r="CO889" s="139">
        <v>25.305669999999999</v>
      </c>
      <c r="CP889" s="139">
        <v>96.922619999999995</v>
      </c>
      <c r="CQ889" s="139" t="s">
        <v>1995</v>
      </c>
      <c r="CR889" s="449" t="s">
        <v>40</v>
      </c>
      <c r="CS889" s="449"/>
      <c r="CT889" s="24"/>
      <c r="CU889" s="24"/>
      <c r="CV889" s="24"/>
    </row>
    <row r="890" spans="1:100" ht="15.75" customHeight="1" x14ac:dyDescent="0.25">
      <c r="A890" s="643" t="s">
        <v>1388</v>
      </c>
      <c r="B890" s="132" t="s">
        <v>287</v>
      </c>
      <c r="C890" s="132" t="s">
        <v>44</v>
      </c>
      <c r="D890" s="132" t="s">
        <v>298</v>
      </c>
      <c r="E890" s="132" t="s">
        <v>2953</v>
      </c>
      <c r="F890" s="132">
        <v>16</v>
      </c>
      <c r="G890" s="214">
        <v>98</v>
      </c>
      <c r="H890" s="201"/>
      <c r="I890" s="201" t="s">
        <v>296</v>
      </c>
      <c r="J890" s="133">
        <v>43131</v>
      </c>
      <c r="K890" s="132">
        <v>0</v>
      </c>
      <c r="L890" s="132" t="s">
        <v>48</v>
      </c>
      <c r="M890" s="134">
        <v>0.8</v>
      </c>
      <c r="N890" s="134">
        <v>0.8</v>
      </c>
      <c r="O890" s="320">
        <v>0</v>
      </c>
      <c r="P890" s="326">
        <v>2</v>
      </c>
      <c r="Q890" s="326">
        <v>2000</v>
      </c>
      <c r="R890" s="315">
        <v>0</v>
      </c>
      <c r="S890" s="315">
        <v>0</v>
      </c>
      <c r="T890" s="315"/>
      <c r="U890" s="315">
        <v>0</v>
      </c>
      <c r="V890" s="315">
        <v>0</v>
      </c>
      <c r="W890" s="315">
        <v>0</v>
      </c>
      <c r="X890" s="315">
        <v>0</v>
      </c>
      <c r="Y890" s="315">
        <v>0</v>
      </c>
      <c r="Z890" s="315"/>
      <c r="AA890" s="336">
        <v>2</v>
      </c>
      <c r="AB890" s="336">
        <v>0</v>
      </c>
      <c r="AC890" s="337">
        <v>0</v>
      </c>
      <c r="AD890" s="337"/>
      <c r="AE890" s="336">
        <v>0</v>
      </c>
      <c r="AF890" s="336" t="s">
        <v>283</v>
      </c>
      <c r="AG890" s="339" t="s">
        <v>1358</v>
      </c>
      <c r="AH890" s="339"/>
      <c r="AI890" s="336"/>
      <c r="AJ890" s="336"/>
      <c r="AK890" s="848">
        <v>0.6</v>
      </c>
      <c r="AL890" s="836" t="s">
        <v>376</v>
      </c>
      <c r="AM890" s="836">
        <v>0</v>
      </c>
      <c r="AN890" s="848">
        <v>2</v>
      </c>
      <c r="AO890" s="850">
        <v>1</v>
      </c>
      <c r="AP890" s="838">
        <v>0</v>
      </c>
      <c r="AQ890" s="839">
        <v>0</v>
      </c>
      <c r="AR890" s="839"/>
      <c r="AS890" s="839"/>
      <c r="AT890" s="839"/>
      <c r="AU890" s="839"/>
      <c r="AV890" s="849"/>
      <c r="AW890" s="134" t="s">
        <v>3208</v>
      </c>
      <c r="AX890" s="136" t="s">
        <v>3208</v>
      </c>
      <c r="AY890" s="137" t="s">
        <v>2576</v>
      </c>
      <c r="AZ890" s="136">
        <v>1</v>
      </c>
      <c r="BA890" s="136">
        <v>1</v>
      </c>
      <c r="BB890" s="136">
        <v>1</v>
      </c>
      <c r="BC890" s="214">
        <v>98</v>
      </c>
      <c r="BD890" s="136">
        <v>0</v>
      </c>
      <c r="BE890" s="135">
        <v>0</v>
      </c>
      <c r="BF890" s="136">
        <v>1</v>
      </c>
      <c r="BG890" s="214">
        <v>98</v>
      </c>
      <c r="BH890" s="214">
        <v>0.19600000000000001</v>
      </c>
      <c r="BI890" s="134">
        <v>0</v>
      </c>
      <c r="BJ890" s="135">
        <v>0</v>
      </c>
      <c r="BK890" s="137">
        <v>0.80400000000000005</v>
      </c>
      <c r="BL890" s="137">
        <v>1</v>
      </c>
      <c r="BM890" s="137">
        <v>2</v>
      </c>
      <c r="BN890" s="134">
        <v>0.40816326530612246</v>
      </c>
      <c r="BO890" s="351">
        <v>40</v>
      </c>
      <c r="BP890" s="134">
        <v>0.61224489795918358</v>
      </c>
      <c r="BQ890" s="135">
        <v>3</v>
      </c>
      <c r="BR890" s="137">
        <v>5</v>
      </c>
      <c r="BS890" s="138">
        <v>0</v>
      </c>
      <c r="BT890" s="351">
        <v>0</v>
      </c>
      <c r="BU890" s="214">
        <v>98</v>
      </c>
      <c r="BV890" s="214">
        <v>0</v>
      </c>
      <c r="BW890" s="214">
        <v>1</v>
      </c>
      <c r="BX890" s="214">
        <v>0</v>
      </c>
      <c r="BY890" s="214">
        <v>0</v>
      </c>
      <c r="BZ890" s="134">
        <v>0</v>
      </c>
      <c r="CA890" s="138">
        <v>1</v>
      </c>
      <c r="CB890" s="136">
        <v>1</v>
      </c>
      <c r="CC890" s="136">
        <v>0</v>
      </c>
      <c r="CD890" s="136">
        <v>0</v>
      </c>
      <c r="CE890" s="137">
        <v>0</v>
      </c>
      <c r="CF890" s="137">
        <v>0</v>
      </c>
      <c r="CG890" s="137">
        <v>0</v>
      </c>
      <c r="CH890" s="135">
        <v>9.6</v>
      </c>
      <c r="CI890" s="139" t="s">
        <v>48</v>
      </c>
      <c r="CJ890" s="139" t="s">
        <v>287</v>
      </c>
      <c r="CK890" s="139" t="s">
        <v>50</v>
      </c>
      <c r="CL890" s="139" t="s">
        <v>50</v>
      </c>
      <c r="CM890" s="139" t="s">
        <v>50</v>
      </c>
      <c r="CN890" s="139" t="s">
        <v>51</v>
      </c>
      <c r="CO890" s="139">
        <v>25.296579999999999</v>
      </c>
      <c r="CP890" s="139">
        <v>96.942279999999997</v>
      </c>
      <c r="CQ890" s="139" t="s">
        <v>1991</v>
      </c>
      <c r="CR890" s="449" t="s">
        <v>40</v>
      </c>
      <c r="CS890" s="449"/>
      <c r="CT890" s="24"/>
      <c r="CU890" s="24"/>
      <c r="CV890" s="24"/>
    </row>
    <row r="891" spans="1:100" ht="15.75" customHeight="1" x14ac:dyDescent="0.25">
      <c r="A891" s="643" t="s">
        <v>1388</v>
      </c>
      <c r="B891" s="132" t="s">
        <v>43</v>
      </c>
      <c r="C891" s="132" t="s">
        <v>44</v>
      </c>
      <c r="D891" s="132" t="s">
        <v>298</v>
      </c>
      <c r="E891" s="132" t="s">
        <v>387</v>
      </c>
      <c r="F891" s="132">
        <v>20</v>
      </c>
      <c r="G891" s="214">
        <v>105</v>
      </c>
      <c r="H891" s="201"/>
      <c r="I891" s="201" t="s">
        <v>388</v>
      </c>
      <c r="J891" s="133">
        <v>43465</v>
      </c>
      <c r="K891" s="132">
        <v>0</v>
      </c>
      <c r="L891" s="132" t="s">
        <v>48</v>
      </c>
      <c r="M891" s="134">
        <v>0.4</v>
      </c>
      <c r="N891" s="134">
        <v>0.1</v>
      </c>
      <c r="O891" s="320">
        <v>3</v>
      </c>
      <c r="P891" s="326">
        <v>0</v>
      </c>
      <c r="Q891" s="326">
        <v>6000</v>
      </c>
      <c r="R891" s="315">
        <v>0</v>
      </c>
      <c r="S891" s="315">
        <v>0</v>
      </c>
      <c r="T891" s="315"/>
      <c r="U891" s="315">
        <v>0</v>
      </c>
      <c r="V891" s="315">
        <v>0</v>
      </c>
      <c r="W891" s="315">
        <v>0</v>
      </c>
      <c r="X891" s="315">
        <v>0</v>
      </c>
      <c r="Y891" s="315">
        <v>0</v>
      </c>
      <c r="Z891" s="315"/>
      <c r="AA891" s="336">
        <v>20</v>
      </c>
      <c r="AB891" s="336">
        <v>0</v>
      </c>
      <c r="AC891" s="337">
        <v>0</v>
      </c>
      <c r="AD891" s="337"/>
      <c r="AE891" s="336">
        <v>0</v>
      </c>
      <c r="AF891" s="336" t="s">
        <v>283</v>
      </c>
      <c r="AG891" s="339" t="s">
        <v>1358</v>
      </c>
      <c r="AH891" s="339">
        <v>0</v>
      </c>
      <c r="AI891" s="336">
        <v>0</v>
      </c>
      <c r="AJ891" s="336"/>
      <c r="AK891" s="848">
        <v>0</v>
      </c>
      <c r="AL891" s="836" t="s">
        <v>376</v>
      </c>
      <c r="AM891" s="836">
        <v>0</v>
      </c>
      <c r="AN891" s="848">
        <v>0</v>
      </c>
      <c r="AO891" s="850">
        <v>0</v>
      </c>
      <c r="AP891" s="838">
        <v>0</v>
      </c>
      <c r="AQ891" s="839">
        <v>0</v>
      </c>
      <c r="AR891" s="839" t="s">
        <v>282</v>
      </c>
      <c r="AS891" s="839"/>
      <c r="AT891" s="839"/>
      <c r="AU891" s="839"/>
      <c r="AV891" s="849"/>
      <c r="AW891" s="134" t="s">
        <v>3208</v>
      </c>
      <c r="AX891" s="136" t="s">
        <v>3208</v>
      </c>
      <c r="AY891" s="137" t="s">
        <v>2576</v>
      </c>
      <c r="AZ891" s="136">
        <v>1</v>
      </c>
      <c r="BA891" s="136">
        <v>1</v>
      </c>
      <c r="BB891" s="136">
        <v>1</v>
      </c>
      <c r="BC891" s="214">
        <v>105</v>
      </c>
      <c r="BD891" s="136">
        <v>0</v>
      </c>
      <c r="BE891" s="135">
        <v>0</v>
      </c>
      <c r="BF891" s="136">
        <v>1</v>
      </c>
      <c r="BG891" s="214">
        <v>105</v>
      </c>
      <c r="BH891" s="214">
        <v>0.21</v>
      </c>
      <c r="BI891" s="134">
        <v>0</v>
      </c>
      <c r="BJ891" s="135">
        <v>0</v>
      </c>
      <c r="BK891" s="137">
        <v>0.79</v>
      </c>
      <c r="BL891" s="137">
        <v>1</v>
      </c>
      <c r="BM891" s="137">
        <v>20</v>
      </c>
      <c r="BN891" s="134">
        <v>1</v>
      </c>
      <c r="BO891" s="351">
        <v>105</v>
      </c>
      <c r="BP891" s="134">
        <v>0</v>
      </c>
      <c r="BQ891" s="135">
        <v>0</v>
      </c>
      <c r="BR891" s="137">
        <v>5</v>
      </c>
      <c r="BS891" s="138">
        <v>0</v>
      </c>
      <c r="BT891" s="351">
        <v>0</v>
      </c>
      <c r="BU891" s="214">
        <v>0</v>
      </c>
      <c r="BV891" s="214">
        <v>0</v>
      </c>
      <c r="BW891" s="214">
        <v>0</v>
      </c>
      <c r="BX891" s="214">
        <v>0</v>
      </c>
      <c r="BY891" s="214">
        <v>0</v>
      </c>
      <c r="BZ891" s="134">
        <v>0</v>
      </c>
      <c r="CA891" s="138">
        <v>1</v>
      </c>
      <c r="CB891" s="136">
        <v>0</v>
      </c>
      <c r="CC891" s="136">
        <v>0</v>
      </c>
      <c r="CD891" s="136">
        <v>0</v>
      </c>
      <c r="CE891" s="137">
        <v>0</v>
      </c>
      <c r="CF891" s="137">
        <v>0</v>
      </c>
      <c r="CG891" s="137">
        <v>0</v>
      </c>
      <c r="CH891" s="135">
        <v>0</v>
      </c>
      <c r="CI891" s="139">
        <v>0</v>
      </c>
      <c r="CJ891" s="139">
        <v>0</v>
      </c>
      <c r="CK891" s="139" t="s">
        <v>50</v>
      </c>
      <c r="CL891" s="139" t="s">
        <v>50</v>
      </c>
      <c r="CM891" s="139" t="s">
        <v>929</v>
      </c>
      <c r="CN891" s="139" t="s">
        <v>51</v>
      </c>
      <c r="CO891" s="139">
        <v>25.299679999999999</v>
      </c>
      <c r="CP891" s="139">
        <v>96.942279999999997</v>
      </c>
      <c r="CQ891" s="139" t="s">
        <v>1992</v>
      </c>
      <c r="CR891" s="449" t="s">
        <v>40</v>
      </c>
      <c r="CS891" s="449"/>
      <c r="CT891" s="24"/>
      <c r="CU891" s="24"/>
      <c r="CV891" s="24"/>
    </row>
    <row r="892" spans="1:100" ht="15.75" customHeight="1" x14ac:dyDescent="0.25">
      <c r="A892" s="643" t="s">
        <v>1388</v>
      </c>
      <c r="B892" s="132" t="s">
        <v>287</v>
      </c>
      <c r="C892" s="132" t="s">
        <v>44</v>
      </c>
      <c r="D892" s="132" t="s">
        <v>298</v>
      </c>
      <c r="E892" s="132" t="s">
        <v>301</v>
      </c>
      <c r="F892" s="132">
        <v>11</v>
      </c>
      <c r="G892" s="214">
        <v>33</v>
      </c>
      <c r="H892" s="201"/>
      <c r="I892" s="201" t="s">
        <v>296</v>
      </c>
      <c r="J892" s="133">
        <v>43131</v>
      </c>
      <c r="K892" s="132">
        <v>0</v>
      </c>
      <c r="L892" s="132" t="s">
        <v>48</v>
      </c>
      <c r="M892" s="134">
        <v>0.8</v>
      </c>
      <c r="N892" s="134">
        <v>0.8</v>
      </c>
      <c r="O892" s="320">
        <v>1</v>
      </c>
      <c r="P892" s="326">
        <v>2</v>
      </c>
      <c r="Q892" s="326">
        <v>2000</v>
      </c>
      <c r="R892" s="315">
        <v>0</v>
      </c>
      <c r="S892" s="315">
        <v>0</v>
      </c>
      <c r="T892" s="315"/>
      <c r="U892" s="315">
        <v>0</v>
      </c>
      <c r="V892" s="315">
        <v>0</v>
      </c>
      <c r="W892" s="315">
        <v>0</v>
      </c>
      <c r="X892" s="315">
        <v>0</v>
      </c>
      <c r="Y892" s="315">
        <v>0</v>
      </c>
      <c r="Z892" s="315"/>
      <c r="AA892" s="336">
        <v>3</v>
      </c>
      <c r="AB892" s="336">
        <v>0</v>
      </c>
      <c r="AC892" s="337">
        <v>0</v>
      </c>
      <c r="AD892" s="337"/>
      <c r="AE892" s="336">
        <v>0</v>
      </c>
      <c r="AF892" s="336" t="s">
        <v>283</v>
      </c>
      <c r="AG892" s="339" t="s">
        <v>1358</v>
      </c>
      <c r="AH892" s="339"/>
      <c r="AI892" s="336"/>
      <c r="AJ892" s="336"/>
      <c r="AK892" s="848">
        <v>0.6</v>
      </c>
      <c r="AL892" s="836" t="s">
        <v>376</v>
      </c>
      <c r="AM892" s="836">
        <v>0</v>
      </c>
      <c r="AN892" s="848">
        <v>2</v>
      </c>
      <c r="AO892" s="850">
        <v>1</v>
      </c>
      <c r="AP892" s="838">
        <v>0</v>
      </c>
      <c r="AQ892" s="839">
        <v>0</v>
      </c>
      <c r="AR892" s="839"/>
      <c r="AS892" s="839"/>
      <c r="AT892" s="839"/>
      <c r="AU892" s="839"/>
      <c r="AV892" s="849"/>
      <c r="AW892" s="134" t="s">
        <v>3208</v>
      </c>
      <c r="AX892" s="136" t="s">
        <v>3208</v>
      </c>
      <c r="AY892" s="137" t="s">
        <v>2576</v>
      </c>
      <c r="AZ892" s="136">
        <v>1</v>
      </c>
      <c r="BA892" s="136">
        <v>1</v>
      </c>
      <c r="BB892" s="136">
        <v>1</v>
      </c>
      <c r="BC892" s="214">
        <v>33</v>
      </c>
      <c r="BD892" s="136">
        <v>0</v>
      </c>
      <c r="BE892" s="214">
        <v>0</v>
      </c>
      <c r="BF892" s="136">
        <v>1</v>
      </c>
      <c r="BG892" s="214">
        <v>33</v>
      </c>
      <c r="BH892" s="214">
        <v>6.6000000000000003E-2</v>
      </c>
      <c r="BI892" s="134">
        <v>0</v>
      </c>
      <c r="BJ892" s="214">
        <v>0</v>
      </c>
      <c r="BK892" s="137">
        <v>0.93399999999999994</v>
      </c>
      <c r="BL892" s="137">
        <v>1</v>
      </c>
      <c r="BM892" s="137">
        <v>3</v>
      </c>
      <c r="BN892" s="134">
        <v>1</v>
      </c>
      <c r="BO892" s="351">
        <v>33</v>
      </c>
      <c r="BP892" s="134">
        <v>0</v>
      </c>
      <c r="BQ892" s="214">
        <v>0</v>
      </c>
      <c r="BR892" s="137">
        <v>2</v>
      </c>
      <c r="BS892" s="138">
        <v>0</v>
      </c>
      <c r="BT892" s="351">
        <v>0</v>
      </c>
      <c r="BU892" s="214">
        <v>33</v>
      </c>
      <c r="BV892" s="214">
        <v>0</v>
      </c>
      <c r="BW892" s="214">
        <v>1</v>
      </c>
      <c r="BX892" s="214">
        <v>0</v>
      </c>
      <c r="BY892" s="214">
        <v>0</v>
      </c>
      <c r="BZ892" s="134">
        <v>0</v>
      </c>
      <c r="CA892" s="138">
        <v>1</v>
      </c>
      <c r="CB892" s="136">
        <v>1</v>
      </c>
      <c r="CC892" s="136">
        <v>0</v>
      </c>
      <c r="CD892" s="136">
        <v>0</v>
      </c>
      <c r="CE892" s="137">
        <v>0</v>
      </c>
      <c r="CF892" s="137">
        <v>0</v>
      </c>
      <c r="CG892" s="137">
        <v>0</v>
      </c>
      <c r="CH892" s="214">
        <v>6.6</v>
      </c>
      <c r="CI892" s="139" t="s">
        <v>48</v>
      </c>
      <c r="CJ892" s="139" t="s">
        <v>287</v>
      </c>
      <c r="CK892" s="139" t="s">
        <v>50</v>
      </c>
      <c r="CL892" s="139" t="s">
        <v>50</v>
      </c>
      <c r="CM892" s="139" t="s">
        <v>50</v>
      </c>
      <c r="CN892" s="139" t="s">
        <v>51</v>
      </c>
      <c r="CO892" s="139">
        <v>25.30442</v>
      </c>
      <c r="CP892" s="139">
        <v>96.948740000000001</v>
      </c>
      <c r="CQ892" s="139" t="s">
        <v>1993</v>
      </c>
      <c r="CR892" s="449" t="s">
        <v>40</v>
      </c>
      <c r="CS892" s="449"/>
      <c r="CT892" s="24"/>
      <c r="CU892" s="24"/>
      <c r="CV892" s="24"/>
    </row>
    <row r="893" spans="1:100" ht="15.75" customHeight="1" x14ac:dyDescent="0.25">
      <c r="A893" s="643" t="s">
        <v>1388</v>
      </c>
      <c r="B893" s="132" t="s">
        <v>287</v>
      </c>
      <c r="C893" s="132" t="s">
        <v>44</v>
      </c>
      <c r="D893" s="132" t="s">
        <v>298</v>
      </c>
      <c r="E893" s="132" t="s">
        <v>302</v>
      </c>
      <c r="F893" s="132">
        <v>28</v>
      </c>
      <c r="G893" s="214">
        <v>129</v>
      </c>
      <c r="H893" s="201"/>
      <c r="I893" s="201" t="s">
        <v>296</v>
      </c>
      <c r="J893" s="133">
        <v>43131</v>
      </c>
      <c r="K893" s="132">
        <v>0</v>
      </c>
      <c r="L893" s="132" t="s">
        <v>48</v>
      </c>
      <c r="M893" s="134">
        <v>0.8</v>
      </c>
      <c r="N893" s="134">
        <v>0.8</v>
      </c>
      <c r="O893" s="320">
        <v>1</v>
      </c>
      <c r="P893" s="326">
        <v>2</v>
      </c>
      <c r="Q893" s="326">
        <v>3000</v>
      </c>
      <c r="R893" s="315">
        <v>0</v>
      </c>
      <c r="S893" s="315">
        <v>0</v>
      </c>
      <c r="T893" s="315"/>
      <c r="U893" s="315">
        <v>0</v>
      </c>
      <c r="V893" s="315">
        <v>0</v>
      </c>
      <c r="W893" s="315">
        <v>0</v>
      </c>
      <c r="X893" s="315">
        <v>0</v>
      </c>
      <c r="Y893" s="315">
        <v>0</v>
      </c>
      <c r="Z893" s="315"/>
      <c r="AA893" s="336">
        <v>8</v>
      </c>
      <c r="AB893" s="336">
        <v>0</v>
      </c>
      <c r="AC893" s="337">
        <v>0</v>
      </c>
      <c r="AD893" s="337"/>
      <c r="AE893" s="336">
        <v>0</v>
      </c>
      <c r="AF893" s="336" t="s">
        <v>283</v>
      </c>
      <c r="AG893" s="339" t="s">
        <v>1358</v>
      </c>
      <c r="AH893" s="339"/>
      <c r="AI893" s="336"/>
      <c r="AJ893" s="336"/>
      <c r="AK893" s="848">
        <v>0.6</v>
      </c>
      <c r="AL893" s="836" t="s">
        <v>376</v>
      </c>
      <c r="AM893" s="836">
        <v>0</v>
      </c>
      <c r="AN893" s="848">
        <v>2</v>
      </c>
      <c r="AO893" s="850">
        <v>1</v>
      </c>
      <c r="AP893" s="838">
        <v>0</v>
      </c>
      <c r="AQ893" s="839">
        <v>0</v>
      </c>
      <c r="AR893" s="839"/>
      <c r="AS893" s="839"/>
      <c r="AT893" s="839"/>
      <c r="AU893" s="839"/>
      <c r="AV893" s="849"/>
      <c r="AW893" s="134" t="s">
        <v>3208</v>
      </c>
      <c r="AX893" s="136" t="s">
        <v>3208</v>
      </c>
      <c r="AY893" s="137" t="s">
        <v>2576</v>
      </c>
      <c r="AZ893" s="136">
        <v>1</v>
      </c>
      <c r="BA893" s="136">
        <v>1</v>
      </c>
      <c r="BB893" s="136">
        <v>1</v>
      </c>
      <c r="BC893" s="214">
        <v>129</v>
      </c>
      <c r="BD893" s="136">
        <v>0</v>
      </c>
      <c r="BE893" s="214">
        <v>0</v>
      </c>
      <c r="BF893" s="136">
        <v>1</v>
      </c>
      <c r="BG893" s="214">
        <v>129</v>
      </c>
      <c r="BH893" s="214">
        <v>0.25800000000000001</v>
      </c>
      <c r="BI893" s="134">
        <v>0</v>
      </c>
      <c r="BJ893" s="214">
        <v>0</v>
      </c>
      <c r="BK893" s="137">
        <v>0.74199999999999999</v>
      </c>
      <c r="BL893" s="137">
        <v>1</v>
      </c>
      <c r="BM893" s="137">
        <v>8</v>
      </c>
      <c r="BN893" s="134">
        <v>1</v>
      </c>
      <c r="BO893" s="351">
        <v>129</v>
      </c>
      <c r="BP893" s="134">
        <v>0</v>
      </c>
      <c r="BQ893" s="214">
        <v>0</v>
      </c>
      <c r="BR893" s="137">
        <v>6</v>
      </c>
      <c r="BS893" s="138">
        <v>0</v>
      </c>
      <c r="BT893" s="351">
        <v>0</v>
      </c>
      <c r="BU893" s="214">
        <v>129</v>
      </c>
      <c r="BV893" s="214">
        <v>0</v>
      </c>
      <c r="BW893" s="214">
        <v>1</v>
      </c>
      <c r="BX893" s="214">
        <v>0</v>
      </c>
      <c r="BY893" s="214">
        <v>0</v>
      </c>
      <c r="BZ893" s="134">
        <v>0</v>
      </c>
      <c r="CA893" s="138">
        <v>1</v>
      </c>
      <c r="CB893" s="136">
        <v>1</v>
      </c>
      <c r="CC893" s="136">
        <v>0</v>
      </c>
      <c r="CD893" s="136">
        <v>0</v>
      </c>
      <c r="CE893" s="137">
        <v>0</v>
      </c>
      <c r="CF893" s="137">
        <v>0</v>
      </c>
      <c r="CG893" s="137">
        <v>0</v>
      </c>
      <c r="CH893" s="214">
        <v>16.8</v>
      </c>
      <c r="CI893" s="139" t="s">
        <v>48</v>
      </c>
      <c r="CJ893" s="139" t="s">
        <v>287</v>
      </c>
      <c r="CK893" s="139" t="s">
        <v>50</v>
      </c>
      <c r="CL893" s="139" t="s">
        <v>50</v>
      </c>
      <c r="CM893" s="139" t="s">
        <v>50</v>
      </c>
      <c r="CN893" s="139" t="s">
        <v>51</v>
      </c>
      <c r="CO893" s="139">
        <v>25.225000000000001</v>
      </c>
      <c r="CP893" s="139">
        <v>96.793999999999997</v>
      </c>
      <c r="CQ893" s="139" t="s">
        <v>1989</v>
      </c>
      <c r="CR893" s="449" t="s">
        <v>40</v>
      </c>
      <c r="CS893" s="449"/>
      <c r="CT893" s="24"/>
      <c r="CU893" s="24"/>
      <c r="CV893" s="24"/>
    </row>
    <row r="894" spans="1:100" ht="15.75" customHeight="1" x14ac:dyDescent="0.25">
      <c r="A894" s="643" t="s">
        <v>1388</v>
      </c>
      <c r="B894" s="132" t="s">
        <v>460</v>
      </c>
      <c r="C894" s="132" t="s">
        <v>44</v>
      </c>
      <c r="D894" s="132" t="s">
        <v>303</v>
      </c>
      <c r="E894" s="132" t="s">
        <v>1205</v>
      </c>
      <c r="F894" s="132">
        <v>27</v>
      </c>
      <c r="G894" s="214">
        <v>121</v>
      </c>
      <c r="H894" s="201"/>
      <c r="I894" s="201"/>
      <c r="J894" s="133"/>
      <c r="K894" s="132"/>
      <c r="L894" s="132" t="s">
        <v>282</v>
      </c>
      <c r="M894" s="134">
        <v>0</v>
      </c>
      <c r="N894" s="134">
        <v>0</v>
      </c>
      <c r="O894" s="320"/>
      <c r="P894" s="326"/>
      <c r="Q894" s="326"/>
      <c r="R894" s="315"/>
      <c r="S894" s="315"/>
      <c r="T894" s="315"/>
      <c r="U894" s="315"/>
      <c r="V894" s="315"/>
      <c r="W894" s="315"/>
      <c r="X894" s="315"/>
      <c r="Y894" s="315"/>
      <c r="Z894" s="315"/>
      <c r="AA894" s="336">
        <v>0</v>
      </c>
      <c r="AB894" s="336"/>
      <c r="AC894" s="337"/>
      <c r="AD894" s="337"/>
      <c r="AE894" s="336"/>
      <c r="AF894" s="336" t="s">
        <v>286</v>
      </c>
      <c r="AG894" s="339" t="s">
        <v>286</v>
      </c>
      <c r="AH894" s="339"/>
      <c r="AI894" s="336"/>
      <c r="AJ894" s="336"/>
      <c r="AK894" s="848"/>
      <c r="AL894" s="836"/>
      <c r="AM894" s="836"/>
      <c r="AN894" s="848"/>
      <c r="AO894" s="850"/>
      <c r="AP894" s="838"/>
      <c r="AQ894" s="839"/>
      <c r="AR894" s="839"/>
      <c r="AS894" s="839"/>
      <c r="AT894" s="839"/>
      <c r="AU894" s="839"/>
      <c r="AV894" s="849"/>
      <c r="AW894" s="134" t="s">
        <v>3208</v>
      </c>
      <c r="AX894" s="136" t="s">
        <v>3208</v>
      </c>
      <c r="AY894" s="137" t="s">
        <v>2576</v>
      </c>
      <c r="AZ894" s="136">
        <v>0</v>
      </c>
      <c r="BA894" s="136">
        <v>0</v>
      </c>
      <c r="BB894" s="136">
        <v>0</v>
      </c>
      <c r="BC894" s="214">
        <v>0</v>
      </c>
      <c r="BD894" s="136">
        <v>0</v>
      </c>
      <c r="BE894" s="135">
        <v>0</v>
      </c>
      <c r="BF894" s="136">
        <v>0</v>
      </c>
      <c r="BG894" s="214">
        <v>0</v>
      </c>
      <c r="BH894" s="214">
        <v>0</v>
      </c>
      <c r="BI894" s="134">
        <v>1</v>
      </c>
      <c r="BJ894" s="135">
        <v>121</v>
      </c>
      <c r="BK894" s="137">
        <v>1</v>
      </c>
      <c r="BL894" s="137">
        <v>1</v>
      </c>
      <c r="BM894" s="137">
        <v>0</v>
      </c>
      <c r="BN894" s="134">
        <v>0</v>
      </c>
      <c r="BO894" s="351">
        <v>0</v>
      </c>
      <c r="BP894" s="134">
        <v>0.99173553719008267</v>
      </c>
      <c r="BQ894" s="135">
        <v>6</v>
      </c>
      <c r="BR894" s="137">
        <v>6</v>
      </c>
      <c r="BS894" s="138">
        <v>0</v>
      </c>
      <c r="BT894" s="351">
        <v>0</v>
      </c>
      <c r="BU894" s="214">
        <v>0</v>
      </c>
      <c r="BV894" s="214">
        <v>0</v>
      </c>
      <c r="BW894" s="214">
        <v>0</v>
      </c>
      <c r="BX894" s="214">
        <v>0</v>
      </c>
      <c r="BY894" s="214">
        <v>0</v>
      </c>
      <c r="BZ894" s="134">
        <v>0</v>
      </c>
      <c r="CA894" s="138">
        <v>1</v>
      </c>
      <c r="CB894" s="136">
        <v>0</v>
      </c>
      <c r="CC894" s="136">
        <v>0</v>
      </c>
      <c r="CD894" s="136">
        <v>0</v>
      </c>
      <c r="CE894" s="137">
        <v>0</v>
      </c>
      <c r="CF894" s="137">
        <v>0</v>
      </c>
      <c r="CG894" s="137">
        <v>0</v>
      </c>
      <c r="CH894" s="135">
        <v>0</v>
      </c>
      <c r="CI894" s="139">
        <v>0</v>
      </c>
      <c r="CJ894" s="139" t="s">
        <v>2959</v>
      </c>
      <c r="CK894" s="139" t="s">
        <v>50</v>
      </c>
      <c r="CL894" s="139" t="s">
        <v>50</v>
      </c>
      <c r="CM894" s="139" t="s">
        <v>942</v>
      </c>
      <c r="CN894" s="139" t="s">
        <v>51</v>
      </c>
      <c r="CO894" s="139">
        <v>24.996279999999999</v>
      </c>
      <c r="CP894" s="139">
        <v>96.52534</v>
      </c>
      <c r="CQ894" s="139" t="s">
        <v>1981</v>
      </c>
      <c r="CR894" s="449" t="s">
        <v>3209</v>
      </c>
      <c r="CS894" s="449"/>
      <c r="CT894" s="24"/>
      <c r="CU894" s="24"/>
      <c r="CV894" s="24"/>
    </row>
    <row r="895" spans="1:100" ht="15.75" customHeight="1" x14ac:dyDescent="0.25">
      <c r="A895" s="643" t="s">
        <v>1388</v>
      </c>
      <c r="B895" s="132" t="s">
        <v>460</v>
      </c>
      <c r="C895" s="132" t="s">
        <v>44</v>
      </c>
      <c r="D895" s="132" t="s">
        <v>303</v>
      </c>
      <c r="E895" s="132" t="s">
        <v>1201</v>
      </c>
      <c r="F895" s="132">
        <v>14</v>
      </c>
      <c r="G895" s="214">
        <v>63</v>
      </c>
      <c r="H895" s="132"/>
      <c r="I895" s="132"/>
      <c r="J895" s="133"/>
      <c r="K895" s="132"/>
      <c r="L895" s="132" t="s">
        <v>282</v>
      </c>
      <c r="M895" s="134">
        <v>0</v>
      </c>
      <c r="N895" s="134">
        <v>0</v>
      </c>
      <c r="O895" s="320"/>
      <c r="P895" s="326"/>
      <c r="Q895" s="326"/>
      <c r="R895" s="315"/>
      <c r="S895" s="315"/>
      <c r="T895" s="315"/>
      <c r="U895" s="315"/>
      <c r="V895" s="315"/>
      <c r="W895" s="315"/>
      <c r="X895" s="315"/>
      <c r="Y895" s="315"/>
      <c r="Z895" s="315"/>
      <c r="AA895" s="336">
        <v>0</v>
      </c>
      <c r="AB895" s="336"/>
      <c r="AC895" s="337"/>
      <c r="AD895" s="337"/>
      <c r="AE895" s="336"/>
      <c r="AF895" s="336" t="s">
        <v>286</v>
      </c>
      <c r="AG895" s="339" t="s">
        <v>286</v>
      </c>
      <c r="AH895" s="339"/>
      <c r="AI895" s="336"/>
      <c r="AJ895" s="336"/>
      <c r="AK895" s="848"/>
      <c r="AL895" s="836"/>
      <c r="AM895" s="836"/>
      <c r="AN895" s="848"/>
      <c r="AO895" s="850"/>
      <c r="AP895" s="838"/>
      <c r="AQ895" s="839"/>
      <c r="AR895" s="839"/>
      <c r="AS895" s="839"/>
      <c r="AT895" s="839"/>
      <c r="AU895" s="839"/>
      <c r="AV895" s="849"/>
      <c r="AW895" s="134" t="s">
        <v>3208</v>
      </c>
      <c r="AX895" s="136" t="s">
        <v>3208</v>
      </c>
      <c r="AY895" s="137" t="s">
        <v>2576</v>
      </c>
      <c r="AZ895" s="136">
        <v>0</v>
      </c>
      <c r="BA895" s="136">
        <v>0</v>
      </c>
      <c r="BB895" s="136">
        <v>0</v>
      </c>
      <c r="BC895" s="214">
        <v>0</v>
      </c>
      <c r="BD895" s="136">
        <v>0</v>
      </c>
      <c r="BE895" s="214">
        <v>0</v>
      </c>
      <c r="BF895" s="136">
        <v>0</v>
      </c>
      <c r="BG895" s="214">
        <v>0</v>
      </c>
      <c r="BH895" s="214">
        <v>0</v>
      </c>
      <c r="BI895" s="134">
        <v>1</v>
      </c>
      <c r="BJ895" s="214">
        <v>63</v>
      </c>
      <c r="BK895" s="137">
        <v>1</v>
      </c>
      <c r="BL895" s="137">
        <v>1</v>
      </c>
      <c r="BM895" s="137">
        <v>0</v>
      </c>
      <c r="BN895" s="134">
        <v>0</v>
      </c>
      <c r="BO895" s="351">
        <v>0</v>
      </c>
      <c r="BP895" s="134">
        <v>0.95238095238095244</v>
      </c>
      <c r="BQ895" s="214">
        <v>3</v>
      </c>
      <c r="BR895" s="137">
        <v>3</v>
      </c>
      <c r="BS895" s="138">
        <v>0</v>
      </c>
      <c r="BT895" s="351">
        <v>0</v>
      </c>
      <c r="BU895" s="214">
        <v>0</v>
      </c>
      <c r="BV895" s="214">
        <v>0</v>
      </c>
      <c r="BW895" s="214">
        <v>0</v>
      </c>
      <c r="BX895" s="214">
        <v>0</v>
      </c>
      <c r="BY895" s="214">
        <v>0</v>
      </c>
      <c r="BZ895" s="134">
        <v>0</v>
      </c>
      <c r="CA895" s="138">
        <v>1</v>
      </c>
      <c r="CB895" s="136">
        <v>0</v>
      </c>
      <c r="CC895" s="136">
        <v>0</v>
      </c>
      <c r="CD895" s="136">
        <v>0</v>
      </c>
      <c r="CE895" s="137">
        <v>0</v>
      </c>
      <c r="CF895" s="137">
        <v>0</v>
      </c>
      <c r="CG895" s="137">
        <v>0</v>
      </c>
      <c r="CH895" s="214">
        <v>0</v>
      </c>
      <c r="CI895" s="139">
        <v>0</v>
      </c>
      <c r="CJ895" s="139" t="s">
        <v>2959</v>
      </c>
      <c r="CK895" s="139" t="s">
        <v>50</v>
      </c>
      <c r="CL895" s="139" t="s">
        <v>50</v>
      </c>
      <c r="CM895" s="139" t="s">
        <v>942</v>
      </c>
      <c r="CN895" s="139" t="s">
        <v>51</v>
      </c>
      <c r="CO895" s="139">
        <v>24.764959999999999</v>
      </c>
      <c r="CP895" s="139">
        <v>96.366919999999993</v>
      </c>
      <c r="CQ895" s="139" t="s">
        <v>1978</v>
      </c>
      <c r="CR895" s="449" t="s">
        <v>3209</v>
      </c>
      <c r="CS895" s="449"/>
      <c r="CT895" s="24"/>
      <c r="CU895" s="24"/>
      <c r="CV895" s="24"/>
    </row>
    <row r="896" spans="1:100" ht="15.75" customHeight="1" x14ac:dyDescent="0.25">
      <c r="A896" s="643" t="s">
        <v>1388</v>
      </c>
      <c r="B896" s="132" t="s">
        <v>287</v>
      </c>
      <c r="C896" s="132" t="s">
        <v>44</v>
      </c>
      <c r="D896" s="132" t="s">
        <v>303</v>
      </c>
      <c r="E896" s="132" t="s">
        <v>304</v>
      </c>
      <c r="F896" s="132">
        <v>19</v>
      </c>
      <c r="G896" s="214">
        <v>115</v>
      </c>
      <c r="H896" s="132"/>
      <c r="I896" s="132" t="s">
        <v>296</v>
      </c>
      <c r="J896" s="133">
        <v>43131</v>
      </c>
      <c r="K896" s="132">
        <v>0</v>
      </c>
      <c r="L896" s="132" t="s">
        <v>48</v>
      </c>
      <c r="M896" s="134">
        <v>0.6</v>
      </c>
      <c r="N896" s="134">
        <v>0.5</v>
      </c>
      <c r="O896" s="320">
        <v>0</v>
      </c>
      <c r="P896" s="326">
        <v>2</v>
      </c>
      <c r="Q896" s="326">
        <v>0</v>
      </c>
      <c r="R896" s="315">
        <v>0</v>
      </c>
      <c r="S896" s="315">
        <v>0</v>
      </c>
      <c r="T896" s="315"/>
      <c r="U896" s="315">
        <v>0</v>
      </c>
      <c r="V896" s="315">
        <v>0</v>
      </c>
      <c r="W896" s="315">
        <v>0</v>
      </c>
      <c r="X896" s="315">
        <v>0</v>
      </c>
      <c r="Y896" s="315">
        <v>0</v>
      </c>
      <c r="Z896" s="315"/>
      <c r="AA896" s="336">
        <v>5</v>
      </c>
      <c r="AB896" s="336">
        <v>0</v>
      </c>
      <c r="AC896" s="337">
        <v>0</v>
      </c>
      <c r="AD896" s="337"/>
      <c r="AE896" s="336">
        <v>0</v>
      </c>
      <c r="AF896" s="336" t="s">
        <v>283</v>
      </c>
      <c r="AG896" s="339" t="s">
        <v>1358</v>
      </c>
      <c r="AH896" s="339"/>
      <c r="AI896" s="336"/>
      <c r="AJ896" s="336"/>
      <c r="AK896" s="848">
        <v>0.6</v>
      </c>
      <c r="AL896" s="836" t="s">
        <v>376</v>
      </c>
      <c r="AM896" s="836">
        <v>0</v>
      </c>
      <c r="AN896" s="848">
        <v>2</v>
      </c>
      <c r="AO896" s="850">
        <v>1</v>
      </c>
      <c r="AP896" s="838">
        <v>0</v>
      </c>
      <c r="AQ896" s="839">
        <v>0</v>
      </c>
      <c r="AR896" s="839"/>
      <c r="AS896" s="839"/>
      <c r="AT896" s="839"/>
      <c r="AU896" s="839"/>
      <c r="AV896" s="849"/>
      <c r="AW896" s="134" t="s">
        <v>3208</v>
      </c>
      <c r="AX896" s="136" t="s">
        <v>3208</v>
      </c>
      <c r="AY896" s="137" t="s">
        <v>2576</v>
      </c>
      <c r="AZ896" s="136">
        <v>1</v>
      </c>
      <c r="BA896" s="136">
        <v>1</v>
      </c>
      <c r="BB896" s="136">
        <v>1</v>
      </c>
      <c r="BC896" s="214">
        <v>115</v>
      </c>
      <c r="BD896" s="136">
        <v>0</v>
      </c>
      <c r="BE896" s="214">
        <v>0</v>
      </c>
      <c r="BF896" s="136">
        <v>1</v>
      </c>
      <c r="BG896" s="214">
        <v>115</v>
      </c>
      <c r="BH896" s="214">
        <v>0.23</v>
      </c>
      <c r="BI896" s="134">
        <v>0</v>
      </c>
      <c r="BJ896" s="214">
        <v>0</v>
      </c>
      <c r="BK896" s="137">
        <v>0.77</v>
      </c>
      <c r="BL896" s="137">
        <v>1</v>
      </c>
      <c r="BM896" s="137">
        <v>5</v>
      </c>
      <c r="BN896" s="134">
        <v>0.86956521739130432</v>
      </c>
      <c r="BO896" s="351">
        <v>100</v>
      </c>
      <c r="BP896" s="134">
        <v>0.17391304347826086</v>
      </c>
      <c r="BQ896" s="214">
        <v>1</v>
      </c>
      <c r="BR896" s="137">
        <v>6</v>
      </c>
      <c r="BS896" s="138">
        <v>0</v>
      </c>
      <c r="BT896" s="351">
        <v>0</v>
      </c>
      <c r="BU896" s="214">
        <v>115</v>
      </c>
      <c r="BV896" s="214">
        <v>0</v>
      </c>
      <c r="BW896" s="214">
        <v>1</v>
      </c>
      <c r="BX896" s="214">
        <v>0</v>
      </c>
      <c r="BY896" s="214">
        <v>0</v>
      </c>
      <c r="BZ896" s="134">
        <v>0</v>
      </c>
      <c r="CA896" s="138">
        <v>1</v>
      </c>
      <c r="CB896" s="136">
        <v>1</v>
      </c>
      <c r="CC896" s="136">
        <v>0</v>
      </c>
      <c r="CD896" s="136">
        <v>0</v>
      </c>
      <c r="CE896" s="137">
        <v>0</v>
      </c>
      <c r="CF896" s="137">
        <v>0</v>
      </c>
      <c r="CG896" s="137">
        <v>0</v>
      </c>
      <c r="CH896" s="214">
        <v>11.4</v>
      </c>
      <c r="CI896" s="139" t="s">
        <v>48</v>
      </c>
      <c r="CJ896" s="139" t="s">
        <v>287</v>
      </c>
      <c r="CK896" s="139" t="s">
        <v>50</v>
      </c>
      <c r="CL896" s="139" t="s">
        <v>50</v>
      </c>
      <c r="CM896" s="139" t="s">
        <v>50</v>
      </c>
      <c r="CN896" s="139" t="s">
        <v>51</v>
      </c>
      <c r="CO896" s="139">
        <v>24.998349999999999</v>
      </c>
      <c r="CP896" s="139">
        <v>96.364949999999993</v>
      </c>
      <c r="CQ896" s="139" t="s">
        <v>1983</v>
      </c>
      <c r="CR896" s="449" t="s">
        <v>40</v>
      </c>
      <c r="CS896" s="449"/>
      <c r="CT896" s="24"/>
      <c r="CU896" s="24"/>
      <c r="CV896" s="24"/>
    </row>
    <row r="897" spans="1:100" ht="15.75" customHeight="1" x14ac:dyDescent="0.25">
      <c r="A897" s="643" t="s">
        <v>1388</v>
      </c>
      <c r="B897" s="132" t="s">
        <v>43</v>
      </c>
      <c r="C897" s="132" t="s">
        <v>44</v>
      </c>
      <c r="D897" s="132" t="s">
        <v>303</v>
      </c>
      <c r="E897" s="132" t="s">
        <v>386</v>
      </c>
      <c r="F897" s="132">
        <v>11</v>
      </c>
      <c r="G897" s="214">
        <v>50</v>
      </c>
      <c r="H897" s="132"/>
      <c r="I897" s="132" t="s">
        <v>372</v>
      </c>
      <c r="J897" s="133">
        <v>43465</v>
      </c>
      <c r="K897" s="132">
        <v>0</v>
      </c>
      <c r="L897" s="132" t="s">
        <v>48</v>
      </c>
      <c r="M897" s="134">
        <v>0.3</v>
      </c>
      <c r="N897" s="134">
        <v>0.6</v>
      </c>
      <c r="O897" s="320">
        <v>1</v>
      </c>
      <c r="P897" s="326">
        <v>1</v>
      </c>
      <c r="Q897" s="326">
        <v>4000</v>
      </c>
      <c r="R897" s="315">
        <v>0</v>
      </c>
      <c r="S897" s="315">
        <v>0</v>
      </c>
      <c r="T897" s="315"/>
      <c r="U897" s="315">
        <v>0</v>
      </c>
      <c r="V897" s="315">
        <v>0</v>
      </c>
      <c r="W897" s="315">
        <v>0</v>
      </c>
      <c r="X897" s="315">
        <v>0</v>
      </c>
      <c r="Y897" s="315">
        <v>0</v>
      </c>
      <c r="Z897" s="315" t="s">
        <v>2478</v>
      </c>
      <c r="AA897" s="336">
        <v>2</v>
      </c>
      <c r="AB897" s="336">
        <v>0</v>
      </c>
      <c r="AC897" s="337">
        <v>0</v>
      </c>
      <c r="AD897" s="337"/>
      <c r="AE897" s="336">
        <v>4</v>
      </c>
      <c r="AF897" s="336" t="s">
        <v>283</v>
      </c>
      <c r="AG897" s="339" t="s">
        <v>1358</v>
      </c>
      <c r="AH897" s="339">
        <v>0</v>
      </c>
      <c r="AI897" s="336">
        <v>0</v>
      </c>
      <c r="AJ897" s="336"/>
      <c r="AK897" s="848">
        <v>0</v>
      </c>
      <c r="AL897" s="836" t="s">
        <v>376</v>
      </c>
      <c r="AM897" s="836">
        <v>0</v>
      </c>
      <c r="AN897" s="848">
        <v>1</v>
      </c>
      <c r="AO897" s="850">
        <v>1</v>
      </c>
      <c r="AP897" s="838">
        <v>0</v>
      </c>
      <c r="AQ897" s="839">
        <v>0</v>
      </c>
      <c r="AR897" s="839" t="s">
        <v>282</v>
      </c>
      <c r="AS897" s="839"/>
      <c r="AT897" s="839"/>
      <c r="AU897" s="839"/>
      <c r="AV897" s="849"/>
      <c r="AW897" s="134" t="s">
        <v>3208</v>
      </c>
      <c r="AX897" s="136" t="s">
        <v>3208</v>
      </c>
      <c r="AY897" s="137" t="s">
        <v>2576</v>
      </c>
      <c r="AZ897" s="136">
        <v>1</v>
      </c>
      <c r="BA897" s="136">
        <v>1</v>
      </c>
      <c r="BB897" s="136">
        <v>1</v>
      </c>
      <c r="BC897" s="214">
        <v>50</v>
      </c>
      <c r="BD897" s="136">
        <v>0</v>
      </c>
      <c r="BE897" s="135">
        <v>0</v>
      </c>
      <c r="BF897" s="136">
        <v>1</v>
      </c>
      <c r="BG897" s="214">
        <v>50</v>
      </c>
      <c r="BH897" s="214">
        <v>0.1</v>
      </c>
      <c r="BI897" s="134">
        <v>0</v>
      </c>
      <c r="BJ897" s="135">
        <v>0</v>
      </c>
      <c r="BK897" s="137">
        <v>0.9</v>
      </c>
      <c r="BL897" s="137">
        <v>1</v>
      </c>
      <c r="BM897" s="137">
        <v>2</v>
      </c>
      <c r="BN897" s="134">
        <v>0.8</v>
      </c>
      <c r="BO897" s="351">
        <v>40</v>
      </c>
      <c r="BP897" s="134">
        <v>0.4</v>
      </c>
      <c r="BQ897" s="135">
        <v>1</v>
      </c>
      <c r="BR897" s="137">
        <v>3</v>
      </c>
      <c r="BS897" s="138">
        <v>0</v>
      </c>
      <c r="BT897" s="351">
        <v>0</v>
      </c>
      <c r="BU897" s="214">
        <v>50</v>
      </c>
      <c r="BV897" s="214">
        <v>0</v>
      </c>
      <c r="BW897" s="214">
        <v>1</v>
      </c>
      <c r="BX897" s="214">
        <v>0</v>
      </c>
      <c r="BY897" s="214">
        <v>0</v>
      </c>
      <c r="BZ897" s="134">
        <v>0</v>
      </c>
      <c r="CA897" s="138">
        <v>1</v>
      </c>
      <c r="CB897" s="136">
        <v>1</v>
      </c>
      <c r="CC897" s="136">
        <v>0</v>
      </c>
      <c r="CD897" s="136">
        <v>0</v>
      </c>
      <c r="CE897" s="137">
        <v>0</v>
      </c>
      <c r="CF897" s="137">
        <v>0</v>
      </c>
      <c r="CG897" s="137">
        <v>0</v>
      </c>
      <c r="CH897" s="135">
        <v>0</v>
      </c>
      <c r="CI897" s="139" t="s">
        <v>48</v>
      </c>
      <c r="CJ897" s="139" t="s">
        <v>1539</v>
      </c>
      <c r="CK897" s="139" t="s">
        <v>50</v>
      </c>
      <c r="CL897" s="139" t="s">
        <v>50</v>
      </c>
      <c r="CM897" s="139" t="s">
        <v>50</v>
      </c>
      <c r="CN897" s="139" t="s">
        <v>51</v>
      </c>
      <c r="CO897" s="139">
        <v>24.764800000000001</v>
      </c>
      <c r="CP897" s="139">
        <v>96.367059999999995</v>
      </c>
      <c r="CQ897" s="139" t="s">
        <v>1977</v>
      </c>
      <c r="CR897" s="449" t="s">
        <v>40</v>
      </c>
      <c r="CS897" s="449"/>
      <c r="CT897" s="24"/>
      <c r="CU897" s="24"/>
      <c r="CV897" s="24"/>
    </row>
    <row r="898" spans="1:100" ht="15.75" customHeight="1" x14ac:dyDescent="0.25">
      <c r="A898" s="643" t="s">
        <v>1388</v>
      </c>
      <c r="B898" s="132" t="s">
        <v>338</v>
      </c>
      <c r="C898" s="132" t="s">
        <v>44</v>
      </c>
      <c r="D898" s="132" t="s">
        <v>351</v>
      </c>
      <c r="E898" s="132" t="s">
        <v>352</v>
      </c>
      <c r="F898" s="132">
        <v>141</v>
      </c>
      <c r="G898" s="214">
        <v>665</v>
      </c>
      <c r="H898" s="132"/>
      <c r="I898" s="132" t="s">
        <v>340</v>
      </c>
      <c r="J898" s="133" t="s">
        <v>2474</v>
      </c>
      <c r="K898" s="132">
        <v>0</v>
      </c>
      <c r="L898" s="132" t="s">
        <v>48</v>
      </c>
      <c r="M898" s="134">
        <v>0.5</v>
      </c>
      <c r="N898" s="134">
        <v>0.5</v>
      </c>
      <c r="O898" s="320">
        <v>3</v>
      </c>
      <c r="P898" s="326">
        <v>2</v>
      </c>
      <c r="Q898" s="326">
        <v>0</v>
      </c>
      <c r="R898" s="315">
        <v>0</v>
      </c>
      <c r="S898" s="315">
        <v>0</v>
      </c>
      <c r="T898" s="315"/>
      <c r="U898" s="315"/>
      <c r="V898" s="315"/>
      <c r="W898" s="315"/>
      <c r="X898" s="315"/>
      <c r="Y898" s="315"/>
      <c r="Z898" s="315"/>
      <c r="AA898" s="336">
        <v>24</v>
      </c>
      <c r="AB898" s="336">
        <v>0</v>
      </c>
      <c r="AC898" s="337">
        <v>4</v>
      </c>
      <c r="AD898" s="337"/>
      <c r="AE898" s="336">
        <v>0</v>
      </c>
      <c r="AF898" s="336" t="s">
        <v>283</v>
      </c>
      <c r="AG898" s="339" t="s">
        <v>283</v>
      </c>
      <c r="AH898" s="339"/>
      <c r="AI898" s="336"/>
      <c r="AJ898" s="336"/>
      <c r="AK898" s="848">
        <v>1</v>
      </c>
      <c r="AL898" s="836" t="s">
        <v>291</v>
      </c>
      <c r="AM898" s="836">
        <v>0</v>
      </c>
      <c r="AN898" s="848">
        <v>3</v>
      </c>
      <c r="AO898" s="850">
        <v>2</v>
      </c>
      <c r="AP898" s="838">
        <v>141</v>
      </c>
      <c r="AQ898" s="839">
        <v>141</v>
      </c>
      <c r="AR898" s="839"/>
      <c r="AS898" s="839"/>
      <c r="AT898" s="839"/>
      <c r="AU898" s="839"/>
      <c r="AV898" s="849"/>
      <c r="AW898" s="134" t="s">
        <v>3208</v>
      </c>
      <c r="AX898" s="136" t="s">
        <v>3208</v>
      </c>
      <c r="AY898" s="137" t="s">
        <v>2576</v>
      </c>
      <c r="AZ898" s="136">
        <v>1</v>
      </c>
      <c r="BA898" s="136">
        <v>1</v>
      </c>
      <c r="BB898" s="136">
        <v>1</v>
      </c>
      <c r="BC898" s="214">
        <v>665</v>
      </c>
      <c r="BD898" s="136">
        <v>0</v>
      </c>
      <c r="BE898" s="135">
        <v>0</v>
      </c>
      <c r="BF898" s="136">
        <v>1</v>
      </c>
      <c r="BG898" s="214">
        <v>665</v>
      </c>
      <c r="BH898" s="214">
        <v>1.33</v>
      </c>
      <c r="BI898" s="134">
        <v>0</v>
      </c>
      <c r="BJ898" s="135">
        <v>0</v>
      </c>
      <c r="BK898" s="137">
        <v>0</v>
      </c>
      <c r="BL898" s="137">
        <v>1</v>
      </c>
      <c r="BM898" s="137">
        <v>24</v>
      </c>
      <c r="BN898" s="134">
        <v>0.72180451127819545</v>
      </c>
      <c r="BO898" s="351">
        <v>480</v>
      </c>
      <c r="BP898" s="134">
        <v>0.27067669172932329</v>
      </c>
      <c r="BQ898" s="135">
        <v>9</v>
      </c>
      <c r="BR898" s="137">
        <v>33</v>
      </c>
      <c r="BS898" s="138">
        <v>0</v>
      </c>
      <c r="BT898" s="351">
        <v>80</v>
      </c>
      <c r="BU898" s="214">
        <v>665</v>
      </c>
      <c r="BV898" s="214">
        <v>1</v>
      </c>
      <c r="BW898" s="214">
        <v>1</v>
      </c>
      <c r="BX898" s="214">
        <v>1</v>
      </c>
      <c r="BY898" s="214">
        <v>665</v>
      </c>
      <c r="BZ898" s="134">
        <v>1</v>
      </c>
      <c r="CA898" s="138">
        <v>0</v>
      </c>
      <c r="CB898" s="136">
        <v>1</v>
      </c>
      <c r="CC898" s="136">
        <v>1</v>
      </c>
      <c r="CD898" s="136">
        <v>1</v>
      </c>
      <c r="CE898" s="137">
        <v>705</v>
      </c>
      <c r="CF898" s="137">
        <v>705</v>
      </c>
      <c r="CG898" s="137">
        <v>705</v>
      </c>
      <c r="CH898" s="135">
        <v>141</v>
      </c>
      <c r="CI898" s="139">
        <v>0</v>
      </c>
      <c r="CJ898" s="139">
        <v>0</v>
      </c>
      <c r="CK898" s="139" t="s">
        <v>1921</v>
      </c>
      <c r="CL898" s="139" t="s">
        <v>50</v>
      </c>
      <c r="CM898" s="139" t="s">
        <v>50</v>
      </c>
      <c r="CN898" s="139" t="s">
        <v>51</v>
      </c>
      <c r="CO898" s="139">
        <v>0</v>
      </c>
      <c r="CP898" s="139">
        <v>0</v>
      </c>
      <c r="CQ898" s="139">
        <v>0</v>
      </c>
      <c r="CR898" s="449" t="s">
        <v>40</v>
      </c>
      <c r="CS898" s="449"/>
      <c r="CT898" s="24"/>
      <c r="CU898" s="24"/>
      <c r="CV898" s="24"/>
    </row>
    <row r="899" spans="1:100" ht="15.75" customHeight="1" x14ac:dyDescent="0.25">
      <c r="A899" s="643" t="s">
        <v>1388</v>
      </c>
      <c r="B899" s="132" t="s">
        <v>43</v>
      </c>
      <c r="C899" s="132" t="s">
        <v>44</v>
      </c>
      <c r="D899" s="132" t="s">
        <v>351</v>
      </c>
      <c r="E899" s="132" t="s">
        <v>379</v>
      </c>
      <c r="F899" s="132">
        <v>98</v>
      </c>
      <c r="G899" s="214">
        <v>446</v>
      </c>
      <c r="H899" s="132"/>
      <c r="I899" s="132" t="s">
        <v>372</v>
      </c>
      <c r="J899" s="133">
        <v>43465</v>
      </c>
      <c r="K899" s="132">
        <v>0</v>
      </c>
      <c r="L899" s="132" t="s">
        <v>2452</v>
      </c>
      <c r="M899" s="134">
        <v>0.5</v>
      </c>
      <c r="N899" s="134">
        <v>0.3</v>
      </c>
      <c r="O899" s="320">
        <v>0</v>
      </c>
      <c r="P899" s="326">
        <v>0</v>
      </c>
      <c r="Q899" s="326">
        <v>7000</v>
      </c>
      <c r="R899" s="315">
        <v>0</v>
      </c>
      <c r="S899" s="315">
        <v>8</v>
      </c>
      <c r="T899" s="315"/>
      <c r="U899" s="315">
        <v>0</v>
      </c>
      <c r="V899" s="315">
        <v>0</v>
      </c>
      <c r="W899" s="315">
        <v>0</v>
      </c>
      <c r="X899" s="315">
        <v>0</v>
      </c>
      <c r="Y899" s="315">
        <v>0</v>
      </c>
      <c r="Z899" s="315"/>
      <c r="AA899" s="336">
        <v>93</v>
      </c>
      <c r="AB899" s="336">
        <v>0</v>
      </c>
      <c r="AC899" s="337">
        <v>0</v>
      </c>
      <c r="AD899" s="337"/>
      <c r="AE899" s="336">
        <v>0</v>
      </c>
      <c r="AF899" s="336" t="s">
        <v>283</v>
      </c>
      <c r="AG899" s="339" t="s">
        <v>1358</v>
      </c>
      <c r="AH899" s="339">
        <v>0</v>
      </c>
      <c r="AI899" s="336">
        <v>0</v>
      </c>
      <c r="AJ899" s="336"/>
      <c r="AK899" s="848">
        <v>0</v>
      </c>
      <c r="AL899" s="836" t="s">
        <v>376</v>
      </c>
      <c r="AM899" s="836">
        <v>0</v>
      </c>
      <c r="AN899" s="848">
        <v>2</v>
      </c>
      <c r="AO899" s="850">
        <v>2</v>
      </c>
      <c r="AP899" s="838">
        <v>0</v>
      </c>
      <c r="AQ899" s="839">
        <v>0</v>
      </c>
      <c r="AR899" s="839" t="s">
        <v>282</v>
      </c>
      <c r="AS899" s="839"/>
      <c r="AT899" s="839"/>
      <c r="AU899" s="839"/>
      <c r="AV899" s="849"/>
      <c r="AW899" s="134" t="s">
        <v>3208</v>
      </c>
      <c r="AX899" s="136" t="s">
        <v>3208</v>
      </c>
      <c r="AY899" s="137" t="s">
        <v>2576</v>
      </c>
      <c r="AZ899" s="136">
        <v>1</v>
      </c>
      <c r="BA899" s="136">
        <v>1</v>
      </c>
      <c r="BB899" s="136">
        <v>1</v>
      </c>
      <c r="BC899" s="214">
        <v>446</v>
      </c>
      <c r="BD899" s="136">
        <v>0</v>
      </c>
      <c r="BE899" s="135">
        <v>0</v>
      </c>
      <c r="BF899" s="136">
        <v>1</v>
      </c>
      <c r="BG899" s="214">
        <v>446</v>
      </c>
      <c r="BH899" s="214">
        <v>0.89200000000000002</v>
      </c>
      <c r="BI899" s="134">
        <v>0</v>
      </c>
      <c r="BJ899" s="135">
        <v>0</v>
      </c>
      <c r="BK899" s="137">
        <v>0.10799999999999998</v>
      </c>
      <c r="BL899" s="137">
        <v>1</v>
      </c>
      <c r="BM899" s="137">
        <v>93</v>
      </c>
      <c r="BN899" s="134">
        <v>1</v>
      </c>
      <c r="BO899" s="351">
        <v>446</v>
      </c>
      <c r="BP899" s="134">
        <v>0</v>
      </c>
      <c r="BQ899" s="135">
        <v>0</v>
      </c>
      <c r="BR899" s="137">
        <v>22</v>
      </c>
      <c r="BS899" s="138">
        <v>0</v>
      </c>
      <c r="BT899" s="351">
        <v>0</v>
      </c>
      <c r="BU899" s="214">
        <v>446</v>
      </c>
      <c r="BV899" s="214">
        <v>0</v>
      </c>
      <c r="BW899" s="214">
        <v>1</v>
      </c>
      <c r="BX899" s="214">
        <v>0</v>
      </c>
      <c r="BY899" s="214">
        <v>0</v>
      </c>
      <c r="BZ899" s="134">
        <v>0</v>
      </c>
      <c r="CA899" s="138">
        <v>1</v>
      </c>
      <c r="CB899" s="136">
        <v>1</v>
      </c>
      <c r="CC899" s="136">
        <v>0</v>
      </c>
      <c r="CD899" s="136">
        <v>0</v>
      </c>
      <c r="CE899" s="137">
        <v>0</v>
      </c>
      <c r="CF899" s="137">
        <v>0</v>
      </c>
      <c r="CG899" s="137">
        <v>0</v>
      </c>
      <c r="CH899" s="135">
        <v>0</v>
      </c>
      <c r="CI899" s="139" t="s">
        <v>48</v>
      </c>
      <c r="CJ899" s="139" t="s">
        <v>1539</v>
      </c>
      <c r="CK899" s="139" t="s">
        <v>50</v>
      </c>
      <c r="CL899" s="139" t="s">
        <v>50</v>
      </c>
      <c r="CM899" s="139" t="s">
        <v>50</v>
      </c>
      <c r="CN899" s="139" t="s">
        <v>949</v>
      </c>
      <c r="CO899" s="139">
        <v>24.461033</v>
      </c>
      <c r="CP899" s="139">
        <v>97.537099999999995</v>
      </c>
      <c r="CQ899" s="139" t="s">
        <v>1967</v>
      </c>
      <c r="CR899" s="449" t="s">
        <v>40</v>
      </c>
      <c r="CS899" s="449"/>
      <c r="CT899" s="24"/>
      <c r="CU899" s="24"/>
      <c r="CV899" s="24"/>
    </row>
    <row r="900" spans="1:100" ht="15.75" customHeight="1" x14ac:dyDescent="0.25">
      <c r="A900" s="643" t="s">
        <v>1388</v>
      </c>
      <c r="B900" s="132" t="s">
        <v>338</v>
      </c>
      <c r="C900" s="132" t="s">
        <v>44</v>
      </c>
      <c r="D900" s="132" t="s">
        <v>351</v>
      </c>
      <c r="E900" s="132" t="s">
        <v>363</v>
      </c>
      <c r="F900" s="132">
        <v>664</v>
      </c>
      <c r="G900" s="214">
        <v>3294</v>
      </c>
      <c r="H900" s="132"/>
      <c r="I900" s="132" t="s">
        <v>364</v>
      </c>
      <c r="J900" s="133">
        <v>43281</v>
      </c>
      <c r="K900" s="132">
        <v>0</v>
      </c>
      <c r="L900" s="132" t="s">
        <v>48</v>
      </c>
      <c r="M900" s="134">
        <v>0.4</v>
      </c>
      <c r="N900" s="134">
        <v>0.4</v>
      </c>
      <c r="O900" s="320">
        <v>3</v>
      </c>
      <c r="P900" s="326">
        <v>0</v>
      </c>
      <c r="Q900" s="326">
        <v>65880</v>
      </c>
      <c r="R900" s="315">
        <v>0</v>
      </c>
      <c r="S900" s="315">
        <v>0</v>
      </c>
      <c r="T900" s="315"/>
      <c r="U900" s="315"/>
      <c r="V900" s="315"/>
      <c r="W900" s="315"/>
      <c r="X900" s="315"/>
      <c r="Y900" s="315"/>
      <c r="Z900" s="315">
        <v>0</v>
      </c>
      <c r="AA900" s="336">
        <v>202</v>
      </c>
      <c r="AB900" s="336">
        <v>4</v>
      </c>
      <c r="AC900" s="337"/>
      <c r="AD900" s="337"/>
      <c r="AE900" s="336">
        <v>1</v>
      </c>
      <c r="AF900" s="336" t="s">
        <v>283</v>
      </c>
      <c r="AG900" s="339" t="s">
        <v>283</v>
      </c>
      <c r="AH900" s="339"/>
      <c r="AI900" s="336"/>
      <c r="AJ900" s="336">
        <v>0</v>
      </c>
      <c r="AK900" s="848">
        <v>0.99</v>
      </c>
      <c r="AL900" s="836" t="s">
        <v>376</v>
      </c>
      <c r="AM900" s="836">
        <v>0</v>
      </c>
      <c r="AN900" s="848">
        <v>21</v>
      </c>
      <c r="AO900" s="850">
        <v>4</v>
      </c>
      <c r="AP900" s="838"/>
      <c r="AQ900" s="839"/>
      <c r="AR900" s="839"/>
      <c r="AS900" s="839"/>
      <c r="AT900" s="839"/>
      <c r="AU900" s="839"/>
      <c r="AV900" s="849">
        <v>0</v>
      </c>
      <c r="AW900" s="134" t="s">
        <v>3208</v>
      </c>
      <c r="AX900" s="136" t="s">
        <v>3208</v>
      </c>
      <c r="AY900" s="137" t="s">
        <v>2576</v>
      </c>
      <c r="AZ900" s="136">
        <v>1</v>
      </c>
      <c r="BA900" s="136">
        <v>1</v>
      </c>
      <c r="BB900" s="136">
        <v>1</v>
      </c>
      <c r="BC900" s="214">
        <v>3294</v>
      </c>
      <c r="BD900" s="136">
        <v>0</v>
      </c>
      <c r="BE900" s="135">
        <v>0</v>
      </c>
      <c r="BF900" s="136">
        <v>1</v>
      </c>
      <c r="BG900" s="214">
        <v>3294</v>
      </c>
      <c r="BH900" s="214">
        <v>6.5880000000000001</v>
      </c>
      <c r="BI900" s="134">
        <v>0</v>
      </c>
      <c r="BJ900" s="135">
        <v>0</v>
      </c>
      <c r="BK900" s="137">
        <v>0.41199999999999992</v>
      </c>
      <c r="BL900" s="137">
        <v>7</v>
      </c>
      <c r="BM900" s="137">
        <v>206</v>
      </c>
      <c r="BN900" s="134">
        <v>1</v>
      </c>
      <c r="BO900" s="351">
        <v>3294</v>
      </c>
      <c r="BP900" s="134">
        <v>0</v>
      </c>
      <c r="BQ900" s="135">
        <v>0</v>
      </c>
      <c r="BR900" s="137">
        <v>165</v>
      </c>
      <c r="BS900" s="138">
        <v>1.9417475728155338E-2</v>
      </c>
      <c r="BT900" s="351">
        <v>0</v>
      </c>
      <c r="BU900" s="214">
        <v>2000</v>
      </c>
      <c r="BV900" s="214">
        <v>0</v>
      </c>
      <c r="BW900" s="214">
        <v>0</v>
      </c>
      <c r="BX900" s="214">
        <v>0</v>
      </c>
      <c r="BY900" s="214">
        <v>0</v>
      </c>
      <c r="BZ900" s="134">
        <v>0</v>
      </c>
      <c r="CA900" s="138">
        <v>1</v>
      </c>
      <c r="CB900" s="136">
        <v>0.60716454159077105</v>
      </c>
      <c r="CC900" s="136">
        <v>0</v>
      </c>
      <c r="CD900" s="136">
        <v>0</v>
      </c>
      <c r="CE900" s="137">
        <v>0</v>
      </c>
      <c r="CF900" s="137">
        <v>0</v>
      </c>
      <c r="CG900" s="137">
        <v>0</v>
      </c>
      <c r="CH900" s="135">
        <v>657.36</v>
      </c>
      <c r="CI900" s="139" t="s">
        <v>48</v>
      </c>
      <c r="CJ900" s="139" t="s">
        <v>1539</v>
      </c>
      <c r="CK900" s="139" t="s">
        <v>50</v>
      </c>
      <c r="CL900" s="139" t="s">
        <v>50</v>
      </c>
      <c r="CM900" s="139" t="s">
        <v>50</v>
      </c>
      <c r="CN900" s="139" t="s">
        <v>949</v>
      </c>
      <c r="CO900" s="139">
        <v>24.661905999999998</v>
      </c>
      <c r="CP900" s="139">
        <v>97.573126000000002</v>
      </c>
      <c r="CQ900" s="139" t="s">
        <v>1971</v>
      </c>
      <c r="CR900" s="449" t="s">
        <v>40</v>
      </c>
      <c r="CS900" s="449"/>
      <c r="CT900" s="24"/>
      <c r="CU900" s="24"/>
      <c r="CV900" s="24"/>
    </row>
    <row r="901" spans="1:100" ht="15.75" customHeight="1" x14ac:dyDescent="0.25">
      <c r="A901" s="643" t="s">
        <v>1388</v>
      </c>
      <c r="B901" s="132" t="s">
        <v>1428</v>
      </c>
      <c r="C901" s="132" t="s">
        <v>44</v>
      </c>
      <c r="D901" s="132" t="s">
        <v>351</v>
      </c>
      <c r="E901" s="132" t="s">
        <v>440</v>
      </c>
      <c r="F901" s="132">
        <v>1557</v>
      </c>
      <c r="G901" s="214">
        <v>8554</v>
      </c>
      <c r="H901" s="132"/>
      <c r="I901" s="132" t="s">
        <v>391</v>
      </c>
      <c r="J901" s="133">
        <v>43220</v>
      </c>
      <c r="K901" s="132">
        <v>0</v>
      </c>
      <c r="L901" s="132" t="s">
        <v>48</v>
      </c>
      <c r="M901" s="134">
        <v>0.52</v>
      </c>
      <c r="N901" s="134">
        <v>0</v>
      </c>
      <c r="O901" s="320">
        <v>0</v>
      </c>
      <c r="P901" s="326">
        <v>3</v>
      </c>
      <c r="Q901" s="326">
        <v>9331200</v>
      </c>
      <c r="R901" s="315">
        <v>0</v>
      </c>
      <c r="S901" s="315">
        <v>0</v>
      </c>
      <c r="T901" s="315"/>
      <c r="U901" s="315"/>
      <c r="V901" s="315"/>
      <c r="W901" s="315">
        <v>42</v>
      </c>
      <c r="X901" s="315">
        <v>38</v>
      </c>
      <c r="Y901" s="315"/>
      <c r="Z901" s="315"/>
      <c r="AA901" s="336">
        <v>503</v>
      </c>
      <c r="AB901" s="336">
        <v>26</v>
      </c>
      <c r="AC901" s="337">
        <v>118</v>
      </c>
      <c r="AD901" s="337"/>
      <c r="AE901" s="336">
        <v>0</v>
      </c>
      <c r="AF901" s="336" t="s">
        <v>283</v>
      </c>
      <c r="AG901" s="339" t="s">
        <v>283</v>
      </c>
      <c r="AH901" s="339">
        <v>0</v>
      </c>
      <c r="AI901" s="336">
        <v>0</v>
      </c>
      <c r="AJ901" s="336"/>
      <c r="AK901" s="848">
        <v>1</v>
      </c>
      <c r="AL901" s="836" t="s">
        <v>291</v>
      </c>
      <c r="AM901" s="836">
        <v>0</v>
      </c>
      <c r="AN901" s="848">
        <v>49</v>
      </c>
      <c r="AO901" s="850">
        <v>1167</v>
      </c>
      <c r="AP901" s="838">
        <v>0</v>
      </c>
      <c r="AQ901" s="839"/>
      <c r="AR901" s="839"/>
      <c r="AS901" s="839"/>
      <c r="AT901" s="839"/>
      <c r="AU901" s="839"/>
      <c r="AV901" s="849"/>
      <c r="AW901" s="134" t="s">
        <v>3208</v>
      </c>
      <c r="AX901" s="136">
        <v>0.90476190476190477</v>
      </c>
      <c r="AY901" s="137" t="s">
        <v>2577</v>
      </c>
      <c r="AZ901" s="136">
        <v>1</v>
      </c>
      <c r="BA901" s="136">
        <v>1</v>
      </c>
      <c r="BB901" s="136">
        <v>1</v>
      </c>
      <c r="BC901" s="214">
        <v>8554</v>
      </c>
      <c r="BD901" s="136">
        <v>0</v>
      </c>
      <c r="BE901" s="214">
        <v>0</v>
      </c>
      <c r="BF901" s="136">
        <v>1</v>
      </c>
      <c r="BG901" s="214">
        <v>8554</v>
      </c>
      <c r="BH901" s="214">
        <v>17.108000000000001</v>
      </c>
      <c r="BI901" s="134">
        <v>0</v>
      </c>
      <c r="BJ901" s="214">
        <v>0</v>
      </c>
      <c r="BK901" s="137">
        <v>0</v>
      </c>
      <c r="BL901" s="137">
        <v>17</v>
      </c>
      <c r="BM901" s="137">
        <v>529</v>
      </c>
      <c r="BN901" s="134">
        <v>1</v>
      </c>
      <c r="BO901" s="351">
        <v>8554</v>
      </c>
      <c r="BP901" s="134">
        <v>0</v>
      </c>
      <c r="BQ901" s="214">
        <v>0</v>
      </c>
      <c r="BR901" s="137">
        <v>428</v>
      </c>
      <c r="BS901" s="138">
        <v>4.9149338374291113E-2</v>
      </c>
      <c r="BT901" s="351">
        <v>2360</v>
      </c>
      <c r="BU901" s="214">
        <v>8554</v>
      </c>
      <c r="BV901" s="214">
        <v>0</v>
      </c>
      <c r="BW901" s="214">
        <v>1</v>
      </c>
      <c r="BX901" s="214">
        <v>0</v>
      </c>
      <c r="BY901" s="214">
        <v>0</v>
      </c>
      <c r="BZ901" s="134">
        <v>0</v>
      </c>
      <c r="CA901" s="138">
        <v>1</v>
      </c>
      <c r="CB901" s="136">
        <v>1</v>
      </c>
      <c r="CC901" s="136">
        <v>0</v>
      </c>
      <c r="CD901" s="136">
        <v>0</v>
      </c>
      <c r="CE901" s="137">
        <v>0</v>
      </c>
      <c r="CF901" s="137">
        <v>0</v>
      </c>
      <c r="CG901" s="137">
        <v>0</v>
      </c>
      <c r="CH901" s="214">
        <v>1557</v>
      </c>
      <c r="CI901" s="139" t="s">
        <v>48</v>
      </c>
      <c r="CJ901" s="139" t="s">
        <v>1539</v>
      </c>
      <c r="CK901" s="139" t="s">
        <v>50</v>
      </c>
      <c r="CL901" s="139" t="s">
        <v>50</v>
      </c>
      <c r="CM901" s="139" t="s">
        <v>50</v>
      </c>
      <c r="CN901" s="139" t="s">
        <v>949</v>
      </c>
      <c r="CO901" s="139">
        <v>24.688338999999999</v>
      </c>
      <c r="CP901" s="139">
        <v>97.568331999999998</v>
      </c>
      <c r="CQ901" s="139" t="s">
        <v>1972</v>
      </c>
      <c r="CR901" s="449" t="s">
        <v>40</v>
      </c>
      <c r="CS901" s="449"/>
      <c r="CT901" s="24"/>
      <c r="CU901" s="24"/>
      <c r="CV901" s="24"/>
    </row>
    <row r="902" spans="1:100" ht="15.75" customHeight="1" x14ac:dyDescent="0.25">
      <c r="A902" s="643" t="s">
        <v>1388</v>
      </c>
      <c r="B902" s="132" t="s">
        <v>338</v>
      </c>
      <c r="C902" s="132" t="s">
        <v>44</v>
      </c>
      <c r="D902" s="132" t="s">
        <v>351</v>
      </c>
      <c r="E902" s="132" t="s">
        <v>353</v>
      </c>
      <c r="F902" s="132">
        <v>17</v>
      </c>
      <c r="G902" s="214">
        <v>106</v>
      </c>
      <c r="H902" s="132"/>
      <c r="I902" s="132" t="s">
        <v>354</v>
      </c>
      <c r="J902" s="133" t="s">
        <v>2474</v>
      </c>
      <c r="K902" s="132">
        <v>0</v>
      </c>
      <c r="L902" s="132" t="s">
        <v>282</v>
      </c>
      <c r="M902" s="134">
        <v>0</v>
      </c>
      <c r="N902" s="134">
        <v>0</v>
      </c>
      <c r="O902" s="320">
        <v>1</v>
      </c>
      <c r="P902" s="326">
        <v>0</v>
      </c>
      <c r="Q902" s="326">
        <v>0</v>
      </c>
      <c r="R902" s="315">
        <v>0</v>
      </c>
      <c r="S902" s="315">
        <v>0</v>
      </c>
      <c r="T902" s="315"/>
      <c r="U902" s="315"/>
      <c r="V902" s="315"/>
      <c r="W902" s="315"/>
      <c r="X902" s="315"/>
      <c r="Y902" s="315"/>
      <c r="Z902" s="315"/>
      <c r="AA902" s="336">
        <v>4</v>
      </c>
      <c r="AB902" s="336">
        <v>0</v>
      </c>
      <c r="AC902" s="337">
        <v>2</v>
      </c>
      <c r="AD902" s="337"/>
      <c r="AE902" s="336">
        <v>0</v>
      </c>
      <c r="AF902" s="336" t="s">
        <v>283</v>
      </c>
      <c r="AG902" s="339" t="s">
        <v>283</v>
      </c>
      <c r="AH902" s="339"/>
      <c r="AI902" s="336"/>
      <c r="AJ902" s="336"/>
      <c r="AK902" s="848">
        <v>1</v>
      </c>
      <c r="AL902" s="836" t="s">
        <v>291</v>
      </c>
      <c r="AM902" s="836">
        <v>0</v>
      </c>
      <c r="AN902" s="848">
        <v>2</v>
      </c>
      <c r="AO902" s="850">
        <v>1</v>
      </c>
      <c r="AP902" s="838">
        <v>17</v>
      </c>
      <c r="AQ902" s="839">
        <v>17</v>
      </c>
      <c r="AR902" s="839"/>
      <c r="AS902" s="839"/>
      <c r="AT902" s="839"/>
      <c r="AU902" s="839"/>
      <c r="AV902" s="849"/>
      <c r="AW902" s="134" t="s">
        <v>3208</v>
      </c>
      <c r="AX902" s="136" t="s">
        <v>3208</v>
      </c>
      <c r="AY902" s="137" t="s">
        <v>2576</v>
      </c>
      <c r="AZ902" s="136">
        <v>1</v>
      </c>
      <c r="BA902" s="136">
        <v>1</v>
      </c>
      <c r="BB902" s="136">
        <v>1</v>
      </c>
      <c r="BC902" s="214">
        <v>106</v>
      </c>
      <c r="BD902" s="136">
        <v>0</v>
      </c>
      <c r="BE902" s="135">
        <v>0</v>
      </c>
      <c r="BF902" s="136">
        <v>1</v>
      </c>
      <c r="BG902" s="214">
        <v>106</v>
      </c>
      <c r="BH902" s="214">
        <v>0.21199999999999999</v>
      </c>
      <c r="BI902" s="134">
        <v>0</v>
      </c>
      <c r="BJ902" s="135">
        <v>0</v>
      </c>
      <c r="BK902" s="137">
        <v>0.78800000000000003</v>
      </c>
      <c r="BL902" s="137">
        <v>1</v>
      </c>
      <c r="BM902" s="137">
        <v>4</v>
      </c>
      <c r="BN902" s="134">
        <v>0.75471698113207553</v>
      </c>
      <c r="BO902" s="351">
        <v>80</v>
      </c>
      <c r="BP902" s="134">
        <v>0.18867924528301888</v>
      </c>
      <c r="BQ902" s="135">
        <v>1</v>
      </c>
      <c r="BR902" s="137">
        <v>5</v>
      </c>
      <c r="BS902" s="138">
        <v>0</v>
      </c>
      <c r="BT902" s="351">
        <v>40</v>
      </c>
      <c r="BU902" s="214">
        <v>106</v>
      </c>
      <c r="BV902" s="214">
        <v>1</v>
      </c>
      <c r="BW902" s="214">
        <v>1</v>
      </c>
      <c r="BX902" s="214">
        <v>1</v>
      </c>
      <c r="BY902" s="214">
        <v>106</v>
      </c>
      <c r="BZ902" s="134">
        <v>1</v>
      </c>
      <c r="CA902" s="138">
        <v>0</v>
      </c>
      <c r="CB902" s="136">
        <v>1</v>
      </c>
      <c r="CC902" s="136">
        <v>1</v>
      </c>
      <c r="CD902" s="136">
        <v>1</v>
      </c>
      <c r="CE902" s="137">
        <v>85</v>
      </c>
      <c r="CF902" s="137">
        <v>85</v>
      </c>
      <c r="CG902" s="137">
        <v>85</v>
      </c>
      <c r="CH902" s="135">
        <v>17</v>
      </c>
      <c r="CI902" s="139">
        <v>0</v>
      </c>
      <c r="CJ902" s="139">
        <v>0</v>
      </c>
      <c r="CK902" s="139" t="s">
        <v>1921</v>
      </c>
      <c r="CL902" s="139" t="s">
        <v>50</v>
      </c>
      <c r="CM902" s="139" t="s">
        <v>50</v>
      </c>
      <c r="CN902" s="139" t="s">
        <v>51</v>
      </c>
      <c r="CO902" s="139">
        <v>0</v>
      </c>
      <c r="CP902" s="139">
        <v>0</v>
      </c>
      <c r="CQ902" s="139">
        <v>0</v>
      </c>
      <c r="CR902" s="449" t="s">
        <v>40</v>
      </c>
      <c r="CS902" s="449"/>
      <c r="CT902" s="24"/>
      <c r="CU902" s="24"/>
      <c r="CV902" s="24"/>
    </row>
    <row r="903" spans="1:100" ht="15.75" customHeight="1" x14ac:dyDescent="0.25">
      <c r="A903" s="643" t="s">
        <v>1388</v>
      </c>
      <c r="B903" s="132" t="s">
        <v>338</v>
      </c>
      <c r="C903" s="132" t="s">
        <v>44</v>
      </c>
      <c r="D903" s="132" t="s">
        <v>351</v>
      </c>
      <c r="E903" s="132" t="s">
        <v>355</v>
      </c>
      <c r="F903" s="132">
        <v>19</v>
      </c>
      <c r="G903" s="214">
        <v>94</v>
      </c>
      <c r="H903" s="132"/>
      <c r="I903" s="132" t="s">
        <v>354</v>
      </c>
      <c r="J903" s="133" t="s">
        <v>2476</v>
      </c>
      <c r="K903" s="132">
        <v>0</v>
      </c>
      <c r="L903" s="132" t="s">
        <v>282</v>
      </c>
      <c r="M903" s="134">
        <v>0</v>
      </c>
      <c r="N903" s="134">
        <v>0</v>
      </c>
      <c r="O903" s="320">
        <v>5</v>
      </c>
      <c r="P903" s="326">
        <v>0</v>
      </c>
      <c r="Q903" s="326">
        <v>1350</v>
      </c>
      <c r="R903" s="315">
        <v>0</v>
      </c>
      <c r="S903" s="315">
        <v>0</v>
      </c>
      <c r="T903" s="315"/>
      <c r="U903" s="315"/>
      <c r="V903" s="315"/>
      <c r="W903" s="315"/>
      <c r="X903" s="315"/>
      <c r="Y903" s="315"/>
      <c r="Z903" s="315"/>
      <c r="AA903" s="336">
        <v>5</v>
      </c>
      <c r="AB903" s="336">
        <v>0</v>
      </c>
      <c r="AC903" s="337"/>
      <c r="AD903" s="337"/>
      <c r="AE903" s="336">
        <v>0</v>
      </c>
      <c r="AF903" s="336" t="s">
        <v>283</v>
      </c>
      <c r="AG903" s="339" t="s">
        <v>283</v>
      </c>
      <c r="AH903" s="339"/>
      <c r="AI903" s="336"/>
      <c r="AJ903" s="336"/>
      <c r="AK903" s="848">
        <v>1</v>
      </c>
      <c r="AL903" s="836" t="s">
        <v>291</v>
      </c>
      <c r="AM903" s="836">
        <v>0</v>
      </c>
      <c r="AN903" s="848">
        <v>1</v>
      </c>
      <c r="AO903" s="850">
        <v>1</v>
      </c>
      <c r="AP903" s="838">
        <v>19</v>
      </c>
      <c r="AQ903" s="839">
        <v>19</v>
      </c>
      <c r="AR903" s="839"/>
      <c r="AS903" s="839"/>
      <c r="AT903" s="839"/>
      <c r="AU903" s="839"/>
      <c r="AV903" s="849"/>
      <c r="AW903" s="134" t="s">
        <v>3208</v>
      </c>
      <c r="AX903" s="136" t="s">
        <v>3208</v>
      </c>
      <c r="AY903" s="137" t="s">
        <v>2576</v>
      </c>
      <c r="AZ903" s="136">
        <v>1</v>
      </c>
      <c r="BA903" s="136">
        <v>1</v>
      </c>
      <c r="BB903" s="136">
        <v>1</v>
      </c>
      <c r="BC903" s="214">
        <v>94</v>
      </c>
      <c r="BD903" s="136">
        <v>0</v>
      </c>
      <c r="BE903" s="214">
        <v>0</v>
      </c>
      <c r="BF903" s="136">
        <v>1</v>
      </c>
      <c r="BG903" s="214">
        <v>94</v>
      </c>
      <c r="BH903" s="214">
        <v>0.188</v>
      </c>
      <c r="BI903" s="134">
        <v>0</v>
      </c>
      <c r="BJ903" s="214">
        <v>0</v>
      </c>
      <c r="BK903" s="137">
        <v>0.81200000000000006</v>
      </c>
      <c r="BL903" s="137">
        <v>1</v>
      </c>
      <c r="BM903" s="137">
        <v>5</v>
      </c>
      <c r="BN903" s="134">
        <v>1</v>
      </c>
      <c r="BO903" s="351">
        <v>94</v>
      </c>
      <c r="BP903" s="134">
        <v>0</v>
      </c>
      <c r="BQ903" s="214">
        <v>0</v>
      </c>
      <c r="BR903" s="137">
        <v>5</v>
      </c>
      <c r="BS903" s="138">
        <v>0</v>
      </c>
      <c r="BT903" s="351">
        <v>0</v>
      </c>
      <c r="BU903" s="214">
        <v>94</v>
      </c>
      <c r="BV903" s="214">
        <v>1</v>
      </c>
      <c r="BW903" s="214">
        <v>1</v>
      </c>
      <c r="BX903" s="214">
        <v>1</v>
      </c>
      <c r="BY903" s="214">
        <v>94</v>
      </c>
      <c r="BZ903" s="134">
        <v>1</v>
      </c>
      <c r="CA903" s="138">
        <v>0</v>
      </c>
      <c r="CB903" s="136">
        <v>1</v>
      </c>
      <c r="CC903" s="136">
        <v>1</v>
      </c>
      <c r="CD903" s="136">
        <v>1</v>
      </c>
      <c r="CE903" s="137">
        <v>95</v>
      </c>
      <c r="CF903" s="137">
        <v>95</v>
      </c>
      <c r="CG903" s="137">
        <v>95</v>
      </c>
      <c r="CH903" s="214">
        <v>19</v>
      </c>
      <c r="CI903" s="139">
        <v>0</v>
      </c>
      <c r="CJ903" s="139">
        <v>0</v>
      </c>
      <c r="CK903" s="139" t="s">
        <v>1921</v>
      </c>
      <c r="CL903" s="139" t="s">
        <v>50</v>
      </c>
      <c r="CM903" s="139" t="s">
        <v>50</v>
      </c>
      <c r="CN903" s="139" t="s">
        <v>51</v>
      </c>
      <c r="CO903" s="139">
        <v>0</v>
      </c>
      <c r="CP903" s="139">
        <v>0</v>
      </c>
      <c r="CQ903" s="139">
        <v>0</v>
      </c>
      <c r="CR903" s="449" t="s">
        <v>40</v>
      </c>
      <c r="CS903" s="449"/>
      <c r="CT903" s="24"/>
      <c r="CU903" s="24"/>
      <c r="CV903" s="24"/>
    </row>
    <row r="904" spans="1:100" ht="15.75" customHeight="1" x14ac:dyDescent="0.25">
      <c r="A904" s="643" t="s">
        <v>1388</v>
      </c>
      <c r="B904" s="132" t="s">
        <v>460</v>
      </c>
      <c r="C904" s="132" t="s">
        <v>44</v>
      </c>
      <c r="D904" s="132" t="s">
        <v>351</v>
      </c>
      <c r="E904" s="132" t="s">
        <v>1183</v>
      </c>
      <c r="F904" s="132">
        <v>3</v>
      </c>
      <c r="G904" s="214">
        <v>18</v>
      </c>
      <c r="H904" s="132"/>
      <c r="I904" s="132"/>
      <c r="J904" s="133"/>
      <c r="K904" s="132"/>
      <c r="L904" s="132" t="s">
        <v>282</v>
      </c>
      <c r="M904" s="134">
        <v>0</v>
      </c>
      <c r="N904" s="134">
        <v>0</v>
      </c>
      <c r="O904" s="320"/>
      <c r="P904" s="326"/>
      <c r="Q904" s="326"/>
      <c r="R904" s="315"/>
      <c r="S904" s="315"/>
      <c r="T904" s="315"/>
      <c r="U904" s="315"/>
      <c r="V904" s="315"/>
      <c r="W904" s="315"/>
      <c r="X904" s="315"/>
      <c r="Y904" s="315"/>
      <c r="Z904" s="315"/>
      <c r="AA904" s="336">
        <v>0</v>
      </c>
      <c r="AB904" s="336"/>
      <c r="AC904" s="337"/>
      <c r="AD904" s="337"/>
      <c r="AE904" s="336"/>
      <c r="AF904" s="336" t="s">
        <v>286</v>
      </c>
      <c r="AG904" s="339" t="s">
        <v>286</v>
      </c>
      <c r="AH904" s="339"/>
      <c r="AI904" s="336"/>
      <c r="AJ904" s="336"/>
      <c r="AK904" s="848"/>
      <c r="AL904" s="836"/>
      <c r="AM904" s="836"/>
      <c r="AN904" s="848"/>
      <c r="AO904" s="850"/>
      <c r="AP904" s="838"/>
      <c r="AQ904" s="839"/>
      <c r="AR904" s="839"/>
      <c r="AS904" s="839"/>
      <c r="AT904" s="839"/>
      <c r="AU904" s="839"/>
      <c r="AV904" s="849"/>
      <c r="AW904" s="134" t="s">
        <v>3208</v>
      </c>
      <c r="AX904" s="136" t="s">
        <v>3208</v>
      </c>
      <c r="AY904" s="137" t="s">
        <v>2576</v>
      </c>
      <c r="AZ904" s="136">
        <v>0</v>
      </c>
      <c r="BA904" s="136">
        <v>0</v>
      </c>
      <c r="BB904" s="136">
        <v>0</v>
      </c>
      <c r="BC904" s="214">
        <v>0</v>
      </c>
      <c r="BD904" s="136">
        <v>0</v>
      </c>
      <c r="BE904" s="135">
        <v>0</v>
      </c>
      <c r="BF904" s="136">
        <v>0</v>
      </c>
      <c r="BG904" s="214">
        <v>0</v>
      </c>
      <c r="BH904" s="214">
        <v>0</v>
      </c>
      <c r="BI904" s="134">
        <v>1</v>
      </c>
      <c r="BJ904" s="135">
        <v>18</v>
      </c>
      <c r="BK904" s="137">
        <v>1</v>
      </c>
      <c r="BL904" s="137">
        <v>1</v>
      </c>
      <c r="BM904" s="137">
        <v>0</v>
      </c>
      <c r="BN904" s="134">
        <v>0</v>
      </c>
      <c r="BO904" s="351">
        <v>0</v>
      </c>
      <c r="BP904" s="134">
        <v>1</v>
      </c>
      <c r="BQ904" s="135">
        <v>1</v>
      </c>
      <c r="BR904" s="137">
        <v>1</v>
      </c>
      <c r="BS904" s="138">
        <v>0</v>
      </c>
      <c r="BT904" s="351">
        <v>0</v>
      </c>
      <c r="BU904" s="214">
        <v>0</v>
      </c>
      <c r="BV904" s="214">
        <v>0</v>
      </c>
      <c r="BW904" s="214">
        <v>0</v>
      </c>
      <c r="BX904" s="214">
        <v>0</v>
      </c>
      <c r="BY904" s="214">
        <v>0</v>
      </c>
      <c r="BZ904" s="134">
        <v>0</v>
      </c>
      <c r="CA904" s="138">
        <v>1</v>
      </c>
      <c r="CB904" s="136">
        <v>0</v>
      </c>
      <c r="CC904" s="136">
        <v>0</v>
      </c>
      <c r="CD904" s="136">
        <v>0</v>
      </c>
      <c r="CE904" s="137">
        <v>0</v>
      </c>
      <c r="CF904" s="137">
        <v>0</v>
      </c>
      <c r="CG904" s="137">
        <v>0</v>
      </c>
      <c r="CH904" s="135">
        <v>0</v>
      </c>
      <c r="CI904" s="139">
        <v>0</v>
      </c>
      <c r="CJ904" s="139" t="s">
        <v>2959</v>
      </c>
      <c r="CK904" s="139" t="s">
        <v>50</v>
      </c>
      <c r="CL904" s="139" t="s">
        <v>50</v>
      </c>
      <c r="CM904" s="139" t="s">
        <v>942</v>
      </c>
      <c r="CN904" s="139" t="s">
        <v>51</v>
      </c>
      <c r="CO904" s="139">
        <v>24.377054000000001</v>
      </c>
      <c r="CP904" s="139">
        <v>97.343406999999999</v>
      </c>
      <c r="CQ904" s="139" t="s">
        <v>1962</v>
      </c>
      <c r="CR904" s="449" t="s">
        <v>3209</v>
      </c>
      <c r="CS904" s="449"/>
      <c r="CT904" s="24"/>
      <c r="CU904" s="24"/>
      <c r="CV904" s="24"/>
    </row>
    <row r="905" spans="1:100" ht="15.75" customHeight="1" x14ac:dyDescent="0.25">
      <c r="A905" s="643" t="s">
        <v>1388</v>
      </c>
      <c r="B905" s="132" t="s">
        <v>1428</v>
      </c>
      <c r="C905" s="132" t="s">
        <v>44</v>
      </c>
      <c r="D905" s="132" t="s">
        <v>351</v>
      </c>
      <c r="E905" s="132" t="s">
        <v>439</v>
      </c>
      <c r="F905" s="132">
        <v>440</v>
      </c>
      <c r="G905" s="214">
        <v>2199</v>
      </c>
      <c r="H905" s="132"/>
      <c r="I905" s="132" t="s">
        <v>391</v>
      </c>
      <c r="J905" s="133">
        <v>43220</v>
      </c>
      <c r="K905" s="132">
        <v>0</v>
      </c>
      <c r="L905" s="132" t="s">
        <v>282</v>
      </c>
      <c r="M905" s="134">
        <v>0</v>
      </c>
      <c r="N905" s="134">
        <v>0</v>
      </c>
      <c r="O905" s="320">
        <v>0</v>
      </c>
      <c r="P905" s="326">
        <v>1</v>
      </c>
      <c r="Q905" s="326">
        <v>0</v>
      </c>
      <c r="R905" s="315">
        <v>0</v>
      </c>
      <c r="S905" s="315">
        <v>0</v>
      </c>
      <c r="T905" s="315"/>
      <c r="U905" s="315"/>
      <c r="V905" s="315">
        <v>0</v>
      </c>
      <c r="W905" s="315"/>
      <c r="X905" s="315"/>
      <c r="Y905" s="315">
        <v>0</v>
      </c>
      <c r="Z905" s="315"/>
      <c r="AA905" s="336">
        <v>16</v>
      </c>
      <c r="AB905" s="336">
        <v>0</v>
      </c>
      <c r="AC905" s="337">
        <v>0</v>
      </c>
      <c r="AD905" s="337"/>
      <c r="AE905" s="336">
        <v>0</v>
      </c>
      <c r="AF905" s="336" t="s">
        <v>283</v>
      </c>
      <c r="AG905" s="339" t="s">
        <v>332</v>
      </c>
      <c r="AH905" s="339">
        <v>0</v>
      </c>
      <c r="AI905" s="336">
        <v>0</v>
      </c>
      <c r="AJ905" s="336"/>
      <c r="AK905" s="848">
        <v>0</v>
      </c>
      <c r="AL905" s="836" t="s">
        <v>291</v>
      </c>
      <c r="AM905" s="836">
        <v>0</v>
      </c>
      <c r="AN905" s="848"/>
      <c r="AO905" s="850"/>
      <c r="AP905" s="838">
        <v>0</v>
      </c>
      <c r="AQ905" s="839">
        <v>0</v>
      </c>
      <c r="AR905" s="839" t="s">
        <v>282</v>
      </c>
      <c r="AS905" s="839"/>
      <c r="AT905" s="839"/>
      <c r="AU905" s="839"/>
      <c r="AV905" s="849"/>
      <c r="AW905" s="134" t="s">
        <v>3208</v>
      </c>
      <c r="AX905" s="136" t="s">
        <v>3208</v>
      </c>
      <c r="AY905" s="137" t="s">
        <v>2576</v>
      </c>
      <c r="AZ905" s="136">
        <v>1</v>
      </c>
      <c r="BA905" s="136">
        <v>0.11368804001819009</v>
      </c>
      <c r="BB905" s="136">
        <v>1</v>
      </c>
      <c r="BC905" s="214">
        <v>2199</v>
      </c>
      <c r="BD905" s="136">
        <v>0</v>
      </c>
      <c r="BE905" s="135">
        <v>0</v>
      </c>
      <c r="BF905" s="136">
        <v>1</v>
      </c>
      <c r="BG905" s="214">
        <v>2199</v>
      </c>
      <c r="BH905" s="214">
        <v>4.3979999999999997</v>
      </c>
      <c r="BI905" s="134">
        <v>0</v>
      </c>
      <c r="BJ905" s="135">
        <v>0</v>
      </c>
      <c r="BK905" s="137">
        <v>0</v>
      </c>
      <c r="BL905" s="137">
        <v>4</v>
      </c>
      <c r="BM905" s="137">
        <v>16</v>
      </c>
      <c r="BN905" s="134">
        <v>0.14552069122328332</v>
      </c>
      <c r="BO905" s="351">
        <v>320</v>
      </c>
      <c r="BP905" s="134">
        <v>0.85493406093678947</v>
      </c>
      <c r="BQ905" s="135">
        <v>94</v>
      </c>
      <c r="BR905" s="137">
        <v>110</v>
      </c>
      <c r="BS905" s="138">
        <v>0</v>
      </c>
      <c r="BT905" s="351">
        <v>0</v>
      </c>
      <c r="BU905" s="214">
        <v>0</v>
      </c>
      <c r="BV905" s="214">
        <v>0</v>
      </c>
      <c r="BW905" s="214">
        <v>0</v>
      </c>
      <c r="BX905" s="214">
        <v>0</v>
      </c>
      <c r="BY905" s="214">
        <v>0</v>
      </c>
      <c r="BZ905" s="134">
        <v>0</v>
      </c>
      <c r="CA905" s="138">
        <v>1</v>
      </c>
      <c r="CB905" s="136">
        <v>0</v>
      </c>
      <c r="CC905" s="136">
        <v>0</v>
      </c>
      <c r="CD905" s="136">
        <v>0</v>
      </c>
      <c r="CE905" s="137">
        <v>0</v>
      </c>
      <c r="CF905" s="137">
        <v>0</v>
      </c>
      <c r="CG905" s="137">
        <v>0</v>
      </c>
      <c r="CH905" s="135">
        <v>0</v>
      </c>
      <c r="CI905" s="139">
        <v>0</v>
      </c>
      <c r="CJ905" s="139">
        <v>0</v>
      </c>
      <c r="CK905" s="139" t="s">
        <v>1921</v>
      </c>
      <c r="CL905" s="139" t="s">
        <v>50</v>
      </c>
      <c r="CM905" s="139" t="s">
        <v>1271</v>
      </c>
      <c r="CN905" s="139" t="s">
        <v>949</v>
      </c>
      <c r="CO905" s="139">
        <v>0</v>
      </c>
      <c r="CP905" s="139">
        <v>0</v>
      </c>
      <c r="CQ905" s="139">
        <v>0</v>
      </c>
      <c r="CR905" s="449" t="s">
        <v>40</v>
      </c>
      <c r="CS905" s="449"/>
      <c r="CT905" s="24"/>
      <c r="CU905" s="24"/>
      <c r="CV905" s="24"/>
    </row>
    <row r="906" spans="1:100" ht="15.75" customHeight="1" x14ac:dyDescent="0.25">
      <c r="A906" s="643" t="s">
        <v>1388</v>
      </c>
      <c r="B906" s="132" t="s">
        <v>426</v>
      </c>
      <c r="C906" s="132" t="s">
        <v>44</v>
      </c>
      <c r="D906" s="132" t="s">
        <v>351</v>
      </c>
      <c r="E906" s="132" t="s">
        <v>431</v>
      </c>
      <c r="F906" s="132">
        <v>37</v>
      </c>
      <c r="G906" s="214">
        <v>225</v>
      </c>
      <c r="H906" s="132"/>
      <c r="I906" s="132" t="s">
        <v>428</v>
      </c>
      <c r="J906" s="133" t="s">
        <v>2450</v>
      </c>
      <c r="K906" s="132">
        <v>0</v>
      </c>
      <c r="L906" s="132" t="s">
        <v>48</v>
      </c>
      <c r="M906" s="134">
        <v>1</v>
      </c>
      <c r="N906" s="134">
        <v>0</v>
      </c>
      <c r="O906" s="320">
        <v>0</v>
      </c>
      <c r="P906" s="326">
        <v>1</v>
      </c>
      <c r="Q906" s="326">
        <v>90000</v>
      </c>
      <c r="R906" s="315">
        <v>0</v>
      </c>
      <c r="S906" s="315">
        <v>0</v>
      </c>
      <c r="T906" s="315"/>
      <c r="U906" s="315"/>
      <c r="V906" s="315"/>
      <c r="W906" s="315"/>
      <c r="X906" s="315"/>
      <c r="Y906" s="315"/>
      <c r="Z906" s="315"/>
      <c r="AA906" s="336">
        <v>9</v>
      </c>
      <c r="AB906" s="336">
        <v>0</v>
      </c>
      <c r="AC906" s="337"/>
      <c r="AD906" s="337"/>
      <c r="AE906" s="336">
        <v>0</v>
      </c>
      <c r="AF906" s="336" t="s">
        <v>283</v>
      </c>
      <c r="AG906" s="339" t="s">
        <v>283</v>
      </c>
      <c r="AH906" s="339"/>
      <c r="AI906" s="336"/>
      <c r="AJ906" s="336" t="s">
        <v>2460</v>
      </c>
      <c r="AK906" s="848">
        <v>1</v>
      </c>
      <c r="AL906" s="836" t="s">
        <v>291</v>
      </c>
      <c r="AM906" s="836">
        <v>0</v>
      </c>
      <c r="AN906" s="848">
        <v>1</v>
      </c>
      <c r="AO906" s="850">
        <v>0</v>
      </c>
      <c r="AP906" s="838"/>
      <c r="AQ906" s="839"/>
      <c r="AR906" s="839"/>
      <c r="AS906" s="839"/>
      <c r="AT906" s="839"/>
      <c r="AU906" s="839"/>
      <c r="AV906" s="849" t="s">
        <v>2461</v>
      </c>
      <c r="AW906" s="134" t="s">
        <v>3208</v>
      </c>
      <c r="AX906" s="136" t="s">
        <v>3208</v>
      </c>
      <c r="AY906" s="137" t="s">
        <v>2576</v>
      </c>
      <c r="AZ906" s="136">
        <v>1</v>
      </c>
      <c r="BA906" s="136">
        <v>1</v>
      </c>
      <c r="BB906" s="136">
        <v>1</v>
      </c>
      <c r="BC906" s="214">
        <v>225</v>
      </c>
      <c r="BD906" s="136">
        <v>0</v>
      </c>
      <c r="BE906" s="214">
        <v>0</v>
      </c>
      <c r="BF906" s="136">
        <v>1</v>
      </c>
      <c r="BG906" s="214">
        <v>225</v>
      </c>
      <c r="BH906" s="214">
        <v>0.45</v>
      </c>
      <c r="BI906" s="134">
        <v>0</v>
      </c>
      <c r="BJ906" s="214">
        <v>0</v>
      </c>
      <c r="BK906" s="137">
        <v>0.55000000000000004</v>
      </c>
      <c r="BL906" s="137">
        <v>1</v>
      </c>
      <c r="BM906" s="137">
        <v>9</v>
      </c>
      <c r="BN906" s="134">
        <v>0.8</v>
      </c>
      <c r="BO906" s="351">
        <v>180</v>
      </c>
      <c r="BP906" s="134">
        <v>0.17777777777777778</v>
      </c>
      <c r="BQ906" s="214">
        <v>2</v>
      </c>
      <c r="BR906" s="137">
        <v>11</v>
      </c>
      <c r="BS906" s="138">
        <v>0</v>
      </c>
      <c r="BT906" s="351">
        <v>0</v>
      </c>
      <c r="BU906" s="214">
        <v>0</v>
      </c>
      <c r="BV906" s="214">
        <v>0</v>
      </c>
      <c r="BW906" s="214">
        <v>0</v>
      </c>
      <c r="BX906" s="214">
        <v>0</v>
      </c>
      <c r="BY906" s="214">
        <v>0</v>
      </c>
      <c r="BZ906" s="134">
        <v>0</v>
      </c>
      <c r="CA906" s="138">
        <v>1</v>
      </c>
      <c r="CB906" s="136">
        <v>0</v>
      </c>
      <c r="CC906" s="136">
        <v>0</v>
      </c>
      <c r="CD906" s="136">
        <v>0</v>
      </c>
      <c r="CE906" s="137">
        <v>0</v>
      </c>
      <c r="CF906" s="137">
        <v>0</v>
      </c>
      <c r="CG906" s="137">
        <v>0</v>
      </c>
      <c r="CH906" s="214">
        <v>37</v>
      </c>
      <c r="CI906" s="139" t="s">
        <v>48</v>
      </c>
      <c r="CJ906" s="139" t="s">
        <v>287</v>
      </c>
      <c r="CK906" s="139" t="s">
        <v>50</v>
      </c>
      <c r="CL906" s="139" t="s">
        <v>50</v>
      </c>
      <c r="CM906" s="139" t="s">
        <v>50</v>
      </c>
      <c r="CN906" s="139" t="s">
        <v>51</v>
      </c>
      <c r="CO906" s="139">
        <v>24.200972</v>
      </c>
      <c r="CP906" s="139">
        <v>97.718582999999995</v>
      </c>
      <c r="CQ906" s="139" t="s">
        <v>1937</v>
      </c>
      <c r="CR906" s="449" t="s">
        <v>40</v>
      </c>
      <c r="CS906" s="449"/>
      <c r="CT906" s="24"/>
      <c r="CU906" s="24"/>
      <c r="CV906" s="24"/>
    </row>
    <row r="907" spans="1:100" ht="15.75" customHeight="1" x14ac:dyDescent="0.25">
      <c r="A907" s="643" t="s">
        <v>1388</v>
      </c>
      <c r="B907" s="132" t="s">
        <v>426</v>
      </c>
      <c r="C907" s="132" t="s">
        <v>44</v>
      </c>
      <c r="D907" s="132" t="s">
        <v>351</v>
      </c>
      <c r="E907" s="132" t="s">
        <v>432</v>
      </c>
      <c r="F907" s="132">
        <v>63</v>
      </c>
      <c r="G907" s="214">
        <v>348</v>
      </c>
      <c r="H907" s="132"/>
      <c r="I907" s="132" t="s">
        <v>428</v>
      </c>
      <c r="J907" s="133" t="s">
        <v>2450</v>
      </c>
      <c r="K907" s="132">
        <v>0</v>
      </c>
      <c r="L907" s="132" t="s">
        <v>48</v>
      </c>
      <c r="M907" s="134">
        <v>0.5</v>
      </c>
      <c r="N907" s="134">
        <v>0</v>
      </c>
      <c r="O907" s="320">
        <v>0</v>
      </c>
      <c r="P907" s="326">
        <v>1</v>
      </c>
      <c r="Q907" s="326">
        <v>115200</v>
      </c>
      <c r="R907" s="315">
        <v>0</v>
      </c>
      <c r="S907" s="315">
        <v>0</v>
      </c>
      <c r="T907" s="315"/>
      <c r="U907" s="315"/>
      <c r="V907" s="315"/>
      <c r="W907" s="315"/>
      <c r="X907" s="315"/>
      <c r="Y907" s="315"/>
      <c r="Z907" s="315"/>
      <c r="AA907" s="336">
        <v>13</v>
      </c>
      <c r="AB907" s="336">
        <v>0</v>
      </c>
      <c r="AC907" s="337">
        <v>16</v>
      </c>
      <c r="AD907" s="337"/>
      <c r="AE907" s="336">
        <v>0</v>
      </c>
      <c r="AF907" s="336" t="s">
        <v>283</v>
      </c>
      <c r="AG907" s="339" t="s">
        <v>283</v>
      </c>
      <c r="AH907" s="339"/>
      <c r="AI907" s="336"/>
      <c r="AJ907" s="336" t="s">
        <v>2460</v>
      </c>
      <c r="AK907" s="848">
        <v>1</v>
      </c>
      <c r="AL907" s="836" t="s">
        <v>291</v>
      </c>
      <c r="AM907" s="836">
        <v>0</v>
      </c>
      <c r="AN907" s="848">
        <v>2</v>
      </c>
      <c r="AO907" s="850">
        <v>0</v>
      </c>
      <c r="AP907" s="838">
        <v>47</v>
      </c>
      <c r="AQ907" s="839">
        <v>0</v>
      </c>
      <c r="AR907" s="839" t="s">
        <v>282</v>
      </c>
      <c r="AS907" s="839"/>
      <c r="AT907" s="839"/>
      <c r="AU907" s="839"/>
      <c r="AV907" s="849" t="s">
        <v>2461</v>
      </c>
      <c r="AW907" s="134" t="s">
        <v>3208</v>
      </c>
      <c r="AX907" s="136" t="s">
        <v>3208</v>
      </c>
      <c r="AY907" s="137" t="s">
        <v>2576</v>
      </c>
      <c r="AZ907" s="136">
        <v>1</v>
      </c>
      <c r="BA907" s="136">
        <v>1</v>
      </c>
      <c r="BB907" s="136">
        <v>1</v>
      </c>
      <c r="BC907" s="214">
        <v>348</v>
      </c>
      <c r="BD907" s="136">
        <v>0</v>
      </c>
      <c r="BE907" s="214">
        <v>0</v>
      </c>
      <c r="BF907" s="136">
        <v>1</v>
      </c>
      <c r="BG907" s="214">
        <v>348</v>
      </c>
      <c r="BH907" s="214">
        <v>0.69599999999999995</v>
      </c>
      <c r="BI907" s="134">
        <v>0</v>
      </c>
      <c r="BJ907" s="214">
        <v>0</v>
      </c>
      <c r="BK907" s="137">
        <v>0.30400000000000005</v>
      </c>
      <c r="BL907" s="137">
        <v>1</v>
      </c>
      <c r="BM907" s="137">
        <v>13</v>
      </c>
      <c r="BN907" s="134">
        <v>0.74712643678160917</v>
      </c>
      <c r="BO907" s="351">
        <v>260</v>
      </c>
      <c r="BP907" s="134">
        <v>0.22988505747126439</v>
      </c>
      <c r="BQ907" s="214">
        <v>4</v>
      </c>
      <c r="BR907" s="137">
        <v>17</v>
      </c>
      <c r="BS907" s="138">
        <v>0</v>
      </c>
      <c r="BT907" s="351">
        <v>320</v>
      </c>
      <c r="BU907" s="214">
        <v>0</v>
      </c>
      <c r="BV907" s="214">
        <v>0</v>
      </c>
      <c r="BW907" s="214">
        <v>0</v>
      </c>
      <c r="BX907" s="214">
        <v>0</v>
      </c>
      <c r="BY907" s="214">
        <v>0</v>
      </c>
      <c r="BZ907" s="134">
        <v>0</v>
      </c>
      <c r="CA907" s="138">
        <v>1</v>
      </c>
      <c r="CB907" s="136">
        <v>0</v>
      </c>
      <c r="CC907" s="136">
        <v>0.74603174603174605</v>
      </c>
      <c r="CD907" s="136">
        <v>0</v>
      </c>
      <c r="CE907" s="137">
        <v>235</v>
      </c>
      <c r="CF907" s="137">
        <v>0</v>
      </c>
      <c r="CG907" s="137">
        <v>235</v>
      </c>
      <c r="CH907" s="214">
        <v>63</v>
      </c>
      <c r="CI907" s="139" t="s">
        <v>48</v>
      </c>
      <c r="CJ907" s="139" t="s">
        <v>49</v>
      </c>
      <c r="CK907" s="139" t="s">
        <v>50</v>
      </c>
      <c r="CL907" s="139" t="s">
        <v>50</v>
      </c>
      <c r="CM907" s="139" t="s">
        <v>50</v>
      </c>
      <c r="CN907" s="139" t="s">
        <v>51</v>
      </c>
      <c r="CO907" s="139">
        <v>24.205417000000001</v>
      </c>
      <c r="CP907" s="139">
        <v>97.724566999999993</v>
      </c>
      <c r="CQ907" s="139" t="s">
        <v>1938</v>
      </c>
      <c r="CR907" s="449" t="s">
        <v>40</v>
      </c>
      <c r="CS907" s="449"/>
      <c r="CT907" s="24"/>
      <c r="CU907" s="24"/>
      <c r="CV907" s="24"/>
    </row>
    <row r="908" spans="1:100" ht="15.75" customHeight="1" x14ac:dyDescent="0.25">
      <c r="A908" s="643" t="s">
        <v>1388</v>
      </c>
      <c r="B908" s="132" t="s">
        <v>426</v>
      </c>
      <c r="C908" s="132" t="s">
        <v>44</v>
      </c>
      <c r="D908" s="132" t="s">
        <v>351</v>
      </c>
      <c r="E908" s="132" t="s">
        <v>433</v>
      </c>
      <c r="F908" s="132">
        <v>197</v>
      </c>
      <c r="G908" s="214">
        <v>1092</v>
      </c>
      <c r="H908" s="132"/>
      <c r="I908" s="132" t="s">
        <v>391</v>
      </c>
      <c r="J908" s="133">
        <v>43220</v>
      </c>
      <c r="K908" s="132">
        <v>0</v>
      </c>
      <c r="L908" s="132" t="s">
        <v>48</v>
      </c>
      <c r="M908" s="134">
        <v>1</v>
      </c>
      <c r="N908" s="134">
        <v>0</v>
      </c>
      <c r="O908" s="320">
        <v>2</v>
      </c>
      <c r="P908" s="326">
        <v>3</v>
      </c>
      <c r="Q908" s="326">
        <v>604500</v>
      </c>
      <c r="R908" s="315">
        <v>0</v>
      </c>
      <c r="S908" s="315">
        <v>0</v>
      </c>
      <c r="T908" s="315"/>
      <c r="U908" s="315"/>
      <c r="V908" s="315">
        <v>0</v>
      </c>
      <c r="W908" s="315">
        <v>10</v>
      </c>
      <c r="X908" s="315">
        <v>10</v>
      </c>
      <c r="Y908" s="315">
        <v>0</v>
      </c>
      <c r="Z908" s="315"/>
      <c r="AA908" s="336">
        <v>40</v>
      </c>
      <c r="AB908" s="336">
        <v>0</v>
      </c>
      <c r="AC908" s="337">
        <v>22</v>
      </c>
      <c r="AD908" s="337"/>
      <c r="AE908" s="336">
        <v>0</v>
      </c>
      <c r="AF908" s="336" t="s">
        <v>283</v>
      </c>
      <c r="AG908" s="339" t="s">
        <v>283</v>
      </c>
      <c r="AH908" s="339">
        <v>0</v>
      </c>
      <c r="AI908" s="336">
        <v>0</v>
      </c>
      <c r="AJ908" s="336"/>
      <c r="AK908" s="848">
        <v>1</v>
      </c>
      <c r="AL908" s="836" t="s">
        <v>291</v>
      </c>
      <c r="AM908" s="836">
        <v>0</v>
      </c>
      <c r="AN908" s="848">
        <v>5</v>
      </c>
      <c r="AO908" s="850">
        <v>4</v>
      </c>
      <c r="AP908" s="838">
        <v>148</v>
      </c>
      <c r="AQ908" s="839">
        <v>0</v>
      </c>
      <c r="AR908" s="839" t="s">
        <v>282</v>
      </c>
      <c r="AS908" s="839"/>
      <c r="AT908" s="839"/>
      <c r="AU908" s="839"/>
      <c r="AV908" s="849"/>
      <c r="AW908" s="134" t="s">
        <v>3208</v>
      </c>
      <c r="AX908" s="136">
        <v>1</v>
      </c>
      <c r="AY908" s="137" t="s">
        <v>2577</v>
      </c>
      <c r="AZ908" s="136">
        <v>1</v>
      </c>
      <c r="BA908" s="136">
        <v>1</v>
      </c>
      <c r="BB908" s="136">
        <v>1</v>
      </c>
      <c r="BC908" s="214">
        <v>1092</v>
      </c>
      <c r="BD908" s="136">
        <v>0</v>
      </c>
      <c r="BE908" s="214">
        <v>0</v>
      </c>
      <c r="BF908" s="136">
        <v>1</v>
      </c>
      <c r="BG908" s="214">
        <v>1092</v>
      </c>
      <c r="BH908" s="214">
        <v>2.1840000000000002</v>
      </c>
      <c r="BI908" s="134">
        <v>0</v>
      </c>
      <c r="BJ908" s="214">
        <v>0</v>
      </c>
      <c r="BK908" s="137">
        <v>0</v>
      </c>
      <c r="BL908" s="137">
        <v>2</v>
      </c>
      <c r="BM908" s="137">
        <v>40</v>
      </c>
      <c r="BN908" s="134">
        <v>0.73260073260073255</v>
      </c>
      <c r="BO908" s="351">
        <v>800</v>
      </c>
      <c r="BP908" s="134">
        <v>0.27472527472527469</v>
      </c>
      <c r="BQ908" s="214">
        <v>15</v>
      </c>
      <c r="BR908" s="137">
        <v>55</v>
      </c>
      <c r="BS908" s="138">
        <v>0</v>
      </c>
      <c r="BT908" s="351">
        <v>440</v>
      </c>
      <c r="BU908" s="214">
        <v>1092</v>
      </c>
      <c r="BV908" s="214">
        <v>0</v>
      </c>
      <c r="BW908" s="214">
        <v>1</v>
      </c>
      <c r="BX908" s="214">
        <v>0</v>
      </c>
      <c r="BY908" s="214">
        <v>0</v>
      </c>
      <c r="BZ908" s="134">
        <v>0</v>
      </c>
      <c r="CA908" s="138">
        <v>1</v>
      </c>
      <c r="CB908" s="136">
        <v>1</v>
      </c>
      <c r="CC908" s="136">
        <v>0.75126903553299496</v>
      </c>
      <c r="CD908" s="136">
        <v>0</v>
      </c>
      <c r="CE908" s="137">
        <v>740</v>
      </c>
      <c r="CF908" s="137">
        <v>0</v>
      </c>
      <c r="CG908" s="137">
        <v>740</v>
      </c>
      <c r="CH908" s="214">
        <v>197</v>
      </c>
      <c r="CI908" s="139" t="s">
        <v>48</v>
      </c>
      <c r="CJ908" s="139" t="s">
        <v>287</v>
      </c>
      <c r="CK908" s="139" t="s">
        <v>50</v>
      </c>
      <c r="CL908" s="139" t="s">
        <v>50</v>
      </c>
      <c r="CM908" s="139" t="s">
        <v>50</v>
      </c>
      <c r="CN908" s="139" t="s">
        <v>51</v>
      </c>
      <c r="CO908" s="139">
        <v>24.200433</v>
      </c>
      <c r="CP908" s="139">
        <v>97.717133000000004</v>
      </c>
      <c r="CQ908" s="139" t="s">
        <v>1936</v>
      </c>
      <c r="CR908" s="449" t="s">
        <v>40</v>
      </c>
      <c r="CS908" s="449"/>
      <c r="CT908" s="24"/>
      <c r="CU908" s="24"/>
      <c r="CV908" s="24"/>
    </row>
    <row r="909" spans="1:100" ht="15.75" customHeight="1" x14ac:dyDescent="0.25">
      <c r="A909" s="643" t="s">
        <v>1388</v>
      </c>
      <c r="B909" s="132" t="s">
        <v>426</v>
      </c>
      <c r="C909" s="132" t="s">
        <v>44</v>
      </c>
      <c r="D909" s="132" t="s">
        <v>351</v>
      </c>
      <c r="E909" s="132" t="s">
        <v>438</v>
      </c>
      <c r="F909" s="132">
        <v>470</v>
      </c>
      <c r="G909" s="214">
        <v>2350</v>
      </c>
      <c r="H909" s="132"/>
      <c r="I909" s="132" t="s">
        <v>391</v>
      </c>
      <c r="J909" s="133">
        <v>43220</v>
      </c>
      <c r="K909" s="132">
        <v>0</v>
      </c>
      <c r="L909" s="132" t="s">
        <v>282</v>
      </c>
      <c r="M909" s="134">
        <v>0</v>
      </c>
      <c r="N909" s="134">
        <v>0</v>
      </c>
      <c r="O909" s="320">
        <v>0</v>
      </c>
      <c r="P909" s="326">
        <v>1</v>
      </c>
      <c r="Q909" s="326">
        <v>0</v>
      </c>
      <c r="R909" s="315">
        <v>0</v>
      </c>
      <c r="S909" s="315">
        <v>0</v>
      </c>
      <c r="T909" s="315"/>
      <c r="U909" s="315"/>
      <c r="V909" s="315">
        <v>0</v>
      </c>
      <c r="W909" s="315"/>
      <c r="X909" s="315"/>
      <c r="Y909" s="315">
        <v>51</v>
      </c>
      <c r="Z909" s="315"/>
      <c r="AA909" s="336">
        <v>0</v>
      </c>
      <c r="AB909" s="336">
        <v>0</v>
      </c>
      <c r="AC909" s="337">
        <v>0</v>
      </c>
      <c r="AD909" s="337"/>
      <c r="AE909" s="336">
        <v>0</v>
      </c>
      <c r="AF909" s="336" t="s">
        <v>283</v>
      </c>
      <c r="AG909" s="339" t="s">
        <v>332</v>
      </c>
      <c r="AH909" s="339">
        <v>0</v>
      </c>
      <c r="AI909" s="336">
        <v>0</v>
      </c>
      <c r="AJ909" s="336"/>
      <c r="AK909" s="848">
        <v>1</v>
      </c>
      <c r="AL909" s="836" t="s">
        <v>291</v>
      </c>
      <c r="AM909" s="836">
        <v>0</v>
      </c>
      <c r="AN909" s="848"/>
      <c r="AO909" s="850"/>
      <c r="AP909" s="838">
        <v>0</v>
      </c>
      <c r="AQ909" s="839">
        <v>0</v>
      </c>
      <c r="AR909" s="839" t="s">
        <v>282</v>
      </c>
      <c r="AS909" s="839"/>
      <c r="AT909" s="839"/>
      <c r="AU909" s="839"/>
      <c r="AV909" s="849"/>
      <c r="AW909" s="134" t="s">
        <v>3208</v>
      </c>
      <c r="AX909" s="136" t="s">
        <v>3208</v>
      </c>
      <c r="AY909" s="137" t="s">
        <v>2576</v>
      </c>
      <c r="AZ909" s="136">
        <v>1</v>
      </c>
      <c r="BA909" s="136">
        <v>0.10638297872340426</v>
      </c>
      <c r="BB909" s="136">
        <v>1</v>
      </c>
      <c r="BC909" s="214">
        <v>2350</v>
      </c>
      <c r="BD909" s="136">
        <v>0</v>
      </c>
      <c r="BE909" s="214">
        <v>0</v>
      </c>
      <c r="BF909" s="136">
        <v>1</v>
      </c>
      <c r="BG909" s="214">
        <v>2350</v>
      </c>
      <c r="BH909" s="214">
        <v>4.7</v>
      </c>
      <c r="BI909" s="134">
        <v>0</v>
      </c>
      <c r="BJ909" s="214">
        <v>0</v>
      </c>
      <c r="BK909" s="137">
        <v>0.29999999999999982</v>
      </c>
      <c r="BL909" s="137">
        <v>5</v>
      </c>
      <c r="BM909" s="137">
        <v>0</v>
      </c>
      <c r="BN909" s="134">
        <v>0</v>
      </c>
      <c r="BO909" s="351">
        <v>0</v>
      </c>
      <c r="BP909" s="134">
        <v>1</v>
      </c>
      <c r="BQ909" s="214">
        <v>118</v>
      </c>
      <c r="BR909" s="137">
        <v>118</v>
      </c>
      <c r="BS909" s="138">
        <v>0</v>
      </c>
      <c r="BT909" s="351">
        <v>0</v>
      </c>
      <c r="BU909" s="214">
        <v>0</v>
      </c>
      <c r="BV909" s="214">
        <v>0</v>
      </c>
      <c r="BW909" s="214">
        <v>0</v>
      </c>
      <c r="BX909" s="214">
        <v>0</v>
      </c>
      <c r="BY909" s="214">
        <v>0</v>
      </c>
      <c r="BZ909" s="134">
        <v>0</v>
      </c>
      <c r="CA909" s="138">
        <v>1</v>
      </c>
      <c r="CB909" s="136">
        <v>0</v>
      </c>
      <c r="CC909" s="136">
        <v>0</v>
      </c>
      <c r="CD909" s="136">
        <v>0</v>
      </c>
      <c r="CE909" s="137">
        <v>0</v>
      </c>
      <c r="CF909" s="137">
        <v>0</v>
      </c>
      <c r="CG909" s="137">
        <v>0</v>
      </c>
      <c r="CH909" s="214">
        <v>470</v>
      </c>
      <c r="CI909" s="139">
        <v>0</v>
      </c>
      <c r="CJ909" s="139">
        <v>0</v>
      </c>
      <c r="CK909" s="139" t="s">
        <v>1921</v>
      </c>
      <c r="CL909" s="139" t="s">
        <v>50</v>
      </c>
      <c r="CM909" s="139" t="s">
        <v>1271</v>
      </c>
      <c r="CN909" s="139" t="s">
        <v>51</v>
      </c>
      <c r="CO909" s="139">
        <v>0</v>
      </c>
      <c r="CP909" s="139">
        <v>0</v>
      </c>
      <c r="CQ909" s="139">
        <v>0</v>
      </c>
      <c r="CR909" s="449" t="s">
        <v>40</v>
      </c>
      <c r="CS909" s="449"/>
      <c r="CT909" s="24"/>
      <c r="CU909" s="24"/>
      <c r="CV909" s="24"/>
    </row>
    <row r="910" spans="1:100" ht="15.75" customHeight="1" x14ac:dyDescent="0.25">
      <c r="A910" s="643" t="s">
        <v>1388</v>
      </c>
      <c r="B910" s="132" t="s">
        <v>338</v>
      </c>
      <c r="C910" s="132" t="s">
        <v>44</v>
      </c>
      <c r="D910" s="132" t="s">
        <v>351</v>
      </c>
      <c r="E910" s="132" t="s">
        <v>356</v>
      </c>
      <c r="F910" s="132">
        <v>217</v>
      </c>
      <c r="G910" s="214">
        <v>1172</v>
      </c>
      <c r="H910" s="132"/>
      <c r="I910" s="132" t="s">
        <v>2453</v>
      </c>
      <c r="J910" s="133" t="s">
        <v>2476</v>
      </c>
      <c r="K910" s="132">
        <v>0</v>
      </c>
      <c r="L910" s="132" t="s">
        <v>48</v>
      </c>
      <c r="M910" s="134">
        <v>0.6</v>
      </c>
      <c r="N910" s="134">
        <v>0</v>
      </c>
      <c r="O910" s="320">
        <v>1</v>
      </c>
      <c r="P910" s="326">
        <v>3</v>
      </c>
      <c r="Q910" s="326">
        <v>0</v>
      </c>
      <c r="R910" s="315">
        <v>0</v>
      </c>
      <c r="S910" s="315">
        <v>0</v>
      </c>
      <c r="T910" s="315"/>
      <c r="U910" s="315"/>
      <c r="V910" s="315"/>
      <c r="W910" s="315"/>
      <c r="X910" s="315"/>
      <c r="Y910" s="315"/>
      <c r="Z910" s="315"/>
      <c r="AA910" s="336">
        <v>47</v>
      </c>
      <c r="AB910" s="336">
        <v>0</v>
      </c>
      <c r="AC910" s="337">
        <v>3</v>
      </c>
      <c r="AD910" s="337"/>
      <c r="AE910" s="336">
        <v>0</v>
      </c>
      <c r="AF910" s="336" t="s">
        <v>283</v>
      </c>
      <c r="AG910" s="339" t="s">
        <v>283</v>
      </c>
      <c r="AH910" s="339"/>
      <c r="AI910" s="336"/>
      <c r="AJ910" s="336"/>
      <c r="AK910" s="848">
        <v>1</v>
      </c>
      <c r="AL910" s="836" t="s">
        <v>291</v>
      </c>
      <c r="AM910" s="836">
        <v>0</v>
      </c>
      <c r="AN910" s="848">
        <v>7</v>
      </c>
      <c r="AO910" s="850">
        <v>2</v>
      </c>
      <c r="AP910" s="838">
        <v>217</v>
      </c>
      <c r="AQ910" s="839">
        <v>217</v>
      </c>
      <c r="AR910" s="839"/>
      <c r="AS910" s="839"/>
      <c r="AT910" s="839"/>
      <c r="AU910" s="839"/>
      <c r="AV910" s="849"/>
      <c r="AW910" s="134" t="s">
        <v>3208</v>
      </c>
      <c r="AX910" s="136" t="s">
        <v>3208</v>
      </c>
      <c r="AY910" s="137" t="s">
        <v>2576</v>
      </c>
      <c r="AZ910" s="136">
        <v>1</v>
      </c>
      <c r="BA910" s="136">
        <v>0.85324232081911267</v>
      </c>
      <c r="BB910" s="136">
        <v>1</v>
      </c>
      <c r="BC910" s="214">
        <v>1172</v>
      </c>
      <c r="BD910" s="136">
        <v>0</v>
      </c>
      <c r="BE910" s="214">
        <v>0</v>
      </c>
      <c r="BF910" s="136">
        <v>1</v>
      </c>
      <c r="BG910" s="214">
        <v>1172</v>
      </c>
      <c r="BH910" s="214">
        <v>2.3439999999999999</v>
      </c>
      <c r="BI910" s="134">
        <v>0</v>
      </c>
      <c r="BJ910" s="214">
        <v>0</v>
      </c>
      <c r="BK910" s="137">
        <v>0</v>
      </c>
      <c r="BL910" s="137">
        <v>2</v>
      </c>
      <c r="BM910" s="137">
        <v>47</v>
      </c>
      <c r="BN910" s="134">
        <v>0.80204778156996592</v>
      </c>
      <c r="BO910" s="351">
        <v>940.00000000000011</v>
      </c>
      <c r="BP910" s="134">
        <v>0.20477815699658702</v>
      </c>
      <c r="BQ910" s="214">
        <v>12</v>
      </c>
      <c r="BR910" s="137">
        <v>59</v>
      </c>
      <c r="BS910" s="138">
        <v>0</v>
      </c>
      <c r="BT910" s="351">
        <v>60</v>
      </c>
      <c r="BU910" s="214">
        <v>1000</v>
      </c>
      <c r="BV910" s="214">
        <v>1</v>
      </c>
      <c r="BW910" s="214">
        <v>1</v>
      </c>
      <c r="BX910" s="214">
        <v>1</v>
      </c>
      <c r="BY910" s="214">
        <v>1172</v>
      </c>
      <c r="BZ910" s="134">
        <v>1</v>
      </c>
      <c r="CA910" s="138">
        <v>0</v>
      </c>
      <c r="CB910" s="136">
        <v>0.85324232081911267</v>
      </c>
      <c r="CC910" s="136">
        <v>1</v>
      </c>
      <c r="CD910" s="136">
        <v>1</v>
      </c>
      <c r="CE910" s="137">
        <v>1085</v>
      </c>
      <c r="CF910" s="137">
        <v>1085</v>
      </c>
      <c r="CG910" s="137">
        <v>1085</v>
      </c>
      <c r="CH910" s="214">
        <v>217</v>
      </c>
      <c r="CI910" s="139" t="s">
        <v>48</v>
      </c>
      <c r="CJ910" s="139" t="s">
        <v>49</v>
      </c>
      <c r="CK910" s="139" t="s">
        <v>50</v>
      </c>
      <c r="CL910" s="139" t="s">
        <v>50</v>
      </c>
      <c r="CM910" s="139" t="s">
        <v>50</v>
      </c>
      <c r="CN910" s="139" t="s">
        <v>51</v>
      </c>
      <c r="CO910" s="139">
        <v>24.245100000000001</v>
      </c>
      <c r="CP910" s="139">
        <v>97.325019999999995</v>
      </c>
      <c r="CQ910" s="139" t="s">
        <v>1944</v>
      </c>
      <c r="CR910" s="449" t="s">
        <v>40</v>
      </c>
      <c r="CS910" s="449"/>
      <c r="CT910" s="24"/>
      <c r="CU910" s="24"/>
      <c r="CV910" s="24"/>
    </row>
    <row r="911" spans="1:100" ht="15.75" customHeight="1" x14ac:dyDescent="0.25">
      <c r="A911" s="643" t="s">
        <v>1388</v>
      </c>
      <c r="B911" s="132" t="s">
        <v>426</v>
      </c>
      <c r="C911" s="132" t="s">
        <v>44</v>
      </c>
      <c r="D911" s="132" t="s">
        <v>351</v>
      </c>
      <c r="E911" s="132" t="s">
        <v>437</v>
      </c>
      <c r="F911" s="132">
        <v>109</v>
      </c>
      <c r="G911" s="214">
        <v>580</v>
      </c>
      <c r="H911" s="132"/>
      <c r="I911" s="132" t="s">
        <v>391</v>
      </c>
      <c r="J911" s="133">
        <v>43220</v>
      </c>
      <c r="K911" s="132">
        <v>0</v>
      </c>
      <c r="L911" s="132" t="s">
        <v>48</v>
      </c>
      <c r="M911" s="134">
        <v>0.5</v>
      </c>
      <c r="N911" s="134">
        <v>0</v>
      </c>
      <c r="O911" s="320">
        <v>1</v>
      </c>
      <c r="P911" s="326">
        <v>1</v>
      </c>
      <c r="Q911" s="326">
        <v>1260000</v>
      </c>
      <c r="R911" s="315">
        <v>0</v>
      </c>
      <c r="S911" s="315">
        <v>0</v>
      </c>
      <c r="T911" s="315"/>
      <c r="U911" s="315"/>
      <c r="V911" s="315"/>
      <c r="W911" s="315">
        <v>6</v>
      </c>
      <c r="X911" s="315">
        <v>6</v>
      </c>
      <c r="Y911" s="315"/>
      <c r="Z911" s="315"/>
      <c r="AA911" s="336">
        <v>28</v>
      </c>
      <c r="AB911" s="336">
        <v>0</v>
      </c>
      <c r="AC911" s="337">
        <v>18</v>
      </c>
      <c r="AD911" s="337"/>
      <c r="AE911" s="336">
        <v>0</v>
      </c>
      <c r="AF911" s="336" t="s">
        <v>283</v>
      </c>
      <c r="AG911" s="339" t="s">
        <v>332</v>
      </c>
      <c r="AH911" s="339">
        <v>0</v>
      </c>
      <c r="AI911" s="336">
        <v>0</v>
      </c>
      <c r="AJ911" s="336"/>
      <c r="AK911" s="848">
        <v>1</v>
      </c>
      <c r="AL911" s="836" t="s">
        <v>291</v>
      </c>
      <c r="AM911" s="836">
        <v>0</v>
      </c>
      <c r="AN911" s="848">
        <v>3</v>
      </c>
      <c r="AO911" s="850">
        <v>81</v>
      </c>
      <c r="AP911" s="838">
        <v>0</v>
      </c>
      <c r="AQ911" s="839"/>
      <c r="AR911" s="839"/>
      <c r="AS911" s="839"/>
      <c r="AT911" s="839"/>
      <c r="AU911" s="839"/>
      <c r="AV911" s="849"/>
      <c r="AW911" s="134" t="s">
        <v>3208</v>
      </c>
      <c r="AX911" s="136">
        <v>1</v>
      </c>
      <c r="AY911" s="137" t="s">
        <v>2577</v>
      </c>
      <c r="AZ911" s="136">
        <v>1</v>
      </c>
      <c r="BA911" s="136">
        <v>1</v>
      </c>
      <c r="BB911" s="136">
        <v>1</v>
      </c>
      <c r="BC911" s="214">
        <v>580</v>
      </c>
      <c r="BD911" s="136">
        <v>0</v>
      </c>
      <c r="BE911" s="135">
        <v>0</v>
      </c>
      <c r="BF911" s="136">
        <v>1</v>
      </c>
      <c r="BG911" s="214">
        <v>580</v>
      </c>
      <c r="BH911" s="214">
        <v>1.1599999999999999</v>
      </c>
      <c r="BI911" s="134">
        <v>0</v>
      </c>
      <c r="BJ911" s="135">
        <v>0</v>
      </c>
      <c r="BK911" s="137">
        <v>0</v>
      </c>
      <c r="BL911" s="137">
        <v>1</v>
      </c>
      <c r="BM911" s="137">
        <v>28</v>
      </c>
      <c r="BN911" s="134">
        <v>0.96551724137931039</v>
      </c>
      <c r="BO911" s="351">
        <v>560</v>
      </c>
      <c r="BP911" s="134">
        <v>3.4482758620689655E-2</v>
      </c>
      <c r="BQ911" s="135">
        <v>1</v>
      </c>
      <c r="BR911" s="137">
        <v>29</v>
      </c>
      <c r="BS911" s="138">
        <v>0</v>
      </c>
      <c r="BT911" s="351">
        <v>360</v>
      </c>
      <c r="BU911" s="214">
        <v>580</v>
      </c>
      <c r="BV911" s="214">
        <v>0</v>
      </c>
      <c r="BW911" s="214">
        <v>1</v>
      </c>
      <c r="BX911" s="214">
        <v>0</v>
      </c>
      <c r="BY911" s="214">
        <v>0</v>
      </c>
      <c r="BZ911" s="134">
        <v>0</v>
      </c>
      <c r="CA911" s="138">
        <v>1</v>
      </c>
      <c r="CB911" s="136">
        <v>1</v>
      </c>
      <c r="CC911" s="136">
        <v>0</v>
      </c>
      <c r="CD911" s="136">
        <v>0</v>
      </c>
      <c r="CE911" s="137">
        <v>0</v>
      </c>
      <c r="CF911" s="137">
        <v>0</v>
      </c>
      <c r="CG911" s="137">
        <v>0</v>
      </c>
      <c r="CH911" s="135">
        <v>109</v>
      </c>
      <c r="CI911" s="139">
        <v>0</v>
      </c>
      <c r="CJ911" s="139">
        <v>0</v>
      </c>
      <c r="CK911" s="139" t="s">
        <v>1921</v>
      </c>
      <c r="CL911" s="139" t="s">
        <v>50</v>
      </c>
      <c r="CM911" s="139" t="s">
        <v>50</v>
      </c>
      <c r="CN911" s="139" t="s">
        <v>51</v>
      </c>
      <c r="CO911" s="139">
        <v>0</v>
      </c>
      <c r="CP911" s="139">
        <v>0</v>
      </c>
      <c r="CQ911" s="139">
        <v>0</v>
      </c>
      <c r="CR911" s="449" t="s">
        <v>40</v>
      </c>
      <c r="CS911" s="449"/>
      <c r="CT911" s="24"/>
      <c r="CU911" s="24"/>
      <c r="CV911" s="24"/>
    </row>
    <row r="912" spans="1:100" ht="15.75" customHeight="1" x14ac:dyDescent="0.25">
      <c r="A912" s="643" t="s">
        <v>1388</v>
      </c>
      <c r="B912" s="132" t="s">
        <v>338</v>
      </c>
      <c r="C912" s="132" t="s">
        <v>44</v>
      </c>
      <c r="D912" s="132" t="s">
        <v>351</v>
      </c>
      <c r="E912" s="132" t="s">
        <v>357</v>
      </c>
      <c r="F912" s="132">
        <v>3</v>
      </c>
      <c r="G912" s="214">
        <v>13</v>
      </c>
      <c r="H912" s="132"/>
      <c r="I912" s="132" t="s">
        <v>2475</v>
      </c>
      <c r="J912" s="133">
        <v>43344</v>
      </c>
      <c r="K912" s="132">
        <v>0</v>
      </c>
      <c r="L912" s="132" t="s">
        <v>282</v>
      </c>
      <c r="M912" s="134">
        <v>0</v>
      </c>
      <c r="N912" s="134">
        <v>0</v>
      </c>
      <c r="O912" s="320">
        <v>2</v>
      </c>
      <c r="P912" s="326">
        <v>0</v>
      </c>
      <c r="Q912" s="326">
        <v>0</v>
      </c>
      <c r="R912" s="315">
        <v>0</v>
      </c>
      <c r="S912" s="315">
        <v>0</v>
      </c>
      <c r="T912" s="315"/>
      <c r="U912" s="315"/>
      <c r="V912" s="315"/>
      <c r="W912" s="315"/>
      <c r="X912" s="315"/>
      <c r="Y912" s="315"/>
      <c r="Z912" s="315"/>
      <c r="AA912" s="336">
        <v>2</v>
      </c>
      <c r="AB912" s="336">
        <v>0</v>
      </c>
      <c r="AC912" s="337">
        <v>0</v>
      </c>
      <c r="AD912" s="337"/>
      <c r="AE912" s="336">
        <v>0</v>
      </c>
      <c r="AF912" s="336" t="s">
        <v>283</v>
      </c>
      <c r="AG912" s="339" t="s">
        <v>283</v>
      </c>
      <c r="AH912" s="339"/>
      <c r="AI912" s="336"/>
      <c r="AJ912" s="336"/>
      <c r="AK912" s="848">
        <v>1</v>
      </c>
      <c r="AL912" s="836" t="s">
        <v>291</v>
      </c>
      <c r="AM912" s="836">
        <v>0</v>
      </c>
      <c r="AN912" s="848">
        <v>1</v>
      </c>
      <c r="AO912" s="850">
        <v>0</v>
      </c>
      <c r="AP912" s="838">
        <v>3</v>
      </c>
      <c r="AQ912" s="839">
        <v>3</v>
      </c>
      <c r="AR912" s="839"/>
      <c r="AS912" s="839"/>
      <c r="AT912" s="839"/>
      <c r="AU912" s="839"/>
      <c r="AV912" s="849"/>
      <c r="AW912" s="134" t="s">
        <v>3208</v>
      </c>
      <c r="AX912" s="136" t="s">
        <v>3208</v>
      </c>
      <c r="AY912" s="137" t="s">
        <v>2576</v>
      </c>
      <c r="AZ912" s="136">
        <v>1</v>
      </c>
      <c r="BA912" s="136">
        <v>1</v>
      </c>
      <c r="BB912" s="136">
        <v>1</v>
      </c>
      <c r="BC912" s="214">
        <v>13</v>
      </c>
      <c r="BD912" s="136">
        <v>0</v>
      </c>
      <c r="BE912" s="135">
        <v>0</v>
      </c>
      <c r="BF912" s="136">
        <v>1</v>
      </c>
      <c r="BG912" s="214">
        <v>13</v>
      </c>
      <c r="BH912" s="214">
        <v>2.5999999999999999E-2</v>
      </c>
      <c r="BI912" s="134">
        <v>0</v>
      </c>
      <c r="BJ912" s="135">
        <v>0</v>
      </c>
      <c r="BK912" s="137">
        <v>0.97399999999999998</v>
      </c>
      <c r="BL912" s="137">
        <v>1</v>
      </c>
      <c r="BM912" s="137">
        <v>2</v>
      </c>
      <c r="BN912" s="134">
        <v>1</v>
      </c>
      <c r="BO912" s="351">
        <v>13</v>
      </c>
      <c r="BP912" s="134">
        <v>0</v>
      </c>
      <c r="BQ912" s="135">
        <v>0</v>
      </c>
      <c r="BR912" s="137">
        <v>1</v>
      </c>
      <c r="BS912" s="138">
        <v>0</v>
      </c>
      <c r="BT912" s="351">
        <v>0</v>
      </c>
      <c r="BU912" s="214">
        <v>0</v>
      </c>
      <c r="BV912" s="214">
        <v>1</v>
      </c>
      <c r="BW912" s="214">
        <v>0</v>
      </c>
      <c r="BX912" s="214">
        <v>1</v>
      </c>
      <c r="BY912" s="214">
        <v>13</v>
      </c>
      <c r="BZ912" s="134">
        <v>1</v>
      </c>
      <c r="CA912" s="138">
        <v>0</v>
      </c>
      <c r="CB912" s="136">
        <v>0</v>
      </c>
      <c r="CC912" s="136">
        <v>1</v>
      </c>
      <c r="CD912" s="136">
        <v>1</v>
      </c>
      <c r="CE912" s="137">
        <v>15</v>
      </c>
      <c r="CF912" s="137">
        <v>15</v>
      </c>
      <c r="CG912" s="137">
        <v>15</v>
      </c>
      <c r="CH912" s="135">
        <v>3</v>
      </c>
      <c r="CI912" s="139">
        <v>0</v>
      </c>
      <c r="CJ912" s="139">
        <v>0</v>
      </c>
      <c r="CK912" s="139" t="s">
        <v>50</v>
      </c>
      <c r="CL912" s="139" t="s">
        <v>50</v>
      </c>
      <c r="CM912" s="139" t="s">
        <v>929</v>
      </c>
      <c r="CN912" s="139" t="s">
        <v>51</v>
      </c>
      <c r="CO912" s="139">
        <v>24.251860000000001</v>
      </c>
      <c r="CP912" s="139">
        <v>97.346940000000004</v>
      </c>
      <c r="CQ912" s="139" t="s">
        <v>1950</v>
      </c>
      <c r="CR912" s="449" t="s">
        <v>40</v>
      </c>
      <c r="CS912" s="449"/>
      <c r="CT912" s="24"/>
      <c r="CU912" s="24"/>
      <c r="CV912" s="24"/>
    </row>
    <row r="913" spans="1:100" ht="15.75" customHeight="1" x14ac:dyDescent="0.25">
      <c r="A913" s="643" t="s">
        <v>1388</v>
      </c>
      <c r="B913" s="132" t="s">
        <v>338</v>
      </c>
      <c r="C913" s="132" t="s">
        <v>44</v>
      </c>
      <c r="D913" s="132" t="s">
        <v>351</v>
      </c>
      <c r="E913" s="132" t="s">
        <v>359</v>
      </c>
      <c r="F913" s="132">
        <v>109</v>
      </c>
      <c r="G913" s="214">
        <v>453</v>
      </c>
      <c r="H913" s="132"/>
      <c r="I913" s="132" t="s">
        <v>340</v>
      </c>
      <c r="J913" s="133" t="s">
        <v>2476</v>
      </c>
      <c r="K913" s="132">
        <v>0</v>
      </c>
      <c r="L913" s="132" t="s">
        <v>48</v>
      </c>
      <c r="M913" s="134">
        <v>0.5</v>
      </c>
      <c r="N913" s="134">
        <v>0.5</v>
      </c>
      <c r="O913" s="320">
        <v>1</v>
      </c>
      <c r="P913" s="326">
        <v>1</v>
      </c>
      <c r="Q913" s="326">
        <v>0</v>
      </c>
      <c r="R913" s="315">
        <v>0</v>
      </c>
      <c r="S913" s="315">
        <v>0</v>
      </c>
      <c r="T913" s="315"/>
      <c r="U913" s="315"/>
      <c r="V913" s="315"/>
      <c r="W913" s="315"/>
      <c r="X913" s="315"/>
      <c r="Y913" s="315"/>
      <c r="Z913" s="315"/>
      <c r="AA913" s="336">
        <v>10</v>
      </c>
      <c r="AB913" s="336">
        <v>0</v>
      </c>
      <c r="AC913" s="337"/>
      <c r="AD913" s="337"/>
      <c r="AE913" s="336">
        <v>0</v>
      </c>
      <c r="AF913" s="336" t="s">
        <v>283</v>
      </c>
      <c r="AG913" s="339" t="s">
        <v>283</v>
      </c>
      <c r="AH913" s="339"/>
      <c r="AI913" s="336"/>
      <c r="AJ913" s="336"/>
      <c r="AK913" s="848">
        <v>1</v>
      </c>
      <c r="AL913" s="836" t="s">
        <v>291</v>
      </c>
      <c r="AM913" s="836">
        <v>0</v>
      </c>
      <c r="AN913" s="848">
        <v>4</v>
      </c>
      <c r="AO913" s="850">
        <v>2</v>
      </c>
      <c r="AP913" s="838">
        <v>109</v>
      </c>
      <c r="AQ913" s="839">
        <v>109</v>
      </c>
      <c r="AR913" s="839"/>
      <c r="AS913" s="839"/>
      <c r="AT913" s="839"/>
      <c r="AU913" s="839"/>
      <c r="AV913" s="849"/>
      <c r="AW913" s="134" t="s">
        <v>3208</v>
      </c>
      <c r="AX913" s="136" t="s">
        <v>3208</v>
      </c>
      <c r="AY913" s="137" t="s">
        <v>2576</v>
      </c>
      <c r="AZ913" s="136">
        <v>1</v>
      </c>
      <c r="BA913" s="136">
        <v>1</v>
      </c>
      <c r="BB913" s="136">
        <v>1</v>
      </c>
      <c r="BC913" s="214">
        <v>453</v>
      </c>
      <c r="BD913" s="136">
        <v>0</v>
      </c>
      <c r="BE913" s="214">
        <v>0</v>
      </c>
      <c r="BF913" s="136">
        <v>1</v>
      </c>
      <c r="BG913" s="214">
        <v>453</v>
      </c>
      <c r="BH913" s="214">
        <v>0.90600000000000003</v>
      </c>
      <c r="BI913" s="134">
        <v>0</v>
      </c>
      <c r="BJ913" s="214">
        <v>0</v>
      </c>
      <c r="BK913" s="137">
        <v>9.3999999999999972E-2</v>
      </c>
      <c r="BL913" s="137">
        <v>1</v>
      </c>
      <c r="BM913" s="137">
        <v>10</v>
      </c>
      <c r="BN913" s="134">
        <v>0.44150110375275936</v>
      </c>
      <c r="BO913" s="351">
        <v>200</v>
      </c>
      <c r="BP913" s="134">
        <v>0.57395143487858724</v>
      </c>
      <c r="BQ913" s="214">
        <v>13</v>
      </c>
      <c r="BR913" s="137">
        <v>23</v>
      </c>
      <c r="BS913" s="138">
        <v>0</v>
      </c>
      <c r="BT913" s="351">
        <v>0</v>
      </c>
      <c r="BU913" s="214">
        <v>453</v>
      </c>
      <c r="BV913" s="214">
        <v>1</v>
      </c>
      <c r="BW913" s="214">
        <v>1</v>
      </c>
      <c r="BX913" s="214">
        <v>1</v>
      </c>
      <c r="BY913" s="214">
        <v>453</v>
      </c>
      <c r="BZ913" s="134">
        <v>1</v>
      </c>
      <c r="CA913" s="138">
        <v>0</v>
      </c>
      <c r="CB913" s="136">
        <v>1</v>
      </c>
      <c r="CC913" s="136">
        <v>1</v>
      </c>
      <c r="CD913" s="136">
        <v>1</v>
      </c>
      <c r="CE913" s="137">
        <v>545</v>
      </c>
      <c r="CF913" s="137">
        <v>545</v>
      </c>
      <c r="CG913" s="137">
        <v>545</v>
      </c>
      <c r="CH913" s="214">
        <v>109</v>
      </c>
      <c r="CI913" s="139" t="s">
        <v>48</v>
      </c>
      <c r="CJ913" s="139" t="s">
        <v>287</v>
      </c>
      <c r="CK913" s="139" t="s">
        <v>50</v>
      </c>
      <c r="CL913" s="139" t="s">
        <v>50</v>
      </c>
      <c r="CM913" s="139" t="s">
        <v>50</v>
      </c>
      <c r="CN913" s="139" t="s">
        <v>51</v>
      </c>
      <c r="CO913" s="139">
        <v>24.250689999999999</v>
      </c>
      <c r="CP913" s="139">
        <v>97.344359999999995</v>
      </c>
      <c r="CQ913" s="139" t="s">
        <v>1947</v>
      </c>
      <c r="CR913" s="449" t="s">
        <v>40</v>
      </c>
      <c r="CS913" s="449"/>
      <c r="CT913" s="24"/>
      <c r="CU913" s="24"/>
      <c r="CV913" s="24"/>
    </row>
    <row r="914" spans="1:100" ht="15.75" customHeight="1" x14ac:dyDescent="0.25">
      <c r="A914" s="643" t="s">
        <v>1388</v>
      </c>
      <c r="B914" s="132" t="s">
        <v>460</v>
      </c>
      <c r="C914" s="132" t="s">
        <v>44</v>
      </c>
      <c r="D914" s="132" t="s">
        <v>351</v>
      </c>
      <c r="E914" s="132" t="s">
        <v>1175</v>
      </c>
      <c r="F914" s="132">
        <v>223</v>
      </c>
      <c r="G914" s="214">
        <v>1067</v>
      </c>
      <c r="H914" s="132"/>
      <c r="I914" s="132"/>
      <c r="J914" s="133"/>
      <c r="K914" s="132"/>
      <c r="L914" s="132" t="s">
        <v>282</v>
      </c>
      <c r="M914" s="134">
        <v>0</v>
      </c>
      <c r="N914" s="134">
        <v>0</v>
      </c>
      <c r="O914" s="320"/>
      <c r="P914" s="326"/>
      <c r="Q914" s="326"/>
      <c r="R914" s="315"/>
      <c r="S914" s="315"/>
      <c r="T914" s="315"/>
      <c r="U914" s="315"/>
      <c r="V914" s="315"/>
      <c r="W914" s="315"/>
      <c r="X914" s="315"/>
      <c r="Y914" s="315"/>
      <c r="Z914" s="315"/>
      <c r="AA914" s="336">
        <v>0</v>
      </c>
      <c r="AB914" s="336"/>
      <c r="AC914" s="337"/>
      <c r="AD914" s="337"/>
      <c r="AE914" s="336"/>
      <c r="AF914" s="336" t="s">
        <v>286</v>
      </c>
      <c r="AG914" s="339" t="s">
        <v>286</v>
      </c>
      <c r="AH914" s="339"/>
      <c r="AI914" s="336"/>
      <c r="AJ914" s="336"/>
      <c r="AK914" s="848"/>
      <c r="AL914" s="836"/>
      <c r="AM914" s="836"/>
      <c r="AN914" s="848"/>
      <c r="AO914" s="850"/>
      <c r="AP914" s="838"/>
      <c r="AQ914" s="839"/>
      <c r="AR914" s="839"/>
      <c r="AS914" s="839"/>
      <c r="AT914" s="839"/>
      <c r="AU914" s="839"/>
      <c r="AV914" s="849"/>
      <c r="AW914" s="134" t="s">
        <v>3208</v>
      </c>
      <c r="AX914" s="136" t="s">
        <v>3208</v>
      </c>
      <c r="AY914" s="137" t="s">
        <v>2576</v>
      </c>
      <c r="AZ914" s="136">
        <v>0</v>
      </c>
      <c r="BA914" s="136">
        <v>0</v>
      </c>
      <c r="BB914" s="136">
        <v>0</v>
      </c>
      <c r="BC914" s="214">
        <v>0</v>
      </c>
      <c r="BD914" s="136">
        <v>0</v>
      </c>
      <c r="BE914" s="135">
        <v>0</v>
      </c>
      <c r="BF914" s="136">
        <v>0</v>
      </c>
      <c r="BG914" s="214">
        <v>0</v>
      </c>
      <c r="BH914" s="214">
        <v>0</v>
      </c>
      <c r="BI914" s="134">
        <v>1</v>
      </c>
      <c r="BJ914" s="135">
        <v>1067</v>
      </c>
      <c r="BK914" s="137">
        <v>2</v>
      </c>
      <c r="BL914" s="137">
        <v>2</v>
      </c>
      <c r="BM914" s="137">
        <v>0</v>
      </c>
      <c r="BN914" s="134">
        <v>0</v>
      </c>
      <c r="BO914" s="351">
        <v>0</v>
      </c>
      <c r="BP914" s="134">
        <v>0.99343955014058105</v>
      </c>
      <c r="BQ914" s="135">
        <v>53</v>
      </c>
      <c r="BR914" s="137">
        <v>53</v>
      </c>
      <c r="BS914" s="138">
        <v>0</v>
      </c>
      <c r="BT914" s="351">
        <v>0</v>
      </c>
      <c r="BU914" s="214">
        <v>0</v>
      </c>
      <c r="BV914" s="214">
        <v>0</v>
      </c>
      <c r="BW914" s="214">
        <v>0</v>
      </c>
      <c r="BX914" s="214">
        <v>0</v>
      </c>
      <c r="BY914" s="214">
        <v>0</v>
      </c>
      <c r="BZ914" s="134">
        <v>0</v>
      </c>
      <c r="CA914" s="138">
        <v>1</v>
      </c>
      <c r="CB914" s="136">
        <v>0</v>
      </c>
      <c r="CC914" s="136">
        <v>0</v>
      </c>
      <c r="CD914" s="136">
        <v>0</v>
      </c>
      <c r="CE914" s="137">
        <v>0</v>
      </c>
      <c r="CF914" s="137">
        <v>0</v>
      </c>
      <c r="CG914" s="137">
        <v>0</v>
      </c>
      <c r="CH914" s="135">
        <v>0</v>
      </c>
      <c r="CI914" s="139">
        <v>0</v>
      </c>
      <c r="CJ914" s="139" t="s">
        <v>2959</v>
      </c>
      <c r="CK914" s="139" t="s">
        <v>50</v>
      </c>
      <c r="CL914" s="139" t="s">
        <v>50</v>
      </c>
      <c r="CM914" s="139" t="s">
        <v>942</v>
      </c>
      <c r="CN914" s="139" t="s">
        <v>51</v>
      </c>
      <c r="CO914" s="139">
        <v>24.251232000000002</v>
      </c>
      <c r="CP914" s="139">
        <v>97.348405</v>
      </c>
      <c r="CQ914" s="139" t="s">
        <v>1948</v>
      </c>
      <c r="CR914" s="449" t="s">
        <v>3209</v>
      </c>
      <c r="CS914" s="449"/>
      <c r="CT914" s="24"/>
      <c r="CU914" s="24"/>
      <c r="CV914" s="24"/>
    </row>
    <row r="915" spans="1:100" ht="15.75" customHeight="1" x14ac:dyDescent="0.25">
      <c r="A915" s="643" t="s">
        <v>1388</v>
      </c>
      <c r="B915" s="132" t="s">
        <v>460</v>
      </c>
      <c r="C915" s="132" t="s">
        <v>44</v>
      </c>
      <c r="D915" s="132" t="s">
        <v>351</v>
      </c>
      <c r="E915" s="132" t="s">
        <v>1185</v>
      </c>
      <c r="F915" s="132">
        <v>47</v>
      </c>
      <c r="G915" s="214">
        <v>153</v>
      </c>
      <c r="H915" s="132"/>
      <c r="I915" s="132"/>
      <c r="J915" s="133"/>
      <c r="K915" s="132"/>
      <c r="L915" s="132" t="s">
        <v>282</v>
      </c>
      <c r="M915" s="134">
        <v>0</v>
      </c>
      <c r="N915" s="134">
        <v>0</v>
      </c>
      <c r="O915" s="320"/>
      <c r="P915" s="326"/>
      <c r="Q915" s="326"/>
      <c r="R915" s="315"/>
      <c r="S915" s="315"/>
      <c r="T915" s="315"/>
      <c r="U915" s="315"/>
      <c r="V915" s="315"/>
      <c r="W915" s="315"/>
      <c r="X915" s="315"/>
      <c r="Y915" s="315"/>
      <c r="Z915" s="315"/>
      <c r="AA915" s="336">
        <v>0</v>
      </c>
      <c r="AB915" s="336"/>
      <c r="AC915" s="337"/>
      <c r="AD915" s="337"/>
      <c r="AE915" s="336"/>
      <c r="AF915" s="336" t="s">
        <v>286</v>
      </c>
      <c r="AG915" s="339" t="s">
        <v>286</v>
      </c>
      <c r="AH915" s="339"/>
      <c r="AI915" s="336"/>
      <c r="AJ915" s="336"/>
      <c r="AK915" s="848"/>
      <c r="AL915" s="836"/>
      <c r="AM915" s="836"/>
      <c r="AN915" s="848"/>
      <c r="AO915" s="850"/>
      <c r="AP915" s="838"/>
      <c r="AQ915" s="839"/>
      <c r="AR915" s="839"/>
      <c r="AS915" s="839"/>
      <c r="AT915" s="839"/>
      <c r="AU915" s="839"/>
      <c r="AV915" s="849"/>
      <c r="AW915" s="134" t="s">
        <v>3208</v>
      </c>
      <c r="AX915" s="136" t="s">
        <v>3208</v>
      </c>
      <c r="AY915" s="137" t="s">
        <v>2576</v>
      </c>
      <c r="AZ915" s="136">
        <v>0</v>
      </c>
      <c r="BA915" s="136">
        <v>0</v>
      </c>
      <c r="BB915" s="136">
        <v>0</v>
      </c>
      <c r="BC915" s="214">
        <v>0</v>
      </c>
      <c r="BD915" s="136">
        <v>0</v>
      </c>
      <c r="BE915" s="214">
        <v>0</v>
      </c>
      <c r="BF915" s="136">
        <v>0</v>
      </c>
      <c r="BG915" s="214">
        <v>0</v>
      </c>
      <c r="BH915" s="214">
        <v>0</v>
      </c>
      <c r="BI915" s="134">
        <v>1</v>
      </c>
      <c r="BJ915" s="214">
        <v>153</v>
      </c>
      <c r="BK915" s="137">
        <v>1</v>
      </c>
      <c r="BL915" s="137">
        <v>1</v>
      </c>
      <c r="BM915" s="137">
        <v>0</v>
      </c>
      <c r="BN915" s="134">
        <v>0</v>
      </c>
      <c r="BO915" s="351">
        <v>0</v>
      </c>
      <c r="BP915" s="134">
        <v>1</v>
      </c>
      <c r="BQ915" s="214">
        <v>8</v>
      </c>
      <c r="BR915" s="137">
        <v>8</v>
      </c>
      <c r="BS915" s="138">
        <v>0</v>
      </c>
      <c r="BT915" s="351">
        <v>0</v>
      </c>
      <c r="BU915" s="214">
        <v>0</v>
      </c>
      <c r="BV915" s="214">
        <v>0</v>
      </c>
      <c r="BW915" s="214">
        <v>0</v>
      </c>
      <c r="BX915" s="214">
        <v>0</v>
      </c>
      <c r="BY915" s="214">
        <v>0</v>
      </c>
      <c r="BZ915" s="134">
        <v>0</v>
      </c>
      <c r="CA915" s="138">
        <v>1</v>
      </c>
      <c r="CB915" s="136">
        <v>0</v>
      </c>
      <c r="CC915" s="136">
        <v>0</v>
      </c>
      <c r="CD915" s="136">
        <v>0</v>
      </c>
      <c r="CE915" s="137">
        <v>0</v>
      </c>
      <c r="CF915" s="137">
        <v>0</v>
      </c>
      <c r="CG915" s="137">
        <v>0</v>
      </c>
      <c r="CH915" s="214">
        <v>0</v>
      </c>
      <c r="CI915" s="139">
        <v>0</v>
      </c>
      <c r="CJ915" s="139" t="s">
        <v>2959</v>
      </c>
      <c r="CK915" s="139" t="s">
        <v>50</v>
      </c>
      <c r="CL915" s="139" t="s">
        <v>50</v>
      </c>
      <c r="CM915" s="139" t="s">
        <v>942</v>
      </c>
      <c r="CN915" s="139" t="s">
        <v>51</v>
      </c>
      <c r="CO915" s="139">
        <v>24.404876999999999</v>
      </c>
      <c r="CP915" s="139">
        <v>97.407787999999996</v>
      </c>
      <c r="CQ915" s="139" t="s">
        <v>1964</v>
      </c>
      <c r="CR915" s="449" t="s">
        <v>3209</v>
      </c>
      <c r="CS915" s="449"/>
      <c r="CT915" s="24"/>
      <c r="CU915" s="24"/>
      <c r="CV915" s="24"/>
    </row>
    <row r="916" spans="1:100" ht="15.75" customHeight="1" x14ac:dyDescent="0.25">
      <c r="A916" s="643" t="s">
        <v>1388</v>
      </c>
      <c r="B916" s="132" t="s">
        <v>441</v>
      </c>
      <c r="C916" s="132" t="s">
        <v>44</v>
      </c>
      <c r="D916" s="132" t="s">
        <v>351</v>
      </c>
      <c r="E916" s="132" t="s">
        <v>445</v>
      </c>
      <c r="F916" s="132">
        <v>353</v>
      </c>
      <c r="G916" s="214">
        <v>1663</v>
      </c>
      <c r="H916" s="132"/>
      <c r="I916" s="132" t="s">
        <v>442</v>
      </c>
      <c r="J916" s="133">
        <v>43100</v>
      </c>
      <c r="K916" s="132">
        <v>0</v>
      </c>
      <c r="L916" s="132" t="s">
        <v>286</v>
      </c>
      <c r="M916" s="134">
        <v>0</v>
      </c>
      <c r="N916" s="134">
        <v>0</v>
      </c>
      <c r="O916" s="320">
        <v>0</v>
      </c>
      <c r="P916" s="326">
        <v>0</v>
      </c>
      <c r="Q916" s="326">
        <v>0</v>
      </c>
      <c r="R916" s="315">
        <v>0</v>
      </c>
      <c r="S916" s="315">
        <v>0</v>
      </c>
      <c r="T916" s="315"/>
      <c r="U916" s="315">
        <v>0</v>
      </c>
      <c r="V916" s="315">
        <v>0</v>
      </c>
      <c r="W916" s="315">
        <v>0</v>
      </c>
      <c r="X916" s="315">
        <v>0</v>
      </c>
      <c r="Y916" s="315">
        <v>0</v>
      </c>
      <c r="Z916" s="315"/>
      <c r="AA916" s="336">
        <v>100</v>
      </c>
      <c r="AB916" s="336">
        <v>10</v>
      </c>
      <c r="AC916" s="337">
        <v>0</v>
      </c>
      <c r="AD916" s="337"/>
      <c r="AE916" s="336">
        <v>0</v>
      </c>
      <c r="AF916" s="336" t="s">
        <v>332</v>
      </c>
      <c r="AG916" s="339" t="s">
        <v>332</v>
      </c>
      <c r="AH916" s="339">
        <v>0</v>
      </c>
      <c r="AI916" s="336">
        <v>0</v>
      </c>
      <c r="AJ916" s="336"/>
      <c r="AK916" s="848">
        <v>0.24</v>
      </c>
      <c r="AL916" s="836" t="s">
        <v>291</v>
      </c>
      <c r="AM916" s="836">
        <v>0</v>
      </c>
      <c r="AN916" s="848">
        <v>16</v>
      </c>
      <c r="AO916" s="850"/>
      <c r="AP916" s="838">
        <v>318</v>
      </c>
      <c r="AQ916" s="839">
        <v>0</v>
      </c>
      <c r="AR916" s="839" t="s">
        <v>282</v>
      </c>
      <c r="AS916" s="839"/>
      <c r="AT916" s="839"/>
      <c r="AU916" s="839"/>
      <c r="AV916" s="849"/>
      <c r="AW916" s="134" t="s">
        <v>3208</v>
      </c>
      <c r="AX916" s="136" t="s">
        <v>3208</v>
      </c>
      <c r="AY916" s="137" t="s">
        <v>2576</v>
      </c>
      <c r="AZ916" s="136">
        <v>0</v>
      </c>
      <c r="BA916" s="136">
        <v>0</v>
      </c>
      <c r="BB916" s="136">
        <v>0</v>
      </c>
      <c r="BC916" s="214">
        <v>0</v>
      </c>
      <c r="BD916" s="136">
        <v>0</v>
      </c>
      <c r="BE916" s="135">
        <v>0</v>
      </c>
      <c r="BF916" s="136">
        <v>0</v>
      </c>
      <c r="BG916" s="214">
        <v>0</v>
      </c>
      <c r="BH916" s="214">
        <v>0</v>
      </c>
      <c r="BI916" s="134">
        <v>1</v>
      </c>
      <c r="BJ916" s="135">
        <v>1663</v>
      </c>
      <c r="BK916" s="137">
        <v>3</v>
      </c>
      <c r="BL916" s="137">
        <v>3</v>
      </c>
      <c r="BM916" s="137">
        <v>110</v>
      </c>
      <c r="BN916" s="134">
        <v>1</v>
      </c>
      <c r="BO916" s="351">
        <v>1663</v>
      </c>
      <c r="BP916" s="134">
        <v>0</v>
      </c>
      <c r="BQ916" s="135">
        <v>0</v>
      </c>
      <c r="BR916" s="137">
        <v>83</v>
      </c>
      <c r="BS916" s="138">
        <v>9.0909090909090912E-2</v>
      </c>
      <c r="BT916" s="351">
        <v>0</v>
      </c>
      <c r="BU916" s="214">
        <v>0</v>
      </c>
      <c r="BV916" s="214">
        <v>0</v>
      </c>
      <c r="BW916" s="214">
        <v>0</v>
      </c>
      <c r="BX916" s="214">
        <v>0</v>
      </c>
      <c r="BY916" s="214">
        <v>0</v>
      </c>
      <c r="BZ916" s="134">
        <v>0</v>
      </c>
      <c r="CA916" s="138">
        <v>1</v>
      </c>
      <c r="CB916" s="136">
        <v>0</v>
      </c>
      <c r="CC916" s="136">
        <v>0.90084985835694054</v>
      </c>
      <c r="CD916" s="136">
        <v>0</v>
      </c>
      <c r="CE916" s="137">
        <v>1590</v>
      </c>
      <c r="CF916" s="137">
        <v>0</v>
      </c>
      <c r="CG916" s="137">
        <v>1590</v>
      </c>
      <c r="CH916" s="135">
        <v>84.72</v>
      </c>
      <c r="CI916" s="139" t="s">
        <v>48</v>
      </c>
      <c r="CJ916" s="139" t="s">
        <v>49</v>
      </c>
      <c r="CK916" s="139" t="s">
        <v>50</v>
      </c>
      <c r="CL916" s="139" t="s">
        <v>50</v>
      </c>
      <c r="CM916" s="139" t="s">
        <v>50</v>
      </c>
      <c r="CN916" s="139" t="s">
        <v>949</v>
      </c>
      <c r="CO916" s="139">
        <v>24.378167000000001</v>
      </c>
      <c r="CP916" s="139">
        <v>97.669366999999994</v>
      </c>
      <c r="CQ916" s="139" t="s">
        <v>1963</v>
      </c>
      <c r="CR916" s="449" t="s">
        <v>40</v>
      </c>
      <c r="CS916" s="449"/>
      <c r="CT916" s="24"/>
      <c r="CU916" s="24"/>
      <c r="CV916" s="24"/>
    </row>
    <row r="917" spans="1:100" ht="15.75" customHeight="1" x14ac:dyDescent="0.25">
      <c r="A917" s="643" t="s">
        <v>1388</v>
      </c>
      <c r="B917" s="132" t="s">
        <v>426</v>
      </c>
      <c r="C917" s="132" t="s">
        <v>44</v>
      </c>
      <c r="D917" s="132" t="s">
        <v>351</v>
      </c>
      <c r="E917" s="132" t="s">
        <v>434</v>
      </c>
      <c r="F917" s="132">
        <v>49</v>
      </c>
      <c r="G917" s="214">
        <v>300</v>
      </c>
      <c r="H917" s="132"/>
      <c r="I917" s="132" t="s">
        <v>391</v>
      </c>
      <c r="J917" s="133">
        <v>43220</v>
      </c>
      <c r="K917" s="132">
        <v>0</v>
      </c>
      <c r="L917" s="132" t="s">
        <v>48</v>
      </c>
      <c r="M917" s="134">
        <v>0.5</v>
      </c>
      <c r="N917" s="134">
        <v>0</v>
      </c>
      <c r="O917" s="320">
        <v>2</v>
      </c>
      <c r="P917" s="326">
        <v>0</v>
      </c>
      <c r="Q917" s="326">
        <v>12000</v>
      </c>
      <c r="R917" s="315">
        <v>0</v>
      </c>
      <c r="S917" s="315">
        <v>0</v>
      </c>
      <c r="T917" s="315"/>
      <c r="U917" s="315"/>
      <c r="V917" s="315">
        <v>0</v>
      </c>
      <c r="W917" s="315">
        <v>3</v>
      </c>
      <c r="X917" s="315">
        <v>3</v>
      </c>
      <c r="Y917" s="315">
        <v>0</v>
      </c>
      <c r="Z917" s="315"/>
      <c r="AA917" s="336">
        <v>22</v>
      </c>
      <c r="AB917" s="336">
        <v>0</v>
      </c>
      <c r="AC917" s="337">
        <v>16</v>
      </c>
      <c r="AD917" s="337"/>
      <c r="AE917" s="336">
        <v>0</v>
      </c>
      <c r="AF917" s="336" t="s">
        <v>283</v>
      </c>
      <c r="AG917" s="339" t="s">
        <v>283</v>
      </c>
      <c r="AH917" s="339">
        <v>0</v>
      </c>
      <c r="AI917" s="336">
        <v>0</v>
      </c>
      <c r="AJ917" s="336"/>
      <c r="AK917" s="848">
        <v>1</v>
      </c>
      <c r="AL917" s="836" t="s">
        <v>291</v>
      </c>
      <c r="AM917" s="836">
        <v>0</v>
      </c>
      <c r="AN917" s="848">
        <v>3</v>
      </c>
      <c r="AO917" s="850">
        <v>1</v>
      </c>
      <c r="AP917" s="838">
        <v>36</v>
      </c>
      <c r="AQ917" s="839">
        <v>0</v>
      </c>
      <c r="AR917" s="839" t="s">
        <v>282</v>
      </c>
      <c r="AS917" s="839"/>
      <c r="AT917" s="839"/>
      <c r="AU917" s="839"/>
      <c r="AV917" s="849"/>
      <c r="AW917" s="134" t="s">
        <v>3208</v>
      </c>
      <c r="AX917" s="136">
        <v>1</v>
      </c>
      <c r="AY917" s="137" t="s">
        <v>2577</v>
      </c>
      <c r="AZ917" s="136">
        <v>1</v>
      </c>
      <c r="BA917" s="136">
        <v>1</v>
      </c>
      <c r="BB917" s="136">
        <v>1</v>
      </c>
      <c r="BC917" s="214">
        <v>300</v>
      </c>
      <c r="BD917" s="136">
        <v>0</v>
      </c>
      <c r="BE917" s="135">
        <v>0</v>
      </c>
      <c r="BF917" s="136">
        <v>1</v>
      </c>
      <c r="BG917" s="214">
        <v>300</v>
      </c>
      <c r="BH917" s="214">
        <v>0.6</v>
      </c>
      <c r="BI917" s="134">
        <v>0</v>
      </c>
      <c r="BJ917" s="135">
        <v>0</v>
      </c>
      <c r="BK917" s="137">
        <v>0.4</v>
      </c>
      <c r="BL917" s="137">
        <v>1</v>
      </c>
      <c r="BM917" s="137">
        <v>22</v>
      </c>
      <c r="BN917" s="134">
        <v>1</v>
      </c>
      <c r="BO917" s="351">
        <v>300</v>
      </c>
      <c r="BP917" s="134">
        <v>0</v>
      </c>
      <c r="BQ917" s="135">
        <v>0</v>
      </c>
      <c r="BR917" s="137">
        <v>15</v>
      </c>
      <c r="BS917" s="138">
        <v>0</v>
      </c>
      <c r="BT917" s="351">
        <v>300</v>
      </c>
      <c r="BU917" s="214">
        <v>300</v>
      </c>
      <c r="BV917" s="214">
        <v>0</v>
      </c>
      <c r="BW917" s="214">
        <v>1</v>
      </c>
      <c r="BX917" s="214">
        <v>0</v>
      </c>
      <c r="BY917" s="214">
        <v>0</v>
      </c>
      <c r="BZ917" s="134">
        <v>0</v>
      </c>
      <c r="CA917" s="138">
        <v>1</v>
      </c>
      <c r="CB917" s="136">
        <v>1</v>
      </c>
      <c r="CC917" s="136">
        <v>0.73469387755102045</v>
      </c>
      <c r="CD917" s="136">
        <v>0</v>
      </c>
      <c r="CE917" s="137">
        <v>180</v>
      </c>
      <c r="CF917" s="137">
        <v>0</v>
      </c>
      <c r="CG917" s="137">
        <v>180</v>
      </c>
      <c r="CH917" s="135">
        <v>49</v>
      </c>
      <c r="CI917" s="139" t="s">
        <v>48</v>
      </c>
      <c r="CJ917" s="139" t="s">
        <v>287</v>
      </c>
      <c r="CK917" s="139" t="s">
        <v>50</v>
      </c>
      <c r="CL917" s="139" t="s">
        <v>50</v>
      </c>
      <c r="CM917" s="139" t="s">
        <v>50</v>
      </c>
      <c r="CN917" s="139" t="s">
        <v>51</v>
      </c>
      <c r="CO917" s="139">
        <v>24.205417000000001</v>
      </c>
      <c r="CP917" s="139">
        <v>97.724483000000006</v>
      </c>
      <c r="CQ917" s="139" t="s">
        <v>1939</v>
      </c>
      <c r="CR917" s="449" t="s">
        <v>40</v>
      </c>
      <c r="CS917" s="449"/>
      <c r="CT917" s="24"/>
      <c r="CU917" s="24"/>
      <c r="CV917" s="24"/>
    </row>
    <row r="918" spans="1:100" ht="15.75" customHeight="1" x14ac:dyDescent="0.25">
      <c r="A918" s="643" t="s">
        <v>1388</v>
      </c>
      <c r="B918" s="132" t="s">
        <v>441</v>
      </c>
      <c r="C918" s="132" t="s">
        <v>44</v>
      </c>
      <c r="D918" s="132" t="s">
        <v>351</v>
      </c>
      <c r="E918" s="132" t="s">
        <v>446</v>
      </c>
      <c r="F918" s="132">
        <v>663</v>
      </c>
      <c r="G918" s="214">
        <v>3411</v>
      </c>
      <c r="H918" s="132"/>
      <c r="I918" s="132" t="s">
        <v>442</v>
      </c>
      <c r="J918" s="133">
        <v>43100</v>
      </c>
      <c r="K918" s="132">
        <v>0</v>
      </c>
      <c r="L918" s="132" t="s">
        <v>286</v>
      </c>
      <c r="M918" s="134">
        <v>0</v>
      </c>
      <c r="N918" s="134">
        <v>0</v>
      </c>
      <c r="O918" s="320">
        <v>0</v>
      </c>
      <c r="P918" s="326">
        <v>0</v>
      </c>
      <c r="Q918" s="326">
        <v>0</v>
      </c>
      <c r="R918" s="315">
        <v>0</v>
      </c>
      <c r="S918" s="315">
        <v>0</v>
      </c>
      <c r="T918" s="315"/>
      <c r="U918" s="315">
        <v>0</v>
      </c>
      <c r="V918" s="315">
        <v>0</v>
      </c>
      <c r="W918" s="315">
        <v>0</v>
      </c>
      <c r="X918" s="315">
        <v>0</v>
      </c>
      <c r="Y918" s="315">
        <v>0</v>
      </c>
      <c r="Z918" s="315"/>
      <c r="AA918" s="336">
        <v>228</v>
      </c>
      <c r="AB918" s="336">
        <v>10</v>
      </c>
      <c r="AC918" s="337">
        <v>0</v>
      </c>
      <c r="AD918" s="337"/>
      <c r="AE918" s="336">
        <v>0</v>
      </c>
      <c r="AF918" s="336" t="s">
        <v>332</v>
      </c>
      <c r="AG918" s="339" t="s">
        <v>332</v>
      </c>
      <c r="AH918" s="339">
        <v>0</v>
      </c>
      <c r="AI918" s="336">
        <v>0</v>
      </c>
      <c r="AJ918" s="336"/>
      <c r="AK918" s="848">
        <v>0.53</v>
      </c>
      <c r="AL918" s="836" t="s">
        <v>291</v>
      </c>
      <c r="AM918" s="836">
        <v>0</v>
      </c>
      <c r="AN918" s="848">
        <v>13</v>
      </c>
      <c r="AO918" s="850"/>
      <c r="AP918" s="838">
        <v>597</v>
      </c>
      <c r="AQ918" s="839">
        <v>0</v>
      </c>
      <c r="AR918" s="839" t="s">
        <v>282</v>
      </c>
      <c r="AS918" s="839"/>
      <c r="AT918" s="839"/>
      <c r="AU918" s="839"/>
      <c r="AV918" s="849"/>
      <c r="AW918" s="134" t="s">
        <v>3208</v>
      </c>
      <c r="AX918" s="136" t="s">
        <v>3208</v>
      </c>
      <c r="AY918" s="137" t="s">
        <v>2576</v>
      </c>
      <c r="AZ918" s="136">
        <v>0</v>
      </c>
      <c r="BA918" s="136">
        <v>0</v>
      </c>
      <c r="BB918" s="136">
        <v>0</v>
      </c>
      <c r="BC918" s="214">
        <v>0</v>
      </c>
      <c r="BD918" s="136">
        <v>0</v>
      </c>
      <c r="BE918" s="135">
        <v>0</v>
      </c>
      <c r="BF918" s="136">
        <v>0</v>
      </c>
      <c r="BG918" s="214">
        <v>0</v>
      </c>
      <c r="BH918" s="214">
        <v>0</v>
      </c>
      <c r="BI918" s="134">
        <v>1</v>
      </c>
      <c r="BJ918" s="135">
        <v>3411</v>
      </c>
      <c r="BK918" s="137">
        <v>7</v>
      </c>
      <c r="BL918" s="137">
        <v>7</v>
      </c>
      <c r="BM918" s="137">
        <v>238</v>
      </c>
      <c r="BN918" s="134">
        <v>1</v>
      </c>
      <c r="BO918" s="351">
        <v>3411</v>
      </c>
      <c r="BP918" s="134">
        <v>0</v>
      </c>
      <c r="BQ918" s="135">
        <v>0</v>
      </c>
      <c r="BR918" s="137">
        <v>171</v>
      </c>
      <c r="BS918" s="138">
        <v>4.2016806722689079E-2</v>
      </c>
      <c r="BT918" s="351">
        <v>0</v>
      </c>
      <c r="BU918" s="214">
        <v>0</v>
      </c>
      <c r="BV918" s="214">
        <v>0</v>
      </c>
      <c r="BW918" s="214">
        <v>0</v>
      </c>
      <c r="BX918" s="214">
        <v>0</v>
      </c>
      <c r="BY918" s="214">
        <v>0</v>
      </c>
      <c r="BZ918" s="134">
        <v>0</v>
      </c>
      <c r="CA918" s="138">
        <v>1</v>
      </c>
      <c r="CB918" s="136">
        <v>0</v>
      </c>
      <c r="CC918" s="136">
        <v>0.90045248868778283</v>
      </c>
      <c r="CD918" s="136">
        <v>0</v>
      </c>
      <c r="CE918" s="137">
        <v>2985</v>
      </c>
      <c r="CF918" s="137">
        <v>0</v>
      </c>
      <c r="CG918" s="137">
        <v>2985</v>
      </c>
      <c r="CH918" s="135">
        <v>351.39000000000004</v>
      </c>
      <c r="CI918" s="139" t="s">
        <v>48</v>
      </c>
      <c r="CJ918" s="139" t="s">
        <v>49</v>
      </c>
      <c r="CK918" s="139" t="s">
        <v>50</v>
      </c>
      <c r="CL918" s="139" t="s">
        <v>50</v>
      </c>
      <c r="CM918" s="139" t="s">
        <v>50</v>
      </c>
      <c r="CN918" s="139" t="s">
        <v>949</v>
      </c>
      <c r="CO918" s="139">
        <v>24.2744</v>
      </c>
      <c r="CP918" s="139">
        <v>97.752667000000002</v>
      </c>
      <c r="CQ918" s="139" t="s">
        <v>1959</v>
      </c>
      <c r="CR918" s="449" t="s">
        <v>40</v>
      </c>
      <c r="CS918" s="449"/>
      <c r="CT918" s="24"/>
      <c r="CU918" s="24"/>
      <c r="CV918" s="24"/>
    </row>
    <row r="919" spans="1:100" ht="15.75" customHeight="1" x14ac:dyDescent="0.25">
      <c r="A919" s="643" t="s">
        <v>1388</v>
      </c>
      <c r="B919" s="132" t="s">
        <v>426</v>
      </c>
      <c r="C919" s="132" t="s">
        <v>44</v>
      </c>
      <c r="D919" s="132" t="s">
        <v>351</v>
      </c>
      <c r="E919" s="132" t="s">
        <v>436</v>
      </c>
      <c r="F919" s="132">
        <v>77</v>
      </c>
      <c r="G919" s="214">
        <v>485</v>
      </c>
      <c r="H919" s="132"/>
      <c r="I919" s="132" t="s">
        <v>391</v>
      </c>
      <c r="J919" s="133">
        <v>43220</v>
      </c>
      <c r="K919" s="132">
        <v>0</v>
      </c>
      <c r="L919" s="132" t="s">
        <v>48</v>
      </c>
      <c r="M919" s="134">
        <v>1</v>
      </c>
      <c r="N919" s="134">
        <v>0</v>
      </c>
      <c r="O919" s="320">
        <v>1</v>
      </c>
      <c r="P919" s="326">
        <v>1</v>
      </c>
      <c r="Q919" s="326">
        <v>73500</v>
      </c>
      <c r="R919" s="315">
        <v>0</v>
      </c>
      <c r="S919" s="315">
        <v>0</v>
      </c>
      <c r="T919" s="315"/>
      <c r="U919" s="315"/>
      <c r="V919" s="315">
        <v>0</v>
      </c>
      <c r="W919" s="315">
        <v>6</v>
      </c>
      <c r="X919" s="315">
        <v>6</v>
      </c>
      <c r="Y919" s="315">
        <v>0</v>
      </c>
      <c r="Z919" s="315"/>
      <c r="AA919" s="336">
        <v>27</v>
      </c>
      <c r="AB919" s="336">
        <v>0</v>
      </c>
      <c r="AC919" s="337">
        <v>21</v>
      </c>
      <c r="AD919" s="337"/>
      <c r="AE919" s="336">
        <v>0</v>
      </c>
      <c r="AF919" s="336" t="s">
        <v>283</v>
      </c>
      <c r="AG919" s="339" t="s">
        <v>283</v>
      </c>
      <c r="AH919" s="339">
        <v>0</v>
      </c>
      <c r="AI919" s="336">
        <v>0</v>
      </c>
      <c r="AJ919" s="336"/>
      <c r="AK919" s="848">
        <v>1</v>
      </c>
      <c r="AL919" s="836" t="s">
        <v>291</v>
      </c>
      <c r="AM919" s="836">
        <v>0</v>
      </c>
      <c r="AN919" s="848">
        <v>2</v>
      </c>
      <c r="AO919" s="850">
        <v>2</v>
      </c>
      <c r="AP919" s="838">
        <v>57</v>
      </c>
      <c r="AQ919" s="839">
        <v>0</v>
      </c>
      <c r="AR919" s="839" t="s">
        <v>282</v>
      </c>
      <c r="AS919" s="839"/>
      <c r="AT919" s="839"/>
      <c r="AU919" s="839"/>
      <c r="AV919" s="849"/>
      <c r="AW919" s="134" t="s">
        <v>3208</v>
      </c>
      <c r="AX919" s="136">
        <v>1</v>
      </c>
      <c r="AY919" s="137" t="s">
        <v>2577</v>
      </c>
      <c r="AZ919" s="136">
        <v>1</v>
      </c>
      <c r="BA919" s="136">
        <v>1</v>
      </c>
      <c r="BB919" s="136">
        <v>1</v>
      </c>
      <c r="BC919" s="214">
        <v>485</v>
      </c>
      <c r="BD919" s="136">
        <v>0</v>
      </c>
      <c r="BE919" s="135">
        <v>0</v>
      </c>
      <c r="BF919" s="136">
        <v>1</v>
      </c>
      <c r="BG919" s="214">
        <v>485</v>
      </c>
      <c r="BH919" s="214">
        <v>0.97</v>
      </c>
      <c r="BI919" s="134">
        <v>0</v>
      </c>
      <c r="BJ919" s="135">
        <v>0</v>
      </c>
      <c r="BK919" s="137">
        <v>3.0000000000000027E-2</v>
      </c>
      <c r="BL919" s="137">
        <v>1</v>
      </c>
      <c r="BM919" s="137">
        <v>27</v>
      </c>
      <c r="BN919" s="134">
        <v>1</v>
      </c>
      <c r="BO919" s="351">
        <v>485</v>
      </c>
      <c r="BP919" s="134">
        <v>0</v>
      </c>
      <c r="BQ919" s="135">
        <v>0</v>
      </c>
      <c r="BR919" s="137">
        <v>24</v>
      </c>
      <c r="BS919" s="138">
        <v>0</v>
      </c>
      <c r="BT919" s="351">
        <v>420</v>
      </c>
      <c r="BU919" s="214">
        <v>485</v>
      </c>
      <c r="BV919" s="214">
        <v>0</v>
      </c>
      <c r="BW919" s="214">
        <v>1</v>
      </c>
      <c r="BX919" s="214">
        <v>0</v>
      </c>
      <c r="BY919" s="214">
        <v>0</v>
      </c>
      <c r="BZ919" s="134">
        <v>0</v>
      </c>
      <c r="CA919" s="138">
        <v>1</v>
      </c>
      <c r="CB919" s="136">
        <v>1</v>
      </c>
      <c r="CC919" s="136">
        <v>0.74025974025974028</v>
      </c>
      <c r="CD919" s="136">
        <v>0</v>
      </c>
      <c r="CE919" s="137">
        <v>285</v>
      </c>
      <c r="CF919" s="137">
        <v>0</v>
      </c>
      <c r="CG919" s="137">
        <v>285</v>
      </c>
      <c r="CH919" s="135">
        <v>77</v>
      </c>
      <c r="CI919" s="139" t="s">
        <v>48</v>
      </c>
      <c r="CJ919" s="139" t="s">
        <v>287</v>
      </c>
      <c r="CK919" s="139" t="s">
        <v>50</v>
      </c>
      <c r="CL919" s="139" t="s">
        <v>50</v>
      </c>
      <c r="CM919" s="139" t="s">
        <v>50</v>
      </c>
      <c r="CN919" s="139" t="s">
        <v>51</v>
      </c>
      <c r="CO919" s="139">
        <v>24.207332999999998</v>
      </c>
      <c r="CP919" s="139">
        <v>97.710864000000001</v>
      </c>
      <c r="CQ919" s="139" t="s">
        <v>1941</v>
      </c>
      <c r="CR919" s="449" t="s">
        <v>40</v>
      </c>
      <c r="CS919" s="449"/>
      <c r="CT919" s="24"/>
      <c r="CU919" s="24"/>
      <c r="CV919" s="24"/>
    </row>
    <row r="920" spans="1:100" ht="15.75" customHeight="1" x14ac:dyDescent="0.25">
      <c r="A920" s="643" t="s">
        <v>1388</v>
      </c>
      <c r="B920" s="132" t="s">
        <v>287</v>
      </c>
      <c r="C920" s="132" t="s">
        <v>44</v>
      </c>
      <c r="D920" s="132" t="s">
        <v>305</v>
      </c>
      <c r="E920" s="132" t="s">
        <v>306</v>
      </c>
      <c r="F920" s="132">
        <v>42</v>
      </c>
      <c r="G920" s="214">
        <v>185</v>
      </c>
      <c r="H920" s="132"/>
      <c r="I920" s="132" t="s">
        <v>290</v>
      </c>
      <c r="J920" s="133">
        <v>43555</v>
      </c>
      <c r="K920" s="132">
        <v>0</v>
      </c>
      <c r="L920" s="132" t="s">
        <v>48</v>
      </c>
      <c r="M920" s="134">
        <v>0.6</v>
      </c>
      <c r="N920" s="134">
        <v>0.5</v>
      </c>
      <c r="O920" s="320">
        <v>0</v>
      </c>
      <c r="P920" s="326">
        <v>3</v>
      </c>
      <c r="Q920" s="326">
        <v>4000</v>
      </c>
      <c r="R920" s="315">
        <v>0</v>
      </c>
      <c r="S920" s="315">
        <v>0</v>
      </c>
      <c r="T920" s="315"/>
      <c r="U920" s="315">
        <v>0</v>
      </c>
      <c r="V920" s="315">
        <v>0</v>
      </c>
      <c r="W920" s="315">
        <v>0</v>
      </c>
      <c r="X920" s="315">
        <v>0</v>
      </c>
      <c r="Y920" s="315">
        <v>0</v>
      </c>
      <c r="Z920" s="315"/>
      <c r="AA920" s="336">
        <v>7</v>
      </c>
      <c r="AB920" s="336">
        <v>0</v>
      </c>
      <c r="AC920" s="337">
        <v>0</v>
      </c>
      <c r="AD920" s="337"/>
      <c r="AE920" s="336">
        <v>0</v>
      </c>
      <c r="AF920" s="336" t="s">
        <v>283</v>
      </c>
      <c r="AG920" s="339" t="s">
        <v>1358</v>
      </c>
      <c r="AH920" s="339"/>
      <c r="AI920" s="336"/>
      <c r="AJ920" s="336"/>
      <c r="AK920" s="848">
        <v>0.6</v>
      </c>
      <c r="AL920" s="836" t="s">
        <v>376</v>
      </c>
      <c r="AM920" s="836">
        <v>0</v>
      </c>
      <c r="AN920" s="848">
        <v>3</v>
      </c>
      <c r="AO920" s="850">
        <v>1</v>
      </c>
      <c r="AP920" s="838">
        <v>0</v>
      </c>
      <c r="AQ920" s="839">
        <v>0</v>
      </c>
      <c r="AR920" s="839"/>
      <c r="AS920" s="839"/>
      <c r="AT920" s="839"/>
      <c r="AU920" s="839"/>
      <c r="AV920" s="849"/>
      <c r="AW920" s="134" t="s">
        <v>3208</v>
      </c>
      <c r="AX920" s="136" t="s">
        <v>3208</v>
      </c>
      <c r="AY920" s="137" t="s">
        <v>2576</v>
      </c>
      <c r="AZ920" s="136">
        <v>1</v>
      </c>
      <c r="BA920" s="136">
        <v>1</v>
      </c>
      <c r="BB920" s="136">
        <v>1</v>
      </c>
      <c r="BC920" s="214">
        <v>185</v>
      </c>
      <c r="BD920" s="136">
        <v>0</v>
      </c>
      <c r="BE920" s="214">
        <v>0</v>
      </c>
      <c r="BF920" s="136">
        <v>1</v>
      </c>
      <c r="BG920" s="214">
        <v>185</v>
      </c>
      <c r="BH920" s="214">
        <v>0.37</v>
      </c>
      <c r="BI920" s="134">
        <v>0</v>
      </c>
      <c r="BJ920" s="214">
        <v>0</v>
      </c>
      <c r="BK920" s="137">
        <v>0.63</v>
      </c>
      <c r="BL920" s="137">
        <v>1</v>
      </c>
      <c r="BM920" s="137">
        <v>7</v>
      </c>
      <c r="BN920" s="134">
        <v>0.7567567567567568</v>
      </c>
      <c r="BO920" s="351">
        <v>140</v>
      </c>
      <c r="BP920" s="134">
        <v>0.21621621621621623</v>
      </c>
      <c r="BQ920" s="214">
        <v>2</v>
      </c>
      <c r="BR920" s="137">
        <v>9</v>
      </c>
      <c r="BS920" s="138">
        <v>0</v>
      </c>
      <c r="BT920" s="351">
        <v>0</v>
      </c>
      <c r="BU920" s="214">
        <v>185</v>
      </c>
      <c r="BV920" s="214">
        <v>0</v>
      </c>
      <c r="BW920" s="214">
        <v>1</v>
      </c>
      <c r="BX920" s="214">
        <v>0</v>
      </c>
      <c r="BY920" s="214">
        <v>0</v>
      </c>
      <c r="BZ920" s="134">
        <v>0</v>
      </c>
      <c r="CA920" s="138">
        <v>1</v>
      </c>
      <c r="CB920" s="136">
        <v>1</v>
      </c>
      <c r="CC920" s="136">
        <v>0</v>
      </c>
      <c r="CD920" s="136">
        <v>0</v>
      </c>
      <c r="CE920" s="137">
        <v>0</v>
      </c>
      <c r="CF920" s="137">
        <v>0</v>
      </c>
      <c r="CG920" s="137">
        <v>0</v>
      </c>
      <c r="CH920" s="214">
        <v>25.2</v>
      </c>
      <c r="CI920" s="139" t="s">
        <v>48</v>
      </c>
      <c r="CJ920" s="139" t="s">
        <v>287</v>
      </c>
      <c r="CK920" s="139" t="s">
        <v>50</v>
      </c>
      <c r="CL920" s="139" t="s">
        <v>50</v>
      </c>
      <c r="CM920" s="139" t="s">
        <v>50</v>
      </c>
      <c r="CN920" s="139" t="s">
        <v>51</v>
      </c>
      <c r="CO920" s="139">
        <v>25.3959740909091</v>
      </c>
      <c r="CP920" s="139">
        <v>97.382997575757599</v>
      </c>
      <c r="CQ920" s="139" t="s">
        <v>2014</v>
      </c>
      <c r="CR920" s="449" t="s">
        <v>40</v>
      </c>
      <c r="CS920" s="449"/>
      <c r="CT920" s="24"/>
      <c r="CU920" s="24"/>
      <c r="CV920" s="24"/>
    </row>
    <row r="921" spans="1:100" ht="15.75" customHeight="1" x14ac:dyDescent="0.25">
      <c r="A921" s="643" t="s">
        <v>1388</v>
      </c>
      <c r="B921" s="132" t="s">
        <v>287</v>
      </c>
      <c r="C921" s="132" t="s">
        <v>44</v>
      </c>
      <c r="D921" s="132" t="s">
        <v>305</v>
      </c>
      <c r="E921" s="132" t="s">
        <v>307</v>
      </c>
      <c r="F921" s="132">
        <v>198</v>
      </c>
      <c r="G921" s="214">
        <v>1114</v>
      </c>
      <c r="H921" s="132"/>
      <c r="I921" s="132" t="s">
        <v>290</v>
      </c>
      <c r="J921" s="133">
        <v>43555</v>
      </c>
      <c r="K921" s="132">
        <v>0</v>
      </c>
      <c r="L921" s="132" t="s">
        <v>48</v>
      </c>
      <c r="M921" s="134">
        <v>0.6</v>
      </c>
      <c r="N921" s="134">
        <v>0.5</v>
      </c>
      <c r="O921" s="320">
        <v>1</v>
      </c>
      <c r="P921" s="326">
        <v>4</v>
      </c>
      <c r="Q921" s="326">
        <v>3000</v>
      </c>
      <c r="R921" s="315">
        <v>0</v>
      </c>
      <c r="S921" s="315">
        <v>0</v>
      </c>
      <c r="T921" s="315"/>
      <c r="U921" s="315">
        <v>0</v>
      </c>
      <c r="V921" s="315">
        <v>0</v>
      </c>
      <c r="W921" s="315">
        <v>0</v>
      </c>
      <c r="X921" s="315">
        <v>0</v>
      </c>
      <c r="Y921" s="315">
        <v>0</v>
      </c>
      <c r="Z921" s="315"/>
      <c r="AA921" s="336">
        <v>43</v>
      </c>
      <c r="AB921" s="336">
        <v>0</v>
      </c>
      <c r="AC921" s="337">
        <v>0</v>
      </c>
      <c r="AD921" s="337"/>
      <c r="AE921" s="336">
        <v>0</v>
      </c>
      <c r="AF921" s="336" t="s">
        <v>283</v>
      </c>
      <c r="AG921" s="339" t="s">
        <v>283</v>
      </c>
      <c r="AH921" s="339"/>
      <c r="AI921" s="336"/>
      <c r="AJ921" s="336"/>
      <c r="AK921" s="848">
        <v>0.6</v>
      </c>
      <c r="AL921" s="836" t="s">
        <v>376</v>
      </c>
      <c r="AM921" s="836">
        <v>0</v>
      </c>
      <c r="AN921" s="848">
        <v>3</v>
      </c>
      <c r="AO921" s="850">
        <v>4</v>
      </c>
      <c r="AP921" s="838">
        <v>0</v>
      </c>
      <c r="AQ921" s="839">
        <v>0</v>
      </c>
      <c r="AR921" s="839"/>
      <c r="AS921" s="839"/>
      <c r="AT921" s="839"/>
      <c r="AU921" s="839"/>
      <c r="AV921" s="849"/>
      <c r="AW921" s="134" t="s">
        <v>3208</v>
      </c>
      <c r="AX921" s="136" t="s">
        <v>3208</v>
      </c>
      <c r="AY921" s="137" t="s">
        <v>2576</v>
      </c>
      <c r="AZ921" s="136">
        <v>1</v>
      </c>
      <c r="BA921" s="136">
        <v>1</v>
      </c>
      <c r="BB921" s="136">
        <v>1</v>
      </c>
      <c r="BC921" s="214">
        <v>1114</v>
      </c>
      <c r="BD921" s="136">
        <v>0</v>
      </c>
      <c r="BE921" s="214">
        <v>0</v>
      </c>
      <c r="BF921" s="136">
        <v>1</v>
      </c>
      <c r="BG921" s="214">
        <v>1114</v>
      </c>
      <c r="BH921" s="214">
        <v>2.2280000000000002</v>
      </c>
      <c r="BI921" s="134">
        <v>0</v>
      </c>
      <c r="BJ921" s="214">
        <v>0</v>
      </c>
      <c r="BK921" s="137">
        <v>0</v>
      </c>
      <c r="BL921" s="137">
        <v>2</v>
      </c>
      <c r="BM921" s="137">
        <v>43</v>
      </c>
      <c r="BN921" s="134">
        <v>0.7719928186714542</v>
      </c>
      <c r="BO921" s="351">
        <v>860</v>
      </c>
      <c r="BP921" s="134">
        <v>0.23339317773788149</v>
      </c>
      <c r="BQ921" s="214">
        <v>13</v>
      </c>
      <c r="BR921" s="137">
        <v>56</v>
      </c>
      <c r="BS921" s="138">
        <v>0</v>
      </c>
      <c r="BT921" s="351">
        <v>0</v>
      </c>
      <c r="BU921" s="214">
        <v>1114</v>
      </c>
      <c r="BV921" s="214">
        <v>0</v>
      </c>
      <c r="BW921" s="214">
        <v>1</v>
      </c>
      <c r="BX921" s="214">
        <v>0</v>
      </c>
      <c r="BY921" s="214">
        <v>0</v>
      </c>
      <c r="BZ921" s="134">
        <v>0</v>
      </c>
      <c r="CA921" s="138">
        <v>1</v>
      </c>
      <c r="CB921" s="136">
        <v>1</v>
      </c>
      <c r="CC921" s="136">
        <v>0</v>
      </c>
      <c r="CD921" s="136">
        <v>0</v>
      </c>
      <c r="CE921" s="137">
        <v>0</v>
      </c>
      <c r="CF921" s="137">
        <v>0</v>
      </c>
      <c r="CG921" s="137">
        <v>0</v>
      </c>
      <c r="CH921" s="214">
        <v>118.8</v>
      </c>
      <c r="CI921" s="139" t="s">
        <v>48</v>
      </c>
      <c r="CJ921" s="139" t="s">
        <v>287</v>
      </c>
      <c r="CK921" s="139" t="s">
        <v>50</v>
      </c>
      <c r="CL921" s="139" t="s">
        <v>50</v>
      </c>
      <c r="CM921" s="139" t="s">
        <v>50</v>
      </c>
      <c r="CN921" s="139" t="s">
        <v>51</v>
      </c>
      <c r="CO921" s="139">
        <v>25.403476999999999</v>
      </c>
      <c r="CP921" s="139">
        <v>97.373361000000003</v>
      </c>
      <c r="CQ921" s="139" t="s">
        <v>2018</v>
      </c>
      <c r="CR921" s="449" t="s">
        <v>40</v>
      </c>
      <c r="CS921" s="449"/>
      <c r="CT921" s="24"/>
      <c r="CU921" s="24"/>
      <c r="CV921" s="24"/>
    </row>
    <row r="922" spans="1:100" ht="15.75" customHeight="1" x14ac:dyDescent="0.25">
      <c r="A922" s="643" t="s">
        <v>1388</v>
      </c>
      <c r="B922" s="132" t="s">
        <v>43</v>
      </c>
      <c r="C922" s="132" t="s">
        <v>44</v>
      </c>
      <c r="D922" s="132" t="s">
        <v>305</v>
      </c>
      <c r="E922" s="132" t="s">
        <v>380</v>
      </c>
      <c r="F922" s="132">
        <v>88</v>
      </c>
      <c r="G922" s="214">
        <v>430</v>
      </c>
      <c r="H922" s="132"/>
      <c r="I922" s="132" t="s">
        <v>372</v>
      </c>
      <c r="J922" s="133">
        <v>43465</v>
      </c>
      <c r="K922" s="132">
        <v>0</v>
      </c>
      <c r="L922" s="132" t="s">
        <v>2452</v>
      </c>
      <c r="M922" s="134">
        <v>0.5</v>
      </c>
      <c r="N922" s="134">
        <v>0.5</v>
      </c>
      <c r="O922" s="320">
        <v>1</v>
      </c>
      <c r="P922" s="326">
        <v>3</v>
      </c>
      <c r="Q922" s="326">
        <v>5000</v>
      </c>
      <c r="R922" s="315">
        <v>0</v>
      </c>
      <c r="S922" s="315">
        <v>4</v>
      </c>
      <c r="T922" s="315"/>
      <c r="U922" s="315">
        <v>3</v>
      </c>
      <c r="V922" s="315">
        <v>1</v>
      </c>
      <c r="W922" s="315">
        <v>12</v>
      </c>
      <c r="X922" s="315">
        <v>0</v>
      </c>
      <c r="Y922" s="315">
        <v>0</v>
      </c>
      <c r="Z922" s="315"/>
      <c r="AA922" s="336">
        <v>22</v>
      </c>
      <c r="AB922" s="336">
        <v>0</v>
      </c>
      <c r="AC922" s="337">
        <v>0</v>
      </c>
      <c r="AD922" s="337"/>
      <c r="AE922" s="336">
        <v>10</v>
      </c>
      <c r="AF922" s="336" t="s">
        <v>283</v>
      </c>
      <c r="AG922" s="339" t="s">
        <v>283</v>
      </c>
      <c r="AH922" s="339">
        <v>0</v>
      </c>
      <c r="AI922" s="336">
        <v>0</v>
      </c>
      <c r="AJ922" s="336"/>
      <c r="AK922" s="848">
        <v>0</v>
      </c>
      <c r="AL922" s="836" t="s">
        <v>376</v>
      </c>
      <c r="AM922" s="836">
        <v>0</v>
      </c>
      <c r="AN922" s="848">
        <v>3</v>
      </c>
      <c r="AO922" s="850">
        <v>2</v>
      </c>
      <c r="AP922" s="838">
        <v>0</v>
      </c>
      <c r="AQ922" s="839">
        <v>0</v>
      </c>
      <c r="AR922" s="839" t="s">
        <v>282</v>
      </c>
      <c r="AS922" s="839"/>
      <c r="AT922" s="839"/>
      <c r="AU922" s="839"/>
      <c r="AV922" s="849"/>
      <c r="AW922" s="134">
        <v>0.33333333333333331</v>
      </c>
      <c r="AX922" s="136">
        <v>0</v>
      </c>
      <c r="AY922" s="137" t="s">
        <v>2577</v>
      </c>
      <c r="AZ922" s="136">
        <v>1</v>
      </c>
      <c r="BA922" s="136">
        <v>1</v>
      </c>
      <c r="BB922" s="136">
        <v>1</v>
      </c>
      <c r="BC922" s="214">
        <v>430</v>
      </c>
      <c r="BD922" s="136">
        <v>0</v>
      </c>
      <c r="BE922" s="135">
        <v>0</v>
      </c>
      <c r="BF922" s="136">
        <v>1</v>
      </c>
      <c r="BG922" s="214">
        <v>430</v>
      </c>
      <c r="BH922" s="214">
        <v>0.86</v>
      </c>
      <c r="BI922" s="134">
        <v>0</v>
      </c>
      <c r="BJ922" s="135">
        <v>0</v>
      </c>
      <c r="BK922" s="137">
        <v>0.14000000000000001</v>
      </c>
      <c r="BL922" s="137">
        <v>1</v>
      </c>
      <c r="BM922" s="137">
        <v>22</v>
      </c>
      <c r="BN922" s="134">
        <v>1</v>
      </c>
      <c r="BO922" s="351">
        <v>430</v>
      </c>
      <c r="BP922" s="134">
        <v>0</v>
      </c>
      <c r="BQ922" s="135">
        <v>0</v>
      </c>
      <c r="BR922" s="137">
        <v>22</v>
      </c>
      <c r="BS922" s="138">
        <v>0</v>
      </c>
      <c r="BT922" s="351">
        <v>0</v>
      </c>
      <c r="BU922" s="214">
        <v>430</v>
      </c>
      <c r="BV922" s="214">
        <v>0</v>
      </c>
      <c r="BW922" s="214">
        <v>1</v>
      </c>
      <c r="BX922" s="214">
        <v>0</v>
      </c>
      <c r="BY922" s="214">
        <v>0</v>
      </c>
      <c r="BZ922" s="134">
        <v>0</v>
      </c>
      <c r="CA922" s="138">
        <v>1</v>
      </c>
      <c r="CB922" s="136">
        <v>1</v>
      </c>
      <c r="CC922" s="136">
        <v>0</v>
      </c>
      <c r="CD922" s="136">
        <v>0</v>
      </c>
      <c r="CE922" s="137">
        <v>0</v>
      </c>
      <c r="CF922" s="137">
        <v>0</v>
      </c>
      <c r="CG922" s="137">
        <v>0</v>
      </c>
      <c r="CH922" s="135">
        <v>0</v>
      </c>
      <c r="CI922" s="139" t="s">
        <v>48</v>
      </c>
      <c r="CJ922" s="139" t="s">
        <v>1539</v>
      </c>
      <c r="CK922" s="139" t="s">
        <v>50</v>
      </c>
      <c r="CL922" s="139" t="s">
        <v>50</v>
      </c>
      <c r="CM922" s="139" t="s">
        <v>50</v>
      </c>
      <c r="CN922" s="139" t="s">
        <v>51</v>
      </c>
      <c r="CO922" s="139">
        <v>25.401061110000001</v>
      </c>
      <c r="CP922" s="139">
        <v>97.379594999999995</v>
      </c>
      <c r="CQ922" s="139" t="s">
        <v>2017</v>
      </c>
      <c r="CR922" s="449" t="s">
        <v>40</v>
      </c>
      <c r="CS922" s="449"/>
      <c r="CT922" s="24"/>
      <c r="CU922" s="24"/>
      <c r="CV922" s="24"/>
    </row>
    <row r="923" spans="1:100" ht="15.75" customHeight="1" x14ac:dyDescent="0.25">
      <c r="A923" s="643" t="s">
        <v>1388</v>
      </c>
      <c r="B923" s="132" t="s">
        <v>287</v>
      </c>
      <c r="C923" s="132" t="s">
        <v>44</v>
      </c>
      <c r="D923" s="132" t="s">
        <v>305</v>
      </c>
      <c r="E923" s="132" t="s">
        <v>308</v>
      </c>
      <c r="F923" s="132">
        <v>44</v>
      </c>
      <c r="G923" s="214">
        <v>195</v>
      </c>
      <c r="H923" s="132"/>
      <c r="I923" s="132" t="s">
        <v>290</v>
      </c>
      <c r="J923" s="133">
        <v>43555</v>
      </c>
      <c r="K923" s="132">
        <v>0</v>
      </c>
      <c r="L923" s="132" t="s">
        <v>48</v>
      </c>
      <c r="M923" s="134">
        <v>0.6</v>
      </c>
      <c r="N923" s="134">
        <v>0.5</v>
      </c>
      <c r="O923" s="320">
        <v>1</v>
      </c>
      <c r="P923" s="326">
        <v>1</v>
      </c>
      <c r="Q923" s="326">
        <v>3000</v>
      </c>
      <c r="R923" s="315">
        <v>0</v>
      </c>
      <c r="S923" s="315">
        <v>0</v>
      </c>
      <c r="T923" s="315"/>
      <c r="U923" s="315">
        <v>0</v>
      </c>
      <c r="V923" s="315">
        <v>0</v>
      </c>
      <c r="W923" s="315">
        <v>0</v>
      </c>
      <c r="X923" s="315">
        <v>0</v>
      </c>
      <c r="Y923" s="315">
        <v>0</v>
      </c>
      <c r="Z923" s="315"/>
      <c r="AA923" s="336">
        <v>8</v>
      </c>
      <c r="AB923" s="336">
        <v>0</v>
      </c>
      <c r="AC923" s="337">
        <v>0</v>
      </c>
      <c r="AD923" s="337"/>
      <c r="AE923" s="336">
        <v>0</v>
      </c>
      <c r="AF923" s="336" t="s">
        <v>283</v>
      </c>
      <c r="AG923" s="339" t="s">
        <v>283</v>
      </c>
      <c r="AH923" s="339"/>
      <c r="AI923" s="336"/>
      <c r="AJ923" s="336"/>
      <c r="AK923" s="848">
        <v>0.6</v>
      </c>
      <c r="AL923" s="836" t="s">
        <v>376</v>
      </c>
      <c r="AM923" s="836">
        <v>0</v>
      </c>
      <c r="AN923" s="848">
        <v>1</v>
      </c>
      <c r="AO923" s="850">
        <v>1</v>
      </c>
      <c r="AP923" s="838">
        <v>0</v>
      </c>
      <c r="AQ923" s="839">
        <v>0</v>
      </c>
      <c r="AR923" s="839"/>
      <c r="AS923" s="839"/>
      <c r="AT923" s="839"/>
      <c r="AU923" s="839"/>
      <c r="AV923" s="849"/>
      <c r="AW923" s="134" t="s">
        <v>3208</v>
      </c>
      <c r="AX923" s="136" t="s">
        <v>3208</v>
      </c>
      <c r="AY923" s="137" t="s">
        <v>2576</v>
      </c>
      <c r="AZ923" s="136">
        <v>1</v>
      </c>
      <c r="BA923" s="136">
        <v>1</v>
      </c>
      <c r="BB923" s="136">
        <v>1</v>
      </c>
      <c r="BC923" s="214">
        <v>195</v>
      </c>
      <c r="BD923" s="136">
        <v>0</v>
      </c>
      <c r="BE923" s="135">
        <v>0</v>
      </c>
      <c r="BF923" s="136">
        <v>1</v>
      </c>
      <c r="BG923" s="214">
        <v>195</v>
      </c>
      <c r="BH923" s="214">
        <v>0.39</v>
      </c>
      <c r="BI923" s="134">
        <v>0</v>
      </c>
      <c r="BJ923" s="135">
        <v>0</v>
      </c>
      <c r="BK923" s="137">
        <v>0.61</v>
      </c>
      <c r="BL923" s="137">
        <v>1</v>
      </c>
      <c r="BM923" s="137">
        <v>8</v>
      </c>
      <c r="BN923" s="134">
        <v>0.82051282051282048</v>
      </c>
      <c r="BO923" s="351">
        <v>160</v>
      </c>
      <c r="BP923" s="134">
        <v>0.20512820512820512</v>
      </c>
      <c r="BQ923" s="135">
        <v>2</v>
      </c>
      <c r="BR923" s="137">
        <v>10</v>
      </c>
      <c r="BS923" s="138">
        <v>0</v>
      </c>
      <c r="BT923" s="351">
        <v>0</v>
      </c>
      <c r="BU923" s="214">
        <v>195</v>
      </c>
      <c r="BV923" s="214">
        <v>0</v>
      </c>
      <c r="BW923" s="214">
        <v>1</v>
      </c>
      <c r="BX923" s="214">
        <v>0</v>
      </c>
      <c r="BY923" s="214">
        <v>0</v>
      </c>
      <c r="BZ923" s="134">
        <v>0</v>
      </c>
      <c r="CA923" s="138">
        <v>1</v>
      </c>
      <c r="CB923" s="136">
        <v>1</v>
      </c>
      <c r="CC923" s="136">
        <v>0</v>
      </c>
      <c r="CD923" s="136">
        <v>0</v>
      </c>
      <c r="CE923" s="137">
        <v>0</v>
      </c>
      <c r="CF923" s="137">
        <v>0</v>
      </c>
      <c r="CG923" s="137">
        <v>0</v>
      </c>
      <c r="CH923" s="135">
        <v>26.4</v>
      </c>
      <c r="CI923" s="139" t="s">
        <v>48</v>
      </c>
      <c r="CJ923" s="139" t="s">
        <v>287</v>
      </c>
      <c r="CK923" s="139" t="s">
        <v>50</v>
      </c>
      <c r="CL923" s="139" t="s">
        <v>50</v>
      </c>
      <c r="CM923" s="139" t="s">
        <v>50</v>
      </c>
      <c r="CN923" s="139" t="s">
        <v>51</v>
      </c>
      <c r="CO923" s="139">
        <v>25.3660036111111</v>
      </c>
      <c r="CP923" s="139">
        <v>97.405202777777802</v>
      </c>
      <c r="CQ923" s="139" t="s">
        <v>2009</v>
      </c>
      <c r="CR923" s="449" t="s">
        <v>40</v>
      </c>
      <c r="CS923" s="449"/>
      <c r="CT923" s="24"/>
      <c r="CU923" s="24"/>
      <c r="CV923" s="24"/>
    </row>
    <row r="924" spans="1:100" ht="15.75" customHeight="1" x14ac:dyDescent="0.25">
      <c r="A924" s="643" t="s">
        <v>1388</v>
      </c>
      <c r="B924" s="132" t="s">
        <v>287</v>
      </c>
      <c r="C924" s="132" t="s">
        <v>44</v>
      </c>
      <c r="D924" s="132" t="s">
        <v>305</v>
      </c>
      <c r="E924" s="132" t="s">
        <v>309</v>
      </c>
      <c r="F924" s="132">
        <v>105</v>
      </c>
      <c r="G924" s="214">
        <v>578</v>
      </c>
      <c r="H924" s="132"/>
      <c r="I924" s="132" t="s">
        <v>290</v>
      </c>
      <c r="J924" s="133">
        <v>43555</v>
      </c>
      <c r="K924" s="132">
        <v>0</v>
      </c>
      <c r="L924" s="132" t="s">
        <v>48</v>
      </c>
      <c r="M924" s="134">
        <v>0.6</v>
      </c>
      <c r="N924" s="134">
        <v>0.5</v>
      </c>
      <c r="O924" s="320">
        <v>1</v>
      </c>
      <c r="P924" s="326">
        <v>1</v>
      </c>
      <c r="Q924" s="326">
        <v>4000</v>
      </c>
      <c r="R924" s="315">
        <v>0</v>
      </c>
      <c r="S924" s="315">
        <v>0</v>
      </c>
      <c r="T924" s="315"/>
      <c r="U924" s="315">
        <v>0</v>
      </c>
      <c r="V924" s="315">
        <v>0</v>
      </c>
      <c r="W924" s="315">
        <v>0</v>
      </c>
      <c r="X924" s="315">
        <v>0</v>
      </c>
      <c r="Y924" s="315">
        <v>0</v>
      </c>
      <c r="Z924" s="315"/>
      <c r="AA924" s="336">
        <v>8</v>
      </c>
      <c r="AB924" s="336">
        <v>0</v>
      </c>
      <c r="AC924" s="337">
        <v>0</v>
      </c>
      <c r="AD924" s="337"/>
      <c r="AE924" s="336">
        <v>0</v>
      </c>
      <c r="AF924" s="336" t="s">
        <v>283</v>
      </c>
      <c r="AG924" s="339" t="s">
        <v>283</v>
      </c>
      <c r="AH924" s="339"/>
      <c r="AI924" s="336"/>
      <c r="AJ924" s="336"/>
      <c r="AK924" s="848">
        <v>0.6</v>
      </c>
      <c r="AL924" s="836" t="s">
        <v>376</v>
      </c>
      <c r="AM924" s="836">
        <v>0</v>
      </c>
      <c r="AN924" s="848">
        <v>2</v>
      </c>
      <c r="AO924" s="850">
        <v>1</v>
      </c>
      <c r="AP924" s="838">
        <v>0</v>
      </c>
      <c r="AQ924" s="839">
        <v>0</v>
      </c>
      <c r="AR924" s="839"/>
      <c r="AS924" s="839"/>
      <c r="AT924" s="839"/>
      <c r="AU924" s="839"/>
      <c r="AV924" s="849"/>
      <c r="AW924" s="134" t="s">
        <v>3208</v>
      </c>
      <c r="AX924" s="136" t="s">
        <v>3208</v>
      </c>
      <c r="AY924" s="137" t="s">
        <v>2576</v>
      </c>
      <c r="AZ924" s="136">
        <v>1</v>
      </c>
      <c r="BA924" s="136">
        <v>1</v>
      </c>
      <c r="BB924" s="136">
        <v>1</v>
      </c>
      <c r="BC924" s="214">
        <v>578</v>
      </c>
      <c r="BD924" s="136">
        <v>0</v>
      </c>
      <c r="BE924" s="214">
        <v>0</v>
      </c>
      <c r="BF924" s="136">
        <v>1</v>
      </c>
      <c r="BG924" s="214">
        <v>578</v>
      </c>
      <c r="BH924" s="214">
        <v>1.1559999999999999</v>
      </c>
      <c r="BI924" s="134">
        <v>0</v>
      </c>
      <c r="BJ924" s="214">
        <v>0</v>
      </c>
      <c r="BK924" s="137">
        <v>0</v>
      </c>
      <c r="BL924" s="137">
        <v>1</v>
      </c>
      <c r="BM924" s="137">
        <v>8</v>
      </c>
      <c r="BN924" s="134">
        <v>0.27681660899653981</v>
      </c>
      <c r="BO924" s="351">
        <v>160</v>
      </c>
      <c r="BP924" s="134">
        <v>0.72664359861591699</v>
      </c>
      <c r="BQ924" s="214">
        <v>21</v>
      </c>
      <c r="BR924" s="137">
        <v>29</v>
      </c>
      <c r="BS924" s="138">
        <v>0</v>
      </c>
      <c r="BT924" s="351">
        <v>0</v>
      </c>
      <c r="BU924" s="214">
        <v>500</v>
      </c>
      <c r="BV924" s="214">
        <v>0</v>
      </c>
      <c r="BW924" s="214">
        <v>1</v>
      </c>
      <c r="BX924" s="214">
        <v>0</v>
      </c>
      <c r="BY924" s="214">
        <v>0</v>
      </c>
      <c r="BZ924" s="134">
        <v>0</v>
      </c>
      <c r="CA924" s="138">
        <v>1</v>
      </c>
      <c r="CB924" s="136">
        <v>0.86505190311418689</v>
      </c>
      <c r="CC924" s="136">
        <v>0</v>
      </c>
      <c r="CD924" s="136">
        <v>0</v>
      </c>
      <c r="CE924" s="137">
        <v>0</v>
      </c>
      <c r="CF924" s="137">
        <v>0</v>
      </c>
      <c r="CG924" s="137">
        <v>0</v>
      </c>
      <c r="CH924" s="214">
        <v>63</v>
      </c>
      <c r="CI924" s="139" t="s">
        <v>48</v>
      </c>
      <c r="CJ924" s="139" t="s">
        <v>287</v>
      </c>
      <c r="CK924" s="139" t="s">
        <v>50</v>
      </c>
      <c r="CL924" s="139" t="s">
        <v>50</v>
      </c>
      <c r="CM924" s="139" t="s">
        <v>50</v>
      </c>
      <c r="CN924" s="139" t="s">
        <v>51</v>
      </c>
      <c r="CO924" s="139">
        <v>25.362420757575801</v>
      </c>
      <c r="CP924" s="139">
        <v>97.409035000000003</v>
      </c>
      <c r="CQ924" s="139" t="s">
        <v>2008</v>
      </c>
      <c r="CR924" s="449" t="s">
        <v>40</v>
      </c>
      <c r="CS924" s="449"/>
      <c r="CT924" s="24"/>
      <c r="CU924" s="24"/>
      <c r="CV924" s="24"/>
    </row>
    <row r="925" spans="1:100" ht="15.75" customHeight="1" x14ac:dyDescent="0.25">
      <c r="A925" s="643" t="s">
        <v>1388</v>
      </c>
      <c r="B925" s="132" t="s">
        <v>287</v>
      </c>
      <c r="C925" s="132" t="s">
        <v>44</v>
      </c>
      <c r="D925" s="132" t="s">
        <v>305</v>
      </c>
      <c r="E925" s="132" t="s">
        <v>310</v>
      </c>
      <c r="F925" s="132">
        <v>138</v>
      </c>
      <c r="G925" s="214">
        <v>697</v>
      </c>
      <c r="H925" s="132"/>
      <c r="I925" s="132" t="s">
        <v>290</v>
      </c>
      <c r="J925" s="133">
        <v>43555</v>
      </c>
      <c r="K925" s="132">
        <v>0</v>
      </c>
      <c r="L925" s="132" t="s">
        <v>48</v>
      </c>
      <c r="M925" s="134">
        <v>0.6</v>
      </c>
      <c r="N925" s="134">
        <v>0.5</v>
      </c>
      <c r="O925" s="320">
        <v>0</v>
      </c>
      <c r="P925" s="326">
        <v>2</v>
      </c>
      <c r="Q925" s="326">
        <v>2000</v>
      </c>
      <c r="R925" s="315">
        <v>0</v>
      </c>
      <c r="S925" s="315">
        <v>0</v>
      </c>
      <c r="T925" s="315"/>
      <c r="U925" s="315">
        <v>0</v>
      </c>
      <c r="V925" s="315">
        <v>0</v>
      </c>
      <c r="W925" s="315">
        <v>0</v>
      </c>
      <c r="X925" s="315">
        <v>0</v>
      </c>
      <c r="Y925" s="315">
        <v>0</v>
      </c>
      <c r="Z925" s="315"/>
      <c r="AA925" s="336">
        <v>32</v>
      </c>
      <c r="AB925" s="336">
        <v>0</v>
      </c>
      <c r="AC925" s="337">
        <v>0</v>
      </c>
      <c r="AD925" s="337"/>
      <c r="AE925" s="336">
        <v>0</v>
      </c>
      <c r="AF925" s="336" t="s">
        <v>283</v>
      </c>
      <c r="AG925" s="339" t="s">
        <v>283</v>
      </c>
      <c r="AH925" s="339"/>
      <c r="AI925" s="336"/>
      <c r="AJ925" s="336"/>
      <c r="AK925" s="848">
        <v>0.6</v>
      </c>
      <c r="AL925" s="836" t="s">
        <v>376</v>
      </c>
      <c r="AM925" s="836">
        <v>0</v>
      </c>
      <c r="AN925" s="848">
        <v>2</v>
      </c>
      <c r="AO925" s="850">
        <v>1</v>
      </c>
      <c r="AP925" s="838">
        <v>0</v>
      </c>
      <c r="AQ925" s="839">
        <v>0</v>
      </c>
      <c r="AR925" s="839"/>
      <c r="AS925" s="839"/>
      <c r="AT925" s="839"/>
      <c r="AU925" s="839"/>
      <c r="AV925" s="849"/>
      <c r="AW925" s="134" t="s">
        <v>3208</v>
      </c>
      <c r="AX925" s="136" t="s">
        <v>3208</v>
      </c>
      <c r="AY925" s="137" t="s">
        <v>2576</v>
      </c>
      <c r="AZ925" s="136">
        <v>1</v>
      </c>
      <c r="BA925" s="136">
        <v>0.90865614538498329</v>
      </c>
      <c r="BB925" s="136">
        <v>1</v>
      </c>
      <c r="BC925" s="214">
        <v>697</v>
      </c>
      <c r="BD925" s="136">
        <v>0</v>
      </c>
      <c r="BE925" s="214">
        <v>0</v>
      </c>
      <c r="BF925" s="136">
        <v>1</v>
      </c>
      <c r="BG925" s="214">
        <v>697</v>
      </c>
      <c r="BH925" s="214">
        <v>1.3939999999999999</v>
      </c>
      <c r="BI925" s="134">
        <v>0</v>
      </c>
      <c r="BJ925" s="214">
        <v>0</v>
      </c>
      <c r="BK925" s="137">
        <v>0</v>
      </c>
      <c r="BL925" s="137">
        <v>1</v>
      </c>
      <c r="BM925" s="137">
        <v>32</v>
      </c>
      <c r="BN925" s="134">
        <v>0.9182209469153515</v>
      </c>
      <c r="BO925" s="351">
        <v>640</v>
      </c>
      <c r="BP925" s="134">
        <v>8.6083213773314196E-2</v>
      </c>
      <c r="BQ925" s="135">
        <v>3</v>
      </c>
      <c r="BR925" s="137">
        <v>35</v>
      </c>
      <c r="BS925" s="138">
        <v>0</v>
      </c>
      <c r="BT925" s="351">
        <v>0</v>
      </c>
      <c r="BU925" s="214">
        <v>500</v>
      </c>
      <c r="BV925" s="214">
        <v>0</v>
      </c>
      <c r="BW925" s="214">
        <v>0</v>
      </c>
      <c r="BX925" s="214">
        <v>0</v>
      </c>
      <c r="BY925" s="214">
        <v>0</v>
      </c>
      <c r="BZ925" s="134">
        <v>0</v>
      </c>
      <c r="CA925" s="138">
        <v>1</v>
      </c>
      <c r="CB925" s="136">
        <v>0.71736011477761841</v>
      </c>
      <c r="CC925" s="136">
        <v>0</v>
      </c>
      <c r="CD925" s="136">
        <v>0</v>
      </c>
      <c r="CE925" s="137">
        <v>0</v>
      </c>
      <c r="CF925" s="137">
        <v>0</v>
      </c>
      <c r="CG925" s="137">
        <v>0</v>
      </c>
      <c r="CH925" s="214">
        <v>82.8</v>
      </c>
      <c r="CI925" s="139" t="s">
        <v>48</v>
      </c>
      <c r="CJ925" s="139" t="s">
        <v>287</v>
      </c>
      <c r="CK925" s="139" t="s">
        <v>50</v>
      </c>
      <c r="CL925" s="139" t="s">
        <v>50</v>
      </c>
      <c r="CM925" s="139" t="s">
        <v>50</v>
      </c>
      <c r="CN925" s="139" t="s">
        <v>51</v>
      </c>
      <c r="CO925" s="139">
        <v>25.3510167948718</v>
      </c>
      <c r="CP925" s="139">
        <v>97.403402307692303</v>
      </c>
      <c r="CQ925" s="139" t="s">
        <v>2000</v>
      </c>
      <c r="CR925" s="449" t="s">
        <v>40</v>
      </c>
      <c r="CS925" s="449"/>
      <c r="CT925" s="24"/>
      <c r="CU925" s="24"/>
      <c r="CV925" s="24"/>
    </row>
    <row r="926" spans="1:100" ht="15.75" customHeight="1" x14ac:dyDescent="0.25">
      <c r="A926" s="643" t="s">
        <v>1388</v>
      </c>
      <c r="B926" s="132" t="s">
        <v>287</v>
      </c>
      <c r="C926" s="132" t="s">
        <v>44</v>
      </c>
      <c r="D926" s="132" t="s">
        <v>305</v>
      </c>
      <c r="E926" s="132" t="s">
        <v>311</v>
      </c>
      <c r="F926" s="132">
        <v>61</v>
      </c>
      <c r="G926" s="214">
        <v>304</v>
      </c>
      <c r="H926" s="132"/>
      <c r="I926" s="132" t="s">
        <v>290</v>
      </c>
      <c r="J926" s="133">
        <v>43555</v>
      </c>
      <c r="K926" s="132">
        <v>0</v>
      </c>
      <c r="L926" s="132" t="s">
        <v>48</v>
      </c>
      <c r="M926" s="134">
        <v>0.6</v>
      </c>
      <c r="N926" s="134">
        <v>0.5</v>
      </c>
      <c r="O926" s="320">
        <v>1</v>
      </c>
      <c r="P926" s="326">
        <v>1</v>
      </c>
      <c r="Q926" s="326">
        <v>2000</v>
      </c>
      <c r="R926" s="315">
        <v>0</v>
      </c>
      <c r="S926" s="315">
        <v>0</v>
      </c>
      <c r="T926" s="315"/>
      <c r="U926" s="315">
        <v>0</v>
      </c>
      <c r="V926" s="315">
        <v>0</v>
      </c>
      <c r="W926" s="315">
        <v>0</v>
      </c>
      <c r="X926" s="315">
        <v>0</v>
      </c>
      <c r="Y926" s="315">
        <v>0</v>
      </c>
      <c r="Z926" s="315"/>
      <c r="AA926" s="336">
        <v>7</v>
      </c>
      <c r="AB926" s="336">
        <v>0</v>
      </c>
      <c r="AC926" s="337">
        <v>0</v>
      </c>
      <c r="AD926" s="337"/>
      <c r="AE926" s="336">
        <v>0</v>
      </c>
      <c r="AF926" s="336" t="s">
        <v>283</v>
      </c>
      <c r="AG926" s="339" t="s">
        <v>283</v>
      </c>
      <c r="AH926" s="339"/>
      <c r="AI926" s="336"/>
      <c r="AJ926" s="336"/>
      <c r="AK926" s="848">
        <v>0.6</v>
      </c>
      <c r="AL926" s="836" t="s">
        <v>376</v>
      </c>
      <c r="AM926" s="836">
        <v>0</v>
      </c>
      <c r="AN926" s="848">
        <v>3</v>
      </c>
      <c r="AO926" s="850">
        <v>2</v>
      </c>
      <c r="AP926" s="838">
        <v>0</v>
      </c>
      <c r="AQ926" s="839">
        <v>0</v>
      </c>
      <c r="AR926" s="839"/>
      <c r="AS926" s="839"/>
      <c r="AT926" s="839"/>
      <c r="AU926" s="839"/>
      <c r="AV926" s="849"/>
      <c r="AW926" s="134" t="s">
        <v>3208</v>
      </c>
      <c r="AX926" s="136" t="s">
        <v>3208</v>
      </c>
      <c r="AY926" s="137" t="s">
        <v>2576</v>
      </c>
      <c r="AZ926" s="136">
        <v>1</v>
      </c>
      <c r="BA926" s="136">
        <v>1</v>
      </c>
      <c r="BB926" s="136">
        <v>1</v>
      </c>
      <c r="BC926" s="214">
        <v>304</v>
      </c>
      <c r="BD926" s="136">
        <v>0</v>
      </c>
      <c r="BE926" s="214">
        <v>0</v>
      </c>
      <c r="BF926" s="136">
        <v>1</v>
      </c>
      <c r="BG926" s="214">
        <v>304</v>
      </c>
      <c r="BH926" s="214">
        <v>0.60799999999999998</v>
      </c>
      <c r="BI926" s="134">
        <v>0</v>
      </c>
      <c r="BJ926" s="214">
        <v>0</v>
      </c>
      <c r="BK926" s="137">
        <v>0.39200000000000002</v>
      </c>
      <c r="BL926" s="137">
        <v>1</v>
      </c>
      <c r="BM926" s="137">
        <v>7</v>
      </c>
      <c r="BN926" s="134">
        <v>0.46052631578947367</v>
      </c>
      <c r="BO926" s="351">
        <v>140</v>
      </c>
      <c r="BP926" s="134">
        <v>0.52631578947368418</v>
      </c>
      <c r="BQ926" s="214">
        <v>8</v>
      </c>
      <c r="BR926" s="137">
        <v>15</v>
      </c>
      <c r="BS926" s="138">
        <v>0</v>
      </c>
      <c r="BT926" s="351">
        <v>0</v>
      </c>
      <c r="BU926" s="214">
        <v>304</v>
      </c>
      <c r="BV926" s="214">
        <v>0</v>
      </c>
      <c r="BW926" s="214">
        <v>1</v>
      </c>
      <c r="BX926" s="214">
        <v>0</v>
      </c>
      <c r="BY926" s="214">
        <v>0</v>
      </c>
      <c r="BZ926" s="134">
        <v>0</v>
      </c>
      <c r="CA926" s="138">
        <v>1</v>
      </c>
      <c r="CB926" s="136">
        <v>1</v>
      </c>
      <c r="CC926" s="136">
        <v>0</v>
      </c>
      <c r="CD926" s="136">
        <v>0</v>
      </c>
      <c r="CE926" s="137">
        <v>0</v>
      </c>
      <c r="CF926" s="137">
        <v>0</v>
      </c>
      <c r="CG926" s="137">
        <v>0</v>
      </c>
      <c r="CH926" s="214">
        <v>36.6</v>
      </c>
      <c r="CI926" s="139" t="s">
        <v>48</v>
      </c>
      <c r="CJ926" s="139" t="s">
        <v>287</v>
      </c>
      <c r="CK926" s="139" t="s">
        <v>50</v>
      </c>
      <c r="CL926" s="139" t="s">
        <v>50</v>
      </c>
      <c r="CM926" s="139" t="s">
        <v>50</v>
      </c>
      <c r="CN926" s="139" t="s">
        <v>51</v>
      </c>
      <c r="CO926" s="139">
        <v>25.360463124999999</v>
      </c>
      <c r="CP926" s="139">
        <v>97.4113064583333</v>
      </c>
      <c r="CQ926" s="139" t="s">
        <v>2007</v>
      </c>
      <c r="CR926" s="449" t="s">
        <v>40</v>
      </c>
      <c r="CS926" s="449"/>
      <c r="CT926" s="24"/>
      <c r="CU926" s="24"/>
      <c r="CV926" s="24"/>
    </row>
    <row r="927" spans="1:100" ht="15.75" customHeight="1" x14ac:dyDescent="0.25">
      <c r="A927" s="643" t="s">
        <v>1388</v>
      </c>
      <c r="B927" s="132" t="s">
        <v>287</v>
      </c>
      <c r="C927" s="132" t="s">
        <v>44</v>
      </c>
      <c r="D927" s="132" t="s">
        <v>305</v>
      </c>
      <c r="E927" s="132" t="s">
        <v>312</v>
      </c>
      <c r="F927" s="132">
        <v>103</v>
      </c>
      <c r="G927" s="214">
        <v>581</v>
      </c>
      <c r="H927" s="132"/>
      <c r="I927" s="132" t="s">
        <v>290</v>
      </c>
      <c r="J927" s="133">
        <v>43555</v>
      </c>
      <c r="K927" s="132">
        <v>0</v>
      </c>
      <c r="L927" s="132" t="s">
        <v>48</v>
      </c>
      <c r="M927" s="134">
        <v>0.6</v>
      </c>
      <c r="N927" s="134">
        <v>0.5</v>
      </c>
      <c r="O927" s="320">
        <v>1</v>
      </c>
      <c r="P927" s="326">
        <v>2</v>
      </c>
      <c r="Q927" s="326">
        <v>2000</v>
      </c>
      <c r="R927" s="315">
        <v>0</v>
      </c>
      <c r="S927" s="315">
        <v>0</v>
      </c>
      <c r="T927" s="315"/>
      <c r="U927" s="315">
        <v>0</v>
      </c>
      <c r="V927" s="315">
        <v>0</v>
      </c>
      <c r="W927" s="315">
        <v>0</v>
      </c>
      <c r="X927" s="315">
        <v>0</v>
      </c>
      <c r="Y927" s="315">
        <v>0</v>
      </c>
      <c r="Z927" s="315"/>
      <c r="AA927" s="336">
        <v>30</v>
      </c>
      <c r="AB927" s="336">
        <v>0</v>
      </c>
      <c r="AC927" s="337">
        <v>0</v>
      </c>
      <c r="AD927" s="337"/>
      <c r="AE927" s="336">
        <v>0</v>
      </c>
      <c r="AF927" s="336" t="s">
        <v>283</v>
      </c>
      <c r="AG927" s="339" t="s">
        <v>283</v>
      </c>
      <c r="AH927" s="339"/>
      <c r="AI927" s="336"/>
      <c r="AJ927" s="336"/>
      <c r="AK927" s="848">
        <v>0.6</v>
      </c>
      <c r="AL927" s="836" t="s">
        <v>376</v>
      </c>
      <c r="AM927" s="836">
        <v>0</v>
      </c>
      <c r="AN927" s="848">
        <v>2</v>
      </c>
      <c r="AO927" s="850">
        <v>2</v>
      </c>
      <c r="AP927" s="838">
        <v>0</v>
      </c>
      <c r="AQ927" s="839">
        <v>0</v>
      </c>
      <c r="AR927" s="839"/>
      <c r="AS927" s="839"/>
      <c r="AT927" s="839"/>
      <c r="AU927" s="839"/>
      <c r="AV927" s="849"/>
      <c r="AW927" s="134" t="s">
        <v>3208</v>
      </c>
      <c r="AX927" s="136" t="s">
        <v>3208</v>
      </c>
      <c r="AY927" s="137" t="s">
        <v>2576</v>
      </c>
      <c r="AZ927" s="136">
        <v>1</v>
      </c>
      <c r="BA927" s="136">
        <v>1</v>
      </c>
      <c r="BB927" s="136">
        <v>1</v>
      </c>
      <c r="BC927" s="214">
        <v>581</v>
      </c>
      <c r="BD927" s="136">
        <v>0</v>
      </c>
      <c r="BE927" s="214">
        <v>0</v>
      </c>
      <c r="BF927" s="136">
        <v>1</v>
      </c>
      <c r="BG927" s="214">
        <v>581</v>
      </c>
      <c r="BH927" s="214">
        <v>1.1619999999999999</v>
      </c>
      <c r="BI927" s="134">
        <v>0</v>
      </c>
      <c r="BJ927" s="214">
        <v>0</v>
      </c>
      <c r="BK927" s="137">
        <v>0</v>
      </c>
      <c r="BL927" s="137">
        <v>1</v>
      </c>
      <c r="BM927" s="137">
        <v>30</v>
      </c>
      <c r="BN927" s="134">
        <v>1</v>
      </c>
      <c r="BO927" s="351">
        <v>581</v>
      </c>
      <c r="BP927" s="134">
        <v>0</v>
      </c>
      <c r="BQ927" s="214">
        <v>0</v>
      </c>
      <c r="BR927" s="137">
        <v>29</v>
      </c>
      <c r="BS927" s="138">
        <v>0</v>
      </c>
      <c r="BT927" s="351">
        <v>0</v>
      </c>
      <c r="BU927" s="214">
        <v>581</v>
      </c>
      <c r="BV927" s="214">
        <v>0</v>
      </c>
      <c r="BW927" s="214">
        <v>1</v>
      </c>
      <c r="BX927" s="214">
        <v>0</v>
      </c>
      <c r="BY927" s="214">
        <v>0</v>
      </c>
      <c r="BZ927" s="134">
        <v>0</v>
      </c>
      <c r="CA927" s="138">
        <v>1</v>
      </c>
      <c r="CB927" s="136">
        <v>1</v>
      </c>
      <c r="CC927" s="136">
        <v>0</v>
      </c>
      <c r="CD927" s="136">
        <v>0</v>
      </c>
      <c r="CE927" s="137">
        <v>0</v>
      </c>
      <c r="CF927" s="137">
        <v>0</v>
      </c>
      <c r="CG927" s="137">
        <v>0</v>
      </c>
      <c r="CH927" s="214">
        <v>61.8</v>
      </c>
      <c r="CI927" s="139" t="s">
        <v>48</v>
      </c>
      <c r="CJ927" s="139" t="s">
        <v>287</v>
      </c>
      <c r="CK927" s="139" t="s">
        <v>50</v>
      </c>
      <c r="CL927" s="139" t="s">
        <v>50</v>
      </c>
      <c r="CM927" s="139" t="s">
        <v>50</v>
      </c>
      <c r="CN927" s="139" t="s">
        <v>51</v>
      </c>
      <c r="CO927" s="139">
        <v>25.428910999999999</v>
      </c>
      <c r="CP927" s="139">
        <v>97.418694000000002</v>
      </c>
      <c r="CQ927" s="139" t="s">
        <v>2033</v>
      </c>
      <c r="CR927" s="449" t="s">
        <v>40</v>
      </c>
      <c r="CS927" s="449"/>
      <c r="CT927" s="24"/>
      <c r="CU927" s="24"/>
      <c r="CV927" s="24"/>
    </row>
    <row r="928" spans="1:100" ht="15.75" customHeight="1" x14ac:dyDescent="0.25">
      <c r="A928" s="643" t="s">
        <v>1388</v>
      </c>
      <c r="B928" s="132" t="s">
        <v>389</v>
      </c>
      <c r="C928" s="132" t="s">
        <v>44</v>
      </c>
      <c r="D928" s="132" t="s">
        <v>305</v>
      </c>
      <c r="E928" s="132" t="s">
        <v>413</v>
      </c>
      <c r="F928" s="132">
        <v>24</v>
      </c>
      <c r="G928" s="214">
        <v>97</v>
      </c>
      <c r="H928" s="132"/>
      <c r="I928" s="132" t="s">
        <v>391</v>
      </c>
      <c r="J928" s="133">
        <v>42947</v>
      </c>
      <c r="K928" s="132">
        <v>0</v>
      </c>
      <c r="L928" s="132" t="s">
        <v>48</v>
      </c>
      <c r="M928" s="134">
        <v>1</v>
      </c>
      <c r="N928" s="134">
        <v>1</v>
      </c>
      <c r="O928" s="320">
        <v>1</v>
      </c>
      <c r="P928" s="326">
        <v>1</v>
      </c>
      <c r="Q928" s="326">
        <v>1000</v>
      </c>
      <c r="R928" s="315">
        <v>0</v>
      </c>
      <c r="S928" s="315">
        <v>1</v>
      </c>
      <c r="T928" s="315"/>
      <c r="U928" s="315">
        <v>0</v>
      </c>
      <c r="V928" s="315">
        <v>0</v>
      </c>
      <c r="W928" s="315">
        <v>0</v>
      </c>
      <c r="X928" s="315">
        <v>0</v>
      </c>
      <c r="Y928" s="315">
        <v>0</v>
      </c>
      <c r="Z928" s="315"/>
      <c r="AA928" s="336">
        <v>3</v>
      </c>
      <c r="AB928" s="336">
        <v>0</v>
      </c>
      <c r="AC928" s="337">
        <v>2</v>
      </c>
      <c r="AD928" s="337"/>
      <c r="AE928" s="336">
        <v>3</v>
      </c>
      <c r="AF928" s="336" t="s">
        <v>283</v>
      </c>
      <c r="AG928" s="339" t="s">
        <v>1358</v>
      </c>
      <c r="AH928" s="339">
        <v>0</v>
      </c>
      <c r="AI928" s="336">
        <v>0</v>
      </c>
      <c r="AJ928" s="336"/>
      <c r="AK928" s="848">
        <v>0.6</v>
      </c>
      <c r="AL928" s="836" t="s">
        <v>376</v>
      </c>
      <c r="AM928" s="836">
        <v>0</v>
      </c>
      <c r="AN928" s="848">
        <v>2</v>
      </c>
      <c r="AO928" s="850">
        <v>0</v>
      </c>
      <c r="AP928" s="838">
        <v>0</v>
      </c>
      <c r="AQ928" s="839">
        <v>0</v>
      </c>
      <c r="AR928" s="839"/>
      <c r="AS928" s="839"/>
      <c r="AT928" s="839"/>
      <c r="AU928" s="839"/>
      <c r="AV928" s="849"/>
      <c r="AW928" s="134" t="s">
        <v>3208</v>
      </c>
      <c r="AX928" s="136" t="s">
        <v>3208</v>
      </c>
      <c r="AY928" s="137" t="s">
        <v>2576</v>
      </c>
      <c r="AZ928" s="136">
        <v>1</v>
      </c>
      <c r="BA928" s="136">
        <v>1</v>
      </c>
      <c r="BB928" s="136">
        <v>1</v>
      </c>
      <c r="BC928" s="214">
        <v>97</v>
      </c>
      <c r="BD928" s="136">
        <v>0</v>
      </c>
      <c r="BE928" s="135">
        <v>0</v>
      </c>
      <c r="BF928" s="136">
        <v>1</v>
      </c>
      <c r="BG928" s="214">
        <v>97</v>
      </c>
      <c r="BH928" s="214">
        <v>0.19400000000000001</v>
      </c>
      <c r="BI928" s="134">
        <v>0</v>
      </c>
      <c r="BJ928" s="135">
        <v>0</v>
      </c>
      <c r="BK928" s="137">
        <v>0.80600000000000005</v>
      </c>
      <c r="BL928" s="137">
        <v>1</v>
      </c>
      <c r="BM928" s="137">
        <v>3</v>
      </c>
      <c r="BN928" s="134">
        <v>0.61855670103092786</v>
      </c>
      <c r="BO928" s="351">
        <v>60</v>
      </c>
      <c r="BP928" s="134">
        <v>0.41237113402061859</v>
      </c>
      <c r="BQ928" s="135">
        <v>2</v>
      </c>
      <c r="BR928" s="137">
        <v>5</v>
      </c>
      <c r="BS928" s="138">
        <v>0</v>
      </c>
      <c r="BT928" s="351">
        <v>40</v>
      </c>
      <c r="BU928" s="214">
        <v>0</v>
      </c>
      <c r="BV928" s="214">
        <v>0</v>
      </c>
      <c r="BW928" s="214">
        <v>0</v>
      </c>
      <c r="BX928" s="214">
        <v>0</v>
      </c>
      <c r="BY928" s="214">
        <v>0</v>
      </c>
      <c r="BZ928" s="134">
        <v>0</v>
      </c>
      <c r="CA928" s="138">
        <v>1</v>
      </c>
      <c r="CB928" s="136">
        <v>0</v>
      </c>
      <c r="CC928" s="136">
        <v>0</v>
      </c>
      <c r="CD928" s="136">
        <v>0</v>
      </c>
      <c r="CE928" s="137">
        <v>0</v>
      </c>
      <c r="CF928" s="137">
        <v>0</v>
      </c>
      <c r="CG928" s="137">
        <v>0</v>
      </c>
      <c r="CH928" s="135">
        <v>14.399999999999999</v>
      </c>
      <c r="CI928" s="139" t="s">
        <v>48</v>
      </c>
      <c r="CJ928" s="139" t="s">
        <v>389</v>
      </c>
      <c r="CK928" s="139" t="s">
        <v>50</v>
      </c>
      <c r="CL928" s="139" t="s">
        <v>50</v>
      </c>
      <c r="CM928" s="139" t="s">
        <v>50</v>
      </c>
      <c r="CN928" s="139" t="s">
        <v>51</v>
      </c>
      <c r="CO928" s="139">
        <v>25.374343974359</v>
      </c>
      <c r="CP928" s="139">
        <v>97.2843958974359</v>
      </c>
      <c r="CQ928" s="139" t="s">
        <v>2011</v>
      </c>
      <c r="CR928" s="449" t="s">
        <v>40</v>
      </c>
      <c r="CS928" s="449"/>
      <c r="CT928" s="24"/>
      <c r="CU928" s="24"/>
      <c r="CV928" s="24"/>
    </row>
    <row r="929" spans="1:100" ht="15.75" customHeight="1" x14ac:dyDescent="0.25">
      <c r="A929" s="643" t="s">
        <v>1388</v>
      </c>
      <c r="B929" s="132" t="s">
        <v>389</v>
      </c>
      <c r="C929" s="132" t="s">
        <v>44</v>
      </c>
      <c r="D929" s="132" t="s">
        <v>305</v>
      </c>
      <c r="E929" s="132" t="s">
        <v>414</v>
      </c>
      <c r="F929" s="132">
        <v>14</v>
      </c>
      <c r="G929" s="214">
        <v>76</v>
      </c>
      <c r="H929" s="132"/>
      <c r="I929" s="132" t="s">
        <v>391</v>
      </c>
      <c r="J929" s="133">
        <v>42947</v>
      </c>
      <c r="K929" s="132">
        <v>0</v>
      </c>
      <c r="L929" s="132" t="s">
        <v>48</v>
      </c>
      <c r="M929" s="134">
        <v>0.6</v>
      </c>
      <c r="N929" s="134">
        <v>1</v>
      </c>
      <c r="O929" s="320">
        <v>1</v>
      </c>
      <c r="P929" s="326">
        <v>0</v>
      </c>
      <c r="Q929" s="326">
        <v>1000</v>
      </c>
      <c r="R929" s="315">
        <v>0</v>
      </c>
      <c r="S929" s="315">
        <v>1</v>
      </c>
      <c r="T929" s="315"/>
      <c r="U929" s="315">
        <v>0</v>
      </c>
      <c r="V929" s="315">
        <v>0</v>
      </c>
      <c r="W929" s="315">
        <v>0</v>
      </c>
      <c r="X929" s="315">
        <v>0</v>
      </c>
      <c r="Y929" s="315">
        <v>0</v>
      </c>
      <c r="Z929" s="315"/>
      <c r="AA929" s="336">
        <v>3</v>
      </c>
      <c r="AB929" s="336">
        <v>0</v>
      </c>
      <c r="AC929" s="337">
        <v>3</v>
      </c>
      <c r="AD929" s="337"/>
      <c r="AE929" s="336">
        <v>3</v>
      </c>
      <c r="AF929" s="336" t="s">
        <v>283</v>
      </c>
      <c r="AG929" s="339" t="s">
        <v>1358</v>
      </c>
      <c r="AH929" s="339">
        <v>0</v>
      </c>
      <c r="AI929" s="336">
        <v>0</v>
      </c>
      <c r="AJ929" s="336"/>
      <c r="AK929" s="848">
        <v>0.6</v>
      </c>
      <c r="AL929" s="836" t="s">
        <v>376</v>
      </c>
      <c r="AM929" s="836">
        <v>0</v>
      </c>
      <c r="AN929" s="848">
        <v>1</v>
      </c>
      <c r="AO929" s="850">
        <v>0</v>
      </c>
      <c r="AP929" s="838">
        <v>0</v>
      </c>
      <c r="AQ929" s="839">
        <v>0</v>
      </c>
      <c r="AR929" s="839"/>
      <c r="AS929" s="839"/>
      <c r="AT929" s="839"/>
      <c r="AU929" s="839"/>
      <c r="AV929" s="849"/>
      <c r="AW929" s="134" t="s">
        <v>3208</v>
      </c>
      <c r="AX929" s="136" t="s">
        <v>3208</v>
      </c>
      <c r="AY929" s="137" t="s">
        <v>2576</v>
      </c>
      <c r="AZ929" s="136">
        <v>1</v>
      </c>
      <c r="BA929" s="136">
        <v>1</v>
      </c>
      <c r="BB929" s="136">
        <v>1</v>
      </c>
      <c r="BC929" s="214">
        <v>76</v>
      </c>
      <c r="BD929" s="136">
        <v>0</v>
      </c>
      <c r="BE929" s="214">
        <v>0</v>
      </c>
      <c r="BF929" s="136">
        <v>1</v>
      </c>
      <c r="BG929" s="214">
        <v>76</v>
      </c>
      <c r="BH929" s="214">
        <v>0.152</v>
      </c>
      <c r="BI929" s="134">
        <v>0</v>
      </c>
      <c r="BJ929" s="214">
        <v>0</v>
      </c>
      <c r="BK929" s="137">
        <v>0.84799999999999998</v>
      </c>
      <c r="BL929" s="137">
        <v>1</v>
      </c>
      <c r="BM929" s="137">
        <v>3</v>
      </c>
      <c r="BN929" s="134">
        <v>0.78947368421052633</v>
      </c>
      <c r="BO929" s="351">
        <v>60</v>
      </c>
      <c r="BP929" s="134">
        <v>0.26315789473684209</v>
      </c>
      <c r="BQ929" s="214">
        <v>1</v>
      </c>
      <c r="BR929" s="137">
        <v>4</v>
      </c>
      <c r="BS929" s="138">
        <v>0</v>
      </c>
      <c r="BT929" s="351">
        <v>60</v>
      </c>
      <c r="BU929" s="214">
        <v>0</v>
      </c>
      <c r="BV929" s="214">
        <v>0</v>
      </c>
      <c r="BW929" s="214">
        <v>0</v>
      </c>
      <c r="BX929" s="214">
        <v>0</v>
      </c>
      <c r="BY929" s="214">
        <v>0</v>
      </c>
      <c r="BZ929" s="134">
        <v>0</v>
      </c>
      <c r="CA929" s="138">
        <v>1</v>
      </c>
      <c r="CB929" s="136">
        <v>0</v>
      </c>
      <c r="CC929" s="136">
        <v>0</v>
      </c>
      <c r="CD929" s="136">
        <v>0</v>
      </c>
      <c r="CE929" s="137">
        <v>0</v>
      </c>
      <c r="CF929" s="137">
        <v>0</v>
      </c>
      <c r="CG929" s="137">
        <v>0</v>
      </c>
      <c r="CH929" s="214">
        <v>8.4</v>
      </c>
      <c r="CI929" s="139" t="s">
        <v>48</v>
      </c>
      <c r="CJ929" s="139" t="s">
        <v>389</v>
      </c>
      <c r="CK929" s="139" t="s">
        <v>50</v>
      </c>
      <c r="CL929" s="139" t="s">
        <v>50</v>
      </c>
      <c r="CM929" s="139" t="s">
        <v>50</v>
      </c>
      <c r="CN929" s="139" t="s">
        <v>51</v>
      </c>
      <c r="CO929" s="139">
        <v>25.371049444444399</v>
      </c>
      <c r="CP929" s="139">
        <v>97.290952037037002</v>
      </c>
      <c r="CQ929" s="139" t="s">
        <v>2010</v>
      </c>
      <c r="CR929" s="449" t="s">
        <v>40</v>
      </c>
      <c r="CS929" s="449"/>
      <c r="CT929" s="24"/>
      <c r="CU929" s="24"/>
      <c r="CV929" s="24"/>
    </row>
    <row r="930" spans="1:100" ht="15.75" customHeight="1" x14ac:dyDescent="0.25">
      <c r="A930" s="643" t="s">
        <v>1388</v>
      </c>
      <c r="B930" s="132" t="s">
        <v>43</v>
      </c>
      <c r="C930" s="132" t="s">
        <v>44</v>
      </c>
      <c r="D930" s="132" t="s">
        <v>305</v>
      </c>
      <c r="E930" s="132" t="s">
        <v>381</v>
      </c>
      <c r="F930" s="132">
        <v>63</v>
      </c>
      <c r="G930" s="214">
        <v>311</v>
      </c>
      <c r="H930" s="132"/>
      <c r="I930" s="132" t="s">
        <v>372</v>
      </c>
      <c r="J930" s="133">
        <v>43465</v>
      </c>
      <c r="K930" s="132">
        <v>0</v>
      </c>
      <c r="L930" s="132" t="s">
        <v>2452</v>
      </c>
      <c r="M930" s="134">
        <v>0.5</v>
      </c>
      <c r="N930" s="134">
        <v>0.2</v>
      </c>
      <c r="O930" s="320">
        <v>0</v>
      </c>
      <c r="P930" s="326">
        <v>0</v>
      </c>
      <c r="Q930" s="326">
        <v>5000</v>
      </c>
      <c r="R930" s="315">
        <v>0</v>
      </c>
      <c r="S930" s="315">
        <v>4</v>
      </c>
      <c r="T930" s="315"/>
      <c r="U930" s="315">
        <v>4</v>
      </c>
      <c r="V930" s="315">
        <v>2</v>
      </c>
      <c r="W930" s="315">
        <v>11</v>
      </c>
      <c r="X930" s="315">
        <v>1</v>
      </c>
      <c r="Y930" s="315">
        <v>0</v>
      </c>
      <c r="Z930" s="315"/>
      <c r="AA930" s="336">
        <v>20</v>
      </c>
      <c r="AB930" s="336">
        <v>0</v>
      </c>
      <c r="AC930" s="337">
        <v>0</v>
      </c>
      <c r="AD930" s="337"/>
      <c r="AE930" s="336">
        <v>13</v>
      </c>
      <c r="AF930" s="336" t="s">
        <v>283</v>
      </c>
      <c r="AG930" s="339" t="s">
        <v>283</v>
      </c>
      <c r="AH930" s="339">
        <v>0</v>
      </c>
      <c r="AI930" s="336">
        <v>0</v>
      </c>
      <c r="AJ930" s="336"/>
      <c r="AK930" s="848">
        <v>0</v>
      </c>
      <c r="AL930" s="836" t="s">
        <v>376</v>
      </c>
      <c r="AM930" s="836">
        <v>0</v>
      </c>
      <c r="AN930" s="848">
        <v>3</v>
      </c>
      <c r="AO930" s="850">
        <v>2</v>
      </c>
      <c r="AP930" s="838">
        <v>0</v>
      </c>
      <c r="AQ930" s="839">
        <v>0</v>
      </c>
      <c r="AR930" s="839" t="s">
        <v>282</v>
      </c>
      <c r="AS930" s="839"/>
      <c r="AT930" s="839"/>
      <c r="AU930" s="839"/>
      <c r="AV930" s="849"/>
      <c r="AW930" s="134">
        <v>0.5</v>
      </c>
      <c r="AX930" s="136">
        <v>9.0909090909090912E-2</v>
      </c>
      <c r="AY930" s="137" t="s">
        <v>2577</v>
      </c>
      <c r="AZ930" s="136">
        <v>1</v>
      </c>
      <c r="BA930" s="136">
        <v>1</v>
      </c>
      <c r="BB930" s="136">
        <v>1</v>
      </c>
      <c r="BC930" s="214">
        <v>311</v>
      </c>
      <c r="BD930" s="136">
        <v>0</v>
      </c>
      <c r="BE930" s="214">
        <v>0</v>
      </c>
      <c r="BF930" s="136">
        <v>1</v>
      </c>
      <c r="BG930" s="214">
        <v>311</v>
      </c>
      <c r="BH930" s="214">
        <v>0.622</v>
      </c>
      <c r="BI930" s="134">
        <v>0</v>
      </c>
      <c r="BJ930" s="214">
        <v>0</v>
      </c>
      <c r="BK930" s="137">
        <v>0.378</v>
      </c>
      <c r="BL930" s="137">
        <v>1</v>
      </c>
      <c r="BM930" s="137">
        <v>20</v>
      </c>
      <c r="BN930" s="134">
        <v>1</v>
      </c>
      <c r="BO930" s="351">
        <v>311</v>
      </c>
      <c r="BP930" s="134">
        <v>0</v>
      </c>
      <c r="BQ930" s="214">
        <v>0</v>
      </c>
      <c r="BR930" s="137">
        <v>16</v>
      </c>
      <c r="BS930" s="138">
        <v>0</v>
      </c>
      <c r="BT930" s="351">
        <v>0</v>
      </c>
      <c r="BU930" s="214">
        <v>311</v>
      </c>
      <c r="BV930" s="214">
        <v>0</v>
      </c>
      <c r="BW930" s="214">
        <v>1</v>
      </c>
      <c r="BX930" s="214">
        <v>0</v>
      </c>
      <c r="BY930" s="214">
        <v>0</v>
      </c>
      <c r="BZ930" s="134">
        <v>0</v>
      </c>
      <c r="CA930" s="138">
        <v>1</v>
      </c>
      <c r="CB930" s="136">
        <v>1</v>
      </c>
      <c r="CC930" s="136">
        <v>0</v>
      </c>
      <c r="CD930" s="136">
        <v>0</v>
      </c>
      <c r="CE930" s="137">
        <v>0</v>
      </c>
      <c r="CF930" s="137">
        <v>0</v>
      </c>
      <c r="CG930" s="137">
        <v>0</v>
      </c>
      <c r="CH930" s="214">
        <v>0</v>
      </c>
      <c r="CI930" s="139" t="s">
        <v>48</v>
      </c>
      <c r="CJ930" s="139" t="s">
        <v>1539</v>
      </c>
      <c r="CK930" s="139" t="s">
        <v>50</v>
      </c>
      <c r="CL930" s="139" t="s">
        <v>50</v>
      </c>
      <c r="CM930" s="139" t="s">
        <v>50</v>
      </c>
      <c r="CN930" s="139" t="s">
        <v>51</v>
      </c>
      <c r="CO930" s="139">
        <v>25.410569299999999</v>
      </c>
      <c r="CP930" s="139">
        <v>97.359320179999997</v>
      </c>
      <c r="CQ930" s="139" t="s">
        <v>2022</v>
      </c>
      <c r="CR930" s="449" t="s">
        <v>40</v>
      </c>
      <c r="CS930" s="449"/>
      <c r="CT930" s="24"/>
      <c r="CU930" s="24"/>
      <c r="CV930" s="24"/>
    </row>
    <row r="931" spans="1:100" ht="15.75" customHeight="1" x14ac:dyDescent="0.25">
      <c r="A931" s="643" t="s">
        <v>1388</v>
      </c>
      <c r="B931" s="132" t="s">
        <v>287</v>
      </c>
      <c r="C931" s="132" t="s">
        <v>44</v>
      </c>
      <c r="D931" s="132" t="s">
        <v>305</v>
      </c>
      <c r="E931" s="132" t="s">
        <v>313</v>
      </c>
      <c r="F931" s="132">
        <v>67</v>
      </c>
      <c r="G931" s="214">
        <v>295</v>
      </c>
      <c r="H931" s="132"/>
      <c r="I931" s="132" t="s">
        <v>290</v>
      </c>
      <c r="J931" s="133">
        <v>43555</v>
      </c>
      <c r="K931" s="132">
        <v>0</v>
      </c>
      <c r="L931" s="132" t="s">
        <v>48</v>
      </c>
      <c r="M931" s="134">
        <v>0.6</v>
      </c>
      <c r="N931" s="134">
        <v>0.5</v>
      </c>
      <c r="O931" s="320">
        <v>1</v>
      </c>
      <c r="P931" s="326">
        <v>2</v>
      </c>
      <c r="Q931" s="326">
        <v>1500</v>
      </c>
      <c r="R931" s="315">
        <v>0</v>
      </c>
      <c r="S931" s="315">
        <v>0</v>
      </c>
      <c r="T931" s="315"/>
      <c r="U931" s="315">
        <v>0</v>
      </c>
      <c r="V931" s="315">
        <v>0</v>
      </c>
      <c r="W931" s="315">
        <v>0</v>
      </c>
      <c r="X931" s="315">
        <v>0</v>
      </c>
      <c r="Y931" s="315">
        <v>0</v>
      </c>
      <c r="Z931" s="315"/>
      <c r="AA931" s="336">
        <v>10</v>
      </c>
      <c r="AB931" s="336">
        <v>0</v>
      </c>
      <c r="AC931" s="337">
        <v>8</v>
      </c>
      <c r="AD931" s="337"/>
      <c r="AE931" s="336">
        <v>0</v>
      </c>
      <c r="AF931" s="336" t="s">
        <v>283</v>
      </c>
      <c r="AG931" s="339" t="s">
        <v>283</v>
      </c>
      <c r="AH931" s="339"/>
      <c r="AI931" s="336"/>
      <c r="AJ931" s="336"/>
      <c r="AK931" s="848">
        <v>0.6</v>
      </c>
      <c r="AL931" s="836" t="s">
        <v>376</v>
      </c>
      <c r="AM931" s="836">
        <v>0</v>
      </c>
      <c r="AN931" s="848">
        <v>2</v>
      </c>
      <c r="AO931" s="850">
        <v>1</v>
      </c>
      <c r="AP931" s="838">
        <v>0</v>
      </c>
      <c r="AQ931" s="839">
        <v>0</v>
      </c>
      <c r="AR931" s="839"/>
      <c r="AS931" s="839"/>
      <c r="AT931" s="839"/>
      <c r="AU931" s="839"/>
      <c r="AV931" s="849"/>
      <c r="AW931" s="134" t="s">
        <v>3208</v>
      </c>
      <c r="AX931" s="136" t="s">
        <v>3208</v>
      </c>
      <c r="AY931" s="137" t="s">
        <v>2576</v>
      </c>
      <c r="AZ931" s="136">
        <v>1</v>
      </c>
      <c r="BA931" s="136">
        <v>1</v>
      </c>
      <c r="BB931" s="136">
        <v>1</v>
      </c>
      <c r="BC931" s="214">
        <v>295</v>
      </c>
      <c r="BD931" s="136">
        <v>0</v>
      </c>
      <c r="BE931" s="214">
        <v>0</v>
      </c>
      <c r="BF931" s="136">
        <v>1</v>
      </c>
      <c r="BG931" s="214">
        <v>295</v>
      </c>
      <c r="BH931" s="214">
        <v>0.59</v>
      </c>
      <c r="BI931" s="134">
        <v>0</v>
      </c>
      <c r="BJ931" s="214">
        <v>0</v>
      </c>
      <c r="BK931" s="137">
        <v>0.41000000000000003</v>
      </c>
      <c r="BL931" s="137">
        <v>1</v>
      </c>
      <c r="BM931" s="137">
        <v>10</v>
      </c>
      <c r="BN931" s="134">
        <v>0.67796610169491522</v>
      </c>
      <c r="BO931" s="351">
        <v>200</v>
      </c>
      <c r="BP931" s="134">
        <v>0.33898305084745761</v>
      </c>
      <c r="BQ931" s="214">
        <v>5</v>
      </c>
      <c r="BR931" s="137">
        <v>15</v>
      </c>
      <c r="BS931" s="138">
        <v>0</v>
      </c>
      <c r="BT931" s="351">
        <v>160</v>
      </c>
      <c r="BU931" s="214">
        <v>295</v>
      </c>
      <c r="BV931" s="214">
        <v>0</v>
      </c>
      <c r="BW931" s="214">
        <v>1</v>
      </c>
      <c r="BX931" s="214">
        <v>0</v>
      </c>
      <c r="BY931" s="214">
        <v>0</v>
      </c>
      <c r="BZ931" s="134">
        <v>0</v>
      </c>
      <c r="CA931" s="138">
        <v>1</v>
      </c>
      <c r="CB931" s="136">
        <v>1</v>
      </c>
      <c r="CC931" s="136">
        <v>0</v>
      </c>
      <c r="CD931" s="136">
        <v>0</v>
      </c>
      <c r="CE931" s="137">
        <v>0</v>
      </c>
      <c r="CF931" s="137">
        <v>0</v>
      </c>
      <c r="CG931" s="137">
        <v>0</v>
      </c>
      <c r="CH931" s="214">
        <v>40.199999999999996</v>
      </c>
      <c r="CI931" s="139" t="s">
        <v>48</v>
      </c>
      <c r="CJ931" s="139" t="s">
        <v>287</v>
      </c>
      <c r="CK931" s="139" t="s">
        <v>50</v>
      </c>
      <c r="CL931" s="139" t="s">
        <v>50</v>
      </c>
      <c r="CM931" s="139" t="s">
        <v>50</v>
      </c>
      <c r="CN931" s="139" t="s">
        <v>51</v>
      </c>
      <c r="CO931" s="139">
        <v>25.422194000000001</v>
      </c>
      <c r="CP931" s="139">
        <v>97.394547000000003</v>
      </c>
      <c r="CQ931" s="139" t="s">
        <v>2029</v>
      </c>
      <c r="CR931" s="449" t="s">
        <v>40</v>
      </c>
      <c r="CS931" s="449"/>
      <c r="CT931" s="24"/>
      <c r="CU931" s="24"/>
      <c r="CV931" s="24"/>
    </row>
    <row r="932" spans="1:100" ht="15.75" customHeight="1" x14ac:dyDescent="0.25">
      <c r="A932" s="643" t="s">
        <v>1388</v>
      </c>
      <c r="B932" s="132" t="s">
        <v>43</v>
      </c>
      <c r="C932" s="132" t="s">
        <v>44</v>
      </c>
      <c r="D932" s="132" t="s">
        <v>305</v>
      </c>
      <c r="E932" s="132" t="s">
        <v>382</v>
      </c>
      <c r="F932" s="132">
        <v>49</v>
      </c>
      <c r="G932" s="214">
        <v>289</v>
      </c>
      <c r="H932" s="132"/>
      <c r="I932" s="132" t="s">
        <v>372</v>
      </c>
      <c r="J932" s="133">
        <v>43465</v>
      </c>
      <c r="K932" s="132">
        <v>0</v>
      </c>
      <c r="L932" s="132" t="s">
        <v>2452</v>
      </c>
      <c r="M932" s="134">
        <v>0.6</v>
      </c>
      <c r="N932" s="134">
        <v>0.5</v>
      </c>
      <c r="O932" s="320">
        <v>2</v>
      </c>
      <c r="P932" s="326">
        <v>0</v>
      </c>
      <c r="Q932" s="326">
        <v>6000</v>
      </c>
      <c r="R932" s="315">
        <v>0</v>
      </c>
      <c r="S932" s="315">
        <v>0</v>
      </c>
      <c r="T932" s="315"/>
      <c r="U932" s="315">
        <v>2</v>
      </c>
      <c r="V932" s="315">
        <v>2</v>
      </c>
      <c r="W932" s="315">
        <v>14</v>
      </c>
      <c r="X932" s="315">
        <v>1</v>
      </c>
      <c r="Y932" s="315">
        <v>0</v>
      </c>
      <c r="Z932" s="315"/>
      <c r="AA932" s="336">
        <v>12</v>
      </c>
      <c r="AB932" s="336">
        <v>0</v>
      </c>
      <c r="AC932" s="337">
        <v>0</v>
      </c>
      <c r="AD932" s="337"/>
      <c r="AE932" s="336">
        <v>12</v>
      </c>
      <c r="AF932" s="336" t="s">
        <v>283</v>
      </c>
      <c r="AG932" s="339" t="s">
        <v>283</v>
      </c>
      <c r="AH932" s="339">
        <v>0</v>
      </c>
      <c r="AI932" s="336">
        <v>0</v>
      </c>
      <c r="AJ932" s="336"/>
      <c r="AK932" s="848">
        <v>0</v>
      </c>
      <c r="AL932" s="836" t="s">
        <v>376</v>
      </c>
      <c r="AM932" s="836">
        <v>0</v>
      </c>
      <c r="AN932" s="848">
        <v>3</v>
      </c>
      <c r="AO932" s="850">
        <v>2</v>
      </c>
      <c r="AP932" s="838">
        <v>0</v>
      </c>
      <c r="AQ932" s="839">
        <v>0</v>
      </c>
      <c r="AR932" s="839" t="s">
        <v>282</v>
      </c>
      <c r="AS932" s="839"/>
      <c r="AT932" s="839"/>
      <c r="AU932" s="839"/>
      <c r="AV932" s="849"/>
      <c r="AW932" s="134">
        <v>1</v>
      </c>
      <c r="AX932" s="136">
        <v>7.1428571428571425E-2</v>
      </c>
      <c r="AY932" s="137" t="s">
        <v>2577</v>
      </c>
      <c r="AZ932" s="136">
        <v>1</v>
      </c>
      <c r="BA932" s="136">
        <v>1</v>
      </c>
      <c r="BB932" s="136">
        <v>1</v>
      </c>
      <c r="BC932" s="214">
        <v>289</v>
      </c>
      <c r="BD932" s="136">
        <v>0</v>
      </c>
      <c r="BE932" s="214">
        <v>0</v>
      </c>
      <c r="BF932" s="136">
        <v>1</v>
      </c>
      <c r="BG932" s="214">
        <v>289</v>
      </c>
      <c r="BH932" s="214">
        <v>0.57799999999999996</v>
      </c>
      <c r="BI932" s="134">
        <v>0</v>
      </c>
      <c r="BJ932" s="214">
        <v>0</v>
      </c>
      <c r="BK932" s="137">
        <v>0.42200000000000004</v>
      </c>
      <c r="BL932" s="137">
        <v>1</v>
      </c>
      <c r="BM932" s="137">
        <v>12</v>
      </c>
      <c r="BN932" s="134">
        <v>0.83044982698961933</v>
      </c>
      <c r="BO932" s="351">
        <v>240</v>
      </c>
      <c r="BP932" s="134">
        <v>0.13840830449826991</v>
      </c>
      <c r="BQ932" s="214">
        <v>2</v>
      </c>
      <c r="BR932" s="137">
        <v>14</v>
      </c>
      <c r="BS932" s="138">
        <v>0</v>
      </c>
      <c r="BT932" s="351">
        <v>0</v>
      </c>
      <c r="BU932" s="214">
        <v>289</v>
      </c>
      <c r="BV932" s="214">
        <v>0</v>
      </c>
      <c r="BW932" s="214">
        <v>1</v>
      </c>
      <c r="BX932" s="214">
        <v>0</v>
      </c>
      <c r="BY932" s="214">
        <v>0</v>
      </c>
      <c r="BZ932" s="134">
        <v>0</v>
      </c>
      <c r="CA932" s="138">
        <v>1</v>
      </c>
      <c r="CB932" s="136">
        <v>1</v>
      </c>
      <c r="CC932" s="136">
        <v>0</v>
      </c>
      <c r="CD932" s="136">
        <v>0</v>
      </c>
      <c r="CE932" s="137">
        <v>0</v>
      </c>
      <c r="CF932" s="137">
        <v>0</v>
      </c>
      <c r="CG932" s="137">
        <v>0</v>
      </c>
      <c r="CH932" s="214">
        <v>0</v>
      </c>
      <c r="CI932" s="139" t="s">
        <v>48</v>
      </c>
      <c r="CJ932" s="139" t="s">
        <v>1539</v>
      </c>
      <c r="CK932" s="139" t="s">
        <v>50</v>
      </c>
      <c r="CL932" s="139" t="s">
        <v>50</v>
      </c>
      <c r="CM932" s="139" t="s">
        <v>50</v>
      </c>
      <c r="CN932" s="139" t="s">
        <v>51</v>
      </c>
      <c r="CO932" s="139">
        <v>25.493819999999999</v>
      </c>
      <c r="CP932" s="139">
        <v>97.4345</v>
      </c>
      <c r="CQ932" s="139" t="s">
        <v>2035</v>
      </c>
      <c r="CR932" s="449" t="s">
        <v>40</v>
      </c>
      <c r="CS932" s="449"/>
      <c r="CT932" s="24"/>
      <c r="CU932" s="24"/>
      <c r="CV932" s="24"/>
    </row>
    <row r="933" spans="1:100" ht="15.75" customHeight="1" x14ac:dyDescent="0.25">
      <c r="A933" s="643" t="s">
        <v>1388</v>
      </c>
      <c r="B933" s="132" t="s">
        <v>287</v>
      </c>
      <c r="C933" s="132" t="s">
        <v>44</v>
      </c>
      <c r="D933" s="132" t="s">
        <v>305</v>
      </c>
      <c r="E933" s="132" t="s">
        <v>314</v>
      </c>
      <c r="F933" s="132">
        <v>119</v>
      </c>
      <c r="G933" s="214">
        <v>569</v>
      </c>
      <c r="H933" s="132"/>
      <c r="I933" s="132" t="s">
        <v>290</v>
      </c>
      <c r="J933" s="133">
        <v>43555</v>
      </c>
      <c r="K933" s="132">
        <v>0</v>
      </c>
      <c r="L933" s="132" t="s">
        <v>48</v>
      </c>
      <c r="M933" s="134">
        <v>0.6</v>
      </c>
      <c r="N933" s="134">
        <v>0.5</v>
      </c>
      <c r="O933" s="320">
        <v>1</v>
      </c>
      <c r="P933" s="326">
        <v>1</v>
      </c>
      <c r="Q933" s="326">
        <v>3000</v>
      </c>
      <c r="R933" s="315">
        <v>0</v>
      </c>
      <c r="S933" s="315">
        <v>0</v>
      </c>
      <c r="T933" s="315"/>
      <c r="U933" s="315">
        <v>0</v>
      </c>
      <c r="V933" s="315">
        <v>0</v>
      </c>
      <c r="W933" s="315">
        <v>0</v>
      </c>
      <c r="X933" s="315">
        <v>0</v>
      </c>
      <c r="Y933" s="315">
        <v>0</v>
      </c>
      <c r="Z933" s="315"/>
      <c r="AA933" s="336">
        <v>13</v>
      </c>
      <c r="AB933" s="336">
        <v>0</v>
      </c>
      <c r="AC933" s="337">
        <v>0</v>
      </c>
      <c r="AD933" s="337"/>
      <c r="AE933" s="336">
        <v>0</v>
      </c>
      <c r="AF933" s="336" t="s">
        <v>283</v>
      </c>
      <c r="AG933" s="339" t="s">
        <v>283</v>
      </c>
      <c r="AH933" s="339"/>
      <c r="AI933" s="336"/>
      <c r="AJ933" s="336"/>
      <c r="AK933" s="848">
        <v>0.6</v>
      </c>
      <c r="AL933" s="836" t="s">
        <v>291</v>
      </c>
      <c r="AM933" s="836">
        <v>0</v>
      </c>
      <c r="AN933" s="848">
        <v>2</v>
      </c>
      <c r="AO933" s="850">
        <v>2</v>
      </c>
      <c r="AP933" s="838">
        <v>0</v>
      </c>
      <c r="AQ933" s="839">
        <v>0</v>
      </c>
      <c r="AR933" s="839"/>
      <c r="AS933" s="839"/>
      <c r="AT933" s="839"/>
      <c r="AU933" s="839"/>
      <c r="AV933" s="849"/>
      <c r="AW933" s="134" t="s">
        <v>3208</v>
      </c>
      <c r="AX933" s="136" t="s">
        <v>3208</v>
      </c>
      <c r="AY933" s="137" t="s">
        <v>2576</v>
      </c>
      <c r="AZ933" s="136">
        <v>1</v>
      </c>
      <c r="BA933" s="136">
        <v>1</v>
      </c>
      <c r="BB933" s="136">
        <v>1</v>
      </c>
      <c r="BC933" s="214">
        <v>569</v>
      </c>
      <c r="BD933" s="136">
        <v>0</v>
      </c>
      <c r="BE933" s="214">
        <v>0</v>
      </c>
      <c r="BF933" s="136">
        <v>1</v>
      </c>
      <c r="BG933" s="214">
        <v>569</v>
      </c>
      <c r="BH933" s="214">
        <v>1.1379999999999999</v>
      </c>
      <c r="BI933" s="134">
        <v>0</v>
      </c>
      <c r="BJ933" s="214">
        <v>0</v>
      </c>
      <c r="BK933" s="137">
        <v>0</v>
      </c>
      <c r="BL933" s="137">
        <v>1</v>
      </c>
      <c r="BM933" s="137">
        <v>13</v>
      </c>
      <c r="BN933" s="134">
        <v>0.45694200351493847</v>
      </c>
      <c r="BO933" s="351">
        <v>260</v>
      </c>
      <c r="BP933" s="134">
        <v>0.52724077328646746</v>
      </c>
      <c r="BQ933" s="214">
        <v>15</v>
      </c>
      <c r="BR933" s="137">
        <v>28</v>
      </c>
      <c r="BS933" s="138">
        <v>0</v>
      </c>
      <c r="BT933" s="351">
        <v>0</v>
      </c>
      <c r="BU933" s="214">
        <v>569</v>
      </c>
      <c r="BV933" s="214">
        <v>0</v>
      </c>
      <c r="BW933" s="214">
        <v>1</v>
      </c>
      <c r="BX933" s="214">
        <v>0</v>
      </c>
      <c r="BY933" s="214">
        <v>0</v>
      </c>
      <c r="BZ933" s="134">
        <v>0</v>
      </c>
      <c r="CA933" s="138">
        <v>1</v>
      </c>
      <c r="CB933" s="136">
        <v>1</v>
      </c>
      <c r="CC933" s="136">
        <v>0</v>
      </c>
      <c r="CD933" s="136">
        <v>0</v>
      </c>
      <c r="CE933" s="137">
        <v>0</v>
      </c>
      <c r="CF933" s="137">
        <v>0</v>
      </c>
      <c r="CG933" s="137">
        <v>0</v>
      </c>
      <c r="CH933" s="214">
        <v>71.399999999999991</v>
      </c>
      <c r="CI933" s="139" t="s">
        <v>48</v>
      </c>
      <c r="CJ933" s="139" t="s">
        <v>287</v>
      </c>
      <c r="CK933" s="139" t="s">
        <v>50</v>
      </c>
      <c r="CL933" s="139" t="s">
        <v>50</v>
      </c>
      <c r="CM933" s="139" t="s">
        <v>50</v>
      </c>
      <c r="CN933" s="139" t="s">
        <v>51</v>
      </c>
      <c r="CO933" s="139">
        <v>25.412313000000001</v>
      </c>
      <c r="CP933" s="139">
        <v>97.399628000000007</v>
      </c>
      <c r="CQ933" s="139" t="s">
        <v>2024</v>
      </c>
      <c r="CR933" s="449" t="s">
        <v>40</v>
      </c>
      <c r="CS933" s="449"/>
      <c r="CT933" s="24"/>
      <c r="CU933" s="24"/>
      <c r="CV933" s="24"/>
    </row>
    <row r="934" spans="1:100" ht="15.75" customHeight="1" x14ac:dyDescent="0.25">
      <c r="A934" s="643" t="s">
        <v>1388</v>
      </c>
      <c r="B934" s="132" t="s">
        <v>389</v>
      </c>
      <c r="C934" s="132" t="s">
        <v>44</v>
      </c>
      <c r="D934" s="132" t="s">
        <v>305</v>
      </c>
      <c r="E934" s="132" t="s">
        <v>415</v>
      </c>
      <c r="F934" s="132">
        <v>23</v>
      </c>
      <c r="G934" s="214">
        <v>114</v>
      </c>
      <c r="H934" s="132"/>
      <c r="I934" s="132" t="s">
        <v>391</v>
      </c>
      <c r="J934" s="133">
        <v>42947</v>
      </c>
      <c r="K934" s="132">
        <v>0</v>
      </c>
      <c r="L934" s="132" t="s">
        <v>48</v>
      </c>
      <c r="M934" s="134">
        <v>0.71</v>
      </c>
      <c r="N934" s="134">
        <v>1</v>
      </c>
      <c r="O934" s="320">
        <v>1</v>
      </c>
      <c r="P934" s="326">
        <v>0</v>
      </c>
      <c r="Q934" s="326">
        <v>0</v>
      </c>
      <c r="R934" s="315">
        <v>0</v>
      </c>
      <c r="S934" s="315">
        <v>2</v>
      </c>
      <c r="T934" s="315"/>
      <c r="U934" s="315">
        <v>0</v>
      </c>
      <c r="V934" s="315">
        <v>0</v>
      </c>
      <c r="W934" s="315">
        <v>0</v>
      </c>
      <c r="X934" s="315">
        <v>0</v>
      </c>
      <c r="Y934" s="315">
        <v>0</v>
      </c>
      <c r="Z934" s="315"/>
      <c r="AA934" s="336">
        <v>7</v>
      </c>
      <c r="AB934" s="336">
        <v>0</v>
      </c>
      <c r="AC934" s="337">
        <v>0</v>
      </c>
      <c r="AD934" s="337"/>
      <c r="AE934" s="336">
        <v>7</v>
      </c>
      <c r="AF934" s="336" t="s">
        <v>283</v>
      </c>
      <c r="AG934" s="339" t="s">
        <v>1358</v>
      </c>
      <c r="AH934" s="339">
        <v>0</v>
      </c>
      <c r="AI934" s="336">
        <v>0</v>
      </c>
      <c r="AJ934" s="336"/>
      <c r="AK934" s="848">
        <v>0.6</v>
      </c>
      <c r="AL934" s="836" t="s">
        <v>376</v>
      </c>
      <c r="AM934" s="836">
        <v>0</v>
      </c>
      <c r="AN934" s="848">
        <v>2</v>
      </c>
      <c r="AO934" s="850">
        <v>0</v>
      </c>
      <c r="AP934" s="838">
        <v>0</v>
      </c>
      <c r="AQ934" s="839">
        <v>0</v>
      </c>
      <c r="AR934" s="839"/>
      <c r="AS934" s="839"/>
      <c r="AT934" s="839"/>
      <c r="AU934" s="839"/>
      <c r="AV934" s="849"/>
      <c r="AW934" s="134" t="s">
        <v>3208</v>
      </c>
      <c r="AX934" s="136" t="s">
        <v>3208</v>
      </c>
      <c r="AY934" s="137" t="s">
        <v>2576</v>
      </c>
      <c r="AZ934" s="136">
        <v>1</v>
      </c>
      <c r="BA934" s="136">
        <v>1</v>
      </c>
      <c r="BB934" s="136">
        <v>1</v>
      </c>
      <c r="BC934" s="214">
        <v>114</v>
      </c>
      <c r="BD934" s="136">
        <v>0</v>
      </c>
      <c r="BE934" s="214">
        <v>0</v>
      </c>
      <c r="BF934" s="136">
        <v>1</v>
      </c>
      <c r="BG934" s="214">
        <v>114</v>
      </c>
      <c r="BH934" s="214">
        <v>0.22800000000000001</v>
      </c>
      <c r="BI934" s="134">
        <v>0</v>
      </c>
      <c r="BJ934" s="214">
        <v>0</v>
      </c>
      <c r="BK934" s="137">
        <v>0.77200000000000002</v>
      </c>
      <c r="BL934" s="137">
        <v>1</v>
      </c>
      <c r="BM934" s="137">
        <v>7</v>
      </c>
      <c r="BN934" s="134">
        <v>1</v>
      </c>
      <c r="BO934" s="351">
        <v>114</v>
      </c>
      <c r="BP934" s="134">
        <v>0</v>
      </c>
      <c r="BQ934" s="214">
        <v>0</v>
      </c>
      <c r="BR934" s="137">
        <v>6</v>
      </c>
      <c r="BS934" s="138">
        <v>0</v>
      </c>
      <c r="BT934" s="351">
        <v>0</v>
      </c>
      <c r="BU934" s="214">
        <v>0</v>
      </c>
      <c r="BV934" s="214">
        <v>0</v>
      </c>
      <c r="BW934" s="214">
        <v>0</v>
      </c>
      <c r="BX934" s="214">
        <v>0</v>
      </c>
      <c r="BY934" s="214">
        <v>0</v>
      </c>
      <c r="BZ934" s="134">
        <v>0</v>
      </c>
      <c r="CA934" s="138">
        <v>1</v>
      </c>
      <c r="CB934" s="136">
        <v>0</v>
      </c>
      <c r="CC934" s="136">
        <v>0</v>
      </c>
      <c r="CD934" s="136">
        <v>0</v>
      </c>
      <c r="CE934" s="137">
        <v>0</v>
      </c>
      <c r="CF934" s="137">
        <v>0</v>
      </c>
      <c r="CG934" s="137">
        <v>0</v>
      </c>
      <c r="CH934" s="214">
        <v>13.799999999999999</v>
      </c>
      <c r="CI934" s="139" t="s">
        <v>48</v>
      </c>
      <c r="CJ934" s="139" t="s">
        <v>389</v>
      </c>
      <c r="CK934" s="139" t="s">
        <v>50</v>
      </c>
      <c r="CL934" s="139" t="s">
        <v>50</v>
      </c>
      <c r="CM934" s="139" t="s">
        <v>50</v>
      </c>
      <c r="CN934" s="139" t="s">
        <v>51</v>
      </c>
      <c r="CO934" s="139">
        <v>25.423817</v>
      </c>
      <c r="CP934" s="139">
        <v>97.418004999999994</v>
      </c>
      <c r="CQ934" s="139" t="s">
        <v>2031</v>
      </c>
      <c r="CR934" s="449" t="s">
        <v>40</v>
      </c>
      <c r="CS934" s="449"/>
      <c r="CT934" s="24"/>
      <c r="CU934" s="24"/>
      <c r="CV934" s="24"/>
    </row>
    <row r="935" spans="1:100" ht="15.75" customHeight="1" x14ac:dyDescent="0.25">
      <c r="A935" s="643" t="s">
        <v>1388</v>
      </c>
      <c r="B935" s="132" t="s">
        <v>287</v>
      </c>
      <c r="C935" s="132" t="s">
        <v>44</v>
      </c>
      <c r="D935" s="132" t="s">
        <v>305</v>
      </c>
      <c r="E935" s="132" t="s">
        <v>315</v>
      </c>
      <c r="F935" s="132">
        <v>91</v>
      </c>
      <c r="G935" s="214">
        <v>501</v>
      </c>
      <c r="H935" s="132"/>
      <c r="I935" s="132" t="s">
        <v>290</v>
      </c>
      <c r="J935" s="133">
        <v>43555</v>
      </c>
      <c r="K935" s="132">
        <v>0</v>
      </c>
      <c r="L935" s="132" t="s">
        <v>48</v>
      </c>
      <c r="M935" s="134">
        <v>0.6</v>
      </c>
      <c r="N935" s="134">
        <v>0.5</v>
      </c>
      <c r="O935" s="320">
        <v>1</v>
      </c>
      <c r="P935" s="326">
        <v>1</v>
      </c>
      <c r="Q935" s="326">
        <v>0</v>
      </c>
      <c r="R935" s="315">
        <v>0</v>
      </c>
      <c r="S935" s="315">
        <v>0</v>
      </c>
      <c r="T935" s="315"/>
      <c r="U935" s="315">
        <v>0</v>
      </c>
      <c r="V935" s="315">
        <v>0</v>
      </c>
      <c r="W935" s="315">
        <v>0</v>
      </c>
      <c r="X935" s="315">
        <v>0</v>
      </c>
      <c r="Y935" s="315">
        <v>0</v>
      </c>
      <c r="Z935" s="315"/>
      <c r="AA935" s="336">
        <v>17</v>
      </c>
      <c r="AB935" s="336">
        <v>0</v>
      </c>
      <c r="AC935" s="337">
        <v>0</v>
      </c>
      <c r="AD935" s="337"/>
      <c r="AE935" s="336">
        <v>0</v>
      </c>
      <c r="AF935" s="336" t="s">
        <v>283</v>
      </c>
      <c r="AG935" s="339" t="s">
        <v>283</v>
      </c>
      <c r="AH935" s="339"/>
      <c r="AI935" s="336"/>
      <c r="AJ935" s="336"/>
      <c r="AK935" s="848">
        <v>0.6</v>
      </c>
      <c r="AL935" s="836" t="s">
        <v>291</v>
      </c>
      <c r="AM935" s="836">
        <v>0</v>
      </c>
      <c r="AN935" s="848">
        <v>2</v>
      </c>
      <c r="AO935" s="850">
        <v>2</v>
      </c>
      <c r="AP935" s="838">
        <v>0</v>
      </c>
      <c r="AQ935" s="839">
        <v>0</v>
      </c>
      <c r="AR935" s="839"/>
      <c r="AS935" s="839"/>
      <c r="AT935" s="839"/>
      <c r="AU935" s="839"/>
      <c r="AV935" s="849"/>
      <c r="AW935" s="134" t="s">
        <v>3208</v>
      </c>
      <c r="AX935" s="136" t="s">
        <v>3208</v>
      </c>
      <c r="AY935" s="137" t="s">
        <v>2576</v>
      </c>
      <c r="AZ935" s="136">
        <v>1</v>
      </c>
      <c r="BA935" s="136">
        <v>0.99800399201596801</v>
      </c>
      <c r="BB935" s="136">
        <v>1</v>
      </c>
      <c r="BC935" s="214">
        <v>501</v>
      </c>
      <c r="BD935" s="136">
        <v>0</v>
      </c>
      <c r="BE935" s="214">
        <v>0</v>
      </c>
      <c r="BF935" s="136">
        <v>1</v>
      </c>
      <c r="BG935" s="214">
        <v>501</v>
      </c>
      <c r="BH935" s="214">
        <v>1.002</v>
      </c>
      <c r="BI935" s="134">
        <v>0</v>
      </c>
      <c r="BJ935" s="214">
        <v>0</v>
      </c>
      <c r="BK935" s="137">
        <v>0</v>
      </c>
      <c r="BL935" s="137">
        <v>1</v>
      </c>
      <c r="BM935" s="137">
        <v>17</v>
      </c>
      <c r="BN935" s="134">
        <v>0.67864271457085823</v>
      </c>
      <c r="BO935" s="351">
        <v>340</v>
      </c>
      <c r="BP935" s="134">
        <v>0.31936127744510978</v>
      </c>
      <c r="BQ935" s="214">
        <v>8</v>
      </c>
      <c r="BR935" s="137">
        <v>25</v>
      </c>
      <c r="BS935" s="138">
        <v>0</v>
      </c>
      <c r="BT935" s="351">
        <v>0</v>
      </c>
      <c r="BU935" s="214">
        <v>501</v>
      </c>
      <c r="BV935" s="214">
        <v>0</v>
      </c>
      <c r="BW935" s="214">
        <v>1</v>
      </c>
      <c r="BX935" s="214">
        <v>0</v>
      </c>
      <c r="BY935" s="214">
        <v>0</v>
      </c>
      <c r="BZ935" s="134">
        <v>0</v>
      </c>
      <c r="CA935" s="138">
        <v>1</v>
      </c>
      <c r="CB935" s="136">
        <v>1</v>
      </c>
      <c r="CC935" s="136">
        <v>0</v>
      </c>
      <c r="CD935" s="136">
        <v>0</v>
      </c>
      <c r="CE935" s="137">
        <v>0</v>
      </c>
      <c r="CF935" s="137">
        <v>0</v>
      </c>
      <c r="CG935" s="137">
        <v>0</v>
      </c>
      <c r="CH935" s="214">
        <v>54.6</v>
      </c>
      <c r="CI935" s="139" t="s">
        <v>48</v>
      </c>
      <c r="CJ935" s="139" t="s">
        <v>287</v>
      </c>
      <c r="CK935" s="139" t="s">
        <v>50</v>
      </c>
      <c r="CL935" s="139" t="s">
        <v>50</v>
      </c>
      <c r="CM935" s="139" t="s">
        <v>50</v>
      </c>
      <c r="CN935" s="139" t="s">
        <v>51</v>
      </c>
      <c r="CO935" s="139">
        <v>25.440928</v>
      </c>
      <c r="CP935" s="139">
        <v>97.419403000000003</v>
      </c>
      <c r="CQ935" s="139" t="s">
        <v>2034</v>
      </c>
      <c r="CR935" s="449" t="s">
        <v>40</v>
      </c>
      <c r="CS935" s="449"/>
      <c r="CT935" s="24"/>
      <c r="CU935" s="24"/>
      <c r="CV935" s="24"/>
    </row>
    <row r="936" spans="1:100" ht="15.75" customHeight="1" x14ac:dyDescent="0.25">
      <c r="A936" s="643" t="s">
        <v>1388</v>
      </c>
      <c r="B936" s="132" t="s">
        <v>287</v>
      </c>
      <c r="C936" s="132" t="s">
        <v>44</v>
      </c>
      <c r="D936" s="132" t="s">
        <v>305</v>
      </c>
      <c r="E936" s="132" t="s">
        <v>316</v>
      </c>
      <c r="F936" s="132">
        <v>69</v>
      </c>
      <c r="G936" s="214">
        <v>369</v>
      </c>
      <c r="H936" s="132"/>
      <c r="I936" s="132" t="s">
        <v>290</v>
      </c>
      <c r="J936" s="133">
        <v>43555</v>
      </c>
      <c r="K936" s="132">
        <v>0</v>
      </c>
      <c r="L936" s="132" t="s">
        <v>48</v>
      </c>
      <c r="M936" s="134">
        <v>0.6</v>
      </c>
      <c r="N936" s="134">
        <v>0.5</v>
      </c>
      <c r="O936" s="320">
        <v>0</v>
      </c>
      <c r="P936" s="326">
        <v>2</v>
      </c>
      <c r="Q936" s="326">
        <v>1500</v>
      </c>
      <c r="R936" s="315">
        <v>0</v>
      </c>
      <c r="S936" s="315">
        <v>0</v>
      </c>
      <c r="T936" s="315"/>
      <c r="U936" s="315">
        <v>0</v>
      </c>
      <c r="V936" s="315">
        <v>0</v>
      </c>
      <c r="W936" s="315">
        <v>0</v>
      </c>
      <c r="X936" s="315">
        <v>0</v>
      </c>
      <c r="Y936" s="315">
        <v>0</v>
      </c>
      <c r="Z936" s="315"/>
      <c r="AA936" s="336">
        <v>11</v>
      </c>
      <c r="AB936" s="336">
        <v>8</v>
      </c>
      <c r="AC936" s="337">
        <v>0</v>
      </c>
      <c r="AD936" s="337"/>
      <c r="AE936" s="336">
        <v>0</v>
      </c>
      <c r="AF936" s="336" t="s">
        <v>283</v>
      </c>
      <c r="AG936" s="339" t="s">
        <v>283</v>
      </c>
      <c r="AH936" s="339"/>
      <c r="AI936" s="336"/>
      <c r="AJ936" s="336"/>
      <c r="AK936" s="848">
        <v>0.6</v>
      </c>
      <c r="AL936" s="836" t="s">
        <v>291</v>
      </c>
      <c r="AM936" s="836">
        <v>0</v>
      </c>
      <c r="AN936" s="848">
        <v>2</v>
      </c>
      <c r="AO936" s="850">
        <v>2</v>
      </c>
      <c r="AP936" s="838">
        <v>0</v>
      </c>
      <c r="AQ936" s="839">
        <v>0</v>
      </c>
      <c r="AR936" s="839"/>
      <c r="AS936" s="839"/>
      <c r="AT936" s="839"/>
      <c r="AU936" s="839"/>
      <c r="AV936" s="849"/>
      <c r="AW936" s="134" t="s">
        <v>3208</v>
      </c>
      <c r="AX936" s="136" t="s">
        <v>3208</v>
      </c>
      <c r="AY936" s="137" t="s">
        <v>2576</v>
      </c>
      <c r="AZ936" s="136">
        <v>1</v>
      </c>
      <c r="BA936" s="136">
        <v>1</v>
      </c>
      <c r="BB936" s="136">
        <v>1</v>
      </c>
      <c r="BC936" s="214">
        <v>369</v>
      </c>
      <c r="BD936" s="136">
        <v>0</v>
      </c>
      <c r="BE936" s="214">
        <v>0</v>
      </c>
      <c r="BF936" s="136">
        <v>1</v>
      </c>
      <c r="BG936" s="214">
        <v>369</v>
      </c>
      <c r="BH936" s="214">
        <v>0.73799999999999999</v>
      </c>
      <c r="BI936" s="134">
        <v>0</v>
      </c>
      <c r="BJ936" s="214">
        <v>0</v>
      </c>
      <c r="BK936" s="137">
        <v>0.26200000000000001</v>
      </c>
      <c r="BL936" s="137">
        <v>1</v>
      </c>
      <c r="BM936" s="137">
        <v>19</v>
      </c>
      <c r="BN936" s="134">
        <v>0.59620596205962062</v>
      </c>
      <c r="BO936" s="351">
        <v>220</v>
      </c>
      <c r="BP936" s="134">
        <v>0</v>
      </c>
      <c r="BQ936" s="214">
        <v>0</v>
      </c>
      <c r="BR936" s="137">
        <v>18</v>
      </c>
      <c r="BS936" s="138">
        <v>0.42105263157894735</v>
      </c>
      <c r="BT936" s="351">
        <v>0</v>
      </c>
      <c r="BU936" s="214">
        <v>369</v>
      </c>
      <c r="BV936" s="214">
        <v>0</v>
      </c>
      <c r="BW936" s="214">
        <v>1</v>
      </c>
      <c r="BX936" s="214">
        <v>0</v>
      </c>
      <c r="BY936" s="214">
        <v>0</v>
      </c>
      <c r="BZ936" s="134">
        <v>0</v>
      </c>
      <c r="CA936" s="138">
        <v>1</v>
      </c>
      <c r="CB936" s="136">
        <v>1</v>
      </c>
      <c r="CC936" s="136">
        <v>0</v>
      </c>
      <c r="CD936" s="136">
        <v>0</v>
      </c>
      <c r="CE936" s="137">
        <v>0</v>
      </c>
      <c r="CF936" s="137">
        <v>0</v>
      </c>
      <c r="CG936" s="137">
        <v>0</v>
      </c>
      <c r="CH936" s="214">
        <v>41.4</v>
      </c>
      <c r="CI936" s="139" t="s">
        <v>48</v>
      </c>
      <c r="CJ936" s="139" t="s">
        <v>287</v>
      </c>
      <c r="CK936" s="139" t="s">
        <v>50</v>
      </c>
      <c r="CL936" s="139" t="s">
        <v>50</v>
      </c>
      <c r="CM936" s="139" t="s">
        <v>50</v>
      </c>
      <c r="CN936" s="139" t="s">
        <v>51</v>
      </c>
      <c r="CO936" s="139">
        <v>25.415482000000001</v>
      </c>
      <c r="CP936" s="139">
        <v>97.386718999999999</v>
      </c>
      <c r="CQ936" s="139" t="s">
        <v>2025</v>
      </c>
      <c r="CR936" s="449" t="s">
        <v>40</v>
      </c>
      <c r="CS936" s="449"/>
      <c r="CT936" s="24"/>
      <c r="CU936" s="24"/>
      <c r="CV936" s="24"/>
    </row>
    <row r="937" spans="1:100" ht="15.75" customHeight="1" x14ac:dyDescent="0.25">
      <c r="A937" s="643" t="s">
        <v>1388</v>
      </c>
      <c r="B937" s="132" t="s">
        <v>389</v>
      </c>
      <c r="C937" s="132" t="s">
        <v>44</v>
      </c>
      <c r="D937" s="132" t="s">
        <v>305</v>
      </c>
      <c r="E937" s="132" t="s">
        <v>416</v>
      </c>
      <c r="F937" s="132">
        <v>54</v>
      </c>
      <c r="G937" s="214">
        <v>266</v>
      </c>
      <c r="H937" s="132"/>
      <c r="I937" s="132" t="s">
        <v>391</v>
      </c>
      <c r="J937" s="133">
        <v>42947</v>
      </c>
      <c r="K937" s="132">
        <v>0</v>
      </c>
      <c r="L937" s="132" t="s">
        <v>48</v>
      </c>
      <c r="M937" s="134">
        <v>0.71</v>
      </c>
      <c r="N937" s="134">
        <v>1</v>
      </c>
      <c r="O937" s="320">
        <v>1</v>
      </c>
      <c r="P937" s="326">
        <v>4</v>
      </c>
      <c r="Q937" s="326">
        <v>2000</v>
      </c>
      <c r="R937" s="315">
        <v>0</v>
      </c>
      <c r="S937" s="315">
        <v>1</v>
      </c>
      <c r="T937" s="315"/>
      <c r="U937" s="315">
        <v>0</v>
      </c>
      <c r="V937" s="315">
        <v>0</v>
      </c>
      <c r="W937" s="315">
        <v>0</v>
      </c>
      <c r="X937" s="315">
        <v>0</v>
      </c>
      <c r="Y937" s="315">
        <v>0</v>
      </c>
      <c r="Z937" s="315"/>
      <c r="AA937" s="336">
        <v>10</v>
      </c>
      <c r="AB937" s="336">
        <v>2</v>
      </c>
      <c r="AC937" s="337">
        <v>4</v>
      </c>
      <c r="AD937" s="337"/>
      <c r="AE937" s="336">
        <v>10</v>
      </c>
      <c r="AF937" s="336" t="s">
        <v>283</v>
      </c>
      <c r="AG937" s="339" t="s">
        <v>283</v>
      </c>
      <c r="AH937" s="339">
        <v>0</v>
      </c>
      <c r="AI937" s="336">
        <v>0</v>
      </c>
      <c r="AJ937" s="336"/>
      <c r="AK937" s="848">
        <v>0.5</v>
      </c>
      <c r="AL937" s="836" t="s">
        <v>376</v>
      </c>
      <c r="AM937" s="836">
        <v>0</v>
      </c>
      <c r="AN937" s="848">
        <v>4</v>
      </c>
      <c r="AO937" s="850">
        <v>0</v>
      </c>
      <c r="AP937" s="838">
        <v>0</v>
      </c>
      <c r="AQ937" s="839">
        <v>0</v>
      </c>
      <c r="AR937" s="839"/>
      <c r="AS937" s="839"/>
      <c r="AT937" s="839"/>
      <c r="AU937" s="839"/>
      <c r="AV937" s="849"/>
      <c r="AW937" s="134" t="s">
        <v>3208</v>
      </c>
      <c r="AX937" s="136" t="s">
        <v>3208</v>
      </c>
      <c r="AY937" s="137" t="s">
        <v>2576</v>
      </c>
      <c r="AZ937" s="136">
        <v>1</v>
      </c>
      <c r="BA937" s="136">
        <v>1</v>
      </c>
      <c r="BB937" s="136">
        <v>1</v>
      </c>
      <c r="BC937" s="214">
        <v>266</v>
      </c>
      <c r="BD937" s="136">
        <v>0</v>
      </c>
      <c r="BE937" s="214">
        <v>0</v>
      </c>
      <c r="BF937" s="136">
        <v>1</v>
      </c>
      <c r="BG937" s="214">
        <v>266</v>
      </c>
      <c r="BH937" s="214">
        <v>0.53200000000000003</v>
      </c>
      <c r="BI937" s="134">
        <v>0</v>
      </c>
      <c r="BJ937" s="214">
        <v>0</v>
      </c>
      <c r="BK937" s="137">
        <v>0.46799999999999997</v>
      </c>
      <c r="BL937" s="137">
        <v>1</v>
      </c>
      <c r="BM937" s="137">
        <v>12</v>
      </c>
      <c r="BN937" s="134">
        <v>0.75187969924812026</v>
      </c>
      <c r="BO937" s="351">
        <v>200</v>
      </c>
      <c r="BP937" s="134">
        <v>7.5187969924812026E-2</v>
      </c>
      <c r="BQ937" s="214">
        <v>1</v>
      </c>
      <c r="BR937" s="137">
        <v>13</v>
      </c>
      <c r="BS937" s="138">
        <v>0.16666666666666666</v>
      </c>
      <c r="BT937" s="351">
        <v>80</v>
      </c>
      <c r="BU937" s="214">
        <v>0</v>
      </c>
      <c r="BV937" s="214">
        <v>0</v>
      </c>
      <c r="BW937" s="214">
        <v>0</v>
      </c>
      <c r="BX937" s="214">
        <v>0</v>
      </c>
      <c r="BY937" s="214">
        <v>0</v>
      </c>
      <c r="BZ937" s="134">
        <v>0</v>
      </c>
      <c r="CA937" s="138">
        <v>1</v>
      </c>
      <c r="CB937" s="136">
        <v>0</v>
      </c>
      <c r="CC937" s="136">
        <v>0</v>
      </c>
      <c r="CD937" s="136">
        <v>0</v>
      </c>
      <c r="CE937" s="137">
        <v>0</v>
      </c>
      <c r="CF937" s="137">
        <v>0</v>
      </c>
      <c r="CG937" s="137">
        <v>0</v>
      </c>
      <c r="CH937" s="214">
        <v>27</v>
      </c>
      <c r="CI937" s="139" t="s">
        <v>48</v>
      </c>
      <c r="CJ937" s="139" t="s">
        <v>389</v>
      </c>
      <c r="CK937" s="139" t="s">
        <v>50</v>
      </c>
      <c r="CL937" s="139" t="s">
        <v>50</v>
      </c>
      <c r="CM937" s="139" t="s">
        <v>50</v>
      </c>
      <c r="CN937" s="139" t="s">
        <v>51</v>
      </c>
      <c r="CO937" s="139">
        <v>25.423209</v>
      </c>
      <c r="CP937" s="139">
        <v>97.379987</v>
      </c>
      <c r="CQ937" s="139" t="s">
        <v>2030</v>
      </c>
      <c r="CR937" s="449" t="s">
        <v>40</v>
      </c>
      <c r="CS937" s="449"/>
      <c r="CT937" s="24"/>
      <c r="CU937" s="24"/>
      <c r="CV937" s="24"/>
    </row>
    <row r="938" spans="1:100" ht="15.75" customHeight="1" x14ac:dyDescent="0.25">
      <c r="A938" s="643" t="s">
        <v>1388</v>
      </c>
      <c r="B938" s="132" t="s">
        <v>389</v>
      </c>
      <c r="C938" s="132" t="s">
        <v>44</v>
      </c>
      <c r="D938" s="132" t="s">
        <v>305</v>
      </c>
      <c r="E938" s="132" t="s">
        <v>417</v>
      </c>
      <c r="F938" s="132">
        <v>7</v>
      </c>
      <c r="G938" s="214">
        <v>31</v>
      </c>
      <c r="H938" s="132"/>
      <c r="I938" s="132" t="s">
        <v>391</v>
      </c>
      <c r="J938" s="133">
        <v>42947</v>
      </c>
      <c r="K938" s="132">
        <v>0</v>
      </c>
      <c r="L938" s="132" t="s">
        <v>48</v>
      </c>
      <c r="M938" s="134">
        <v>0.5</v>
      </c>
      <c r="N938" s="134">
        <v>1</v>
      </c>
      <c r="O938" s="320">
        <v>0</v>
      </c>
      <c r="P938" s="326">
        <v>1</v>
      </c>
      <c r="Q938" s="326">
        <v>400</v>
      </c>
      <c r="R938" s="315">
        <v>0</v>
      </c>
      <c r="S938" s="315">
        <v>0</v>
      </c>
      <c r="T938" s="315"/>
      <c r="U938" s="315">
        <v>0</v>
      </c>
      <c r="V938" s="315">
        <v>0</v>
      </c>
      <c r="W938" s="315">
        <v>0</v>
      </c>
      <c r="X938" s="315">
        <v>0</v>
      </c>
      <c r="Y938" s="315">
        <v>0</v>
      </c>
      <c r="Z938" s="315"/>
      <c r="AA938" s="336">
        <v>2</v>
      </c>
      <c r="AB938" s="336">
        <v>0</v>
      </c>
      <c r="AC938" s="337">
        <v>0</v>
      </c>
      <c r="AD938" s="337"/>
      <c r="AE938" s="336">
        <v>2</v>
      </c>
      <c r="AF938" s="336" t="s">
        <v>283</v>
      </c>
      <c r="AG938" s="339" t="s">
        <v>1358</v>
      </c>
      <c r="AH938" s="339">
        <v>0</v>
      </c>
      <c r="AI938" s="336">
        <v>0</v>
      </c>
      <c r="AJ938" s="336"/>
      <c r="AK938" s="848">
        <v>0.5</v>
      </c>
      <c r="AL938" s="836" t="s">
        <v>376</v>
      </c>
      <c r="AM938" s="836">
        <v>0</v>
      </c>
      <c r="AN938" s="848">
        <v>2</v>
      </c>
      <c r="AO938" s="850">
        <v>0</v>
      </c>
      <c r="AP938" s="838">
        <v>0</v>
      </c>
      <c r="AQ938" s="839">
        <v>0</v>
      </c>
      <c r="AR938" s="839"/>
      <c r="AS938" s="839"/>
      <c r="AT938" s="839"/>
      <c r="AU938" s="839"/>
      <c r="AV938" s="849"/>
      <c r="AW938" s="134" t="s">
        <v>3208</v>
      </c>
      <c r="AX938" s="136" t="s">
        <v>3208</v>
      </c>
      <c r="AY938" s="137" t="s">
        <v>2576</v>
      </c>
      <c r="AZ938" s="136">
        <v>1</v>
      </c>
      <c r="BA938" s="136">
        <v>1</v>
      </c>
      <c r="BB938" s="136">
        <v>1</v>
      </c>
      <c r="BC938" s="214">
        <v>31</v>
      </c>
      <c r="BD938" s="136">
        <v>0</v>
      </c>
      <c r="BE938" s="214">
        <v>0</v>
      </c>
      <c r="BF938" s="136">
        <v>1</v>
      </c>
      <c r="BG938" s="214">
        <v>31</v>
      </c>
      <c r="BH938" s="214">
        <v>6.2E-2</v>
      </c>
      <c r="BI938" s="134">
        <v>0</v>
      </c>
      <c r="BJ938" s="214">
        <v>0</v>
      </c>
      <c r="BK938" s="137">
        <v>0.93799999999999994</v>
      </c>
      <c r="BL938" s="137">
        <v>1</v>
      </c>
      <c r="BM938" s="137">
        <v>2</v>
      </c>
      <c r="BN938" s="134">
        <v>1</v>
      </c>
      <c r="BO938" s="351">
        <v>31</v>
      </c>
      <c r="BP938" s="134">
        <v>0</v>
      </c>
      <c r="BQ938" s="214">
        <v>0</v>
      </c>
      <c r="BR938" s="137">
        <v>2</v>
      </c>
      <c r="BS938" s="138">
        <v>0</v>
      </c>
      <c r="BT938" s="351">
        <v>0</v>
      </c>
      <c r="BU938" s="214">
        <v>0</v>
      </c>
      <c r="BV938" s="214">
        <v>0</v>
      </c>
      <c r="BW938" s="214">
        <v>0</v>
      </c>
      <c r="BX938" s="214">
        <v>0</v>
      </c>
      <c r="BY938" s="214">
        <v>0</v>
      </c>
      <c r="BZ938" s="134">
        <v>0</v>
      </c>
      <c r="CA938" s="138">
        <v>1</v>
      </c>
      <c r="CB938" s="136">
        <v>0</v>
      </c>
      <c r="CC938" s="136">
        <v>0</v>
      </c>
      <c r="CD938" s="136">
        <v>0</v>
      </c>
      <c r="CE938" s="137">
        <v>0</v>
      </c>
      <c r="CF938" s="137">
        <v>0</v>
      </c>
      <c r="CG938" s="137">
        <v>0</v>
      </c>
      <c r="CH938" s="214">
        <v>3.5</v>
      </c>
      <c r="CI938" s="139" t="s">
        <v>48</v>
      </c>
      <c r="CJ938" s="139" t="s">
        <v>2959</v>
      </c>
      <c r="CK938" s="139" t="s">
        <v>50</v>
      </c>
      <c r="CL938" s="139" t="s">
        <v>50</v>
      </c>
      <c r="CM938" s="139" t="s">
        <v>946</v>
      </c>
      <c r="CN938" s="139" t="s">
        <v>51</v>
      </c>
      <c r="CO938" s="139">
        <v>25.417733999999999</v>
      </c>
      <c r="CP938" s="139">
        <v>97.389778000000007</v>
      </c>
      <c r="CQ938" s="139" t="s">
        <v>2027</v>
      </c>
      <c r="CR938" s="449" t="s">
        <v>40</v>
      </c>
      <c r="CS938" s="449"/>
      <c r="CT938" s="24"/>
      <c r="CU938" s="24"/>
      <c r="CV938" s="24"/>
    </row>
    <row r="939" spans="1:100" ht="15.75" customHeight="1" x14ac:dyDescent="0.25">
      <c r="A939" s="643" t="s">
        <v>1388</v>
      </c>
      <c r="B939" s="132" t="s">
        <v>287</v>
      </c>
      <c r="C939" s="132" t="s">
        <v>44</v>
      </c>
      <c r="D939" s="132" t="s">
        <v>305</v>
      </c>
      <c r="E939" s="132" t="s">
        <v>317</v>
      </c>
      <c r="F939" s="132">
        <v>30</v>
      </c>
      <c r="G939" s="214">
        <v>171</v>
      </c>
      <c r="H939" s="132"/>
      <c r="I939" s="132" t="s">
        <v>290</v>
      </c>
      <c r="J939" s="133">
        <v>43555</v>
      </c>
      <c r="K939" s="132">
        <v>0</v>
      </c>
      <c r="L939" s="132" t="s">
        <v>48</v>
      </c>
      <c r="M939" s="134">
        <v>0.6</v>
      </c>
      <c r="N939" s="134">
        <v>0.5</v>
      </c>
      <c r="O939" s="320">
        <v>0</v>
      </c>
      <c r="P939" s="326">
        <v>3</v>
      </c>
      <c r="Q939" s="326">
        <v>0</v>
      </c>
      <c r="R939" s="315">
        <v>0</v>
      </c>
      <c r="S939" s="315">
        <v>0</v>
      </c>
      <c r="T939" s="315"/>
      <c r="U939" s="315">
        <v>0</v>
      </c>
      <c r="V939" s="315">
        <v>0</v>
      </c>
      <c r="W939" s="315">
        <v>0</v>
      </c>
      <c r="X939" s="315">
        <v>0</v>
      </c>
      <c r="Y939" s="315">
        <v>0</v>
      </c>
      <c r="Z939" s="315"/>
      <c r="AA939" s="336">
        <v>5</v>
      </c>
      <c r="AB939" s="336">
        <v>0</v>
      </c>
      <c r="AC939" s="337">
        <v>0</v>
      </c>
      <c r="AD939" s="337"/>
      <c r="AE939" s="336">
        <v>0</v>
      </c>
      <c r="AF939" s="336" t="s">
        <v>283</v>
      </c>
      <c r="AG939" s="339" t="s">
        <v>1358</v>
      </c>
      <c r="AH939" s="339"/>
      <c r="AI939" s="336"/>
      <c r="AJ939" s="336"/>
      <c r="AK939" s="848">
        <v>0.6</v>
      </c>
      <c r="AL939" s="836" t="s">
        <v>291</v>
      </c>
      <c r="AM939" s="836">
        <v>0</v>
      </c>
      <c r="AN939" s="848">
        <v>2</v>
      </c>
      <c r="AO939" s="850">
        <v>1</v>
      </c>
      <c r="AP939" s="838">
        <v>0</v>
      </c>
      <c r="AQ939" s="839">
        <v>0</v>
      </c>
      <c r="AR939" s="839"/>
      <c r="AS939" s="839"/>
      <c r="AT939" s="839"/>
      <c r="AU939" s="839"/>
      <c r="AV939" s="849"/>
      <c r="AW939" s="134" t="s">
        <v>3208</v>
      </c>
      <c r="AX939" s="136" t="s">
        <v>3208</v>
      </c>
      <c r="AY939" s="137" t="s">
        <v>2576</v>
      </c>
      <c r="AZ939" s="136">
        <v>1</v>
      </c>
      <c r="BA939" s="136">
        <v>1</v>
      </c>
      <c r="BB939" s="136">
        <v>1</v>
      </c>
      <c r="BC939" s="214">
        <v>171</v>
      </c>
      <c r="BD939" s="136">
        <v>0</v>
      </c>
      <c r="BE939" s="214">
        <v>0</v>
      </c>
      <c r="BF939" s="136">
        <v>1</v>
      </c>
      <c r="BG939" s="214">
        <v>171</v>
      </c>
      <c r="BH939" s="214">
        <v>0.34200000000000003</v>
      </c>
      <c r="BI939" s="134">
        <v>0</v>
      </c>
      <c r="BJ939" s="214">
        <v>0</v>
      </c>
      <c r="BK939" s="137">
        <v>0.65799999999999992</v>
      </c>
      <c r="BL939" s="137">
        <v>1</v>
      </c>
      <c r="BM939" s="137">
        <v>5</v>
      </c>
      <c r="BN939" s="134">
        <v>0.58479532163742687</v>
      </c>
      <c r="BO939" s="351">
        <v>100</v>
      </c>
      <c r="BP939" s="134">
        <v>0.46783625730994149</v>
      </c>
      <c r="BQ939" s="214">
        <v>4</v>
      </c>
      <c r="BR939" s="137">
        <v>9</v>
      </c>
      <c r="BS939" s="138">
        <v>0</v>
      </c>
      <c r="BT939" s="351">
        <v>0</v>
      </c>
      <c r="BU939" s="214">
        <v>171</v>
      </c>
      <c r="BV939" s="214">
        <v>0</v>
      </c>
      <c r="BW939" s="214">
        <v>1</v>
      </c>
      <c r="BX939" s="214">
        <v>0</v>
      </c>
      <c r="BY939" s="214">
        <v>0</v>
      </c>
      <c r="BZ939" s="134">
        <v>0</v>
      </c>
      <c r="CA939" s="138">
        <v>1</v>
      </c>
      <c r="CB939" s="136">
        <v>1</v>
      </c>
      <c r="CC939" s="136">
        <v>0</v>
      </c>
      <c r="CD939" s="136">
        <v>0</v>
      </c>
      <c r="CE939" s="137">
        <v>0</v>
      </c>
      <c r="CF939" s="137">
        <v>0</v>
      </c>
      <c r="CG939" s="137">
        <v>0</v>
      </c>
      <c r="CH939" s="214">
        <v>18</v>
      </c>
      <c r="CI939" s="139" t="s">
        <v>48</v>
      </c>
      <c r="CJ939" s="139" t="s">
        <v>287</v>
      </c>
      <c r="CK939" s="139" t="s">
        <v>50</v>
      </c>
      <c r="CL939" s="139" t="s">
        <v>50</v>
      </c>
      <c r="CM939" s="139" t="s">
        <v>50</v>
      </c>
      <c r="CN939" s="139" t="s">
        <v>51</v>
      </c>
      <c r="CO939" s="139">
        <v>25.404752999999999</v>
      </c>
      <c r="CP939" s="139">
        <v>97.377662999999998</v>
      </c>
      <c r="CQ939" s="139" t="s">
        <v>2020</v>
      </c>
      <c r="CR939" s="449" t="s">
        <v>40</v>
      </c>
      <c r="CS939" s="449"/>
      <c r="CT939" s="24"/>
      <c r="CU939" s="24"/>
      <c r="CV939" s="24"/>
    </row>
    <row r="940" spans="1:100" ht="15.75" customHeight="1" x14ac:dyDescent="0.25">
      <c r="A940" s="643" t="s">
        <v>1388</v>
      </c>
      <c r="B940" s="132" t="s">
        <v>287</v>
      </c>
      <c r="C940" s="132" t="s">
        <v>44</v>
      </c>
      <c r="D940" s="132" t="s">
        <v>305</v>
      </c>
      <c r="E940" s="132" t="s">
        <v>318</v>
      </c>
      <c r="F940" s="132">
        <v>46</v>
      </c>
      <c r="G940" s="214">
        <v>239</v>
      </c>
      <c r="H940" s="132"/>
      <c r="I940" s="132" t="s">
        <v>290</v>
      </c>
      <c r="J940" s="133">
        <v>43555</v>
      </c>
      <c r="K940" s="132">
        <v>0</v>
      </c>
      <c r="L940" s="132" t="s">
        <v>48</v>
      </c>
      <c r="M940" s="134">
        <v>0.6</v>
      </c>
      <c r="N940" s="134">
        <v>0.5</v>
      </c>
      <c r="O940" s="320">
        <v>0</v>
      </c>
      <c r="P940" s="326">
        <v>3</v>
      </c>
      <c r="Q940" s="326">
        <v>2000</v>
      </c>
      <c r="R940" s="315">
        <v>0</v>
      </c>
      <c r="S940" s="315">
        <v>0</v>
      </c>
      <c r="T940" s="315"/>
      <c r="U940" s="315">
        <v>0</v>
      </c>
      <c r="V940" s="315">
        <v>0</v>
      </c>
      <c r="W940" s="315">
        <v>0</v>
      </c>
      <c r="X940" s="315">
        <v>0</v>
      </c>
      <c r="Y940" s="315">
        <v>0</v>
      </c>
      <c r="Z940" s="315"/>
      <c r="AA940" s="336">
        <v>13</v>
      </c>
      <c r="AB940" s="336">
        <v>0</v>
      </c>
      <c r="AC940" s="337">
        <v>0</v>
      </c>
      <c r="AD940" s="337"/>
      <c r="AE940" s="336">
        <v>0</v>
      </c>
      <c r="AF940" s="336" t="s">
        <v>283</v>
      </c>
      <c r="AG940" s="339" t="s">
        <v>283</v>
      </c>
      <c r="AH940" s="339"/>
      <c r="AI940" s="336"/>
      <c r="AJ940" s="336"/>
      <c r="AK940" s="848">
        <v>0.6</v>
      </c>
      <c r="AL940" s="836" t="s">
        <v>291</v>
      </c>
      <c r="AM940" s="836">
        <v>0</v>
      </c>
      <c r="AN940" s="848">
        <v>3</v>
      </c>
      <c r="AO940" s="850">
        <v>1</v>
      </c>
      <c r="AP940" s="838">
        <v>0</v>
      </c>
      <c r="AQ940" s="839">
        <v>0</v>
      </c>
      <c r="AR940" s="839"/>
      <c r="AS940" s="839"/>
      <c r="AT940" s="839"/>
      <c r="AU940" s="839"/>
      <c r="AV940" s="849"/>
      <c r="AW940" s="134" t="s">
        <v>3208</v>
      </c>
      <c r="AX940" s="136" t="s">
        <v>3208</v>
      </c>
      <c r="AY940" s="137" t="s">
        <v>2576</v>
      </c>
      <c r="AZ940" s="136">
        <v>1</v>
      </c>
      <c r="BA940" s="136">
        <v>1</v>
      </c>
      <c r="BB940" s="136">
        <v>1</v>
      </c>
      <c r="BC940" s="214">
        <v>239</v>
      </c>
      <c r="BD940" s="136">
        <v>0</v>
      </c>
      <c r="BE940" s="214">
        <v>0</v>
      </c>
      <c r="BF940" s="136">
        <v>1</v>
      </c>
      <c r="BG940" s="214">
        <v>239</v>
      </c>
      <c r="BH940" s="214">
        <v>0.47799999999999998</v>
      </c>
      <c r="BI940" s="134">
        <v>0</v>
      </c>
      <c r="BJ940" s="214">
        <v>0</v>
      </c>
      <c r="BK940" s="137">
        <v>0.52200000000000002</v>
      </c>
      <c r="BL940" s="137">
        <v>1</v>
      </c>
      <c r="BM940" s="137">
        <v>13</v>
      </c>
      <c r="BN940" s="134">
        <v>1</v>
      </c>
      <c r="BO940" s="351">
        <v>239</v>
      </c>
      <c r="BP940" s="134">
        <v>0</v>
      </c>
      <c r="BQ940" s="214">
        <v>0</v>
      </c>
      <c r="BR940" s="137">
        <v>12</v>
      </c>
      <c r="BS940" s="138">
        <v>0</v>
      </c>
      <c r="BT940" s="351">
        <v>0</v>
      </c>
      <c r="BU940" s="214">
        <v>239</v>
      </c>
      <c r="BV940" s="214">
        <v>0</v>
      </c>
      <c r="BW940" s="214">
        <v>1</v>
      </c>
      <c r="BX940" s="214">
        <v>0</v>
      </c>
      <c r="BY940" s="214">
        <v>0</v>
      </c>
      <c r="BZ940" s="134">
        <v>0</v>
      </c>
      <c r="CA940" s="138">
        <v>1</v>
      </c>
      <c r="CB940" s="136">
        <v>1</v>
      </c>
      <c r="CC940" s="136">
        <v>0</v>
      </c>
      <c r="CD940" s="136">
        <v>0</v>
      </c>
      <c r="CE940" s="137">
        <v>0</v>
      </c>
      <c r="CF940" s="137">
        <v>0</v>
      </c>
      <c r="CG940" s="137">
        <v>0</v>
      </c>
      <c r="CH940" s="214">
        <v>27.599999999999998</v>
      </c>
      <c r="CI940" s="139" t="s">
        <v>48</v>
      </c>
      <c r="CJ940" s="139" t="s">
        <v>287</v>
      </c>
      <c r="CK940" s="139" t="s">
        <v>50</v>
      </c>
      <c r="CL940" s="139" t="s">
        <v>50</v>
      </c>
      <c r="CM940" s="139" t="s">
        <v>50</v>
      </c>
      <c r="CN940" s="139" t="s">
        <v>51</v>
      </c>
      <c r="CO940" s="139">
        <v>25.404015000000001</v>
      </c>
      <c r="CP940" s="139">
        <v>97.382192000000003</v>
      </c>
      <c r="CQ940" s="139" t="s">
        <v>2019</v>
      </c>
      <c r="CR940" s="449" t="s">
        <v>40</v>
      </c>
      <c r="CS940" s="449"/>
      <c r="CT940" s="24"/>
      <c r="CU940" s="24"/>
      <c r="CV940" s="24"/>
    </row>
    <row r="941" spans="1:100" ht="15.75" customHeight="1" x14ac:dyDescent="0.25">
      <c r="A941" s="643" t="s">
        <v>1388</v>
      </c>
      <c r="B941" s="132" t="s">
        <v>460</v>
      </c>
      <c r="C941" s="132" t="s">
        <v>44</v>
      </c>
      <c r="D941" s="132" t="s">
        <v>319</v>
      </c>
      <c r="E941" s="132" t="s">
        <v>1246</v>
      </c>
      <c r="F941" s="132">
        <v>10</v>
      </c>
      <c r="G941" s="214">
        <v>56</v>
      </c>
      <c r="H941" s="132"/>
      <c r="I941" s="132"/>
      <c r="J941" s="133"/>
      <c r="K941" s="132"/>
      <c r="L941" s="132" t="s">
        <v>282</v>
      </c>
      <c r="M941" s="134">
        <v>0</v>
      </c>
      <c r="N941" s="134">
        <v>0</v>
      </c>
      <c r="O941" s="320"/>
      <c r="P941" s="326"/>
      <c r="Q941" s="326"/>
      <c r="R941" s="315"/>
      <c r="S941" s="315"/>
      <c r="T941" s="315"/>
      <c r="U941" s="315"/>
      <c r="V941" s="315"/>
      <c r="W941" s="315"/>
      <c r="X941" s="315"/>
      <c r="Y941" s="315"/>
      <c r="Z941" s="315"/>
      <c r="AA941" s="336">
        <v>0</v>
      </c>
      <c r="AB941" s="336"/>
      <c r="AC941" s="337"/>
      <c r="AD941" s="337"/>
      <c r="AE941" s="336"/>
      <c r="AF941" s="336" t="s">
        <v>286</v>
      </c>
      <c r="AG941" s="339" t="s">
        <v>286</v>
      </c>
      <c r="AH941" s="339"/>
      <c r="AI941" s="336"/>
      <c r="AJ941" s="336"/>
      <c r="AK941" s="848"/>
      <c r="AL941" s="836"/>
      <c r="AM941" s="836"/>
      <c r="AN941" s="848"/>
      <c r="AO941" s="850"/>
      <c r="AP941" s="838"/>
      <c r="AQ941" s="839"/>
      <c r="AR941" s="839"/>
      <c r="AS941" s="839"/>
      <c r="AT941" s="839"/>
      <c r="AU941" s="839"/>
      <c r="AV941" s="849"/>
      <c r="AW941" s="134" t="s">
        <v>3208</v>
      </c>
      <c r="AX941" s="136" t="s">
        <v>3208</v>
      </c>
      <c r="AY941" s="137" t="s">
        <v>2576</v>
      </c>
      <c r="AZ941" s="136">
        <v>0</v>
      </c>
      <c r="BA941" s="136">
        <v>0</v>
      </c>
      <c r="BB941" s="136">
        <v>0</v>
      </c>
      <c r="BC941" s="214">
        <v>0</v>
      </c>
      <c r="BD941" s="136">
        <v>0</v>
      </c>
      <c r="BE941" s="135">
        <v>0</v>
      </c>
      <c r="BF941" s="136">
        <v>0</v>
      </c>
      <c r="BG941" s="214">
        <v>0</v>
      </c>
      <c r="BH941" s="214">
        <v>0</v>
      </c>
      <c r="BI941" s="134">
        <v>1</v>
      </c>
      <c r="BJ941" s="135">
        <v>56</v>
      </c>
      <c r="BK941" s="137">
        <v>1</v>
      </c>
      <c r="BL941" s="137">
        <v>1</v>
      </c>
      <c r="BM941" s="137">
        <v>0</v>
      </c>
      <c r="BN941" s="134">
        <v>0</v>
      </c>
      <c r="BO941" s="351">
        <v>0</v>
      </c>
      <c r="BP941" s="134">
        <v>1</v>
      </c>
      <c r="BQ941" s="135">
        <v>3</v>
      </c>
      <c r="BR941" s="137">
        <v>3</v>
      </c>
      <c r="BS941" s="138">
        <v>0</v>
      </c>
      <c r="BT941" s="351">
        <v>0</v>
      </c>
      <c r="BU941" s="214">
        <v>0</v>
      </c>
      <c r="BV941" s="214">
        <v>0</v>
      </c>
      <c r="BW941" s="214">
        <v>0</v>
      </c>
      <c r="BX941" s="214">
        <v>0</v>
      </c>
      <c r="BY941" s="214">
        <v>0</v>
      </c>
      <c r="BZ941" s="134">
        <v>0</v>
      </c>
      <c r="CA941" s="138">
        <v>1</v>
      </c>
      <c r="CB941" s="136">
        <v>0</v>
      </c>
      <c r="CC941" s="136">
        <v>0</v>
      </c>
      <c r="CD941" s="136">
        <v>0</v>
      </c>
      <c r="CE941" s="137">
        <v>0</v>
      </c>
      <c r="CF941" s="137">
        <v>0</v>
      </c>
      <c r="CG941" s="137">
        <v>0</v>
      </c>
      <c r="CH941" s="135">
        <v>0</v>
      </c>
      <c r="CI941" s="139">
        <v>0</v>
      </c>
      <c r="CJ941" s="139" t="s">
        <v>2959</v>
      </c>
      <c r="CK941" s="139" t="s">
        <v>50</v>
      </c>
      <c r="CL941" s="139" t="s">
        <v>50</v>
      </c>
      <c r="CM941" s="139" t="s">
        <v>942</v>
      </c>
      <c r="CN941" s="139" t="s">
        <v>51</v>
      </c>
      <c r="CO941" s="139">
        <v>27.248964999999998</v>
      </c>
      <c r="CP941" s="139">
        <v>97.561105999999995</v>
      </c>
      <c r="CQ941" s="139" t="s">
        <v>2076</v>
      </c>
      <c r="CR941" s="449" t="s">
        <v>3209</v>
      </c>
      <c r="CS941" s="449"/>
      <c r="CT941" s="24"/>
      <c r="CU941" s="24"/>
      <c r="CV941" s="24"/>
    </row>
    <row r="942" spans="1:100" ht="15.75" customHeight="1" x14ac:dyDescent="0.25">
      <c r="A942" s="643" t="s">
        <v>1388</v>
      </c>
      <c r="B942" s="132" t="s">
        <v>287</v>
      </c>
      <c r="C942" s="132" t="s">
        <v>44</v>
      </c>
      <c r="D942" s="132" t="s">
        <v>319</v>
      </c>
      <c r="E942" s="132" t="s">
        <v>320</v>
      </c>
      <c r="F942" s="132">
        <v>61</v>
      </c>
      <c r="G942" s="214">
        <v>281</v>
      </c>
      <c r="H942" s="132"/>
      <c r="I942" s="132" t="s">
        <v>296</v>
      </c>
      <c r="J942" s="133">
        <v>43131</v>
      </c>
      <c r="K942" s="132">
        <v>0</v>
      </c>
      <c r="L942" s="132" t="s">
        <v>48</v>
      </c>
      <c r="M942" s="134">
        <v>0.6</v>
      </c>
      <c r="N942" s="134">
        <v>0.5</v>
      </c>
      <c r="O942" s="320">
        <v>1</v>
      </c>
      <c r="P942" s="326">
        <v>0</v>
      </c>
      <c r="Q942" s="326">
        <v>2000</v>
      </c>
      <c r="R942" s="315">
        <v>1</v>
      </c>
      <c r="S942" s="315">
        <v>0</v>
      </c>
      <c r="T942" s="315"/>
      <c r="U942" s="315">
        <v>0</v>
      </c>
      <c r="V942" s="315">
        <v>0</v>
      </c>
      <c r="W942" s="315">
        <v>0</v>
      </c>
      <c r="X942" s="315">
        <v>0</v>
      </c>
      <c r="Y942" s="315">
        <v>0</v>
      </c>
      <c r="Z942" s="315"/>
      <c r="AA942" s="336">
        <v>8</v>
      </c>
      <c r="AB942" s="336">
        <v>0</v>
      </c>
      <c r="AC942" s="337">
        <v>0</v>
      </c>
      <c r="AD942" s="337"/>
      <c r="AE942" s="336">
        <v>0</v>
      </c>
      <c r="AF942" s="336" t="s">
        <v>283</v>
      </c>
      <c r="AG942" s="339" t="s">
        <v>283</v>
      </c>
      <c r="AH942" s="339"/>
      <c r="AI942" s="336"/>
      <c r="AJ942" s="336"/>
      <c r="AK942" s="848">
        <v>0.6</v>
      </c>
      <c r="AL942" s="836" t="s">
        <v>291</v>
      </c>
      <c r="AM942" s="836">
        <v>0</v>
      </c>
      <c r="AN942" s="848">
        <v>2</v>
      </c>
      <c r="AO942" s="850">
        <v>2</v>
      </c>
      <c r="AP942" s="838">
        <v>0</v>
      </c>
      <c r="AQ942" s="839">
        <v>0</v>
      </c>
      <c r="AR942" s="839"/>
      <c r="AS942" s="839"/>
      <c r="AT942" s="839"/>
      <c r="AU942" s="839"/>
      <c r="AV942" s="849"/>
      <c r="AW942" s="134" t="s">
        <v>3208</v>
      </c>
      <c r="AX942" s="136" t="s">
        <v>3208</v>
      </c>
      <c r="AY942" s="137" t="s">
        <v>2576</v>
      </c>
      <c r="AZ942" s="136">
        <v>1</v>
      </c>
      <c r="BA942" s="136">
        <v>1</v>
      </c>
      <c r="BB942" s="136">
        <v>1</v>
      </c>
      <c r="BC942" s="214">
        <v>281</v>
      </c>
      <c r="BD942" s="136">
        <v>0.88967971530249113</v>
      </c>
      <c r="BE942" s="214">
        <v>250</v>
      </c>
      <c r="BF942" s="136">
        <v>1</v>
      </c>
      <c r="BG942" s="214">
        <v>281</v>
      </c>
      <c r="BH942" s="214">
        <v>0.56200000000000006</v>
      </c>
      <c r="BI942" s="134">
        <v>0</v>
      </c>
      <c r="BJ942" s="214">
        <v>0</v>
      </c>
      <c r="BK942" s="137">
        <v>0.43799999999999994</v>
      </c>
      <c r="BL942" s="137">
        <v>1</v>
      </c>
      <c r="BM942" s="137">
        <v>8</v>
      </c>
      <c r="BN942" s="134">
        <v>0.56939501779359436</v>
      </c>
      <c r="BO942" s="351">
        <v>160.00000000000003</v>
      </c>
      <c r="BP942" s="134">
        <v>0.42704626334519569</v>
      </c>
      <c r="BQ942" s="214">
        <v>6</v>
      </c>
      <c r="BR942" s="137">
        <v>14</v>
      </c>
      <c r="BS942" s="138">
        <v>0</v>
      </c>
      <c r="BT942" s="351">
        <v>0</v>
      </c>
      <c r="BU942" s="214">
        <v>281</v>
      </c>
      <c r="BV942" s="214">
        <v>0</v>
      </c>
      <c r="BW942" s="214">
        <v>1</v>
      </c>
      <c r="BX942" s="214">
        <v>0</v>
      </c>
      <c r="BY942" s="214">
        <v>0</v>
      </c>
      <c r="BZ942" s="134">
        <v>0</v>
      </c>
      <c r="CA942" s="138">
        <v>1</v>
      </c>
      <c r="CB942" s="136">
        <v>1</v>
      </c>
      <c r="CC942" s="136">
        <v>0</v>
      </c>
      <c r="CD942" s="136">
        <v>0</v>
      </c>
      <c r="CE942" s="137">
        <v>0</v>
      </c>
      <c r="CF942" s="137">
        <v>0</v>
      </c>
      <c r="CG942" s="137">
        <v>0</v>
      </c>
      <c r="CH942" s="214">
        <v>36.6</v>
      </c>
      <c r="CI942" s="139" t="s">
        <v>48</v>
      </c>
      <c r="CJ942" s="139" t="s">
        <v>287</v>
      </c>
      <c r="CK942" s="139" t="s">
        <v>50</v>
      </c>
      <c r="CL942" s="139" t="s">
        <v>50</v>
      </c>
      <c r="CM942" s="139" t="s">
        <v>50</v>
      </c>
      <c r="CN942" s="139" t="s">
        <v>51</v>
      </c>
      <c r="CO942" s="139">
        <v>27.337499999999999</v>
      </c>
      <c r="CP942" s="139">
        <v>97.416121000000004</v>
      </c>
      <c r="CQ942" s="139" t="s">
        <v>2080</v>
      </c>
      <c r="CR942" s="449" t="s">
        <v>40</v>
      </c>
      <c r="CS942" s="449"/>
      <c r="CT942" s="24"/>
      <c r="CU942" s="24"/>
      <c r="CV942" s="24"/>
    </row>
    <row r="943" spans="1:100" ht="15.75" customHeight="1" x14ac:dyDescent="0.25">
      <c r="A943" s="643" t="s">
        <v>1388</v>
      </c>
      <c r="B943" s="132" t="s">
        <v>460</v>
      </c>
      <c r="C943" s="132" t="s">
        <v>44</v>
      </c>
      <c r="D943" s="132" t="s">
        <v>319</v>
      </c>
      <c r="E943" s="132" t="s">
        <v>1252</v>
      </c>
      <c r="F943" s="132">
        <v>14</v>
      </c>
      <c r="G943" s="214">
        <v>75</v>
      </c>
      <c r="H943" s="132"/>
      <c r="I943" s="132"/>
      <c r="J943" s="133"/>
      <c r="K943" s="132"/>
      <c r="L943" s="132" t="s">
        <v>282</v>
      </c>
      <c r="M943" s="134">
        <v>0</v>
      </c>
      <c r="N943" s="134">
        <v>0</v>
      </c>
      <c r="O943" s="320"/>
      <c r="P943" s="326"/>
      <c r="Q943" s="326"/>
      <c r="R943" s="315"/>
      <c r="S943" s="315"/>
      <c r="T943" s="315"/>
      <c r="U943" s="315"/>
      <c r="V943" s="315"/>
      <c r="W943" s="315"/>
      <c r="X943" s="315"/>
      <c r="Y943" s="315"/>
      <c r="Z943" s="315"/>
      <c r="AA943" s="336">
        <v>0</v>
      </c>
      <c r="AB943" s="336"/>
      <c r="AC943" s="337"/>
      <c r="AD943" s="337"/>
      <c r="AE943" s="336"/>
      <c r="AF943" s="336" t="s">
        <v>286</v>
      </c>
      <c r="AG943" s="339" t="s">
        <v>286</v>
      </c>
      <c r="AH943" s="339"/>
      <c r="AI943" s="336"/>
      <c r="AJ943" s="336"/>
      <c r="AK943" s="848"/>
      <c r="AL943" s="836"/>
      <c r="AM943" s="836"/>
      <c r="AN943" s="848"/>
      <c r="AO943" s="850"/>
      <c r="AP943" s="838"/>
      <c r="AQ943" s="839"/>
      <c r="AR943" s="839"/>
      <c r="AS943" s="839"/>
      <c r="AT943" s="839"/>
      <c r="AU943" s="839"/>
      <c r="AV943" s="849"/>
      <c r="AW943" s="134" t="s">
        <v>3208</v>
      </c>
      <c r="AX943" s="136" t="s">
        <v>3208</v>
      </c>
      <c r="AY943" s="137" t="s">
        <v>2576</v>
      </c>
      <c r="AZ943" s="136">
        <v>0</v>
      </c>
      <c r="BA943" s="136">
        <v>0</v>
      </c>
      <c r="BB943" s="136">
        <v>0</v>
      </c>
      <c r="BC943" s="214">
        <v>0</v>
      </c>
      <c r="BD943" s="136">
        <v>0</v>
      </c>
      <c r="BE943" s="214">
        <v>0</v>
      </c>
      <c r="BF943" s="136">
        <v>0</v>
      </c>
      <c r="BG943" s="214">
        <v>0</v>
      </c>
      <c r="BH943" s="214">
        <v>0</v>
      </c>
      <c r="BI943" s="134">
        <v>1</v>
      </c>
      <c r="BJ943" s="214">
        <v>75</v>
      </c>
      <c r="BK943" s="137">
        <v>1</v>
      </c>
      <c r="BL943" s="137">
        <v>1</v>
      </c>
      <c r="BM943" s="137">
        <v>0</v>
      </c>
      <c r="BN943" s="134">
        <v>0</v>
      </c>
      <c r="BO943" s="351">
        <v>0</v>
      </c>
      <c r="BP943" s="134">
        <v>1</v>
      </c>
      <c r="BQ943" s="214">
        <v>4</v>
      </c>
      <c r="BR943" s="137">
        <v>4</v>
      </c>
      <c r="BS943" s="138">
        <v>0</v>
      </c>
      <c r="BT943" s="351">
        <v>0</v>
      </c>
      <c r="BU943" s="214">
        <v>0</v>
      </c>
      <c r="BV943" s="214">
        <v>0</v>
      </c>
      <c r="BW943" s="214">
        <v>0</v>
      </c>
      <c r="BX943" s="214">
        <v>0</v>
      </c>
      <c r="BY943" s="214">
        <v>0</v>
      </c>
      <c r="BZ943" s="134">
        <v>0</v>
      </c>
      <c r="CA943" s="138">
        <v>1</v>
      </c>
      <c r="CB943" s="136">
        <v>0</v>
      </c>
      <c r="CC943" s="136">
        <v>0</v>
      </c>
      <c r="CD943" s="136">
        <v>0</v>
      </c>
      <c r="CE943" s="137">
        <v>0</v>
      </c>
      <c r="CF943" s="137">
        <v>0</v>
      </c>
      <c r="CG943" s="137">
        <v>0</v>
      </c>
      <c r="CH943" s="214">
        <v>0</v>
      </c>
      <c r="CI943" s="139">
        <v>0</v>
      </c>
      <c r="CJ943" s="139" t="s">
        <v>2959</v>
      </c>
      <c r="CK943" s="139" t="s">
        <v>50</v>
      </c>
      <c r="CL943" s="139" t="s">
        <v>50</v>
      </c>
      <c r="CM943" s="139" t="s">
        <v>942</v>
      </c>
      <c r="CN943" s="139" t="s">
        <v>51</v>
      </c>
      <c r="CO943" s="139">
        <v>27.311699999999998</v>
      </c>
      <c r="CP943" s="139">
        <v>97.415289999999999</v>
      </c>
      <c r="CQ943" s="139" t="s">
        <v>2079</v>
      </c>
      <c r="CR943" s="449" t="s">
        <v>3209</v>
      </c>
      <c r="CS943" s="449"/>
      <c r="CT943" s="24"/>
      <c r="CU943" s="24"/>
      <c r="CV943" s="24"/>
    </row>
    <row r="944" spans="1:100" ht="15.75" customHeight="1" x14ac:dyDescent="0.25">
      <c r="A944" s="643" t="s">
        <v>1388</v>
      </c>
      <c r="B944" s="132" t="s">
        <v>460</v>
      </c>
      <c r="C944" s="132" t="s">
        <v>44</v>
      </c>
      <c r="D944" s="132" t="s">
        <v>360</v>
      </c>
      <c r="E944" s="132" t="s">
        <v>941</v>
      </c>
      <c r="F944" s="132">
        <v>375</v>
      </c>
      <c r="G944" s="214">
        <v>1691</v>
      </c>
      <c r="H944" s="132"/>
      <c r="I944" s="132"/>
      <c r="J944" s="133"/>
      <c r="K944" s="132"/>
      <c r="L944" s="132" t="s">
        <v>282</v>
      </c>
      <c r="M944" s="134">
        <v>0</v>
      </c>
      <c r="N944" s="134">
        <v>0</v>
      </c>
      <c r="O944" s="320"/>
      <c r="P944" s="326"/>
      <c r="Q944" s="326"/>
      <c r="R944" s="315"/>
      <c r="S944" s="315"/>
      <c r="T944" s="315"/>
      <c r="U944" s="315"/>
      <c r="V944" s="315"/>
      <c r="W944" s="315"/>
      <c r="X944" s="315"/>
      <c r="Y944" s="315"/>
      <c r="Z944" s="315"/>
      <c r="AA944" s="336">
        <v>0</v>
      </c>
      <c r="AB944" s="336"/>
      <c r="AC944" s="337"/>
      <c r="AD944" s="337"/>
      <c r="AE944" s="336"/>
      <c r="AF944" s="336" t="s">
        <v>286</v>
      </c>
      <c r="AG944" s="339" t="s">
        <v>286</v>
      </c>
      <c r="AH944" s="339"/>
      <c r="AI944" s="336"/>
      <c r="AJ944" s="336"/>
      <c r="AK944" s="848"/>
      <c r="AL944" s="836"/>
      <c r="AM944" s="836"/>
      <c r="AN944" s="848"/>
      <c r="AO944" s="850"/>
      <c r="AP944" s="838"/>
      <c r="AQ944" s="839"/>
      <c r="AR944" s="839"/>
      <c r="AS944" s="839"/>
      <c r="AT944" s="839"/>
      <c r="AU944" s="839"/>
      <c r="AV944" s="849"/>
      <c r="AW944" s="134" t="s">
        <v>3208</v>
      </c>
      <c r="AX944" s="136" t="s">
        <v>3208</v>
      </c>
      <c r="AY944" s="137" t="s">
        <v>2576</v>
      </c>
      <c r="AZ944" s="136">
        <v>0</v>
      </c>
      <c r="BA944" s="136">
        <v>0</v>
      </c>
      <c r="BB944" s="136">
        <v>0</v>
      </c>
      <c r="BC944" s="214">
        <v>0</v>
      </c>
      <c r="BD944" s="136">
        <v>0</v>
      </c>
      <c r="BE944" s="214">
        <v>0</v>
      </c>
      <c r="BF944" s="136">
        <v>0</v>
      </c>
      <c r="BG944" s="214">
        <v>0</v>
      </c>
      <c r="BH944" s="214">
        <v>0</v>
      </c>
      <c r="BI944" s="134">
        <v>1</v>
      </c>
      <c r="BJ944" s="214">
        <v>1691</v>
      </c>
      <c r="BK944" s="137">
        <v>3</v>
      </c>
      <c r="BL944" s="137">
        <v>3</v>
      </c>
      <c r="BM944" s="137">
        <v>0</v>
      </c>
      <c r="BN944" s="134">
        <v>0</v>
      </c>
      <c r="BO944" s="351">
        <v>0</v>
      </c>
      <c r="BP944" s="134">
        <v>1</v>
      </c>
      <c r="BQ944" s="214">
        <v>85</v>
      </c>
      <c r="BR944" s="137">
        <v>85</v>
      </c>
      <c r="BS944" s="138">
        <v>0</v>
      </c>
      <c r="BT944" s="351">
        <v>0</v>
      </c>
      <c r="BU944" s="214">
        <v>0</v>
      </c>
      <c r="BV944" s="214">
        <v>0</v>
      </c>
      <c r="BW944" s="214">
        <v>0</v>
      </c>
      <c r="BX944" s="214">
        <v>0</v>
      </c>
      <c r="BY944" s="214">
        <v>0</v>
      </c>
      <c r="BZ944" s="134">
        <v>0</v>
      </c>
      <c r="CA944" s="138">
        <v>1</v>
      </c>
      <c r="CB944" s="136">
        <v>0</v>
      </c>
      <c r="CC944" s="136">
        <v>0</v>
      </c>
      <c r="CD944" s="136">
        <v>0</v>
      </c>
      <c r="CE944" s="137">
        <v>0</v>
      </c>
      <c r="CF944" s="137">
        <v>0</v>
      </c>
      <c r="CG944" s="137">
        <v>0</v>
      </c>
      <c r="CH944" s="214">
        <v>0</v>
      </c>
      <c r="CI944" s="139">
        <v>0</v>
      </c>
      <c r="CJ944" s="139" t="s">
        <v>2959</v>
      </c>
      <c r="CK944" s="139" t="s">
        <v>50</v>
      </c>
      <c r="CL944" s="139" t="s">
        <v>50</v>
      </c>
      <c r="CM944" s="139" t="s">
        <v>942</v>
      </c>
      <c r="CN944" s="139" t="s">
        <v>51</v>
      </c>
      <c r="CO944" s="139">
        <v>0</v>
      </c>
      <c r="CP944" s="139">
        <v>0</v>
      </c>
      <c r="CQ944" s="139" t="s">
        <v>1542</v>
      </c>
      <c r="CR944" s="449" t="s">
        <v>3209</v>
      </c>
      <c r="CS944" s="449"/>
      <c r="CT944" s="24"/>
      <c r="CU944" s="24"/>
      <c r="CV944" s="24"/>
    </row>
    <row r="945" spans="1:100" ht="15.75" customHeight="1" x14ac:dyDescent="0.25">
      <c r="A945" s="643" t="s">
        <v>1388</v>
      </c>
      <c r="B945" s="132" t="s">
        <v>338</v>
      </c>
      <c r="C945" s="132" t="s">
        <v>44</v>
      </c>
      <c r="D945" s="132" t="s">
        <v>360</v>
      </c>
      <c r="E945" s="132" t="s">
        <v>361</v>
      </c>
      <c r="F945" s="132">
        <v>45</v>
      </c>
      <c r="G945" s="214">
        <v>259</v>
      </c>
      <c r="H945" s="132"/>
      <c r="I945" s="132" t="s">
        <v>340</v>
      </c>
      <c r="J945" s="133" t="s">
        <v>2476</v>
      </c>
      <c r="K945" s="132">
        <v>0</v>
      </c>
      <c r="L945" s="132" t="s">
        <v>48</v>
      </c>
      <c r="M945" s="134">
        <v>0.8</v>
      </c>
      <c r="N945" s="134">
        <v>0.6</v>
      </c>
      <c r="O945" s="320">
        <v>0</v>
      </c>
      <c r="P945" s="326">
        <v>1</v>
      </c>
      <c r="Q945" s="326">
        <v>0</v>
      </c>
      <c r="R945" s="315">
        <v>0</v>
      </c>
      <c r="S945" s="315">
        <v>0</v>
      </c>
      <c r="T945" s="315"/>
      <c r="U945" s="315"/>
      <c r="V945" s="315"/>
      <c r="W945" s="315"/>
      <c r="X945" s="315"/>
      <c r="Y945" s="315"/>
      <c r="Z945" s="315"/>
      <c r="AA945" s="336">
        <v>13</v>
      </c>
      <c r="AB945" s="336">
        <v>0</v>
      </c>
      <c r="AC945" s="337"/>
      <c r="AD945" s="337"/>
      <c r="AE945" s="336">
        <v>0</v>
      </c>
      <c r="AF945" s="336" t="s">
        <v>283</v>
      </c>
      <c r="AG945" s="339" t="s">
        <v>283</v>
      </c>
      <c r="AH945" s="339"/>
      <c r="AI945" s="336"/>
      <c r="AJ945" s="336"/>
      <c r="AK945" s="848">
        <v>1</v>
      </c>
      <c r="AL945" s="836" t="s">
        <v>291</v>
      </c>
      <c r="AM945" s="836">
        <v>0</v>
      </c>
      <c r="AN945" s="848">
        <v>5</v>
      </c>
      <c r="AO945" s="850">
        <v>1</v>
      </c>
      <c r="AP945" s="838">
        <v>45</v>
      </c>
      <c r="AQ945" s="839">
        <v>45</v>
      </c>
      <c r="AR945" s="839"/>
      <c r="AS945" s="839"/>
      <c r="AT945" s="839"/>
      <c r="AU945" s="839"/>
      <c r="AV945" s="849"/>
      <c r="AW945" s="134" t="s">
        <v>3208</v>
      </c>
      <c r="AX945" s="136" t="s">
        <v>3208</v>
      </c>
      <c r="AY945" s="137" t="s">
        <v>2576</v>
      </c>
      <c r="AZ945" s="136">
        <v>1</v>
      </c>
      <c r="BA945" s="136">
        <v>0.96525096525096521</v>
      </c>
      <c r="BB945" s="136">
        <v>1</v>
      </c>
      <c r="BC945" s="214">
        <v>259</v>
      </c>
      <c r="BD945" s="136">
        <v>0</v>
      </c>
      <c r="BE945" s="214">
        <v>0</v>
      </c>
      <c r="BF945" s="136">
        <v>1</v>
      </c>
      <c r="BG945" s="214">
        <v>259</v>
      </c>
      <c r="BH945" s="214">
        <v>0.51800000000000002</v>
      </c>
      <c r="BI945" s="134">
        <v>0</v>
      </c>
      <c r="BJ945" s="214">
        <v>0</v>
      </c>
      <c r="BK945" s="137">
        <v>0.48199999999999998</v>
      </c>
      <c r="BL945" s="137">
        <v>1</v>
      </c>
      <c r="BM945" s="137">
        <v>13</v>
      </c>
      <c r="BN945" s="134">
        <v>1</v>
      </c>
      <c r="BO945" s="351">
        <v>259</v>
      </c>
      <c r="BP945" s="134">
        <v>0</v>
      </c>
      <c r="BQ945" s="214">
        <v>0</v>
      </c>
      <c r="BR945" s="137">
        <v>13</v>
      </c>
      <c r="BS945" s="138">
        <v>0</v>
      </c>
      <c r="BT945" s="351">
        <v>0</v>
      </c>
      <c r="BU945" s="214">
        <v>259</v>
      </c>
      <c r="BV945" s="214">
        <v>1</v>
      </c>
      <c r="BW945" s="214">
        <v>1</v>
      </c>
      <c r="BX945" s="214">
        <v>1</v>
      </c>
      <c r="BY945" s="214">
        <v>259</v>
      </c>
      <c r="BZ945" s="134">
        <v>1</v>
      </c>
      <c r="CA945" s="138">
        <v>0</v>
      </c>
      <c r="CB945" s="136">
        <v>1</v>
      </c>
      <c r="CC945" s="136">
        <v>1</v>
      </c>
      <c r="CD945" s="136">
        <v>1</v>
      </c>
      <c r="CE945" s="137">
        <v>225</v>
      </c>
      <c r="CF945" s="137">
        <v>225</v>
      </c>
      <c r="CG945" s="137">
        <v>225</v>
      </c>
      <c r="CH945" s="214">
        <v>45</v>
      </c>
      <c r="CI945" s="139" t="s">
        <v>48</v>
      </c>
      <c r="CJ945" s="139" t="s">
        <v>287</v>
      </c>
      <c r="CK945" s="139" t="s">
        <v>50</v>
      </c>
      <c r="CL945" s="139" t="s">
        <v>50</v>
      </c>
      <c r="CM945" s="139" t="s">
        <v>50</v>
      </c>
      <c r="CN945" s="139" t="s">
        <v>51</v>
      </c>
      <c r="CO945" s="139">
        <v>24.200361000000001</v>
      </c>
      <c r="CP945" s="139">
        <v>96.807353000000006</v>
      </c>
      <c r="CQ945" s="139" t="s">
        <v>1934</v>
      </c>
      <c r="CR945" s="449" t="s">
        <v>40</v>
      </c>
      <c r="CS945" s="449"/>
      <c r="CT945" s="24"/>
      <c r="CU945" s="24"/>
      <c r="CV945" s="24"/>
    </row>
    <row r="946" spans="1:100" ht="15.75" customHeight="1" x14ac:dyDescent="0.25">
      <c r="A946" s="643" t="s">
        <v>1388</v>
      </c>
      <c r="B946" s="132" t="s">
        <v>338</v>
      </c>
      <c r="C946" s="132" t="s">
        <v>44</v>
      </c>
      <c r="D946" s="132" t="s">
        <v>360</v>
      </c>
      <c r="E946" s="132" t="s">
        <v>362</v>
      </c>
      <c r="F946" s="132">
        <v>33</v>
      </c>
      <c r="G946" s="214">
        <v>169</v>
      </c>
      <c r="H946" s="132"/>
      <c r="I946" s="132" t="s">
        <v>340</v>
      </c>
      <c r="J946" s="133" t="s">
        <v>2476</v>
      </c>
      <c r="K946" s="132">
        <v>0</v>
      </c>
      <c r="L946" s="132" t="s">
        <v>48</v>
      </c>
      <c r="M946" s="134">
        <v>0.8</v>
      </c>
      <c r="N946" s="134">
        <v>0.6</v>
      </c>
      <c r="O946" s="320">
        <v>0</v>
      </c>
      <c r="P946" s="326">
        <v>1</v>
      </c>
      <c r="Q946" s="326">
        <v>0</v>
      </c>
      <c r="R946" s="315">
        <v>0</v>
      </c>
      <c r="S946" s="315">
        <v>0</v>
      </c>
      <c r="T946" s="315"/>
      <c r="U946" s="315"/>
      <c r="V946" s="315"/>
      <c r="W946" s="315"/>
      <c r="X946" s="315"/>
      <c r="Y946" s="315"/>
      <c r="Z946" s="315"/>
      <c r="AA946" s="336">
        <v>14</v>
      </c>
      <c r="AB946" s="336">
        <v>0</v>
      </c>
      <c r="AC946" s="337">
        <v>0</v>
      </c>
      <c r="AD946" s="337"/>
      <c r="AE946" s="336">
        <v>0</v>
      </c>
      <c r="AF946" s="336" t="s">
        <v>283</v>
      </c>
      <c r="AG946" s="339" t="s">
        <v>283</v>
      </c>
      <c r="AH946" s="339"/>
      <c r="AI946" s="336"/>
      <c r="AJ946" s="336"/>
      <c r="AK946" s="848">
        <v>1</v>
      </c>
      <c r="AL946" s="836" t="s">
        <v>291</v>
      </c>
      <c r="AM946" s="836">
        <v>0</v>
      </c>
      <c r="AN946" s="848">
        <v>3</v>
      </c>
      <c r="AO946" s="850">
        <v>1</v>
      </c>
      <c r="AP946" s="838">
        <v>33</v>
      </c>
      <c r="AQ946" s="839">
        <v>33</v>
      </c>
      <c r="AR946" s="839"/>
      <c r="AS946" s="839"/>
      <c r="AT946" s="839"/>
      <c r="AU946" s="839"/>
      <c r="AV946" s="849"/>
      <c r="AW946" s="134" t="s">
        <v>3208</v>
      </c>
      <c r="AX946" s="136" t="s">
        <v>3208</v>
      </c>
      <c r="AY946" s="137" t="s">
        <v>2576</v>
      </c>
      <c r="AZ946" s="136">
        <v>1</v>
      </c>
      <c r="BA946" s="136">
        <v>1</v>
      </c>
      <c r="BB946" s="136">
        <v>1</v>
      </c>
      <c r="BC946" s="214">
        <v>169</v>
      </c>
      <c r="BD946" s="136">
        <v>0</v>
      </c>
      <c r="BE946" s="214">
        <v>0</v>
      </c>
      <c r="BF946" s="136">
        <v>1</v>
      </c>
      <c r="BG946" s="214">
        <v>169</v>
      </c>
      <c r="BH946" s="214">
        <v>0.33800000000000002</v>
      </c>
      <c r="BI946" s="134">
        <v>0</v>
      </c>
      <c r="BJ946" s="214">
        <v>0</v>
      </c>
      <c r="BK946" s="137">
        <v>0.66199999999999992</v>
      </c>
      <c r="BL946" s="137">
        <v>1</v>
      </c>
      <c r="BM946" s="137">
        <v>14</v>
      </c>
      <c r="BN946" s="134">
        <v>1</v>
      </c>
      <c r="BO946" s="351">
        <v>169</v>
      </c>
      <c r="BP946" s="134">
        <v>0</v>
      </c>
      <c r="BQ946" s="214">
        <v>0</v>
      </c>
      <c r="BR946" s="137">
        <v>8</v>
      </c>
      <c r="BS946" s="138">
        <v>0</v>
      </c>
      <c r="BT946" s="351">
        <v>0</v>
      </c>
      <c r="BU946" s="214">
        <v>169</v>
      </c>
      <c r="BV946" s="214">
        <v>1</v>
      </c>
      <c r="BW946" s="214">
        <v>1</v>
      </c>
      <c r="BX946" s="214">
        <v>1</v>
      </c>
      <c r="BY946" s="214">
        <v>169</v>
      </c>
      <c r="BZ946" s="134">
        <v>1</v>
      </c>
      <c r="CA946" s="138">
        <v>0</v>
      </c>
      <c r="CB946" s="136">
        <v>1</v>
      </c>
      <c r="CC946" s="136">
        <v>1</v>
      </c>
      <c r="CD946" s="136">
        <v>1</v>
      </c>
      <c r="CE946" s="137">
        <v>165</v>
      </c>
      <c r="CF946" s="137">
        <v>165</v>
      </c>
      <c r="CG946" s="137">
        <v>165</v>
      </c>
      <c r="CH946" s="214">
        <v>33</v>
      </c>
      <c r="CI946" s="139" t="s">
        <v>48</v>
      </c>
      <c r="CJ946" s="139" t="s">
        <v>49</v>
      </c>
      <c r="CK946" s="139" t="s">
        <v>50</v>
      </c>
      <c r="CL946" s="139" t="s">
        <v>50</v>
      </c>
      <c r="CM946" s="139" t="s">
        <v>50</v>
      </c>
      <c r="CN946" s="139" t="s">
        <v>51</v>
      </c>
      <c r="CO946" s="139">
        <v>24.200367</v>
      </c>
      <c r="CP946" s="139">
        <v>96.807353000000006</v>
      </c>
      <c r="CQ946" s="139" t="s">
        <v>1935</v>
      </c>
      <c r="CR946" s="449" t="s">
        <v>40</v>
      </c>
      <c r="CS946" s="449"/>
      <c r="CT946" s="24"/>
      <c r="CU946" s="24"/>
      <c r="CV946" s="24"/>
    </row>
    <row r="947" spans="1:100" ht="15.75" customHeight="1" x14ac:dyDescent="0.25">
      <c r="A947" s="643" t="s">
        <v>1388</v>
      </c>
      <c r="B947" s="132" t="s">
        <v>287</v>
      </c>
      <c r="C947" s="132" t="s">
        <v>44</v>
      </c>
      <c r="D947" s="132" t="s">
        <v>330</v>
      </c>
      <c r="E947" s="132" t="s">
        <v>331</v>
      </c>
      <c r="F947" s="132">
        <v>127</v>
      </c>
      <c r="G947" s="214">
        <v>547</v>
      </c>
      <c r="H947" s="132"/>
      <c r="I947" s="132" t="s">
        <v>296</v>
      </c>
      <c r="J947" s="133">
        <v>43131</v>
      </c>
      <c r="K947" s="132">
        <v>0</v>
      </c>
      <c r="L947" s="132" t="s">
        <v>48</v>
      </c>
      <c r="M947" s="134">
        <v>0.5</v>
      </c>
      <c r="N947" s="134">
        <v>0.5</v>
      </c>
      <c r="O947" s="320">
        <v>0</v>
      </c>
      <c r="P947" s="326">
        <v>0</v>
      </c>
      <c r="Q947" s="326">
        <v>0</v>
      </c>
      <c r="R947" s="315">
        <v>0</v>
      </c>
      <c r="S947" s="315">
        <v>0</v>
      </c>
      <c r="T947" s="315"/>
      <c r="U947" s="315">
        <v>0</v>
      </c>
      <c r="V947" s="315">
        <v>0</v>
      </c>
      <c r="W947" s="315">
        <v>0</v>
      </c>
      <c r="X947" s="315">
        <v>0</v>
      </c>
      <c r="Y947" s="315">
        <v>0</v>
      </c>
      <c r="Z947" s="315"/>
      <c r="AA947" s="336">
        <v>74</v>
      </c>
      <c r="AB947" s="336">
        <v>0</v>
      </c>
      <c r="AC947" s="337">
        <v>0</v>
      </c>
      <c r="AD947" s="337"/>
      <c r="AE947" s="336">
        <v>0</v>
      </c>
      <c r="AF947" s="336" t="s">
        <v>332</v>
      </c>
      <c r="AG947" s="339" t="s">
        <v>283</v>
      </c>
      <c r="AH947" s="339"/>
      <c r="AI947" s="336"/>
      <c r="AJ947" s="336"/>
      <c r="AK947" s="848">
        <v>0.2</v>
      </c>
      <c r="AL947" s="836" t="s">
        <v>284</v>
      </c>
      <c r="AM947" s="836">
        <v>0</v>
      </c>
      <c r="AN947" s="848">
        <v>0</v>
      </c>
      <c r="AO947" s="850">
        <v>2</v>
      </c>
      <c r="AP947" s="838">
        <v>0</v>
      </c>
      <c r="AQ947" s="839">
        <v>0</v>
      </c>
      <c r="AR947" s="839"/>
      <c r="AS947" s="839"/>
      <c r="AT947" s="839"/>
      <c r="AU947" s="839"/>
      <c r="AV947" s="849"/>
      <c r="AW947" s="134" t="s">
        <v>3208</v>
      </c>
      <c r="AX947" s="136" t="s">
        <v>3208</v>
      </c>
      <c r="AY947" s="137" t="s">
        <v>2576</v>
      </c>
      <c r="AZ947" s="136">
        <v>0</v>
      </c>
      <c r="BA947" s="136">
        <v>0</v>
      </c>
      <c r="BB947" s="136">
        <v>0</v>
      </c>
      <c r="BC947" s="214">
        <v>0</v>
      </c>
      <c r="BD947" s="136">
        <v>0</v>
      </c>
      <c r="BE947" s="214">
        <v>0</v>
      </c>
      <c r="BF947" s="136">
        <v>0</v>
      </c>
      <c r="BG947" s="214">
        <v>0</v>
      </c>
      <c r="BH947" s="214">
        <v>0</v>
      </c>
      <c r="BI947" s="134">
        <v>1</v>
      </c>
      <c r="BJ947" s="214">
        <v>547</v>
      </c>
      <c r="BK947" s="137">
        <v>1</v>
      </c>
      <c r="BL947" s="137">
        <v>1</v>
      </c>
      <c r="BM947" s="137">
        <v>74</v>
      </c>
      <c r="BN947" s="134">
        <v>1</v>
      </c>
      <c r="BO947" s="351">
        <v>547</v>
      </c>
      <c r="BP947" s="134">
        <v>0</v>
      </c>
      <c r="BQ947" s="214">
        <v>0</v>
      </c>
      <c r="BR947" s="137">
        <v>27</v>
      </c>
      <c r="BS947" s="138">
        <v>0</v>
      </c>
      <c r="BT947" s="351">
        <v>0</v>
      </c>
      <c r="BU947" s="214">
        <v>547</v>
      </c>
      <c r="BV947" s="214">
        <v>0</v>
      </c>
      <c r="BW947" s="214">
        <v>1</v>
      </c>
      <c r="BX947" s="214">
        <v>0</v>
      </c>
      <c r="BY947" s="214">
        <v>0</v>
      </c>
      <c r="BZ947" s="134">
        <v>0</v>
      </c>
      <c r="CA947" s="138">
        <v>1</v>
      </c>
      <c r="CB947" s="136">
        <v>1</v>
      </c>
      <c r="CC947" s="136">
        <v>0</v>
      </c>
      <c r="CD947" s="136">
        <v>0</v>
      </c>
      <c r="CE947" s="137">
        <v>0</v>
      </c>
      <c r="CF947" s="137">
        <v>0</v>
      </c>
      <c r="CG947" s="137">
        <v>0</v>
      </c>
      <c r="CH947" s="214">
        <v>25.400000000000002</v>
      </c>
      <c r="CI947" s="139" t="s">
        <v>48</v>
      </c>
      <c r="CJ947" s="139" t="s">
        <v>287</v>
      </c>
      <c r="CK947" s="139" t="s">
        <v>50</v>
      </c>
      <c r="CL947" s="139" t="s">
        <v>50</v>
      </c>
      <c r="CM947" s="139" t="s">
        <v>50</v>
      </c>
      <c r="CN947" s="139" t="s">
        <v>949</v>
      </c>
      <c r="CO947" s="139">
        <v>26.569633</v>
      </c>
      <c r="CP947" s="139">
        <v>97.745480999999998</v>
      </c>
      <c r="CQ947" s="139" t="s">
        <v>2074</v>
      </c>
      <c r="CR947" s="449" t="s">
        <v>40</v>
      </c>
      <c r="CS947" s="449"/>
      <c r="CT947" s="24"/>
      <c r="CU947" s="24"/>
      <c r="CV947" s="24"/>
    </row>
    <row r="948" spans="1:100" ht="15.75" customHeight="1" x14ac:dyDescent="0.25">
      <c r="A948" s="643" t="s">
        <v>1388</v>
      </c>
      <c r="B948" s="132" t="s">
        <v>287</v>
      </c>
      <c r="C948" s="132" t="s">
        <v>44</v>
      </c>
      <c r="D948" s="132" t="s">
        <v>330</v>
      </c>
      <c r="E948" s="132" t="s">
        <v>333</v>
      </c>
      <c r="F948" s="132">
        <v>68</v>
      </c>
      <c r="G948" s="214">
        <v>268</v>
      </c>
      <c r="H948" s="132"/>
      <c r="I948" s="132" t="s">
        <v>296</v>
      </c>
      <c r="J948" s="133">
        <v>43131</v>
      </c>
      <c r="K948" s="132">
        <v>0</v>
      </c>
      <c r="L948" s="132" t="s">
        <v>48</v>
      </c>
      <c r="M948" s="134">
        <v>0.4</v>
      </c>
      <c r="N948" s="134">
        <v>0.5</v>
      </c>
      <c r="O948" s="320">
        <v>0</v>
      </c>
      <c r="P948" s="326">
        <v>0</v>
      </c>
      <c r="Q948" s="326">
        <v>0</v>
      </c>
      <c r="R948" s="315">
        <v>0</v>
      </c>
      <c r="S948" s="315">
        <v>0</v>
      </c>
      <c r="T948" s="315"/>
      <c r="U948" s="315">
        <v>0</v>
      </c>
      <c r="V948" s="315">
        <v>0</v>
      </c>
      <c r="W948" s="315">
        <v>0</v>
      </c>
      <c r="X948" s="315">
        <v>0</v>
      </c>
      <c r="Y948" s="315">
        <v>0</v>
      </c>
      <c r="Z948" s="315"/>
      <c r="AA948" s="336">
        <v>65</v>
      </c>
      <c r="AB948" s="336">
        <v>0</v>
      </c>
      <c r="AC948" s="337">
        <v>0</v>
      </c>
      <c r="AD948" s="337"/>
      <c r="AE948" s="336">
        <v>0</v>
      </c>
      <c r="AF948" s="336" t="s">
        <v>332</v>
      </c>
      <c r="AG948" s="339" t="s">
        <v>283</v>
      </c>
      <c r="AH948" s="339"/>
      <c r="AI948" s="336"/>
      <c r="AJ948" s="336"/>
      <c r="AK948" s="848">
        <v>0.2</v>
      </c>
      <c r="AL948" s="836" t="s">
        <v>284</v>
      </c>
      <c r="AM948" s="836">
        <v>0</v>
      </c>
      <c r="AN948" s="848">
        <v>0</v>
      </c>
      <c r="AO948" s="850">
        <v>1</v>
      </c>
      <c r="AP948" s="838">
        <v>0</v>
      </c>
      <c r="AQ948" s="839">
        <v>0</v>
      </c>
      <c r="AR948" s="839"/>
      <c r="AS948" s="839"/>
      <c r="AT948" s="839"/>
      <c r="AU948" s="839"/>
      <c r="AV948" s="849"/>
      <c r="AW948" s="134" t="s">
        <v>3208</v>
      </c>
      <c r="AX948" s="136" t="s">
        <v>3208</v>
      </c>
      <c r="AY948" s="137" t="s">
        <v>2576</v>
      </c>
      <c r="AZ948" s="136">
        <v>0</v>
      </c>
      <c r="BA948" s="136">
        <v>0</v>
      </c>
      <c r="BB948" s="136">
        <v>0</v>
      </c>
      <c r="BC948" s="214">
        <v>0</v>
      </c>
      <c r="BD948" s="136">
        <v>0</v>
      </c>
      <c r="BE948" s="135">
        <v>0</v>
      </c>
      <c r="BF948" s="136">
        <v>0</v>
      </c>
      <c r="BG948" s="214">
        <v>0</v>
      </c>
      <c r="BH948" s="214">
        <v>0</v>
      </c>
      <c r="BI948" s="134">
        <v>1</v>
      </c>
      <c r="BJ948" s="135">
        <v>268</v>
      </c>
      <c r="BK948" s="137">
        <v>1</v>
      </c>
      <c r="BL948" s="137">
        <v>1</v>
      </c>
      <c r="BM948" s="137">
        <v>65</v>
      </c>
      <c r="BN948" s="134">
        <v>1</v>
      </c>
      <c r="BO948" s="351">
        <v>268</v>
      </c>
      <c r="BP948" s="134">
        <v>0</v>
      </c>
      <c r="BQ948" s="135">
        <v>0</v>
      </c>
      <c r="BR948" s="137">
        <v>13</v>
      </c>
      <c r="BS948" s="138">
        <v>0</v>
      </c>
      <c r="BT948" s="351">
        <v>0</v>
      </c>
      <c r="BU948" s="214">
        <v>268</v>
      </c>
      <c r="BV948" s="214">
        <v>0</v>
      </c>
      <c r="BW948" s="214">
        <v>1</v>
      </c>
      <c r="BX948" s="214">
        <v>0</v>
      </c>
      <c r="BY948" s="214">
        <v>0</v>
      </c>
      <c r="BZ948" s="134">
        <v>0</v>
      </c>
      <c r="CA948" s="138">
        <v>1</v>
      </c>
      <c r="CB948" s="136">
        <v>1</v>
      </c>
      <c r="CC948" s="136">
        <v>0</v>
      </c>
      <c r="CD948" s="136">
        <v>0</v>
      </c>
      <c r="CE948" s="137">
        <v>0</v>
      </c>
      <c r="CF948" s="137">
        <v>0</v>
      </c>
      <c r="CG948" s="137">
        <v>0</v>
      </c>
      <c r="CH948" s="135">
        <v>13.600000000000001</v>
      </c>
      <c r="CI948" s="139" t="s">
        <v>48</v>
      </c>
      <c r="CJ948" s="139" t="s">
        <v>287</v>
      </c>
      <c r="CK948" s="139" t="s">
        <v>50</v>
      </c>
      <c r="CL948" s="139" t="s">
        <v>50</v>
      </c>
      <c r="CM948" s="139" t="s">
        <v>50</v>
      </c>
      <c r="CN948" s="139" t="s">
        <v>949</v>
      </c>
      <c r="CO948" s="139">
        <v>26.548506</v>
      </c>
      <c r="CP948" s="139">
        <v>97.75609</v>
      </c>
      <c r="CQ948" s="139" t="s">
        <v>2073</v>
      </c>
      <c r="CR948" s="449" t="s">
        <v>40</v>
      </c>
      <c r="CS948" s="449"/>
      <c r="CT948" s="24"/>
      <c r="CU948" s="24"/>
      <c r="CV948" s="24"/>
    </row>
    <row r="949" spans="1:100" ht="15.75" customHeight="1" x14ac:dyDescent="0.25">
      <c r="A949" s="643" t="s">
        <v>1388</v>
      </c>
      <c r="B949" s="132" t="s">
        <v>460</v>
      </c>
      <c r="C949" s="132" t="s">
        <v>44</v>
      </c>
      <c r="D949" s="132" t="s">
        <v>330</v>
      </c>
      <c r="E949" s="132" t="s">
        <v>330</v>
      </c>
      <c r="F949" s="132">
        <v>5</v>
      </c>
      <c r="G949" s="214">
        <v>32</v>
      </c>
      <c r="H949" s="132"/>
      <c r="I949" s="132"/>
      <c r="J949" s="133"/>
      <c r="K949" s="132"/>
      <c r="L949" s="132" t="s">
        <v>282</v>
      </c>
      <c r="M949" s="134">
        <v>0</v>
      </c>
      <c r="N949" s="134">
        <v>0</v>
      </c>
      <c r="O949" s="320"/>
      <c r="P949" s="326"/>
      <c r="Q949" s="326"/>
      <c r="R949" s="315"/>
      <c r="S949" s="315"/>
      <c r="T949" s="315"/>
      <c r="U949" s="315"/>
      <c r="V949" s="315"/>
      <c r="W949" s="315"/>
      <c r="X949" s="315"/>
      <c r="Y949" s="315"/>
      <c r="Z949" s="315"/>
      <c r="AA949" s="336">
        <v>0</v>
      </c>
      <c r="AB949" s="336"/>
      <c r="AC949" s="337"/>
      <c r="AD949" s="337"/>
      <c r="AE949" s="336"/>
      <c r="AF949" s="336" t="s">
        <v>286</v>
      </c>
      <c r="AG949" s="339" t="s">
        <v>286</v>
      </c>
      <c r="AH949" s="339"/>
      <c r="AI949" s="336"/>
      <c r="AJ949" s="336"/>
      <c r="AK949" s="848"/>
      <c r="AL949" s="836"/>
      <c r="AM949" s="836"/>
      <c r="AN949" s="848"/>
      <c r="AO949" s="850"/>
      <c r="AP949" s="838"/>
      <c r="AQ949" s="839"/>
      <c r="AR949" s="839"/>
      <c r="AS949" s="839"/>
      <c r="AT949" s="839"/>
      <c r="AU949" s="839"/>
      <c r="AV949" s="849"/>
      <c r="AW949" s="134" t="s">
        <v>3208</v>
      </c>
      <c r="AX949" s="136" t="s">
        <v>3208</v>
      </c>
      <c r="AY949" s="137" t="s">
        <v>2576</v>
      </c>
      <c r="AZ949" s="136">
        <v>0</v>
      </c>
      <c r="BA949" s="136">
        <v>0</v>
      </c>
      <c r="BB949" s="136">
        <v>0</v>
      </c>
      <c r="BC949" s="214">
        <v>0</v>
      </c>
      <c r="BD949" s="136">
        <v>0</v>
      </c>
      <c r="BE949" s="214">
        <v>0</v>
      </c>
      <c r="BF949" s="136">
        <v>0</v>
      </c>
      <c r="BG949" s="214">
        <v>0</v>
      </c>
      <c r="BH949" s="214">
        <v>0</v>
      </c>
      <c r="BI949" s="134">
        <v>1</v>
      </c>
      <c r="BJ949" s="214">
        <v>32</v>
      </c>
      <c r="BK949" s="137">
        <v>1</v>
      </c>
      <c r="BL949" s="137">
        <v>1</v>
      </c>
      <c r="BM949" s="137">
        <v>0</v>
      </c>
      <c r="BN949" s="134">
        <v>0</v>
      </c>
      <c r="BO949" s="351">
        <v>0</v>
      </c>
      <c r="BP949" s="134">
        <v>1</v>
      </c>
      <c r="BQ949" s="214">
        <v>2</v>
      </c>
      <c r="BR949" s="137">
        <v>2</v>
      </c>
      <c r="BS949" s="138">
        <v>0</v>
      </c>
      <c r="BT949" s="351">
        <v>0</v>
      </c>
      <c r="BU949" s="214">
        <v>0</v>
      </c>
      <c r="BV949" s="214">
        <v>0</v>
      </c>
      <c r="BW949" s="214">
        <v>0</v>
      </c>
      <c r="BX949" s="214">
        <v>0</v>
      </c>
      <c r="BY949" s="214">
        <v>0</v>
      </c>
      <c r="BZ949" s="134">
        <v>0</v>
      </c>
      <c r="CA949" s="138">
        <v>1</v>
      </c>
      <c r="CB949" s="136">
        <v>0</v>
      </c>
      <c r="CC949" s="136">
        <v>0</v>
      </c>
      <c r="CD949" s="136">
        <v>0</v>
      </c>
      <c r="CE949" s="137">
        <v>0</v>
      </c>
      <c r="CF949" s="137">
        <v>0</v>
      </c>
      <c r="CG949" s="137">
        <v>0</v>
      </c>
      <c r="CH949" s="214">
        <v>0</v>
      </c>
      <c r="CI949" s="139">
        <v>0</v>
      </c>
      <c r="CJ949" s="139" t="s">
        <v>2959</v>
      </c>
      <c r="CK949" s="139" t="s">
        <v>50</v>
      </c>
      <c r="CL949" s="139" t="s">
        <v>50</v>
      </c>
      <c r="CM949" s="139" t="s">
        <v>946</v>
      </c>
      <c r="CN949" s="139" t="s">
        <v>51</v>
      </c>
      <c r="CO949" s="139">
        <v>26.541930000000001</v>
      </c>
      <c r="CP949" s="139">
        <v>97.568836000000005</v>
      </c>
      <c r="CQ949" s="139" t="s">
        <v>2072</v>
      </c>
      <c r="CR949" s="449" t="s">
        <v>3209</v>
      </c>
      <c r="CS949" s="449"/>
      <c r="CT949" s="24"/>
      <c r="CU949" s="24"/>
      <c r="CV949" s="24"/>
    </row>
    <row r="950" spans="1:100" ht="15.75" customHeight="1" x14ac:dyDescent="0.25">
      <c r="A950" s="643" t="s">
        <v>1388</v>
      </c>
      <c r="B950" s="132" t="s">
        <v>43</v>
      </c>
      <c r="C950" s="132" t="s">
        <v>44</v>
      </c>
      <c r="D950" s="132" t="s">
        <v>1311</v>
      </c>
      <c r="E950" s="132" t="s">
        <v>2690</v>
      </c>
      <c r="F950" s="132">
        <v>42</v>
      </c>
      <c r="G950" s="214">
        <v>205</v>
      </c>
      <c r="H950" s="132"/>
      <c r="I950" s="132" t="s">
        <v>388</v>
      </c>
      <c r="J950" s="133">
        <v>43465</v>
      </c>
      <c r="K950" s="132">
        <v>0</v>
      </c>
      <c r="L950" s="132" t="s">
        <v>48</v>
      </c>
      <c r="M950" s="134">
        <v>0.2</v>
      </c>
      <c r="N950" s="134">
        <v>0.2</v>
      </c>
      <c r="O950" s="320">
        <v>0</v>
      </c>
      <c r="P950" s="326">
        <v>0</v>
      </c>
      <c r="Q950" s="326">
        <v>2000</v>
      </c>
      <c r="R950" s="315">
        <v>0</v>
      </c>
      <c r="S950" s="315">
        <v>0</v>
      </c>
      <c r="T950" s="315"/>
      <c r="U950" s="315">
        <v>0</v>
      </c>
      <c r="V950" s="315">
        <v>0</v>
      </c>
      <c r="W950" s="315">
        <v>0</v>
      </c>
      <c r="X950" s="315">
        <v>0</v>
      </c>
      <c r="Y950" s="315">
        <v>0</v>
      </c>
      <c r="Z950" s="315" t="s">
        <v>2480</v>
      </c>
      <c r="AA950" s="336">
        <v>2</v>
      </c>
      <c r="AB950" s="336">
        <v>0</v>
      </c>
      <c r="AC950" s="337">
        <v>0</v>
      </c>
      <c r="AD950" s="337"/>
      <c r="AE950" s="336">
        <v>0</v>
      </c>
      <c r="AF950" s="336" t="s">
        <v>283</v>
      </c>
      <c r="AG950" s="339" t="s">
        <v>1358</v>
      </c>
      <c r="AH950" s="339">
        <v>0</v>
      </c>
      <c r="AI950" s="336">
        <v>0</v>
      </c>
      <c r="AJ950" s="336"/>
      <c r="AK950" s="848">
        <v>0</v>
      </c>
      <c r="AL950" s="836" t="s">
        <v>376</v>
      </c>
      <c r="AM950" s="836">
        <v>0</v>
      </c>
      <c r="AN950" s="848">
        <v>1</v>
      </c>
      <c r="AO950" s="850">
        <v>2</v>
      </c>
      <c r="AP950" s="838">
        <v>0</v>
      </c>
      <c r="AQ950" s="839">
        <v>0</v>
      </c>
      <c r="AR950" s="839" t="s">
        <v>282</v>
      </c>
      <c r="AS950" s="839"/>
      <c r="AT950" s="839"/>
      <c r="AU950" s="839"/>
      <c r="AV950" s="849"/>
      <c r="AW950" s="134" t="s">
        <v>3208</v>
      </c>
      <c r="AX950" s="136" t="s">
        <v>3208</v>
      </c>
      <c r="AY950" s="137" t="s">
        <v>2576</v>
      </c>
      <c r="AZ950" s="136">
        <v>0.65040650406504075</v>
      </c>
      <c r="BA950" s="136">
        <v>0.65040650406504075</v>
      </c>
      <c r="BB950" s="136">
        <v>0.65040650406504075</v>
      </c>
      <c r="BC950" s="214">
        <v>133.33333333333334</v>
      </c>
      <c r="BD950" s="136">
        <v>0</v>
      </c>
      <c r="BE950" s="214">
        <v>0</v>
      </c>
      <c r="BF950" s="136">
        <v>0.65040650406504075</v>
      </c>
      <c r="BG950" s="214">
        <v>133.33333333333334</v>
      </c>
      <c r="BH950" s="214">
        <v>0.26666666666666666</v>
      </c>
      <c r="BI950" s="134">
        <v>0.34959349593495925</v>
      </c>
      <c r="BJ950" s="214">
        <v>71.666666666666643</v>
      </c>
      <c r="BK950" s="137">
        <v>0.73333333333333339</v>
      </c>
      <c r="BL950" s="137">
        <v>1</v>
      </c>
      <c r="BM950" s="137">
        <v>2</v>
      </c>
      <c r="BN950" s="134">
        <v>0.1951219512195122</v>
      </c>
      <c r="BO950" s="351">
        <v>40</v>
      </c>
      <c r="BP950" s="134">
        <v>0.78048780487804881</v>
      </c>
      <c r="BQ950" s="214">
        <v>8</v>
      </c>
      <c r="BR950" s="137">
        <v>10</v>
      </c>
      <c r="BS950" s="138">
        <v>0</v>
      </c>
      <c r="BT950" s="351">
        <v>0</v>
      </c>
      <c r="BU950" s="214">
        <v>205</v>
      </c>
      <c r="BV950" s="214">
        <v>0</v>
      </c>
      <c r="BW950" s="214">
        <v>1</v>
      </c>
      <c r="BX950" s="214">
        <v>0</v>
      </c>
      <c r="BY950" s="214">
        <v>0</v>
      </c>
      <c r="BZ950" s="134">
        <v>0</v>
      </c>
      <c r="CA950" s="138">
        <v>1</v>
      </c>
      <c r="CB950" s="136">
        <v>1</v>
      </c>
      <c r="CC950" s="136">
        <v>0</v>
      </c>
      <c r="CD950" s="136">
        <v>0</v>
      </c>
      <c r="CE950" s="137">
        <v>0</v>
      </c>
      <c r="CF950" s="137">
        <v>0</v>
      </c>
      <c r="CG950" s="137">
        <v>0</v>
      </c>
      <c r="CH950" s="214">
        <v>0</v>
      </c>
      <c r="CI950" s="139">
        <v>0</v>
      </c>
      <c r="CJ950" s="139" t="s">
        <v>2959</v>
      </c>
      <c r="CK950" s="139" t="s">
        <v>50</v>
      </c>
      <c r="CL950" s="139" t="s">
        <v>50</v>
      </c>
      <c r="CM950" s="139" t="s">
        <v>946</v>
      </c>
      <c r="CN950" s="139" t="s">
        <v>51</v>
      </c>
      <c r="CO950" s="139">
        <v>0</v>
      </c>
      <c r="CP950" s="139">
        <v>0</v>
      </c>
      <c r="CQ950" s="139" t="s">
        <v>2098</v>
      </c>
      <c r="CR950" s="449" t="s">
        <v>40</v>
      </c>
      <c r="CS950" s="449"/>
      <c r="CT950" s="24"/>
      <c r="CU950" s="24"/>
      <c r="CV950" s="24"/>
    </row>
    <row r="951" spans="1:100" ht="15.75" customHeight="1" x14ac:dyDescent="0.25">
      <c r="A951" s="643" t="s">
        <v>1388</v>
      </c>
      <c r="B951" s="132" t="s">
        <v>43</v>
      </c>
      <c r="C951" s="132" t="s">
        <v>44</v>
      </c>
      <c r="D951" s="132" t="s">
        <v>1311</v>
      </c>
      <c r="E951" s="132" t="s">
        <v>1313</v>
      </c>
      <c r="F951" s="132">
        <v>36</v>
      </c>
      <c r="G951" s="214">
        <v>152</v>
      </c>
      <c r="H951" s="132"/>
      <c r="I951" s="132" t="s">
        <v>388</v>
      </c>
      <c r="J951" s="133">
        <v>43465</v>
      </c>
      <c r="K951" s="132">
        <v>0</v>
      </c>
      <c r="L951" s="132" t="s">
        <v>48</v>
      </c>
      <c r="M951" s="134">
        <v>0.2</v>
      </c>
      <c r="N951" s="134">
        <v>0.2</v>
      </c>
      <c r="O951" s="320">
        <v>0</v>
      </c>
      <c r="P951" s="326">
        <v>0</v>
      </c>
      <c r="Q951" s="326">
        <v>0</v>
      </c>
      <c r="R951" s="315">
        <v>0</v>
      </c>
      <c r="S951" s="315">
        <v>0</v>
      </c>
      <c r="T951" s="315"/>
      <c r="U951" s="315">
        <v>0</v>
      </c>
      <c r="V951" s="315">
        <v>0</v>
      </c>
      <c r="W951" s="315">
        <v>0</v>
      </c>
      <c r="X951" s="315">
        <v>0</v>
      </c>
      <c r="Y951" s="315">
        <v>0</v>
      </c>
      <c r="Z951" s="315" t="s">
        <v>2480</v>
      </c>
      <c r="AA951" s="336">
        <v>2</v>
      </c>
      <c r="AB951" s="336">
        <v>0</v>
      </c>
      <c r="AC951" s="337">
        <v>0</v>
      </c>
      <c r="AD951" s="337"/>
      <c r="AE951" s="336">
        <v>0</v>
      </c>
      <c r="AF951" s="336" t="s">
        <v>283</v>
      </c>
      <c r="AG951" s="339" t="s">
        <v>1358</v>
      </c>
      <c r="AH951" s="339">
        <v>0</v>
      </c>
      <c r="AI951" s="336">
        <v>0</v>
      </c>
      <c r="AJ951" s="336"/>
      <c r="AK951" s="848">
        <v>0</v>
      </c>
      <c r="AL951" s="836" t="s">
        <v>376</v>
      </c>
      <c r="AM951" s="836">
        <v>0</v>
      </c>
      <c r="AN951" s="848">
        <v>2</v>
      </c>
      <c r="AO951" s="850">
        <v>1</v>
      </c>
      <c r="AP951" s="838">
        <v>0</v>
      </c>
      <c r="AQ951" s="839">
        <v>0</v>
      </c>
      <c r="AR951" s="839" t="s">
        <v>282</v>
      </c>
      <c r="AS951" s="839"/>
      <c r="AT951" s="839"/>
      <c r="AU951" s="839"/>
      <c r="AV951" s="849"/>
      <c r="AW951" s="134" t="s">
        <v>3208</v>
      </c>
      <c r="AX951" s="136" t="s">
        <v>3208</v>
      </c>
      <c r="AY951" s="137" t="s">
        <v>2576</v>
      </c>
      <c r="AZ951" s="136">
        <v>0</v>
      </c>
      <c r="BA951" s="136">
        <v>0</v>
      </c>
      <c r="BB951" s="136">
        <v>0</v>
      </c>
      <c r="BC951" s="214">
        <v>0</v>
      </c>
      <c r="BD951" s="136">
        <v>0</v>
      </c>
      <c r="BE951" s="135">
        <v>0</v>
      </c>
      <c r="BF951" s="136">
        <v>0</v>
      </c>
      <c r="BG951" s="214">
        <v>0</v>
      </c>
      <c r="BH951" s="214">
        <v>0</v>
      </c>
      <c r="BI951" s="134">
        <v>1</v>
      </c>
      <c r="BJ951" s="135">
        <v>152</v>
      </c>
      <c r="BK951" s="137">
        <v>1</v>
      </c>
      <c r="BL951" s="137">
        <v>1</v>
      </c>
      <c r="BM951" s="137">
        <v>2</v>
      </c>
      <c r="BN951" s="134">
        <v>0.26315789473684209</v>
      </c>
      <c r="BO951" s="351">
        <v>40</v>
      </c>
      <c r="BP951" s="134">
        <v>0.78947368421052633</v>
      </c>
      <c r="BQ951" s="135">
        <v>6</v>
      </c>
      <c r="BR951" s="137">
        <v>8</v>
      </c>
      <c r="BS951" s="138">
        <v>0</v>
      </c>
      <c r="BT951" s="351">
        <v>0</v>
      </c>
      <c r="BU951" s="214">
        <v>152</v>
      </c>
      <c r="BV951" s="214">
        <v>0</v>
      </c>
      <c r="BW951" s="214">
        <v>1</v>
      </c>
      <c r="BX951" s="214">
        <v>0</v>
      </c>
      <c r="BY951" s="214">
        <v>0</v>
      </c>
      <c r="BZ951" s="134">
        <v>0</v>
      </c>
      <c r="CA951" s="138">
        <v>1</v>
      </c>
      <c r="CB951" s="136">
        <v>1</v>
      </c>
      <c r="CC951" s="136">
        <v>0</v>
      </c>
      <c r="CD951" s="136">
        <v>0</v>
      </c>
      <c r="CE951" s="137">
        <v>0</v>
      </c>
      <c r="CF951" s="137">
        <v>0</v>
      </c>
      <c r="CG951" s="137">
        <v>0</v>
      </c>
      <c r="CH951" s="135">
        <v>0</v>
      </c>
      <c r="CI951" s="139">
        <v>0</v>
      </c>
      <c r="CJ951" s="139" t="s">
        <v>2959</v>
      </c>
      <c r="CK951" s="139" t="s">
        <v>50</v>
      </c>
      <c r="CL951" s="139" t="s">
        <v>50</v>
      </c>
      <c r="CM951" s="139" t="s">
        <v>946</v>
      </c>
      <c r="CN951" s="139" t="s">
        <v>51</v>
      </c>
      <c r="CO951" s="139">
        <v>0</v>
      </c>
      <c r="CP951" s="139">
        <v>0</v>
      </c>
      <c r="CQ951" s="139" t="s">
        <v>2099</v>
      </c>
      <c r="CR951" s="449" t="s">
        <v>40</v>
      </c>
      <c r="CS951" s="449"/>
      <c r="CT951" s="24"/>
      <c r="CU951" s="24"/>
      <c r="CV951" s="24"/>
    </row>
    <row r="952" spans="1:100" ht="15.75" customHeight="1" x14ac:dyDescent="0.25">
      <c r="A952" s="643" t="s">
        <v>1388</v>
      </c>
      <c r="B952" s="132" t="s">
        <v>43</v>
      </c>
      <c r="C952" s="132" t="s">
        <v>44</v>
      </c>
      <c r="D952" s="132" t="s">
        <v>1311</v>
      </c>
      <c r="E952" s="132" t="s">
        <v>2955</v>
      </c>
      <c r="F952" s="132">
        <v>127</v>
      </c>
      <c r="G952" s="214">
        <v>450</v>
      </c>
      <c r="H952" s="132"/>
      <c r="I952" s="132" t="s">
        <v>388</v>
      </c>
      <c r="J952" s="133">
        <v>43465</v>
      </c>
      <c r="K952" s="132">
        <v>0</v>
      </c>
      <c r="L952" s="132" t="s">
        <v>48</v>
      </c>
      <c r="M952" s="134">
        <v>0.2</v>
      </c>
      <c r="N952" s="134">
        <v>0.2</v>
      </c>
      <c r="O952" s="320">
        <v>0</v>
      </c>
      <c r="P952" s="326">
        <v>0</v>
      </c>
      <c r="Q952" s="326">
        <v>2000</v>
      </c>
      <c r="R952" s="315">
        <v>0</v>
      </c>
      <c r="S952" s="315">
        <v>0</v>
      </c>
      <c r="T952" s="315"/>
      <c r="U952" s="315">
        <v>0</v>
      </c>
      <c r="V952" s="315">
        <v>0</v>
      </c>
      <c r="W952" s="315">
        <v>0</v>
      </c>
      <c r="X952" s="315">
        <v>0</v>
      </c>
      <c r="Y952" s="315">
        <v>0</v>
      </c>
      <c r="Z952" s="315" t="s">
        <v>2480</v>
      </c>
      <c r="AA952" s="336">
        <v>5</v>
      </c>
      <c r="AB952" s="336">
        <v>0</v>
      </c>
      <c r="AC952" s="337">
        <v>0</v>
      </c>
      <c r="AD952" s="337"/>
      <c r="AE952" s="336">
        <v>0</v>
      </c>
      <c r="AF952" s="336" t="s">
        <v>283</v>
      </c>
      <c r="AG952" s="339" t="s">
        <v>1358</v>
      </c>
      <c r="AH952" s="339">
        <v>0</v>
      </c>
      <c r="AI952" s="336">
        <v>0</v>
      </c>
      <c r="AJ952" s="336"/>
      <c r="AK952" s="848">
        <v>0</v>
      </c>
      <c r="AL952" s="836" t="s">
        <v>376</v>
      </c>
      <c r="AM952" s="836">
        <v>0</v>
      </c>
      <c r="AN952" s="848">
        <v>2</v>
      </c>
      <c r="AO952" s="850">
        <v>2</v>
      </c>
      <c r="AP952" s="838">
        <v>0</v>
      </c>
      <c r="AQ952" s="839">
        <v>0</v>
      </c>
      <c r="AR952" s="839" t="s">
        <v>282</v>
      </c>
      <c r="AS952" s="839"/>
      <c r="AT952" s="839"/>
      <c r="AU952" s="839"/>
      <c r="AV952" s="849"/>
      <c r="AW952" s="134" t="s">
        <v>3208</v>
      </c>
      <c r="AX952" s="136" t="s">
        <v>3208</v>
      </c>
      <c r="AY952" s="137" t="s">
        <v>2576</v>
      </c>
      <c r="AZ952" s="136">
        <v>0.29629629629629634</v>
      </c>
      <c r="BA952" s="136">
        <v>0.29629629629629634</v>
      </c>
      <c r="BB952" s="136">
        <v>0.29629629629629634</v>
      </c>
      <c r="BC952" s="214">
        <v>133.33333333333334</v>
      </c>
      <c r="BD952" s="136">
        <v>0</v>
      </c>
      <c r="BE952" s="214">
        <v>0</v>
      </c>
      <c r="BF952" s="136">
        <v>0.29629629629629634</v>
      </c>
      <c r="BG952" s="214">
        <v>133.33333333333334</v>
      </c>
      <c r="BH952" s="214">
        <v>0.26666666666666666</v>
      </c>
      <c r="BI952" s="134">
        <v>0.70370370370370372</v>
      </c>
      <c r="BJ952" s="214">
        <v>316.66666666666669</v>
      </c>
      <c r="BK952" s="137">
        <v>0.73333333333333339</v>
      </c>
      <c r="BL952" s="137">
        <v>1</v>
      </c>
      <c r="BM952" s="137">
        <v>5</v>
      </c>
      <c r="BN952" s="134">
        <v>0.22222222222222221</v>
      </c>
      <c r="BO952" s="351">
        <v>100</v>
      </c>
      <c r="BP952" s="134">
        <v>0.8</v>
      </c>
      <c r="BQ952" s="214">
        <v>18</v>
      </c>
      <c r="BR952" s="137">
        <v>23</v>
      </c>
      <c r="BS952" s="138">
        <v>0</v>
      </c>
      <c r="BT952" s="351">
        <v>0</v>
      </c>
      <c r="BU952" s="214">
        <v>450</v>
      </c>
      <c r="BV952" s="214">
        <v>0</v>
      </c>
      <c r="BW952" s="214">
        <v>1</v>
      </c>
      <c r="BX952" s="214">
        <v>0</v>
      </c>
      <c r="BY952" s="214">
        <v>0</v>
      </c>
      <c r="BZ952" s="134">
        <v>0</v>
      </c>
      <c r="CA952" s="138">
        <v>1</v>
      </c>
      <c r="CB952" s="136">
        <v>1</v>
      </c>
      <c r="CC952" s="136">
        <v>0</v>
      </c>
      <c r="CD952" s="136">
        <v>0</v>
      </c>
      <c r="CE952" s="137">
        <v>0</v>
      </c>
      <c r="CF952" s="137">
        <v>0</v>
      </c>
      <c r="CG952" s="137">
        <v>0</v>
      </c>
      <c r="CH952" s="214">
        <v>0</v>
      </c>
      <c r="CI952" s="139">
        <v>0</v>
      </c>
      <c r="CJ952" s="139" t="s">
        <v>2959</v>
      </c>
      <c r="CK952" s="139" t="s">
        <v>50</v>
      </c>
      <c r="CL952" s="139" t="s">
        <v>50</v>
      </c>
      <c r="CM952" s="139" t="s">
        <v>50</v>
      </c>
      <c r="CN952" s="139" t="s">
        <v>51</v>
      </c>
      <c r="CO952" s="139">
        <v>0</v>
      </c>
      <c r="CP952" s="139">
        <v>0</v>
      </c>
      <c r="CQ952" s="139" t="s">
        <v>2100</v>
      </c>
      <c r="CR952" s="449" t="s">
        <v>40</v>
      </c>
      <c r="CS952" s="449"/>
      <c r="CT952" s="24"/>
      <c r="CU952" s="24"/>
      <c r="CV952" s="24"/>
    </row>
    <row r="953" spans="1:100" ht="15.75" customHeight="1" x14ac:dyDescent="0.25">
      <c r="A953" s="643" t="s">
        <v>1388</v>
      </c>
      <c r="B953" s="132" t="s">
        <v>43</v>
      </c>
      <c r="C953" s="132" t="s">
        <v>44</v>
      </c>
      <c r="D953" s="132" t="s">
        <v>1311</v>
      </c>
      <c r="E953" s="132" t="s">
        <v>1315</v>
      </c>
      <c r="F953" s="132">
        <v>31</v>
      </c>
      <c r="G953" s="214">
        <v>129</v>
      </c>
      <c r="H953" s="132"/>
      <c r="I953" s="132" t="s">
        <v>388</v>
      </c>
      <c r="J953" s="133">
        <v>43465</v>
      </c>
      <c r="K953" s="132">
        <v>0</v>
      </c>
      <c r="L953" s="132" t="s">
        <v>48</v>
      </c>
      <c r="M953" s="134">
        <v>0.2</v>
      </c>
      <c r="N953" s="134">
        <v>0.2</v>
      </c>
      <c r="O953" s="320">
        <v>0</v>
      </c>
      <c r="P953" s="326">
        <v>0</v>
      </c>
      <c r="Q953" s="326">
        <v>3000</v>
      </c>
      <c r="R953" s="315">
        <v>0</v>
      </c>
      <c r="S953" s="315">
        <v>0</v>
      </c>
      <c r="T953" s="315"/>
      <c r="U953" s="315">
        <v>0</v>
      </c>
      <c r="V953" s="315">
        <v>0</v>
      </c>
      <c r="W953" s="315">
        <v>0</v>
      </c>
      <c r="X953" s="315">
        <v>0</v>
      </c>
      <c r="Y953" s="315">
        <v>0</v>
      </c>
      <c r="Z953" s="315" t="s">
        <v>2480</v>
      </c>
      <c r="AA953" s="336">
        <v>5</v>
      </c>
      <c r="AB953" s="336">
        <v>0</v>
      </c>
      <c r="AC953" s="337">
        <v>0</v>
      </c>
      <c r="AD953" s="337"/>
      <c r="AE953" s="336">
        <v>0</v>
      </c>
      <c r="AF953" s="336" t="s">
        <v>283</v>
      </c>
      <c r="AG953" s="339" t="s">
        <v>1358</v>
      </c>
      <c r="AH953" s="339">
        <v>0</v>
      </c>
      <c r="AI953" s="336">
        <v>0</v>
      </c>
      <c r="AJ953" s="336"/>
      <c r="AK953" s="848">
        <v>0</v>
      </c>
      <c r="AL953" s="836" t="s">
        <v>376</v>
      </c>
      <c r="AM953" s="836">
        <v>0</v>
      </c>
      <c r="AN953" s="848">
        <v>2</v>
      </c>
      <c r="AO953" s="850">
        <v>1</v>
      </c>
      <c r="AP953" s="838">
        <v>0</v>
      </c>
      <c r="AQ953" s="839">
        <v>0</v>
      </c>
      <c r="AR953" s="839" t="s">
        <v>282</v>
      </c>
      <c r="AS953" s="839"/>
      <c r="AT953" s="839"/>
      <c r="AU953" s="839"/>
      <c r="AV953" s="849"/>
      <c r="AW953" s="134" t="s">
        <v>3208</v>
      </c>
      <c r="AX953" s="136" t="s">
        <v>3208</v>
      </c>
      <c r="AY953" s="137" t="s">
        <v>2576</v>
      </c>
      <c r="AZ953" s="136">
        <v>1</v>
      </c>
      <c r="BA953" s="136">
        <v>1</v>
      </c>
      <c r="BB953" s="136">
        <v>1</v>
      </c>
      <c r="BC953" s="214">
        <v>129</v>
      </c>
      <c r="BD953" s="136">
        <v>0</v>
      </c>
      <c r="BE953" s="214">
        <v>0</v>
      </c>
      <c r="BF953" s="136">
        <v>1</v>
      </c>
      <c r="BG953" s="214">
        <v>129</v>
      </c>
      <c r="BH953" s="214">
        <v>0.25800000000000001</v>
      </c>
      <c r="BI953" s="134">
        <v>0</v>
      </c>
      <c r="BJ953" s="214">
        <v>0</v>
      </c>
      <c r="BK953" s="137">
        <v>0.74199999999999999</v>
      </c>
      <c r="BL953" s="137">
        <v>1</v>
      </c>
      <c r="BM953" s="137">
        <v>5</v>
      </c>
      <c r="BN953" s="134">
        <v>0.77519379844961245</v>
      </c>
      <c r="BO953" s="351">
        <v>100</v>
      </c>
      <c r="BP953" s="134">
        <v>0.15503875968992248</v>
      </c>
      <c r="BQ953" s="214">
        <v>1</v>
      </c>
      <c r="BR953" s="137">
        <v>6</v>
      </c>
      <c r="BS953" s="138">
        <v>0</v>
      </c>
      <c r="BT953" s="351">
        <v>0</v>
      </c>
      <c r="BU953" s="214">
        <v>129</v>
      </c>
      <c r="BV953" s="214">
        <v>0</v>
      </c>
      <c r="BW953" s="214">
        <v>1</v>
      </c>
      <c r="BX953" s="214">
        <v>0</v>
      </c>
      <c r="BY953" s="214">
        <v>0</v>
      </c>
      <c r="BZ953" s="134">
        <v>0</v>
      </c>
      <c r="CA953" s="138">
        <v>1</v>
      </c>
      <c r="CB953" s="136">
        <v>1</v>
      </c>
      <c r="CC953" s="136">
        <v>0</v>
      </c>
      <c r="CD953" s="136">
        <v>0</v>
      </c>
      <c r="CE953" s="137">
        <v>0</v>
      </c>
      <c r="CF953" s="137">
        <v>0</v>
      </c>
      <c r="CG953" s="137">
        <v>0</v>
      </c>
      <c r="CH953" s="214">
        <v>0</v>
      </c>
      <c r="CI953" s="139">
        <v>0</v>
      </c>
      <c r="CJ953" s="139" t="s">
        <v>2959</v>
      </c>
      <c r="CK953" s="139" t="s">
        <v>50</v>
      </c>
      <c r="CL953" s="139" t="s">
        <v>50</v>
      </c>
      <c r="CM953" s="139" t="s">
        <v>946</v>
      </c>
      <c r="CN953" s="139" t="s">
        <v>51</v>
      </c>
      <c r="CO953" s="139">
        <v>0</v>
      </c>
      <c r="CP953" s="139">
        <v>0</v>
      </c>
      <c r="CQ953" s="139" t="s">
        <v>2101</v>
      </c>
      <c r="CR953" s="449" t="s">
        <v>40</v>
      </c>
      <c r="CS953" s="449"/>
      <c r="CT953" s="24"/>
      <c r="CU953" s="24"/>
      <c r="CV953" s="24"/>
    </row>
    <row r="954" spans="1:100" ht="15.75" customHeight="1" x14ac:dyDescent="0.25">
      <c r="A954" s="643" t="s">
        <v>1388</v>
      </c>
      <c r="B954" s="132" t="s">
        <v>43</v>
      </c>
      <c r="C954" s="132" t="s">
        <v>44</v>
      </c>
      <c r="D954" s="132" t="s">
        <v>288</v>
      </c>
      <c r="E954" s="132" t="s">
        <v>383</v>
      </c>
      <c r="F954" s="132">
        <v>130</v>
      </c>
      <c r="G954" s="214">
        <v>527</v>
      </c>
      <c r="H954" s="132"/>
      <c r="I954" s="132" t="s">
        <v>372</v>
      </c>
      <c r="J954" s="133">
        <v>43465</v>
      </c>
      <c r="K954" s="132">
        <v>0</v>
      </c>
      <c r="L954" s="132" t="s">
        <v>2452</v>
      </c>
      <c r="M954" s="134">
        <v>0.6</v>
      </c>
      <c r="N954" s="134">
        <v>0.3</v>
      </c>
      <c r="O954" s="320">
        <v>0</v>
      </c>
      <c r="P954" s="326">
        <v>0</v>
      </c>
      <c r="Q954" s="326">
        <v>10000</v>
      </c>
      <c r="R954" s="315">
        <v>0</v>
      </c>
      <c r="S954" s="315">
        <v>6</v>
      </c>
      <c r="T954" s="315"/>
      <c r="U954" s="315">
        <v>0</v>
      </c>
      <c r="V954" s="315">
        <v>0</v>
      </c>
      <c r="W954" s="315">
        <v>0</v>
      </c>
      <c r="X954" s="315">
        <v>0</v>
      </c>
      <c r="Y954" s="315">
        <v>0</v>
      </c>
      <c r="Z954" s="315"/>
      <c r="AA954" s="336">
        <v>90</v>
      </c>
      <c r="AB954" s="336">
        <v>0</v>
      </c>
      <c r="AC954" s="337">
        <v>0</v>
      </c>
      <c r="AD954" s="337"/>
      <c r="AE954" s="336">
        <v>25</v>
      </c>
      <c r="AF954" s="336" t="s">
        <v>283</v>
      </c>
      <c r="AG954" s="339" t="s">
        <v>1358</v>
      </c>
      <c r="AH954" s="339">
        <v>0</v>
      </c>
      <c r="AI954" s="336">
        <v>0</v>
      </c>
      <c r="AJ954" s="336"/>
      <c r="AK954" s="848">
        <v>0</v>
      </c>
      <c r="AL954" s="836" t="s">
        <v>376</v>
      </c>
      <c r="AM954" s="836">
        <v>0</v>
      </c>
      <c r="AN954" s="848">
        <v>2</v>
      </c>
      <c r="AO954" s="850">
        <v>2</v>
      </c>
      <c r="AP954" s="838">
        <v>0</v>
      </c>
      <c r="AQ954" s="839">
        <v>0</v>
      </c>
      <c r="AR954" s="839" t="s">
        <v>282</v>
      </c>
      <c r="AS954" s="839"/>
      <c r="AT954" s="839"/>
      <c r="AU954" s="839"/>
      <c r="AV954" s="849"/>
      <c r="AW954" s="134" t="s">
        <v>3208</v>
      </c>
      <c r="AX954" s="136" t="s">
        <v>3208</v>
      </c>
      <c r="AY954" s="137" t="s">
        <v>2576</v>
      </c>
      <c r="AZ954" s="136">
        <v>1</v>
      </c>
      <c r="BA954" s="136">
        <v>1</v>
      </c>
      <c r="BB954" s="136">
        <v>1</v>
      </c>
      <c r="BC954" s="214">
        <v>527</v>
      </c>
      <c r="BD954" s="136">
        <v>0</v>
      </c>
      <c r="BE954" s="214">
        <v>0</v>
      </c>
      <c r="BF954" s="136">
        <v>1</v>
      </c>
      <c r="BG954" s="214">
        <v>527</v>
      </c>
      <c r="BH954" s="214">
        <v>1.054</v>
      </c>
      <c r="BI954" s="134">
        <v>0</v>
      </c>
      <c r="BJ954" s="214">
        <v>0</v>
      </c>
      <c r="BK954" s="137">
        <v>0</v>
      </c>
      <c r="BL954" s="137">
        <v>1</v>
      </c>
      <c r="BM954" s="137">
        <v>90</v>
      </c>
      <c r="BN954" s="134">
        <v>1</v>
      </c>
      <c r="BO954" s="351">
        <v>527</v>
      </c>
      <c r="BP954" s="134">
        <v>0</v>
      </c>
      <c r="BQ954" s="214">
        <v>0</v>
      </c>
      <c r="BR954" s="137">
        <v>26</v>
      </c>
      <c r="BS954" s="138">
        <v>0</v>
      </c>
      <c r="BT954" s="351">
        <v>0</v>
      </c>
      <c r="BU954" s="214">
        <v>527</v>
      </c>
      <c r="BV954" s="214">
        <v>0</v>
      </c>
      <c r="BW954" s="214">
        <v>1</v>
      </c>
      <c r="BX954" s="214">
        <v>0</v>
      </c>
      <c r="BY954" s="214">
        <v>0</v>
      </c>
      <c r="BZ954" s="134">
        <v>0</v>
      </c>
      <c r="CA954" s="138">
        <v>1</v>
      </c>
      <c r="CB954" s="136">
        <v>1</v>
      </c>
      <c r="CC954" s="136">
        <v>0</v>
      </c>
      <c r="CD954" s="136">
        <v>0</v>
      </c>
      <c r="CE954" s="137">
        <v>0</v>
      </c>
      <c r="CF954" s="137">
        <v>0</v>
      </c>
      <c r="CG954" s="137">
        <v>0</v>
      </c>
      <c r="CH954" s="214">
        <v>0</v>
      </c>
      <c r="CI954" s="139" t="s">
        <v>48</v>
      </c>
      <c r="CJ954" s="139" t="s">
        <v>1539</v>
      </c>
      <c r="CK954" s="139" t="s">
        <v>50</v>
      </c>
      <c r="CL954" s="139" t="s">
        <v>50</v>
      </c>
      <c r="CM954" s="139" t="s">
        <v>50</v>
      </c>
      <c r="CN954" s="139" t="s">
        <v>949</v>
      </c>
      <c r="CO954" s="139">
        <v>25.220278</v>
      </c>
      <c r="CP954" s="139">
        <v>97.915833000000006</v>
      </c>
      <c r="CQ954" s="139" t="s">
        <v>1987</v>
      </c>
      <c r="CR954" s="449" t="s">
        <v>40</v>
      </c>
      <c r="CS954" s="449"/>
      <c r="CT954" s="24"/>
      <c r="CU954" s="24"/>
      <c r="CV954" s="24"/>
    </row>
    <row r="955" spans="1:100" ht="15.75" customHeight="1" x14ac:dyDescent="0.25">
      <c r="A955" s="643" t="s">
        <v>1388</v>
      </c>
      <c r="B955" s="132" t="s">
        <v>460</v>
      </c>
      <c r="C955" s="132" t="s">
        <v>44</v>
      </c>
      <c r="D955" s="132" t="s">
        <v>288</v>
      </c>
      <c r="E955" s="132" t="s">
        <v>1215</v>
      </c>
      <c r="F955" s="132">
        <v>62</v>
      </c>
      <c r="G955" s="214">
        <v>410</v>
      </c>
      <c r="H955" s="132"/>
      <c r="I955" s="132"/>
      <c r="J955" s="133"/>
      <c r="K955" s="132">
        <v>0</v>
      </c>
      <c r="L955" s="132" t="s">
        <v>282</v>
      </c>
      <c r="M955" s="134">
        <v>0</v>
      </c>
      <c r="N955" s="134">
        <v>0</v>
      </c>
      <c r="O955" s="320">
        <v>0</v>
      </c>
      <c r="P955" s="326">
        <v>2</v>
      </c>
      <c r="Q955" s="326"/>
      <c r="R955" s="315"/>
      <c r="S955" s="315">
        <v>0</v>
      </c>
      <c r="T955" s="315"/>
      <c r="U955" s="315"/>
      <c r="V955" s="315"/>
      <c r="W955" s="315"/>
      <c r="X955" s="315"/>
      <c r="Y955" s="315"/>
      <c r="Z955" s="315"/>
      <c r="AA955" s="336">
        <v>10</v>
      </c>
      <c r="AB955" s="336"/>
      <c r="AC955" s="337"/>
      <c r="AD955" s="337"/>
      <c r="AE955" s="336">
        <v>0</v>
      </c>
      <c r="AF955" s="336" t="s">
        <v>286</v>
      </c>
      <c r="AG955" s="339" t="s">
        <v>286</v>
      </c>
      <c r="AH955" s="339"/>
      <c r="AI955" s="336"/>
      <c r="AJ955" s="336"/>
      <c r="AK955" s="848">
        <v>1</v>
      </c>
      <c r="AL955" s="836" t="s">
        <v>291</v>
      </c>
      <c r="AM955" s="836">
        <v>0</v>
      </c>
      <c r="AN955" s="848">
        <v>3</v>
      </c>
      <c r="AO955" s="850">
        <v>3</v>
      </c>
      <c r="AP955" s="838"/>
      <c r="AQ955" s="839"/>
      <c r="AR955" s="839"/>
      <c r="AS955" s="839"/>
      <c r="AT955" s="839"/>
      <c r="AU955" s="839"/>
      <c r="AV955" s="849"/>
      <c r="AW955" s="134" t="s">
        <v>3208</v>
      </c>
      <c r="AX955" s="136" t="s">
        <v>3208</v>
      </c>
      <c r="AY955" s="137" t="s">
        <v>2576</v>
      </c>
      <c r="AZ955" s="136">
        <v>1</v>
      </c>
      <c r="BA955" s="136">
        <v>1</v>
      </c>
      <c r="BB955" s="136">
        <v>1</v>
      </c>
      <c r="BC955" s="214">
        <v>410</v>
      </c>
      <c r="BD955" s="136">
        <v>0</v>
      </c>
      <c r="BE955" s="214">
        <v>0</v>
      </c>
      <c r="BF955" s="136">
        <v>1</v>
      </c>
      <c r="BG955" s="214">
        <v>410</v>
      </c>
      <c r="BH955" s="214">
        <v>0.82</v>
      </c>
      <c r="BI955" s="134">
        <v>0</v>
      </c>
      <c r="BJ955" s="214">
        <v>0</v>
      </c>
      <c r="BK955" s="137">
        <v>0.18000000000000005</v>
      </c>
      <c r="BL955" s="137">
        <v>1</v>
      </c>
      <c r="BM955" s="137">
        <v>10</v>
      </c>
      <c r="BN955" s="134">
        <v>0.48780487804878048</v>
      </c>
      <c r="BO955" s="351">
        <v>200</v>
      </c>
      <c r="BP955" s="134">
        <v>0.53658536585365857</v>
      </c>
      <c r="BQ955" s="214">
        <v>11</v>
      </c>
      <c r="BR955" s="137">
        <v>21</v>
      </c>
      <c r="BS955" s="138">
        <v>0</v>
      </c>
      <c r="BT955" s="351">
        <v>0</v>
      </c>
      <c r="BU955" s="214">
        <v>410</v>
      </c>
      <c r="BV955" s="214">
        <v>0</v>
      </c>
      <c r="BW955" s="214">
        <v>1</v>
      </c>
      <c r="BX955" s="214">
        <v>0</v>
      </c>
      <c r="BY955" s="214">
        <v>0</v>
      </c>
      <c r="BZ955" s="134">
        <v>0</v>
      </c>
      <c r="CA955" s="138">
        <v>1</v>
      </c>
      <c r="CB955" s="136">
        <v>1</v>
      </c>
      <c r="CC955" s="136">
        <v>0</v>
      </c>
      <c r="CD955" s="136">
        <v>0</v>
      </c>
      <c r="CE955" s="137">
        <v>0</v>
      </c>
      <c r="CF955" s="137">
        <v>0</v>
      </c>
      <c r="CG955" s="137">
        <v>0</v>
      </c>
      <c r="CH955" s="214">
        <v>62</v>
      </c>
      <c r="CI955" s="139">
        <v>0</v>
      </c>
      <c r="CJ955" s="139" t="s">
        <v>2959</v>
      </c>
      <c r="CK955" s="139" t="s">
        <v>50</v>
      </c>
      <c r="CL955" s="139" t="s">
        <v>50</v>
      </c>
      <c r="CM955" s="139" t="s">
        <v>946</v>
      </c>
      <c r="CN955" s="139" t="s">
        <v>51</v>
      </c>
      <c r="CO955" s="139">
        <v>25.305008999999998</v>
      </c>
      <c r="CP955" s="139">
        <v>97.430321000000006</v>
      </c>
      <c r="CQ955" s="139" t="s">
        <v>1994</v>
      </c>
      <c r="CR955" s="449" t="s">
        <v>3209</v>
      </c>
      <c r="CS955" s="449"/>
      <c r="CT955" s="24"/>
      <c r="CU955" s="24"/>
      <c r="CV955" s="24"/>
    </row>
    <row r="956" spans="1:100" ht="15.75" customHeight="1" x14ac:dyDescent="0.25">
      <c r="A956" s="643" t="s">
        <v>1388</v>
      </c>
      <c r="B956" s="132" t="s">
        <v>389</v>
      </c>
      <c r="C956" s="132" t="s">
        <v>44</v>
      </c>
      <c r="D956" s="132" t="s">
        <v>288</v>
      </c>
      <c r="E956" s="132" t="s">
        <v>418</v>
      </c>
      <c r="F956" s="132">
        <v>103</v>
      </c>
      <c r="G956" s="214">
        <v>503</v>
      </c>
      <c r="H956" s="132"/>
      <c r="I956" s="132" t="s">
        <v>391</v>
      </c>
      <c r="J956" s="133">
        <v>42947</v>
      </c>
      <c r="K956" s="132">
        <v>0</v>
      </c>
      <c r="L956" s="132" t="s">
        <v>48</v>
      </c>
      <c r="M956" s="134">
        <v>1</v>
      </c>
      <c r="N956" s="134">
        <v>1</v>
      </c>
      <c r="O956" s="320">
        <v>2</v>
      </c>
      <c r="P956" s="326">
        <v>0</v>
      </c>
      <c r="Q956" s="326">
        <v>2000</v>
      </c>
      <c r="R956" s="315">
        <v>0</v>
      </c>
      <c r="S956" s="315">
        <v>2</v>
      </c>
      <c r="T956" s="315"/>
      <c r="U956" s="315">
        <v>0</v>
      </c>
      <c r="V956" s="315">
        <v>0</v>
      </c>
      <c r="W956" s="315">
        <v>0</v>
      </c>
      <c r="X956" s="315">
        <v>0</v>
      </c>
      <c r="Y956" s="315">
        <v>0</v>
      </c>
      <c r="Z956" s="315"/>
      <c r="AA956" s="336">
        <v>16</v>
      </c>
      <c r="AB956" s="336">
        <v>6</v>
      </c>
      <c r="AC956" s="337">
        <v>4</v>
      </c>
      <c r="AD956" s="337"/>
      <c r="AE956" s="336">
        <v>16</v>
      </c>
      <c r="AF956" s="336" t="s">
        <v>283</v>
      </c>
      <c r="AG956" s="339" t="s">
        <v>1358</v>
      </c>
      <c r="AH956" s="339">
        <v>0</v>
      </c>
      <c r="AI956" s="336">
        <v>0</v>
      </c>
      <c r="AJ956" s="336"/>
      <c r="AK956" s="848">
        <v>0.5</v>
      </c>
      <c r="AL956" s="836" t="s">
        <v>376</v>
      </c>
      <c r="AM956" s="836">
        <v>0</v>
      </c>
      <c r="AN956" s="848">
        <v>4</v>
      </c>
      <c r="AO956" s="850">
        <v>0</v>
      </c>
      <c r="AP956" s="838">
        <v>0</v>
      </c>
      <c r="AQ956" s="839">
        <v>0</v>
      </c>
      <c r="AR956" s="839"/>
      <c r="AS956" s="839"/>
      <c r="AT956" s="839"/>
      <c r="AU956" s="839"/>
      <c r="AV956" s="849"/>
      <c r="AW956" s="134" t="s">
        <v>3208</v>
      </c>
      <c r="AX956" s="136" t="s">
        <v>3208</v>
      </c>
      <c r="AY956" s="137" t="s">
        <v>2576</v>
      </c>
      <c r="AZ956" s="136">
        <v>1</v>
      </c>
      <c r="BA956" s="136">
        <v>1</v>
      </c>
      <c r="BB956" s="136">
        <v>1</v>
      </c>
      <c r="BC956" s="214">
        <v>503</v>
      </c>
      <c r="BD956" s="136">
        <v>0</v>
      </c>
      <c r="BE956" s="214">
        <v>0</v>
      </c>
      <c r="BF956" s="136">
        <v>1</v>
      </c>
      <c r="BG956" s="214">
        <v>503</v>
      </c>
      <c r="BH956" s="214">
        <v>1.006</v>
      </c>
      <c r="BI956" s="134">
        <v>0</v>
      </c>
      <c r="BJ956" s="214">
        <v>0</v>
      </c>
      <c r="BK956" s="137">
        <v>0</v>
      </c>
      <c r="BL956" s="137">
        <v>1</v>
      </c>
      <c r="BM956" s="137">
        <v>22</v>
      </c>
      <c r="BN956" s="134">
        <v>0.63618290258449306</v>
      </c>
      <c r="BO956" s="351">
        <v>320</v>
      </c>
      <c r="BP956" s="134">
        <v>0.11928429423459246</v>
      </c>
      <c r="BQ956" s="214">
        <v>3</v>
      </c>
      <c r="BR956" s="137">
        <v>25</v>
      </c>
      <c r="BS956" s="138">
        <v>0.27272727272727271</v>
      </c>
      <c r="BT956" s="351">
        <v>80</v>
      </c>
      <c r="BU956" s="214">
        <v>0</v>
      </c>
      <c r="BV956" s="214">
        <v>0</v>
      </c>
      <c r="BW956" s="214">
        <v>0</v>
      </c>
      <c r="BX956" s="214">
        <v>0</v>
      </c>
      <c r="BY956" s="214">
        <v>0</v>
      </c>
      <c r="BZ956" s="134">
        <v>0</v>
      </c>
      <c r="CA956" s="138">
        <v>1</v>
      </c>
      <c r="CB956" s="136">
        <v>0</v>
      </c>
      <c r="CC956" s="136">
        <v>0</v>
      </c>
      <c r="CD956" s="136">
        <v>0</v>
      </c>
      <c r="CE956" s="137">
        <v>0</v>
      </c>
      <c r="CF956" s="137">
        <v>0</v>
      </c>
      <c r="CG956" s="137">
        <v>0</v>
      </c>
      <c r="CH956" s="214">
        <v>51.5</v>
      </c>
      <c r="CI956" s="139" t="s">
        <v>48</v>
      </c>
      <c r="CJ956" s="139" t="s">
        <v>389</v>
      </c>
      <c r="CK956" s="139" t="s">
        <v>50</v>
      </c>
      <c r="CL956" s="139" t="s">
        <v>50</v>
      </c>
      <c r="CM956" s="139" t="s">
        <v>50</v>
      </c>
      <c r="CN956" s="139" t="s">
        <v>51</v>
      </c>
      <c r="CO956" s="139">
        <v>25.321710740740698</v>
      </c>
      <c r="CP956" s="139">
        <v>97.404195925926004</v>
      </c>
      <c r="CQ956" s="139" t="s">
        <v>1996</v>
      </c>
      <c r="CR956" s="449" t="s">
        <v>40</v>
      </c>
      <c r="CS956" s="449"/>
      <c r="CT956" s="24"/>
      <c r="CU956" s="24"/>
      <c r="CV956" s="24"/>
    </row>
    <row r="957" spans="1:100" ht="15.75" customHeight="1" x14ac:dyDescent="0.25">
      <c r="A957" s="643" t="s">
        <v>1388</v>
      </c>
      <c r="B957" s="132" t="s">
        <v>287</v>
      </c>
      <c r="C957" s="132" t="s">
        <v>44</v>
      </c>
      <c r="D957" s="132" t="s">
        <v>288</v>
      </c>
      <c r="E957" s="132" t="s">
        <v>321</v>
      </c>
      <c r="F957" s="132">
        <v>154</v>
      </c>
      <c r="G957" s="214">
        <v>903</v>
      </c>
      <c r="H957" s="132"/>
      <c r="I957" s="132" t="s">
        <v>296</v>
      </c>
      <c r="J957" s="133" t="s">
        <v>2451</v>
      </c>
      <c r="K957" s="132">
        <v>0</v>
      </c>
      <c r="L957" s="132" t="s">
        <v>48</v>
      </c>
      <c r="M957" s="134">
        <v>0.6</v>
      </c>
      <c r="N957" s="134">
        <v>0.5</v>
      </c>
      <c r="O957" s="320">
        <v>0</v>
      </c>
      <c r="P957" s="326">
        <v>0</v>
      </c>
      <c r="Q957" s="326">
        <v>116640</v>
      </c>
      <c r="R957" s="315">
        <v>0</v>
      </c>
      <c r="S957" s="315">
        <v>0</v>
      </c>
      <c r="T957" s="315"/>
      <c r="U957" s="315">
        <v>0</v>
      </c>
      <c r="V957" s="315">
        <v>0</v>
      </c>
      <c r="W957" s="315">
        <v>0</v>
      </c>
      <c r="X957" s="315">
        <v>0</v>
      </c>
      <c r="Y957" s="315">
        <v>0</v>
      </c>
      <c r="Z957" s="315"/>
      <c r="AA957" s="336">
        <v>50</v>
      </c>
      <c r="AB957" s="336">
        <v>0</v>
      </c>
      <c r="AC957" s="337">
        <v>0</v>
      </c>
      <c r="AD957" s="337"/>
      <c r="AE957" s="336">
        <v>0</v>
      </c>
      <c r="AF957" s="336" t="s">
        <v>283</v>
      </c>
      <c r="AG957" s="339" t="s">
        <v>283</v>
      </c>
      <c r="AH957" s="339"/>
      <c r="AI957" s="336"/>
      <c r="AJ957" s="336"/>
      <c r="AK957" s="848">
        <v>0.6</v>
      </c>
      <c r="AL957" s="836" t="s">
        <v>291</v>
      </c>
      <c r="AM957" s="836">
        <v>0</v>
      </c>
      <c r="AN957" s="848">
        <v>4</v>
      </c>
      <c r="AO957" s="850">
        <v>3</v>
      </c>
      <c r="AP957" s="838">
        <v>0</v>
      </c>
      <c r="AQ957" s="839">
        <v>0</v>
      </c>
      <c r="AR957" s="839"/>
      <c r="AS957" s="839"/>
      <c r="AT957" s="839"/>
      <c r="AU957" s="839"/>
      <c r="AV957" s="849"/>
      <c r="AW957" s="134" t="s">
        <v>3208</v>
      </c>
      <c r="AX957" s="136" t="s">
        <v>3208</v>
      </c>
      <c r="AY957" s="137" t="s">
        <v>2576</v>
      </c>
      <c r="AZ957" s="136">
        <v>1</v>
      </c>
      <c r="BA957" s="136">
        <v>1</v>
      </c>
      <c r="BB957" s="136">
        <v>1</v>
      </c>
      <c r="BC957" s="214">
        <v>903</v>
      </c>
      <c r="BD957" s="136">
        <v>0</v>
      </c>
      <c r="BE957" s="214">
        <v>0</v>
      </c>
      <c r="BF957" s="136">
        <v>1</v>
      </c>
      <c r="BG957" s="214">
        <v>903</v>
      </c>
      <c r="BH957" s="214">
        <v>1.806</v>
      </c>
      <c r="BI957" s="134">
        <v>0</v>
      </c>
      <c r="BJ957" s="214">
        <v>0</v>
      </c>
      <c r="BK957" s="137">
        <v>0.19399999999999995</v>
      </c>
      <c r="BL957" s="137">
        <v>2</v>
      </c>
      <c r="BM957" s="137">
        <v>50</v>
      </c>
      <c r="BN957" s="134">
        <v>1</v>
      </c>
      <c r="BO957" s="351">
        <v>903</v>
      </c>
      <c r="BP957" s="134">
        <v>0</v>
      </c>
      <c r="BQ957" s="214">
        <v>0</v>
      </c>
      <c r="BR957" s="137">
        <v>45</v>
      </c>
      <c r="BS957" s="138">
        <v>0</v>
      </c>
      <c r="BT957" s="351">
        <v>0</v>
      </c>
      <c r="BU957" s="214">
        <v>903</v>
      </c>
      <c r="BV957" s="214">
        <v>0</v>
      </c>
      <c r="BW957" s="214">
        <v>1</v>
      </c>
      <c r="BX957" s="214">
        <v>0</v>
      </c>
      <c r="BY957" s="214">
        <v>0</v>
      </c>
      <c r="BZ957" s="134">
        <v>0</v>
      </c>
      <c r="CA957" s="138">
        <v>1</v>
      </c>
      <c r="CB957" s="136">
        <v>1</v>
      </c>
      <c r="CC957" s="136">
        <v>0</v>
      </c>
      <c r="CD957" s="136">
        <v>0</v>
      </c>
      <c r="CE957" s="137">
        <v>0</v>
      </c>
      <c r="CF957" s="137">
        <v>0</v>
      </c>
      <c r="CG957" s="137">
        <v>0</v>
      </c>
      <c r="CH957" s="214">
        <v>92.399999999999991</v>
      </c>
      <c r="CI957" s="139" t="s">
        <v>48</v>
      </c>
      <c r="CJ957" s="139" t="s">
        <v>287</v>
      </c>
      <c r="CK957" s="139" t="s">
        <v>50</v>
      </c>
      <c r="CL957" s="139" t="s">
        <v>50</v>
      </c>
      <c r="CM957" s="139" t="s">
        <v>50</v>
      </c>
      <c r="CN957" s="139" t="s">
        <v>949</v>
      </c>
      <c r="CO957" s="139">
        <v>25.200333000000001</v>
      </c>
      <c r="CP957" s="139">
        <v>97.807182999999995</v>
      </c>
      <c r="CQ957" s="139" t="s">
        <v>1986</v>
      </c>
      <c r="CR957" s="449" t="s">
        <v>40</v>
      </c>
      <c r="CS957" s="449"/>
      <c r="CT957" s="24"/>
      <c r="CU957" s="24"/>
      <c r="CV957" s="24"/>
    </row>
    <row r="958" spans="1:100" ht="15.75" customHeight="1" x14ac:dyDescent="0.25">
      <c r="A958" s="643" t="s">
        <v>1388</v>
      </c>
      <c r="B958" s="132" t="s">
        <v>338</v>
      </c>
      <c r="C958" s="132" t="s">
        <v>44</v>
      </c>
      <c r="D958" s="132" t="s">
        <v>288</v>
      </c>
      <c r="E958" s="132" t="s">
        <v>370</v>
      </c>
      <c r="F958" s="132">
        <v>144</v>
      </c>
      <c r="G958" s="214">
        <v>862</v>
      </c>
      <c r="H958" s="132"/>
      <c r="I958" s="132" t="s">
        <v>364</v>
      </c>
      <c r="J958" s="133">
        <v>43281</v>
      </c>
      <c r="K958" s="132">
        <v>0</v>
      </c>
      <c r="L958" s="132" t="s">
        <v>48</v>
      </c>
      <c r="M958" s="134">
        <v>0.5</v>
      </c>
      <c r="N958" s="134">
        <v>0.5</v>
      </c>
      <c r="O958" s="320">
        <v>0</v>
      </c>
      <c r="P958" s="326">
        <v>0</v>
      </c>
      <c r="Q958" s="326">
        <v>5172</v>
      </c>
      <c r="R958" s="315">
        <v>0</v>
      </c>
      <c r="S958" s="315">
        <v>0</v>
      </c>
      <c r="T958" s="315"/>
      <c r="U958" s="315"/>
      <c r="V958" s="315"/>
      <c r="W958" s="315"/>
      <c r="X958" s="315"/>
      <c r="Y958" s="315"/>
      <c r="Z958" s="315">
        <v>0</v>
      </c>
      <c r="AA958" s="336">
        <v>20</v>
      </c>
      <c r="AB958" s="336">
        <v>0</v>
      </c>
      <c r="AC958" s="337"/>
      <c r="AD958" s="337"/>
      <c r="AE958" s="336">
        <v>0</v>
      </c>
      <c r="AF958" s="336" t="s">
        <v>283</v>
      </c>
      <c r="AG958" s="339" t="s">
        <v>283</v>
      </c>
      <c r="AH958" s="339"/>
      <c r="AI958" s="336"/>
      <c r="AJ958" s="336">
        <v>0</v>
      </c>
      <c r="AK958" s="848">
        <v>1</v>
      </c>
      <c r="AL958" s="836" t="s">
        <v>376</v>
      </c>
      <c r="AM958" s="836">
        <v>0</v>
      </c>
      <c r="AN958" s="848">
        <v>0</v>
      </c>
      <c r="AO958" s="850">
        <v>0</v>
      </c>
      <c r="AP958" s="838"/>
      <c r="AQ958" s="839"/>
      <c r="AR958" s="839"/>
      <c r="AS958" s="839"/>
      <c r="AT958" s="839"/>
      <c r="AU958" s="839"/>
      <c r="AV958" s="849">
        <v>0</v>
      </c>
      <c r="AW958" s="134" t="s">
        <v>3208</v>
      </c>
      <c r="AX958" s="136" t="s">
        <v>3208</v>
      </c>
      <c r="AY958" s="137" t="s">
        <v>2576</v>
      </c>
      <c r="AZ958" s="136">
        <v>0.4</v>
      </c>
      <c r="BA958" s="136">
        <v>0.4</v>
      </c>
      <c r="BB958" s="136">
        <v>0.4</v>
      </c>
      <c r="BC958" s="214">
        <v>344.8</v>
      </c>
      <c r="BD958" s="136">
        <v>0</v>
      </c>
      <c r="BE958" s="214">
        <v>0</v>
      </c>
      <c r="BF958" s="136">
        <v>0.4</v>
      </c>
      <c r="BG958" s="214">
        <v>344.8</v>
      </c>
      <c r="BH958" s="214">
        <v>0.68959999999999999</v>
      </c>
      <c r="BI958" s="134">
        <v>0.6</v>
      </c>
      <c r="BJ958" s="214">
        <v>517.19999999999993</v>
      </c>
      <c r="BK958" s="137">
        <v>1.3104</v>
      </c>
      <c r="BL958" s="137">
        <v>2</v>
      </c>
      <c r="BM958" s="137">
        <v>20</v>
      </c>
      <c r="BN958" s="134">
        <v>0.46403712296983757</v>
      </c>
      <c r="BO958" s="351">
        <v>400</v>
      </c>
      <c r="BP958" s="134">
        <v>0.53364269141531318</v>
      </c>
      <c r="BQ958" s="214">
        <v>23</v>
      </c>
      <c r="BR958" s="137">
        <v>43</v>
      </c>
      <c r="BS958" s="138">
        <v>0</v>
      </c>
      <c r="BT958" s="351">
        <v>0</v>
      </c>
      <c r="BU958" s="214">
        <v>0</v>
      </c>
      <c r="BV958" s="214">
        <v>0</v>
      </c>
      <c r="BW958" s="214">
        <v>0</v>
      </c>
      <c r="BX958" s="214">
        <v>0</v>
      </c>
      <c r="BY958" s="214">
        <v>0</v>
      </c>
      <c r="BZ958" s="134">
        <v>0</v>
      </c>
      <c r="CA958" s="138">
        <v>1</v>
      </c>
      <c r="CB958" s="136">
        <v>0</v>
      </c>
      <c r="CC958" s="136">
        <v>0</v>
      </c>
      <c r="CD958" s="136">
        <v>0</v>
      </c>
      <c r="CE958" s="137">
        <v>0</v>
      </c>
      <c r="CF958" s="137">
        <v>0</v>
      </c>
      <c r="CG958" s="137">
        <v>0</v>
      </c>
      <c r="CH958" s="214">
        <v>144</v>
      </c>
      <c r="CI958" s="139">
        <v>0</v>
      </c>
      <c r="CJ958" s="139" t="s">
        <v>2959</v>
      </c>
      <c r="CK958" s="139" t="s">
        <v>50</v>
      </c>
      <c r="CL958" s="139" t="s">
        <v>50</v>
      </c>
      <c r="CM958" s="139" t="s">
        <v>1198</v>
      </c>
      <c r="CN958" s="139" t="s">
        <v>949</v>
      </c>
      <c r="CO958" s="139">
        <v>24.752471</v>
      </c>
      <c r="CP958" s="139">
        <v>97.541793999999996</v>
      </c>
      <c r="CQ958" s="139" t="s">
        <v>1974</v>
      </c>
      <c r="CR958" s="449" t="s">
        <v>40</v>
      </c>
      <c r="CS958" s="449"/>
      <c r="CT958" s="24"/>
      <c r="CU958" s="24"/>
      <c r="CV958" s="24"/>
    </row>
    <row r="959" spans="1:100" ht="15.75" customHeight="1" x14ac:dyDescent="0.25">
      <c r="A959" s="643" t="s">
        <v>1388</v>
      </c>
      <c r="B959" s="132" t="s">
        <v>287</v>
      </c>
      <c r="C959" s="132" t="s">
        <v>44</v>
      </c>
      <c r="D959" s="132" t="s">
        <v>288</v>
      </c>
      <c r="E959" s="132" t="s">
        <v>322</v>
      </c>
      <c r="F959" s="132">
        <v>31</v>
      </c>
      <c r="G959" s="214">
        <v>178</v>
      </c>
      <c r="H959" s="132"/>
      <c r="I959" s="132" t="s">
        <v>290</v>
      </c>
      <c r="J959" s="133">
        <v>43555</v>
      </c>
      <c r="K959" s="132">
        <v>0</v>
      </c>
      <c r="L959" s="132" t="s">
        <v>48</v>
      </c>
      <c r="M959" s="134">
        <v>0.6</v>
      </c>
      <c r="N959" s="134">
        <v>0.5</v>
      </c>
      <c r="O959" s="320">
        <v>2</v>
      </c>
      <c r="P959" s="326">
        <v>1</v>
      </c>
      <c r="Q959" s="326">
        <v>0</v>
      </c>
      <c r="R959" s="315">
        <v>0</v>
      </c>
      <c r="S959" s="315">
        <v>0</v>
      </c>
      <c r="T959" s="315"/>
      <c r="U959" s="315">
        <v>0</v>
      </c>
      <c r="V959" s="315">
        <v>0</v>
      </c>
      <c r="W959" s="315">
        <v>0</v>
      </c>
      <c r="X959" s="315">
        <v>0</v>
      </c>
      <c r="Y959" s="315">
        <v>0</v>
      </c>
      <c r="Z959" s="315"/>
      <c r="AA959" s="336">
        <v>6</v>
      </c>
      <c r="AB959" s="336">
        <v>0</v>
      </c>
      <c r="AC959" s="337">
        <v>0</v>
      </c>
      <c r="AD959" s="337"/>
      <c r="AE959" s="336">
        <v>0</v>
      </c>
      <c r="AF959" s="336" t="s">
        <v>283</v>
      </c>
      <c r="AG959" s="339" t="s">
        <v>1358</v>
      </c>
      <c r="AH959" s="339"/>
      <c r="AI959" s="336"/>
      <c r="AJ959" s="336"/>
      <c r="AK959" s="848">
        <v>0.6</v>
      </c>
      <c r="AL959" s="836" t="s">
        <v>291</v>
      </c>
      <c r="AM959" s="836">
        <v>0</v>
      </c>
      <c r="AN959" s="848">
        <v>3</v>
      </c>
      <c r="AO959" s="850">
        <v>1</v>
      </c>
      <c r="AP959" s="838">
        <v>0</v>
      </c>
      <c r="AQ959" s="839">
        <v>0</v>
      </c>
      <c r="AR959" s="839"/>
      <c r="AS959" s="839"/>
      <c r="AT959" s="839"/>
      <c r="AU959" s="839"/>
      <c r="AV959" s="849"/>
      <c r="AW959" s="134" t="s">
        <v>3208</v>
      </c>
      <c r="AX959" s="136" t="s">
        <v>3208</v>
      </c>
      <c r="AY959" s="137" t="s">
        <v>2576</v>
      </c>
      <c r="AZ959" s="136">
        <v>1</v>
      </c>
      <c r="BA959" s="136">
        <v>1</v>
      </c>
      <c r="BB959" s="136">
        <v>1</v>
      </c>
      <c r="BC959" s="214">
        <v>178</v>
      </c>
      <c r="BD959" s="136">
        <v>0</v>
      </c>
      <c r="BE959" s="135">
        <v>0</v>
      </c>
      <c r="BF959" s="136">
        <v>1</v>
      </c>
      <c r="BG959" s="214">
        <v>178</v>
      </c>
      <c r="BH959" s="214">
        <v>0.35599999999999998</v>
      </c>
      <c r="BI959" s="134">
        <v>0</v>
      </c>
      <c r="BJ959" s="135">
        <v>0</v>
      </c>
      <c r="BK959" s="137">
        <v>0.64400000000000002</v>
      </c>
      <c r="BL959" s="137">
        <v>1</v>
      </c>
      <c r="BM959" s="137">
        <v>6</v>
      </c>
      <c r="BN959" s="134">
        <v>0.6741573033707865</v>
      </c>
      <c r="BO959" s="351">
        <v>120</v>
      </c>
      <c r="BP959" s="134">
        <v>0.33707865168539325</v>
      </c>
      <c r="BQ959" s="135">
        <v>3</v>
      </c>
      <c r="BR959" s="137">
        <v>9</v>
      </c>
      <c r="BS959" s="138">
        <v>0</v>
      </c>
      <c r="BT959" s="351">
        <v>0</v>
      </c>
      <c r="BU959" s="214">
        <v>178</v>
      </c>
      <c r="BV959" s="214">
        <v>0</v>
      </c>
      <c r="BW959" s="214">
        <v>1</v>
      </c>
      <c r="BX959" s="214">
        <v>0</v>
      </c>
      <c r="BY959" s="214">
        <v>0</v>
      </c>
      <c r="BZ959" s="134">
        <v>0</v>
      </c>
      <c r="CA959" s="138">
        <v>1</v>
      </c>
      <c r="CB959" s="136">
        <v>1</v>
      </c>
      <c r="CC959" s="136">
        <v>0</v>
      </c>
      <c r="CD959" s="136">
        <v>0</v>
      </c>
      <c r="CE959" s="137">
        <v>0</v>
      </c>
      <c r="CF959" s="137">
        <v>0</v>
      </c>
      <c r="CG959" s="137">
        <v>0</v>
      </c>
      <c r="CH959" s="135">
        <v>18.599999999999998</v>
      </c>
      <c r="CI959" s="139" t="s">
        <v>48</v>
      </c>
      <c r="CJ959" s="139" t="s">
        <v>287</v>
      </c>
      <c r="CK959" s="139" t="s">
        <v>50</v>
      </c>
      <c r="CL959" s="139" t="s">
        <v>50</v>
      </c>
      <c r="CM959" s="139" t="s">
        <v>50</v>
      </c>
      <c r="CN959" s="139" t="s">
        <v>51</v>
      </c>
      <c r="CO959" s="139">
        <v>25.356632000000001</v>
      </c>
      <c r="CP959" s="139">
        <v>97.451965000000001</v>
      </c>
      <c r="CQ959" s="139" t="s">
        <v>2006</v>
      </c>
      <c r="CR959" s="449" t="s">
        <v>40</v>
      </c>
      <c r="CS959" s="449"/>
      <c r="CT959" s="24"/>
      <c r="CU959" s="24"/>
      <c r="CV959" s="24"/>
    </row>
    <row r="960" spans="1:100" ht="15.75" customHeight="1" x14ac:dyDescent="0.25">
      <c r="A960" s="643" t="s">
        <v>1388</v>
      </c>
      <c r="B960" s="132" t="s">
        <v>287</v>
      </c>
      <c r="C960" s="132" t="s">
        <v>44</v>
      </c>
      <c r="D960" s="132" t="s">
        <v>288</v>
      </c>
      <c r="E960" s="132" t="s">
        <v>323</v>
      </c>
      <c r="F960" s="132">
        <v>440</v>
      </c>
      <c r="G960" s="214">
        <v>1723</v>
      </c>
      <c r="H960" s="132"/>
      <c r="I960" s="132" t="s">
        <v>290</v>
      </c>
      <c r="J960" s="133">
        <v>43555</v>
      </c>
      <c r="K960" s="132">
        <v>0</v>
      </c>
      <c r="L960" s="132" t="s">
        <v>48</v>
      </c>
      <c r="M960" s="134">
        <v>0.6</v>
      </c>
      <c r="N960" s="134">
        <v>0.5</v>
      </c>
      <c r="O960" s="320">
        <v>0</v>
      </c>
      <c r="P960" s="326">
        <v>0</v>
      </c>
      <c r="Q960" s="326">
        <v>349920</v>
      </c>
      <c r="R960" s="315">
        <v>0</v>
      </c>
      <c r="S960" s="315">
        <v>0</v>
      </c>
      <c r="T960" s="315"/>
      <c r="U960" s="315">
        <v>0</v>
      </c>
      <c r="V960" s="315">
        <v>0</v>
      </c>
      <c r="W960" s="315">
        <v>0</v>
      </c>
      <c r="X960" s="315">
        <v>0</v>
      </c>
      <c r="Y960" s="315">
        <v>0</v>
      </c>
      <c r="Z960" s="315"/>
      <c r="AA960" s="336">
        <v>500</v>
      </c>
      <c r="AB960" s="336">
        <v>0</v>
      </c>
      <c r="AC960" s="337">
        <v>0</v>
      </c>
      <c r="AD960" s="337"/>
      <c r="AE960" s="336">
        <v>0</v>
      </c>
      <c r="AF960" s="336" t="s">
        <v>283</v>
      </c>
      <c r="AG960" s="339" t="s">
        <v>283</v>
      </c>
      <c r="AH960" s="339"/>
      <c r="AI960" s="336"/>
      <c r="AJ960" s="336"/>
      <c r="AK960" s="848">
        <v>0.6</v>
      </c>
      <c r="AL960" s="836" t="s">
        <v>284</v>
      </c>
      <c r="AM960" s="836">
        <v>0</v>
      </c>
      <c r="AN960" s="848">
        <v>12</v>
      </c>
      <c r="AO960" s="850">
        <v>6</v>
      </c>
      <c r="AP960" s="838">
        <v>0</v>
      </c>
      <c r="AQ960" s="839">
        <v>0</v>
      </c>
      <c r="AR960" s="839"/>
      <c r="AS960" s="839"/>
      <c r="AT960" s="839"/>
      <c r="AU960" s="839"/>
      <c r="AV960" s="849"/>
      <c r="AW960" s="134" t="s">
        <v>3208</v>
      </c>
      <c r="AX960" s="136" t="s">
        <v>3208</v>
      </c>
      <c r="AY960" s="137" t="s">
        <v>2576</v>
      </c>
      <c r="AZ960" s="136">
        <v>1</v>
      </c>
      <c r="BA960" s="136">
        <v>1</v>
      </c>
      <c r="BB960" s="136">
        <v>1</v>
      </c>
      <c r="BC960" s="214">
        <v>1723</v>
      </c>
      <c r="BD960" s="136">
        <v>0</v>
      </c>
      <c r="BE960" s="135">
        <v>0</v>
      </c>
      <c r="BF960" s="136">
        <v>1</v>
      </c>
      <c r="BG960" s="214">
        <v>1723</v>
      </c>
      <c r="BH960" s="214">
        <v>3.4460000000000002</v>
      </c>
      <c r="BI960" s="134">
        <v>0</v>
      </c>
      <c r="BJ960" s="135">
        <v>0</v>
      </c>
      <c r="BK960" s="137">
        <v>0</v>
      </c>
      <c r="BL960" s="137">
        <v>3</v>
      </c>
      <c r="BM960" s="137">
        <v>500</v>
      </c>
      <c r="BN960" s="134">
        <v>1</v>
      </c>
      <c r="BO960" s="351">
        <v>1723</v>
      </c>
      <c r="BP960" s="134">
        <v>0</v>
      </c>
      <c r="BQ960" s="135">
        <v>0</v>
      </c>
      <c r="BR960" s="137">
        <v>287</v>
      </c>
      <c r="BS960" s="138">
        <v>0</v>
      </c>
      <c r="BT960" s="351">
        <v>0</v>
      </c>
      <c r="BU960" s="214">
        <v>1723</v>
      </c>
      <c r="BV960" s="214">
        <v>0</v>
      </c>
      <c r="BW960" s="214">
        <v>1</v>
      </c>
      <c r="BX960" s="214">
        <v>0</v>
      </c>
      <c r="BY960" s="214">
        <v>0</v>
      </c>
      <c r="BZ960" s="134">
        <v>0</v>
      </c>
      <c r="CA960" s="138">
        <v>1</v>
      </c>
      <c r="CB960" s="136">
        <v>1</v>
      </c>
      <c r="CC960" s="136">
        <v>0</v>
      </c>
      <c r="CD960" s="136">
        <v>0</v>
      </c>
      <c r="CE960" s="137">
        <v>0</v>
      </c>
      <c r="CF960" s="137">
        <v>0</v>
      </c>
      <c r="CG960" s="137">
        <v>0</v>
      </c>
      <c r="CH960" s="135">
        <v>264</v>
      </c>
      <c r="CI960" s="139" t="s">
        <v>48</v>
      </c>
      <c r="CJ960" s="139" t="s">
        <v>1539</v>
      </c>
      <c r="CK960" s="139" t="s">
        <v>50</v>
      </c>
      <c r="CL960" s="139" t="s">
        <v>1139</v>
      </c>
      <c r="CM960" s="139" t="s">
        <v>50</v>
      </c>
      <c r="CN960" s="139" t="s">
        <v>949</v>
      </c>
      <c r="CO960" s="139">
        <v>24.980250000000002</v>
      </c>
      <c r="CP960" s="139">
        <v>97.715230000000005</v>
      </c>
      <c r="CQ960" s="139" t="s">
        <v>1980</v>
      </c>
      <c r="CR960" s="449" t="s">
        <v>40</v>
      </c>
      <c r="CS960" s="449"/>
      <c r="CT960" s="24"/>
      <c r="CU960" s="24"/>
      <c r="CV960" s="24"/>
    </row>
    <row r="961" spans="1:100" ht="15.75" customHeight="1" x14ac:dyDescent="0.25">
      <c r="A961" s="643" t="s">
        <v>1388</v>
      </c>
      <c r="B961" s="132" t="s">
        <v>389</v>
      </c>
      <c r="C961" s="132" t="s">
        <v>44</v>
      </c>
      <c r="D961" s="132" t="s">
        <v>288</v>
      </c>
      <c r="E961" s="132" t="s">
        <v>419</v>
      </c>
      <c r="F961" s="132">
        <v>333</v>
      </c>
      <c r="G961" s="214">
        <v>1801</v>
      </c>
      <c r="H961" s="132"/>
      <c r="I961" s="132" t="s">
        <v>391</v>
      </c>
      <c r="J961" s="133">
        <v>42947</v>
      </c>
      <c r="K961" s="132">
        <v>0</v>
      </c>
      <c r="L961" s="132" t="s">
        <v>48</v>
      </c>
      <c r="M961" s="134">
        <v>0.69</v>
      </c>
      <c r="N961" s="134">
        <v>1</v>
      </c>
      <c r="O961" s="320">
        <v>4</v>
      </c>
      <c r="P961" s="326">
        <v>3</v>
      </c>
      <c r="Q961" s="326">
        <v>4000</v>
      </c>
      <c r="R961" s="315">
        <v>0</v>
      </c>
      <c r="S961" s="315">
        <v>4</v>
      </c>
      <c r="T961" s="315"/>
      <c r="U961" s="315">
        <v>0</v>
      </c>
      <c r="V961" s="315">
        <v>0</v>
      </c>
      <c r="W961" s="315">
        <v>0</v>
      </c>
      <c r="X961" s="315">
        <v>0</v>
      </c>
      <c r="Y961" s="315">
        <v>0</v>
      </c>
      <c r="Z961" s="315"/>
      <c r="AA961" s="336">
        <v>29</v>
      </c>
      <c r="AB961" s="336">
        <v>6</v>
      </c>
      <c r="AC961" s="337">
        <v>9</v>
      </c>
      <c r="AD961" s="337"/>
      <c r="AE961" s="336">
        <v>29</v>
      </c>
      <c r="AF961" s="336" t="s">
        <v>283</v>
      </c>
      <c r="AG961" s="339" t="s">
        <v>283</v>
      </c>
      <c r="AH961" s="339">
        <v>0</v>
      </c>
      <c r="AI961" s="336">
        <v>0</v>
      </c>
      <c r="AJ961" s="336"/>
      <c r="AK961" s="848">
        <v>0.5</v>
      </c>
      <c r="AL961" s="836" t="s">
        <v>376</v>
      </c>
      <c r="AM961" s="836">
        <v>0</v>
      </c>
      <c r="AN961" s="848">
        <v>7</v>
      </c>
      <c r="AO961" s="850">
        <v>0</v>
      </c>
      <c r="AP961" s="838">
        <v>0</v>
      </c>
      <c r="AQ961" s="839">
        <v>0</v>
      </c>
      <c r="AR961" s="839"/>
      <c r="AS961" s="839"/>
      <c r="AT961" s="839"/>
      <c r="AU961" s="839"/>
      <c r="AV961" s="849"/>
      <c r="AW961" s="134" t="s">
        <v>3208</v>
      </c>
      <c r="AX961" s="136" t="s">
        <v>3208</v>
      </c>
      <c r="AY961" s="137" t="s">
        <v>2576</v>
      </c>
      <c r="AZ961" s="136">
        <v>1</v>
      </c>
      <c r="BA961" s="136">
        <v>1</v>
      </c>
      <c r="BB961" s="136">
        <v>1</v>
      </c>
      <c r="BC961" s="214">
        <v>1801</v>
      </c>
      <c r="BD961" s="136">
        <v>0</v>
      </c>
      <c r="BE961" s="135">
        <v>0</v>
      </c>
      <c r="BF961" s="136">
        <v>1</v>
      </c>
      <c r="BG961" s="214">
        <v>1801</v>
      </c>
      <c r="BH961" s="214">
        <v>3.6019999999999999</v>
      </c>
      <c r="BI961" s="134">
        <v>0</v>
      </c>
      <c r="BJ961" s="135">
        <v>0</v>
      </c>
      <c r="BK961" s="137">
        <v>0.39800000000000013</v>
      </c>
      <c r="BL961" s="137">
        <v>4</v>
      </c>
      <c r="BM961" s="137">
        <v>35</v>
      </c>
      <c r="BN961" s="134">
        <v>0.32204330927262631</v>
      </c>
      <c r="BO961" s="351">
        <v>580</v>
      </c>
      <c r="BP961" s="134">
        <v>0.61077179344808441</v>
      </c>
      <c r="BQ961" s="135">
        <v>55</v>
      </c>
      <c r="BR961" s="137">
        <v>90</v>
      </c>
      <c r="BS961" s="138">
        <v>0.17142857142857143</v>
      </c>
      <c r="BT961" s="351">
        <v>180</v>
      </c>
      <c r="BU961" s="214">
        <v>0</v>
      </c>
      <c r="BV961" s="214">
        <v>0</v>
      </c>
      <c r="BW961" s="214">
        <v>0</v>
      </c>
      <c r="BX961" s="214">
        <v>0</v>
      </c>
      <c r="BY961" s="214">
        <v>0</v>
      </c>
      <c r="BZ961" s="134">
        <v>0</v>
      </c>
      <c r="CA961" s="138">
        <v>1</v>
      </c>
      <c r="CB961" s="136">
        <v>0</v>
      </c>
      <c r="CC961" s="136">
        <v>0</v>
      </c>
      <c r="CD961" s="136">
        <v>0</v>
      </c>
      <c r="CE961" s="137">
        <v>0</v>
      </c>
      <c r="CF961" s="137">
        <v>0</v>
      </c>
      <c r="CG961" s="137">
        <v>0</v>
      </c>
      <c r="CH961" s="135">
        <v>166.5</v>
      </c>
      <c r="CI961" s="139" t="s">
        <v>48</v>
      </c>
      <c r="CJ961" s="139" t="s">
        <v>389</v>
      </c>
      <c r="CK961" s="139" t="s">
        <v>50</v>
      </c>
      <c r="CL961" s="139" t="s">
        <v>50</v>
      </c>
      <c r="CM961" s="139" t="s">
        <v>50</v>
      </c>
      <c r="CN961" s="139" t="s">
        <v>51</v>
      </c>
      <c r="CO961" s="139">
        <v>25.424529444444399</v>
      </c>
      <c r="CP961" s="139">
        <v>97.433419259259296</v>
      </c>
      <c r="CQ961" s="139" t="s">
        <v>2032</v>
      </c>
      <c r="CR961" s="449" t="s">
        <v>40</v>
      </c>
      <c r="CS961" s="449"/>
      <c r="CT961" s="24"/>
      <c r="CU961" s="24"/>
      <c r="CV961" s="24"/>
    </row>
    <row r="962" spans="1:100" ht="15.75" customHeight="1" x14ac:dyDescent="0.25">
      <c r="A962" s="643" t="s">
        <v>1388</v>
      </c>
      <c r="B962" s="132" t="s">
        <v>43</v>
      </c>
      <c r="C962" s="132" t="s">
        <v>44</v>
      </c>
      <c r="D962" s="132" t="s">
        <v>288</v>
      </c>
      <c r="E962" s="132" t="s">
        <v>384</v>
      </c>
      <c r="F962" s="132">
        <v>284</v>
      </c>
      <c r="G962" s="214">
        <v>1492</v>
      </c>
      <c r="H962" s="132"/>
      <c r="I962" s="132" t="s">
        <v>372</v>
      </c>
      <c r="J962" s="133">
        <v>43465</v>
      </c>
      <c r="K962" s="132">
        <v>0</v>
      </c>
      <c r="L962" s="132" t="s">
        <v>2452</v>
      </c>
      <c r="M962" s="134">
        <v>0.6</v>
      </c>
      <c r="N962" s="134">
        <v>0.2</v>
      </c>
      <c r="O962" s="320">
        <v>10</v>
      </c>
      <c r="P962" s="326">
        <v>5</v>
      </c>
      <c r="Q962" s="326">
        <v>12000</v>
      </c>
      <c r="R962" s="315">
        <v>0</v>
      </c>
      <c r="S962" s="315">
        <v>10</v>
      </c>
      <c r="T962" s="315"/>
      <c r="U962" s="315">
        <v>10</v>
      </c>
      <c r="V962" s="315">
        <v>1</v>
      </c>
      <c r="W962" s="315">
        <v>9</v>
      </c>
      <c r="X962" s="315">
        <v>2</v>
      </c>
      <c r="Y962" s="315">
        <v>0</v>
      </c>
      <c r="Z962" s="315" t="s">
        <v>2478</v>
      </c>
      <c r="AA962" s="336">
        <v>87</v>
      </c>
      <c r="AB962" s="336">
        <v>0</v>
      </c>
      <c r="AC962" s="337">
        <v>0</v>
      </c>
      <c r="AD962" s="337"/>
      <c r="AE962" s="336">
        <v>40</v>
      </c>
      <c r="AF962" s="336" t="s">
        <v>283</v>
      </c>
      <c r="AG962" s="339" t="s">
        <v>283</v>
      </c>
      <c r="AH962" s="339">
        <v>0</v>
      </c>
      <c r="AI962" s="336">
        <v>0</v>
      </c>
      <c r="AJ962" s="336"/>
      <c r="AK962" s="848">
        <v>0</v>
      </c>
      <c r="AL962" s="836" t="s">
        <v>376</v>
      </c>
      <c r="AM962" s="836">
        <v>0</v>
      </c>
      <c r="AN962" s="848">
        <v>6</v>
      </c>
      <c r="AO962" s="850">
        <v>4</v>
      </c>
      <c r="AP962" s="838">
        <v>0</v>
      </c>
      <c r="AQ962" s="839">
        <v>0</v>
      </c>
      <c r="AR962" s="839" t="s">
        <v>282</v>
      </c>
      <c r="AS962" s="839"/>
      <c r="AT962" s="839"/>
      <c r="AU962" s="839"/>
      <c r="AV962" s="849"/>
      <c r="AW962" s="134">
        <v>0.1</v>
      </c>
      <c r="AX962" s="136">
        <v>0.22222222222222221</v>
      </c>
      <c r="AY962" s="137" t="s">
        <v>2577</v>
      </c>
      <c r="AZ962" s="136">
        <v>1</v>
      </c>
      <c r="BA962" s="136">
        <v>1</v>
      </c>
      <c r="BB962" s="136">
        <v>1</v>
      </c>
      <c r="BC962" s="214">
        <v>1492</v>
      </c>
      <c r="BD962" s="136">
        <v>0</v>
      </c>
      <c r="BE962" s="214">
        <v>0</v>
      </c>
      <c r="BF962" s="136">
        <v>1</v>
      </c>
      <c r="BG962" s="214">
        <v>1492</v>
      </c>
      <c r="BH962" s="214">
        <v>2.984</v>
      </c>
      <c r="BI962" s="134">
        <v>0</v>
      </c>
      <c r="BJ962" s="214">
        <v>0</v>
      </c>
      <c r="BK962" s="137">
        <v>1.6000000000000014E-2</v>
      </c>
      <c r="BL962" s="137">
        <v>3</v>
      </c>
      <c r="BM962" s="137">
        <v>87</v>
      </c>
      <c r="BN962" s="134">
        <v>1</v>
      </c>
      <c r="BO962" s="351">
        <v>1492</v>
      </c>
      <c r="BP962" s="134">
        <v>0</v>
      </c>
      <c r="BQ962" s="214">
        <v>0</v>
      </c>
      <c r="BR962" s="137">
        <v>75</v>
      </c>
      <c r="BS962" s="138">
        <v>0</v>
      </c>
      <c r="BT962" s="351">
        <v>0</v>
      </c>
      <c r="BU962" s="214">
        <v>1492</v>
      </c>
      <c r="BV962" s="214">
        <v>0</v>
      </c>
      <c r="BW962" s="214">
        <v>1</v>
      </c>
      <c r="BX962" s="214">
        <v>0</v>
      </c>
      <c r="BY962" s="214">
        <v>0</v>
      </c>
      <c r="BZ962" s="134">
        <v>0</v>
      </c>
      <c r="CA962" s="138">
        <v>1</v>
      </c>
      <c r="CB962" s="136">
        <v>1</v>
      </c>
      <c r="CC962" s="136">
        <v>0</v>
      </c>
      <c r="CD962" s="136">
        <v>0</v>
      </c>
      <c r="CE962" s="137">
        <v>0</v>
      </c>
      <c r="CF962" s="137">
        <v>0</v>
      </c>
      <c r="CG962" s="137">
        <v>0</v>
      </c>
      <c r="CH962" s="214">
        <v>0</v>
      </c>
      <c r="CI962" s="139" t="s">
        <v>48</v>
      </c>
      <c r="CJ962" s="139" t="s">
        <v>1539</v>
      </c>
      <c r="CK962" s="139" t="s">
        <v>50</v>
      </c>
      <c r="CL962" s="139" t="s">
        <v>50</v>
      </c>
      <c r="CM962" s="139" t="s">
        <v>50</v>
      </c>
      <c r="CN962" s="139" t="s">
        <v>51</v>
      </c>
      <c r="CO962" s="139">
        <v>25.415667500000001</v>
      </c>
      <c r="CP962" s="139">
        <v>97.437782499999997</v>
      </c>
      <c r="CQ962" s="139" t="s">
        <v>2026</v>
      </c>
      <c r="CR962" s="449" t="s">
        <v>40</v>
      </c>
      <c r="CS962" s="449"/>
      <c r="CT962" s="24"/>
      <c r="CU962" s="24"/>
      <c r="CV962" s="24"/>
    </row>
    <row r="963" spans="1:100" ht="15.75" customHeight="1" x14ac:dyDescent="0.25">
      <c r="A963" s="643" t="s">
        <v>1388</v>
      </c>
      <c r="B963" s="132" t="s">
        <v>287</v>
      </c>
      <c r="C963" s="132" t="s">
        <v>44</v>
      </c>
      <c r="D963" s="132" t="s">
        <v>288</v>
      </c>
      <c r="E963" s="132" t="s">
        <v>324</v>
      </c>
      <c r="F963" s="132">
        <v>499</v>
      </c>
      <c r="G963" s="214">
        <v>2551</v>
      </c>
      <c r="H963" s="132"/>
      <c r="I963" s="132" t="s">
        <v>290</v>
      </c>
      <c r="J963" s="133">
        <v>43555</v>
      </c>
      <c r="K963" s="132">
        <v>0</v>
      </c>
      <c r="L963" s="132" t="s">
        <v>48</v>
      </c>
      <c r="M963" s="134">
        <v>0.6</v>
      </c>
      <c r="N963" s="134">
        <v>0.5</v>
      </c>
      <c r="O963" s="320">
        <v>9</v>
      </c>
      <c r="P963" s="326">
        <v>0</v>
      </c>
      <c r="Q963" s="326">
        <v>0</v>
      </c>
      <c r="R963" s="315">
        <v>0</v>
      </c>
      <c r="S963" s="315">
        <v>0</v>
      </c>
      <c r="T963" s="315"/>
      <c r="U963" s="315">
        <v>0</v>
      </c>
      <c r="V963" s="315">
        <v>0</v>
      </c>
      <c r="W963" s="315">
        <v>0</v>
      </c>
      <c r="X963" s="315">
        <v>0</v>
      </c>
      <c r="Y963" s="315">
        <v>0</v>
      </c>
      <c r="Z963" s="315"/>
      <c r="AA963" s="336">
        <v>130</v>
      </c>
      <c r="AB963" s="336">
        <v>0</v>
      </c>
      <c r="AC963" s="337">
        <v>0</v>
      </c>
      <c r="AD963" s="337"/>
      <c r="AE963" s="336">
        <v>0</v>
      </c>
      <c r="AF963" s="336" t="s">
        <v>283</v>
      </c>
      <c r="AG963" s="339" t="s">
        <v>283</v>
      </c>
      <c r="AH963" s="339"/>
      <c r="AI963" s="336"/>
      <c r="AJ963" s="336"/>
      <c r="AK963" s="848">
        <v>0.6</v>
      </c>
      <c r="AL963" s="836" t="s">
        <v>291</v>
      </c>
      <c r="AM963" s="836">
        <v>0</v>
      </c>
      <c r="AN963" s="848">
        <v>6</v>
      </c>
      <c r="AO963" s="850">
        <v>6</v>
      </c>
      <c r="AP963" s="838">
        <v>0</v>
      </c>
      <c r="AQ963" s="839">
        <v>0</v>
      </c>
      <c r="AR963" s="839"/>
      <c r="AS963" s="839"/>
      <c r="AT963" s="839"/>
      <c r="AU963" s="839"/>
      <c r="AV963" s="849"/>
      <c r="AW963" s="134" t="s">
        <v>3208</v>
      </c>
      <c r="AX963" s="136" t="s">
        <v>3208</v>
      </c>
      <c r="AY963" s="137" t="s">
        <v>2576</v>
      </c>
      <c r="AZ963" s="136">
        <v>1</v>
      </c>
      <c r="BA963" s="136">
        <v>0.88200705605644847</v>
      </c>
      <c r="BB963" s="136">
        <v>1</v>
      </c>
      <c r="BC963" s="214">
        <v>2551</v>
      </c>
      <c r="BD963" s="136">
        <v>0</v>
      </c>
      <c r="BE963" s="214">
        <v>0</v>
      </c>
      <c r="BF963" s="136">
        <v>1</v>
      </c>
      <c r="BG963" s="214">
        <v>2551</v>
      </c>
      <c r="BH963" s="214">
        <v>5.1020000000000003</v>
      </c>
      <c r="BI963" s="134">
        <v>0</v>
      </c>
      <c r="BJ963" s="214">
        <v>0</v>
      </c>
      <c r="BK963" s="137">
        <v>0</v>
      </c>
      <c r="BL963" s="137">
        <v>5</v>
      </c>
      <c r="BM963" s="137">
        <v>130</v>
      </c>
      <c r="BN963" s="134">
        <v>1</v>
      </c>
      <c r="BO963" s="351">
        <v>2551</v>
      </c>
      <c r="BP963" s="134">
        <v>0</v>
      </c>
      <c r="BQ963" s="214">
        <v>0</v>
      </c>
      <c r="BR963" s="137">
        <v>128</v>
      </c>
      <c r="BS963" s="138">
        <v>0</v>
      </c>
      <c r="BT963" s="351">
        <v>0</v>
      </c>
      <c r="BU963" s="214">
        <v>2551</v>
      </c>
      <c r="BV963" s="214">
        <v>0</v>
      </c>
      <c r="BW963" s="214">
        <v>1</v>
      </c>
      <c r="BX963" s="214">
        <v>0</v>
      </c>
      <c r="BY963" s="214">
        <v>0</v>
      </c>
      <c r="BZ963" s="134">
        <v>0</v>
      </c>
      <c r="CA963" s="138">
        <v>1</v>
      </c>
      <c r="CB963" s="136">
        <v>1</v>
      </c>
      <c r="CC963" s="136">
        <v>0</v>
      </c>
      <c r="CD963" s="136">
        <v>0</v>
      </c>
      <c r="CE963" s="137">
        <v>0</v>
      </c>
      <c r="CF963" s="137">
        <v>0</v>
      </c>
      <c r="CG963" s="137">
        <v>0</v>
      </c>
      <c r="CH963" s="214">
        <v>299.39999999999998</v>
      </c>
      <c r="CI963" s="139" t="s">
        <v>48</v>
      </c>
      <c r="CJ963" s="139" t="s">
        <v>287</v>
      </c>
      <c r="CK963" s="139" t="s">
        <v>50</v>
      </c>
      <c r="CL963" s="139" t="s">
        <v>50</v>
      </c>
      <c r="CM963" s="139" t="s">
        <v>50</v>
      </c>
      <c r="CN963" s="139" t="s">
        <v>51</v>
      </c>
      <c r="CO963" s="139">
        <v>25.4118005797101</v>
      </c>
      <c r="CP963" s="139">
        <v>97.434855869565197</v>
      </c>
      <c r="CQ963" s="139" t="s">
        <v>2023</v>
      </c>
      <c r="CR963" s="449" t="s">
        <v>40</v>
      </c>
      <c r="CS963" s="449"/>
      <c r="CT963" s="24"/>
      <c r="CU963" s="24"/>
      <c r="CV963" s="24"/>
    </row>
    <row r="964" spans="1:100" ht="15.75" customHeight="1" x14ac:dyDescent="0.25">
      <c r="A964" s="643" t="s">
        <v>1388</v>
      </c>
      <c r="B964" s="132" t="s">
        <v>287</v>
      </c>
      <c r="C964" s="132" t="s">
        <v>44</v>
      </c>
      <c r="D964" s="132" t="s">
        <v>288</v>
      </c>
      <c r="E964" s="132" t="s">
        <v>325</v>
      </c>
      <c r="F964" s="132">
        <v>46</v>
      </c>
      <c r="G964" s="214">
        <v>193</v>
      </c>
      <c r="H964" s="132"/>
      <c r="I964" s="132" t="s">
        <v>290</v>
      </c>
      <c r="J964" s="133">
        <v>43555</v>
      </c>
      <c r="K964" s="132">
        <v>0</v>
      </c>
      <c r="L964" s="132" t="s">
        <v>48</v>
      </c>
      <c r="M964" s="134">
        <v>0.6</v>
      </c>
      <c r="N964" s="134">
        <v>0.5</v>
      </c>
      <c r="O964" s="320">
        <v>2</v>
      </c>
      <c r="P964" s="326">
        <v>0</v>
      </c>
      <c r="Q964" s="326">
        <v>2000</v>
      </c>
      <c r="R964" s="315">
        <v>0</v>
      </c>
      <c r="S964" s="315">
        <v>0</v>
      </c>
      <c r="T964" s="315"/>
      <c r="U964" s="315">
        <v>0</v>
      </c>
      <c r="V964" s="315">
        <v>0</v>
      </c>
      <c r="W964" s="315">
        <v>0</v>
      </c>
      <c r="X964" s="315">
        <v>0</v>
      </c>
      <c r="Y964" s="315">
        <v>0</v>
      </c>
      <c r="Z964" s="315"/>
      <c r="AA964" s="336">
        <v>10</v>
      </c>
      <c r="AB964" s="336">
        <v>0</v>
      </c>
      <c r="AC964" s="337">
        <v>0</v>
      </c>
      <c r="AD964" s="337"/>
      <c r="AE964" s="336">
        <v>0</v>
      </c>
      <c r="AF964" s="336" t="s">
        <v>283</v>
      </c>
      <c r="AG964" s="339" t="s">
        <v>283</v>
      </c>
      <c r="AH964" s="339"/>
      <c r="AI964" s="336"/>
      <c r="AJ964" s="336"/>
      <c r="AK964" s="848">
        <v>0.6</v>
      </c>
      <c r="AL964" s="836" t="s">
        <v>376</v>
      </c>
      <c r="AM964" s="836">
        <v>0</v>
      </c>
      <c r="AN964" s="848">
        <v>2</v>
      </c>
      <c r="AO964" s="850">
        <v>1</v>
      </c>
      <c r="AP964" s="838">
        <v>0</v>
      </c>
      <c r="AQ964" s="839">
        <v>0</v>
      </c>
      <c r="AR964" s="839"/>
      <c r="AS964" s="839"/>
      <c r="AT964" s="839"/>
      <c r="AU964" s="839"/>
      <c r="AV964" s="849"/>
      <c r="AW964" s="134" t="s">
        <v>3208</v>
      </c>
      <c r="AX964" s="136" t="s">
        <v>3208</v>
      </c>
      <c r="AY964" s="137" t="s">
        <v>2576</v>
      </c>
      <c r="AZ964" s="136">
        <v>1</v>
      </c>
      <c r="BA964" s="136">
        <v>1</v>
      </c>
      <c r="BB964" s="136">
        <v>1</v>
      </c>
      <c r="BC964" s="214">
        <v>193</v>
      </c>
      <c r="BD964" s="136">
        <v>0</v>
      </c>
      <c r="BE964" s="214">
        <v>0</v>
      </c>
      <c r="BF964" s="136">
        <v>1</v>
      </c>
      <c r="BG964" s="214">
        <v>193</v>
      </c>
      <c r="BH964" s="214">
        <v>0.38600000000000001</v>
      </c>
      <c r="BI964" s="134">
        <v>0</v>
      </c>
      <c r="BJ964" s="214">
        <v>0</v>
      </c>
      <c r="BK964" s="137">
        <v>0.61399999999999999</v>
      </c>
      <c r="BL964" s="137">
        <v>1</v>
      </c>
      <c r="BM964" s="137">
        <v>10</v>
      </c>
      <c r="BN964" s="134">
        <v>1</v>
      </c>
      <c r="BO964" s="351">
        <v>193</v>
      </c>
      <c r="BP964" s="134">
        <v>0</v>
      </c>
      <c r="BQ964" s="214">
        <v>0</v>
      </c>
      <c r="BR964" s="137">
        <v>10</v>
      </c>
      <c r="BS964" s="138">
        <v>0</v>
      </c>
      <c r="BT964" s="351">
        <v>0</v>
      </c>
      <c r="BU964" s="214">
        <v>193</v>
      </c>
      <c r="BV964" s="214">
        <v>0</v>
      </c>
      <c r="BW964" s="214">
        <v>1</v>
      </c>
      <c r="BX964" s="214">
        <v>0</v>
      </c>
      <c r="BY964" s="214">
        <v>0</v>
      </c>
      <c r="BZ964" s="134">
        <v>0</v>
      </c>
      <c r="CA964" s="138">
        <v>1</v>
      </c>
      <c r="CB964" s="136">
        <v>1</v>
      </c>
      <c r="CC964" s="136">
        <v>0</v>
      </c>
      <c r="CD964" s="136">
        <v>0</v>
      </c>
      <c r="CE964" s="137">
        <v>0</v>
      </c>
      <c r="CF964" s="137">
        <v>0</v>
      </c>
      <c r="CG964" s="137">
        <v>0</v>
      </c>
      <c r="CH964" s="214">
        <v>27.599999999999998</v>
      </c>
      <c r="CI964" s="139" t="s">
        <v>48</v>
      </c>
      <c r="CJ964" s="139" t="s">
        <v>287</v>
      </c>
      <c r="CK964" s="139" t="s">
        <v>50</v>
      </c>
      <c r="CL964" s="139" t="s">
        <v>50</v>
      </c>
      <c r="CM964" s="139" t="s">
        <v>50</v>
      </c>
      <c r="CN964" s="139" t="s">
        <v>51</v>
      </c>
      <c r="CO964" s="139">
        <v>25.409612685185198</v>
      </c>
      <c r="CP964" s="139">
        <v>97.426536944444507</v>
      </c>
      <c r="CQ964" s="139" t="s">
        <v>2021</v>
      </c>
      <c r="CR964" s="449" t="s">
        <v>40</v>
      </c>
      <c r="CS964" s="449"/>
      <c r="CT964" s="24"/>
      <c r="CU964" s="24"/>
      <c r="CV964" s="24"/>
    </row>
    <row r="965" spans="1:100" ht="15.75" customHeight="1" x14ac:dyDescent="0.25">
      <c r="A965" s="643" t="s">
        <v>1388</v>
      </c>
      <c r="B965" s="132" t="s">
        <v>389</v>
      </c>
      <c r="C965" s="132" t="s">
        <v>44</v>
      </c>
      <c r="D965" s="132" t="s">
        <v>288</v>
      </c>
      <c r="E965" s="132" t="s">
        <v>420</v>
      </c>
      <c r="F965" s="132">
        <v>20</v>
      </c>
      <c r="G965" s="214">
        <v>86</v>
      </c>
      <c r="H965" s="132"/>
      <c r="I965" s="132" t="s">
        <v>391</v>
      </c>
      <c r="J965" s="133">
        <v>42947</v>
      </c>
      <c r="K965" s="132">
        <v>0</v>
      </c>
      <c r="L965" s="132" t="s">
        <v>48</v>
      </c>
      <c r="M965" s="134">
        <v>0.8</v>
      </c>
      <c r="N965" s="134">
        <v>1</v>
      </c>
      <c r="O965" s="320">
        <v>1</v>
      </c>
      <c r="P965" s="326">
        <v>1</v>
      </c>
      <c r="Q965" s="326">
        <v>0</v>
      </c>
      <c r="R965" s="315">
        <v>0</v>
      </c>
      <c r="S965" s="315">
        <v>1</v>
      </c>
      <c r="T965" s="315"/>
      <c r="U965" s="315">
        <v>0</v>
      </c>
      <c r="V965" s="315">
        <v>0</v>
      </c>
      <c r="W965" s="315">
        <v>0</v>
      </c>
      <c r="X965" s="315">
        <v>0</v>
      </c>
      <c r="Y965" s="315">
        <v>0</v>
      </c>
      <c r="Z965" s="315"/>
      <c r="AA965" s="336">
        <v>4</v>
      </c>
      <c r="AB965" s="336">
        <v>2</v>
      </c>
      <c r="AC965" s="337">
        <v>3</v>
      </c>
      <c r="AD965" s="337"/>
      <c r="AE965" s="336">
        <v>4</v>
      </c>
      <c r="AF965" s="336" t="s">
        <v>283</v>
      </c>
      <c r="AG965" s="339" t="s">
        <v>1358</v>
      </c>
      <c r="AH965" s="339">
        <v>0</v>
      </c>
      <c r="AI965" s="336">
        <v>0</v>
      </c>
      <c r="AJ965" s="336"/>
      <c r="AK965" s="848">
        <v>0.5</v>
      </c>
      <c r="AL965" s="836" t="s">
        <v>376</v>
      </c>
      <c r="AM965" s="836">
        <v>0</v>
      </c>
      <c r="AN965" s="848">
        <v>2</v>
      </c>
      <c r="AO965" s="850">
        <v>0</v>
      </c>
      <c r="AP965" s="838">
        <v>0</v>
      </c>
      <c r="AQ965" s="839">
        <v>0</v>
      </c>
      <c r="AR965" s="839"/>
      <c r="AS965" s="839"/>
      <c r="AT965" s="839"/>
      <c r="AU965" s="839"/>
      <c r="AV965" s="849"/>
      <c r="AW965" s="134" t="s">
        <v>3208</v>
      </c>
      <c r="AX965" s="136" t="s">
        <v>3208</v>
      </c>
      <c r="AY965" s="137" t="s">
        <v>2576</v>
      </c>
      <c r="AZ965" s="136">
        <v>1</v>
      </c>
      <c r="BA965" s="136">
        <v>1</v>
      </c>
      <c r="BB965" s="136">
        <v>1</v>
      </c>
      <c r="BC965" s="214">
        <v>86</v>
      </c>
      <c r="BD965" s="136">
        <v>0</v>
      </c>
      <c r="BE965" s="214">
        <v>0</v>
      </c>
      <c r="BF965" s="136">
        <v>1</v>
      </c>
      <c r="BG965" s="214">
        <v>86</v>
      </c>
      <c r="BH965" s="214">
        <v>0.17199999999999999</v>
      </c>
      <c r="BI965" s="134">
        <v>0</v>
      </c>
      <c r="BJ965" s="214">
        <v>0</v>
      </c>
      <c r="BK965" s="137">
        <v>0.82800000000000007</v>
      </c>
      <c r="BL965" s="137">
        <v>1</v>
      </c>
      <c r="BM965" s="137">
        <v>6</v>
      </c>
      <c r="BN965" s="134">
        <v>0.93023255813953487</v>
      </c>
      <c r="BO965" s="351">
        <v>80</v>
      </c>
      <c r="BP965" s="134">
        <v>0</v>
      </c>
      <c r="BQ965" s="214">
        <v>0</v>
      </c>
      <c r="BR965" s="137">
        <v>4</v>
      </c>
      <c r="BS965" s="138">
        <v>0.33333333333333331</v>
      </c>
      <c r="BT965" s="351">
        <v>60</v>
      </c>
      <c r="BU965" s="214">
        <v>0</v>
      </c>
      <c r="BV965" s="214">
        <v>0</v>
      </c>
      <c r="BW965" s="214">
        <v>0</v>
      </c>
      <c r="BX965" s="214">
        <v>0</v>
      </c>
      <c r="BY965" s="214">
        <v>0</v>
      </c>
      <c r="BZ965" s="134">
        <v>0</v>
      </c>
      <c r="CA965" s="138">
        <v>1</v>
      </c>
      <c r="CB965" s="136">
        <v>0</v>
      </c>
      <c r="CC965" s="136">
        <v>0</v>
      </c>
      <c r="CD965" s="136">
        <v>0</v>
      </c>
      <c r="CE965" s="137">
        <v>0</v>
      </c>
      <c r="CF965" s="137">
        <v>0</v>
      </c>
      <c r="CG965" s="137">
        <v>0</v>
      </c>
      <c r="CH965" s="214">
        <v>10</v>
      </c>
      <c r="CI965" s="139" t="s">
        <v>48</v>
      </c>
      <c r="CJ965" s="139" t="s">
        <v>389</v>
      </c>
      <c r="CK965" s="139" t="s">
        <v>50</v>
      </c>
      <c r="CL965" s="139" t="s">
        <v>50</v>
      </c>
      <c r="CM965" s="139" t="s">
        <v>50</v>
      </c>
      <c r="CN965" s="139" t="s">
        <v>51</v>
      </c>
      <c r="CO965" s="139">
        <v>25.351965</v>
      </c>
      <c r="CP965" s="139">
        <v>97.345039</v>
      </c>
      <c r="CQ965" s="139" t="s">
        <v>2003</v>
      </c>
      <c r="CR965" s="449" t="s">
        <v>40</v>
      </c>
      <c r="CS965" s="449"/>
      <c r="CT965" s="24"/>
      <c r="CU965" s="24"/>
      <c r="CV965" s="24"/>
    </row>
    <row r="966" spans="1:100" ht="15.75" customHeight="1" x14ac:dyDescent="0.25">
      <c r="A966" s="643" t="s">
        <v>1388</v>
      </c>
      <c r="B966" s="132" t="s">
        <v>287</v>
      </c>
      <c r="C966" s="132" t="s">
        <v>44</v>
      </c>
      <c r="D966" s="132" t="s">
        <v>288</v>
      </c>
      <c r="E966" s="132" t="s">
        <v>326</v>
      </c>
      <c r="F966" s="132">
        <v>183</v>
      </c>
      <c r="G966" s="214">
        <v>895</v>
      </c>
      <c r="H966" s="132"/>
      <c r="I966" s="132" t="s">
        <v>296</v>
      </c>
      <c r="J966" s="133" t="s">
        <v>2451</v>
      </c>
      <c r="K966" s="132">
        <v>0</v>
      </c>
      <c r="L966" s="132" t="s">
        <v>48</v>
      </c>
      <c r="M966" s="134">
        <v>0.6</v>
      </c>
      <c r="N966" s="134">
        <v>0.5</v>
      </c>
      <c r="O966" s="320">
        <v>0</v>
      </c>
      <c r="P966" s="326">
        <v>0</v>
      </c>
      <c r="Q966" s="326">
        <v>194400</v>
      </c>
      <c r="R966" s="315">
        <v>0</v>
      </c>
      <c r="S966" s="315">
        <v>0</v>
      </c>
      <c r="T966" s="315"/>
      <c r="U966" s="315">
        <v>0</v>
      </c>
      <c r="V966" s="315">
        <v>0</v>
      </c>
      <c r="W966" s="315">
        <v>0</v>
      </c>
      <c r="X966" s="315">
        <v>0</v>
      </c>
      <c r="Y966" s="315">
        <v>0</v>
      </c>
      <c r="Z966" s="315"/>
      <c r="AA966" s="336">
        <v>150</v>
      </c>
      <c r="AB966" s="336">
        <v>0</v>
      </c>
      <c r="AC966" s="337">
        <v>0</v>
      </c>
      <c r="AD966" s="337"/>
      <c r="AE966" s="336">
        <v>0</v>
      </c>
      <c r="AF966" s="336" t="s">
        <v>283</v>
      </c>
      <c r="AG966" s="339" t="s">
        <v>283</v>
      </c>
      <c r="AH966" s="339"/>
      <c r="AI966" s="336"/>
      <c r="AJ966" s="336"/>
      <c r="AK966" s="848">
        <v>0.6</v>
      </c>
      <c r="AL966" s="836" t="s">
        <v>284</v>
      </c>
      <c r="AM966" s="836">
        <v>150</v>
      </c>
      <c r="AN966" s="848">
        <v>4</v>
      </c>
      <c r="AO966" s="850">
        <v>3</v>
      </c>
      <c r="AP966" s="838">
        <v>0</v>
      </c>
      <c r="AQ966" s="839">
        <v>0</v>
      </c>
      <c r="AR966" s="839"/>
      <c r="AS966" s="839"/>
      <c r="AT966" s="839"/>
      <c r="AU966" s="839"/>
      <c r="AV966" s="849"/>
      <c r="AW966" s="134" t="s">
        <v>3208</v>
      </c>
      <c r="AX966" s="136" t="s">
        <v>3208</v>
      </c>
      <c r="AY966" s="137" t="s">
        <v>2576</v>
      </c>
      <c r="AZ966" s="136">
        <v>1</v>
      </c>
      <c r="BA966" s="136">
        <v>1</v>
      </c>
      <c r="BB966" s="136">
        <v>1</v>
      </c>
      <c r="BC966" s="214">
        <v>895</v>
      </c>
      <c r="BD966" s="136">
        <v>0</v>
      </c>
      <c r="BE966" s="135">
        <v>0</v>
      </c>
      <c r="BF966" s="136">
        <v>1</v>
      </c>
      <c r="BG966" s="214">
        <v>895</v>
      </c>
      <c r="BH966" s="214">
        <v>1.79</v>
      </c>
      <c r="BI966" s="134">
        <v>0</v>
      </c>
      <c r="BJ966" s="135">
        <v>0</v>
      </c>
      <c r="BK966" s="137">
        <v>0.20999999999999996</v>
      </c>
      <c r="BL966" s="137">
        <v>2</v>
      </c>
      <c r="BM966" s="137">
        <v>150</v>
      </c>
      <c r="BN966" s="134">
        <v>1</v>
      </c>
      <c r="BO966" s="351">
        <v>895</v>
      </c>
      <c r="BP966" s="134">
        <v>0</v>
      </c>
      <c r="BQ966" s="135">
        <v>0</v>
      </c>
      <c r="BR966" s="137">
        <v>149</v>
      </c>
      <c r="BS966" s="138">
        <v>0</v>
      </c>
      <c r="BT966" s="351">
        <v>0</v>
      </c>
      <c r="BU966" s="214">
        <v>895</v>
      </c>
      <c r="BV966" s="214">
        <v>0</v>
      </c>
      <c r="BW966" s="214">
        <v>1</v>
      </c>
      <c r="BX966" s="214">
        <v>0</v>
      </c>
      <c r="BY966" s="214">
        <v>0</v>
      </c>
      <c r="BZ966" s="134">
        <v>0</v>
      </c>
      <c r="CA966" s="138">
        <v>1</v>
      </c>
      <c r="CB966" s="136">
        <v>1</v>
      </c>
      <c r="CC966" s="136">
        <v>0</v>
      </c>
      <c r="CD966" s="136">
        <v>0</v>
      </c>
      <c r="CE966" s="137">
        <v>0</v>
      </c>
      <c r="CF966" s="137">
        <v>0</v>
      </c>
      <c r="CG966" s="137">
        <v>0</v>
      </c>
      <c r="CH966" s="135">
        <v>109.8</v>
      </c>
      <c r="CI966" s="139" t="s">
        <v>48</v>
      </c>
      <c r="CJ966" s="139" t="s">
        <v>287</v>
      </c>
      <c r="CK966" s="139" t="s">
        <v>50</v>
      </c>
      <c r="CL966" s="139" t="s">
        <v>1139</v>
      </c>
      <c r="CM966" s="139" t="s">
        <v>50</v>
      </c>
      <c r="CN966" s="139" t="s">
        <v>949</v>
      </c>
      <c r="CO966" s="139">
        <v>24.831944</v>
      </c>
      <c r="CP966" s="139">
        <v>97.751389000000003</v>
      </c>
      <c r="CQ966" s="139" t="s">
        <v>1979</v>
      </c>
      <c r="CR966" s="449" t="s">
        <v>40</v>
      </c>
      <c r="CS966" s="449"/>
      <c r="CT966" s="24"/>
      <c r="CU966" s="24"/>
      <c r="CV966" s="24"/>
    </row>
    <row r="967" spans="1:100" ht="15.75" customHeight="1" x14ac:dyDescent="0.25">
      <c r="A967" s="643" t="s">
        <v>1388</v>
      </c>
      <c r="B967" s="132" t="s">
        <v>43</v>
      </c>
      <c r="C967" s="132" t="s">
        <v>44</v>
      </c>
      <c r="D967" s="132" t="s">
        <v>288</v>
      </c>
      <c r="E967" s="132" t="s">
        <v>385</v>
      </c>
      <c r="F967" s="132">
        <v>89</v>
      </c>
      <c r="G967" s="214">
        <v>550</v>
      </c>
      <c r="H967" s="132"/>
      <c r="I967" s="132" t="s">
        <v>372</v>
      </c>
      <c r="J967" s="133">
        <v>43465</v>
      </c>
      <c r="K967" s="132">
        <v>0</v>
      </c>
      <c r="L967" s="132" t="s">
        <v>2452</v>
      </c>
      <c r="M967" s="134">
        <v>0.5</v>
      </c>
      <c r="N967" s="134">
        <v>0.1</v>
      </c>
      <c r="O967" s="320">
        <v>0</v>
      </c>
      <c r="P967" s="326">
        <v>0</v>
      </c>
      <c r="Q967" s="326">
        <v>10000</v>
      </c>
      <c r="R967" s="315">
        <v>0</v>
      </c>
      <c r="S967" s="315">
        <v>10</v>
      </c>
      <c r="T967" s="315"/>
      <c r="U967" s="315">
        <v>0</v>
      </c>
      <c r="V967" s="315">
        <v>0</v>
      </c>
      <c r="W967" s="315">
        <v>0</v>
      </c>
      <c r="X967" s="315">
        <v>0</v>
      </c>
      <c r="Y967" s="315">
        <v>0</v>
      </c>
      <c r="Z967" s="315"/>
      <c r="AA967" s="336">
        <v>98</v>
      </c>
      <c r="AB967" s="336">
        <v>0</v>
      </c>
      <c r="AC967" s="337">
        <v>0</v>
      </c>
      <c r="AD967" s="337"/>
      <c r="AE967" s="336">
        <v>27</v>
      </c>
      <c r="AF967" s="336" t="s">
        <v>283</v>
      </c>
      <c r="AG967" s="339" t="s">
        <v>1358</v>
      </c>
      <c r="AH967" s="339">
        <v>0</v>
      </c>
      <c r="AI967" s="336">
        <v>0</v>
      </c>
      <c r="AJ967" s="336"/>
      <c r="AK967" s="848">
        <v>0</v>
      </c>
      <c r="AL967" s="836" t="s">
        <v>376</v>
      </c>
      <c r="AM967" s="836">
        <v>0</v>
      </c>
      <c r="AN967" s="848">
        <v>2</v>
      </c>
      <c r="AO967" s="850">
        <v>2</v>
      </c>
      <c r="AP967" s="838">
        <v>0</v>
      </c>
      <c r="AQ967" s="839">
        <v>0</v>
      </c>
      <c r="AR967" s="839" t="s">
        <v>282</v>
      </c>
      <c r="AS967" s="839"/>
      <c r="AT967" s="839"/>
      <c r="AU967" s="839"/>
      <c r="AV967" s="849"/>
      <c r="AW967" s="134" t="s">
        <v>3208</v>
      </c>
      <c r="AX967" s="136" t="s">
        <v>3208</v>
      </c>
      <c r="AY967" s="137" t="s">
        <v>2576</v>
      </c>
      <c r="AZ967" s="136">
        <v>1</v>
      </c>
      <c r="BA967" s="136">
        <v>1</v>
      </c>
      <c r="BB967" s="136">
        <v>1</v>
      </c>
      <c r="BC967" s="214">
        <v>550</v>
      </c>
      <c r="BD967" s="136">
        <v>0</v>
      </c>
      <c r="BE967" s="135">
        <v>0</v>
      </c>
      <c r="BF967" s="136">
        <v>1</v>
      </c>
      <c r="BG967" s="214">
        <v>550</v>
      </c>
      <c r="BH967" s="214">
        <v>1.1000000000000001</v>
      </c>
      <c r="BI967" s="134">
        <v>0</v>
      </c>
      <c r="BJ967" s="135">
        <v>0</v>
      </c>
      <c r="BK967" s="137">
        <v>0</v>
      </c>
      <c r="BL967" s="137">
        <v>1</v>
      </c>
      <c r="BM967" s="137">
        <v>98</v>
      </c>
      <c r="BN967" s="134">
        <v>1</v>
      </c>
      <c r="BO967" s="351">
        <v>550</v>
      </c>
      <c r="BP967" s="134">
        <v>0</v>
      </c>
      <c r="BQ967" s="135">
        <v>0</v>
      </c>
      <c r="BR967" s="137">
        <v>28</v>
      </c>
      <c r="BS967" s="138">
        <v>0</v>
      </c>
      <c r="BT967" s="351">
        <v>0</v>
      </c>
      <c r="BU967" s="214">
        <v>550</v>
      </c>
      <c r="BV967" s="214">
        <v>0</v>
      </c>
      <c r="BW967" s="214">
        <v>1</v>
      </c>
      <c r="BX967" s="214">
        <v>0</v>
      </c>
      <c r="BY967" s="214">
        <v>0</v>
      </c>
      <c r="BZ967" s="134">
        <v>0</v>
      </c>
      <c r="CA967" s="138">
        <v>1</v>
      </c>
      <c r="CB967" s="136">
        <v>1</v>
      </c>
      <c r="CC967" s="136">
        <v>0</v>
      </c>
      <c r="CD967" s="136">
        <v>0</v>
      </c>
      <c r="CE967" s="137">
        <v>0</v>
      </c>
      <c r="CF967" s="137">
        <v>0</v>
      </c>
      <c r="CG967" s="137">
        <v>0</v>
      </c>
      <c r="CH967" s="135">
        <v>0</v>
      </c>
      <c r="CI967" s="139" t="s">
        <v>48</v>
      </c>
      <c r="CJ967" s="139" t="s">
        <v>1539</v>
      </c>
      <c r="CK967" s="139" t="s">
        <v>50</v>
      </c>
      <c r="CL967" s="139" t="s">
        <v>50</v>
      </c>
      <c r="CM967" s="139" t="s">
        <v>50</v>
      </c>
      <c r="CN967" s="139" t="s">
        <v>949</v>
      </c>
      <c r="CO967" s="139">
        <v>25.265277999999999</v>
      </c>
      <c r="CP967" s="139">
        <v>97.990555999999998</v>
      </c>
      <c r="CQ967" s="139" t="s">
        <v>1990</v>
      </c>
      <c r="CR967" s="449" t="s">
        <v>40</v>
      </c>
      <c r="CS967" s="449"/>
      <c r="CT967" s="24"/>
      <c r="CU967" s="24"/>
      <c r="CV967" s="24"/>
    </row>
    <row r="968" spans="1:100" ht="15.75" customHeight="1" x14ac:dyDescent="0.25">
      <c r="A968" s="643" t="s">
        <v>1388</v>
      </c>
      <c r="B968" s="132" t="s">
        <v>389</v>
      </c>
      <c r="C968" s="132" t="s">
        <v>44</v>
      </c>
      <c r="D968" s="132" t="s">
        <v>288</v>
      </c>
      <c r="E968" s="132" t="s">
        <v>421</v>
      </c>
      <c r="F968" s="132">
        <v>115</v>
      </c>
      <c r="G968" s="214">
        <v>460</v>
      </c>
      <c r="H968" s="132"/>
      <c r="I968" s="132" t="s">
        <v>391</v>
      </c>
      <c r="J968" s="133">
        <v>42947</v>
      </c>
      <c r="K968" s="132">
        <v>0</v>
      </c>
      <c r="L968" s="132" t="s">
        <v>48</v>
      </c>
      <c r="M968" s="134">
        <v>0.6</v>
      </c>
      <c r="N968" s="134">
        <v>1</v>
      </c>
      <c r="O968" s="320">
        <v>5</v>
      </c>
      <c r="P968" s="326">
        <v>0</v>
      </c>
      <c r="Q968" s="326">
        <v>1000</v>
      </c>
      <c r="R968" s="315">
        <v>0</v>
      </c>
      <c r="S968" s="315">
        <v>3</v>
      </c>
      <c r="T968" s="315"/>
      <c r="U968" s="315">
        <v>0</v>
      </c>
      <c r="V968" s="315">
        <v>0</v>
      </c>
      <c r="W968" s="315">
        <v>0</v>
      </c>
      <c r="X968" s="315">
        <v>0</v>
      </c>
      <c r="Y968" s="315">
        <v>0</v>
      </c>
      <c r="Z968" s="315"/>
      <c r="AA968" s="336">
        <v>4</v>
      </c>
      <c r="AB968" s="336">
        <v>0</v>
      </c>
      <c r="AC968" s="337">
        <v>6</v>
      </c>
      <c r="AD968" s="337"/>
      <c r="AE968" s="336">
        <v>4</v>
      </c>
      <c r="AF968" s="336" t="s">
        <v>283</v>
      </c>
      <c r="AG968" s="339" t="s">
        <v>283</v>
      </c>
      <c r="AH968" s="339">
        <v>0</v>
      </c>
      <c r="AI968" s="336">
        <v>0</v>
      </c>
      <c r="AJ968" s="336"/>
      <c r="AK968" s="848">
        <v>0.5</v>
      </c>
      <c r="AL968" s="836" t="s">
        <v>376</v>
      </c>
      <c r="AM968" s="836">
        <v>0</v>
      </c>
      <c r="AN968" s="848">
        <v>2</v>
      </c>
      <c r="AO968" s="850">
        <v>0</v>
      </c>
      <c r="AP968" s="838">
        <v>0</v>
      </c>
      <c r="AQ968" s="839">
        <v>0</v>
      </c>
      <c r="AR968" s="839"/>
      <c r="AS968" s="839"/>
      <c r="AT968" s="839"/>
      <c r="AU968" s="839"/>
      <c r="AV968" s="849"/>
      <c r="AW968" s="134" t="s">
        <v>3208</v>
      </c>
      <c r="AX968" s="136" t="s">
        <v>3208</v>
      </c>
      <c r="AY968" s="137" t="s">
        <v>2576</v>
      </c>
      <c r="AZ968" s="136">
        <v>1</v>
      </c>
      <c r="BA968" s="136">
        <v>1</v>
      </c>
      <c r="BB968" s="136">
        <v>1</v>
      </c>
      <c r="BC968" s="214">
        <v>460</v>
      </c>
      <c r="BD968" s="136">
        <v>0</v>
      </c>
      <c r="BE968" s="214">
        <v>0</v>
      </c>
      <c r="BF968" s="136">
        <v>1</v>
      </c>
      <c r="BG968" s="214">
        <v>460</v>
      </c>
      <c r="BH968" s="214">
        <v>0.92</v>
      </c>
      <c r="BI968" s="134">
        <v>0</v>
      </c>
      <c r="BJ968" s="214">
        <v>0</v>
      </c>
      <c r="BK968" s="137">
        <v>7.999999999999996E-2</v>
      </c>
      <c r="BL968" s="137">
        <v>1</v>
      </c>
      <c r="BM968" s="137">
        <v>4</v>
      </c>
      <c r="BN968" s="134">
        <v>0.17391304347826086</v>
      </c>
      <c r="BO968" s="351">
        <v>80</v>
      </c>
      <c r="BP968" s="134">
        <v>0.82608695652173914</v>
      </c>
      <c r="BQ968" s="214">
        <v>19</v>
      </c>
      <c r="BR968" s="137">
        <v>23</v>
      </c>
      <c r="BS968" s="138">
        <v>0</v>
      </c>
      <c r="BT968" s="351">
        <v>120</v>
      </c>
      <c r="BU968" s="214">
        <v>0</v>
      </c>
      <c r="BV968" s="214">
        <v>0</v>
      </c>
      <c r="BW968" s="214">
        <v>0</v>
      </c>
      <c r="BX968" s="214">
        <v>0</v>
      </c>
      <c r="BY968" s="214">
        <v>0</v>
      </c>
      <c r="BZ968" s="134">
        <v>0</v>
      </c>
      <c r="CA968" s="138">
        <v>1</v>
      </c>
      <c r="CB968" s="136">
        <v>0</v>
      </c>
      <c r="CC968" s="136">
        <v>0</v>
      </c>
      <c r="CD968" s="136">
        <v>0</v>
      </c>
      <c r="CE968" s="137">
        <v>0</v>
      </c>
      <c r="CF968" s="137">
        <v>0</v>
      </c>
      <c r="CG968" s="137">
        <v>0</v>
      </c>
      <c r="CH968" s="214">
        <v>57.5</v>
      </c>
      <c r="CI968" s="139" t="s">
        <v>48</v>
      </c>
      <c r="CJ968" s="139" t="s">
        <v>389</v>
      </c>
      <c r="CK968" s="139" t="s">
        <v>50</v>
      </c>
      <c r="CL968" s="139" t="s">
        <v>50</v>
      </c>
      <c r="CM968" s="139" t="s">
        <v>50</v>
      </c>
      <c r="CN968" s="139" t="s">
        <v>51</v>
      </c>
      <c r="CO968" s="139">
        <v>25.3540362037037</v>
      </c>
      <c r="CP968" s="139">
        <v>97.441166388888902</v>
      </c>
      <c r="CQ968" s="139" t="s">
        <v>2004</v>
      </c>
      <c r="CR968" s="449" t="s">
        <v>40</v>
      </c>
      <c r="CS968" s="449"/>
      <c r="CT968" s="24"/>
      <c r="CU968" s="24"/>
      <c r="CV968" s="24"/>
    </row>
    <row r="969" spans="1:100" ht="15.75" customHeight="1" x14ac:dyDescent="0.25">
      <c r="A969" s="643" t="s">
        <v>1388</v>
      </c>
      <c r="B969" s="132" t="s">
        <v>287</v>
      </c>
      <c r="C969" s="132" t="s">
        <v>44</v>
      </c>
      <c r="D969" s="132" t="s">
        <v>288</v>
      </c>
      <c r="E969" s="132" t="s">
        <v>327</v>
      </c>
      <c r="F969" s="132">
        <v>64</v>
      </c>
      <c r="G969" s="214">
        <v>322</v>
      </c>
      <c r="H969" s="132"/>
      <c r="I969" s="132" t="s">
        <v>290</v>
      </c>
      <c r="J969" s="133">
        <v>43555</v>
      </c>
      <c r="K969" s="132">
        <v>0</v>
      </c>
      <c r="L969" s="132" t="s">
        <v>48</v>
      </c>
      <c r="M969" s="134">
        <v>0.6</v>
      </c>
      <c r="N969" s="134">
        <v>0.5</v>
      </c>
      <c r="O969" s="320">
        <v>1</v>
      </c>
      <c r="P969" s="326">
        <v>0</v>
      </c>
      <c r="Q969" s="326">
        <v>0</v>
      </c>
      <c r="R969" s="315">
        <v>0</v>
      </c>
      <c r="S969" s="315">
        <v>0</v>
      </c>
      <c r="T969" s="315"/>
      <c r="U969" s="315">
        <v>0</v>
      </c>
      <c r="V969" s="315">
        <v>0</v>
      </c>
      <c r="W969" s="315">
        <v>0</v>
      </c>
      <c r="X969" s="315">
        <v>0</v>
      </c>
      <c r="Y969" s="315">
        <v>0</v>
      </c>
      <c r="Z969" s="315"/>
      <c r="AA969" s="336">
        <v>10</v>
      </c>
      <c r="AB969" s="336">
        <v>0</v>
      </c>
      <c r="AC969" s="337">
        <v>0</v>
      </c>
      <c r="AD969" s="337"/>
      <c r="AE969" s="336">
        <v>0</v>
      </c>
      <c r="AF969" s="336" t="s">
        <v>283</v>
      </c>
      <c r="AG969" s="339" t="s">
        <v>283</v>
      </c>
      <c r="AH969" s="339"/>
      <c r="AI969" s="336"/>
      <c r="AJ969" s="336"/>
      <c r="AK969" s="848">
        <v>0.6</v>
      </c>
      <c r="AL969" s="836" t="s">
        <v>376</v>
      </c>
      <c r="AM969" s="836">
        <v>0</v>
      </c>
      <c r="AN969" s="848">
        <v>2</v>
      </c>
      <c r="AO969" s="850">
        <v>1</v>
      </c>
      <c r="AP969" s="838">
        <v>0</v>
      </c>
      <c r="AQ969" s="839">
        <v>0</v>
      </c>
      <c r="AR969" s="839"/>
      <c r="AS969" s="839"/>
      <c r="AT969" s="839"/>
      <c r="AU969" s="839"/>
      <c r="AV969" s="849"/>
      <c r="AW969" s="134" t="s">
        <v>3208</v>
      </c>
      <c r="AX969" s="136" t="s">
        <v>3208</v>
      </c>
      <c r="AY969" s="137" t="s">
        <v>2576</v>
      </c>
      <c r="AZ969" s="136">
        <v>1</v>
      </c>
      <c r="BA969" s="136">
        <v>0.77639751552795033</v>
      </c>
      <c r="BB969" s="136">
        <v>1</v>
      </c>
      <c r="BC969" s="214">
        <v>322</v>
      </c>
      <c r="BD969" s="136">
        <v>0</v>
      </c>
      <c r="BE969" s="214">
        <v>0</v>
      </c>
      <c r="BF969" s="136">
        <v>1</v>
      </c>
      <c r="BG969" s="214">
        <v>322</v>
      </c>
      <c r="BH969" s="214">
        <v>0.64400000000000002</v>
      </c>
      <c r="BI969" s="134">
        <v>0</v>
      </c>
      <c r="BJ969" s="214">
        <v>0</v>
      </c>
      <c r="BK969" s="137">
        <v>0.35599999999999998</v>
      </c>
      <c r="BL969" s="137">
        <v>1</v>
      </c>
      <c r="BM969" s="137">
        <v>10</v>
      </c>
      <c r="BN969" s="134">
        <v>0.6211180124223602</v>
      </c>
      <c r="BO969" s="351">
        <v>199.99999999999997</v>
      </c>
      <c r="BP969" s="134">
        <v>0.37267080745341613</v>
      </c>
      <c r="BQ969" s="214">
        <v>6</v>
      </c>
      <c r="BR969" s="137">
        <v>16</v>
      </c>
      <c r="BS969" s="138">
        <v>0</v>
      </c>
      <c r="BT969" s="351">
        <v>0</v>
      </c>
      <c r="BU969" s="214">
        <v>322</v>
      </c>
      <c r="BV969" s="214">
        <v>0</v>
      </c>
      <c r="BW969" s="214">
        <v>1</v>
      </c>
      <c r="BX969" s="214">
        <v>0</v>
      </c>
      <c r="BY969" s="214">
        <v>0</v>
      </c>
      <c r="BZ969" s="134">
        <v>0</v>
      </c>
      <c r="CA969" s="138">
        <v>1</v>
      </c>
      <c r="CB969" s="136">
        <v>1</v>
      </c>
      <c r="CC969" s="136">
        <v>0</v>
      </c>
      <c r="CD969" s="136">
        <v>0</v>
      </c>
      <c r="CE969" s="137">
        <v>0</v>
      </c>
      <c r="CF969" s="137">
        <v>0</v>
      </c>
      <c r="CG969" s="137">
        <v>0</v>
      </c>
      <c r="CH969" s="214">
        <v>38.4</v>
      </c>
      <c r="CI969" s="139" t="s">
        <v>48</v>
      </c>
      <c r="CJ969" s="139" t="s">
        <v>287</v>
      </c>
      <c r="CK969" s="139" t="s">
        <v>50</v>
      </c>
      <c r="CL969" s="139" t="s">
        <v>50</v>
      </c>
      <c r="CM969" s="139" t="s">
        <v>50</v>
      </c>
      <c r="CN969" s="139" t="s">
        <v>51</v>
      </c>
      <c r="CO969" s="139">
        <v>25.351724999999998</v>
      </c>
      <c r="CP969" s="139">
        <v>97.438432380952406</v>
      </c>
      <c r="CQ969" s="139" t="s">
        <v>2002</v>
      </c>
      <c r="CR969" s="449" t="s">
        <v>40</v>
      </c>
      <c r="CS969" s="449"/>
      <c r="CT969" s="24"/>
      <c r="CU969" s="24"/>
      <c r="CV969" s="24"/>
    </row>
    <row r="970" spans="1:100" ht="15.75" customHeight="1" x14ac:dyDescent="0.25">
      <c r="A970" s="643" t="s">
        <v>1388</v>
      </c>
      <c r="B970" s="132" t="s">
        <v>389</v>
      </c>
      <c r="C970" s="132" t="s">
        <v>44</v>
      </c>
      <c r="D970" s="132" t="s">
        <v>288</v>
      </c>
      <c r="E970" s="132" t="s">
        <v>422</v>
      </c>
      <c r="F970" s="132">
        <v>29</v>
      </c>
      <c r="G970" s="214">
        <v>159</v>
      </c>
      <c r="H970" s="132"/>
      <c r="I970" s="132" t="s">
        <v>391</v>
      </c>
      <c r="J970" s="133">
        <v>42947</v>
      </c>
      <c r="K970" s="132">
        <v>0</v>
      </c>
      <c r="L970" s="132" t="s">
        <v>48</v>
      </c>
      <c r="M970" s="134">
        <v>0.8</v>
      </c>
      <c r="N970" s="134">
        <v>1</v>
      </c>
      <c r="O970" s="320">
        <v>2</v>
      </c>
      <c r="P970" s="326">
        <v>0</v>
      </c>
      <c r="Q970" s="326">
        <v>2000</v>
      </c>
      <c r="R970" s="315">
        <v>0</v>
      </c>
      <c r="S970" s="315">
        <v>2</v>
      </c>
      <c r="T970" s="315"/>
      <c r="U970" s="315">
        <v>0</v>
      </c>
      <c r="V970" s="315">
        <v>0</v>
      </c>
      <c r="W970" s="315">
        <v>0</v>
      </c>
      <c r="X970" s="315">
        <v>0</v>
      </c>
      <c r="Y970" s="315">
        <v>0</v>
      </c>
      <c r="Z970" s="315"/>
      <c r="AA970" s="336">
        <v>3</v>
      </c>
      <c r="AB970" s="336">
        <v>1</v>
      </c>
      <c r="AC970" s="337">
        <v>9</v>
      </c>
      <c r="AD970" s="337"/>
      <c r="AE970" s="336">
        <v>3</v>
      </c>
      <c r="AF970" s="336" t="s">
        <v>283</v>
      </c>
      <c r="AG970" s="339" t="s">
        <v>1358</v>
      </c>
      <c r="AH970" s="339">
        <v>0</v>
      </c>
      <c r="AI970" s="336">
        <v>0</v>
      </c>
      <c r="AJ970" s="336"/>
      <c r="AK970" s="848">
        <v>0.5</v>
      </c>
      <c r="AL970" s="836" t="s">
        <v>376</v>
      </c>
      <c r="AM970" s="836">
        <v>0</v>
      </c>
      <c r="AN970" s="848">
        <v>5</v>
      </c>
      <c r="AO970" s="850">
        <v>0</v>
      </c>
      <c r="AP970" s="838">
        <v>0</v>
      </c>
      <c r="AQ970" s="839">
        <v>0</v>
      </c>
      <c r="AR970" s="839"/>
      <c r="AS970" s="839"/>
      <c r="AT970" s="839"/>
      <c r="AU970" s="839"/>
      <c r="AV970" s="849"/>
      <c r="AW970" s="134" t="s">
        <v>3208</v>
      </c>
      <c r="AX970" s="136" t="s">
        <v>3208</v>
      </c>
      <c r="AY970" s="137" t="s">
        <v>2576</v>
      </c>
      <c r="AZ970" s="136">
        <v>1</v>
      </c>
      <c r="BA970" s="136">
        <v>1</v>
      </c>
      <c r="BB970" s="136">
        <v>1</v>
      </c>
      <c r="BC970" s="214">
        <v>159</v>
      </c>
      <c r="BD970" s="136">
        <v>0</v>
      </c>
      <c r="BE970" s="214">
        <v>0</v>
      </c>
      <c r="BF970" s="136">
        <v>1</v>
      </c>
      <c r="BG970" s="214">
        <v>159</v>
      </c>
      <c r="BH970" s="214">
        <v>0.318</v>
      </c>
      <c r="BI970" s="134">
        <v>0</v>
      </c>
      <c r="BJ970" s="214">
        <v>0</v>
      </c>
      <c r="BK970" s="137">
        <v>0.68199999999999994</v>
      </c>
      <c r="BL970" s="137">
        <v>1</v>
      </c>
      <c r="BM970" s="137">
        <v>4</v>
      </c>
      <c r="BN970" s="134">
        <v>0.37735849056603776</v>
      </c>
      <c r="BO970" s="351">
        <v>60.000000000000007</v>
      </c>
      <c r="BP970" s="134">
        <v>0.50314465408805031</v>
      </c>
      <c r="BQ970" s="214">
        <v>4</v>
      </c>
      <c r="BR970" s="137">
        <v>8</v>
      </c>
      <c r="BS970" s="138">
        <v>0.25</v>
      </c>
      <c r="BT970" s="351">
        <v>159</v>
      </c>
      <c r="BU970" s="214">
        <v>0</v>
      </c>
      <c r="BV970" s="214">
        <v>0</v>
      </c>
      <c r="BW970" s="214">
        <v>0</v>
      </c>
      <c r="BX970" s="214">
        <v>0</v>
      </c>
      <c r="BY970" s="214">
        <v>0</v>
      </c>
      <c r="BZ970" s="134">
        <v>0</v>
      </c>
      <c r="CA970" s="138">
        <v>1</v>
      </c>
      <c r="CB970" s="136">
        <v>0</v>
      </c>
      <c r="CC970" s="136">
        <v>0</v>
      </c>
      <c r="CD970" s="136">
        <v>0</v>
      </c>
      <c r="CE970" s="137">
        <v>0</v>
      </c>
      <c r="CF970" s="137">
        <v>0</v>
      </c>
      <c r="CG970" s="137">
        <v>0</v>
      </c>
      <c r="CH970" s="214">
        <v>14.5</v>
      </c>
      <c r="CI970" s="139" t="s">
        <v>48</v>
      </c>
      <c r="CJ970" s="139" t="s">
        <v>389</v>
      </c>
      <c r="CK970" s="139" t="s">
        <v>50</v>
      </c>
      <c r="CL970" s="139" t="s">
        <v>50</v>
      </c>
      <c r="CM970" s="139" t="s">
        <v>50</v>
      </c>
      <c r="CN970" s="139" t="s">
        <v>51</v>
      </c>
      <c r="CO970" s="139">
        <v>25.345918166666699</v>
      </c>
      <c r="CP970" s="139">
        <v>97.437472666666693</v>
      </c>
      <c r="CQ970" s="139" t="s">
        <v>1998</v>
      </c>
      <c r="CR970" s="449" t="s">
        <v>40</v>
      </c>
      <c r="CS970" s="449"/>
      <c r="CT970" s="24"/>
      <c r="CU970" s="24"/>
      <c r="CV970" s="24"/>
    </row>
    <row r="971" spans="1:100" ht="15.75" customHeight="1" x14ac:dyDescent="0.25">
      <c r="A971" s="643" t="s">
        <v>1388</v>
      </c>
      <c r="B971" s="132" t="s">
        <v>389</v>
      </c>
      <c r="C971" s="132" t="s">
        <v>44</v>
      </c>
      <c r="D971" s="132" t="s">
        <v>288</v>
      </c>
      <c r="E971" s="132" t="s">
        <v>423</v>
      </c>
      <c r="F971" s="132">
        <v>90</v>
      </c>
      <c r="G971" s="214">
        <v>492</v>
      </c>
      <c r="H971" s="132"/>
      <c r="I971" s="132" t="s">
        <v>391</v>
      </c>
      <c r="J971" s="133">
        <v>42947</v>
      </c>
      <c r="K971" s="132">
        <v>0</v>
      </c>
      <c r="L971" s="132" t="s">
        <v>48</v>
      </c>
      <c r="M971" s="134">
        <v>0.75</v>
      </c>
      <c r="N971" s="134">
        <v>1</v>
      </c>
      <c r="O971" s="320">
        <v>1</v>
      </c>
      <c r="P971" s="326">
        <v>0</v>
      </c>
      <c r="Q971" s="326">
        <v>2000</v>
      </c>
      <c r="R971" s="315">
        <v>0</v>
      </c>
      <c r="S971" s="315">
        <v>3</v>
      </c>
      <c r="T971" s="315"/>
      <c r="U971" s="315">
        <v>0</v>
      </c>
      <c r="V971" s="315">
        <v>0</v>
      </c>
      <c r="W971" s="315">
        <v>0</v>
      </c>
      <c r="X971" s="315">
        <v>0</v>
      </c>
      <c r="Y971" s="315">
        <v>0</v>
      </c>
      <c r="Z971" s="315"/>
      <c r="AA971" s="336">
        <v>16</v>
      </c>
      <c r="AB971" s="336">
        <v>3</v>
      </c>
      <c r="AC971" s="337">
        <v>6</v>
      </c>
      <c r="AD971" s="337"/>
      <c r="AE971" s="336">
        <v>16</v>
      </c>
      <c r="AF971" s="336" t="s">
        <v>283</v>
      </c>
      <c r="AG971" s="339" t="s">
        <v>283</v>
      </c>
      <c r="AH971" s="339">
        <v>0</v>
      </c>
      <c r="AI971" s="336">
        <v>0</v>
      </c>
      <c r="AJ971" s="336"/>
      <c r="AK971" s="848">
        <v>0.5</v>
      </c>
      <c r="AL971" s="836" t="s">
        <v>376</v>
      </c>
      <c r="AM971" s="836">
        <v>0</v>
      </c>
      <c r="AN971" s="848">
        <v>4</v>
      </c>
      <c r="AO971" s="850">
        <v>0</v>
      </c>
      <c r="AP971" s="838">
        <v>0</v>
      </c>
      <c r="AQ971" s="839">
        <v>0</v>
      </c>
      <c r="AR971" s="839"/>
      <c r="AS971" s="839"/>
      <c r="AT971" s="839"/>
      <c r="AU971" s="839"/>
      <c r="AV971" s="849"/>
      <c r="AW971" s="134" t="s">
        <v>3208</v>
      </c>
      <c r="AX971" s="136" t="s">
        <v>3208</v>
      </c>
      <c r="AY971" s="137" t="s">
        <v>2576</v>
      </c>
      <c r="AZ971" s="136">
        <v>1</v>
      </c>
      <c r="BA971" s="136">
        <v>0.77913279132791335</v>
      </c>
      <c r="BB971" s="136">
        <v>1</v>
      </c>
      <c r="BC971" s="214">
        <v>492</v>
      </c>
      <c r="BD971" s="136">
        <v>0</v>
      </c>
      <c r="BE971" s="135">
        <v>0</v>
      </c>
      <c r="BF971" s="136">
        <v>1</v>
      </c>
      <c r="BG971" s="214">
        <v>492</v>
      </c>
      <c r="BH971" s="214">
        <v>0.98399999999999999</v>
      </c>
      <c r="BI971" s="134">
        <v>0</v>
      </c>
      <c r="BJ971" s="135">
        <v>0</v>
      </c>
      <c r="BK971" s="137">
        <v>1.6000000000000014E-2</v>
      </c>
      <c r="BL971" s="137">
        <v>1</v>
      </c>
      <c r="BM971" s="137">
        <v>19</v>
      </c>
      <c r="BN971" s="134">
        <v>0.65040650406504064</v>
      </c>
      <c r="BO971" s="351">
        <v>320</v>
      </c>
      <c r="BP971" s="134">
        <v>0.24390243902439024</v>
      </c>
      <c r="BQ971" s="135">
        <v>6</v>
      </c>
      <c r="BR971" s="137">
        <v>25</v>
      </c>
      <c r="BS971" s="138">
        <v>0.15789473684210525</v>
      </c>
      <c r="BT971" s="351">
        <v>120</v>
      </c>
      <c r="BU971" s="214">
        <v>0</v>
      </c>
      <c r="BV971" s="214">
        <v>0</v>
      </c>
      <c r="BW971" s="214">
        <v>0</v>
      </c>
      <c r="BX971" s="214">
        <v>0</v>
      </c>
      <c r="BY971" s="214">
        <v>0</v>
      </c>
      <c r="BZ971" s="134">
        <v>0</v>
      </c>
      <c r="CA971" s="138">
        <v>1</v>
      </c>
      <c r="CB971" s="136">
        <v>0</v>
      </c>
      <c r="CC971" s="136">
        <v>0</v>
      </c>
      <c r="CD971" s="136">
        <v>0</v>
      </c>
      <c r="CE971" s="137">
        <v>0</v>
      </c>
      <c r="CF971" s="137">
        <v>0</v>
      </c>
      <c r="CG971" s="137">
        <v>0</v>
      </c>
      <c r="CH971" s="135">
        <v>45</v>
      </c>
      <c r="CI971" s="139" t="s">
        <v>48</v>
      </c>
      <c r="CJ971" s="139" t="s">
        <v>389</v>
      </c>
      <c r="CK971" s="139" t="s">
        <v>50</v>
      </c>
      <c r="CL971" s="139" t="s">
        <v>50</v>
      </c>
      <c r="CM971" s="139" t="s">
        <v>929</v>
      </c>
      <c r="CN971" s="139" t="s">
        <v>51</v>
      </c>
      <c r="CO971" s="139">
        <v>25.350809000000002</v>
      </c>
      <c r="CP971" s="139">
        <v>97.432495000000003</v>
      </c>
      <c r="CQ971" s="139" t="s">
        <v>1999</v>
      </c>
      <c r="CR971" s="449" t="s">
        <v>40</v>
      </c>
      <c r="CS971" s="449"/>
      <c r="CT971" s="24"/>
      <c r="CU971" s="24"/>
      <c r="CV971" s="24"/>
    </row>
    <row r="972" spans="1:100" ht="15.75" customHeight="1" x14ac:dyDescent="0.25">
      <c r="A972" s="643" t="s">
        <v>1388</v>
      </c>
      <c r="B972" s="132" t="s">
        <v>287</v>
      </c>
      <c r="C972" s="132" t="s">
        <v>44</v>
      </c>
      <c r="D972" s="132" t="s">
        <v>288</v>
      </c>
      <c r="E972" s="132" t="s">
        <v>289</v>
      </c>
      <c r="F972" s="132">
        <v>413</v>
      </c>
      <c r="G972" s="214">
        <v>1893</v>
      </c>
      <c r="H972" s="132"/>
      <c r="I972" s="132" t="s">
        <v>290</v>
      </c>
      <c r="J972" s="133">
        <v>43555</v>
      </c>
      <c r="K972" s="132">
        <v>0</v>
      </c>
      <c r="L972" s="132" t="s">
        <v>48</v>
      </c>
      <c r="M972" s="134">
        <v>0.8</v>
      </c>
      <c r="N972" s="134">
        <v>0.5</v>
      </c>
      <c r="O972" s="320">
        <v>0</v>
      </c>
      <c r="P972" s="326">
        <v>0</v>
      </c>
      <c r="Q972" s="326">
        <v>38880</v>
      </c>
      <c r="R972" s="315">
        <v>0</v>
      </c>
      <c r="S972" s="315">
        <v>0</v>
      </c>
      <c r="T972" s="315"/>
      <c r="U972" s="315">
        <v>0</v>
      </c>
      <c r="V972" s="315">
        <v>0</v>
      </c>
      <c r="W972" s="315">
        <v>0</v>
      </c>
      <c r="X972" s="315">
        <v>0</v>
      </c>
      <c r="Y972" s="315">
        <v>0</v>
      </c>
      <c r="Z972" s="315"/>
      <c r="AA972" s="336">
        <v>413</v>
      </c>
      <c r="AB972" s="336">
        <v>0</v>
      </c>
      <c r="AC972" s="337">
        <v>0</v>
      </c>
      <c r="AD972" s="337"/>
      <c r="AE972" s="336">
        <v>0</v>
      </c>
      <c r="AF972" s="336" t="s">
        <v>283</v>
      </c>
      <c r="AG972" s="339" t="s">
        <v>283</v>
      </c>
      <c r="AH972" s="339"/>
      <c r="AI972" s="336">
        <v>30</v>
      </c>
      <c r="AJ972" s="336"/>
      <c r="AK972" s="848">
        <v>1</v>
      </c>
      <c r="AL972" s="836" t="s">
        <v>284</v>
      </c>
      <c r="AM972" s="836">
        <v>400</v>
      </c>
      <c r="AN972" s="848">
        <v>9</v>
      </c>
      <c r="AO972" s="850">
        <v>6</v>
      </c>
      <c r="AP972" s="838">
        <v>0</v>
      </c>
      <c r="AQ972" s="839">
        <v>0</v>
      </c>
      <c r="AR972" s="839"/>
      <c r="AS972" s="839"/>
      <c r="AT972" s="839"/>
      <c r="AU972" s="839"/>
      <c r="AV972" s="849"/>
      <c r="AW972" s="134" t="s">
        <v>3208</v>
      </c>
      <c r="AX972" s="136" t="s">
        <v>3208</v>
      </c>
      <c r="AY972" s="137" t="s">
        <v>2576</v>
      </c>
      <c r="AZ972" s="136">
        <v>1</v>
      </c>
      <c r="BA972" s="136">
        <v>1</v>
      </c>
      <c r="BB972" s="136">
        <v>1</v>
      </c>
      <c r="BC972" s="214">
        <v>1893</v>
      </c>
      <c r="BD972" s="136">
        <v>0</v>
      </c>
      <c r="BE972" s="214">
        <v>0</v>
      </c>
      <c r="BF972" s="136">
        <v>1</v>
      </c>
      <c r="BG972" s="214">
        <v>1893</v>
      </c>
      <c r="BH972" s="214">
        <v>3.786</v>
      </c>
      <c r="BI972" s="134">
        <v>0</v>
      </c>
      <c r="BJ972" s="214">
        <v>0</v>
      </c>
      <c r="BK972" s="137">
        <v>0.21399999999999997</v>
      </c>
      <c r="BL972" s="137">
        <v>4</v>
      </c>
      <c r="BM972" s="137">
        <v>413</v>
      </c>
      <c r="BN972" s="134">
        <v>1</v>
      </c>
      <c r="BO972" s="351">
        <v>1893</v>
      </c>
      <c r="BP972" s="134">
        <v>0</v>
      </c>
      <c r="BQ972" s="214">
        <v>0</v>
      </c>
      <c r="BR972" s="137">
        <v>95</v>
      </c>
      <c r="BS972" s="138">
        <v>0</v>
      </c>
      <c r="BT972" s="351">
        <v>0</v>
      </c>
      <c r="BU972" s="214">
        <v>1893</v>
      </c>
      <c r="BV972" s="214">
        <v>0</v>
      </c>
      <c r="BW972" s="214">
        <v>1</v>
      </c>
      <c r="BX972" s="214">
        <v>0</v>
      </c>
      <c r="BY972" s="214">
        <v>0</v>
      </c>
      <c r="BZ972" s="134">
        <v>0</v>
      </c>
      <c r="CA972" s="138">
        <v>1</v>
      </c>
      <c r="CB972" s="136">
        <v>1</v>
      </c>
      <c r="CC972" s="136">
        <v>0</v>
      </c>
      <c r="CD972" s="136">
        <v>0</v>
      </c>
      <c r="CE972" s="137">
        <v>0</v>
      </c>
      <c r="CF972" s="137">
        <v>0</v>
      </c>
      <c r="CG972" s="137">
        <v>0</v>
      </c>
      <c r="CH972" s="214">
        <v>413</v>
      </c>
      <c r="CI972" s="139" t="s">
        <v>48</v>
      </c>
      <c r="CJ972" s="139" t="s">
        <v>287</v>
      </c>
      <c r="CK972" s="139" t="s">
        <v>50</v>
      </c>
      <c r="CL972" s="139" t="s">
        <v>50</v>
      </c>
      <c r="CM972" s="139" t="s">
        <v>50</v>
      </c>
      <c r="CN972" s="139" t="s">
        <v>949</v>
      </c>
      <c r="CO972" s="139">
        <v>0</v>
      </c>
      <c r="CP972" s="139">
        <v>0</v>
      </c>
      <c r="CQ972" s="139" t="s">
        <v>2096</v>
      </c>
      <c r="CR972" s="449" t="s">
        <v>40</v>
      </c>
      <c r="CS972" s="449"/>
      <c r="CT972" s="24"/>
      <c r="CU972" s="24"/>
      <c r="CV972" s="24"/>
    </row>
    <row r="973" spans="1:100" ht="15.75" customHeight="1" x14ac:dyDescent="0.25">
      <c r="A973" s="643" t="s">
        <v>1388</v>
      </c>
      <c r="B973" s="132" t="s">
        <v>287</v>
      </c>
      <c r="C973" s="132" t="s">
        <v>44</v>
      </c>
      <c r="D973" s="132" t="s">
        <v>288</v>
      </c>
      <c r="E973" s="132" t="s">
        <v>328</v>
      </c>
      <c r="F973" s="132">
        <v>179</v>
      </c>
      <c r="G973" s="214">
        <v>962</v>
      </c>
      <c r="H973" s="132"/>
      <c r="I973" s="132" t="s">
        <v>296</v>
      </c>
      <c r="J973" s="133" t="s">
        <v>2451</v>
      </c>
      <c r="K973" s="132">
        <v>0</v>
      </c>
      <c r="L973" s="132" t="s">
        <v>48</v>
      </c>
      <c r="M973" s="134">
        <v>0.6</v>
      </c>
      <c r="N973" s="134">
        <v>0.5</v>
      </c>
      <c r="O973" s="320">
        <v>0</v>
      </c>
      <c r="P973" s="326">
        <v>0</v>
      </c>
      <c r="Q973" s="326">
        <v>272160</v>
      </c>
      <c r="R973" s="315">
        <v>0</v>
      </c>
      <c r="S973" s="315">
        <v>0</v>
      </c>
      <c r="T973" s="315"/>
      <c r="U973" s="315">
        <v>0</v>
      </c>
      <c r="V973" s="315">
        <v>0</v>
      </c>
      <c r="W973" s="315">
        <v>0</v>
      </c>
      <c r="X973" s="315">
        <v>0</v>
      </c>
      <c r="Y973" s="315">
        <v>0</v>
      </c>
      <c r="Z973" s="315"/>
      <c r="AA973" s="336">
        <v>150</v>
      </c>
      <c r="AB973" s="336">
        <v>0</v>
      </c>
      <c r="AC973" s="337">
        <v>0</v>
      </c>
      <c r="AD973" s="337"/>
      <c r="AE973" s="336">
        <v>0</v>
      </c>
      <c r="AF973" s="336" t="s">
        <v>283</v>
      </c>
      <c r="AG973" s="339" t="s">
        <v>283</v>
      </c>
      <c r="AH973" s="339"/>
      <c r="AI973" s="336"/>
      <c r="AJ973" s="336"/>
      <c r="AK973" s="848">
        <v>1</v>
      </c>
      <c r="AL973" s="836" t="s">
        <v>291</v>
      </c>
      <c r="AM973" s="836">
        <v>0</v>
      </c>
      <c r="AN973" s="848">
        <v>4</v>
      </c>
      <c r="AO973" s="850">
        <v>3</v>
      </c>
      <c r="AP973" s="838">
        <v>0</v>
      </c>
      <c r="AQ973" s="839">
        <v>0</v>
      </c>
      <c r="AR973" s="839"/>
      <c r="AS973" s="839"/>
      <c r="AT973" s="839"/>
      <c r="AU973" s="839"/>
      <c r="AV973" s="849"/>
      <c r="AW973" s="134" t="s">
        <v>3208</v>
      </c>
      <c r="AX973" s="136" t="s">
        <v>3208</v>
      </c>
      <c r="AY973" s="137" t="s">
        <v>2576</v>
      </c>
      <c r="AZ973" s="136">
        <v>1</v>
      </c>
      <c r="BA973" s="136">
        <v>1</v>
      </c>
      <c r="BB973" s="136">
        <v>1</v>
      </c>
      <c r="BC973" s="214">
        <v>962</v>
      </c>
      <c r="BD973" s="136">
        <v>0</v>
      </c>
      <c r="BE973" s="214">
        <v>0</v>
      </c>
      <c r="BF973" s="136">
        <v>1</v>
      </c>
      <c r="BG973" s="214">
        <v>962</v>
      </c>
      <c r="BH973" s="214">
        <v>1.9239999999999999</v>
      </c>
      <c r="BI973" s="134">
        <v>0</v>
      </c>
      <c r="BJ973" s="214">
        <v>0</v>
      </c>
      <c r="BK973" s="137">
        <v>7.6000000000000068E-2</v>
      </c>
      <c r="BL973" s="137">
        <v>2</v>
      </c>
      <c r="BM973" s="137">
        <v>150</v>
      </c>
      <c r="BN973" s="134">
        <v>1</v>
      </c>
      <c r="BO973" s="351">
        <v>962</v>
      </c>
      <c r="BP973" s="134">
        <v>0</v>
      </c>
      <c r="BQ973" s="214">
        <v>0</v>
      </c>
      <c r="BR973" s="137">
        <v>48</v>
      </c>
      <c r="BS973" s="138">
        <v>0</v>
      </c>
      <c r="BT973" s="351">
        <v>0</v>
      </c>
      <c r="BU973" s="214">
        <v>962</v>
      </c>
      <c r="BV973" s="214">
        <v>0</v>
      </c>
      <c r="BW973" s="214">
        <v>1</v>
      </c>
      <c r="BX973" s="214">
        <v>0</v>
      </c>
      <c r="BY973" s="214">
        <v>0</v>
      </c>
      <c r="BZ973" s="134">
        <v>0</v>
      </c>
      <c r="CA973" s="138">
        <v>1</v>
      </c>
      <c r="CB973" s="136">
        <v>1</v>
      </c>
      <c r="CC973" s="136">
        <v>0</v>
      </c>
      <c r="CD973" s="136">
        <v>0</v>
      </c>
      <c r="CE973" s="137">
        <v>0</v>
      </c>
      <c r="CF973" s="137">
        <v>0</v>
      </c>
      <c r="CG973" s="137">
        <v>0</v>
      </c>
      <c r="CH973" s="214">
        <v>179</v>
      </c>
      <c r="CI973" s="139" t="s">
        <v>48</v>
      </c>
      <c r="CJ973" s="139" t="s">
        <v>287</v>
      </c>
      <c r="CK973" s="139" t="s">
        <v>50</v>
      </c>
      <c r="CL973" s="139" t="s">
        <v>50</v>
      </c>
      <c r="CM973" s="139" t="s">
        <v>50</v>
      </c>
      <c r="CN973" s="139" t="s">
        <v>51</v>
      </c>
      <c r="CO973" s="139">
        <v>25.418084</v>
      </c>
      <c r="CP973" s="139">
        <v>98.025662999999994</v>
      </c>
      <c r="CQ973" s="139" t="s">
        <v>2028</v>
      </c>
      <c r="CR973" s="449" t="s">
        <v>40</v>
      </c>
      <c r="CS973" s="449"/>
      <c r="CT973" s="24"/>
      <c r="CU973" s="24"/>
      <c r="CV973" s="24"/>
    </row>
    <row r="974" spans="1:100" ht="15.75" customHeight="1" x14ac:dyDescent="0.25">
      <c r="A974" s="643" t="s">
        <v>1388</v>
      </c>
      <c r="B974" s="132" t="s">
        <v>389</v>
      </c>
      <c r="C974" s="132" t="s">
        <v>44</v>
      </c>
      <c r="D974" s="132" t="s">
        <v>288</v>
      </c>
      <c r="E974" s="132" t="s">
        <v>424</v>
      </c>
      <c r="F974" s="132">
        <v>46</v>
      </c>
      <c r="G974" s="214">
        <v>190</v>
      </c>
      <c r="H974" s="132"/>
      <c r="I974" s="132" t="s">
        <v>391</v>
      </c>
      <c r="J974" s="133">
        <v>42947</v>
      </c>
      <c r="K974" s="132">
        <v>0</v>
      </c>
      <c r="L974" s="132" t="s">
        <v>48</v>
      </c>
      <c r="M974" s="134">
        <v>1</v>
      </c>
      <c r="N974" s="134">
        <v>1</v>
      </c>
      <c r="O974" s="320">
        <v>1</v>
      </c>
      <c r="P974" s="326">
        <v>0</v>
      </c>
      <c r="Q974" s="326">
        <v>1000</v>
      </c>
      <c r="R974" s="315">
        <v>0</v>
      </c>
      <c r="S974" s="315">
        <v>2</v>
      </c>
      <c r="T974" s="315"/>
      <c r="U974" s="315">
        <v>0</v>
      </c>
      <c r="V974" s="315">
        <v>0</v>
      </c>
      <c r="W974" s="315">
        <v>0</v>
      </c>
      <c r="X974" s="315">
        <v>0</v>
      </c>
      <c r="Y974" s="315">
        <v>0</v>
      </c>
      <c r="Z974" s="315"/>
      <c r="AA974" s="336">
        <v>4</v>
      </c>
      <c r="AB974" s="336">
        <v>2</v>
      </c>
      <c r="AC974" s="337">
        <v>2</v>
      </c>
      <c r="AD974" s="337"/>
      <c r="AE974" s="336">
        <v>4</v>
      </c>
      <c r="AF974" s="336" t="s">
        <v>283</v>
      </c>
      <c r="AG974" s="339" t="s">
        <v>283</v>
      </c>
      <c r="AH974" s="339">
        <v>0</v>
      </c>
      <c r="AI974" s="336">
        <v>0</v>
      </c>
      <c r="AJ974" s="336"/>
      <c r="AK974" s="848">
        <v>0.5</v>
      </c>
      <c r="AL974" s="836" t="s">
        <v>376</v>
      </c>
      <c r="AM974" s="836">
        <v>0</v>
      </c>
      <c r="AN974" s="848">
        <v>2</v>
      </c>
      <c r="AO974" s="850">
        <v>0</v>
      </c>
      <c r="AP974" s="838">
        <v>0</v>
      </c>
      <c r="AQ974" s="839">
        <v>0</v>
      </c>
      <c r="AR974" s="839"/>
      <c r="AS974" s="839"/>
      <c r="AT974" s="839"/>
      <c r="AU974" s="839"/>
      <c r="AV974" s="849"/>
      <c r="AW974" s="134" t="s">
        <v>3208</v>
      </c>
      <c r="AX974" s="136" t="s">
        <v>3208</v>
      </c>
      <c r="AY974" s="137" t="s">
        <v>2576</v>
      </c>
      <c r="AZ974" s="136">
        <v>1</v>
      </c>
      <c r="BA974" s="136">
        <v>1</v>
      </c>
      <c r="BB974" s="136">
        <v>1</v>
      </c>
      <c r="BC974" s="214">
        <v>190</v>
      </c>
      <c r="BD974" s="136">
        <v>0</v>
      </c>
      <c r="BE974" s="214">
        <v>0</v>
      </c>
      <c r="BF974" s="136">
        <v>1</v>
      </c>
      <c r="BG974" s="214">
        <v>190</v>
      </c>
      <c r="BH974" s="214">
        <v>0.38</v>
      </c>
      <c r="BI974" s="134">
        <v>0</v>
      </c>
      <c r="BJ974" s="214">
        <v>0</v>
      </c>
      <c r="BK974" s="137">
        <v>0.62</v>
      </c>
      <c r="BL974" s="137">
        <v>1</v>
      </c>
      <c r="BM974" s="137">
        <v>6</v>
      </c>
      <c r="BN974" s="134">
        <v>0.42105263157894735</v>
      </c>
      <c r="BO974" s="351">
        <v>80</v>
      </c>
      <c r="BP974" s="134">
        <v>0.42105263157894735</v>
      </c>
      <c r="BQ974" s="214">
        <v>4</v>
      </c>
      <c r="BR974" s="137">
        <v>10</v>
      </c>
      <c r="BS974" s="138">
        <v>0.33333333333333331</v>
      </c>
      <c r="BT974" s="351">
        <v>40</v>
      </c>
      <c r="BU974" s="214">
        <v>0</v>
      </c>
      <c r="BV974" s="214">
        <v>0</v>
      </c>
      <c r="BW974" s="214">
        <v>0</v>
      </c>
      <c r="BX974" s="214">
        <v>0</v>
      </c>
      <c r="BY974" s="214">
        <v>0</v>
      </c>
      <c r="BZ974" s="134">
        <v>0</v>
      </c>
      <c r="CA974" s="138">
        <v>1</v>
      </c>
      <c r="CB974" s="136">
        <v>0</v>
      </c>
      <c r="CC974" s="136">
        <v>0</v>
      </c>
      <c r="CD974" s="136">
        <v>0</v>
      </c>
      <c r="CE974" s="137">
        <v>0</v>
      </c>
      <c r="CF974" s="137">
        <v>0</v>
      </c>
      <c r="CG974" s="137">
        <v>0</v>
      </c>
      <c r="CH974" s="214">
        <v>23</v>
      </c>
      <c r="CI974" s="139" t="s">
        <v>48</v>
      </c>
      <c r="CJ974" s="139" t="s">
        <v>389</v>
      </c>
      <c r="CK974" s="139" t="s">
        <v>50</v>
      </c>
      <c r="CL974" s="139" t="s">
        <v>50</v>
      </c>
      <c r="CM974" s="139" t="s">
        <v>50</v>
      </c>
      <c r="CN974" s="139" t="s">
        <v>51</v>
      </c>
      <c r="CO974" s="139">
        <v>25.333683333333301</v>
      </c>
      <c r="CP974" s="139">
        <v>97.428251153846105</v>
      </c>
      <c r="CQ974" s="139" t="s">
        <v>1997</v>
      </c>
      <c r="CR974" s="449" t="s">
        <v>40</v>
      </c>
      <c r="CS974" s="449"/>
      <c r="CT974" s="24"/>
      <c r="CU974" s="24"/>
      <c r="CV974" s="24"/>
    </row>
    <row r="975" spans="1:100" ht="15.75" customHeight="1" x14ac:dyDescent="0.25">
      <c r="A975" s="643" t="s">
        <v>1388</v>
      </c>
      <c r="B975" s="132" t="s">
        <v>389</v>
      </c>
      <c r="C975" s="132" t="s">
        <v>44</v>
      </c>
      <c r="D975" s="132" t="s">
        <v>288</v>
      </c>
      <c r="E975" s="132" t="s">
        <v>425</v>
      </c>
      <c r="F975" s="132">
        <v>69</v>
      </c>
      <c r="G975" s="214">
        <v>291</v>
      </c>
      <c r="H975" s="132"/>
      <c r="I975" s="132" t="s">
        <v>391</v>
      </c>
      <c r="J975" s="133">
        <v>42947</v>
      </c>
      <c r="K975" s="132">
        <v>0</v>
      </c>
      <c r="L975" s="132" t="s">
        <v>48</v>
      </c>
      <c r="M975" s="134">
        <v>0.43</v>
      </c>
      <c r="N975" s="134">
        <v>0</v>
      </c>
      <c r="O975" s="320">
        <v>2</v>
      </c>
      <c r="P975" s="326">
        <v>0</v>
      </c>
      <c r="Q975" s="326">
        <v>3000</v>
      </c>
      <c r="R975" s="315">
        <v>0</v>
      </c>
      <c r="S975" s="315">
        <v>4</v>
      </c>
      <c r="T975" s="315"/>
      <c r="U975" s="315">
        <v>0</v>
      </c>
      <c r="V975" s="315">
        <v>0</v>
      </c>
      <c r="W975" s="315">
        <v>0</v>
      </c>
      <c r="X975" s="315">
        <v>0</v>
      </c>
      <c r="Y975" s="315">
        <v>0</v>
      </c>
      <c r="Z975" s="315"/>
      <c r="AA975" s="336">
        <v>8</v>
      </c>
      <c r="AB975" s="336">
        <v>1</v>
      </c>
      <c r="AC975" s="337">
        <v>0</v>
      </c>
      <c r="AD975" s="337"/>
      <c r="AE975" s="336">
        <v>8</v>
      </c>
      <c r="AF975" s="336" t="s">
        <v>283</v>
      </c>
      <c r="AG975" s="339" t="s">
        <v>1358</v>
      </c>
      <c r="AH975" s="339">
        <v>0</v>
      </c>
      <c r="AI975" s="336">
        <v>0</v>
      </c>
      <c r="AJ975" s="336"/>
      <c r="AK975" s="848">
        <v>0.5</v>
      </c>
      <c r="AL975" s="836" t="s">
        <v>376</v>
      </c>
      <c r="AM975" s="836">
        <v>0</v>
      </c>
      <c r="AN975" s="848">
        <v>4</v>
      </c>
      <c r="AO975" s="850">
        <v>0</v>
      </c>
      <c r="AP975" s="838">
        <v>0</v>
      </c>
      <c r="AQ975" s="839">
        <v>0</v>
      </c>
      <c r="AR975" s="839"/>
      <c r="AS975" s="839"/>
      <c r="AT975" s="839"/>
      <c r="AU975" s="839"/>
      <c r="AV975" s="849"/>
      <c r="AW975" s="134" t="s">
        <v>3208</v>
      </c>
      <c r="AX975" s="136" t="s">
        <v>3208</v>
      </c>
      <c r="AY975" s="137" t="s">
        <v>2576</v>
      </c>
      <c r="AZ975" s="136">
        <v>1</v>
      </c>
      <c r="BA975" s="136">
        <v>1</v>
      </c>
      <c r="BB975" s="136">
        <v>1</v>
      </c>
      <c r="BC975" s="214">
        <v>291</v>
      </c>
      <c r="BD975" s="136">
        <v>0</v>
      </c>
      <c r="BE975" s="214">
        <v>0</v>
      </c>
      <c r="BF975" s="136">
        <v>1</v>
      </c>
      <c r="BG975" s="214">
        <v>291</v>
      </c>
      <c r="BH975" s="214">
        <v>0.58199999999999996</v>
      </c>
      <c r="BI975" s="134">
        <v>0</v>
      </c>
      <c r="BJ975" s="214">
        <v>0</v>
      </c>
      <c r="BK975" s="137">
        <v>0.41800000000000004</v>
      </c>
      <c r="BL975" s="137">
        <v>1</v>
      </c>
      <c r="BM975" s="137">
        <v>9</v>
      </c>
      <c r="BN975" s="134">
        <v>0.54982817869415812</v>
      </c>
      <c r="BO975" s="351">
        <v>160</v>
      </c>
      <c r="BP975" s="134">
        <v>0.41237113402061853</v>
      </c>
      <c r="BQ975" s="214">
        <v>6</v>
      </c>
      <c r="BR975" s="137">
        <v>15</v>
      </c>
      <c r="BS975" s="138">
        <v>0.1111111111111111</v>
      </c>
      <c r="BT975" s="351">
        <v>0</v>
      </c>
      <c r="BU975" s="214">
        <v>0</v>
      </c>
      <c r="BV975" s="214">
        <v>0</v>
      </c>
      <c r="BW975" s="214">
        <v>0</v>
      </c>
      <c r="BX975" s="214">
        <v>0</v>
      </c>
      <c r="BY975" s="214">
        <v>0</v>
      </c>
      <c r="BZ975" s="134">
        <v>0</v>
      </c>
      <c r="CA975" s="138">
        <v>1</v>
      </c>
      <c r="CB975" s="136">
        <v>0</v>
      </c>
      <c r="CC975" s="136">
        <v>0</v>
      </c>
      <c r="CD975" s="136">
        <v>0</v>
      </c>
      <c r="CE975" s="137">
        <v>0</v>
      </c>
      <c r="CF975" s="137">
        <v>0</v>
      </c>
      <c r="CG975" s="137">
        <v>0</v>
      </c>
      <c r="CH975" s="214">
        <v>34.5</v>
      </c>
      <c r="CI975" s="139" t="s">
        <v>48</v>
      </c>
      <c r="CJ975" s="139" t="s">
        <v>389</v>
      </c>
      <c r="CK975" s="139" t="s">
        <v>50</v>
      </c>
      <c r="CL975" s="139" t="s">
        <v>50</v>
      </c>
      <c r="CM975" s="139" t="s">
        <v>50</v>
      </c>
      <c r="CN975" s="139" t="s">
        <v>51</v>
      </c>
      <c r="CO975" s="139">
        <v>25.351250396825399</v>
      </c>
      <c r="CP975" s="139">
        <v>97.444283730158702</v>
      </c>
      <c r="CQ975" s="139" t="s">
        <v>2001</v>
      </c>
      <c r="CR975" s="449" t="s">
        <v>40</v>
      </c>
      <c r="CS975" s="449"/>
      <c r="CT975" s="24"/>
      <c r="CU975" s="24"/>
      <c r="CV975" s="24"/>
    </row>
    <row r="976" spans="1:100" ht="15.75" customHeight="1" x14ac:dyDescent="0.25">
      <c r="A976" s="643" t="s">
        <v>1388</v>
      </c>
      <c r="B976" s="132" t="s">
        <v>338</v>
      </c>
      <c r="C976" s="132" t="s">
        <v>44</v>
      </c>
      <c r="D976" s="132" t="s">
        <v>288</v>
      </c>
      <c r="E976" s="132" t="s">
        <v>367</v>
      </c>
      <c r="F976" s="132">
        <v>560</v>
      </c>
      <c r="G976" s="214">
        <v>2902</v>
      </c>
      <c r="H976" s="132"/>
      <c r="I976" s="132" t="s">
        <v>364</v>
      </c>
      <c r="J976" s="133">
        <v>43281</v>
      </c>
      <c r="K976" s="132">
        <v>0</v>
      </c>
      <c r="L976" s="132" t="s">
        <v>48</v>
      </c>
      <c r="M976" s="134">
        <v>0.31</v>
      </c>
      <c r="N976" s="134">
        <v>0.31</v>
      </c>
      <c r="O976" s="320">
        <v>0</v>
      </c>
      <c r="P976" s="326">
        <v>0</v>
      </c>
      <c r="Q976" s="326">
        <v>58040</v>
      </c>
      <c r="R976" s="315">
        <v>0</v>
      </c>
      <c r="S976" s="315">
        <v>0</v>
      </c>
      <c r="T976" s="315"/>
      <c r="U976" s="315"/>
      <c r="V976" s="315"/>
      <c r="W976" s="315"/>
      <c r="X976" s="315"/>
      <c r="Y976" s="315"/>
      <c r="Z976" s="315">
        <v>0</v>
      </c>
      <c r="AA976" s="336">
        <v>78</v>
      </c>
      <c r="AB976" s="336">
        <v>8</v>
      </c>
      <c r="AC976" s="337"/>
      <c r="AD976" s="337"/>
      <c r="AE976" s="336">
        <v>1</v>
      </c>
      <c r="AF976" s="336" t="s">
        <v>283</v>
      </c>
      <c r="AG976" s="339" t="s">
        <v>283</v>
      </c>
      <c r="AH976" s="339"/>
      <c r="AI976" s="336"/>
      <c r="AJ976" s="336">
        <v>0</v>
      </c>
      <c r="AK976" s="848">
        <v>0.99</v>
      </c>
      <c r="AL976" s="836" t="s">
        <v>376</v>
      </c>
      <c r="AM976" s="836">
        <v>0</v>
      </c>
      <c r="AN976" s="848">
        <v>5</v>
      </c>
      <c r="AO976" s="850">
        <v>5</v>
      </c>
      <c r="AP976" s="838"/>
      <c r="AQ976" s="839"/>
      <c r="AR976" s="839"/>
      <c r="AS976" s="839"/>
      <c r="AT976" s="839"/>
      <c r="AU976" s="839"/>
      <c r="AV976" s="849">
        <v>0</v>
      </c>
      <c r="AW976" s="134" t="s">
        <v>3208</v>
      </c>
      <c r="AX976" s="136" t="s">
        <v>3208</v>
      </c>
      <c r="AY976" s="137" t="s">
        <v>2576</v>
      </c>
      <c r="AZ976" s="136">
        <v>1</v>
      </c>
      <c r="BA976" s="136">
        <v>1</v>
      </c>
      <c r="BB976" s="136">
        <v>1</v>
      </c>
      <c r="BC976" s="214">
        <v>2902</v>
      </c>
      <c r="BD976" s="136">
        <v>0</v>
      </c>
      <c r="BE976" s="135">
        <v>0</v>
      </c>
      <c r="BF976" s="136">
        <v>1</v>
      </c>
      <c r="BG976" s="214">
        <v>2902</v>
      </c>
      <c r="BH976" s="214">
        <v>5.8040000000000003</v>
      </c>
      <c r="BI976" s="134">
        <v>0</v>
      </c>
      <c r="BJ976" s="135">
        <v>0</v>
      </c>
      <c r="BK976" s="137">
        <v>0.19599999999999973</v>
      </c>
      <c r="BL976" s="137">
        <v>6</v>
      </c>
      <c r="BM976" s="137">
        <v>86</v>
      </c>
      <c r="BN976" s="134">
        <v>0.53756030323914539</v>
      </c>
      <c r="BO976" s="351">
        <v>1560</v>
      </c>
      <c r="BP976" s="134">
        <v>0.4066161268090972</v>
      </c>
      <c r="BQ976" s="135">
        <v>59</v>
      </c>
      <c r="BR976" s="137">
        <v>145</v>
      </c>
      <c r="BS976" s="138">
        <v>9.3023255813953487E-2</v>
      </c>
      <c r="BT976" s="351">
        <v>0</v>
      </c>
      <c r="BU976" s="214">
        <v>2500</v>
      </c>
      <c r="BV976" s="214">
        <v>0</v>
      </c>
      <c r="BW976" s="214">
        <v>1</v>
      </c>
      <c r="BX976" s="214">
        <v>0</v>
      </c>
      <c r="BY976" s="214">
        <v>0</v>
      </c>
      <c r="BZ976" s="134">
        <v>0</v>
      </c>
      <c r="CA976" s="138">
        <v>1</v>
      </c>
      <c r="CB976" s="136">
        <v>0.86147484493452786</v>
      </c>
      <c r="CC976" s="136">
        <v>0</v>
      </c>
      <c r="CD976" s="136">
        <v>0</v>
      </c>
      <c r="CE976" s="137">
        <v>0</v>
      </c>
      <c r="CF976" s="137">
        <v>0</v>
      </c>
      <c r="CG976" s="137">
        <v>0</v>
      </c>
      <c r="CH976" s="135">
        <v>554.4</v>
      </c>
      <c r="CI976" s="139" t="s">
        <v>48</v>
      </c>
      <c r="CJ976" s="139" t="s">
        <v>1539</v>
      </c>
      <c r="CK976" s="139" t="s">
        <v>50</v>
      </c>
      <c r="CL976" s="139" t="s">
        <v>50</v>
      </c>
      <c r="CM976" s="139" t="s">
        <v>50</v>
      </c>
      <c r="CN976" s="139" t="s">
        <v>949</v>
      </c>
      <c r="CO976" s="139">
        <v>24.755253</v>
      </c>
      <c r="CP976" s="139">
        <v>97.546893999999995</v>
      </c>
      <c r="CQ976" s="139" t="s">
        <v>1975</v>
      </c>
      <c r="CR976" s="449" t="s">
        <v>40</v>
      </c>
      <c r="CS976" s="449"/>
      <c r="CT976" s="24"/>
      <c r="CU976" s="24"/>
      <c r="CV976" s="24"/>
    </row>
    <row r="977" spans="1:100" ht="15.75" customHeight="1" x14ac:dyDescent="0.25">
      <c r="A977" s="643" t="s">
        <v>1388</v>
      </c>
      <c r="B977" s="132" t="s">
        <v>338</v>
      </c>
      <c r="C977" s="132" t="s">
        <v>44</v>
      </c>
      <c r="D977" s="132" t="s">
        <v>288</v>
      </c>
      <c r="E977" s="132" t="s">
        <v>369</v>
      </c>
      <c r="F977" s="132">
        <v>134</v>
      </c>
      <c r="G977" s="214">
        <v>709</v>
      </c>
      <c r="H977" s="132"/>
      <c r="I977" s="132" t="s">
        <v>364</v>
      </c>
      <c r="J977" s="133">
        <v>43281</v>
      </c>
      <c r="K977" s="132">
        <v>0</v>
      </c>
      <c r="L977" s="132" t="s">
        <v>48</v>
      </c>
      <c r="M977" s="134">
        <v>0.3</v>
      </c>
      <c r="N977" s="134">
        <v>0.3</v>
      </c>
      <c r="O977" s="320">
        <v>0</v>
      </c>
      <c r="P977" s="326">
        <v>0</v>
      </c>
      <c r="Q977" s="326">
        <v>14180</v>
      </c>
      <c r="R977" s="315">
        <v>0</v>
      </c>
      <c r="S977" s="315">
        <v>0</v>
      </c>
      <c r="T977" s="315"/>
      <c r="U977" s="315"/>
      <c r="V977" s="315"/>
      <c r="W977" s="315"/>
      <c r="X977" s="315"/>
      <c r="Y977" s="315"/>
      <c r="Z977" s="315">
        <v>0</v>
      </c>
      <c r="AA977" s="336">
        <v>44</v>
      </c>
      <c r="AB977" s="336">
        <v>0</v>
      </c>
      <c r="AC977" s="337"/>
      <c r="AD977" s="337"/>
      <c r="AE977" s="336">
        <v>1</v>
      </c>
      <c r="AF977" s="336" t="s">
        <v>283</v>
      </c>
      <c r="AG977" s="339" t="s">
        <v>1358</v>
      </c>
      <c r="AH977" s="339"/>
      <c r="AI977" s="336"/>
      <c r="AJ977" s="336">
        <v>0</v>
      </c>
      <c r="AK977" s="848">
        <v>1</v>
      </c>
      <c r="AL977" s="836" t="s">
        <v>376</v>
      </c>
      <c r="AM977" s="836">
        <v>0</v>
      </c>
      <c r="AN977" s="848">
        <v>7</v>
      </c>
      <c r="AO977" s="850">
        <v>0</v>
      </c>
      <c r="AP977" s="838"/>
      <c r="AQ977" s="839"/>
      <c r="AR977" s="839"/>
      <c r="AS977" s="839"/>
      <c r="AT977" s="839"/>
      <c r="AU977" s="839"/>
      <c r="AV977" s="849">
        <v>0</v>
      </c>
      <c r="AW977" s="134" t="s">
        <v>3208</v>
      </c>
      <c r="AX977" s="136" t="s">
        <v>3208</v>
      </c>
      <c r="AY977" s="137" t="s">
        <v>2576</v>
      </c>
      <c r="AZ977" s="136">
        <v>1</v>
      </c>
      <c r="BA977" s="136">
        <v>1</v>
      </c>
      <c r="BB977" s="136">
        <v>1</v>
      </c>
      <c r="BC977" s="214">
        <v>709</v>
      </c>
      <c r="BD977" s="136">
        <v>0</v>
      </c>
      <c r="BE977" s="214">
        <v>0</v>
      </c>
      <c r="BF977" s="136">
        <v>1</v>
      </c>
      <c r="BG977" s="214">
        <v>709</v>
      </c>
      <c r="BH977" s="214">
        <v>1.4179999999999999</v>
      </c>
      <c r="BI977" s="134">
        <v>0</v>
      </c>
      <c r="BJ977" s="214">
        <v>0</v>
      </c>
      <c r="BK977" s="137">
        <v>0</v>
      </c>
      <c r="BL977" s="137">
        <v>1</v>
      </c>
      <c r="BM977" s="137">
        <v>44</v>
      </c>
      <c r="BN977" s="134">
        <v>1</v>
      </c>
      <c r="BO977" s="351">
        <v>709</v>
      </c>
      <c r="BP977" s="134">
        <v>0</v>
      </c>
      <c r="BQ977" s="214">
        <v>0</v>
      </c>
      <c r="BR977" s="137">
        <v>35</v>
      </c>
      <c r="BS977" s="138">
        <v>0</v>
      </c>
      <c r="BT977" s="351">
        <v>0</v>
      </c>
      <c r="BU977" s="214">
        <v>0</v>
      </c>
      <c r="BV977" s="214">
        <v>0</v>
      </c>
      <c r="BW977" s="214">
        <v>0</v>
      </c>
      <c r="BX977" s="214">
        <v>0</v>
      </c>
      <c r="BY977" s="214">
        <v>0</v>
      </c>
      <c r="BZ977" s="134">
        <v>0</v>
      </c>
      <c r="CA977" s="138">
        <v>1</v>
      </c>
      <c r="CB977" s="136">
        <v>0</v>
      </c>
      <c r="CC977" s="136">
        <v>0</v>
      </c>
      <c r="CD977" s="136">
        <v>0</v>
      </c>
      <c r="CE977" s="137">
        <v>0</v>
      </c>
      <c r="CF977" s="137">
        <v>0</v>
      </c>
      <c r="CG977" s="137">
        <v>0</v>
      </c>
      <c r="CH977" s="214">
        <v>134</v>
      </c>
      <c r="CI977" s="139">
        <v>0</v>
      </c>
      <c r="CJ977" s="139">
        <v>0</v>
      </c>
      <c r="CK977" s="139" t="s">
        <v>1921</v>
      </c>
      <c r="CL977" s="139" t="s">
        <v>50</v>
      </c>
      <c r="CM977" s="139" t="s">
        <v>1323</v>
      </c>
      <c r="CN977" s="139" t="s">
        <v>949</v>
      </c>
      <c r="CO977" s="139">
        <v>0</v>
      </c>
      <c r="CP977" s="139">
        <v>0</v>
      </c>
      <c r="CQ977" s="139">
        <v>0</v>
      </c>
      <c r="CR977" s="449" t="s">
        <v>40</v>
      </c>
      <c r="CS977" s="449"/>
      <c r="CT977" s="24"/>
      <c r="CU977" s="24"/>
      <c r="CV977" s="24"/>
    </row>
    <row r="978" spans="1:100" ht="15.75" customHeight="1" x14ac:dyDescent="0.25">
      <c r="A978" s="643" t="s">
        <v>1388</v>
      </c>
      <c r="B978" s="132" t="s">
        <v>338</v>
      </c>
      <c r="C978" s="132" t="s">
        <v>44</v>
      </c>
      <c r="D978" s="132" t="s">
        <v>288</v>
      </c>
      <c r="E978" s="132" t="s">
        <v>368</v>
      </c>
      <c r="F978" s="132">
        <v>546</v>
      </c>
      <c r="G978" s="214">
        <v>2550</v>
      </c>
      <c r="H978" s="132"/>
      <c r="I978" s="132" t="s">
        <v>364</v>
      </c>
      <c r="J978" s="133">
        <v>43281</v>
      </c>
      <c r="K978" s="132">
        <v>0</v>
      </c>
      <c r="L978" s="132" t="s">
        <v>282</v>
      </c>
      <c r="M978" s="134">
        <v>0</v>
      </c>
      <c r="N978" s="134">
        <v>0</v>
      </c>
      <c r="O978" s="320">
        <v>3</v>
      </c>
      <c r="P978" s="326">
        <v>0</v>
      </c>
      <c r="Q978" s="326">
        <v>0</v>
      </c>
      <c r="R978" s="315">
        <v>0</v>
      </c>
      <c r="S978" s="315">
        <v>0</v>
      </c>
      <c r="T978" s="315"/>
      <c r="U978" s="315"/>
      <c r="V978" s="315"/>
      <c r="W978" s="315"/>
      <c r="X978" s="315"/>
      <c r="Y978" s="315"/>
      <c r="Z978" s="315">
        <v>0</v>
      </c>
      <c r="AA978" s="336">
        <v>357</v>
      </c>
      <c r="AB978" s="336">
        <v>0</v>
      </c>
      <c r="AC978" s="337"/>
      <c r="AD978" s="337"/>
      <c r="AE978" s="336">
        <v>0</v>
      </c>
      <c r="AF978" s="336" t="s">
        <v>332</v>
      </c>
      <c r="AG978" s="339" t="s">
        <v>332</v>
      </c>
      <c r="AH978" s="339"/>
      <c r="AI978" s="336"/>
      <c r="AJ978" s="336">
        <v>0</v>
      </c>
      <c r="AK978" s="848">
        <v>1</v>
      </c>
      <c r="AL978" s="836"/>
      <c r="AM978" s="836">
        <v>0</v>
      </c>
      <c r="AN978" s="848">
        <v>0</v>
      </c>
      <c r="AO978" s="850">
        <v>0</v>
      </c>
      <c r="AP978" s="838"/>
      <c r="AQ978" s="839"/>
      <c r="AR978" s="839"/>
      <c r="AS978" s="839"/>
      <c r="AT978" s="839"/>
      <c r="AU978" s="839"/>
      <c r="AV978" s="849">
        <v>0</v>
      </c>
      <c r="AW978" s="134" t="s">
        <v>3208</v>
      </c>
      <c r="AX978" s="136" t="s">
        <v>3208</v>
      </c>
      <c r="AY978" s="137" t="s">
        <v>2576</v>
      </c>
      <c r="AZ978" s="136">
        <v>1</v>
      </c>
      <c r="BA978" s="136">
        <v>0.29411764705882354</v>
      </c>
      <c r="BB978" s="136">
        <v>1</v>
      </c>
      <c r="BC978" s="214">
        <v>2550</v>
      </c>
      <c r="BD978" s="136">
        <v>0</v>
      </c>
      <c r="BE978" s="214">
        <v>0</v>
      </c>
      <c r="BF978" s="136">
        <v>1</v>
      </c>
      <c r="BG978" s="214">
        <v>2550</v>
      </c>
      <c r="BH978" s="214">
        <v>5.0999999999999996</v>
      </c>
      <c r="BI978" s="134">
        <v>0</v>
      </c>
      <c r="BJ978" s="214">
        <v>0</v>
      </c>
      <c r="BK978" s="137">
        <v>0</v>
      </c>
      <c r="BL978" s="137">
        <v>5</v>
      </c>
      <c r="BM978" s="137">
        <v>357</v>
      </c>
      <c r="BN978" s="134">
        <v>1</v>
      </c>
      <c r="BO978" s="351">
        <v>2550</v>
      </c>
      <c r="BP978" s="134">
        <v>0</v>
      </c>
      <c r="BQ978" s="214">
        <v>0</v>
      </c>
      <c r="BR978" s="137">
        <v>128</v>
      </c>
      <c r="BS978" s="138">
        <v>0</v>
      </c>
      <c r="BT978" s="351">
        <v>0</v>
      </c>
      <c r="BU978" s="214">
        <v>0</v>
      </c>
      <c r="BV978" s="214">
        <v>0</v>
      </c>
      <c r="BW978" s="214">
        <v>0</v>
      </c>
      <c r="BX978" s="214">
        <v>0</v>
      </c>
      <c r="BY978" s="214">
        <v>0</v>
      </c>
      <c r="BZ978" s="134">
        <v>0</v>
      </c>
      <c r="CA978" s="138">
        <v>1</v>
      </c>
      <c r="CB978" s="136">
        <v>0</v>
      </c>
      <c r="CC978" s="136">
        <v>0</v>
      </c>
      <c r="CD978" s="136">
        <v>0</v>
      </c>
      <c r="CE978" s="137">
        <v>0</v>
      </c>
      <c r="CF978" s="137">
        <v>0</v>
      </c>
      <c r="CG978" s="137">
        <v>0</v>
      </c>
      <c r="CH978" s="214">
        <v>546</v>
      </c>
      <c r="CI978" s="139">
        <v>0</v>
      </c>
      <c r="CJ978" s="139">
        <v>0</v>
      </c>
      <c r="CK978" s="139" t="s">
        <v>1921</v>
      </c>
      <c r="CL978" s="139" t="s">
        <v>50</v>
      </c>
      <c r="CM978" s="139" t="s">
        <v>942</v>
      </c>
      <c r="CN978" s="139" t="s">
        <v>949</v>
      </c>
      <c r="CO978" s="139">
        <v>0</v>
      </c>
      <c r="CP978" s="139">
        <v>0</v>
      </c>
      <c r="CQ978" s="139">
        <v>0</v>
      </c>
      <c r="CR978" s="449" t="s">
        <v>40</v>
      </c>
      <c r="CS978" s="449"/>
      <c r="CT978" s="24"/>
      <c r="CU978" s="24"/>
      <c r="CV978" s="24"/>
    </row>
    <row r="979" spans="1:100" ht="15.75" customHeight="1" x14ac:dyDescent="0.25">
      <c r="A979" s="643" t="s">
        <v>1388</v>
      </c>
      <c r="B979" s="132" t="s">
        <v>2444</v>
      </c>
      <c r="C979" s="132" t="s">
        <v>454</v>
      </c>
      <c r="D979" s="132" t="s">
        <v>486</v>
      </c>
      <c r="E979" s="132" t="s">
        <v>545</v>
      </c>
      <c r="F979" s="132">
        <v>68</v>
      </c>
      <c r="G979" s="214">
        <v>342</v>
      </c>
      <c r="H979" s="132"/>
      <c r="I979" s="132" t="s">
        <v>488</v>
      </c>
      <c r="J979" s="133">
        <v>43586</v>
      </c>
      <c r="K979" s="132"/>
      <c r="L979" s="132" t="s">
        <v>48</v>
      </c>
      <c r="M979" s="134">
        <v>0</v>
      </c>
      <c r="N979" s="134">
        <v>0</v>
      </c>
      <c r="O979" s="320">
        <v>0</v>
      </c>
      <c r="P979" s="326">
        <v>0</v>
      </c>
      <c r="Q979" s="326"/>
      <c r="R979" s="315"/>
      <c r="S979" s="315">
        <v>0</v>
      </c>
      <c r="T979" s="315"/>
      <c r="U979" s="315"/>
      <c r="V979" s="315"/>
      <c r="W979" s="315"/>
      <c r="X979" s="315"/>
      <c r="Y979" s="315"/>
      <c r="Z979" s="315"/>
      <c r="AA979" s="336">
        <v>0</v>
      </c>
      <c r="AB979" s="336"/>
      <c r="AC979" s="337"/>
      <c r="AD979" s="337"/>
      <c r="AE979" s="336">
        <v>0</v>
      </c>
      <c r="AF979" s="336" t="s">
        <v>286</v>
      </c>
      <c r="AG979" s="339" t="s">
        <v>286</v>
      </c>
      <c r="AH979" s="339"/>
      <c r="AI979" s="336"/>
      <c r="AJ979" s="336"/>
      <c r="AK979" s="848">
        <v>0</v>
      </c>
      <c r="AL979" s="836"/>
      <c r="AM979" s="836">
        <v>0</v>
      </c>
      <c r="AN979" s="848"/>
      <c r="AO979" s="850">
        <v>0</v>
      </c>
      <c r="AP979" s="838"/>
      <c r="AQ979" s="839"/>
      <c r="AR979" s="839"/>
      <c r="AS979" s="839"/>
      <c r="AT979" s="839"/>
      <c r="AU979" s="839"/>
      <c r="AV979" s="849"/>
      <c r="AW979" s="134" t="s">
        <v>3208</v>
      </c>
      <c r="AX979" s="136" t="s">
        <v>3208</v>
      </c>
      <c r="AY979" s="137" t="s">
        <v>2576</v>
      </c>
      <c r="AZ979" s="136">
        <v>0</v>
      </c>
      <c r="BA979" s="136">
        <v>0</v>
      </c>
      <c r="BB979" s="136">
        <v>0</v>
      </c>
      <c r="BC979" s="214">
        <v>0</v>
      </c>
      <c r="BD979" s="136">
        <v>0</v>
      </c>
      <c r="BE979" s="214">
        <v>0</v>
      </c>
      <c r="BF979" s="136">
        <v>0</v>
      </c>
      <c r="BG979" s="214">
        <v>0</v>
      </c>
      <c r="BH979" s="214">
        <v>0</v>
      </c>
      <c r="BI979" s="134">
        <v>1</v>
      </c>
      <c r="BJ979" s="214">
        <v>342</v>
      </c>
      <c r="BK979" s="137">
        <v>1</v>
      </c>
      <c r="BL979" s="137">
        <v>1</v>
      </c>
      <c r="BM979" s="137">
        <v>0</v>
      </c>
      <c r="BN979" s="134">
        <v>0</v>
      </c>
      <c r="BO979" s="351">
        <v>0</v>
      </c>
      <c r="BP979" s="134">
        <v>1</v>
      </c>
      <c r="BQ979" s="214">
        <v>57</v>
      </c>
      <c r="BR979" s="137">
        <v>57</v>
      </c>
      <c r="BS979" s="138">
        <v>0</v>
      </c>
      <c r="BT979" s="351" t="s">
        <v>103</v>
      </c>
      <c r="BU979" s="214">
        <v>0</v>
      </c>
      <c r="BV979" s="214">
        <v>0</v>
      </c>
      <c r="BW979" s="214">
        <v>0</v>
      </c>
      <c r="BX979" s="214">
        <v>0</v>
      </c>
      <c r="BY979" s="214">
        <v>0</v>
      </c>
      <c r="BZ979" s="134">
        <v>0</v>
      </c>
      <c r="CA979" s="138">
        <v>1</v>
      </c>
      <c r="CB979" s="136">
        <v>0</v>
      </c>
      <c r="CC979" s="136">
        <v>0</v>
      </c>
      <c r="CD979" s="136">
        <v>0</v>
      </c>
      <c r="CE979" s="137">
        <v>0</v>
      </c>
      <c r="CF979" s="137">
        <v>0</v>
      </c>
      <c r="CG979" s="137">
        <v>0</v>
      </c>
      <c r="CH979" s="214">
        <v>0</v>
      </c>
      <c r="CI979" s="139">
        <v>0</v>
      </c>
      <c r="CJ979" s="139">
        <v>0</v>
      </c>
      <c r="CK979" s="139" t="s">
        <v>975</v>
      </c>
      <c r="CL979" s="139" t="s">
        <v>969</v>
      </c>
      <c r="CM979" s="139" t="s">
        <v>975</v>
      </c>
      <c r="CN979" s="139" t="s">
        <v>978</v>
      </c>
      <c r="CO979" s="139">
        <v>19.726810455322301</v>
      </c>
      <c r="CP979" s="139">
        <v>94.0286865234375</v>
      </c>
      <c r="CQ979" s="139" t="s">
        <v>1584</v>
      </c>
      <c r="CR979" s="449" t="s">
        <v>40</v>
      </c>
      <c r="CS979" s="449"/>
      <c r="CT979" s="24"/>
      <c r="CU979" s="24"/>
      <c r="CV979" s="24"/>
    </row>
    <row r="980" spans="1:100" ht="15.75" customHeight="1" x14ac:dyDescent="0.25">
      <c r="A980" s="643" t="s">
        <v>1388</v>
      </c>
      <c r="B980" s="132" t="s">
        <v>2444</v>
      </c>
      <c r="C980" s="132" t="s">
        <v>454</v>
      </c>
      <c r="D980" s="132" t="s">
        <v>486</v>
      </c>
      <c r="E980" s="132" t="s">
        <v>557</v>
      </c>
      <c r="F980" s="132">
        <v>80</v>
      </c>
      <c r="G980" s="214">
        <v>398</v>
      </c>
      <c r="H980" s="132"/>
      <c r="I980" s="132" t="s">
        <v>488</v>
      </c>
      <c r="J980" s="133">
        <v>43586</v>
      </c>
      <c r="K980" s="132"/>
      <c r="L980" s="132" t="s">
        <v>48</v>
      </c>
      <c r="M980" s="134">
        <v>0</v>
      </c>
      <c r="N980" s="134">
        <v>0</v>
      </c>
      <c r="O980" s="320">
        <v>0</v>
      </c>
      <c r="P980" s="326">
        <v>0</v>
      </c>
      <c r="Q980" s="326"/>
      <c r="R980" s="315"/>
      <c r="S980" s="315">
        <v>0</v>
      </c>
      <c r="T980" s="315"/>
      <c r="U980" s="315"/>
      <c r="V980" s="315"/>
      <c r="W980" s="315"/>
      <c r="X980" s="315"/>
      <c r="Y980" s="315"/>
      <c r="Z980" s="315"/>
      <c r="AA980" s="336">
        <v>0</v>
      </c>
      <c r="AB980" s="336"/>
      <c r="AC980" s="337"/>
      <c r="AD980" s="337"/>
      <c r="AE980" s="336">
        <v>0</v>
      </c>
      <c r="AF980" s="336" t="s">
        <v>286</v>
      </c>
      <c r="AG980" s="339" t="s">
        <v>286</v>
      </c>
      <c r="AH980" s="339"/>
      <c r="AI980" s="336"/>
      <c r="AJ980" s="336"/>
      <c r="AK980" s="848">
        <v>0</v>
      </c>
      <c r="AL980" s="836"/>
      <c r="AM980" s="836">
        <v>0</v>
      </c>
      <c r="AN980" s="848"/>
      <c r="AO980" s="850">
        <v>0</v>
      </c>
      <c r="AP980" s="838"/>
      <c r="AQ980" s="839"/>
      <c r="AR980" s="839"/>
      <c r="AS980" s="839"/>
      <c r="AT980" s="839"/>
      <c r="AU980" s="839"/>
      <c r="AV980" s="849"/>
      <c r="AW980" s="134" t="s">
        <v>3208</v>
      </c>
      <c r="AX980" s="136" t="s">
        <v>3208</v>
      </c>
      <c r="AY980" s="137" t="s">
        <v>2576</v>
      </c>
      <c r="AZ980" s="136">
        <v>0</v>
      </c>
      <c r="BA980" s="136">
        <v>0</v>
      </c>
      <c r="BB980" s="136">
        <v>0</v>
      </c>
      <c r="BC980" s="214">
        <v>0</v>
      </c>
      <c r="BD980" s="136">
        <v>0</v>
      </c>
      <c r="BE980" s="214">
        <v>0</v>
      </c>
      <c r="BF980" s="136">
        <v>0</v>
      </c>
      <c r="BG980" s="214">
        <v>0</v>
      </c>
      <c r="BH980" s="214">
        <v>0</v>
      </c>
      <c r="BI980" s="134">
        <v>1</v>
      </c>
      <c r="BJ980" s="214">
        <v>398</v>
      </c>
      <c r="BK980" s="137">
        <v>1</v>
      </c>
      <c r="BL980" s="137">
        <v>1</v>
      </c>
      <c r="BM980" s="137">
        <v>0</v>
      </c>
      <c r="BN980" s="134">
        <v>0</v>
      </c>
      <c r="BO980" s="351">
        <v>0</v>
      </c>
      <c r="BP980" s="134">
        <v>0.99497487437185939</v>
      </c>
      <c r="BQ980" s="214">
        <v>66</v>
      </c>
      <c r="BR980" s="137">
        <v>66</v>
      </c>
      <c r="BS980" s="138">
        <v>0</v>
      </c>
      <c r="BT980" s="351" t="s">
        <v>103</v>
      </c>
      <c r="BU980" s="214">
        <v>0</v>
      </c>
      <c r="BV980" s="214">
        <v>0</v>
      </c>
      <c r="BW980" s="214">
        <v>0</v>
      </c>
      <c r="BX980" s="214">
        <v>0</v>
      </c>
      <c r="BY980" s="214">
        <v>0</v>
      </c>
      <c r="BZ980" s="134">
        <v>0</v>
      </c>
      <c r="CA980" s="138">
        <v>1</v>
      </c>
      <c r="CB980" s="136">
        <v>0</v>
      </c>
      <c r="CC980" s="136">
        <v>0</v>
      </c>
      <c r="CD980" s="136">
        <v>0</v>
      </c>
      <c r="CE980" s="137">
        <v>0</v>
      </c>
      <c r="CF980" s="137">
        <v>0</v>
      </c>
      <c r="CG980" s="137">
        <v>0</v>
      </c>
      <c r="CH980" s="214">
        <v>0</v>
      </c>
      <c r="CI980" s="139">
        <v>0</v>
      </c>
      <c r="CJ980" s="139">
        <v>0</v>
      </c>
      <c r="CK980" s="139" t="s">
        <v>975</v>
      </c>
      <c r="CL980" s="139" t="s">
        <v>969</v>
      </c>
      <c r="CM980" s="139" t="s">
        <v>975</v>
      </c>
      <c r="CN980" s="139" t="s">
        <v>454</v>
      </c>
      <c r="CO980" s="139">
        <v>19.9947109222412</v>
      </c>
      <c r="CP980" s="139">
        <v>93.836921691894503</v>
      </c>
      <c r="CQ980" s="139" t="s">
        <v>1597</v>
      </c>
      <c r="CR980" s="449" t="s">
        <v>40</v>
      </c>
      <c r="CS980" s="449"/>
      <c r="CT980" s="24"/>
      <c r="CU980" s="24"/>
      <c r="CV980" s="24"/>
    </row>
    <row r="981" spans="1:100" ht="15.75" customHeight="1" x14ac:dyDescent="0.25">
      <c r="A981" s="643" t="s">
        <v>1388</v>
      </c>
      <c r="B981" s="132" t="s">
        <v>2444</v>
      </c>
      <c r="C981" s="132" t="s">
        <v>454</v>
      </c>
      <c r="D981" s="132" t="s">
        <v>486</v>
      </c>
      <c r="E981" s="132" t="s">
        <v>552</v>
      </c>
      <c r="F981" s="132">
        <v>109</v>
      </c>
      <c r="G981" s="214">
        <v>546</v>
      </c>
      <c r="H981" s="132"/>
      <c r="I981" s="132" t="s">
        <v>488</v>
      </c>
      <c r="J981" s="133">
        <v>43586</v>
      </c>
      <c r="K981" s="132"/>
      <c r="L981" s="132" t="s">
        <v>48</v>
      </c>
      <c r="M981" s="134">
        <v>0</v>
      </c>
      <c r="N981" s="134">
        <v>0</v>
      </c>
      <c r="O981" s="320">
        <v>0</v>
      </c>
      <c r="P981" s="326">
        <v>0</v>
      </c>
      <c r="Q981" s="326"/>
      <c r="R981" s="315"/>
      <c r="S981" s="315">
        <v>0</v>
      </c>
      <c r="T981" s="315"/>
      <c r="U981" s="315"/>
      <c r="V981" s="315"/>
      <c r="W981" s="315"/>
      <c r="X981" s="315"/>
      <c r="Y981" s="315"/>
      <c r="Z981" s="315"/>
      <c r="AA981" s="336">
        <v>0</v>
      </c>
      <c r="AB981" s="336"/>
      <c r="AC981" s="337"/>
      <c r="AD981" s="337"/>
      <c r="AE981" s="336">
        <v>0</v>
      </c>
      <c r="AF981" s="336" t="s">
        <v>286</v>
      </c>
      <c r="AG981" s="339" t="s">
        <v>286</v>
      </c>
      <c r="AH981" s="339"/>
      <c r="AI981" s="336"/>
      <c r="AJ981" s="336"/>
      <c r="AK981" s="848">
        <v>0</v>
      </c>
      <c r="AL981" s="836"/>
      <c r="AM981" s="836">
        <v>0</v>
      </c>
      <c r="AN981" s="848"/>
      <c r="AO981" s="850">
        <v>0</v>
      </c>
      <c r="AP981" s="838"/>
      <c r="AQ981" s="839"/>
      <c r="AR981" s="839"/>
      <c r="AS981" s="839"/>
      <c r="AT981" s="839"/>
      <c r="AU981" s="839"/>
      <c r="AV981" s="849"/>
      <c r="AW981" s="134" t="s">
        <v>3208</v>
      </c>
      <c r="AX981" s="136" t="s">
        <v>3208</v>
      </c>
      <c r="AY981" s="137" t="s">
        <v>2576</v>
      </c>
      <c r="AZ981" s="136">
        <v>0</v>
      </c>
      <c r="BA981" s="136">
        <v>0</v>
      </c>
      <c r="BB981" s="136">
        <v>0</v>
      </c>
      <c r="BC981" s="214">
        <v>0</v>
      </c>
      <c r="BD981" s="136">
        <v>0</v>
      </c>
      <c r="BE981" s="135">
        <v>0</v>
      </c>
      <c r="BF981" s="136">
        <v>0</v>
      </c>
      <c r="BG981" s="214">
        <v>0</v>
      </c>
      <c r="BH981" s="214">
        <v>0</v>
      </c>
      <c r="BI981" s="134">
        <v>1</v>
      </c>
      <c r="BJ981" s="135">
        <v>546</v>
      </c>
      <c r="BK981" s="137">
        <v>1</v>
      </c>
      <c r="BL981" s="137">
        <v>1</v>
      </c>
      <c r="BM981" s="137">
        <v>0</v>
      </c>
      <c r="BN981" s="134">
        <v>0</v>
      </c>
      <c r="BO981" s="351">
        <v>0</v>
      </c>
      <c r="BP981" s="134">
        <v>1</v>
      </c>
      <c r="BQ981" s="135">
        <v>91</v>
      </c>
      <c r="BR981" s="137">
        <v>91</v>
      </c>
      <c r="BS981" s="138">
        <v>0</v>
      </c>
      <c r="BT981" s="351" t="s">
        <v>103</v>
      </c>
      <c r="BU981" s="214">
        <v>0</v>
      </c>
      <c r="BV981" s="214">
        <v>0</v>
      </c>
      <c r="BW981" s="214">
        <v>0</v>
      </c>
      <c r="BX981" s="214">
        <v>0</v>
      </c>
      <c r="BY981" s="214">
        <v>0</v>
      </c>
      <c r="BZ981" s="134">
        <v>0</v>
      </c>
      <c r="CA981" s="138">
        <v>1</v>
      </c>
      <c r="CB981" s="136">
        <v>0</v>
      </c>
      <c r="CC981" s="136">
        <v>0</v>
      </c>
      <c r="CD981" s="136">
        <v>0</v>
      </c>
      <c r="CE981" s="137">
        <v>0</v>
      </c>
      <c r="CF981" s="137">
        <v>0</v>
      </c>
      <c r="CG981" s="137">
        <v>0</v>
      </c>
      <c r="CH981" s="135">
        <v>0</v>
      </c>
      <c r="CI981" s="139">
        <v>0</v>
      </c>
      <c r="CJ981" s="139">
        <v>0</v>
      </c>
      <c r="CK981" s="139" t="s">
        <v>975</v>
      </c>
      <c r="CL981" s="139" t="s">
        <v>969</v>
      </c>
      <c r="CM981" s="139" t="s">
        <v>975</v>
      </c>
      <c r="CN981" s="139" t="s">
        <v>454</v>
      </c>
      <c r="CO981" s="139">
        <v>19.985679626464801</v>
      </c>
      <c r="CP981" s="139">
        <v>93.843322753906307</v>
      </c>
      <c r="CQ981" s="139" t="s">
        <v>1592</v>
      </c>
      <c r="CR981" s="449" t="s">
        <v>40</v>
      </c>
      <c r="CS981" s="449"/>
      <c r="CT981" s="24"/>
      <c r="CU981" s="24"/>
      <c r="CV981" s="24"/>
    </row>
    <row r="982" spans="1:100" ht="15.75" customHeight="1" x14ac:dyDescent="0.25">
      <c r="A982" s="643" t="s">
        <v>1388</v>
      </c>
      <c r="B982" s="132" t="s">
        <v>2444</v>
      </c>
      <c r="C982" s="132" t="s">
        <v>454</v>
      </c>
      <c r="D982" s="132" t="s">
        <v>486</v>
      </c>
      <c r="E982" s="132" t="s">
        <v>554</v>
      </c>
      <c r="F982" s="132">
        <v>157</v>
      </c>
      <c r="G982" s="214">
        <v>786</v>
      </c>
      <c r="H982" s="132"/>
      <c r="I982" s="132" t="s">
        <v>488</v>
      </c>
      <c r="J982" s="133">
        <v>43586</v>
      </c>
      <c r="K982" s="132"/>
      <c r="L982" s="132" t="s">
        <v>48</v>
      </c>
      <c r="M982" s="134">
        <v>0</v>
      </c>
      <c r="N982" s="134">
        <v>0</v>
      </c>
      <c r="O982" s="320">
        <v>0</v>
      </c>
      <c r="P982" s="326">
        <v>0</v>
      </c>
      <c r="Q982" s="326"/>
      <c r="R982" s="315"/>
      <c r="S982" s="315">
        <v>0</v>
      </c>
      <c r="T982" s="315"/>
      <c r="U982" s="315"/>
      <c r="V982" s="315"/>
      <c r="W982" s="315"/>
      <c r="X982" s="315"/>
      <c r="Y982" s="315"/>
      <c r="Z982" s="315"/>
      <c r="AA982" s="336">
        <v>0</v>
      </c>
      <c r="AB982" s="336"/>
      <c r="AC982" s="337"/>
      <c r="AD982" s="337"/>
      <c r="AE982" s="336">
        <v>0</v>
      </c>
      <c r="AF982" s="336" t="s">
        <v>286</v>
      </c>
      <c r="AG982" s="339" t="s">
        <v>286</v>
      </c>
      <c r="AH982" s="339"/>
      <c r="AI982" s="336"/>
      <c r="AJ982" s="336"/>
      <c r="AK982" s="848">
        <v>0</v>
      </c>
      <c r="AL982" s="836"/>
      <c r="AM982" s="836">
        <v>0</v>
      </c>
      <c r="AN982" s="848"/>
      <c r="AO982" s="850">
        <v>0</v>
      </c>
      <c r="AP982" s="838"/>
      <c r="AQ982" s="839"/>
      <c r="AR982" s="839"/>
      <c r="AS982" s="839"/>
      <c r="AT982" s="839"/>
      <c r="AU982" s="839"/>
      <c r="AV982" s="849"/>
      <c r="AW982" s="134" t="s">
        <v>3208</v>
      </c>
      <c r="AX982" s="136" t="s">
        <v>3208</v>
      </c>
      <c r="AY982" s="137" t="s">
        <v>2576</v>
      </c>
      <c r="AZ982" s="136">
        <v>0</v>
      </c>
      <c r="BA982" s="136">
        <v>0</v>
      </c>
      <c r="BB982" s="136">
        <v>0</v>
      </c>
      <c r="BC982" s="214">
        <v>0</v>
      </c>
      <c r="BD982" s="136">
        <v>0</v>
      </c>
      <c r="BE982" s="214">
        <v>0</v>
      </c>
      <c r="BF982" s="136">
        <v>0</v>
      </c>
      <c r="BG982" s="214">
        <v>0</v>
      </c>
      <c r="BH982" s="214">
        <v>0</v>
      </c>
      <c r="BI982" s="134">
        <v>1</v>
      </c>
      <c r="BJ982" s="214">
        <v>786</v>
      </c>
      <c r="BK982" s="137">
        <v>2</v>
      </c>
      <c r="BL982" s="137">
        <v>2</v>
      </c>
      <c r="BM982" s="137">
        <v>0</v>
      </c>
      <c r="BN982" s="134">
        <v>0</v>
      </c>
      <c r="BO982" s="351">
        <v>0</v>
      </c>
      <c r="BP982" s="134">
        <v>1</v>
      </c>
      <c r="BQ982" s="214">
        <v>131</v>
      </c>
      <c r="BR982" s="137">
        <v>131</v>
      </c>
      <c r="BS982" s="138">
        <v>0</v>
      </c>
      <c r="BT982" s="351" t="s">
        <v>103</v>
      </c>
      <c r="BU982" s="214">
        <v>0</v>
      </c>
      <c r="BV982" s="214">
        <v>0</v>
      </c>
      <c r="BW982" s="214">
        <v>0</v>
      </c>
      <c r="BX982" s="214">
        <v>0</v>
      </c>
      <c r="BY982" s="214">
        <v>0</v>
      </c>
      <c r="BZ982" s="134">
        <v>0</v>
      </c>
      <c r="CA982" s="138">
        <v>1</v>
      </c>
      <c r="CB982" s="136">
        <v>0</v>
      </c>
      <c r="CC982" s="136">
        <v>0</v>
      </c>
      <c r="CD982" s="136">
        <v>0</v>
      </c>
      <c r="CE982" s="137">
        <v>0</v>
      </c>
      <c r="CF982" s="137">
        <v>0</v>
      </c>
      <c r="CG982" s="137">
        <v>0</v>
      </c>
      <c r="CH982" s="214">
        <v>0</v>
      </c>
      <c r="CI982" s="139">
        <v>0</v>
      </c>
      <c r="CJ982" s="139">
        <v>0</v>
      </c>
      <c r="CK982" s="139" t="s">
        <v>975</v>
      </c>
      <c r="CL982" s="139" t="s">
        <v>969</v>
      </c>
      <c r="CM982" s="139" t="s">
        <v>975</v>
      </c>
      <c r="CN982" s="139" t="s">
        <v>454</v>
      </c>
      <c r="CO982" s="139">
        <v>19.988689422607401</v>
      </c>
      <c r="CP982" s="139">
        <v>93.842460632324205</v>
      </c>
      <c r="CQ982" s="139" t="s">
        <v>1594</v>
      </c>
      <c r="CR982" s="449" t="s">
        <v>40</v>
      </c>
      <c r="CS982" s="449"/>
      <c r="CT982" s="24"/>
      <c r="CU982" s="24"/>
      <c r="CV982" s="24"/>
    </row>
    <row r="983" spans="1:100" ht="15.75" customHeight="1" x14ac:dyDescent="0.25">
      <c r="A983" s="643" t="s">
        <v>1388</v>
      </c>
      <c r="B983" s="132" t="s">
        <v>2444</v>
      </c>
      <c r="C983" s="132" t="s">
        <v>454</v>
      </c>
      <c r="D983" s="132" t="s">
        <v>486</v>
      </c>
      <c r="E983" s="132" t="s">
        <v>534</v>
      </c>
      <c r="F983" s="132">
        <v>34</v>
      </c>
      <c r="G983" s="214">
        <v>171</v>
      </c>
      <c r="H983" s="132"/>
      <c r="I983" s="132" t="s">
        <v>488</v>
      </c>
      <c r="J983" s="133">
        <v>43586</v>
      </c>
      <c r="K983" s="132"/>
      <c r="L983" s="132" t="s">
        <v>48</v>
      </c>
      <c r="M983" s="134">
        <v>0</v>
      </c>
      <c r="N983" s="134">
        <v>0</v>
      </c>
      <c r="O983" s="320">
        <v>0</v>
      </c>
      <c r="P983" s="326">
        <v>0</v>
      </c>
      <c r="Q983" s="326"/>
      <c r="R983" s="315"/>
      <c r="S983" s="315">
        <v>0</v>
      </c>
      <c r="T983" s="315"/>
      <c r="U983" s="315"/>
      <c r="V983" s="315"/>
      <c r="W983" s="315"/>
      <c r="X983" s="315"/>
      <c r="Y983" s="315"/>
      <c r="Z983" s="315"/>
      <c r="AA983" s="336">
        <v>0</v>
      </c>
      <c r="AB983" s="336"/>
      <c r="AC983" s="337"/>
      <c r="AD983" s="337"/>
      <c r="AE983" s="336">
        <v>0</v>
      </c>
      <c r="AF983" s="336" t="s">
        <v>286</v>
      </c>
      <c r="AG983" s="339" t="s">
        <v>286</v>
      </c>
      <c r="AH983" s="339"/>
      <c r="AI983" s="336"/>
      <c r="AJ983" s="336"/>
      <c r="AK983" s="848">
        <v>0</v>
      </c>
      <c r="AL983" s="836"/>
      <c r="AM983" s="836">
        <v>0</v>
      </c>
      <c r="AN983" s="848"/>
      <c r="AO983" s="850">
        <v>0</v>
      </c>
      <c r="AP983" s="838"/>
      <c r="AQ983" s="839"/>
      <c r="AR983" s="839"/>
      <c r="AS983" s="839"/>
      <c r="AT983" s="839"/>
      <c r="AU983" s="839"/>
      <c r="AV983" s="849"/>
      <c r="AW983" s="134" t="s">
        <v>3208</v>
      </c>
      <c r="AX983" s="136" t="s">
        <v>3208</v>
      </c>
      <c r="AY983" s="137" t="s">
        <v>2576</v>
      </c>
      <c r="AZ983" s="136">
        <v>0</v>
      </c>
      <c r="BA983" s="136">
        <v>0</v>
      </c>
      <c r="BB983" s="136">
        <v>0</v>
      </c>
      <c r="BC983" s="214">
        <v>0</v>
      </c>
      <c r="BD983" s="136">
        <v>0</v>
      </c>
      <c r="BE983" s="214">
        <v>0</v>
      </c>
      <c r="BF983" s="136">
        <v>0</v>
      </c>
      <c r="BG983" s="214">
        <v>0</v>
      </c>
      <c r="BH983" s="214">
        <v>0</v>
      </c>
      <c r="BI983" s="134">
        <v>1</v>
      </c>
      <c r="BJ983" s="214">
        <v>171</v>
      </c>
      <c r="BK983" s="137">
        <v>1</v>
      </c>
      <c r="BL983" s="137">
        <v>1</v>
      </c>
      <c r="BM983" s="137">
        <v>0</v>
      </c>
      <c r="BN983" s="134">
        <v>0</v>
      </c>
      <c r="BO983" s="351">
        <v>0</v>
      </c>
      <c r="BP983" s="134">
        <v>1</v>
      </c>
      <c r="BQ983" s="214">
        <v>29</v>
      </c>
      <c r="BR983" s="137">
        <v>29</v>
      </c>
      <c r="BS983" s="138">
        <v>0</v>
      </c>
      <c r="BT983" s="351" t="s">
        <v>103</v>
      </c>
      <c r="BU983" s="214">
        <v>0</v>
      </c>
      <c r="BV983" s="214">
        <v>0</v>
      </c>
      <c r="BW983" s="214">
        <v>0</v>
      </c>
      <c r="BX983" s="214">
        <v>0</v>
      </c>
      <c r="BY983" s="214">
        <v>0</v>
      </c>
      <c r="BZ983" s="134">
        <v>0</v>
      </c>
      <c r="CA983" s="138">
        <v>1</v>
      </c>
      <c r="CB983" s="136">
        <v>0</v>
      </c>
      <c r="CC983" s="136">
        <v>0</v>
      </c>
      <c r="CD983" s="136">
        <v>0</v>
      </c>
      <c r="CE983" s="137">
        <v>0</v>
      </c>
      <c r="CF983" s="137">
        <v>0</v>
      </c>
      <c r="CG983" s="137">
        <v>0</v>
      </c>
      <c r="CH983" s="214">
        <v>0</v>
      </c>
      <c r="CI983" s="139">
        <v>0</v>
      </c>
      <c r="CJ983" s="139">
        <v>0</v>
      </c>
      <c r="CK983" s="139" t="s">
        <v>975</v>
      </c>
      <c r="CL983" s="139" t="s">
        <v>969</v>
      </c>
      <c r="CM983" s="139" t="s">
        <v>975</v>
      </c>
      <c r="CN983" s="139" t="s">
        <v>454</v>
      </c>
      <c r="CO983" s="139">
        <v>19.610979080200199</v>
      </c>
      <c r="CP983" s="139">
        <v>93.9847412109375</v>
      </c>
      <c r="CQ983" s="139" t="s">
        <v>1573</v>
      </c>
      <c r="CR983" s="449" t="s">
        <v>40</v>
      </c>
      <c r="CS983" s="449"/>
      <c r="CT983" s="24"/>
      <c r="CU983" s="24"/>
      <c r="CV983" s="24"/>
    </row>
    <row r="984" spans="1:100" ht="15.75" customHeight="1" x14ac:dyDescent="0.25">
      <c r="A984" s="643" t="s">
        <v>1388</v>
      </c>
      <c r="B984" s="132" t="s">
        <v>2444</v>
      </c>
      <c r="C984" s="132" t="s">
        <v>454</v>
      </c>
      <c r="D984" s="132" t="s">
        <v>486</v>
      </c>
      <c r="E984" s="132" t="s">
        <v>543</v>
      </c>
      <c r="F984" s="132">
        <v>55</v>
      </c>
      <c r="G984" s="214">
        <v>273</v>
      </c>
      <c r="H984" s="132"/>
      <c r="I984" s="132" t="s">
        <v>488</v>
      </c>
      <c r="J984" s="133">
        <v>43586</v>
      </c>
      <c r="K984" s="132"/>
      <c r="L984" s="132" t="s">
        <v>48</v>
      </c>
      <c r="M984" s="134">
        <v>0</v>
      </c>
      <c r="N984" s="134">
        <v>0</v>
      </c>
      <c r="O984" s="320">
        <v>0</v>
      </c>
      <c r="P984" s="326">
        <v>0</v>
      </c>
      <c r="Q984" s="326"/>
      <c r="R984" s="315"/>
      <c r="S984" s="315">
        <v>0</v>
      </c>
      <c r="T984" s="315"/>
      <c r="U984" s="315"/>
      <c r="V984" s="315"/>
      <c r="W984" s="315"/>
      <c r="X984" s="315"/>
      <c r="Y984" s="315"/>
      <c r="Z984" s="315"/>
      <c r="AA984" s="336">
        <v>0</v>
      </c>
      <c r="AB984" s="336"/>
      <c r="AC984" s="337"/>
      <c r="AD984" s="337"/>
      <c r="AE984" s="336">
        <v>0</v>
      </c>
      <c r="AF984" s="336" t="s">
        <v>286</v>
      </c>
      <c r="AG984" s="339" t="s">
        <v>286</v>
      </c>
      <c r="AH984" s="339"/>
      <c r="AI984" s="336"/>
      <c r="AJ984" s="336"/>
      <c r="AK984" s="848">
        <v>0</v>
      </c>
      <c r="AL984" s="836"/>
      <c r="AM984" s="836">
        <v>0</v>
      </c>
      <c r="AN984" s="848"/>
      <c r="AO984" s="850">
        <v>0</v>
      </c>
      <c r="AP984" s="838"/>
      <c r="AQ984" s="839"/>
      <c r="AR984" s="839"/>
      <c r="AS984" s="839"/>
      <c r="AT984" s="839"/>
      <c r="AU984" s="839"/>
      <c r="AV984" s="849"/>
      <c r="AW984" s="134" t="s">
        <v>3208</v>
      </c>
      <c r="AX984" s="136" t="s">
        <v>3208</v>
      </c>
      <c r="AY984" s="137" t="s">
        <v>2576</v>
      </c>
      <c r="AZ984" s="136">
        <v>0</v>
      </c>
      <c r="BA984" s="136">
        <v>0</v>
      </c>
      <c r="BB984" s="136">
        <v>0</v>
      </c>
      <c r="BC984" s="214">
        <v>0</v>
      </c>
      <c r="BD984" s="136">
        <v>0</v>
      </c>
      <c r="BE984" s="214">
        <v>0</v>
      </c>
      <c r="BF984" s="136">
        <v>0</v>
      </c>
      <c r="BG984" s="214">
        <v>0</v>
      </c>
      <c r="BH984" s="214">
        <v>0</v>
      </c>
      <c r="BI984" s="134">
        <v>1</v>
      </c>
      <c r="BJ984" s="214">
        <v>273</v>
      </c>
      <c r="BK984" s="137">
        <v>1</v>
      </c>
      <c r="BL984" s="137">
        <v>1</v>
      </c>
      <c r="BM984" s="137">
        <v>0</v>
      </c>
      <c r="BN984" s="134">
        <v>0</v>
      </c>
      <c r="BO984" s="351">
        <v>0</v>
      </c>
      <c r="BP984" s="134">
        <v>1</v>
      </c>
      <c r="BQ984" s="214">
        <v>46</v>
      </c>
      <c r="BR984" s="137">
        <v>46</v>
      </c>
      <c r="BS984" s="138">
        <v>0</v>
      </c>
      <c r="BT984" s="351" t="s">
        <v>103</v>
      </c>
      <c r="BU984" s="214">
        <v>0</v>
      </c>
      <c r="BV984" s="214">
        <v>0</v>
      </c>
      <c r="BW984" s="214">
        <v>0</v>
      </c>
      <c r="BX984" s="214">
        <v>0</v>
      </c>
      <c r="BY984" s="214">
        <v>0</v>
      </c>
      <c r="BZ984" s="134">
        <v>0</v>
      </c>
      <c r="CA984" s="138">
        <v>1</v>
      </c>
      <c r="CB984" s="136">
        <v>0</v>
      </c>
      <c r="CC984" s="136">
        <v>0</v>
      </c>
      <c r="CD984" s="136">
        <v>0</v>
      </c>
      <c r="CE984" s="137">
        <v>0</v>
      </c>
      <c r="CF984" s="137">
        <v>0</v>
      </c>
      <c r="CG984" s="137">
        <v>0</v>
      </c>
      <c r="CH984" s="214">
        <v>0</v>
      </c>
      <c r="CI984" s="139">
        <v>0</v>
      </c>
      <c r="CJ984" s="139">
        <v>0</v>
      </c>
      <c r="CK984" s="139" t="s">
        <v>975</v>
      </c>
      <c r="CL984" s="139" t="s">
        <v>969</v>
      </c>
      <c r="CM984" s="139" t="s">
        <v>975</v>
      </c>
      <c r="CN984" s="139" t="s">
        <v>454</v>
      </c>
      <c r="CO984" s="139">
        <v>19.721389770507798</v>
      </c>
      <c r="CP984" s="139">
        <v>94.019851684570298</v>
      </c>
      <c r="CQ984" s="139" t="s">
        <v>1582</v>
      </c>
      <c r="CR984" s="449" t="s">
        <v>40</v>
      </c>
      <c r="CS984" s="449"/>
      <c r="CT984" s="24"/>
      <c r="CU984" s="24"/>
      <c r="CV984" s="24"/>
    </row>
    <row r="985" spans="1:100" ht="15.75" customHeight="1" x14ac:dyDescent="0.25">
      <c r="A985" s="643" t="s">
        <v>1388</v>
      </c>
      <c r="B985" s="132" t="s">
        <v>2444</v>
      </c>
      <c r="C985" s="132" t="s">
        <v>454</v>
      </c>
      <c r="D985" s="132" t="s">
        <v>486</v>
      </c>
      <c r="E985" s="132" t="s">
        <v>558</v>
      </c>
      <c r="F985" s="132">
        <v>62</v>
      </c>
      <c r="G985" s="214">
        <v>312</v>
      </c>
      <c r="H985" s="132"/>
      <c r="I985" s="132" t="s">
        <v>488</v>
      </c>
      <c r="J985" s="133">
        <v>43586</v>
      </c>
      <c r="K985" s="132"/>
      <c r="L985" s="132" t="s">
        <v>48</v>
      </c>
      <c r="M985" s="134">
        <v>0</v>
      </c>
      <c r="N985" s="134">
        <v>0</v>
      </c>
      <c r="O985" s="320">
        <v>0</v>
      </c>
      <c r="P985" s="326">
        <v>0</v>
      </c>
      <c r="Q985" s="326"/>
      <c r="R985" s="315"/>
      <c r="S985" s="315">
        <v>0</v>
      </c>
      <c r="T985" s="315"/>
      <c r="U985" s="315"/>
      <c r="V985" s="315"/>
      <c r="W985" s="315"/>
      <c r="X985" s="315"/>
      <c r="Y985" s="315"/>
      <c r="Z985" s="315"/>
      <c r="AA985" s="336">
        <v>0</v>
      </c>
      <c r="AB985" s="336"/>
      <c r="AC985" s="337"/>
      <c r="AD985" s="337"/>
      <c r="AE985" s="336">
        <v>0</v>
      </c>
      <c r="AF985" s="336" t="s">
        <v>286</v>
      </c>
      <c r="AG985" s="339" t="s">
        <v>286</v>
      </c>
      <c r="AH985" s="339"/>
      <c r="AI985" s="336"/>
      <c r="AJ985" s="336"/>
      <c r="AK985" s="848">
        <v>0</v>
      </c>
      <c r="AL985" s="836"/>
      <c r="AM985" s="836">
        <v>0</v>
      </c>
      <c r="AN985" s="848"/>
      <c r="AO985" s="850">
        <v>0</v>
      </c>
      <c r="AP985" s="838"/>
      <c r="AQ985" s="839"/>
      <c r="AR985" s="839"/>
      <c r="AS985" s="839"/>
      <c r="AT985" s="839"/>
      <c r="AU985" s="839"/>
      <c r="AV985" s="849"/>
      <c r="AW985" s="134" t="s">
        <v>3208</v>
      </c>
      <c r="AX985" s="136" t="s">
        <v>3208</v>
      </c>
      <c r="AY985" s="137" t="s">
        <v>2576</v>
      </c>
      <c r="AZ985" s="136">
        <v>0</v>
      </c>
      <c r="BA985" s="136">
        <v>0</v>
      </c>
      <c r="BB985" s="136">
        <v>0</v>
      </c>
      <c r="BC985" s="214">
        <v>0</v>
      </c>
      <c r="BD985" s="136">
        <v>0</v>
      </c>
      <c r="BE985" s="214">
        <v>0</v>
      </c>
      <c r="BF985" s="136">
        <v>0</v>
      </c>
      <c r="BG985" s="214">
        <v>0</v>
      </c>
      <c r="BH985" s="214">
        <v>0</v>
      </c>
      <c r="BI985" s="134">
        <v>1</v>
      </c>
      <c r="BJ985" s="214">
        <v>312</v>
      </c>
      <c r="BK985" s="137">
        <v>1</v>
      </c>
      <c r="BL985" s="137">
        <v>1</v>
      </c>
      <c r="BM985" s="137">
        <v>0</v>
      </c>
      <c r="BN985" s="134">
        <v>0</v>
      </c>
      <c r="BO985" s="351">
        <v>0</v>
      </c>
      <c r="BP985" s="134">
        <v>1</v>
      </c>
      <c r="BQ985" s="214">
        <v>52</v>
      </c>
      <c r="BR985" s="137">
        <v>52</v>
      </c>
      <c r="BS985" s="138">
        <v>0</v>
      </c>
      <c r="BT985" s="351" t="s">
        <v>103</v>
      </c>
      <c r="BU985" s="214">
        <v>0</v>
      </c>
      <c r="BV985" s="214">
        <v>0</v>
      </c>
      <c r="BW985" s="214">
        <v>0</v>
      </c>
      <c r="BX985" s="214">
        <v>0</v>
      </c>
      <c r="BY985" s="214">
        <v>0</v>
      </c>
      <c r="BZ985" s="134">
        <v>0</v>
      </c>
      <c r="CA985" s="138">
        <v>1</v>
      </c>
      <c r="CB985" s="136">
        <v>0</v>
      </c>
      <c r="CC985" s="136">
        <v>0</v>
      </c>
      <c r="CD985" s="136">
        <v>0</v>
      </c>
      <c r="CE985" s="137">
        <v>0</v>
      </c>
      <c r="CF985" s="137">
        <v>0</v>
      </c>
      <c r="CG985" s="137">
        <v>0</v>
      </c>
      <c r="CH985" s="214">
        <v>0</v>
      </c>
      <c r="CI985" s="139">
        <v>0</v>
      </c>
      <c r="CJ985" s="139">
        <v>0</v>
      </c>
      <c r="CK985" s="139" t="s">
        <v>975</v>
      </c>
      <c r="CL985" s="139" t="s">
        <v>969</v>
      </c>
      <c r="CM985" s="139" t="s">
        <v>975</v>
      </c>
      <c r="CN985" s="139" t="s">
        <v>454</v>
      </c>
      <c r="CO985" s="139">
        <v>20.0087699890137</v>
      </c>
      <c r="CP985" s="139">
        <v>93.816879272460895</v>
      </c>
      <c r="CQ985" s="139" t="s">
        <v>1598</v>
      </c>
      <c r="CR985" s="449" t="s">
        <v>40</v>
      </c>
      <c r="CS985" s="449"/>
      <c r="CT985" s="24"/>
      <c r="CU985" s="24"/>
      <c r="CV985" s="24"/>
    </row>
    <row r="986" spans="1:100" ht="15.75" customHeight="1" x14ac:dyDescent="0.25">
      <c r="A986" s="643" t="s">
        <v>1388</v>
      </c>
      <c r="B986" s="132" t="s">
        <v>2444</v>
      </c>
      <c r="C986" s="132" t="s">
        <v>454</v>
      </c>
      <c r="D986" s="132" t="s">
        <v>486</v>
      </c>
      <c r="E986" s="132" t="s">
        <v>550</v>
      </c>
      <c r="F986" s="132">
        <v>135</v>
      </c>
      <c r="G986" s="214">
        <v>674</v>
      </c>
      <c r="H986" s="132"/>
      <c r="I986" s="132" t="s">
        <v>488</v>
      </c>
      <c r="J986" s="133">
        <v>43586</v>
      </c>
      <c r="K986" s="132"/>
      <c r="L986" s="132" t="s">
        <v>48</v>
      </c>
      <c r="M986" s="134">
        <v>0</v>
      </c>
      <c r="N986" s="134">
        <v>0</v>
      </c>
      <c r="O986" s="320">
        <v>0</v>
      </c>
      <c r="P986" s="326">
        <v>0</v>
      </c>
      <c r="Q986" s="326"/>
      <c r="R986" s="315"/>
      <c r="S986" s="315">
        <v>0</v>
      </c>
      <c r="T986" s="315"/>
      <c r="U986" s="315"/>
      <c r="V986" s="315"/>
      <c r="W986" s="315"/>
      <c r="X986" s="315"/>
      <c r="Y986" s="315"/>
      <c r="Z986" s="315"/>
      <c r="AA986" s="336">
        <v>0</v>
      </c>
      <c r="AB986" s="336"/>
      <c r="AC986" s="337"/>
      <c r="AD986" s="337"/>
      <c r="AE986" s="336">
        <v>0</v>
      </c>
      <c r="AF986" s="336" t="s">
        <v>286</v>
      </c>
      <c r="AG986" s="339" t="s">
        <v>286</v>
      </c>
      <c r="AH986" s="339"/>
      <c r="AI986" s="336"/>
      <c r="AJ986" s="336"/>
      <c r="AK986" s="848">
        <v>0</v>
      </c>
      <c r="AL986" s="836"/>
      <c r="AM986" s="836">
        <v>0</v>
      </c>
      <c r="AN986" s="848"/>
      <c r="AO986" s="850">
        <v>0</v>
      </c>
      <c r="AP986" s="839"/>
      <c r="AQ986" s="839"/>
      <c r="AR986" s="839"/>
      <c r="AS986" s="839"/>
      <c r="AT986" s="839"/>
      <c r="AU986" s="839"/>
      <c r="AV986" s="849"/>
      <c r="AW986" s="134" t="s">
        <v>3208</v>
      </c>
      <c r="AX986" s="136" t="s">
        <v>3208</v>
      </c>
      <c r="AY986" s="137" t="s">
        <v>2576</v>
      </c>
      <c r="AZ986" s="136">
        <v>0</v>
      </c>
      <c r="BA986" s="136">
        <v>0</v>
      </c>
      <c r="BB986" s="136">
        <v>0</v>
      </c>
      <c r="BC986" s="214">
        <v>0</v>
      </c>
      <c r="BD986" s="136">
        <v>0</v>
      </c>
      <c r="BE986" s="214">
        <v>0</v>
      </c>
      <c r="BF986" s="136">
        <v>0</v>
      </c>
      <c r="BG986" s="214">
        <v>0</v>
      </c>
      <c r="BH986" s="214">
        <v>0</v>
      </c>
      <c r="BI986" s="134">
        <v>1</v>
      </c>
      <c r="BJ986" s="214">
        <v>674</v>
      </c>
      <c r="BK986" s="137">
        <v>1</v>
      </c>
      <c r="BL986" s="137">
        <v>1</v>
      </c>
      <c r="BM986" s="137">
        <v>0</v>
      </c>
      <c r="BN986" s="134">
        <v>0</v>
      </c>
      <c r="BO986" s="351">
        <v>0</v>
      </c>
      <c r="BP986" s="134">
        <v>0.9970326409495549</v>
      </c>
      <c r="BQ986" s="214">
        <v>112</v>
      </c>
      <c r="BR986" s="137">
        <v>112</v>
      </c>
      <c r="BS986" s="138">
        <v>0</v>
      </c>
      <c r="BT986" s="351" t="s">
        <v>103</v>
      </c>
      <c r="BU986" s="214">
        <v>0</v>
      </c>
      <c r="BV986" s="214">
        <v>0</v>
      </c>
      <c r="BW986" s="214">
        <v>0</v>
      </c>
      <c r="BX986" s="214">
        <v>0</v>
      </c>
      <c r="BY986" s="214">
        <v>0</v>
      </c>
      <c r="BZ986" s="134">
        <v>0</v>
      </c>
      <c r="CA986" s="138">
        <v>1</v>
      </c>
      <c r="CB986" s="136">
        <v>0</v>
      </c>
      <c r="CC986" s="136">
        <v>0</v>
      </c>
      <c r="CD986" s="136">
        <v>0</v>
      </c>
      <c r="CE986" s="137">
        <v>0</v>
      </c>
      <c r="CF986" s="137">
        <v>0</v>
      </c>
      <c r="CG986" s="137">
        <v>0</v>
      </c>
      <c r="CH986" s="214">
        <v>0</v>
      </c>
      <c r="CI986" s="139">
        <v>0</v>
      </c>
      <c r="CJ986" s="139">
        <v>0</v>
      </c>
      <c r="CK986" s="139" t="s">
        <v>975</v>
      </c>
      <c r="CL986" s="139" t="s">
        <v>969</v>
      </c>
      <c r="CM986" s="139" t="s">
        <v>975</v>
      </c>
      <c r="CN986" s="139" t="s">
        <v>982</v>
      </c>
      <c r="CO986" s="139">
        <v>19.955690383911101</v>
      </c>
      <c r="CP986" s="139">
        <v>93.801551818847699</v>
      </c>
      <c r="CQ986" s="139" t="s">
        <v>1590</v>
      </c>
      <c r="CR986" s="449" t="s">
        <v>40</v>
      </c>
      <c r="CS986" s="449"/>
      <c r="CT986" s="24"/>
      <c r="CU986" s="24"/>
      <c r="CV986" s="24"/>
    </row>
    <row r="987" spans="1:100" ht="15.75" customHeight="1" x14ac:dyDescent="0.25">
      <c r="A987" s="643" t="s">
        <v>1388</v>
      </c>
      <c r="B987" s="132" t="s">
        <v>2444</v>
      </c>
      <c r="C987" s="132" t="s">
        <v>454</v>
      </c>
      <c r="D987" s="132" t="s">
        <v>486</v>
      </c>
      <c r="E987" s="132" t="s">
        <v>542</v>
      </c>
      <c r="F987" s="132">
        <v>75</v>
      </c>
      <c r="G987" s="214">
        <v>373</v>
      </c>
      <c r="H987" s="132"/>
      <c r="I987" s="132" t="s">
        <v>488</v>
      </c>
      <c r="J987" s="133">
        <v>43586</v>
      </c>
      <c r="K987" s="132"/>
      <c r="L987" s="132" t="s">
        <v>48</v>
      </c>
      <c r="M987" s="134">
        <v>0</v>
      </c>
      <c r="N987" s="134">
        <v>0</v>
      </c>
      <c r="O987" s="320">
        <v>0</v>
      </c>
      <c r="P987" s="326">
        <v>0</v>
      </c>
      <c r="Q987" s="326"/>
      <c r="R987" s="315"/>
      <c r="S987" s="315">
        <v>0</v>
      </c>
      <c r="T987" s="315"/>
      <c r="U987" s="315"/>
      <c r="V987" s="315"/>
      <c r="W987" s="315"/>
      <c r="X987" s="315"/>
      <c r="Y987" s="315"/>
      <c r="Z987" s="315"/>
      <c r="AA987" s="336">
        <v>0</v>
      </c>
      <c r="AB987" s="336"/>
      <c r="AC987" s="337"/>
      <c r="AD987" s="337"/>
      <c r="AE987" s="336">
        <v>0</v>
      </c>
      <c r="AF987" s="336" t="s">
        <v>286</v>
      </c>
      <c r="AG987" s="339" t="s">
        <v>286</v>
      </c>
      <c r="AH987" s="339"/>
      <c r="AI987" s="336"/>
      <c r="AJ987" s="336"/>
      <c r="AK987" s="848">
        <v>0</v>
      </c>
      <c r="AL987" s="836"/>
      <c r="AM987" s="836">
        <v>0</v>
      </c>
      <c r="AN987" s="848"/>
      <c r="AO987" s="850">
        <v>0</v>
      </c>
      <c r="AP987" s="839"/>
      <c r="AQ987" s="839"/>
      <c r="AR987" s="839"/>
      <c r="AS987" s="839"/>
      <c r="AT987" s="839"/>
      <c r="AU987" s="839"/>
      <c r="AV987" s="849"/>
      <c r="AW987" s="134" t="s">
        <v>3208</v>
      </c>
      <c r="AX987" s="136" t="s">
        <v>3208</v>
      </c>
      <c r="AY987" s="137" t="s">
        <v>2576</v>
      </c>
      <c r="AZ987" s="136">
        <v>0</v>
      </c>
      <c r="BA987" s="136">
        <v>0</v>
      </c>
      <c r="BB987" s="136">
        <v>0</v>
      </c>
      <c r="BC987" s="214">
        <v>0</v>
      </c>
      <c r="BD987" s="136">
        <v>0</v>
      </c>
      <c r="BE987" s="214">
        <v>0</v>
      </c>
      <c r="BF987" s="136">
        <v>0</v>
      </c>
      <c r="BG987" s="214">
        <v>0</v>
      </c>
      <c r="BH987" s="214">
        <v>0</v>
      </c>
      <c r="BI987" s="134">
        <v>1</v>
      </c>
      <c r="BJ987" s="214">
        <v>373</v>
      </c>
      <c r="BK987" s="137">
        <v>1</v>
      </c>
      <c r="BL987" s="137">
        <v>1</v>
      </c>
      <c r="BM987" s="137">
        <v>0</v>
      </c>
      <c r="BN987" s="134">
        <v>0</v>
      </c>
      <c r="BO987" s="351">
        <v>0</v>
      </c>
      <c r="BP987" s="134">
        <v>0.99731903485254692</v>
      </c>
      <c r="BQ987" s="214">
        <v>62</v>
      </c>
      <c r="BR987" s="137">
        <v>62</v>
      </c>
      <c r="BS987" s="138">
        <v>0</v>
      </c>
      <c r="BT987" s="351" t="s">
        <v>103</v>
      </c>
      <c r="BU987" s="214">
        <v>0</v>
      </c>
      <c r="BV987" s="214">
        <v>0</v>
      </c>
      <c r="BW987" s="214">
        <v>0</v>
      </c>
      <c r="BX987" s="214">
        <v>0</v>
      </c>
      <c r="BY987" s="214">
        <v>0</v>
      </c>
      <c r="BZ987" s="134">
        <v>0</v>
      </c>
      <c r="CA987" s="138">
        <v>1</v>
      </c>
      <c r="CB987" s="136">
        <v>0</v>
      </c>
      <c r="CC987" s="136">
        <v>0</v>
      </c>
      <c r="CD987" s="136">
        <v>0</v>
      </c>
      <c r="CE987" s="137">
        <v>0</v>
      </c>
      <c r="CF987" s="137">
        <v>0</v>
      </c>
      <c r="CG987" s="137">
        <v>0</v>
      </c>
      <c r="CH987" s="214">
        <v>0</v>
      </c>
      <c r="CI987" s="139">
        <v>0</v>
      </c>
      <c r="CJ987" s="139">
        <v>0</v>
      </c>
      <c r="CK987" s="139" t="s">
        <v>975</v>
      </c>
      <c r="CL987" s="139" t="s">
        <v>969</v>
      </c>
      <c r="CM987" s="139" t="s">
        <v>975</v>
      </c>
      <c r="CN987" s="139" t="s">
        <v>978</v>
      </c>
      <c r="CO987" s="139">
        <v>19.7062797546387</v>
      </c>
      <c r="CP987" s="139">
        <v>94.016433715820298</v>
      </c>
      <c r="CQ987" s="139" t="s">
        <v>1581</v>
      </c>
      <c r="CR987" s="449" t="s">
        <v>40</v>
      </c>
      <c r="CS987" s="449"/>
      <c r="CT987" s="24"/>
      <c r="CU987" s="24"/>
      <c r="CV987" s="24"/>
    </row>
    <row r="988" spans="1:100" x14ac:dyDescent="0.25">
      <c r="A988" s="643" t="s">
        <v>1388</v>
      </c>
      <c r="B988" s="132" t="s">
        <v>2444</v>
      </c>
      <c r="C988" s="132" t="s">
        <v>454</v>
      </c>
      <c r="D988" s="132" t="s">
        <v>486</v>
      </c>
      <c r="E988" s="132" t="s">
        <v>537</v>
      </c>
      <c r="F988" s="132">
        <v>27</v>
      </c>
      <c r="G988" s="214">
        <v>136</v>
      </c>
      <c r="H988" s="132"/>
      <c r="I988" s="132" t="s">
        <v>488</v>
      </c>
      <c r="J988" s="133">
        <v>43586</v>
      </c>
      <c r="K988" s="132"/>
      <c r="L988" s="132" t="s">
        <v>48</v>
      </c>
      <c r="M988" s="134">
        <v>0</v>
      </c>
      <c r="N988" s="134">
        <v>0</v>
      </c>
      <c r="O988" s="320">
        <v>0</v>
      </c>
      <c r="P988" s="326">
        <v>0</v>
      </c>
      <c r="Q988" s="326"/>
      <c r="R988" s="315"/>
      <c r="S988" s="315">
        <v>0</v>
      </c>
      <c r="T988" s="315"/>
      <c r="U988" s="315"/>
      <c r="V988" s="315"/>
      <c r="W988" s="315"/>
      <c r="X988" s="315"/>
      <c r="Y988" s="315"/>
      <c r="Z988" s="315"/>
      <c r="AA988" s="336">
        <v>0</v>
      </c>
      <c r="AB988" s="336"/>
      <c r="AC988" s="337"/>
      <c r="AD988" s="337"/>
      <c r="AE988" s="336">
        <v>0</v>
      </c>
      <c r="AF988" s="336" t="s">
        <v>286</v>
      </c>
      <c r="AG988" s="339" t="s">
        <v>286</v>
      </c>
      <c r="AH988" s="339"/>
      <c r="AI988" s="336"/>
      <c r="AJ988" s="336"/>
      <c r="AK988" s="848">
        <v>0</v>
      </c>
      <c r="AL988" s="836"/>
      <c r="AM988" s="836">
        <v>0</v>
      </c>
      <c r="AN988" s="848"/>
      <c r="AO988" s="850">
        <v>0</v>
      </c>
      <c r="AP988" s="839"/>
      <c r="AQ988" s="839"/>
      <c r="AR988" s="839"/>
      <c r="AS988" s="839"/>
      <c r="AT988" s="839"/>
      <c r="AU988" s="839"/>
      <c r="AV988" s="849"/>
      <c r="AW988" s="134" t="s">
        <v>3208</v>
      </c>
      <c r="AX988" s="136" t="s">
        <v>3208</v>
      </c>
      <c r="AY988" s="137" t="s">
        <v>2576</v>
      </c>
      <c r="AZ988" s="136">
        <v>0</v>
      </c>
      <c r="BA988" s="136">
        <v>0</v>
      </c>
      <c r="BB988" s="136">
        <v>0</v>
      </c>
      <c r="BC988" s="214">
        <v>0</v>
      </c>
      <c r="BD988" s="136">
        <v>0</v>
      </c>
      <c r="BE988" s="214">
        <v>0</v>
      </c>
      <c r="BF988" s="136">
        <v>0</v>
      </c>
      <c r="BG988" s="214">
        <v>0</v>
      </c>
      <c r="BH988" s="214">
        <v>0</v>
      </c>
      <c r="BI988" s="134">
        <v>1</v>
      </c>
      <c r="BJ988" s="214">
        <v>136</v>
      </c>
      <c r="BK988" s="137">
        <v>1</v>
      </c>
      <c r="BL988" s="137">
        <v>1</v>
      </c>
      <c r="BM988" s="137">
        <v>0</v>
      </c>
      <c r="BN988" s="134">
        <v>0</v>
      </c>
      <c r="BO988" s="351">
        <v>0</v>
      </c>
      <c r="BP988" s="134">
        <v>1</v>
      </c>
      <c r="BQ988" s="214">
        <v>23</v>
      </c>
      <c r="BR988" s="137">
        <v>23</v>
      </c>
      <c r="BS988" s="138">
        <v>0</v>
      </c>
      <c r="BT988" s="351" t="s">
        <v>103</v>
      </c>
      <c r="BU988" s="214">
        <v>0</v>
      </c>
      <c r="BV988" s="214">
        <v>0</v>
      </c>
      <c r="BW988" s="214">
        <v>0</v>
      </c>
      <c r="BX988" s="214">
        <v>0</v>
      </c>
      <c r="BY988" s="214">
        <v>0</v>
      </c>
      <c r="BZ988" s="134">
        <v>0</v>
      </c>
      <c r="CA988" s="138">
        <v>1</v>
      </c>
      <c r="CB988" s="136">
        <v>0</v>
      </c>
      <c r="CC988" s="136">
        <v>0</v>
      </c>
      <c r="CD988" s="136">
        <v>0</v>
      </c>
      <c r="CE988" s="137">
        <v>0</v>
      </c>
      <c r="CF988" s="137">
        <v>0</v>
      </c>
      <c r="CG988" s="137">
        <v>0</v>
      </c>
      <c r="CH988" s="214">
        <v>0</v>
      </c>
      <c r="CI988" s="139">
        <v>0</v>
      </c>
      <c r="CJ988" s="139">
        <v>0</v>
      </c>
      <c r="CK988" s="139" t="s">
        <v>975</v>
      </c>
      <c r="CL988" s="139" t="s">
        <v>969</v>
      </c>
      <c r="CM988" s="139" t="s">
        <v>975</v>
      </c>
      <c r="CN988" s="139" t="s">
        <v>978</v>
      </c>
      <c r="CO988" s="139">
        <v>19.619289398193398</v>
      </c>
      <c r="CP988" s="139">
        <v>93.959686279296903</v>
      </c>
      <c r="CQ988" s="139" t="s">
        <v>1576</v>
      </c>
      <c r="CR988" s="449" t="s">
        <v>40</v>
      </c>
      <c r="CS988" s="449"/>
    </row>
    <row r="989" spans="1:100" x14ac:dyDescent="0.25">
      <c r="A989" s="643" t="s">
        <v>1388</v>
      </c>
      <c r="B989" s="132" t="s">
        <v>2444</v>
      </c>
      <c r="C989" s="132" t="s">
        <v>454</v>
      </c>
      <c r="D989" s="132" t="s">
        <v>486</v>
      </c>
      <c r="E989" s="132" t="s">
        <v>532</v>
      </c>
      <c r="F989" s="132">
        <v>58</v>
      </c>
      <c r="G989" s="214">
        <v>290</v>
      </c>
      <c r="H989" s="132"/>
      <c r="I989" s="132" t="s">
        <v>488</v>
      </c>
      <c r="J989" s="133">
        <v>43586</v>
      </c>
      <c r="K989" s="132"/>
      <c r="L989" s="132" t="s">
        <v>48</v>
      </c>
      <c r="M989" s="134">
        <v>0</v>
      </c>
      <c r="N989" s="134">
        <v>0</v>
      </c>
      <c r="O989" s="320">
        <v>0</v>
      </c>
      <c r="P989" s="326">
        <v>0</v>
      </c>
      <c r="Q989" s="326"/>
      <c r="R989" s="315"/>
      <c r="S989" s="315">
        <v>0</v>
      </c>
      <c r="T989" s="315"/>
      <c r="U989" s="315"/>
      <c r="V989" s="315"/>
      <c r="W989" s="315"/>
      <c r="X989" s="315"/>
      <c r="Y989" s="315"/>
      <c r="Z989" s="315"/>
      <c r="AA989" s="336">
        <v>0</v>
      </c>
      <c r="AB989" s="336"/>
      <c r="AC989" s="337"/>
      <c r="AD989" s="337"/>
      <c r="AE989" s="336">
        <v>0</v>
      </c>
      <c r="AF989" s="336" t="s">
        <v>286</v>
      </c>
      <c r="AG989" s="339" t="s">
        <v>286</v>
      </c>
      <c r="AH989" s="339"/>
      <c r="AI989" s="336"/>
      <c r="AJ989" s="336"/>
      <c r="AK989" s="848">
        <v>0</v>
      </c>
      <c r="AL989" s="836"/>
      <c r="AM989" s="836">
        <v>0</v>
      </c>
      <c r="AN989" s="848"/>
      <c r="AO989" s="850">
        <v>0</v>
      </c>
      <c r="AP989" s="839"/>
      <c r="AQ989" s="839"/>
      <c r="AR989" s="839"/>
      <c r="AS989" s="839"/>
      <c r="AT989" s="839"/>
      <c r="AU989" s="839"/>
      <c r="AV989" s="849"/>
      <c r="AW989" s="134" t="s">
        <v>3208</v>
      </c>
      <c r="AX989" s="136" t="s">
        <v>3208</v>
      </c>
      <c r="AY989" s="137" t="s">
        <v>2576</v>
      </c>
      <c r="AZ989" s="136">
        <v>0</v>
      </c>
      <c r="BA989" s="136">
        <v>0</v>
      </c>
      <c r="BB989" s="136">
        <v>0</v>
      </c>
      <c r="BC989" s="214">
        <v>0</v>
      </c>
      <c r="BD989" s="136">
        <v>0</v>
      </c>
      <c r="BE989" s="214">
        <v>0</v>
      </c>
      <c r="BF989" s="136">
        <v>0</v>
      </c>
      <c r="BG989" s="214">
        <v>0</v>
      </c>
      <c r="BH989" s="214">
        <v>0</v>
      </c>
      <c r="BI989" s="134">
        <v>1</v>
      </c>
      <c r="BJ989" s="214">
        <v>290</v>
      </c>
      <c r="BK989" s="137">
        <v>1</v>
      </c>
      <c r="BL989" s="137">
        <v>1</v>
      </c>
      <c r="BM989" s="137">
        <v>0</v>
      </c>
      <c r="BN989" s="134">
        <v>0</v>
      </c>
      <c r="BO989" s="351">
        <v>0</v>
      </c>
      <c r="BP989" s="134">
        <v>0.99310344827586206</v>
      </c>
      <c r="BQ989" s="214">
        <v>48</v>
      </c>
      <c r="BR989" s="137">
        <v>48</v>
      </c>
      <c r="BS989" s="138">
        <v>0</v>
      </c>
      <c r="BT989" s="351" t="s">
        <v>103</v>
      </c>
      <c r="BU989" s="214">
        <v>0</v>
      </c>
      <c r="BV989" s="214">
        <v>0</v>
      </c>
      <c r="BW989" s="214">
        <v>0</v>
      </c>
      <c r="BX989" s="214">
        <v>0</v>
      </c>
      <c r="BY989" s="214">
        <v>0</v>
      </c>
      <c r="BZ989" s="134">
        <v>0</v>
      </c>
      <c r="CA989" s="138">
        <v>1</v>
      </c>
      <c r="CB989" s="136">
        <v>0</v>
      </c>
      <c r="CC989" s="136">
        <v>0</v>
      </c>
      <c r="CD989" s="136">
        <v>0</v>
      </c>
      <c r="CE989" s="137">
        <v>0</v>
      </c>
      <c r="CF989" s="137">
        <v>0</v>
      </c>
      <c r="CG989" s="137">
        <v>0</v>
      </c>
      <c r="CH989" s="214">
        <v>0</v>
      </c>
      <c r="CI989" s="139">
        <v>0</v>
      </c>
      <c r="CJ989" s="139">
        <v>0</v>
      </c>
      <c r="CK989" s="139" t="s">
        <v>975</v>
      </c>
      <c r="CL989" s="139" t="s">
        <v>969</v>
      </c>
      <c r="CM989" s="139" t="s">
        <v>975</v>
      </c>
      <c r="CN989" s="139" t="s">
        <v>454</v>
      </c>
      <c r="CO989" s="139">
        <v>19.484790802001999</v>
      </c>
      <c r="CP989" s="139">
        <v>94.007926940917997</v>
      </c>
      <c r="CQ989" s="139" t="s">
        <v>1572</v>
      </c>
      <c r="CR989" s="449" t="s">
        <v>40</v>
      </c>
      <c r="CS989" s="449"/>
    </row>
    <row r="990" spans="1:100" x14ac:dyDescent="0.25">
      <c r="A990" s="643" t="s">
        <v>1388</v>
      </c>
      <c r="B990" s="132" t="s">
        <v>2444</v>
      </c>
      <c r="C990" s="132" t="s">
        <v>454</v>
      </c>
      <c r="D990" s="132" t="s">
        <v>486</v>
      </c>
      <c r="E990" s="132" t="s">
        <v>487</v>
      </c>
      <c r="F990" s="132">
        <v>194</v>
      </c>
      <c r="G990" s="214">
        <v>972</v>
      </c>
      <c r="H990" s="132"/>
      <c r="I990" s="132" t="s">
        <v>488</v>
      </c>
      <c r="J990" s="133">
        <v>43586</v>
      </c>
      <c r="K990" s="132"/>
      <c r="L990" s="132" t="s">
        <v>48</v>
      </c>
      <c r="M990" s="134">
        <v>0</v>
      </c>
      <c r="N990" s="134">
        <v>0</v>
      </c>
      <c r="O990" s="320">
        <v>0</v>
      </c>
      <c r="P990" s="326">
        <v>0</v>
      </c>
      <c r="Q990" s="326"/>
      <c r="R990" s="315"/>
      <c r="S990" s="315">
        <v>0</v>
      </c>
      <c r="T990" s="315"/>
      <c r="U990" s="315"/>
      <c r="V990" s="315"/>
      <c r="W990" s="315"/>
      <c r="X990" s="315"/>
      <c r="Y990" s="315"/>
      <c r="Z990" s="315"/>
      <c r="AA990" s="336">
        <v>0</v>
      </c>
      <c r="AB990" s="336"/>
      <c r="AC990" s="337"/>
      <c r="AD990" s="337"/>
      <c r="AE990" s="336">
        <v>0</v>
      </c>
      <c r="AF990" s="336" t="s">
        <v>286</v>
      </c>
      <c r="AG990" s="339" t="s">
        <v>286</v>
      </c>
      <c r="AH990" s="339"/>
      <c r="AI990" s="336"/>
      <c r="AJ990" s="336"/>
      <c r="AK990" s="848">
        <v>0</v>
      </c>
      <c r="AL990" s="836"/>
      <c r="AM990" s="836">
        <v>0</v>
      </c>
      <c r="AN990" s="848"/>
      <c r="AO990" s="850">
        <v>0</v>
      </c>
      <c r="AP990" s="839"/>
      <c r="AQ990" s="839"/>
      <c r="AR990" s="839"/>
      <c r="AS990" s="839"/>
      <c r="AT990" s="839"/>
      <c r="AU990" s="839"/>
      <c r="AV990" s="849"/>
      <c r="AW990" s="134" t="s">
        <v>3208</v>
      </c>
      <c r="AX990" s="136" t="s">
        <v>3208</v>
      </c>
      <c r="AY990" s="137" t="s">
        <v>2576</v>
      </c>
      <c r="AZ990" s="136">
        <v>0</v>
      </c>
      <c r="BA990" s="136">
        <v>0</v>
      </c>
      <c r="BB990" s="136">
        <v>0</v>
      </c>
      <c r="BC990" s="214">
        <v>0</v>
      </c>
      <c r="BD990" s="136">
        <v>0</v>
      </c>
      <c r="BE990" s="214">
        <v>0</v>
      </c>
      <c r="BF990" s="136">
        <v>0</v>
      </c>
      <c r="BG990" s="214">
        <v>0</v>
      </c>
      <c r="BH990" s="214">
        <v>0</v>
      </c>
      <c r="BI990" s="134">
        <v>1</v>
      </c>
      <c r="BJ990" s="214">
        <v>972</v>
      </c>
      <c r="BK990" s="137">
        <v>2</v>
      </c>
      <c r="BL990" s="137">
        <v>2</v>
      </c>
      <c r="BM990" s="137">
        <v>0</v>
      </c>
      <c r="BN990" s="134">
        <v>0</v>
      </c>
      <c r="BO990" s="351">
        <v>0</v>
      </c>
      <c r="BP990" s="134">
        <v>1</v>
      </c>
      <c r="BQ990" s="214">
        <v>162</v>
      </c>
      <c r="BR990" s="137">
        <v>162</v>
      </c>
      <c r="BS990" s="138">
        <v>0</v>
      </c>
      <c r="BT990" s="351" t="s">
        <v>103</v>
      </c>
      <c r="BU990" s="214">
        <v>0</v>
      </c>
      <c r="BV990" s="214">
        <v>0</v>
      </c>
      <c r="BW990" s="214">
        <v>0</v>
      </c>
      <c r="BX990" s="214">
        <v>0</v>
      </c>
      <c r="BY990" s="214">
        <v>0</v>
      </c>
      <c r="BZ990" s="134">
        <v>0</v>
      </c>
      <c r="CA990" s="138">
        <v>1</v>
      </c>
      <c r="CB990" s="136">
        <v>0</v>
      </c>
      <c r="CC990" s="136">
        <v>0</v>
      </c>
      <c r="CD990" s="136">
        <v>0</v>
      </c>
      <c r="CE990" s="137">
        <v>0</v>
      </c>
      <c r="CF990" s="137">
        <v>0</v>
      </c>
      <c r="CG990" s="137">
        <v>0</v>
      </c>
      <c r="CH990" s="214">
        <v>0</v>
      </c>
      <c r="CI990" s="139">
        <v>0</v>
      </c>
      <c r="CJ990" s="139">
        <v>0</v>
      </c>
      <c r="CK990" s="139" t="s">
        <v>975</v>
      </c>
      <c r="CL990" s="139" t="s">
        <v>969</v>
      </c>
      <c r="CM990" s="139" t="s">
        <v>975</v>
      </c>
      <c r="CN990" s="139" t="s">
        <v>982</v>
      </c>
      <c r="CO990" s="139">
        <v>0</v>
      </c>
      <c r="CP990" s="139">
        <v>0</v>
      </c>
      <c r="CQ990" s="139">
        <v>0</v>
      </c>
      <c r="CR990" s="449" t="s">
        <v>40</v>
      </c>
      <c r="CS990" s="449"/>
    </row>
    <row r="991" spans="1:100" ht="15.75" customHeight="1" x14ac:dyDescent="0.25">
      <c r="A991" s="643" t="s">
        <v>1388</v>
      </c>
      <c r="B991" s="132" t="s">
        <v>2444</v>
      </c>
      <c r="C991" s="132" t="s">
        <v>454</v>
      </c>
      <c r="D991" s="132" t="s">
        <v>486</v>
      </c>
      <c r="E991" s="132" t="s">
        <v>555</v>
      </c>
      <c r="F991" s="132">
        <v>104</v>
      </c>
      <c r="G991" s="214">
        <v>521</v>
      </c>
      <c r="H991" s="132"/>
      <c r="I991" s="132" t="s">
        <v>488</v>
      </c>
      <c r="J991" s="133">
        <v>43586</v>
      </c>
      <c r="K991" s="132"/>
      <c r="L991" s="132" t="s">
        <v>48</v>
      </c>
      <c r="M991" s="134">
        <v>0</v>
      </c>
      <c r="N991" s="134">
        <v>0</v>
      </c>
      <c r="O991" s="320">
        <v>0</v>
      </c>
      <c r="P991" s="326">
        <v>0</v>
      </c>
      <c r="Q991" s="326"/>
      <c r="R991" s="315"/>
      <c r="S991" s="315">
        <v>0</v>
      </c>
      <c r="T991" s="315"/>
      <c r="U991" s="315"/>
      <c r="V991" s="315"/>
      <c r="W991" s="315"/>
      <c r="X991" s="315"/>
      <c r="Y991" s="315"/>
      <c r="Z991" s="315"/>
      <c r="AA991" s="336">
        <v>0</v>
      </c>
      <c r="AB991" s="336"/>
      <c r="AC991" s="337"/>
      <c r="AD991" s="337"/>
      <c r="AE991" s="336">
        <v>0</v>
      </c>
      <c r="AF991" s="336" t="s">
        <v>286</v>
      </c>
      <c r="AG991" s="339" t="s">
        <v>286</v>
      </c>
      <c r="AH991" s="339"/>
      <c r="AI991" s="336"/>
      <c r="AJ991" s="336"/>
      <c r="AK991" s="848">
        <v>0</v>
      </c>
      <c r="AL991" s="836"/>
      <c r="AM991" s="836">
        <v>0</v>
      </c>
      <c r="AN991" s="848"/>
      <c r="AO991" s="850">
        <v>0</v>
      </c>
      <c r="AP991" s="838"/>
      <c r="AQ991" s="839"/>
      <c r="AR991" s="839"/>
      <c r="AS991" s="839"/>
      <c r="AT991" s="839"/>
      <c r="AU991" s="839"/>
      <c r="AV991" s="849"/>
      <c r="AW991" s="134" t="s">
        <v>3208</v>
      </c>
      <c r="AX991" s="136" t="s">
        <v>3208</v>
      </c>
      <c r="AY991" s="137" t="s">
        <v>2576</v>
      </c>
      <c r="AZ991" s="136">
        <v>0</v>
      </c>
      <c r="BA991" s="136">
        <v>0</v>
      </c>
      <c r="BB991" s="136">
        <v>0</v>
      </c>
      <c r="BC991" s="214">
        <v>0</v>
      </c>
      <c r="BD991" s="136">
        <v>0</v>
      </c>
      <c r="BE991" s="214">
        <v>0</v>
      </c>
      <c r="BF991" s="136">
        <v>0</v>
      </c>
      <c r="BG991" s="214">
        <v>0</v>
      </c>
      <c r="BH991" s="214">
        <v>0</v>
      </c>
      <c r="BI991" s="134">
        <v>1</v>
      </c>
      <c r="BJ991" s="214">
        <v>521</v>
      </c>
      <c r="BK991" s="137">
        <v>1</v>
      </c>
      <c r="BL991" s="137">
        <v>1</v>
      </c>
      <c r="BM991" s="137">
        <v>0</v>
      </c>
      <c r="BN991" s="134">
        <v>0</v>
      </c>
      <c r="BO991" s="351">
        <v>0</v>
      </c>
      <c r="BP991" s="134">
        <v>1</v>
      </c>
      <c r="BQ991" s="214">
        <v>87</v>
      </c>
      <c r="BR991" s="137">
        <v>87</v>
      </c>
      <c r="BS991" s="138">
        <v>0</v>
      </c>
      <c r="BT991" s="351" t="s">
        <v>103</v>
      </c>
      <c r="BU991" s="214">
        <v>0</v>
      </c>
      <c r="BV991" s="214">
        <v>0</v>
      </c>
      <c r="BW991" s="214">
        <v>0</v>
      </c>
      <c r="BX991" s="214">
        <v>0</v>
      </c>
      <c r="BY991" s="214">
        <v>0</v>
      </c>
      <c r="BZ991" s="134">
        <v>0</v>
      </c>
      <c r="CA991" s="138">
        <v>1</v>
      </c>
      <c r="CB991" s="136">
        <v>0</v>
      </c>
      <c r="CC991" s="136">
        <v>0</v>
      </c>
      <c r="CD991" s="136">
        <v>0</v>
      </c>
      <c r="CE991" s="137">
        <v>0</v>
      </c>
      <c r="CF991" s="137">
        <v>0</v>
      </c>
      <c r="CG991" s="137">
        <v>0</v>
      </c>
      <c r="CH991" s="214">
        <v>0</v>
      </c>
      <c r="CI991" s="139">
        <v>0</v>
      </c>
      <c r="CJ991" s="139">
        <v>0</v>
      </c>
      <c r="CK991" s="139" t="s">
        <v>975</v>
      </c>
      <c r="CL991" s="139" t="s">
        <v>969</v>
      </c>
      <c r="CM991" s="139" t="s">
        <v>975</v>
      </c>
      <c r="CN991" s="139" t="s">
        <v>454</v>
      </c>
      <c r="CO991" s="139">
        <v>19.989589691162099</v>
      </c>
      <c r="CP991" s="139">
        <v>93.823867797851605</v>
      </c>
      <c r="CQ991" s="139" t="s">
        <v>1595</v>
      </c>
      <c r="CR991" s="449" t="s">
        <v>40</v>
      </c>
      <c r="CS991" s="449"/>
      <c r="CT991" s="24"/>
      <c r="CU991" s="24"/>
      <c r="CV991" s="24"/>
    </row>
    <row r="992" spans="1:100" ht="15.75" customHeight="1" x14ac:dyDescent="0.25">
      <c r="A992" s="643" t="s">
        <v>1388</v>
      </c>
      <c r="B992" s="132" t="s">
        <v>2444</v>
      </c>
      <c r="C992" s="132" t="s">
        <v>454</v>
      </c>
      <c r="D992" s="132" t="s">
        <v>486</v>
      </c>
      <c r="E992" s="132" t="s">
        <v>544</v>
      </c>
      <c r="F992" s="132">
        <v>44</v>
      </c>
      <c r="G992" s="214">
        <v>221</v>
      </c>
      <c r="H992" s="132"/>
      <c r="I992" s="132" t="s">
        <v>488</v>
      </c>
      <c r="J992" s="133">
        <v>43586</v>
      </c>
      <c r="K992" s="132"/>
      <c r="L992" s="132" t="s">
        <v>48</v>
      </c>
      <c r="M992" s="134">
        <v>0</v>
      </c>
      <c r="N992" s="134">
        <v>0</v>
      </c>
      <c r="O992" s="320">
        <v>0</v>
      </c>
      <c r="P992" s="326">
        <v>0</v>
      </c>
      <c r="Q992" s="326"/>
      <c r="R992" s="315"/>
      <c r="S992" s="315">
        <v>0</v>
      </c>
      <c r="T992" s="315"/>
      <c r="U992" s="315"/>
      <c r="V992" s="315"/>
      <c r="W992" s="315"/>
      <c r="X992" s="315"/>
      <c r="Y992" s="315"/>
      <c r="Z992" s="315"/>
      <c r="AA992" s="336">
        <v>0</v>
      </c>
      <c r="AB992" s="336"/>
      <c r="AC992" s="337"/>
      <c r="AD992" s="337"/>
      <c r="AE992" s="336">
        <v>0</v>
      </c>
      <c r="AF992" s="336" t="s">
        <v>286</v>
      </c>
      <c r="AG992" s="339" t="s">
        <v>286</v>
      </c>
      <c r="AH992" s="339"/>
      <c r="AI992" s="336"/>
      <c r="AJ992" s="336"/>
      <c r="AK992" s="848">
        <v>0</v>
      </c>
      <c r="AL992" s="836"/>
      <c r="AM992" s="836">
        <v>0</v>
      </c>
      <c r="AN992" s="848"/>
      <c r="AO992" s="850">
        <v>0</v>
      </c>
      <c r="AP992" s="838"/>
      <c r="AQ992" s="839"/>
      <c r="AR992" s="839"/>
      <c r="AS992" s="839"/>
      <c r="AT992" s="839"/>
      <c r="AU992" s="839"/>
      <c r="AV992" s="849"/>
      <c r="AW992" s="134" t="s">
        <v>3208</v>
      </c>
      <c r="AX992" s="136" t="s">
        <v>3208</v>
      </c>
      <c r="AY992" s="137" t="s">
        <v>2576</v>
      </c>
      <c r="AZ992" s="136">
        <v>0</v>
      </c>
      <c r="BA992" s="136">
        <v>0</v>
      </c>
      <c r="BB992" s="136">
        <v>0</v>
      </c>
      <c r="BC992" s="214">
        <v>0</v>
      </c>
      <c r="BD992" s="136">
        <v>0</v>
      </c>
      <c r="BE992" s="214">
        <v>0</v>
      </c>
      <c r="BF992" s="136">
        <v>0</v>
      </c>
      <c r="BG992" s="214">
        <v>0</v>
      </c>
      <c r="BH992" s="214">
        <v>0</v>
      </c>
      <c r="BI992" s="134">
        <v>1</v>
      </c>
      <c r="BJ992" s="214">
        <v>221</v>
      </c>
      <c r="BK992" s="137">
        <v>1</v>
      </c>
      <c r="BL992" s="137">
        <v>1</v>
      </c>
      <c r="BM992" s="137">
        <v>0</v>
      </c>
      <c r="BN992" s="134">
        <v>0</v>
      </c>
      <c r="BO992" s="351">
        <v>0</v>
      </c>
      <c r="BP992" s="134">
        <v>1</v>
      </c>
      <c r="BQ992" s="214">
        <v>37</v>
      </c>
      <c r="BR992" s="137">
        <v>37</v>
      </c>
      <c r="BS992" s="138">
        <v>0</v>
      </c>
      <c r="BT992" s="351" t="s">
        <v>103</v>
      </c>
      <c r="BU992" s="214">
        <v>0</v>
      </c>
      <c r="BV992" s="214">
        <v>0</v>
      </c>
      <c r="BW992" s="214">
        <v>0</v>
      </c>
      <c r="BX992" s="214">
        <v>0</v>
      </c>
      <c r="BY992" s="214">
        <v>0</v>
      </c>
      <c r="BZ992" s="134">
        <v>0</v>
      </c>
      <c r="CA992" s="138">
        <v>1</v>
      </c>
      <c r="CB992" s="136">
        <v>0</v>
      </c>
      <c r="CC992" s="136">
        <v>0</v>
      </c>
      <c r="CD992" s="136">
        <v>0</v>
      </c>
      <c r="CE992" s="137">
        <v>0</v>
      </c>
      <c r="CF992" s="137">
        <v>0</v>
      </c>
      <c r="CG992" s="137">
        <v>0</v>
      </c>
      <c r="CH992" s="214">
        <v>0</v>
      </c>
      <c r="CI992" s="139">
        <v>0</v>
      </c>
      <c r="CJ992" s="139">
        <v>0</v>
      </c>
      <c r="CK992" s="139" t="s">
        <v>975</v>
      </c>
      <c r="CL992" s="139" t="s">
        <v>969</v>
      </c>
      <c r="CM992" s="139" t="s">
        <v>975</v>
      </c>
      <c r="CN992" s="139" t="s">
        <v>454</v>
      </c>
      <c r="CO992" s="139">
        <v>19.725629806518601</v>
      </c>
      <c r="CP992" s="139">
        <v>94.031059265136705</v>
      </c>
      <c r="CQ992" s="139" t="s">
        <v>1583</v>
      </c>
      <c r="CR992" s="449" t="s">
        <v>40</v>
      </c>
      <c r="CS992" s="449"/>
      <c r="CT992" s="24"/>
      <c r="CU992" s="24"/>
      <c r="CV992" s="24"/>
    </row>
    <row r="993" spans="1:100" ht="15.75" customHeight="1" x14ac:dyDescent="0.25">
      <c r="A993" s="643" t="s">
        <v>1388</v>
      </c>
      <c r="B993" s="132" t="s">
        <v>2444</v>
      </c>
      <c r="C993" s="132" t="s">
        <v>454</v>
      </c>
      <c r="D993" s="132" t="s">
        <v>486</v>
      </c>
      <c r="E993" s="132" t="s">
        <v>533</v>
      </c>
      <c r="F993" s="132">
        <v>47</v>
      </c>
      <c r="G993" s="214">
        <v>237</v>
      </c>
      <c r="H993" s="132"/>
      <c r="I993" s="132" t="s">
        <v>488</v>
      </c>
      <c r="J993" s="133">
        <v>43586</v>
      </c>
      <c r="K993" s="132"/>
      <c r="L993" s="132" t="s">
        <v>48</v>
      </c>
      <c r="M993" s="134">
        <v>0</v>
      </c>
      <c r="N993" s="134">
        <v>0</v>
      </c>
      <c r="O993" s="320">
        <v>0</v>
      </c>
      <c r="P993" s="326">
        <v>0</v>
      </c>
      <c r="Q993" s="326"/>
      <c r="R993" s="315"/>
      <c r="S993" s="315">
        <v>0</v>
      </c>
      <c r="T993" s="315"/>
      <c r="U993" s="315"/>
      <c r="V993" s="315"/>
      <c r="W993" s="315"/>
      <c r="X993" s="315"/>
      <c r="Y993" s="315"/>
      <c r="Z993" s="315"/>
      <c r="AA993" s="336">
        <v>0</v>
      </c>
      <c r="AB993" s="336"/>
      <c r="AC993" s="337"/>
      <c r="AD993" s="337"/>
      <c r="AE993" s="336">
        <v>0</v>
      </c>
      <c r="AF993" s="336" t="s">
        <v>286</v>
      </c>
      <c r="AG993" s="339" t="s">
        <v>286</v>
      </c>
      <c r="AH993" s="339"/>
      <c r="AI993" s="336"/>
      <c r="AJ993" s="336"/>
      <c r="AK993" s="848">
        <v>0</v>
      </c>
      <c r="AL993" s="836"/>
      <c r="AM993" s="836">
        <v>0</v>
      </c>
      <c r="AN993" s="848"/>
      <c r="AO993" s="850">
        <v>0</v>
      </c>
      <c r="AP993" s="838"/>
      <c r="AQ993" s="839"/>
      <c r="AR993" s="839"/>
      <c r="AS993" s="839"/>
      <c r="AT993" s="839"/>
      <c r="AU993" s="839"/>
      <c r="AV993" s="849"/>
      <c r="AW993" s="134" t="s">
        <v>3208</v>
      </c>
      <c r="AX993" s="136" t="s">
        <v>3208</v>
      </c>
      <c r="AY993" s="137" t="s">
        <v>2576</v>
      </c>
      <c r="AZ993" s="136">
        <v>0</v>
      </c>
      <c r="BA993" s="136">
        <v>0</v>
      </c>
      <c r="BB993" s="136">
        <v>0</v>
      </c>
      <c r="BC993" s="214">
        <v>0</v>
      </c>
      <c r="BD993" s="136">
        <v>0</v>
      </c>
      <c r="BE993" s="214">
        <v>0</v>
      </c>
      <c r="BF993" s="136">
        <v>0</v>
      </c>
      <c r="BG993" s="214">
        <v>0</v>
      </c>
      <c r="BH993" s="214">
        <v>0</v>
      </c>
      <c r="BI993" s="134">
        <v>1</v>
      </c>
      <c r="BJ993" s="214">
        <v>237</v>
      </c>
      <c r="BK993" s="137">
        <v>1</v>
      </c>
      <c r="BL993" s="137">
        <v>1</v>
      </c>
      <c r="BM993" s="137">
        <v>0</v>
      </c>
      <c r="BN993" s="134">
        <v>0</v>
      </c>
      <c r="BO993" s="351">
        <v>0</v>
      </c>
      <c r="BP993" s="134">
        <v>1</v>
      </c>
      <c r="BQ993" s="214">
        <v>40</v>
      </c>
      <c r="BR993" s="137">
        <v>40</v>
      </c>
      <c r="BS993" s="138">
        <v>0</v>
      </c>
      <c r="BT993" s="351" t="s">
        <v>103</v>
      </c>
      <c r="BU993" s="214">
        <v>0</v>
      </c>
      <c r="BV993" s="214">
        <v>0</v>
      </c>
      <c r="BW993" s="214">
        <v>0</v>
      </c>
      <c r="BX993" s="214">
        <v>0</v>
      </c>
      <c r="BY993" s="214">
        <v>0</v>
      </c>
      <c r="BZ993" s="134">
        <v>0</v>
      </c>
      <c r="CA993" s="138">
        <v>1</v>
      </c>
      <c r="CB993" s="136">
        <v>0</v>
      </c>
      <c r="CC993" s="136">
        <v>0</v>
      </c>
      <c r="CD993" s="136">
        <v>0</v>
      </c>
      <c r="CE993" s="137">
        <v>0</v>
      </c>
      <c r="CF993" s="137">
        <v>0</v>
      </c>
      <c r="CG993" s="137">
        <v>0</v>
      </c>
      <c r="CH993" s="214">
        <v>0</v>
      </c>
      <c r="CI993" s="139">
        <v>0</v>
      </c>
      <c r="CJ993" s="139">
        <v>0</v>
      </c>
      <c r="CK993" s="139" t="s">
        <v>975</v>
      </c>
      <c r="CL993" s="139" t="s">
        <v>969</v>
      </c>
      <c r="CM993" s="139" t="s">
        <v>975</v>
      </c>
      <c r="CN993" s="139" t="s">
        <v>454</v>
      </c>
      <c r="CO993" s="139">
        <v>19.591590881347699</v>
      </c>
      <c r="CP993" s="139">
        <v>93.808258056640597</v>
      </c>
      <c r="CQ993" s="139">
        <v>199195</v>
      </c>
      <c r="CR993" s="449" t="s">
        <v>40</v>
      </c>
      <c r="CS993" s="449"/>
      <c r="CT993" s="24"/>
      <c r="CU993" s="24"/>
      <c r="CV993" s="24"/>
    </row>
    <row r="994" spans="1:100" ht="15.75" customHeight="1" x14ac:dyDescent="0.25">
      <c r="A994" s="643" t="s">
        <v>1388</v>
      </c>
      <c r="B994" s="132" t="s">
        <v>2444</v>
      </c>
      <c r="C994" s="132" t="s">
        <v>454</v>
      </c>
      <c r="D994" s="132" t="s">
        <v>486</v>
      </c>
      <c r="E994" s="132" t="s">
        <v>539</v>
      </c>
      <c r="F994" s="132">
        <v>89</v>
      </c>
      <c r="G994" s="214">
        <v>443</v>
      </c>
      <c r="H994" s="132"/>
      <c r="I994" s="132" t="s">
        <v>488</v>
      </c>
      <c r="J994" s="133">
        <v>43586</v>
      </c>
      <c r="K994" s="132"/>
      <c r="L994" s="132" t="s">
        <v>48</v>
      </c>
      <c r="M994" s="134">
        <v>0</v>
      </c>
      <c r="N994" s="134">
        <v>0</v>
      </c>
      <c r="O994" s="320">
        <v>0</v>
      </c>
      <c r="P994" s="326">
        <v>0</v>
      </c>
      <c r="Q994" s="326"/>
      <c r="R994" s="315"/>
      <c r="S994" s="315">
        <v>0</v>
      </c>
      <c r="T994" s="315"/>
      <c r="U994" s="315"/>
      <c r="V994" s="315"/>
      <c r="W994" s="315"/>
      <c r="X994" s="315"/>
      <c r="Y994" s="315"/>
      <c r="Z994" s="315"/>
      <c r="AA994" s="336">
        <v>0</v>
      </c>
      <c r="AB994" s="336"/>
      <c r="AC994" s="337"/>
      <c r="AD994" s="337"/>
      <c r="AE994" s="336">
        <v>0</v>
      </c>
      <c r="AF994" s="336" t="s">
        <v>286</v>
      </c>
      <c r="AG994" s="339" t="s">
        <v>286</v>
      </c>
      <c r="AH994" s="339"/>
      <c r="AI994" s="336"/>
      <c r="AJ994" s="336"/>
      <c r="AK994" s="848">
        <v>0</v>
      </c>
      <c r="AL994" s="836"/>
      <c r="AM994" s="836">
        <v>0</v>
      </c>
      <c r="AN994" s="848"/>
      <c r="AO994" s="850">
        <v>0</v>
      </c>
      <c r="AP994" s="838"/>
      <c r="AQ994" s="839"/>
      <c r="AR994" s="839"/>
      <c r="AS994" s="839"/>
      <c r="AT994" s="839"/>
      <c r="AU994" s="839"/>
      <c r="AV994" s="849"/>
      <c r="AW994" s="134" t="s">
        <v>3208</v>
      </c>
      <c r="AX994" s="136" t="s">
        <v>3208</v>
      </c>
      <c r="AY994" s="137" t="s">
        <v>2576</v>
      </c>
      <c r="AZ994" s="136">
        <v>0</v>
      </c>
      <c r="BA994" s="136">
        <v>0</v>
      </c>
      <c r="BB994" s="136">
        <v>0</v>
      </c>
      <c r="BC994" s="214">
        <v>0</v>
      </c>
      <c r="BD994" s="136">
        <v>0</v>
      </c>
      <c r="BE994" s="214">
        <v>0</v>
      </c>
      <c r="BF994" s="136">
        <v>0</v>
      </c>
      <c r="BG994" s="214">
        <v>0</v>
      </c>
      <c r="BH994" s="214">
        <v>0</v>
      </c>
      <c r="BI994" s="134">
        <v>1</v>
      </c>
      <c r="BJ994" s="214">
        <v>443</v>
      </c>
      <c r="BK994" s="137">
        <v>1</v>
      </c>
      <c r="BL994" s="137">
        <v>1</v>
      </c>
      <c r="BM994" s="137">
        <v>0</v>
      </c>
      <c r="BN994" s="134">
        <v>0</v>
      </c>
      <c r="BO994" s="351">
        <v>0</v>
      </c>
      <c r="BP994" s="134">
        <v>1</v>
      </c>
      <c r="BQ994" s="214">
        <v>74</v>
      </c>
      <c r="BR994" s="137">
        <v>74</v>
      </c>
      <c r="BS994" s="138">
        <v>0</v>
      </c>
      <c r="BT994" s="351" t="s">
        <v>103</v>
      </c>
      <c r="BU994" s="214">
        <v>0</v>
      </c>
      <c r="BV994" s="214">
        <v>0</v>
      </c>
      <c r="BW994" s="214">
        <v>0</v>
      </c>
      <c r="BX994" s="214">
        <v>0</v>
      </c>
      <c r="BY994" s="214">
        <v>0</v>
      </c>
      <c r="BZ994" s="134">
        <v>0</v>
      </c>
      <c r="CA994" s="138">
        <v>1</v>
      </c>
      <c r="CB994" s="136">
        <v>0</v>
      </c>
      <c r="CC994" s="136">
        <v>0</v>
      </c>
      <c r="CD994" s="136">
        <v>0</v>
      </c>
      <c r="CE994" s="137">
        <v>0</v>
      </c>
      <c r="CF994" s="137">
        <v>0</v>
      </c>
      <c r="CG994" s="137">
        <v>0</v>
      </c>
      <c r="CH994" s="214">
        <v>0</v>
      </c>
      <c r="CI994" s="139">
        <v>0</v>
      </c>
      <c r="CJ994" s="139">
        <v>0</v>
      </c>
      <c r="CK994" s="139" t="s">
        <v>975</v>
      </c>
      <c r="CL994" s="139" t="s">
        <v>969</v>
      </c>
      <c r="CM994" s="139" t="s">
        <v>975</v>
      </c>
      <c r="CN994" s="139" t="s">
        <v>978</v>
      </c>
      <c r="CO994" s="139">
        <v>19.639009475708001</v>
      </c>
      <c r="CP994" s="139">
        <v>94.036079406738295</v>
      </c>
      <c r="CQ994" s="139" t="s">
        <v>1578</v>
      </c>
      <c r="CR994" s="449" t="s">
        <v>40</v>
      </c>
      <c r="CS994" s="449"/>
      <c r="CT994" s="24"/>
      <c r="CU994" s="24"/>
      <c r="CV994" s="24"/>
    </row>
    <row r="995" spans="1:100" ht="15.75" customHeight="1" x14ac:dyDescent="0.25">
      <c r="A995" s="643" t="s">
        <v>1388</v>
      </c>
      <c r="B995" s="132" t="s">
        <v>2444</v>
      </c>
      <c r="C995" s="132" t="s">
        <v>454</v>
      </c>
      <c r="D995" s="132" t="s">
        <v>486</v>
      </c>
      <c r="E995" s="132" t="s">
        <v>546</v>
      </c>
      <c r="F995" s="132">
        <v>75</v>
      </c>
      <c r="G995" s="214">
        <v>375</v>
      </c>
      <c r="H995" s="132"/>
      <c r="I995" s="132" t="s">
        <v>488</v>
      </c>
      <c r="J995" s="133">
        <v>43586</v>
      </c>
      <c r="K995" s="132"/>
      <c r="L995" s="132" t="s">
        <v>48</v>
      </c>
      <c r="M995" s="134">
        <v>0</v>
      </c>
      <c r="N995" s="134">
        <v>0</v>
      </c>
      <c r="O995" s="320">
        <v>0</v>
      </c>
      <c r="P995" s="326">
        <v>0</v>
      </c>
      <c r="Q995" s="326"/>
      <c r="R995" s="315"/>
      <c r="S995" s="315">
        <v>0</v>
      </c>
      <c r="T995" s="315"/>
      <c r="U995" s="315"/>
      <c r="V995" s="315"/>
      <c r="W995" s="315"/>
      <c r="X995" s="315"/>
      <c r="Y995" s="315"/>
      <c r="Z995" s="315"/>
      <c r="AA995" s="336">
        <v>0</v>
      </c>
      <c r="AB995" s="336"/>
      <c r="AC995" s="337"/>
      <c r="AD995" s="337"/>
      <c r="AE995" s="336">
        <v>0</v>
      </c>
      <c r="AF995" s="336" t="s">
        <v>286</v>
      </c>
      <c r="AG995" s="339" t="s">
        <v>286</v>
      </c>
      <c r="AH995" s="339"/>
      <c r="AI995" s="336"/>
      <c r="AJ995" s="336"/>
      <c r="AK995" s="848">
        <v>0</v>
      </c>
      <c r="AL995" s="836"/>
      <c r="AM995" s="836">
        <v>0</v>
      </c>
      <c r="AN995" s="848"/>
      <c r="AO995" s="850">
        <v>0</v>
      </c>
      <c r="AP995" s="838"/>
      <c r="AQ995" s="839"/>
      <c r="AR995" s="839"/>
      <c r="AS995" s="839"/>
      <c r="AT995" s="839"/>
      <c r="AU995" s="839"/>
      <c r="AV995" s="849"/>
      <c r="AW995" s="134" t="s">
        <v>3208</v>
      </c>
      <c r="AX995" s="136" t="s">
        <v>3208</v>
      </c>
      <c r="AY995" s="137" t="s">
        <v>2576</v>
      </c>
      <c r="AZ995" s="136">
        <v>0</v>
      </c>
      <c r="BA995" s="136">
        <v>0</v>
      </c>
      <c r="BB995" s="136">
        <v>0</v>
      </c>
      <c r="BC995" s="214">
        <v>0</v>
      </c>
      <c r="BD995" s="136">
        <v>0</v>
      </c>
      <c r="BE995" s="135">
        <v>0</v>
      </c>
      <c r="BF995" s="136">
        <v>0</v>
      </c>
      <c r="BG995" s="214">
        <v>0</v>
      </c>
      <c r="BH995" s="214">
        <v>0</v>
      </c>
      <c r="BI995" s="134">
        <v>1</v>
      </c>
      <c r="BJ995" s="135">
        <v>375</v>
      </c>
      <c r="BK995" s="137">
        <v>1</v>
      </c>
      <c r="BL995" s="137">
        <v>1</v>
      </c>
      <c r="BM995" s="137">
        <v>0</v>
      </c>
      <c r="BN995" s="134">
        <v>0</v>
      </c>
      <c r="BO995" s="351">
        <v>0</v>
      </c>
      <c r="BP995" s="134">
        <v>1</v>
      </c>
      <c r="BQ995" s="135">
        <v>63</v>
      </c>
      <c r="BR995" s="137">
        <v>63</v>
      </c>
      <c r="BS995" s="138">
        <v>0</v>
      </c>
      <c r="BT995" s="351" t="s">
        <v>103</v>
      </c>
      <c r="BU995" s="214">
        <v>0</v>
      </c>
      <c r="BV995" s="214">
        <v>0</v>
      </c>
      <c r="BW995" s="214">
        <v>0</v>
      </c>
      <c r="BX995" s="214">
        <v>0</v>
      </c>
      <c r="BY995" s="214">
        <v>0</v>
      </c>
      <c r="BZ995" s="134">
        <v>0</v>
      </c>
      <c r="CA995" s="138">
        <v>1</v>
      </c>
      <c r="CB995" s="136">
        <v>0</v>
      </c>
      <c r="CC995" s="136">
        <v>0</v>
      </c>
      <c r="CD995" s="136">
        <v>0</v>
      </c>
      <c r="CE995" s="137">
        <v>0</v>
      </c>
      <c r="CF995" s="137">
        <v>0</v>
      </c>
      <c r="CG995" s="137">
        <v>0</v>
      </c>
      <c r="CH995" s="135">
        <v>0</v>
      </c>
      <c r="CI995" s="139">
        <v>0</v>
      </c>
      <c r="CJ995" s="139">
        <v>0</v>
      </c>
      <c r="CK995" s="139" t="s">
        <v>975</v>
      </c>
      <c r="CL995" s="139" t="s">
        <v>969</v>
      </c>
      <c r="CM995" s="139" t="s">
        <v>975</v>
      </c>
      <c r="CN995" s="139" t="s">
        <v>454</v>
      </c>
      <c r="CO995" s="139">
        <v>19.738719940185501</v>
      </c>
      <c r="CP995" s="139">
        <v>94.035491943359403</v>
      </c>
      <c r="CQ995" s="139" t="s">
        <v>1585</v>
      </c>
      <c r="CR995" s="449" t="s">
        <v>40</v>
      </c>
      <c r="CS995" s="449"/>
      <c r="CT995" s="24"/>
      <c r="CU995" s="24"/>
      <c r="CV995" s="24"/>
    </row>
    <row r="996" spans="1:100" ht="15.75" customHeight="1" x14ac:dyDescent="0.25">
      <c r="A996" s="643" t="s">
        <v>1388</v>
      </c>
      <c r="B996" s="132" t="s">
        <v>2444</v>
      </c>
      <c r="C996" s="132" t="s">
        <v>454</v>
      </c>
      <c r="D996" s="132" t="s">
        <v>486</v>
      </c>
      <c r="E996" s="132" t="s">
        <v>540</v>
      </c>
      <c r="F996" s="132">
        <v>248</v>
      </c>
      <c r="G996" s="214">
        <v>1241</v>
      </c>
      <c r="H996" s="132"/>
      <c r="I996" s="132" t="s">
        <v>488</v>
      </c>
      <c r="J996" s="133">
        <v>43586</v>
      </c>
      <c r="K996" s="132"/>
      <c r="L996" s="132" t="s">
        <v>48</v>
      </c>
      <c r="M996" s="134">
        <v>0</v>
      </c>
      <c r="N996" s="134">
        <v>0</v>
      </c>
      <c r="O996" s="320">
        <v>0</v>
      </c>
      <c r="P996" s="326">
        <v>0</v>
      </c>
      <c r="Q996" s="326"/>
      <c r="R996" s="315"/>
      <c r="S996" s="315">
        <v>0</v>
      </c>
      <c r="T996" s="315"/>
      <c r="U996" s="315"/>
      <c r="V996" s="315"/>
      <c r="W996" s="315"/>
      <c r="X996" s="315"/>
      <c r="Y996" s="315"/>
      <c r="Z996" s="315"/>
      <c r="AA996" s="336">
        <v>0</v>
      </c>
      <c r="AB996" s="336"/>
      <c r="AC996" s="337"/>
      <c r="AD996" s="337"/>
      <c r="AE996" s="336">
        <v>0</v>
      </c>
      <c r="AF996" s="336" t="s">
        <v>286</v>
      </c>
      <c r="AG996" s="339" t="s">
        <v>286</v>
      </c>
      <c r="AH996" s="339"/>
      <c r="AI996" s="336"/>
      <c r="AJ996" s="336"/>
      <c r="AK996" s="848">
        <v>0</v>
      </c>
      <c r="AL996" s="836"/>
      <c r="AM996" s="836">
        <v>0</v>
      </c>
      <c r="AN996" s="848"/>
      <c r="AO996" s="850">
        <v>0</v>
      </c>
      <c r="AP996" s="838"/>
      <c r="AQ996" s="839"/>
      <c r="AR996" s="839"/>
      <c r="AS996" s="839"/>
      <c r="AT996" s="839"/>
      <c r="AU996" s="839"/>
      <c r="AV996" s="849"/>
      <c r="AW996" s="134" t="s">
        <v>3208</v>
      </c>
      <c r="AX996" s="136" t="s">
        <v>3208</v>
      </c>
      <c r="AY996" s="137" t="s">
        <v>2576</v>
      </c>
      <c r="AZ996" s="136">
        <v>0</v>
      </c>
      <c r="BA996" s="136">
        <v>0</v>
      </c>
      <c r="BB996" s="136">
        <v>0</v>
      </c>
      <c r="BC996" s="214">
        <v>0</v>
      </c>
      <c r="BD996" s="136">
        <v>0</v>
      </c>
      <c r="BE996" s="214">
        <v>0</v>
      </c>
      <c r="BF996" s="136">
        <v>0</v>
      </c>
      <c r="BG996" s="214">
        <v>0</v>
      </c>
      <c r="BH996" s="214">
        <v>0</v>
      </c>
      <c r="BI996" s="134">
        <v>1</v>
      </c>
      <c r="BJ996" s="214">
        <v>1241</v>
      </c>
      <c r="BK996" s="137">
        <v>2</v>
      </c>
      <c r="BL996" s="137">
        <v>2</v>
      </c>
      <c r="BM996" s="137">
        <v>0</v>
      </c>
      <c r="BN996" s="134">
        <v>0</v>
      </c>
      <c r="BO996" s="351">
        <v>0</v>
      </c>
      <c r="BP996" s="134">
        <v>1</v>
      </c>
      <c r="BQ996" s="214">
        <v>207</v>
      </c>
      <c r="BR996" s="137">
        <v>207</v>
      </c>
      <c r="BS996" s="138">
        <v>0</v>
      </c>
      <c r="BT996" s="351" t="s">
        <v>103</v>
      </c>
      <c r="BU996" s="214">
        <v>0</v>
      </c>
      <c r="BV996" s="214">
        <v>0</v>
      </c>
      <c r="BW996" s="214">
        <v>0</v>
      </c>
      <c r="BX996" s="214">
        <v>0</v>
      </c>
      <c r="BY996" s="214">
        <v>0</v>
      </c>
      <c r="BZ996" s="134">
        <v>0</v>
      </c>
      <c r="CA996" s="138">
        <v>1</v>
      </c>
      <c r="CB996" s="136">
        <v>0</v>
      </c>
      <c r="CC996" s="136">
        <v>0</v>
      </c>
      <c r="CD996" s="136">
        <v>0</v>
      </c>
      <c r="CE996" s="137">
        <v>0</v>
      </c>
      <c r="CF996" s="137">
        <v>0</v>
      </c>
      <c r="CG996" s="137">
        <v>0</v>
      </c>
      <c r="CH996" s="214">
        <v>0</v>
      </c>
      <c r="CI996" s="139">
        <v>0</v>
      </c>
      <c r="CJ996" s="139">
        <v>0</v>
      </c>
      <c r="CK996" s="139" t="s">
        <v>975</v>
      </c>
      <c r="CL996" s="139" t="s">
        <v>969</v>
      </c>
      <c r="CM996" s="139" t="s">
        <v>975</v>
      </c>
      <c r="CN996" s="139" t="s">
        <v>454</v>
      </c>
      <c r="CO996" s="139">
        <v>19.646549224853501</v>
      </c>
      <c r="CP996" s="139">
        <v>94.004188537597699</v>
      </c>
      <c r="CQ996" s="139" t="s">
        <v>1579</v>
      </c>
      <c r="CR996" s="449" t="s">
        <v>40</v>
      </c>
      <c r="CS996" s="449"/>
      <c r="CT996" s="24"/>
      <c r="CU996" s="24"/>
      <c r="CV996" s="24"/>
    </row>
    <row r="997" spans="1:100" ht="15.75" customHeight="1" x14ac:dyDescent="0.25">
      <c r="A997" s="643" t="s">
        <v>1388</v>
      </c>
      <c r="B997" s="132" t="s">
        <v>2444</v>
      </c>
      <c r="C997" s="132" t="s">
        <v>454</v>
      </c>
      <c r="D997" s="132" t="s">
        <v>486</v>
      </c>
      <c r="E997" s="132" t="s">
        <v>556</v>
      </c>
      <c r="F997" s="132">
        <v>107</v>
      </c>
      <c r="G997" s="214">
        <v>534</v>
      </c>
      <c r="H997" s="132"/>
      <c r="I997" s="132" t="s">
        <v>488</v>
      </c>
      <c r="J997" s="133">
        <v>43586</v>
      </c>
      <c r="K997" s="132"/>
      <c r="L997" s="132" t="s">
        <v>48</v>
      </c>
      <c r="M997" s="134">
        <v>0</v>
      </c>
      <c r="N997" s="134">
        <v>0</v>
      </c>
      <c r="O997" s="320">
        <v>0</v>
      </c>
      <c r="P997" s="326">
        <v>0</v>
      </c>
      <c r="Q997" s="326"/>
      <c r="R997" s="315"/>
      <c r="S997" s="315">
        <v>0</v>
      </c>
      <c r="T997" s="315"/>
      <c r="U997" s="315"/>
      <c r="V997" s="315"/>
      <c r="W997" s="315"/>
      <c r="X997" s="315"/>
      <c r="Y997" s="315"/>
      <c r="Z997" s="315"/>
      <c r="AA997" s="336">
        <v>0</v>
      </c>
      <c r="AB997" s="336"/>
      <c r="AC997" s="337"/>
      <c r="AD997" s="337"/>
      <c r="AE997" s="336">
        <v>0</v>
      </c>
      <c r="AF997" s="336" t="s">
        <v>286</v>
      </c>
      <c r="AG997" s="339" t="s">
        <v>286</v>
      </c>
      <c r="AH997" s="339"/>
      <c r="AI997" s="336"/>
      <c r="AJ997" s="336"/>
      <c r="AK997" s="848">
        <v>0</v>
      </c>
      <c r="AL997" s="836"/>
      <c r="AM997" s="836">
        <v>0</v>
      </c>
      <c r="AN997" s="848"/>
      <c r="AO997" s="850">
        <v>0</v>
      </c>
      <c r="AP997" s="838"/>
      <c r="AQ997" s="839"/>
      <c r="AR997" s="839"/>
      <c r="AS997" s="839"/>
      <c r="AT997" s="839"/>
      <c r="AU997" s="839"/>
      <c r="AV997" s="849"/>
      <c r="AW997" s="134" t="s">
        <v>3208</v>
      </c>
      <c r="AX997" s="136" t="s">
        <v>3208</v>
      </c>
      <c r="AY997" s="137" t="s">
        <v>2576</v>
      </c>
      <c r="AZ997" s="136">
        <v>0</v>
      </c>
      <c r="BA997" s="136">
        <v>0</v>
      </c>
      <c r="BB997" s="136">
        <v>0</v>
      </c>
      <c r="BC997" s="214">
        <v>0</v>
      </c>
      <c r="BD997" s="136">
        <v>0</v>
      </c>
      <c r="BE997" s="214">
        <v>0</v>
      </c>
      <c r="BF997" s="136">
        <v>0</v>
      </c>
      <c r="BG997" s="214">
        <v>0</v>
      </c>
      <c r="BH997" s="214">
        <v>0</v>
      </c>
      <c r="BI997" s="134">
        <v>1</v>
      </c>
      <c r="BJ997" s="214">
        <v>534</v>
      </c>
      <c r="BK997" s="137">
        <v>1</v>
      </c>
      <c r="BL997" s="137">
        <v>1</v>
      </c>
      <c r="BM997" s="137">
        <v>0</v>
      </c>
      <c r="BN997" s="134">
        <v>0</v>
      </c>
      <c r="BO997" s="351">
        <v>0</v>
      </c>
      <c r="BP997" s="134">
        <v>1</v>
      </c>
      <c r="BQ997" s="214">
        <v>89</v>
      </c>
      <c r="BR997" s="137">
        <v>89</v>
      </c>
      <c r="BS997" s="138">
        <v>0</v>
      </c>
      <c r="BT997" s="351" t="s">
        <v>103</v>
      </c>
      <c r="BU997" s="214">
        <v>0</v>
      </c>
      <c r="BV997" s="214">
        <v>0</v>
      </c>
      <c r="BW997" s="214">
        <v>0</v>
      </c>
      <c r="BX997" s="214">
        <v>0</v>
      </c>
      <c r="BY997" s="214">
        <v>0</v>
      </c>
      <c r="BZ997" s="134">
        <v>0</v>
      </c>
      <c r="CA997" s="138">
        <v>1</v>
      </c>
      <c r="CB997" s="136">
        <v>0</v>
      </c>
      <c r="CC997" s="136">
        <v>0</v>
      </c>
      <c r="CD997" s="136">
        <v>0</v>
      </c>
      <c r="CE997" s="137">
        <v>0</v>
      </c>
      <c r="CF997" s="137">
        <v>0</v>
      </c>
      <c r="CG997" s="137">
        <v>0</v>
      </c>
      <c r="CH997" s="214">
        <v>0</v>
      </c>
      <c r="CI997" s="139">
        <v>0</v>
      </c>
      <c r="CJ997" s="139">
        <v>0</v>
      </c>
      <c r="CK997" s="139" t="s">
        <v>975</v>
      </c>
      <c r="CL997" s="139" t="s">
        <v>969</v>
      </c>
      <c r="CM997" s="139" t="s">
        <v>975</v>
      </c>
      <c r="CN997" s="139" t="s">
        <v>978</v>
      </c>
      <c r="CO997" s="139">
        <v>19.991359710693398</v>
      </c>
      <c r="CP997" s="139">
        <v>93.834663391113295</v>
      </c>
      <c r="CQ997" s="139" t="s">
        <v>1596</v>
      </c>
      <c r="CR997" s="449" t="s">
        <v>40</v>
      </c>
      <c r="CS997" s="449"/>
      <c r="CT997" s="24"/>
      <c r="CU997" s="24"/>
      <c r="CV997" s="24"/>
    </row>
    <row r="998" spans="1:100" ht="15.75" customHeight="1" x14ac:dyDescent="0.25">
      <c r="A998" s="643" t="s">
        <v>1388</v>
      </c>
      <c r="B998" s="132" t="s">
        <v>2444</v>
      </c>
      <c r="C998" s="132" t="s">
        <v>454</v>
      </c>
      <c r="D998" s="132" t="s">
        <v>486</v>
      </c>
      <c r="E998" s="132" t="s">
        <v>547</v>
      </c>
      <c r="F998" s="132">
        <v>123</v>
      </c>
      <c r="G998" s="214">
        <v>615</v>
      </c>
      <c r="H998" s="132"/>
      <c r="I998" s="132" t="s">
        <v>488</v>
      </c>
      <c r="J998" s="133">
        <v>43586</v>
      </c>
      <c r="K998" s="132"/>
      <c r="L998" s="132" t="s">
        <v>48</v>
      </c>
      <c r="M998" s="134">
        <v>0</v>
      </c>
      <c r="N998" s="134">
        <v>0</v>
      </c>
      <c r="O998" s="320">
        <v>0</v>
      </c>
      <c r="P998" s="326">
        <v>0</v>
      </c>
      <c r="Q998" s="326"/>
      <c r="R998" s="315"/>
      <c r="S998" s="315">
        <v>0</v>
      </c>
      <c r="T998" s="315"/>
      <c r="U998" s="315"/>
      <c r="V998" s="315"/>
      <c r="W998" s="315"/>
      <c r="X998" s="315"/>
      <c r="Y998" s="315"/>
      <c r="Z998" s="315"/>
      <c r="AA998" s="336">
        <v>0</v>
      </c>
      <c r="AB998" s="336"/>
      <c r="AC998" s="337"/>
      <c r="AD998" s="337"/>
      <c r="AE998" s="336">
        <v>0</v>
      </c>
      <c r="AF998" s="336" t="s">
        <v>286</v>
      </c>
      <c r="AG998" s="339" t="s">
        <v>286</v>
      </c>
      <c r="AH998" s="339"/>
      <c r="AI998" s="336"/>
      <c r="AJ998" s="336"/>
      <c r="AK998" s="848">
        <v>0</v>
      </c>
      <c r="AL998" s="836"/>
      <c r="AM998" s="836">
        <v>0</v>
      </c>
      <c r="AN998" s="848"/>
      <c r="AO998" s="850">
        <v>0</v>
      </c>
      <c r="AP998" s="838"/>
      <c r="AQ998" s="839"/>
      <c r="AR998" s="839"/>
      <c r="AS998" s="839"/>
      <c r="AT998" s="839"/>
      <c r="AU998" s="839"/>
      <c r="AV998" s="849"/>
      <c r="AW998" s="134" t="s">
        <v>3208</v>
      </c>
      <c r="AX998" s="136" t="s">
        <v>3208</v>
      </c>
      <c r="AY998" s="137" t="s">
        <v>2576</v>
      </c>
      <c r="AZ998" s="136">
        <v>0</v>
      </c>
      <c r="BA998" s="136">
        <v>0</v>
      </c>
      <c r="BB998" s="136">
        <v>0</v>
      </c>
      <c r="BC998" s="214">
        <v>0</v>
      </c>
      <c r="BD998" s="136">
        <v>0</v>
      </c>
      <c r="BE998" s="214">
        <v>0</v>
      </c>
      <c r="BF998" s="136">
        <v>0</v>
      </c>
      <c r="BG998" s="214">
        <v>0</v>
      </c>
      <c r="BH998" s="214">
        <v>0</v>
      </c>
      <c r="BI998" s="134">
        <v>1</v>
      </c>
      <c r="BJ998" s="214">
        <v>615</v>
      </c>
      <c r="BK998" s="137">
        <v>1</v>
      </c>
      <c r="BL998" s="137">
        <v>1</v>
      </c>
      <c r="BM998" s="137">
        <v>0</v>
      </c>
      <c r="BN998" s="134">
        <v>0</v>
      </c>
      <c r="BO998" s="351">
        <v>0</v>
      </c>
      <c r="BP998" s="134">
        <v>1</v>
      </c>
      <c r="BQ998" s="214">
        <v>103</v>
      </c>
      <c r="BR998" s="137">
        <v>103</v>
      </c>
      <c r="BS998" s="138">
        <v>0</v>
      </c>
      <c r="BT998" s="351" t="s">
        <v>103</v>
      </c>
      <c r="BU998" s="214">
        <v>0</v>
      </c>
      <c r="BV998" s="214">
        <v>0</v>
      </c>
      <c r="BW998" s="214">
        <v>0</v>
      </c>
      <c r="BX998" s="214">
        <v>0</v>
      </c>
      <c r="BY998" s="214">
        <v>0</v>
      </c>
      <c r="BZ998" s="134">
        <v>0</v>
      </c>
      <c r="CA998" s="138">
        <v>1</v>
      </c>
      <c r="CB998" s="136">
        <v>0</v>
      </c>
      <c r="CC998" s="136">
        <v>0</v>
      </c>
      <c r="CD998" s="136">
        <v>0</v>
      </c>
      <c r="CE998" s="137">
        <v>0</v>
      </c>
      <c r="CF998" s="137">
        <v>0</v>
      </c>
      <c r="CG998" s="137">
        <v>0</v>
      </c>
      <c r="CH998" s="214">
        <v>0</v>
      </c>
      <c r="CI998" s="139">
        <v>0</v>
      </c>
      <c r="CJ998" s="139">
        <v>0</v>
      </c>
      <c r="CK998" s="139" t="s">
        <v>975</v>
      </c>
      <c r="CL998" s="139" t="s">
        <v>969</v>
      </c>
      <c r="CM998" s="139" t="s">
        <v>975</v>
      </c>
      <c r="CN998" s="139" t="s">
        <v>454</v>
      </c>
      <c r="CO998" s="139">
        <v>19.9044303894043</v>
      </c>
      <c r="CP998" s="139">
        <v>93.792778015136705</v>
      </c>
      <c r="CQ998" s="139" t="s">
        <v>1586</v>
      </c>
      <c r="CR998" s="449" t="s">
        <v>40</v>
      </c>
      <c r="CS998" s="449"/>
      <c r="CT998" s="24"/>
      <c r="CU998" s="24"/>
      <c r="CV998" s="24"/>
    </row>
    <row r="999" spans="1:100" ht="15.75" customHeight="1" x14ac:dyDescent="0.25">
      <c r="A999" s="643" t="s">
        <v>1388</v>
      </c>
      <c r="B999" s="132" t="s">
        <v>2444</v>
      </c>
      <c r="C999" s="132" t="s">
        <v>454</v>
      </c>
      <c r="D999" s="132" t="s">
        <v>486</v>
      </c>
      <c r="E999" s="132" t="s">
        <v>549</v>
      </c>
      <c r="F999" s="132">
        <v>115</v>
      </c>
      <c r="G999" s="214">
        <v>575</v>
      </c>
      <c r="H999" s="132"/>
      <c r="I999" s="132" t="s">
        <v>488</v>
      </c>
      <c r="J999" s="133">
        <v>43586</v>
      </c>
      <c r="K999" s="132"/>
      <c r="L999" s="132" t="s">
        <v>48</v>
      </c>
      <c r="M999" s="134">
        <v>0</v>
      </c>
      <c r="N999" s="134">
        <v>0</v>
      </c>
      <c r="O999" s="320">
        <v>0</v>
      </c>
      <c r="P999" s="326">
        <v>0</v>
      </c>
      <c r="Q999" s="326"/>
      <c r="R999" s="315"/>
      <c r="S999" s="315">
        <v>0</v>
      </c>
      <c r="T999" s="315"/>
      <c r="U999" s="315"/>
      <c r="V999" s="315"/>
      <c r="W999" s="315"/>
      <c r="X999" s="315"/>
      <c r="Y999" s="315"/>
      <c r="Z999" s="315"/>
      <c r="AA999" s="336">
        <v>0</v>
      </c>
      <c r="AB999" s="336"/>
      <c r="AC999" s="337"/>
      <c r="AD999" s="337"/>
      <c r="AE999" s="336">
        <v>0</v>
      </c>
      <c r="AF999" s="336" t="s">
        <v>286</v>
      </c>
      <c r="AG999" s="339" t="s">
        <v>286</v>
      </c>
      <c r="AH999" s="339"/>
      <c r="AI999" s="336"/>
      <c r="AJ999" s="336"/>
      <c r="AK999" s="848">
        <v>0</v>
      </c>
      <c r="AL999" s="836"/>
      <c r="AM999" s="836">
        <v>0</v>
      </c>
      <c r="AN999" s="848"/>
      <c r="AO999" s="850">
        <v>0</v>
      </c>
      <c r="AP999" s="838"/>
      <c r="AQ999" s="839"/>
      <c r="AR999" s="839"/>
      <c r="AS999" s="839"/>
      <c r="AT999" s="839"/>
      <c r="AU999" s="839"/>
      <c r="AV999" s="849"/>
      <c r="AW999" s="134" t="s">
        <v>3208</v>
      </c>
      <c r="AX999" s="136" t="s">
        <v>3208</v>
      </c>
      <c r="AY999" s="137" t="s">
        <v>2576</v>
      </c>
      <c r="AZ999" s="136">
        <v>0</v>
      </c>
      <c r="BA999" s="136">
        <v>0</v>
      </c>
      <c r="BB999" s="136">
        <v>0</v>
      </c>
      <c r="BC999" s="214">
        <v>0</v>
      </c>
      <c r="BD999" s="136">
        <v>0</v>
      </c>
      <c r="BE999" s="214">
        <v>0</v>
      </c>
      <c r="BF999" s="136">
        <v>0</v>
      </c>
      <c r="BG999" s="214">
        <v>0</v>
      </c>
      <c r="BH999" s="214">
        <v>0</v>
      </c>
      <c r="BI999" s="134">
        <v>1</v>
      </c>
      <c r="BJ999" s="214">
        <v>575</v>
      </c>
      <c r="BK999" s="137">
        <v>1</v>
      </c>
      <c r="BL999" s="137">
        <v>1</v>
      </c>
      <c r="BM999" s="137">
        <v>0</v>
      </c>
      <c r="BN999" s="134">
        <v>0</v>
      </c>
      <c r="BO999" s="351">
        <v>0</v>
      </c>
      <c r="BP999" s="134">
        <v>1</v>
      </c>
      <c r="BQ999" s="214">
        <v>96</v>
      </c>
      <c r="BR999" s="137">
        <v>96</v>
      </c>
      <c r="BS999" s="138">
        <v>0</v>
      </c>
      <c r="BT999" s="351" t="s">
        <v>103</v>
      </c>
      <c r="BU999" s="214">
        <v>0</v>
      </c>
      <c r="BV999" s="214">
        <v>0</v>
      </c>
      <c r="BW999" s="214">
        <v>0</v>
      </c>
      <c r="BX999" s="214">
        <v>0</v>
      </c>
      <c r="BY999" s="214">
        <v>0</v>
      </c>
      <c r="BZ999" s="134">
        <v>0</v>
      </c>
      <c r="CA999" s="138">
        <v>1</v>
      </c>
      <c r="CB999" s="136">
        <v>0</v>
      </c>
      <c r="CC999" s="136">
        <v>0</v>
      </c>
      <c r="CD999" s="136">
        <v>0</v>
      </c>
      <c r="CE999" s="137">
        <v>0</v>
      </c>
      <c r="CF999" s="137">
        <v>0</v>
      </c>
      <c r="CG999" s="137">
        <v>0</v>
      </c>
      <c r="CH999" s="214">
        <v>0</v>
      </c>
      <c r="CI999" s="139">
        <v>0</v>
      </c>
      <c r="CJ999" s="139">
        <v>0</v>
      </c>
      <c r="CK999" s="139" t="s">
        <v>975</v>
      </c>
      <c r="CL999" s="139" t="s">
        <v>969</v>
      </c>
      <c r="CM999" s="139" t="s">
        <v>975</v>
      </c>
      <c r="CN999" s="139" t="s">
        <v>978</v>
      </c>
      <c r="CO999" s="139">
        <v>19.930080413818398</v>
      </c>
      <c r="CP999" s="139">
        <v>93.787002563476605</v>
      </c>
      <c r="CQ999" s="139" t="s">
        <v>1588</v>
      </c>
      <c r="CR999" s="449" t="s">
        <v>40</v>
      </c>
      <c r="CS999" s="449"/>
      <c r="CT999" s="24"/>
      <c r="CU999" s="24"/>
      <c r="CV999" s="24"/>
    </row>
    <row r="1000" spans="1:100" ht="15.75" customHeight="1" x14ac:dyDescent="0.25">
      <c r="A1000" s="643" t="s">
        <v>1388</v>
      </c>
      <c r="B1000" s="132" t="s">
        <v>2444</v>
      </c>
      <c r="C1000" s="132" t="s">
        <v>454</v>
      </c>
      <c r="D1000" s="132" t="s">
        <v>486</v>
      </c>
      <c r="E1000" s="132" t="s">
        <v>535</v>
      </c>
      <c r="F1000" s="132">
        <v>144</v>
      </c>
      <c r="G1000" s="214">
        <v>719</v>
      </c>
      <c r="H1000" s="132"/>
      <c r="I1000" s="132" t="s">
        <v>488</v>
      </c>
      <c r="J1000" s="133">
        <v>43586</v>
      </c>
      <c r="K1000" s="132"/>
      <c r="L1000" s="132" t="s">
        <v>48</v>
      </c>
      <c r="M1000" s="134">
        <v>0</v>
      </c>
      <c r="N1000" s="134">
        <v>0</v>
      </c>
      <c r="O1000" s="320">
        <v>0</v>
      </c>
      <c r="P1000" s="326">
        <v>0</v>
      </c>
      <c r="Q1000" s="326"/>
      <c r="R1000" s="315"/>
      <c r="S1000" s="315">
        <v>0</v>
      </c>
      <c r="T1000" s="315"/>
      <c r="U1000" s="315"/>
      <c r="V1000" s="315"/>
      <c r="W1000" s="315"/>
      <c r="X1000" s="315"/>
      <c r="Y1000" s="315"/>
      <c r="Z1000" s="315"/>
      <c r="AA1000" s="336">
        <v>0</v>
      </c>
      <c r="AB1000" s="336"/>
      <c r="AC1000" s="337"/>
      <c r="AD1000" s="337"/>
      <c r="AE1000" s="336">
        <v>0</v>
      </c>
      <c r="AF1000" s="336" t="s">
        <v>286</v>
      </c>
      <c r="AG1000" s="339" t="s">
        <v>286</v>
      </c>
      <c r="AH1000" s="339"/>
      <c r="AI1000" s="336"/>
      <c r="AJ1000" s="336"/>
      <c r="AK1000" s="848">
        <v>0</v>
      </c>
      <c r="AL1000" s="836"/>
      <c r="AM1000" s="836">
        <v>0</v>
      </c>
      <c r="AN1000" s="848"/>
      <c r="AO1000" s="850">
        <v>0</v>
      </c>
      <c r="AP1000" s="838"/>
      <c r="AQ1000" s="839"/>
      <c r="AR1000" s="839"/>
      <c r="AS1000" s="839"/>
      <c r="AT1000" s="839"/>
      <c r="AU1000" s="839"/>
      <c r="AV1000" s="849"/>
      <c r="AW1000" s="134" t="s">
        <v>3208</v>
      </c>
      <c r="AX1000" s="136" t="s">
        <v>3208</v>
      </c>
      <c r="AY1000" s="137" t="s">
        <v>2576</v>
      </c>
      <c r="AZ1000" s="136">
        <v>0</v>
      </c>
      <c r="BA1000" s="136">
        <v>0</v>
      </c>
      <c r="BB1000" s="136">
        <v>0</v>
      </c>
      <c r="BC1000" s="214">
        <v>0</v>
      </c>
      <c r="BD1000" s="136">
        <v>0</v>
      </c>
      <c r="BE1000" s="214">
        <v>0</v>
      </c>
      <c r="BF1000" s="136">
        <v>0</v>
      </c>
      <c r="BG1000" s="214">
        <v>0</v>
      </c>
      <c r="BH1000" s="214">
        <v>0</v>
      </c>
      <c r="BI1000" s="134">
        <v>1</v>
      </c>
      <c r="BJ1000" s="214">
        <v>719</v>
      </c>
      <c r="BK1000" s="137">
        <v>1</v>
      </c>
      <c r="BL1000" s="137">
        <v>1</v>
      </c>
      <c r="BM1000" s="137">
        <v>0</v>
      </c>
      <c r="BN1000" s="134">
        <v>0</v>
      </c>
      <c r="BO1000" s="351">
        <v>0</v>
      </c>
      <c r="BP1000" s="134">
        <v>1</v>
      </c>
      <c r="BQ1000" s="214">
        <v>120</v>
      </c>
      <c r="BR1000" s="137">
        <v>120</v>
      </c>
      <c r="BS1000" s="138">
        <v>0</v>
      </c>
      <c r="BT1000" s="351" t="s">
        <v>103</v>
      </c>
      <c r="BU1000" s="214">
        <v>0</v>
      </c>
      <c r="BV1000" s="214">
        <v>0</v>
      </c>
      <c r="BW1000" s="214">
        <v>0</v>
      </c>
      <c r="BX1000" s="214">
        <v>0</v>
      </c>
      <c r="BY1000" s="214">
        <v>0</v>
      </c>
      <c r="BZ1000" s="134">
        <v>0</v>
      </c>
      <c r="CA1000" s="138">
        <v>1</v>
      </c>
      <c r="CB1000" s="136">
        <v>0</v>
      </c>
      <c r="CC1000" s="136">
        <v>0</v>
      </c>
      <c r="CD1000" s="136">
        <v>0</v>
      </c>
      <c r="CE1000" s="137">
        <v>0</v>
      </c>
      <c r="CF1000" s="137">
        <v>0</v>
      </c>
      <c r="CG1000" s="137">
        <v>0</v>
      </c>
      <c r="CH1000" s="214">
        <v>0</v>
      </c>
      <c r="CI1000" s="139">
        <v>0</v>
      </c>
      <c r="CJ1000" s="139">
        <v>0</v>
      </c>
      <c r="CK1000" s="139" t="s">
        <v>975</v>
      </c>
      <c r="CL1000" s="139" t="s">
        <v>969</v>
      </c>
      <c r="CM1000" s="139" t="s">
        <v>975</v>
      </c>
      <c r="CN1000" s="139" t="s">
        <v>454</v>
      </c>
      <c r="CO1000" s="139">
        <v>19.611209869384801</v>
      </c>
      <c r="CP1000" s="139">
        <v>93.995933532714801</v>
      </c>
      <c r="CQ1000" s="139" t="s">
        <v>1574</v>
      </c>
      <c r="CR1000" s="449" t="s">
        <v>40</v>
      </c>
      <c r="CS1000" s="449"/>
      <c r="CT1000" s="24"/>
      <c r="CU1000" s="24"/>
      <c r="CV1000" s="24"/>
    </row>
    <row r="1001" spans="1:100" ht="15.75" customHeight="1" x14ac:dyDescent="0.25">
      <c r="A1001" s="643" t="s">
        <v>1388</v>
      </c>
      <c r="B1001" s="132" t="s">
        <v>2444</v>
      </c>
      <c r="C1001" s="132" t="s">
        <v>454</v>
      </c>
      <c r="D1001" s="132" t="s">
        <v>486</v>
      </c>
      <c r="E1001" s="132" t="s">
        <v>541</v>
      </c>
      <c r="F1001" s="132">
        <v>110</v>
      </c>
      <c r="G1001" s="214">
        <v>549</v>
      </c>
      <c r="H1001" s="132"/>
      <c r="I1001" s="132" t="s">
        <v>488</v>
      </c>
      <c r="J1001" s="133">
        <v>43586</v>
      </c>
      <c r="K1001" s="132"/>
      <c r="L1001" s="132" t="s">
        <v>48</v>
      </c>
      <c r="M1001" s="134">
        <v>0</v>
      </c>
      <c r="N1001" s="134">
        <v>0</v>
      </c>
      <c r="O1001" s="320">
        <v>0</v>
      </c>
      <c r="P1001" s="326">
        <v>0</v>
      </c>
      <c r="Q1001" s="326"/>
      <c r="R1001" s="315"/>
      <c r="S1001" s="315">
        <v>0</v>
      </c>
      <c r="T1001" s="315"/>
      <c r="U1001" s="315"/>
      <c r="V1001" s="315"/>
      <c r="W1001" s="315"/>
      <c r="X1001" s="315"/>
      <c r="Y1001" s="315"/>
      <c r="Z1001" s="315"/>
      <c r="AA1001" s="336">
        <v>0</v>
      </c>
      <c r="AB1001" s="336"/>
      <c r="AC1001" s="337"/>
      <c r="AD1001" s="337"/>
      <c r="AE1001" s="336">
        <v>0</v>
      </c>
      <c r="AF1001" s="336" t="s">
        <v>286</v>
      </c>
      <c r="AG1001" s="339" t="s">
        <v>286</v>
      </c>
      <c r="AH1001" s="339"/>
      <c r="AI1001" s="336"/>
      <c r="AJ1001" s="336"/>
      <c r="AK1001" s="848">
        <v>0</v>
      </c>
      <c r="AL1001" s="836"/>
      <c r="AM1001" s="836">
        <v>0</v>
      </c>
      <c r="AN1001" s="848"/>
      <c r="AO1001" s="850">
        <v>0</v>
      </c>
      <c r="AP1001" s="838"/>
      <c r="AQ1001" s="839"/>
      <c r="AR1001" s="839"/>
      <c r="AS1001" s="839"/>
      <c r="AT1001" s="839"/>
      <c r="AU1001" s="839"/>
      <c r="AV1001" s="849"/>
      <c r="AW1001" s="134" t="s">
        <v>3208</v>
      </c>
      <c r="AX1001" s="136" t="s">
        <v>3208</v>
      </c>
      <c r="AY1001" s="137" t="s">
        <v>2576</v>
      </c>
      <c r="AZ1001" s="136">
        <v>0</v>
      </c>
      <c r="BA1001" s="136">
        <v>0</v>
      </c>
      <c r="BB1001" s="136">
        <v>0</v>
      </c>
      <c r="BC1001" s="214">
        <v>0</v>
      </c>
      <c r="BD1001" s="136">
        <v>0</v>
      </c>
      <c r="BE1001" s="214">
        <v>0</v>
      </c>
      <c r="BF1001" s="136">
        <v>0</v>
      </c>
      <c r="BG1001" s="214">
        <v>0</v>
      </c>
      <c r="BH1001" s="214">
        <v>0</v>
      </c>
      <c r="BI1001" s="134">
        <v>1</v>
      </c>
      <c r="BJ1001" s="214">
        <v>549</v>
      </c>
      <c r="BK1001" s="137">
        <v>1</v>
      </c>
      <c r="BL1001" s="137">
        <v>1</v>
      </c>
      <c r="BM1001" s="137">
        <v>0</v>
      </c>
      <c r="BN1001" s="134">
        <v>0</v>
      </c>
      <c r="BO1001" s="351">
        <v>0</v>
      </c>
      <c r="BP1001" s="134">
        <v>1</v>
      </c>
      <c r="BQ1001" s="214">
        <v>92</v>
      </c>
      <c r="BR1001" s="137">
        <v>92</v>
      </c>
      <c r="BS1001" s="138">
        <v>0</v>
      </c>
      <c r="BT1001" s="351" t="s">
        <v>103</v>
      </c>
      <c r="BU1001" s="214">
        <v>0</v>
      </c>
      <c r="BV1001" s="214">
        <v>0</v>
      </c>
      <c r="BW1001" s="214">
        <v>0</v>
      </c>
      <c r="BX1001" s="214">
        <v>0</v>
      </c>
      <c r="BY1001" s="214">
        <v>0</v>
      </c>
      <c r="BZ1001" s="134">
        <v>0</v>
      </c>
      <c r="CA1001" s="138">
        <v>1</v>
      </c>
      <c r="CB1001" s="136">
        <v>0</v>
      </c>
      <c r="CC1001" s="136">
        <v>0</v>
      </c>
      <c r="CD1001" s="136">
        <v>0</v>
      </c>
      <c r="CE1001" s="137">
        <v>0</v>
      </c>
      <c r="CF1001" s="137">
        <v>0</v>
      </c>
      <c r="CG1001" s="137">
        <v>0</v>
      </c>
      <c r="CH1001" s="214">
        <v>0</v>
      </c>
      <c r="CI1001" s="139">
        <v>0</v>
      </c>
      <c r="CJ1001" s="139">
        <v>0</v>
      </c>
      <c r="CK1001" s="139" t="s">
        <v>975</v>
      </c>
      <c r="CL1001" s="139" t="s">
        <v>969</v>
      </c>
      <c r="CM1001" s="139" t="s">
        <v>975</v>
      </c>
      <c r="CN1001" s="139" t="s">
        <v>978</v>
      </c>
      <c r="CO1001" s="139">
        <v>19.686580657958999</v>
      </c>
      <c r="CP1001" s="139">
        <v>94.048843383789105</v>
      </c>
      <c r="CQ1001" s="139" t="s">
        <v>1580</v>
      </c>
      <c r="CR1001" s="449" t="s">
        <v>40</v>
      </c>
      <c r="CS1001" s="449"/>
      <c r="CT1001" s="24"/>
      <c r="CU1001" s="24"/>
      <c r="CV1001" s="24"/>
    </row>
    <row r="1002" spans="1:100" ht="15.75" customHeight="1" x14ac:dyDescent="0.25">
      <c r="A1002" s="643" t="s">
        <v>1388</v>
      </c>
      <c r="B1002" s="132" t="s">
        <v>2444</v>
      </c>
      <c r="C1002" s="132" t="s">
        <v>454</v>
      </c>
      <c r="D1002" s="132" t="s">
        <v>486</v>
      </c>
      <c r="E1002" s="132" t="s">
        <v>538</v>
      </c>
      <c r="F1002" s="132">
        <v>72</v>
      </c>
      <c r="G1002" s="214">
        <v>360</v>
      </c>
      <c r="H1002" s="132"/>
      <c r="I1002" s="132" t="s">
        <v>488</v>
      </c>
      <c r="J1002" s="133">
        <v>43586</v>
      </c>
      <c r="K1002" s="132"/>
      <c r="L1002" s="132" t="s">
        <v>48</v>
      </c>
      <c r="M1002" s="134">
        <v>0</v>
      </c>
      <c r="N1002" s="134">
        <v>0</v>
      </c>
      <c r="O1002" s="320">
        <v>0</v>
      </c>
      <c r="P1002" s="326">
        <v>0</v>
      </c>
      <c r="Q1002" s="326"/>
      <c r="R1002" s="315"/>
      <c r="S1002" s="315">
        <v>0</v>
      </c>
      <c r="T1002" s="315"/>
      <c r="U1002" s="315"/>
      <c r="V1002" s="315"/>
      <c r="W1002" s="315"/>
      <c r="X1002" s="315"/>
      <c r="Y1002" s="315"/>
      <c r="Z1002" s="315"/>
      <c r="AA1002" s="336">
        <v>0</v>
      </c>
      <c r="AB1002" s="336"/>
      <c r="AC1002" s="337"/>
      <c r="AD1002" s="337"/>
      <c r="AE1002" s="336">
        <v>0</v>
      </c>
      <c r="AF1002" s="336" t="s">
        <v>286</v>
      </c>
      <c r="AG1002" s="339" t="s">
        <v>286</v>
      </c>
      <c r="AH1002" s="339"/>
      <c r="AI1002" s="336"/>
      <c r="AJ1002" s="336"/>
      <c r="AK1002" s="848">
        <v>0</v>
      </c>
      <c r="AL1002" s="836"/>
      <c r="AM1002" s="836">
        <v>0</v>
      </c>
      <c r="AN1002" s="848"/>
      <c r="AO1002" s="850">
        <v>0</v>
      </c>
      <c r="AP1002" s="838"/>
      <c r="AQ1002" s="839"/>
      <c r="AR1002" s="839"/>
      <c r="AS1002" s="839"/>
      <c r="AT1002" s="839"/>
      <c r="AU1002" s="839"/>
      <c r="AV1002" s="849"/>
      <c r="AW1002" s="134" t="s">
        <v>3208</v>
      </c>
      <c r="AX1002" s="136" t="s">
        <v>3208</v>
      </c>
      <c r="AY1002" s="137" t="s">
        <v>2576</v>
      </c>
      <c r="AZ1002" s="136">
        <v>0</v>
      </c>
      <c r="BA1002" s="136">
        <v>0</v>
      </c>
      <c r="BB1002" s="136">
        <v>0</v>
      </c>
      <c r="BC1002" s="214">
        <v>0</v>
      </c>
      <c r="BD1002" s="136">
        <v>0</v>
      </c>
      <c r="BE1002" s="214">
        <v>0</v>
      </c>
      <c r="BF1002" s="136">
        <v>0</v>
      </c>
      <c r="BG1002" s="214">
        <v>0</v>
      </c>
      <c r="BH1002" s="214">
        <v>0</v>
      </c>
      <c r="BI1002" s="134">
        <v>1</v>
      </c>
      <c r="BJ1002" s="214">
        <v>360</v>
      </c>
      <c r="BK1002" s="137">
        <v>1</v>
      </c>
      <c r="BL1002" s="137">
        <v>1</v>
      </c>
      <c r="BM1002" s="137">
        <v>0</v>
      </c>
      <c r="BN1002" s="134">
        <v>0</v>
      </c>
      <c r="BO1002" s="351">
        <v>0</v>
      </c>
      <c r="BP1002" s="134">
        <v>1</v>
      </c>
      <c r="BQ1002" s="214">
        <v>60</v>
      </c>
      <c r="BR1002" s="137">
        <v>60</v>
      </c>
      <c r="BS1002" s="138">
        <v>0</v>
      </c>
      <c r="BT1002" s="351" t="s">
        <v>103</v>
      </c>
      <c r="BU1002" s="214">
        <v>0</v>
      </c>
      <c r="BV1002" s="214">
        <v>0</v>
      </c>
      <c r="BW1002" s="214">
        <v>0</v>
      </c>
      <c r="BX1002" s="214">
        <v>0</v>
      </c>
      <c r="BY1002" s="214">
        <v>0</v>
      </c>
      <c r="BZ1002" s="134">
        <v>0</v>
      </c>
      <c r="CA1002" s="138">
        <v>1</v>
      </c>
      <c r="CB1002" s="136">
        <v>0</v>
      </c>
      <c r="CC1002" s="136">
        <v>0</v>
      </c>
      <c r="CD1002" s="136">
        <v>0</v>
      </c>
      <c r="CE1002" s="137">
        <v>0</v>
      </c>
      <c r="CF1002" s="137">
        <v>0</v>
      </c>
      <c r="CG1002" s="137">
        <v>0</v>
      </c>
      <c r="CH1002" s="214">
        <v>0</v>
      </c>
      <c r="CI1002" s="139">
        <v>0</v>
      </c>
      <c r="CJ1002" s="139">
        <v>0</v>
      </c>
      <c r="CK1002" s="139" t="s">
        <v>975</v>
      </c>
      <c r="CL1002" s="139" t="s">
        <v>969</v>
      </c>
      <c r="CM1002" s="139" t="s">
        <v>975</v>
      </c>
      <c r="CN1002" s="139" t="s">
        <v>454</v>
      </c>
      <c r="CO1002" s="139">
        <v>19.627199172973601</v>
      </c>
      <c r="CP1002" s="139">
        <v>93.962989807128906</v>
      </c>
      <c r="CQ1002" s="139" t="s">
        <v>1577</v>
      </c>
      <c r="CR1002" s="449" t="s">
        <v>40</v>
      </c>
      <c r="CS1002" s="449"/>
      <c r="CT1002" s="24"/>
      <c r="CU1002" s="24"/>
      <c r="CV1002" s="24"/>
    </row>
    <row r="1003" spans="1:100" ht="15.75" customHeight="1" x14ac:dyDescent="0.25">
      <c r="A1003" s="643" t="s">
        <v>1388</v>
      </c>
      <c r="B1003" s="132" t="s">
        <v>2444</v>
      </c>
      <c r="C1003" s="132" t="s">
        <v>454</v>
      </c>
      <c r="D1003" s="132" t="s">
        <v>486</v>
      </c>
      <c r="E1003" s="132" t="s">
        <v>536</v>
      </c>
      <c r="F1003" s="132">
        <v>84</v>
      </c>
      <c r="G1003" s="214">
        <v>419</v>
      </c>
      <c r="H1003" s="132"/>
      <c r="I1003" s="132" t="s">
        <v>488</v>
      </c>
      <c r="J1003" s="133">
        <v>43586</v>
      </c>
      <c r="K1003" s="132"/>
      <c r="L1003" s="132" t="s">
        <v>48</v>
      </c>
      <c r="M1003" s="134">
        <v>0</v>
      </c>
      <c r="N1003" s="134">
        <v>0</v>
      </c>
      <c r="O1003" s="320">
        <v>0</v>
      </c>
      <c r="P1003" s="326">
        <v>0</v>
      </c>
      <c r="Q1003" s="326"/>
      <c r="R1003" s="315"/>
      <c r="S1003" s="315">
        <v>0</v>
      </c>
      <c r="T1003" s="315"/>
      <c r="U1003" s="315"/>
      <c r="V1003" s="315"/>
      <c r="W1003" s="315"/>
      <c r="X1003" s="315"/>
      <c r="Y1003" s="315"/>
      <c r="Z1003" s="315"/>
      <c r="AA1003" s="336">
        <v>0</v>
      </c>
      <c r="AB1003" s="336"/>
      <c r="AC1003" s="337"/>
      <c r="AD1003" s="337"/>
      <c r="AE1003" s="336">
        <v>0</v>
      </c>
      <c r="AF1003" s="336" t="s">
        <v>286</v>
      </c>
      <c r="AG1003" s="339" t="s">
        <v>286</v>
      </c>
      <c r="AH1003" s="339"/>
      <c r="AI1003" s="336"/>
      <c r="AJ1003" s="336"/>
      <c r="AK1003" s="848">
        <v>0</v>
      </c>
      <c r="AL1003" s="836"/>
      <c r="AM1003" s="836">
        <v>0</v>
      </c>
      <c r="AN1003" s="848"/>
      <c r="AO1003" s="850">
        <v>0</v>
      </c>
      <c r="AP1003" s="838"/>
      <c r="AQ1003" s="839"/>
      <c r="AR1003" s="839"/>
      <c r="AS1003" s="839"/>
      <c r="AT1003" s="839"/>
      <c r="AU1003" s="839"/>
      <c r="AV1003" s="849"/>
      <c r="AW1003" s="134" t="s">
        <v>3208</v>
      </c>
      <c r="AX1003" s="136" t="s">
        <v>3208</v>
      </c>
      <c r="AY1003" s="137" t="s">
        <v>2576</v>
      </c>
      <c r="AZ1003" s="136">
        <v>0</v>
      </c>
      <c r="BA1003" s="136">
        <v>0</v>
      </c>
      <c r="BB1003" s="136">
        <v>0</v>
      </c>
      <c r="BC1003" s="214">
        <v>0</v>
      </c>
      <c r="BD1003" s="136">
        <v>0</v>
      </c>
      <c r="BE1003" s="214">
        <v>0</v>
      </c>
      <c r="BF1003" s="136">
        <v>0</v>
      </c>
      <c r="BG1003" s="214">
        <v>0</v>
      </c>
      <c r="BH1003" s="214">
        <v>0</v>
      </c>
      <c r="BI1003" s="134">
        <v>1</v>
      </c>
      <c r="BJ1003" s="214">
        <v>419</v>
      </c>
      <c r="BK1003" s="137">
        <v>1</v>
      </c>
      <c r="BL1003" s="137">
        <v>1</v>
      </c>
      <c r="BM1003" s="137">
        <v>0</v>
      </c>
      <c r="BN1003" s="134">
        <v>0</v>
      </c>
      <c r="BO1003" s="351">
        <v>0</v>
      </c>
      <c r="BP1003" s="134">
        <v>1</v>
      </c>
      <c r="BQ1003" s="214">
        <v>70</v>
      </c>
      <c r="BR1003" s="137">
        <v>70</v>
      </c>
      <c r="BS1003" s="138">
        <v>0</v>
      </c>
      <c r="BT1003" s="351" t="s">
        <v>103</v>
      </c>
      <c r="BU1003" s="214">
        <v>0</v>
      </c>
      <c r="BV1003" s="214">
        <v>0</v>
      </c>
      <c r="BW1003" s="214">
        <v>0</v>
      </c>
      <c r="BX1003" s="214">
        <v>0</v>
      </c>
      <c r="BY1003" s="214">
        <v>0</v>
      </c>
      <c r="BZ1003" s="134">
        <v>0</v>
      </c>
      <c r="CA1003" s="138">
        <v>1</v>
      </c>
      <c r="CB1003" s="136">
        <v>0</v>
      </c>
      <c r="CC1003" s="136">
        <v>0</v>
      </c>
      <c r="CD1003" s="136">
        <v>0</v>
      </c>
      <c r="CE1003" s="137">
        <v>0</v>
      </c>
      <c r="CF1003" s="137">
        <v>0</v>
      </c>
      <c r="CG1003" s="137">
        <v>0</v>
      </c>
      <c r="CH1003" s="214">
        <v>0</v>
      </c>
      <c r="CI1003" s="139">
        <v>0</v>
      </c>
      <c r="CJ1003" s="139">
        <v>0</v>
      </c>
      <c r="CK1003" s="139" t="s">
        <v>975</v>
      </c>
      <c r="CL1003" s="139" t="s">
        <v>969</v>
      </c>
      <c r="CM1003" s="139" t="s">
        <v>975</v>
      </c>
      <c r="CN1003" s="139" t="s">
        <v>454</v>
      </c>
      <c r="CO1003" s="139">
        <v>19.615800857543899</v>
      </c>
      <c r="CP1003" s="139">
        <v>94.000473022460895</v>
      </c>
      <c r="CQ1003" s="139" t="s">
        <v>1575</v>
      </c>
      <c r="CR1003" s="449" t="s">
        <v>40</v>
      </c>
      <c r="CS1003" s="449"/>
      <c r="CT1003" s="24"/>
      <c r="CU1003" s="24"/>
      <c r="CV1003" s="24"/>
    </row>
    <row r="1004" spans="1:100" ht="15.75" customHeight="1" x14ac:dyDescent="0.25">
      <c r="A1004" s="643" t="s">
        <v>1388</v>
      </c>
      <c r="B1004" s="132" t="s">
        <v>2444</v>
      </c>
      <c r="C1004" s="132" t="s">
        <v>454</v>
      </c>
      <c r="D1004" s="132" t="s">
        <v>486</v>
      </c>
      <c r="E1004" s="132" t="s">
        <v>553</v>
      </c>
      <c r="F1004" s="132">
        <v>235</v>
      </c>
      <c r="G1004" s="214">
        <v>1176</v>
      </c>
      <c r="H1004" s="132"/>
      <c r="I1004" s="132" t="s">
        <v>488</v>
      </c>
      <c r="J1004" s="133">
        <v>43586</v>
      </c>
      <c r="K1004" s="132"/>
      <c r="L1004" s="132" t="s">
        <v>48</v>
      </c>
      <c r="M1004" s="134">
        <v>0</v>
      </c>
      <c r="N1004" s="134">
        <v>0</v>
      </c>
      <c r="O1004" s="320">
        <v>0</v>
      </c>
      <c r="P1004" s="326">
        <v>0</v>
      </c>
      <c r="Q1004" s="326"/>
      <c r="R1004" s="315"/>
      <c r="S1004" s="315">
        <v>0</v>
      </c>
      <c r="T1004" s="315"/>
      <c r="U1004" s="315"/>
      <c r="V1004" s="315"/>
      <c r="W1004" s="315"/>
      <c r="X1004" s="315"/>
      <c r="Y1004" s="315"/>
      <c r="Z1004" s="315"/>
      <c r="AA1004" s="336">
        <v>0</v>
      </c>
      <c r="AB1004" s="336"/>
      <c r="AC1004" s="337"/>
      <c r="AD1004" s="337"/>
      <c r="AE1004" s="336">
        <v>0</v>
      </c>
      <c r="AF1004" s="336" t="s">
        <v>286</v>
      </c>
      <c r="AG1004" s="339" t="s">
        <v>286</v>
      </c>
      <c r="AH1004" s="339"/>
      <c r="AI1004" s="336"/>
      <c r="AJ1004" s="336"/>
      <c r="AK1004" s="848">
        <v>0</v>
      </c>
      <c r="AL1004" s="836"/>
      <c r="AM1004" s="836">
        <v>0</v>
      </c>
      <c r="AN1004" s="848"/>
      <c r="AO1004" s="850">
        <v>0</v>
      </c>
      <c r="AP1004" s="838"/>
      <c r="AQ1004" s="839"/>
      <c r="AR1004" s="839"/>
      <c r="AS1004" s="839"/>
      <c r="AT1004" s="839"/>
      <c r="AU1004" s="839"/>
      <c r="AV1004" s="849"/>
      <c r="AW1004" s="134" t="s">
        <v>3208</v>
      </c>
      <c r="AX1004" s="136" t="s">
        <v>3208</v>
      </c>
      <c r="AY1004" s="137" t="s">
        <v>2576</v>
      </c>
      <c r="AZ1004" s="136">
        <v>0</v>
      </c>
      <c r="BA1004" s="136">
        <v>0</v>
      </c>
      <c r="BB1004" s="136">
        <v>0</v>
      </c>
      <c r="BC1004" s="214">
        <v>0</v>
      </c>
      <c r="BD1004" s="136">
        <v>0</v>
      </c>
      <c r="BE1004" s="214">
        <v>0</v>
      </c>
      <c r="BF1004" s="136">
        <v>0</v>
      </c>
      <c r="BG1004" s="214">
        <v>0</v>
      </c>
      <c r="BH1004" s="214">
        <v>0</v>
      </c>
      <c r="BI1004" s="134">
        <v>1</v>
      </c>
      <c r="BJ1004" s="214">
        <v>1176</v>
      </c>
      <c r="BK1004" s="137">
        <v>2</v>
      </c>
      <c r="BL1004" s="137">
        <v>2</v>
      </c>
      <c r="BM1004" s="137">
        <v>0</v>
      </c>
      <c r="BN1004" s="134">
        <v>0</v>
      </c>
      <c r="BO1004" s="351">
        <v>0</v>
      </c>
      <c r="BP1004" s="134">
        <v>1</v>
      </c>
      <c r="BQ1004" s="214">
        <v>196</v>
      </c>
      <c r="BR1004" s="137">
        <v>196</v>
      </c>
      <c r="BS1004" s="138">
        <v>0</v>
      </c>
      <c r="BT1004" s="351" t="s">
        <v>103</v>
      </c>
      <c r="BU1004" s="214">
        <v>0</v>
      </c>
      <c r="BV1004" s="214">
        <v>0</v>
      </c>
      <c r="BW1004" s="214">
        <v>0</v>
      </c>
      <c r="BX1004" s="214">
        <v>0</v>
      </c>
      <c r="BY1004" s="214">
        <v>0</v>
      </c>
      <c r="BZ1004" s="134">
        <v>0</v>
      </c>
      <c r="CA1004" s="138">
        <v>1</v>
      </c>
      <c r="CB1004" s="136">
        <v>0</v>
      </c>
      <c r="CC1004" s="136">
        <v>0</v>
      </c>
      <c r="CD1004" s="136">
        <v>0</v>
      </c>
      <c r="CE1004" s="137">
        <v>0</v>
      </c>
      <c r="CF1004" s="137">
        <v>0</v>
      </c>
      <c r="CG1004" s="137">
        <v>0</v>
      </c>
      <c r="CH1004" s="214">
        <v>0</v>
      </c>
      <c r="CI1004" s="139">
        <v>0</v>
      </c>
      <c r="CJ1004" s="139">
        <v>0</v>
      </c>
      <c r="CK1004" s="139" t="s">
        <v>975</v>
      </c>
      <c r="CL1004" s="139" t="s">
        <v>969</v>
      </c>
      <c r="CM1004" s="139" t="s">
        <v>975</v>
      </c>
      <c r="CN1004" s="139" t="s">
        <v>978</v>
      </c>
      <c r="CO1004" s="139">
        <v>19.988599777221701</v>
      </c>
      <c r="CP1004" s="139">
        <v>93.803939819335895</v>
      </c>
      <c r="CQ1004" s="139" t="s">
        <v>1593</v>
      </c>
      <c r="CR1004" s="449" t="s">
        <v>40</v>
      </c>
      <c r="CS1004" s="449"/>
      <c r="CT1004" s="24"/>
      <c r="CU1004" s="24"/>
      <c r="CV1004" s="24"/>
    </row>
    <row r="1005" spans="1:100" ht="15.75" customHeight="1" x14ac:dyDescent="0.25">
      <c r="A1005" s="643" t="s">
        <v>1388</v>
      </c>
      <c r="B1005" s="132" t="s">
        <v>2444</v>
      </c>
      <c r="C1005" s="132" t="s">
        <v>454</v>
      </c>
      <c r="D1005" s="132" t="s">
        <v>486</v>
      </c>
      <c r="E1005" s="132" t="s">
        <v>551</v>
      </c>
      <c r="F1005" s="132">
        <v>82</v>
      </c>
      <c r="G1005" s="214">
        <v>412</v>
      </c>
      <c r="H1005" s="132"/>
      <c r="I1005" s="132" t="s">
        <v>488</v>
      </c>
      <c r="J1005" s="133">
        <v>43586</v>
      </c>
      <c r="K1005" s="132"/>
      <c r="L1005" s="132" t="s">
        <v>48</v>
      </c>
      <c r="M1005" s="134">
        <v>0</v>
      </c>
      <c r="N1005" s="134">
        <v>0</v>
      </c>
      <c r="O1005" s="320">
        <v>0</v>
      </c>
      <c r="P1005" s="326">
        <v>0</v>
      </c>
      <c r="Q1005" s="326"/>
      <c r="R1005" s="315"/>
      <c r="S1005" s="315">
        <v>0</v>
      </c>
      <c r="T1005" s="315"/>
      <c r="U1005" s="315"/>
      <c r="V1005" s="315"/>
      <c r="W1005" s="315"/>
      <c r="X1005" s="315"/>
      <c r="Y1005" s="315"/>
      <c r="Z1005" s="315"/>
      <c r="AA1005" s="336">
        <v>0</v>
      </c>
      <c r="AB1005" s="336"/>
      <c r="AC1005" s="337"/>
      <c r="AD1005" s="337"/>
      <c r="AE1005" s="336">
        <v>0</v>
      </c>
      <c r="AF1005" s="336" t="s">
        <v>286</v>
      </c>
      <c r="AG1005" s="339" t="s">
        <v>286</v>
      </c>
      <c r="AH1005" s="339"/>
      <c r="AI1005" s="336"/>
      <c r="AJ1005" s="336"/>
      <c r="AK1005" s="848">
        <v>0</v>
      </c>
      <c r="AL1005" s="836"/>
      <c r="AM1005" s="836">
        <v>0</v>
      </c>
      <c r="AN1005" s="848"/>
      <c r="AO1005" s="850">
        <v>0</v>
      </c>
      <c r="AP1005" s="838"/>
      <c r="AQ1005" s="839"/>
      <c r="AR1005" s="839"/>
      <c r="AS1005" s="839"/>
      <c r="AT1005" s="839"/>
      <c r="AU1005" s="839"/>
      <c r="AV1005" s="849"/>
      <c r="AW1005" s="134" t="s">
        <v>3208</v>
      </c>
      <c r="AX1005" s="136" t="s">
        <v>3208</v>
      </c>
      <c r="AY1005" s="137" t="s">
        <v>2576</v>
      </c>
      <c r="AZ1005" s="136">
        <v>0</v>
      </c>
      <c r="BA1005" s="136">
        <v>0</v>
      </c>
      <c r="BB1005" s="136">
        <v>0</v>
      </c>
      <c r="BC1005" s="214">
        <v>0</v>
      </c>
      <c r="BD1005" s="136">
        <v>0</v>
      </c>
      <c r="BE1005" s="135">
        <v>0</v>
      </c>
      <c r="BF1005" s="136">
        <v>0</v>
      </c>
      <c r="BG1005" s="214">
        <v>0</v>
      </c>
      <c r="BH1005" s="214">
        <v>0</v>
      </c>
      <c r="BI1005" s="134">
        <v>1</v>
      </c>
      <c r="BJ1005" s="135">
        <v>412</v>
      </c>
      <c r="BK1005" s="137">
        <v>1</v>
      </c>
      <c r="BL1005" s="137">
        <v>1</v>
      </c>
      <c r="BM1005" s="137">
        <v>0</v>
      </c>
      <c r="BN1005" s="134">
        <v>0</v>
      </c>
      <c r="BO1005" s="351">
        <v>0</v>
      </c>
      <c r="BP1005" s="134">
        <v>1</v>
      </c>
      <c r="BQ1005" s="135">
        <v>69</v>
      </c>
      <c r="BR1005" s="137">
        <v>69</v>
      </c>
      <c r="BS1005" s="138">
        <v>0</v>
      </c>
      <c r="BT1005" s="351" t="s">
        <v>103</v>
      </c>
      <c r="BU1005" s="214">
        <v>0</v>
      </c>
      <c r="BV1005" s="214">
        <v>0</v>
      </c>
      <c r="BW1005" s="214">
        <v>0</v>
      </c>
      <c r="BX1005" s="214">
        <v>0</v>
      </c>
      <c r="BY1005" s="214">
        <v>0</v>
      </c>
      <c r="BZ1005" s="134">
        <v>0</v>
      </c>
      <c r="CA1005" s="138">
        <v>1</v>
      </c>
      <c r="CB1005" s="136">
        <v>0</v>
      </c>
      <c r="CC1005" s="136">
        <v>0</v>
      </c>
      <c r="CD1005" s="136">
        <v>0</v>
      </c>
      <c r="CE1005" s="137">
        <v>0</v>
      </c>
      <c r="CF1005" s="137">
        <v>0</v>
      </c>
      <c r="CG1005" s="137">
        <v>0</v>
      </c>
      <c r="CH1005" s="135">
        <v>0</v>
      </c>
      <c r="CI1005" s="139">
        <v>0</v>
      </c>
      <c r="CJ1005" s="139">
        <v>0</v>
      </c>
      <c r="CK1005" s="139" t="s">
        <v>975</v>
      </c>
      <c r="CL1005" s="139" t="s">
        <v>969</v>
      </c>
      <c r="CM1005" s="139" t="s">
        <v>975</v>
      </c>
      <c r="CN1005" s="139" t="s">
        <v>978</v>
      </c>
      <c r="CO1005" s="139">
        <v>19.962713241577099</v>
      </c>
      <c r="CP1005" s="139">
        <v>93.885574340820298</v>
      </c>
      <c r="CQ1005" s="139" t="s">
        <v>1591</v>
      </c>
      <c r="CR1005" s="449" t="s">
        <v>40</v>
      </c>
      <c r="CS1005" s="449"/>
      <c r="CT1005" s="24"/>
      <c r="CU1005" s="24"/>
      <c r="CV1005" s="24"/>
    </row>
    <row r="1006" spans="1:100" ht="15.75" customHeight="1" x14ac:dyDescent="0.25">
      <c r="A1006" s="643" t="s">
        <v>1388</v>
      </c>
      <c r="B1006" s="132" t="s">
        <v>2444</v>
      </c>
      <c r="C1006" s="132" t="s">
        <v>454</v>
      </c>
      <c r="D1006" s="132" t="s">
        <v>486</v>
      </c>
      <c r="E1006" s="132" t="s">
        <v>548</v>
      </c>
      <c r="F1006" s="132">
        <v>229</v>
      </c>
      <c r="G1006" s="214">
        <v>1147</v>
      </c>
      <c r="H1006" s="132"/>
      <c r="I1006" s="132" t="s">
        <v>488</v>
      </c>
      <c r="J1006" s="133">
        <v>43586</v>
      </c>
      <c r="K1006" s="132"/>
      <c r="L1006" s="132" t="s">
        <v>48</v>
      </c>
      <c r="M1006" s="134">
        <v>0</v>
      </c>
      <c r="N1006" s="134">
        <v>0</v>
      </c>
      <c r="O1006" s="320">
        <v>0</v>
      </c>
      <c r="P1006" s="326">
        <v>0</v>
      </c>
      <c r="Q1006" s="326"/>
      <c r="R1006" s="315"/>
      <c r="S1006" s="315">
        <v>0</v>
      </c>
      <c r="T1006" s="315"/>
      <c r="U1006" s="315"/>
      <c r="V1006" s="315"/>
      <c r="W1006" s="315"/>
      <c r="X1006" s="315"/>
      <c r="Y1006" s="315"/>
      <c r="Z1006" s="315"/>
      <c r="AA1006" s="336">
        <v>0</v>
      </c>
      <c r="AB1006" s="336"/>
      <c r="AC1006" s="337"/>
      <c r="AD1006" s="337"/>
      <c r="AE1006" s="336">
        <v>0</v>
      </c>
      <c r="AF1006" s="336" t="s">
        <v>286</v>
      </c>
      <c r="AG1006" s="339" t="s">
        <v>286</v>
      </c>
      <c r="AH1006" s="339"/>
      <c r="AI1006" s="336"/>
      <c r="AJ1006" s="336"/>
      <c r="AK1006" s="848">
        <v>0</v>
      </c>
      <c r="AL1006" s="836"/>
      <c r="AM1006" s="836">
        <v>0</v>
      </c>
      <c r="AN1006" s="848"/>
      <c r="AO1006" s="850">
        <v>0</v>
      </c>
      <c r="AP1006" s="838"/>
      <c r="AQ1006" s="839"/>
      <c r="AR1006" s="839"/>
      <c r="AS1006" s="839"/>
      <c r="AT1006" s="839"/>
      <c r="AU1006" s="839"/>
      <c r="AV1006" s="849"/>
      <c r="AW1006" s="134" t="s">
        <v>3208</v>
      </c>
      <c r="AX1006" s="136" t="s">
        <v>3208</v>
      </c>
      <c r="AY1006" s="137" t="s">
        <v>2576</v>
      </c>
      <c r="AZ1006" s="136">
        <v>0</v>
      </c>
      <c r="BA1006" s="136">
        <v>0</v>
      </c>
      <c r="BB1006" s="136">
        <v>0</v>
      </c>
      <c r="BC1006" s="214">
        <v>0</v>
      </c>
      <c r="BD1006" s="136">
        <v>0</v>
      </c>
      <c r="BE1006" s="135">
        <v>0</v>
      </c>
      <c r="BF1006" s="136">
        <v>0</v>
      </c>
      <c r="BG1006" s="214">
        <v>0</v>
      </c>
      <c r="BH1006" s="214">
        <v>0</v>
      </c>
      <c r="BI1006" s="134">
        <v>1</v>
      </c>
      <c r="BJ1006" s="135">
        <v>1147</v>
      </c>
      <c r="BK1006" s="137">
        <v>2</v>
      </c>
      <c r="BL1006" s="137">
        <v>2</v>
      </c>
      <c r="BM1006" s="137">
        <v>0</v>
      </c>
      <c r="BN1006" s="134">
        <v>0</v>
      </c>
      <c r="BO1006" s="351">
        <v>0</v>
      </c>
      <c r="BP1006" s="134">
        <v>0.99912816041848307</v>
      </c>
      <c r="BQ1006" s="135">
        <v>191</v>
      </c>
      <c r="BR1006" s="137">
        <v>191</v>
      </c>
      <c r="BS1006" s="138">
        <v>0</v>
      </c>
      <c r="BT1006" s="351" t="s">
        <v>103</v>
      </c>
      <c r="BU1006" s="214">
        <v>0</v>
      </c>
      <c r="BV1006" s="214">
        <v>0</v>
      </c>
      <c r="BW1006" s="214">
        <v>0</v>
      </c>
      <c r="BX1006" s="214">
        <v>0</v>
      </c>
      <c r="BY1006" s="214">
        <v>0</v>
      </c>
      <c r="BZ1006" s="134">
        <v>0</v>
      </c>
      <c r="CA1006" s="138">
        <v>1</v>
      </c>
      <c r="CB1006" s="136">
        <v>0</v>
      </c>
      <c r="CC1006" s="136">
        <v>0</v>
      </c>
      <c r="CD1006" s="136">
        <v>0</v>
      </c>
      <c r="CE1006" s="137">
        <v>0</v>
      </c>
      <c r="CF1006" s="137">
        <v>0</v>
      </c>
      <c r="CG1006" s="137">
        <v>0</v>
      </c>
      <c r="CH1006" s="135">
        <v>0</v>
      </c>
      <c r="CI1006" s="139">
        <v>0</v>
      </c>
      <c r="CJ1006" s="139">
        <v>0</v>
      </c>
      <c r="CK1006" s="139" t="s">
        <v>975</v>
      </c>
      <c r="CL1006" s="139" t="s">
        <v>969</v>
      </c>
      <c r="CM1006" s="139" t="s">
        <v>975</v>
      </c>
      <c r="CN1006" s="139" t="s">
        <v>454</v>
      </c>
      <c r="CO1006" s="139">
        <v>19.925739288330099</v>
      </c>
      <c r="CP1006" s="139">
        <v>93.792991638183594</v>
      </c>
      <c r="CQ1006" s="139" t="s">
        <v>1587</v>
      </c>
      <c r="CR1006" s="449" t="s">
        <v>40</v>
      </c>
      <c r="CS1006" s="449"/>
      <c r="CT1006" s="24"/>
      <c r="CU1006" s="24"/>
      <c r="CV1006" s="24"/>
    </row>
    <row r="1007" spans="1:100" ht="15.75" customHeight="1" x14ac:dyDescent="0.25">
      <c r="A1007" s="643" t="s">
        <v>1388</v>
      </c>
      <c r="B1007" s="132" t="s">
        <v>530</v>
      </c>
      <c r="C1007" s="132" t="s">
        <v>454</v>
      </c>
      <c r="D1007" s="132" t="s">
        <v>480</v>
      </c>
      <c r="E1007" s="132" t="s">
        <v>800</v>
      </c>
      <c r="F1007" s="132">
        <v>20</v>
      </c>
      <c r="G1007" s="214">
        <v>60</v>
      </c>
      <c r="H1007" s="132"/>
      <c r="I1007" s="132" t="s">
        <v>388</v>
      </c>
      <c r="J1007" s="133">
        <v>43343</v>
      </c>
      <c r="K1007" s="132">
        <v>0</v>
      </c>
      <c r="L1007" s="132" t="s">
        <v>48</v>
      </c>
      <c r="M1007" s="134"/>
      <c r="N1007" s="134"/>
      <c r="O1007" s="320"/>
      <c r="P1007" s="326"/>
      <c r="Q1007" s="326"/>
      <c r="R1007" s="315"/>
      <c r="S1007" s="315"/>
      <c r="T1007" s="315"/>
      <c r="U1007" s="315"/>
      <c r="V1007" s="315"/>
      <c r="W1007" s="315"/>
      <c r="X1007" s="315"/>
      <c r="Y1007" s="315"/>
      <c r="Z1007" s="315"/>
      <c r="AA1007" s="336"/>
      <c r="AB1007" s="336"/>
      <c r="AC1007" s="337"/>
      <c r="AD1007" s="337"/>
      <c r="AE1007" s="336">
        <v>10</v>
      </c>
      <c r="AF1007" s="336" t="s">
        <v>332</v>
      </c>
      <c r="AG1007" s="339" t="s">
        <v>332</v>
      </c>
      <c r="AH1007" s="339"/>
      <c r="AI1007" s="336"/>
      <c r="AJ1007" s="336"/>
      <c r="AK1007" s="848">
        <v>0</v>
      </c>
      <c r="AL1007" s="836" t="s">
        <v>284</v>
      </c>
      <c r="AM1007" s="836">
        <v>0</v>
      </c>
      <c r="AN1007" s="848">
        <v>0</v>
      </c>
      <c r="AO1007" s="850">
        <v>7</v>
      </c>
      <c r="AP1007" s="838"/>
      <c r="AQ1007" s="839"/>
      <c r="AR1007" s="839"/>
      <c r="AS1007" s="839"/>
      <c r="AT1007" s="839"/>
      <c r="AU1007" s="839"/>
      <c r="AV1007" s="849"/>
      <c r="AW1007" s="134" t="s">
        <v>3208</v>
      </c>
      <c r="AX1007" s="136" t="s">
        <v>3208</v>
      </c>
      <c r="AY1007" s="137" t="s">
        <v>2576</v>
      </c>
      <c r="AZ1007" s="136">
        <v>0</v>
      </c>
      <c r="BA1007" s="136">
        <v>0</v>
      </c>
      <c r="BB1007" s="136">
        <v>0</v>
      </c>
      <c r="BC1007" s="214">
        <v>0</v>
      </c>
      <c r="BD1007" s="136">
        <v>0</v>
      </c>
      <c r="BE1007" s="135">
        <v>0</v>
      </c>
      <c r="BF1007" s="136">
        <v>0</v>
      </c>
      <c r="BG1007" s="214">
        <v>0</v>
      </c>
      <c r="BH1007" s="214">
        <v>0</v>
      </c>
      <c r="BI1007" s="134">
        <v>1</v>
      </c>
      <c r="BJ1007" s="135">
        <v>60</v>
      </c>
      <c r="BK1007" s="137">
        <v>1</v>
      </c>
      <c r="BL1007" s="137">
        <v>1</v>
      </c>
      <c r="BM1007" s="137">
        <v>0</v>
      </c>
      <c r="BN1007" s="134">
        <v>0</v>
      </c>
      <c r="BO1007" s="351">
        <v>0</v>
      </c>
      <c r="BP1007" s="134">
        <v>1</v>
      </c>
      <c r="BQ1007" s="135">
        <v>10</v>
      </c>
      <c r="BR1007" s="137">
        <v>10</v>
      </c>
      <c r="BS1007" s="138">
        <v>0</v>
      </c>
      <c r="BT1007" s="351" t="s">
        <v>103</v>
      </c>
      <c r="BU1007" s="214">
        <v>60</v>
      </c>
      <c r="BV1007" s="214">
        <v>0</v>
      </c>
      <c r="BW1007" s="214">
        <v>1</v>
      </c>
      <c r="BX1007" s="214">
        <v>0</v>
      </c>
      <c r="BY1007" s="214">
        <v>0</v>
      </c>
      <c r="BZ1007" s="134">
        <v>0</v>
      </c>
      <c r="CA1007" s="138">
        <v>1</v>
      </c>
      <c r="CB1007" s="136">
        <v>1</v>
      </c>
      <c r="CC1007" s="136">
        <v>0</v>
      </c>
      <c r="CD1007" s="136">
        <v>0</v>
      </c>
      <c r="CE1007" s="137">
        <v>0</v>
      </c>
      <c r="CF1007" s="137">
        <v>0</v>
      </c>
      <c r="CG1007" s="137">
        <v>0</v>
      </c>
      <c r="CH1007" s="135">
        <v>0</v>
      </c>
      <c r="CI1007" s="139">
        <v>0</v>
      </c>
      <c r="CJ1007" s="139">
        <v>0</v>
      </c>
      <c r="CK1007" s="139" t="s">
        <v>969</v>
      </c>
      <c r="CL1007" s="139" t="s">
        <v>969</v>
      </c>
      <c r="CM1007" s="139" t="s">
        <v>969</v>
      </c>
      <c r="CN1007" s="139" t="s">
        <v>454</v>
      </c>
      <c r="CO1007" s="139">
        <v>20.8490600585938</v>
      </c>
      <c r="CP1007" s="139">
        <v>92.497413635253906</v>
      </c>
      <c r="CQ1007" s="139">
        <v>198313</v>
      </c>
      <c r="CR1007" s="449" t="s">
        <v>40</v>
      </c>
      <c r="CS1007" s="449"/>
      <c r="CT1007" s="24"/>
      <c r="CU1007" s="24"/>
      <c r="CV1007" s="24"/>
    </row>
    <row r="1008" spans="1:100" ht="15.75" customHeight="1" x14ac:dyDescent="0.25">
      <c r="A1008" s="643" t="s">
        <v>1388</v>
      </c>
      <c r="B1008" s="132" t="s">
        <v>530</v>
      </c>
      <c r="C1008" s="132" t="s">
        <v>454</v>
      </c>
      <c r="D1008" s="132" t="s">
        <v>480</v>
      </c>
      <c r="E1008" s="132" t="s">
        <v>775</v>
      </c>
      <c r="F1008" s="132">
        <v>27</v>
      </c>
      <c r="G1008" s="214">
        <v>127</v>
      </c>
      <c r="H1008" s="132"/>
      <c r="I1008" s="132" t="s">
        <v>388</v>
      </c>
      <c r="J1008" s="133">
        <v>43145</v>
      </c>
      <c r="K1008" s="132">
        <v>0</v>
      </c>
      <c r="L1008" s="132" t="s">
        <v>48</v>
      </c>
      <c r="M1008" s="134">
        <v>0</v>
      </c>
      <c r="N1008" s="134">
        <v>0</v>
      </c>
      <c r="O1008" s="320">
        <v>0</v>
      </c>
      <c r="P1008" s="326">
        <v>0</v>
      </c>
      <c r="Q1008" s="326">
        <v>0</v>
      </c>
      <c r="R1008" s="315">
        <v>3</v>
      </c>
      <c r="S1008" s="315">
        <v>0</v>
      </c>
      <c r="T1008" s="315"/>
      <c r="U1008" s="315"/>
      <c r="V1008" s="315"/>
      <c r="W1008" s="315"/>
      <c r="X1008" s="315"/>
      <c r="Y1008" s="315"/>
      <c r="Z1008" s="315"/>
      <c r="AA1008" s="336">
        <v>1</v>
      </c>
      <c r="AB1008" s="336">
        <v>0</v>
      </c>
      <c r="AC1008" s="337"/>
      <c r="AD1008" s="337"/>
      <c r="AE1008" s="336">
        <v>1</v>
      </c>
      <c r="AF1008" s="336" t="s">
        <v>332</v>
      </c>
      <c r="AG1008" s="339" t="s">
        <v>332</v>
      </c>
      <c r="AH1008" s="339"/>
      <c r="AI1008" s="336"/>
      <c r="AJ1008" s="336" t="s">
        <v>2462</v>
      </c>
      <c r="AK1008" s="848">
        <v>0</v>
      </c>
      <c r="AL1008" s="836" t="s">
        <v>284</v>
      </c>
      <c r="AM1008" s="836">
        <v>0</v>
      </c>
      <c r="AN1008" s="848">
        <v>0</v>
      </c>
      <c r="AO1008" s="850">
        <v>7</v>
      </c>
      <c r="AP1008" s="838"/>
      <c r="AQ1008" s="839"/>
      <c r="AR1008" s="839"/>
      <c r="AS1008" s="839"/>
      <c r="AT1008" s="839"/>
      <c r="AU1008" s="839"/>
      <c r="AV1008" s="849"/>
      <c r="AW1008" s="134" t="s">
        <v>3208</v>
      </c>
      <c r="AX1008" s="136" t="s">
        <v>3208</v>
      </c>
      <c r="AY1008" s="137" t="s">
        <v>2576</v>
      </c>
      <c r="AZ1008" s="136">
        <v>0</v>
      </c>
      <c r="BA1008" s="136">
        <v>0</v>
      </c>
      <c r="BB1008" s="136">
        <v>0</v>
      </c>
      <c r="BC1008" s="214">
        <v>0</v>
      </c>
      <c r="BD1008" s="136">
        <v>1</v>
      </c>
      <c r="BE1008" s="214">
        <v>127</v>
      </c>
      <c r="BF1008" s="136">
        <v>1</v>
      </c>
      <c r="BG1008" s="214">
        <v>127</v>
      </c>
      <c r="BH1008" s="214">
        <v>0.254</v>
      </c>
      <c r="BI1008" s="134">
        <v>0</v>
      </c>
      <c r="BJ1008" s="214">
        <v>0</v>
      </c>
      <c r="BK1008" s="137">
        <v>0.746</v>
      </c>
      <c r="BL1008" s="137">
        <v>1</v>
      </c>
      <c r="BM1008" s="137">
        <v>1</v>
      </c>
      <c r="BN1008" s="134">
        <v>4.7244094488188976E-2</v>
      </c>
      <c r="BO1008" s="351">
        <v>6</v>
      </c>
      <c r="BP1008" s="134">
        <v>0.94488188976377951</v>
      </c>
      <c r="BQ1008" s="214">
        <v>20</v>
      </c>
      <c r="BR1008" s="137">
        <v>21</v>
      </c>
      <c r="BS1008" s="138">
        <v>0</v>
      </c>
      <c r="BT1008" s="351" t="s">
        <v>103</v>
      </c>
      <c r="BU1008" s="214">
        <v>127</v>
      </c>
      <c r="BV1008" s="214">
        <v>0</v>
      </c>
      <c r="BW1008" s="214">
        <v>1</v>
      </c>
      <c r="BX1008" s="214">
        <v>0</v>
      </c>
      <c r="BY1008" s="214">
        <v>0</v>
      </c>
      <c r="BZ1008" s="134">
        <v>0</v>
      </c>
      <c r="CA1008" s="138">
        <v>1</v>
      </c>
      <c r="CB1008" s="136">
        <v>1</v>
      </c>
      <c r="CC1008" s="136">
        <v>0</v>
      </c>
      <c r="CD1008" s="136">
        <v>0</v>
      </c>
      <c r="CE1008" s="137">
        <v>0</v>
      </c>
      <c r="CF1008" s="137">
        <v>0</v>
      </c>
      <c r="CG1008" s="137">
        <v>0</v>
      </c>
      <c r="CH1008" s="214">
        <v>0</v>
      </c>
      <c r="CI1008" s="139">
        <v>0</v>
      </c>
      <c r="CJ1008" s="139">
        <v>0</v>
      </c>
      <c r="CK1008" s="139" t="s">
        <v>969</v>
      </c>
      <c r="CL1008" s="139" t="s">
        <v>969</v>
      </c>
      <c r="CM1008" s="139" t="s">
        <v>969</v>
      </c>
      <c r="CN1008" s="139" t="s">
        <v>454</v>
      </c>
      <c r="CO1008" s="139">
        <v>20.805580139160199</v>
      </c>
      <c r="CP1008" s="139">
        <v>92.549842834472699</v>
      </c>
      <c r="CQ1008" s="139">
        <v>198336</v>
      </c>
      <c r="CR1008" s="449" t="s">
        <v>40</v>
      </c>
      <c r="CS1008" s="449"/>
      <c r="CT1008" s="24"/>
      <c r="CU1008" s="24"/>
      <c r="CV1008" s="24"/>
    </row>
    <row r="1009" spans="1:100" ht="15.75" customHeight="1" x14ac:dyDescent="0.25">
      <c r="A1009" s="643" t="s">
        <v>1388</v>
      </c>
      <c r="B1009" s="132" t="s">
        <v>530</v>
      </c>
      <c r="C1009" s="132" t="s">
        <v>454</v>
      </c>
      <c r="D1009" s="132" t="s">
        <v>480</v>
      </c>
      <c r="E1009" s="132" t="s">
        <v>786</v>
      </c>
      <c r="F1009" s="132">
        <v>513</v>
      </c>
      <c r="G1009" s="214">
        <v>4073</v>
      </c>
      <c r="H1009" s="132"/>
      <c r="I1009" s="132" t="s">
        <v>388</v>
      </c>
      <c r="J1009" s="133">
        <v>43343</v>
      </c>
      <c r="K1009" s="132">
        <v>0</v>
      </c>
      <c r="L1009" s="132" t="s">
        <v>48</v>
      </c>
      <c r="M1009" s="134"/>
      <c r="N1009" s="134"/>
      <c r="O1009" s="320">
        <v>0</v>
      </c>
      <c r="P1009" s="326">
        <v>0</v>
      </c>
      <c r="Q1009" s="326">
        <v>0</v>
      </c>
      <c r="R1009" s="315">
        <v>0</v>
      </c>
      <c r="S1009" s="315">
        <v>0</v>
      </c>
      <c r="T1009" s="315"/>
      <c r="U1009" s="315"/>
      <c r="V1009" s="315"/>
      <c r="W1009" s="315"/>
      <c r="X1009" s="315"/>
      <c r="Y1009" s="315"/>
      <c r="Z1009" s="315"/>
      <c r="AA1009" s="336">
        <v>1</v>
      </c>
      <c r="AB1009" s="336">
        <v>0</v>
      </c>
      <c r="AC1009" s="337"/>
      <c r="AD1009" s="337"/>
      <c r="AE1009" s="336">
        <v>10</v>
      </c>
      <c r="AF1009" s="336" t="s">
        <v>332</v>
      </c>
      <c r="AG1009" s="339" t="s">
        <v>332</v>
      </c>
      <c r="AH1009" s="339"/>
      <c r="AI1009" s="336"/>
      <c r="AJ1009" s="336"/>
      <c r="AK1009" s="848">
        <v>0</v>
      </c>
      <c r="AL1009" s="836" t="s">
        <v>284</v>
      </c>
      <c r="AM1009" s="836">
        <v>0</v>
      </c>
      <c r="AN1009" s="848">
        <v>0</v>
      </c>
      <c r="AO1009" s="850">
        <v>7</v>
      </c>
      <c r="AP1009" s="838"/>
      <c r="AQ1009" s="839"/>
      <c r="AR1009" s="839"/>
      <c r="AS1009" s="839"/>
      <c r="AT1009" s="839"/>
      <c r="AU1009" s="839"/>
      <c r="AV1009" s="849"/>
      <c r="AW1009" s="134" t="s">
        <v>3208</v>
      </c>
      <c r="AX1009" s="136" t="s">
        <v>3208</v>
      </c>
      <c r="AY1009" s="137" t="s">
        <v>2576</v>
      </c>
      <c r="AZ1009" s="136">
        <v>0</v>
      </c>
      <c r="BA1009" s="136">
        <v>0</v>
      </c>
      <c r="BB1009" s="136">
        <v>0</v>
      </c>
      <c r="BC1009" s="214">
        <v>0</v>
      </c>
      <c r="BD1009" s="136">
        <v>0</v>
      </c>
      <c r="BE1009" s="135">
        <v>0</v>
      </c>
      <c r="BF1009" s="136">
        <v>0</v>
      </c>
      <c r="BG1009" s="214">
        <v>0</v>
      </c>
      <c r="BH1009" s="214">
        <v>0</v>
      </c>
      <c r="BI1009" s="134">
        <v>1</v>
      </c>
      <c r="BJ1009" s="135">
        <v>4073</v>
      </c>
      <c r="BK1009" s="137">
        <v>8</v>
      </c>
      <c r="BL1009" s="137">
        <v>8</v>
      </c>
      <c r="BM1009" s="137">
        <v>1</v>
      </c>
      <c r="BN1009" s="134">
        <v>1.4731156395777069E-3</v>
      </c>
      <c r="BO1009" s="351">
        <v>6</v>
      </c>
      <c r="BP1009" s="134">
        <v>0.99877240363368514</v>
      </c>
      <c r="BQ1009" s="135">
        <v>678</v>
      </c>
      <c r="BR1009" s="137">
        <v>679</v>
      </c>
      <c r="BS1009" s="138">
        <v>0</v>
      </c>
      <c r="BT1009" s="351" t="s">
        <v>103</v>
      </c>
      <c r="BU1009" s="214">
        <v>3500</v>
      </c>
      <c r="BV1009" s="214">
        <v>0</v>
      </c>
      <c r="BW1009" s="214">
        <v>1</v>
      </c>
      <c r="BX1009" s="214">
        <v>0</v>
      </c>
      <c r="BY1009" s="214">
        <v>0</v>
      </c>
      <c r="BZ1009" s="134">
        <v>0</v>
      </c>
      <c r="CA1009" s="138">
        <v>1</v>
      </c>
      <c r="CB1009" s="136">
        <v>0.85931745642032897</v>
      </c>
      <c r="CC1009" s="136">
        <v>0</v>
      </c>
      <c r="CD1009" s="136">
        <v>0</v>
      </c>
      <c r="CE1009" s="137">
        <v>0</v>
      </c>
      <c r="CF1009" s="137">
        <v>0</v>
      </c>
      <c r="CG1009" s="137">
        <v>0</v>
      </c>
      <c r="CH1009" s="135">
        <v>0</v>
      </c>
      <c r="CI1009" s="139">
        <v>0</v>
      </c>
      <c r="CJ1009" s="139">
        <v>0</v>
      </c>
      <c r="CK1009" s="139" t="s">
        <v>969</v>
      </c>
      <c r="CL1009" s="139" t="s">
        <v>969</v>
      </c>
      <c r="CM1009" s="139" t="s">
        <v>969</v>
      </c>
      <c r="CN1009" s="139" t="s">
        <v>966</v>
      </c>
      <c r="CO1009" s="139">
        <v>20.821479797363299</v>
      </c>
      <c r="CP1009" s="139">
        <v>92.603950500488295</v>
      </c>
      <c r="CQ1009" s="139" t="s">
        <v>1827</v>
      </c>
      <c r="CR1009" s="449" t="s">
        <v>40</v>
      </c>
      <c r="CS1009" s="449"/>
      <c r="CT1009" s="24"/>
      <c r="CU1009" s="24"/>
      <c r="CV1009" s="24"/>
    </row>
    <row r="1010" spans="1:100" ht="15.75" customHeight="1" x14ac:dyDescent="0.25">
      <c r="A1010" s="643" t="s">
        <v>1388</v>
      </c>
      <c r="B1010" s="132" t="s">
        <v>530</v>
      </c>
      <c r="C1010" s="132" t="s">
        <v>454</v>
      </c>
      <c r="D1010" s="132" t="s">
        <v>480</v>
      </c>
      <c r="E1010" s="132" t="s">
        <v>845</v>
      </c>
      <c r="F1010" s="132">
        <v>22</v>
      </c>
      <c r="G1010" s="214">
        <v>88</v>
      </c>
      <c r="H1010" s="132"/>
      <c r="I1010" s="132" t="s">
        <v>388</v>
      </c>
      <c r="J1010" s="133">
        <v>43145</v>
      </c>
      <c r="K1010" s="132">
        <v>0</v>
      </c>
      <c r="L1010" s="132" t="s">
        <v>48</v>
      </c>
      <c r="M1010" s="134">
        <v>0</v>
      </c>
      <c r="N1010" s="134">
        <v>0</v>
      </c>
      <c r="O1010" s="320">
        <v>0</v>
      </c>
      <c r="P1010" s="326">
        <v>0</v>
      </c>
      <c r="Q1010" s="326">
        <v>0</v>
      </c>
      <c r="R1010" s="315">
        <v>1</v>
      </c>
      <c r="S1010" s="315">
        <v>0</v>
      </c>
      <c r="T1010" s="315"/>
      <c r="U1010" s="315"/>
      <c r="V1010" s="315"/>
      <c r="W1010" s="315"/>
      <c r="X1010" s="315"/>
      <c r="Y1010" s="315"/>
      <c r="Z1010" s="315"/>
      <c r="AA1010" s="336">
        <v>1</v>
      </c>
      <c r="AB1010" s="336">
        <v>0</v>
      </c>
      <c r="AC1010" s="337"/>
      <c r="AD1010" s="337"/>
      <c r="AE1010" s="336">
        <v>1</v>
      </c>
      <c r="AF1010" s="336" t="s">
        <v>332</v>
      </c>
      <c r="AG1010" s="339" t="s">
        <v>332</v>
      </c>
      <c r="AH1010" s="339"/>
      <c r="AI1010" s="336"/>
      <c r="AJ1010" s="336" t="s">
        <v>2462</v>
      </c>
      <c r="AK1010" s="848">
        <v>0</v>
      </c>
      <c r="AL1010" s="836" t="s">
        <v>284</v>
      </c>
      <c r="AM1010" s="836">
        <v>0</v>
      </c>
      <c r="AN1010" s="848">
        <v>0</v>
      </c>
      <c r="AO1010" s="850">
        <v>7</v>
      </c>
      <c r="AP1010" s="838"/>
      <c r="AQ1010" s="839"/>
      <c r="AR1010" s="839"/>
      <c r="AS1010" s="839"/>
      <c r="AT1010" s="839"/>
      <c r="AU1010" s="839"/>
      <c r="AV1010" s="849"/>
      <c r="AW1010" s="134" t="s">
        <v>3208</v>
      </c>
      <c r="AX1010" s="136" t="s">
        <v>3208</v>
      </c>
      <c r="AY1010" s="137" t="s">
        <v>2576</v>
      </c>
      <c r="AZ1010" s="136">
        <v>0</v>
      </c>
      <c r="BA1010" s="136">
        <v>0</v>
      </c>
      <c r="BB1010" s="136">
        <v>0</v>
      </c>
      <c r="BC1010" s="214">
        <v>0</v>
      </c>
      <c r="BD1010" s="136">
        <v>1</v>
      </c>
      <c r="BE1010" s="214">
        <v>88</v>
      </c>
      <c r="BF1010" s="136">
        <v>1</v>
      </c>
      <c r="BG1010" s="214">
        <v>88</v>
      </c>
      <c r="BH1010" s="214">
        <v>0.17599999999999999</v>
      </c>
      <c r="BI1010" s="134">
        <v>0</v>
      </c>
      <c r="BJ1010" s="214">
        <v>0</v>
      </c>
      <c r="BK1010" s="137">
        <v>0.82400000000000007</v>
      </c>
      <c r="BL1010" s="137">
        <v>1</v>
      </c>
      <c r="BM1010" s="137">
        <v>1</v>
      </c>
      <c r="BN1010" s="134">
        <v>6.8181818181818177E-2</v>
      </c>
      <c r="BO1010" s="351">
        <v>6</v>
      </c>
      <c r="BP1010" s="134">
        <v>0.95454545454545459</v>
      </c>
      <c r="BQ1010" s="214">
        <v>14</v>
      </c>
      <c r="BR1010" s="137">
        <v>15</v>
      </c>
      <c r="BS1010" s="138">
        <v>0</v>
      </c>
      <c r="BT1010" s="351" t="s">
        <v>103</v>
      </c>
      <c r="BU1010" s="214">
        <v>88</v>
      </c>
      <c r="BV1010" s="214">
        <v>0</v>
      </c>
      <c r="BW1010" s="214">
        <v>1</v>
      </c>
      <c r="BX1010" s="214">
        <v>0</v>
      </c>
      <c r="BY1010" s="214">
        <v>0</v>
      </c>
      <c r="BZ1010" s="134">
        <v>0</v>
      </c>
      <c r="CA1010" s="138">
        <v>1</v>
      </c>
      <c r="CB1010" s="136">
        <v>1</v>
      </c>
      <c r="CC1010" s="136">
        <v>0</v>
      </c>
      <c r="CD1010" s="136">
        <v>0</v>
      </c>
      <c r="CE1010" s="137">
        <v>0</v>
      </c>
      <c r="CF1010" s="137">
        <v>0</v>
      </c>
      <c r="CG1010" s="137">
        <v>0</v>
      </c>
      <c r="CH1010" s="214">
        <v>0</v>
      </c>
      <c r="CI1010" s="139">
        <v>0</v>
      </c>
      <c r="CJ1010" s="139">
        <v>0</v>
      </c>
      <c r="CK1010" s="139" t="s">
        <v>969</v>
      </c>
      <c r="CL1010" s="139" t="s">
        <v>969</v>
      </c>
      <c r="CM1010" s="139" t="s">
        <v>969</v>
      </c>
      <c r="CN1010" s="139" t="s">
        <v>454</v>
      </c>
      <c r="CO1010" s="139">
        <v>21.025630950927699</v>
      </c>
      <c r="CP1010" s="139">
        <v>92.524818420410199</v>
      </c>
      <c r="CQ1010" s="139">
        <v>198196</v>
      </c>
      <c r="CR1010" s="449" t="s">
        <v>40</v>
      </c>
      <c r="CS1010" s="449"/>
      <c r="CT1010" s="24"/>
      <c r="CU1010" s="24"/>
      <c r="CV1010" s="24"/>
    </row>
    <row r="1011" spans="1:100" ht="15.75" customHeight="1" x14ac:dyDescent="0.25">
      <c r="A1011" s="643" t="s">
        <v>1388</v>
      </c>
      <c r="B1011" s="132" t="s">
        <v>530</v>
      </c>
      <c r="C1011" s="132" t="s">
        <v>454</v>
      </c>
      <c r="D1011" s="132" t="s">
        <v>480</v>
      </c>
      <c r="E1011" s="132" t="s">
        <v>2511</v>
      </c>
      <c r="F1011" s="132">
        <v>60</v>
      </c>
      <c r="G1011" s="214">
        <v>318</v>
      </c>
      <c r="H1011" s="132"/>
      <c r="I1011" s="132" t="s">
        <v>388</v>
      </c>
      <c r="J1011" s="133">
        <v>43343</v>
      </c>
      <c r="K1011" s="132">
        <v>0</v>
      </c>
      <c r="L1011" s="132" t="s">
        <v>48</v>
      </c>
      <c r="M1011" s="134"/>
      <c r="N1011" s="134"/>
      <c r="O1011" s="320"/>
      <c r="P1011" s="326"/>
      <c r="Q1011" s="326"/>
      <c r="R1011" s="315"/>
      <c r="S1011" s="315"/>
      <c r="T1011" s="315"/>
      <c r="U1011" s="315"/>
      <c r="V1011" s="315"/>
      <c r="W1011" s="315"/>
      <c r="X1011" s="315"/>
      <c r="Y1011" s="315"/>
      <c r="Z1011" s="315"/>
      <c r="AA1011" s="336"/>
      <c r="AB1011" s="336"/>
      <c r="AC1011" s="337"/>
      <c r="AD1011" s="337"/>
      <c r="AE1011" s="336">
        <v>3</v>
      </c>
      <c r="AF1011" s="336" t="s">
        <v>332</v>
      </c>
      <c r="AG1011" s="339" t="s">
        <v>332</v>
      </c>
      <c r="AH1011" s="339"/>
      <c r="AI1011" s="336"/>
      <c r="AJ1011" s="336"/>
      <c r="AK1011" s="848">
        <v>0</v>
      </c>
      <c r="AL1011" s="836" t="s">
        <v>284</v>
      </c>
      <c r="AM1011" s="836">
        <v>0</v>
      </c>
      <c r="AN1011" s="848">
        <v>0</v>
      </c>
      <c r="AO1011" s="850">
        <v>7</v>
      </c>
      <c r="AP1011" s="838"/>
      <c r="AQ1011" s="839"/>
      <c r="AR1011" s="839"/>
      <c r="AS1011" s="839"/>
      <c r="AT1011" s="839"/>
      <c r="AU1011" s="839"/>
      <c r="AV1011" s="849"/>
      <c r="AW1011" s="134" t="s">
        <v>3208</v>
      </c>
      <c r="AX1011" s="136" t="s">
        <v>3208</v>
      </c>
      <c r="AY1011" s="137" t="s">
        <v>2576</v>
      </c>
      <c r="AZ1011" s="136">
        <v>0</v>
      </c>
      <c r="BA1011" s="136">
        <v>0</v>
      </c>
      <c r="BB1011" s="136">
        <v>0</v>
      </c>
      <c r="BC1011" s="214">
        <v>0</v>
      </c>
      <c r="BD1011" s="136">
        <v>0</v>
      </c>
      <c r="BE1011" s="214">
        <v>0</v>
      </c>
      <c r="BF1011" s="136">
        <v>0</v>
      </c>
      <c r="BG1011" s="214">
        <v>0</v>
      </c>
      <c r="BH1011" s="214">
        <v>0</v>
      </c>
      <c r="BI1011" s="134">
        <v>1</v>
      </c>
      <c r="BJ1011" s="214">
        <v>318</v>
      </c>
      <c r="BK1011" s="137">
        <v>1</v>
      </c>
      <c r="BL1011" s="137">
        <v>1</v>
      </c>
      <c r="BM1011" s="137">
        <v>0</v>
      </c>
      <c r="BN1011" s="134">
        <v>0</v>
      </c>
      <c r="BO1011" s="351">
        <v>0</v>
      </c>
      <c r="BP1011" s="134">
        <v>1</v>
      </c>
      <c r="BQ1011" s="214">
        <v>53</v>
      </c>
      <c r="BR1011" s="137">
        <v>53</v>
      </c>
      <c r="BS1011" s="138">
        <v>0</v>
      </c>
      <c r="BT1011" s="351" t="s">
        <v>103</v>
      </c>
      <c r="BU1011" s="214">
        <v>318</v>
      </c>
      <c r="BV1011" s="214">
        <v>0</v>
      </c>
      <c r="BW1011" s="214">
        <v>1</v>
      </c>
      <c r="BX1011" s="214">
        <v>0</v>
      </c>
      <c r="BY1011" s="214">
        <v>0</v>
      </c>
      <c r="BZ1011" s="134">
        <v>0</v>
      </c>
      <c r="CA1011" s="138">
        <v>1</v>
      </c>
      <c r="CB1011" s="136">
        <v>1</v>
      </c>
      <c r="CC1011" s="136">
        <v>0</v>
      </c>
      <c r="CD1011" s="136">
        <v>0</v>
      </c>
      <c r="CE1011" s="137">
        <v>0</v>
      </c>
      <c r="CF1011" s="137">
        <v>0</v>
      </c>
      <c r="CG1011" s="137">
        <v>0</v>
      </c>
      <c r="CH1011" s="214">
        <v>0</v>
      </c>
      <c r="CI1011" s="139">
        <v>0</v>
      </c>
      <c r="CJ1011" s="139">
        <v>0</v>
      </c>
      <c r="CK1011" s="139" t="s">
        <v>969</v>
      </c>
      <c r="CL1011" s="139" t="s">
        <v>969</v>
      </c>
      <c r="CM1011" s="139" t="s">
        <v>969</v>
      </c>
      <c r="CN1011" s="139" t="s">
        <v>1122</v>
      </c>
      <c r="CO1011" s="139">
        <v>20.936040878295898</v>
      </c>
      <c r="CP1011" s="139">
        <v>92.475830078125</v>
      </c>
      <c r="CQ1011" s="139">
        <v>198177</v>
      </c>
      <c r="CR1011" s="449" t="s">
        <v>40</v>
      </c>
      <c r="CS1011" s="449"/>
      <c r="CT1011" s="24"/>
      <c r="CU1011" s="24"/>
      <c r="CV1011" s="24"/>
    </row>
    <row r="1012" spans="1:100" ht="15.75" customHeight="1" x14ac:dyDescent="0.25">
      <c r="A1012" s="643" t="s">
        <v>1388</v>
      </c>
      <c r="B1012" s="132" t="s">
        <v>530</v>
      </c>
      <c r="C1012" s="132" t="s">
        <v>454</v>
      </c>
      <c r="D1012" s="132" t="s">
        <v>480</v>
      </c>
      <c r="E1012" s="132" t="s">
        <v>825</v>
      </c>
      <c r="F1012" s="132">
        <v>360</v>
      </c>
      <c r="G1012" s="214">
        <v>1544</v>
      </c>
      <c r="H1012" s="132"/>
      <c r="I1012" s="132" t="s">
        <v>388</v>
      </c>
      <c r="J1012" s="133">
        <v>43145</v>
      </c>
      <c r="K1012" s="132">
        <v>0</v>
      </c>
      <c r="L1012" s="132" t="s">
        <v>48</v>
      </c>
      <c r="M1012" s="134">
        <v>0</v>
      </c>
      <c r="N1012" s="134">
        <v>0</v>
      </c>
      <c r="O1012" s="320">
        <v>0</v>
      </c>
      <c r="P1012" s="326">
        <v>3</v>
      </c>
      <c r="Q1012" s="326">
        <v>0</v>
      </c>
      <c r="R1012" s="315">
        <v>2</v>
      </c>
      <c r="S1012" s="315">
        <v>0</v>
      </c>
      <c r="T1012" s="315"/>
      <c r="U1012" s="315"/>
      <c r="V1012" s="315"/>
      <c r="W1012" s="315"/>
      <c r="X1012" s="315"/>
      <c r="Y1012" s="315"/>
      <c r="Z1012" s="315"/>
      <c r="AA1012" s="336">
        <v>0</v>
      </c>
      <c r="AB1012" s="336">
        <v>0</v>
      </c>
      <c r="AC1012" s="337"/>
      <c r="AD1012" s="337"/>
      <c r="AE1012" s="336">
        <v>0</v>
      </c>
      <c r="AF1012" s="336" t="s">
        <v>332</v>
      </c>
      <c r="AG1012" s="339" t="s">
        <v>332</v>
      </c>
      <c r="AH1012" s="339"/>
      <c r="AI1012" s="336"/>
      <c r="AJ1012" s="336" t="s">
        <v>2462</v>
      </c>
      <c r="AK1012" s="848">
        <v>0</v>
      </c>
      <c r="AL1012" s="836" t="s">
        <v>284</v>
      </c>
      <c r="AM1012" s="836">
        <v>0</v>
      </c>
      <c r="AN1012" s="848">
        <v>0</v>
      </c>
      <c r="AO1012" s="850">
        <v>7</v>
      </c>
      <c r="AP1012" s="838"/>
      <c r="AQ1012" s="839"/>
      <c r="AR1012" s="839"/>
      <c r="AS1012" s="839"/>
      <c r="AT1012" s="839"/>
      <c r="AU1012" s="839"/>
      <c r="AV1012" s="849"/>
      <c r="AW1012" s="134" t="s">
        <v>3208</v>
      </c>
      <c r="AX1012" s="136" t="s">
        <v>3208</v>
      </c>
      <c r="AY1012" s="137" t="s">
        <v>2576</v>
      </c>
      <c r="AZ1012" s="136">
        <v>1</v>
      </c>
      <c r="BA1012" s="136">
        <v>0.48575129533678757</v>
      </c>
      <c r="BB1012" s="136">
        <v>0.48575129533678757</v>
      </c>
      <c r="BC1012" s="214">
        <v>750</v>
      </c>
      <c r="BD1012" s="136">
        <v>0.32383419689119169</v>
      </c>
      <c r="BE1012" s="214">
        <v>500</v>
      </c>
      <c r="BF1012" s="136">
        <v>0.80958549222797926</v>
      </c>
      <c r="BG1012" s="214">
        <v>1250</v>
      </c>
      <c r="BH1012" s="214">
        <v>2.5</v>
      </c>
      <c r="BI1012" s="134">
        <v>0.19041450777202074</v>
      </c>
      <c r="BJ1012" s="214">
        <v>294</v>
      </c>
      <c r="BK1012" s="137">
        <v>0.5</v>
      </c>
      <c r="BL1012" s="137">
        <v>3</v>
      </c>
      <c r="BM1012" s="137">
        <v>0</v>
      </c>
      <c r="BN1012" s="134">
        <v>0</v>
      </c>
      <c r="BO1012" s="351">
        <v>0</v>
      </c>
      <c r="BP1012" s="134">
        <v>0.99870466321243534</v>
      </c>
      <c r="BQ1012" s="214">
        <v>257</v>
      </c>
      <c r="BR1012" s="137">
        <v>257</v>
      </c>
      <c r="BS1012" s="138">
        <v>0</v>
      </c>
      <c r="BT1012" s="351" t="s">
        <v>103</v>
      </c>
      <c r="BU1012" s="214">
        <v>1544</v>
      </c>
      <c r="BV1012" s="214">
        <v>0</v>
      </c>
      <c r="BW1012" s="214">
        <v>1</v>
      </c>
      <c r="BX1012" s="214">
        <v>0</v>
      </c>
      <c r="BY1012" s="214">
        <v>0</v>
      </c>
      <c r="BZ1012" s="134">
        <v>0</v>
      </c>
      <c r="CA1012" s="138">
        <v>1</v>
      </c>
      <c r="CB1012" s="136">
        <v>1</v>
      </c>
      <c r="CC1012" s="136">
        <v>0</v>
      </c>
      <c r="CD1012" s="136">
        <v>0</v>
      </c>
      <c r="CE1012" s="137">
        <v>0</v>
      </c>
      <c r="CF1012" s="137">
        <v>0</v>
      </c>
      <c r="CG1012" s="137">
        <v>0</v>
      </c>
      <c r="CH1012" s="214">
        <v>0</v>
      </c>
      <c r="CI1012" s="139">
        <v>0</v>
      </c>
      <c r="CJ1012" s="139">
        <v>0</v>
      </c>
      <c r="CK1012" s="139" t="s">
        <v>969</v>
      </c>
      <c r="CL1012" s="139" t="s">
        <v>969</v>
      </c>
      <c r="CM1012" s="139" t="s">
        <v>969</v>
      </c>
      <c r="CN1012" s="139" t="s">
        <v>454</v>
      </c>
      <c r="CO1012" s="139">
        <v>20.926780700683601</v>
      </c>
      <c r="CP1012" s="139">
        <v>92.5399169921875</v>
      </c>
      <c r="CQ1012" s="139">
        <v>198234</v>
      </c>
      <c r="CR1012" s="449" t="s">
        <v>40</v>
      </c>
      <c r="CS1012" s="449"/>
      <c r="CT1012" s="24"/>
      <c r="CU1012" s="24"/>
      <c r="CV1012" s="24"/>
    </row>
    <row r="1013" spans="1:100" ht="15.75" customHeight="1" x14ac:dyDescent="0.25">
      <c r="A1013" s="643" t="s">
        <v>1388</v>
      </c>
      <c r="B1013" s="132" t="s">
        <v>530</v>
      </c>
      <c r="C1013" s="132" t="s">
        <v>454</v>
      </c>
      <c r="D1013" s="132" t="s">
        <v>480</v>
      </c>
      <c r="E1013" s="132" t="s">
        <v>757</v>
      </c>
      <c r="F1013" s="132">
        <v>360</v>
      </c>
      <c r="G1013" s="214">
        <v>1759</v>
      </c>
      <c r="H1013" s="132"/>
      <c r="I1013" s="132" t="s">
        <v>388</v>
      </c>
      <c r="J1013" s="133">
        <v>43145</v>
      </c>
      <c r="K1013" s="132">
        <v>0</v>
      </c>
      <c r="L1013" s="132" t="s">
        <v>48</v>
      </c>
      <c r="M1013" s="134">
        <v>0</v>
      </c>
      <c r="N1013" s="134">
        <v>0</v>
      </c>
      <c r="O1013" s="320">
        <v>0</v>
      </c>
      <c r="P1013" s="326">
        <v>0</v>
      </c>
      <c r="Q1013" s="326">
        <v>0</v>
      </c>
      <c r="R1013" s="315">
        <v>3</v>
      </c>
      <c r="S1013" s="315">
        <v>0</v>
      </c>
      <c r="T1013" s="315"/>
      <c r="U1013" s="315"/>
      <c r="V1013" s="315"/>
      <c r="W1013" s="315"/>
      <c r="X1013" s="315"/>
      <c r="Y1013" s="315"/>
      <c r="Z1013" s="315"/>
      <c r="AA1013" s="336">
        <v>15</v>
      </c>
      <c r="AB1013" s="336">
        <v>0</v>
      </c>
      <c r="AC1013" s="337"/>
      <c r="AD1013" s="337"/>
      <c r="AE1013" s="336">
        <v>15</v>
      </c>
      <c r="AF1013" s="336" t="s">
        <v>332</v>
      </c>
      <c r="AG1013" s="339" t="s">
        <v>332</v>
      </c>
      <c r="AH1013" s="339"/>
      <c r="AI1013" s="336"/>
      <c r="AJ1013" s="336" t="s">
        <v>2462</v>
      </c>
      <c r="AK1013" s="848">
        <v>0</v>
      </c>
      <c r="AL1013" s="836" t="s">
        <v>284</v>
      </c>
      <c r="AM1013" s="836">
        <v>0</v>
      </c>
      <c r="AN1013" s="848">
        <v>0</v>
      </c>
      <c r="AO1013" s="850">
        <v>7</v>
      </c>
      <c r="AP1013" s="838"/>
      <c r="AQ1013" s="839"/>
      <c r="AR1013" s="839"/>
      <c r="AS1013" s="839"/>
      <c r="AT1013" s="839"/>
      <c r="AU1013" s="839"/>
      <c r="AV1013" s="849"/>
      <c r="AW1013" s="134" t="s">
        <v>3208</v>
      </c>
      <c r="AX1013" s="136" t="s">
        <v>3208</v>
      </c>
      <c r="AY1013" s="137" t="s">
        <v>2576</v>
      </c>
      <c r="AZ1013" s="136">
        <v>0</v>
      </c>
      <c r="BA1013" s="136">
        <v>0</v>
      </c>
      <c r="BB1013" s="136">
        <v>0</v>
      </c>
      <c r="BC1013" s="214">
        <v>0</v>
      </c>
      <c r="BD1013" s="136">
        <v>0.42637862421830586</v>
      </c>
      <c r="BE1013" s="214">
        <v>750</v>
      </c>
      <c r="BF1013" s="136">
        <v>0.42637862421830586</v>
      </c>
      <c r="BG1013" s="214">
        <v>750</v>
      </c>
      <c r="BH1013" s="214">
        <v>1.5</v>
      </c>
      <c r="BI1013" s="134">
        <v>0.57362137578169414</v>
      </c>
      <c r="BJ1013" s="214">
        <v>1009</v>
      </c>
      <c r="BK1013" s="137">
        <v>2.5</v>
      </c>
      <c r="BL1013" s="137">
        <v>4</v>
      </c>
      <c r="BM1013" s="137">
        <v>15</v>
      </c>
      <c r="BN1013" s="134">
        <v>5.1165434906196704E-2</v>
      </c>
      <c r="BO1013" s="351">
        <v>90</v>
      </c>
      <c r="BP1013" s="134">
        <v>0.94826606026151217</v>
      </c>
      <c r="BQ1013" s="214">
        <v>278</v>
      </c>
      <c r="BR1013" s="137">
        <v>293</v>
      </c>
      <c r="BS1013" s="138">
        <v>0</v>
      </c>
      <c r="BT1013" s="351" t="s">
        <v>103</v>
      </c>
      <c r="BU1013" s="214">
        <v>1759</v>
      </c>
      <c r="BV1013" s="214">
        <v>0</v>
      </c>
      <c r="BW1013" s="214">
        <v>1</v>
      </c>
      <c r="BX1013" s="214">
        <v>0</v>
      </c>
      <c r="BY1013" s="214">
        <v>0</v>
      </c>
      <c r="BZ1013" s="134">
        <v>0</v>
      </c>
      <c r="CA1013" s="138">
        <v>1</v>
      </c>
      <c r="CB1013" s="136">
        <v>1</v>
      </c>
      <c r="CC1013" s="136">
        <v>0</v>
      </c>
      <c r="CD1013" s="136">
        <v>0</v>
      </c>
      <c r="CE1013" s="137">
        <v>0</v>
      </c>
      <c r="CF1013" s="137">
        <v>0</v>
      </c>
      <c r="CG1013" s="137">
        <v>0</v>
      </c>
      <c r="CH1013" s="214">
        <v>0</v>
      </c>
      <c r="CI1013" s="139">
        <v>0</v>
      </c>
      <c r="CJ1013" s="139">
        <v>0</v>
      </c>
      <c r="CK1013" s="139" t="s">
        <v>969</v>
      </c>
      <c r="CL1013" s="139" t="s">
        <v>969</v>
      </c>
      <c r="CM1013" s="139" t="s">
        <v>969</v>
      </c>
      <c r="CN1013" s="139" t="s">
        <v>454</v>
      </c>
      <c r="CO1013" s="139">
        <v>20.782770156860401</v>
      </c>
      <c r="CP1013" s="139">
        <v>92.551826477050795</v>
      </c>
      <c r="CQ1013" s="139">
        <v>198388</v>
      </c>
      <c r="CR1013" s="449" t="s">
        <v>40</v>
      </c>
      <c r="CS1013" s="449"/>
      <c r="CT1013" s="24"/>
      <c r="CU1013" s="24"/>
      <c r="CV1013" s="24"/>
    </row>
    <row r="1014" spans="1:100" ht="15.75" customHeight="1" x14ac:dyDescent="0.25">
      <c r="A1014" s="643" t="s">
        <v>1388</v>
      </c>
      <c r="B1014" s="132" t="s">
        <v>460</v>
      </c>
      <c r="C1014" s="132" t="s">
        <v>454</v>
      </c>
      <c r="D1014" s="132" t="s">
        <v>518</v>
      </c>
      <c r="E1014" s="132" t="s">
        <v>528</v>
      </c>
      <c r="F1014" s="132">
        <v>65</v>
      </c>
      <c r="G1014" s="214">
        <v>211</v>
      </c>
      <c r="H1014" s="132"/>
      <c r="I1014" s="132"/>
      <c r="J1014" s="133"/>
      <c r="K1014" s="132">
        <v>31</v>
      </c>
      <c r="L1014" s="132" t="s">
        <v>48</v>
      </c>
      <c r="M1014" s="134">
        <v>0.6</v>
      </c>
      <c r="N1014" s="134">
        <v>0</v>
      </c>
      <c r="O1014" s="320">
        <v>0</v>
      </c>
      <c r="P1014" s="326">
        <v>0</v>
      </c>
      <c r="Q1014" s="326">
        <v>15066</v>
      </c>
      <c r="R1014" s="315">
        <v>0</v>
      </c>
      <c r="S1014" s="315">
        <v>0</v>
      </c>
      <c r="T1014" s="315"/>
      <c r="U1014" s="315"/>
      <c r="V1014" s="315"/>
      <c r="W1014" s="315"/>
      <c r="X1014" s="315"/>
      <c r="Y1014" s="315"/>
      <c r="Z1014" s="315"/>
      <c r="AA1014" s="336">
        <v>65</v>
      </c>
      <c r="AB1014" s="336">
        <v>65</v>
      </c>
      <c r="AC1014" s="337"/>
      <c r="AD1014" s="337"/>
      <c r="AE1014" s="336">
        <v>65</v>
      </c>
      <c r="AF1014" s="336" t="s">
        <v>1358</v>
      </c>
      <c r="AG1014" s="339" t="s">
        <v>283</v>
      </c>
      <c r="AH1014" s="339"/>
      <c r="AI1014" s="336"/>
      <c r="AJ1014" s="336" t="s">
        <v>2463</v>
      </c>
      <c r="AK1014" s="848">
        <v>1</v>
      </c>
      <c r="AL1014" s="836" t="s">
        <v>284</v>
      </c>
      <c r="AM1014" s="836">
        <v>0</v>
      </c>
      <c r="AN1014" s="848">
        <v>0</v>
      </c>
      <c r="AO1014" s="850">
        <v>1</v>
      </c>
      <c r="AP1014" s="838"/>
      <c r="AQ1014" s="839"/>
      <c r="AR1014" s="839"/>
      <c r="AS1014" s="839"/>
      <c r="AT1014" s="839"/>
      <c r="AU1014" s="839"/>
      <c r="AV1014" s="849" t="s">
        <v>2467</v>
      </c>
      <c r="AW1014" s="134" t="s">
        <v>3208</v>
      </c>
      <c r="AX1014" s="136" t="s">
        <v>3208</v>
      </c>
      <c r="AY1014" s="137" t="s">
        <v>2576</v>
      </c>
      <c r="AZ1014" s="136">
        <v>1</v>
      </c>
      <c r="BA1014" s="136">
        <v>1</v>
      </c>
      <c r="BB1014" s="136">
        <v>1</v>
      </c>
      <c r="BC1014" s="214">
        <v>211</v>
      </c>
      <c r="BD1014" s="136">
        <v>0</v>
      </c>
      <c r="BE1014" s="214">
        <v>0</v>
      </c>
      <c r="BF1014" s="136">
        <v>1</v>
      </c>
      <c r="BG1014" s="214">
        <v>211</v>
      </c>
      <c r="BH1014" s="214">
        <v>0.42199999999999999</v>
      </c>
      <c r="BI1014" s="134">
        <v>0</v>
      </c>
      <c r="BJ1014" s="214">
        <v>0</v>
      </c>
      <c r="BK1014" s="137">
        <v>0.57800000000000007</v>
      </c>
      <c r="BL1014" s="137">
        <v>1</v>
      </c>
      <c r="BM1014" s="137">
        <v>130</v>
      </c>
      <c r="BN1014" s="134">
        <v>1</v>
      </c>
      <c r="BO1014" s="351">
        <v>211</v>
      </c>
      <c r="BP1014" s="134">
        <v>0</v>
      </c>
      <c r="BQ1014" s="135">
        <v>0</v>
      </c>
      <c r="BR1014" s="137">
        <v>35</v>
      </c>
      <c r="BS1014" s="138">
        <v>0.5</v>
      </c>
      <c r="BT1014" s="351" t="s">
        <v>103</v>
      </c>
      <c r="BU1014" s="214">
        <v>211</v>
      </c>
      <c r="BV1014" s="214">
        <v>0</v>
      </c>
      <c r="BW1014" s="214">
        <v>1</v>
      </c>
      <c r="BX1014" s="214">
        <v>0</v>
      </c>
      <c r="BY1014" s="214">
        <v>0</v>
      </c>
      <c r="BZ1014" s="134">
        <v>0</v>
      </c>
      <c r="CA1014" s="138">
        <v>1</v>
      </c>
      <c r="CB1014" s="136">
        <v>1</v>
      </c>
      <c r="CC1014" s="136">
        <v>0</v>
      </c>
      <c r="CD1014" s="136">
        <v>0</v>
      </c>
      <c r="CE1014" s="137">
        <v>0</v>
      </c>
      <c r="CF1014" s="137">
        <v>0</v>
      </c>
      <c r="CG1014" s="137">
        <v>0</v>
      </c>
      <c r="CH1014" s="214">
        <v>65</v>
      </c>
      <c r="CI1014" s="139" t="s">
        <v>48</v>
      </c>
      <c r="CJ1014" s="139">
        <v>0</v>
      </c>
      <c r="CK1014" s="139" t="s">
        <v>969</v>
      </c>
      <c r="CL1014" s="139" t="s">
        <v>969</v>
      </c>
      <c r="CM1014" s="139" t="s">
        <v>992</v>
      </c>
      <c r="CN1014" s="139" t="s">
        <v>454</v>
      </c>
      <c r="CO1014" s="139">
        <v>19.421102000000001</v>
      </c>
      <c r="CP1014" s="139">
        <v>93.552452000000002</v>
      </c>
      <c r="CQ1014" s="139" t="s">
        <v>1570</v>
      </c>
      <c r="CR1014" s="449" t="s">
        <v>3209</v>
      </c>
      <c r="CS1014" s="449"/>
      <c r="CT1014" s="24"/>
      <c r="CU1014" s="24"/>
      <c r="CV1014" s="24"/>
    </row>
    <row r="1015" spans="1:100" ht="15.75" customHeight="1" x14ac:dyDescent="0.25">
      <c r="A1015" s="643" t="s">
        <v>1388</v>
      </c>
      <c r="B1015" s="132" t="s">
        <v>527</v>
      </c>
      <c r="C1015" s="132" t="s">
        <v>454</v>
      </c>
      <c r="D1015" s="132" t="s">
        <v>518</v>
      </c>
      <c r="E1015" s="132" t="s">
        <v>529</v>
      </c>
      <c r="F1015" s="132">
        <v>366</v>
      </c>
      <c r="G1015" s="214">
        <v>992</v>
      </c>
      <c r="H1015" s="132" t="s">
        <v>286</v>
      </c>
      <c r="I1015" s="132" t="s">
        <v>388</v>
      </c>
      <c r="J1015" s="133">
        <v>43281</v>
      </c>
      <c r="K1015" s="132"/>
      <c r="L1015" s="132" t="s">
        <v>282</v>
      </c>
      <c r="M1015" s="134"/>
      <c r="N1015" s="134"/>
      <c r="O1015" s="320">
        <v>4</v>
      </c>
      <c r="P1015" s="326">
        <v>2</v>
      </c>
      <c r="Q1015" s="326">
        <v>0</v>
      </c>
      <c r="R1015" s="315">
        <v>0</v>
      </c>
      <c r="S1015" s="315"/>
      <c r="T1015" s="315"/>
      <c r="U1015" s="315"/>
      <c r="V1015" s="315">
        <v>0</v>
      </c>
      <c r="W1015" s="315">
        <v>4</v>
      </c>
      <c r="X1015" s="315">
        <v>3</v>
      </c>
      <c r="Y1015" s="315">
        <v>17</v>
      </c>
      <c r="Z1015" s="315">
        <v>14</v>
      </c>
      <c r="AA1015" s="336">
        <v>90</v>
      </c>
      <c r="AB1015" s="336">
        <v>10</v>
      </c>
      <c r="AC1015" s="337"/>
      <c r="AD1015" s="337"/>
      <c r="AE1015" s="336"/>
      <c r="AF1015" s="336" t="s">
        <v>283</v>
      </c>
      <c r="AG1015" s="339" t="s">
        <v>1358</v>
      </c>
      <c r="AH1015" s="339"/>
      <c r="AI1015" s="336"/>
      <c r="AJ1015" s="336"/>
      <c r="AK1015" s="848">
        <v>1</v>
      </c>
      <c r="AL1015" s="836" t="s">
        <v>376</v>
      </c>
      <c r="AM1015" s="836">
        <v>252</v>
      </c>
      <c r="AN1015" s="848">
        <v>2</v>
      </c>
      <c r="AO1015" s="850">
        <v>28</v>
      </c>
      <c r="AP1015" s="838">
        <v>365</v>
      </c>
      <c r="AQ1015" s="839">
        <v>281</v>
      </c>
      <c r="AR1015" s="839"/>
      <c r="AS1015" s="839"/>
      <c r="AT1015" s="839"/>
      <c r="AU1015" s="839"/>
      <c r="AV1015" s="849"/>
      <c r="AW1015" s="134" t="s">
        <v>3208</v>
      </c>
      <c r="AX1015" s="136">
        <v>0.75</v>
      </c>
      <c r="AY1015" s="137" t="s">
        <v>2577</v>
      </c>
      <c r="AZ1015" s="136">
        <v>1</v>
      </c>
      <c r="BA1015" s="136">
        <v>1</v>
      </c>
      <c r="BB1015" s="136">
        <v>1</v>
      </c>
      <c r="BC1015" s="214">
        <v>992</v>
      </c>
      <c r="BD1015" s="136">
        <v>0</v>
      </c>
      <c r="BE1015" s="214">
        <v>0</v>
      </c>
      <c r="BF1015" s="136">
        <v>1</v>
      </c>
      <c r="BG1015" s="214">
        <v>992</v>
      </c>
      <c r="BH1015" s="214">
        <v>1.984</v>
      </c>
      <c r="BI1015" s="134">
        <v>0</v>
      </c>
      <c r="BJ1015" s="214">
        <v>0</v>
      </c>
      <c r="BK1015" s="137">
        <v>1.6000000000000014E-2</v>
      </c>
      <c r="BL1015" s="137">
        <v>2</v>
      </c>
      <c r="BM1015" s="137">
        <v>100</v>
      </c>
      <c r="BN1015" s="134">
        <v>1</v>
      </c>
      <c r="BO1015" s="351">
        <v>992</v>
      </c>
      <c r="BP1015" s="134">
        <v>0</v>
      </c>
      <c r="BQ1015" s="214">
        <v>0</v>
      </c>
      <c r="BR1015" s="137">
        <v>50</v>
      </c>
      <c r="BS1015" s="138">
        <v>0.1</v>
      </c>
      <c r="BT1015" s="351">
        <v>0</v>
      </c>
      <c r="BU1015" s="214">
        <v>992</v>
      </c>
      <c r="BV1015" s="214">
        <v>0</v>
      </c>
      <c r="BW1015" s="214">
        <v>1</v>
      </c>
      <c r="BX1015" s="214">
        <v>0</v>
      </c>
      <c r="BY1015" s="214">
        <v>0</v>
      </c>
      <c r="BZ1015" s="134">
        <v>0</v>
      </c>
      <c r="CA1015" s="138">
        <v>1</v>
      </c>
      <c r="CB1015" s="136">
        <v>1</v>
      </c>
      <c r="CC1015" s="136">
        <v>0.99726775956284153</v>
      </c>
      <c r="CD1015" s="136">
        <v>0.76775956284153002</v>
      </c>
      <c r="CE1015" s="137">
        <v>1825</v>
      </c>
      <c r="CF1015" s="137">
        <v>1405</v>
      </c>
      <c r="CG1015" s="137">
        <v>1825</v>
      </c>
      <c r="CH1015" s="214">
        <v>366</v>
      </c>
      <c r="CI1015" s="139" t="s">
        <v>48</v>
      </c>
      <c r="CJ1015" s="139">
        <v>0</v>
      </c>
      <c r="CK1015" s="139" t="s">
        <v>50</v>
      </c>
      <c r="CL1015" s="139" t="s">
        <v>50</v>
      </c>
      <c r="CM1015" s="139" t="s">
        <v>965</v>
      </c>
      <c r="CN1015" s="139" t="s">
        <v>966</v>
      </c>
      <c r="CO1015" s="139">
        <v>19.424576999999999</v>
      </c>
      <c r="CP1015" s="139">
        <v>93.512326000000002</v>
      </c>
      <c r="CQ1015" s="139" t="s">
        <v>1571</v>
      </c>
      <c r="CR1015" s="449" t="s">
        <v>40</v>
      </c>
      <c r="CS1015" s="449"/>
      <c r="CT1015" s="24"/>
      <c r="CU1015" s="24"/>
      <c r="CV1015" s="24"/>
    </row>
    <row r="1016" spans="1:100" ht="15.75" customHeight="1" x14ac:dyDescent="0.25">
      <c r="A1016" s="643" t="s">
        <v>1388</v>
      </c>
      <c r="B1016" s="132" t="s">
        <v>479</v>
      </c>
      <c r="C1016" s="132" t="s">
        <v>454</v>
      </c>
      <c r="D1016" s="132" t="s">
        <v>463</v>
      </c>
      <c r="E1016" s="132" t="s">
        <v>802</v>
      </c>
      <c r="F1016" s="132">
        <v>74</v>
      </c>
      <c r="G1016" s="214">
        <v>326</v>
      </c>
      <c r="H1016" s="132"/>
      <c r="I1016" s="132" t="s">
        <v>495</v>
      </c>
      <c r="J1016" s="133">
        <v>43615</v>
      </c>
      <c r="K1016" s="132">
        <v>0</v>
      </c>
      <c r="L1016" s="132" t="s">
        <v>2454</v>
      </c>
      <c r="M1016" s="134">
        <v>0</v>
      </c>
      <c r="N1016" s="134">
        <v>0</v>
      </c>
      <c r="O1016" s="320">
        <v>0</v>
      </c>
      <c r="P1016" s="326">
        <v>0</v>
      </c>
      <c r="Q1016" s="326">
        <v>0</v>
      </c>
      <c r="R1016" s="315">
        <v>0</v>
      </c>
      <c r="S1016" s="315">
        <v>0</v>
      </c>
      <c r="T1016" s="315"/>
      <c r="U1016" s="315"/>
      <c r="V1016" s="315"/>
      <c r="W1016" s="315"/>
      <c r="X1016" s="315"/>
      <c r="Y1016" s="315"/>
      <c r="Z1016" s="315"/>
      <c r="AA1016" s="336">
        <v>0</v>
      </c>
      <c r="AB1016" s="336">
        <v>0</v>
      </c>
      <c r="AC1016" s="337"/>
      <c r="AD1016" s="337"/>
      <c r="AE1016" s="336">
        <v>0</v>
      </c>
      <c r="AF1016" s="336" t="s">
        <v>1358</v>
      </c>
      <c r="AG1016" s="339" t="s">
        <v>1358</v>
      </c>
      <c r="AH1016" s="339"/>
      <c r="AI1016" s="336"/>
      <c r="AJ1016" s="336"/>
      <c r="AK1016" s="848">
        <v>0</v>
      </c>
      <c r="AL1016" s="836"/>
      <c r="AM1016" s="836">
        <v>0</v>
      </c>
      <c r="AN1016" s="848">
        <v>0</v>
      </c>
      <c r="AO1016" s="850">
        <v>0</v>
      </c>
      <c r="AP1016" s="838"/>
      <c r="AQ1016" s="839"/>
      <c r="AR1016" s="839"/>
      <c r="AS1016" s="839"/>
      <c r="AT1016" s="839"/>
      <c r="AU1016" s="839"/>
      <c r="AV1016" s="849"/>
      <c r="AW1016" s="134" t="s">
        <v>3208</v>
      </c>
      <c r="AX1016" s="136" t="s">
        <v>3208</v>
      </c>
      <c r="AY1016" s="137" t="s">
        <v>2576</v>
      </c>
      <c r="AZ1016" s="136">
        <v>0</v>
      </c>
      <c r="BA1016" s="136">
        <v>0</v>
      </c>
      <c r="BB1016" s="136">
        <v>0</v>
      </c>
      <c r="BC1016" s="214">
        <v>0</v>
      </c>
      <c r="BD1016" s="136">
        <v>0</v>
      </c>
      <c r="BE1016" s="214">
        <v>0</v>
      </c>
      <c r="BF1016" s="136">
        <v>0</v>
      </c>
      <c r="BG1016" s="214">
        <v>0</v>
      </c>
      <c r="BH1016" s="214">
        <v>0</v>
      </c>
      <c r="BI1016" s="134">
        <v>1</v>
      </c>
      <c r="BJ1016" s="214">
        <v>326</v>
      </c>
      <c r="BK1016" s="137">
        <v>1</v>
      </c>
      <c r="BL1016" s="137">
        <v>1</v>
      </c>
      <c r="BM1016" s="137">
        <v>0</v>
      </c>
      <c r="BN1016" s="134">
        <v>0</v>
      </c>
      <c r="BO1016" s="351">
        <v>0</v>
      </c>
      <c r="BP1016" s="134">
        <v>0.99386503067484655</v>
      </c>
      <c r="BQ1016" s="214">
        <v>54</v>
      </c>
      <c r="BR1016" s="137">
        <v>54</v>
      </c>
      <c r="BS1016" s="138">
        <v>0</v>
      </c>
      <c r="BT1016" s="351" t="s">
        <v>103</v>
      </c>
      <c r="BU1016" s="214">
        <v>0</v>
      </c>
      <c r="BV1016" s="214">
        <v>0</v>
      </c>
      <c r="BW1016" s="214">
        <v>0</v>
      </c>
      <c r="BX1016" s="214">
        <v>0</v>
      </c>
      <c r="BY1016" s="214">
        <v>0</v>
      </c>
      <c r="BZ1016" s="134">
        <v>0</v>
      </c>
      <c r="CA1016" s="138">
        <v>1</v>
      </c>
      <c r="CB1016" s="136">
        <v>0</v>
      </c>
      <c r="CC1016" s="136">
        <v>0</v>
      </c>
      <c r="CD1016" s="136">
        <v>0</v>
      </c>
      <c r="CE1016" s="137">
        <v>0</v>
      </c>
      <c r="CF1016" s="137">
        <v>0</v>
      </c>
      <c r="CG1016" s="137">
        <v>0</v>
      </c>
      <c r="CH1016" s="214">
        <v>0</v>
      </c>
      <c r="CI1016" s="139">
        <v>0</v>
      </c>
      <c r="CJ1016" s="139">
        <v>0</v>
      </c>
      <c r="CK1016" s="139" t="s">
        <v>975</v>
      </c>
      <c r="CL1016" s="139" t="s">
        <v>969</v>
      </c>
      <c r="CM1016" s="139" t="s">
        <v>975</v>
      </c>
      <c r="CN1016" s="139" t="s">
        <v>2737</v>
      </c>
      <c r="CO1016" s="139">
        <v>20.8550128936768</v>
      </c>
      <c r="CP1016" s="139">
        <v>92.91</v>
      </c>
      <c r="CQ1016" s="139">
        <v>196824</v>
      </c>
      <c r="CR1016" s="449" t="s">
        <v>40</v>
      </c>
      <c r="CS1016" s="449"/>
      <c r="CT1016" s="24"/>
      <c r="CU1016" s="24"/>
      <c r="CV1016" s="24"/>
    </row>
    <row r="1017" spans="1:100" ht="15.75" customHeight="1" x14ac:dyDescent="0.25">
      <c r="A1017" s="643" t="s">
        <v>1388</v>
      </c>
      <c r="B1017" s="132" t="s">
        <v>460</v>
      </c>
      <c r="C1017" s="132" t="s">
        <v>454</v>
      </c>
      <c r="D1017" s="132" t="s">
        <v>463</v>
      </c>
      <c r="E1017" s="132" t="s">
        <v>464</v>
      </c>
      <c r="F1017" s="132">
        <v>167</v>
      </c>
      <c r="G1017" s="214">
        <v>836</v>
      </c>
      <c r="H1017" s="132"/>
      <c r="I1017" s="132"/>
      <c r="J1017" s="133"/>
      <c r="K1017" s="132"/>
      <c r="L1017" s="132" t="s">
        <v>282</v>
      </c>
      <c r="M1017" s="134">
        <v>0</v>
      </c>
      <c r="N1017" s="134">
        <v>0</v>
      </c>
      <c r="O1017" s="320">
        <v>0</v>
      </c>
      <c r="P1017" s="326">
        <v>0</v>
      </c>
      <c r="Q1017" s="326"/>
      <c r="R1017" s="315"/>
      <c r="S1017" s="315">
        <v>0</v>
      </c>
      <c r="T1017" s="315"/>
      <c r="U1017" s="315"/>
      <c r="V1017" s="315"/>
      <c r="W1017" s="315"/>
      <c r="X1017" s="315"/>
      <c r="Y1017" s="315"/>
      <c r="Z1017" s="315"/>
      <c r="AA1017" s="336">
        <v>53</v>
      </c>
      <c r="AB1017" s="336"/>
      <c r="AC1017" s="337"/>
      <c r="AD1017" s="337"/>
      <c r="AE1017" s="336">
        <v>0</v>
      </c>
      <c r="AF1017" s="336" t="s">
        <v>286</v>
      </c>
      <c r="AG1017" s="339" t="s">
        <v>286</v>
      </c>
      <c r="AH1017" s="339"/>
      <c r="AI1017" s="336"/>
      <c r="AJ1017" s="336"/>
      <c r="AK1017" s="848">
        <v>0</v>
      </c>
      <c r="AL1017" s="836"/>
      <c r="AM1017" s="836">
        <v>0</v>
      </c>
      <c r="AN1017" s="848"/>
      <c r="AO1017" s="850">
        <v>0</v>
      </c>
      <c r="AP1017" s="838"/>
      <c r="AQ1017" s="839"/>
      <c r="AR1017" s="839"/>
      <c r="AS1017" s="839"/>
      <c r="AT1017" s="839"/>
      <c r="AU1017" s="839"/>
      <c r="AV1017" s="849"/>
      <c r="AW1017" s="134" t="s">
        <v>3208</v>
      </c>
      <c r="AX1017" s="136" t="s">
        <v>3208</v>
      </c>
      <c r="AY1017" s="137" t="s">
        <v>2576</v>
      </c>
      <c r="AZ1017" s="136">
        <v>0</v>
      </c>
      <c r="BA1017" s="136">
        <v>0</v>
      </c>
      <c r="BB1017" s="136">
        <v>0</v>
      </c>
      <c r="BC1017" s="214">
        <v>0</v>
      </c>
      <c r="BD1017" s="136">
        <v>0</v>
      </c>
      <c r="BE1017" s="214">
        <v>0</v>
      </c>
      <c r="BF1017" s="136">
        <v>0</v>
      </c>
      <c r="BG1017" s="214">
        <v>0</v>
      </c>
      <c r="BH1017" s="214">
        <v>0</v>
      </c>
      <c r="BI1017" s="134">
        <v>1</v>
      </c>
      <c r="BJ1017" s="214">
        <v>836</v>
      </c>
      <c r="BK1017" s="137">
        <v>2</v>
      </c>
      <c r="BL1017" s="137">
        <v>2</v>
      </c>
      <c r="BM1017" s="137">
        <v>53</v>
      </c>
      <c r="BN1017" s="134">
        <v>0.38038277511961721</v>
      </c>
      <c r="BO1017" s="351">
        <v>318</v>
      </c>
      <c r="BP1017" s="134">
        <v>0.61722488038277512</v>
      </c>
      <c r="BQ1017" s="214">
        <v>86</v>
      </c>
      <c r="BR1017" s="137">
        <v>139</v>
      </c>
      <c r="BS1017" s="138">
        <v>0</v>
      </c>
      <c r="BT1017" s="351" t="s">
        <v>103</v>
      </c>
      <c r="BU1017" s="214">
        <v>0</v>
      </c>
      <c r="BV1017" s="214">
        <v>0</v>
      </c>
      <c r="BW1017" s="214">
        <v>0</v>
      </c>
      <c r="BX1017" s="214">
        <v>0</v>
      </c>
      <c r="BY1017" s="214">
        <v>0</v>
      </c>
      <c r="BZ1017" s="134">
        <v>0</v>
      </c>
      <c r="CA1017" s="138">
        <v>1</v>
      </c>
      <c r="CB1017" s="136">
        <v>0</v>
      </c>
      <c r="CC1017" s="136">
        <v>0</v>
      </c>
      <c r="CD1017" s="136">
        <v>0</v>
      </c>
      <c r="CE1017" s="137">
        <v>0</v>
      </c>
      <c r="CF1017" s="137">
        <v>0</v>
      </c>
      <c r="CG1017" s="137">
        <v>0</v>
      </c>
      <c r="CH1017" s="214">
        <v>0</v>
      </c>
      <c r="CI1017" s="139">
        <v>0</v>
      </c>
      <c r="CJ1017" s="139">
        <v>0</v>
      </c>
      <c r="CK1017" s="139" t="s">
        <v>969</v>
      </c>
      <c r="CL1017" s="139" t="s">
        <v>969</v>
      </c>
      <c r="CM1017" s="139" t="s">
        <v>969</v>
      </c>
      <c r="CN1017" s="139" t="s">
        <v>454</v>
      </c>
      <c r="CO1017" s="139">
        <v>0</v>
      </c>
      <c r="CP1017" s="139">
        <v>0</v>
      </c>
      <c r="CQ1017" s="139">
        <v>0</v>
      </c>
      <c r="CR1017" s="449" t="s">
        <v>3209</v>
      </c>
      <c r="CS1017" s="449"/>
      <c r="CT1017" s="24"/>
      <c r="CU1017" s="24"/>
      <c r="CV1017" s="24"/>
    </row>
    <row r="1018" spans="1:100" ht="15.75" customHeight="1" x14ac:dyDescent="0.25">
      <c r="A1018" s="643" t="s">
        <v>1388</v>
      </c>
      <c r="B1018" s="132" t="s">
        <v>460</v>
      </c>
      <c r="C1018" s="132" t="s">
        <v>454</v>
      </c>
      <c r="D1018" s="132" t="s">
        <v>463</v>
      </c>
      <c r="E1018" s="132" t="s">
        <v>732</v>
      </c>
      <c r="F1018" s="132">
        <v>92</v>
      </c>
      <c r="G1018" s="214">
        <v>559</v>
      </c>
      <c r="H1018" s="132"/>
      <c r="I1018" s="132"/>
      <c r="J1018" s="133"/>
      <c r="K1018" s="132"/>
      <c r="L1018" s="132" t="s">
        <v>282</v>
      </c>
      <c r="M1018" s="134">
        <v>0</v>
      </c>
      <c r="N1018" s="134">
        <v>0</v>
      </c>
      <c r="O1018" s="320">
        <v>0</v>
      </c>
      <c r="P1018" s="326">
        <v>0</v>
      </c>
      <c r="Q1018" s="326"/>
      <c r="R1018" s="315"/>
      <c r="S1018" s="315">
        <v>0</v>
      </c>
      <c r="T1018" s="315"/>
      <c r="U1018" s="315"/>
      <c r="V1018" s="315"/>
      <c r="W1018" s="315"/>
      <c r="X1018" s="315"/>
      <c r="Y1018" s="315"/>
      <c r="Z1018" s="315"/>
      <c r="AA1018" s="336">
        <v>194</v>
      </c>
      <c r="AB1018" s="336"/>
      <c r="AC1018" s="337"/>
      <c r="AD1018" s="337"/>
      <c r="AE1018" s="336">
        <v>0</v>
      </c>
      <c r="AF1018" s="336" t="s">
        <v>286</v>
      </c>
      <c r="AG1018" s="339" t="s">
        <v>286</v>
      </c>
      <c r="AH1018" s="339"/>
      <c r="AI1018" s="336"/>
      <c r="AJ1018" s="336"/>
      <c r="AK1018" s="848">
        <v>0</v>
      </c>
      <c r="AL1018" s="836"/>
      <c r="AM1018" s="836">
        <v>0</v>
      </c>
      <c r="AN1018" s="848"/>
      <c r="AO1018" s="850">
        <v>0</v>
      </c>
      <c r="AP1018" s="838"/>
      <c r="AQ1018" s="839"/>
      <c r="AR1018" s="839"/>
      <c r="AS1018" s="839"/>
      <c r="AT1018" s="839"/>
      <c r="AU1018" s="839"/>
      <c r="AV1018" s="849"/>
      <c r="AW1018" s="134" t="s">
        <v>3208</v>
      </c>
      <c r="AX1018" s="136" t="s">
        <v>3208</v>
      </c>
      <c r="AY1018" s="137" t="s">
        <v>2576</v>
      </c>
      <c r="AZ1018" s="136">
        <v>0</v>
      </c>
      <c r="BA1018" s="136">
        <v>0</v>
      </c>
      <c r="BB1018" s="136">
        <v>0</v>
      </c>
      <c r="BC1018" s="214">
        <v>0</v>
      </c>
      <c r="BD1018" s="136">
        <v>0</v>
      </c>
      <c r="BE1018" s="214">
        <v>0</v>
      </c>
      <c r="BF1018" s="136">
        <v>0</v>
      </c>
      <c r="BG1018" s="214">
        <v>0</v>
      </c>
      <c r="BH1018" s="214">
        <v>0</v>
      </c>
      <c r="BI1018" s="134">
        <v>1</v>
      </c>
      <c r="BJ1018" s="214">
        <v>559</v>
      </c>
      <c r="BK1018" s="137">
        <v>1</v>
      </c>
      <c r="BL1018" s="137">
        <v>1</v>
      </c>
      <c r="BM1018" s="137">
        <v>194</v>
      </c>
      <c r="BN1018" s="134">
        <v>1</v>
      </c>
      <c r="BO1018" s="351">
        <v>559</v>
      </c>
      <c r="BP1018" s="134">
        <v>0</v>
      </c>
      <c r="BQ1018" s="214">
        <v>0</v>
      </c>
      <c r="BR1018" s="137">
        <v>93</v>
      </c>
      <c r="BS1018" s="138">
        <v>0</v>
      </c>
      <c r="BT1018" s="351" t="s">
        <v>103</v>
      </c>
      <c r="BU1018" s="214">
        <v>0</v>
      </c>
      <c r="BV1018" s="214">
        <v>0</v>
      </c>
      <c r="BW1018" s="214">
        <v>0</v>
      </c>
      <c r="BX1018" s="214">
        <v>0</v>
      </c>
      <c r="BY1018" s="214">
        <v>0</v>
      </c>
      <c r="BZ1018" s="134">
        <v>0</v>
      </c>
      <c r="CA1018" s="138">
        <v>1</v>
      </c>
      <c r="CB1018" s="136">
        <v>0</v>
      </c>
      <c r="CC1018" s="136">
        <v>0</v>
      </c>
      <c r="CD1018" s="136">
        <v>0</v>
      </c>
      <c r="CE1018" s="137">
        <v>0</v>
      </c>
      <c r="CF1018" s="137">
        <v>0</v>
      </c>
      <c r="CG1018" s="137">
        <v>0</v>
      </c>
      <c r="CH1018" s="214">
        <v>0</v>
      </c>
      <c r="CI1018" s="139">
        <v>0</v>
      </c>
      <c r="CJ1018" s="139">
        <v>0</v>
      </c>
      <c r="CK1018" s="139" t="s">
        <v>969</v>
      </c>
      <c r="CL1018" s="139" t="s">
        <v>969</v>
      </c>
      <c r="CM1018" s="139" t="s">
        <v>1054</v>
      </c>
      <c r="CN1018" s="139" t="s">
        <v>454</v>
      </c>
      <c r="CO1018" s="139">
        <v>20.720213000000001</v>
      </c>
      <c r="CP1018" s="139">
        <v>92.961841000000007</v>
      </c>
      <c r="CQ1018" s="139" t="s">
        <v>1781</v>
      </c>
      <c r="CR1018" s="449" t="s">
        <v>3209</v>
      </c>
      <c r="CS1018" s="449"/>
      <c r="CT1018" s="24"/>
      <c r="CU1018" s="24"/>
      <c r="CV1018" s="24"/>
    </row>
    <row r="1019" spans="1:100" ht="15.75" customHeight="1" x14ac:dyDescent="0.25">
      <c r="A1019" s="643" t="s">
        <v>1388</v>
      </c>
      <c r="B1019" s="132" t="s">
        <v>460</v>
      </c>
      <c r="C1019" s="132" t="s">
        <v>454</v>
      </c>
      <c r="D1019" s="132" t="s">
        <v>463</v>
      </c>
      <c r="E1019" s="132" t="s">
        <v>864</v>
      </c>
      <c r="F1019" s="132">
        <v>175</v>
      </c>
      <c r="G1019" s="214">
        <v>855</v>
      </c>
      <c r="H1019" s="132"/>
      <c r="I1019" s="132"/>
      <c r="J1019" s="133"/>
      <c r="K1019" s="132"/>
      <c r="L1019" s="132" t="s">
        <v>282</v>
      </c>
      <c r="M1019" s="134">
        <v>0</v>
      </c>
      <c r="N1019" s="134">
        <v>0</v>
      </c>
      <c r="O1019" s="320">
        <v>0</v>
      </c>
      <c r="P1019" s="326">
        <v>0</v>
      </c>
      <c r="Q1019" s="326"/>
      <c r="R1019" s="315"/>
      <c r="S1019" s="315">
        <v>1</v>
      </c>
      <c r="T1019" s="315"/>
      <c r="U1019" s="315"/>
      <c r="V1019" s="315"/>
      <c r="W1019" s="315"/>
      <c r="X1019" s="315"/>
      <c r="Y1019" s="315"/>
      <c r="Z1019" s="315"/>
      <c r="AA1019" s="336">
        <v>0</v>
      </c>
      <c r="AB1019" s="336"/>
      <c r="AC1019" s="337"/>
      <c r="AD1019" s="337"/>
      <c r="AE1019" s="336">
        <v>0</v>
      </c>
      <c r="AF1019" s="336" t="s">
        <v>286</v>
      </c>
      <c r="AG1019" s="339" t="s">
        <v>286</v>
      </c>
      <c r="AH1019" s="339"/>
      <c r="AI1019" s="336"/>
      <c r="AJ1019" s="336"/>
      <c r="AK1019" s="848">
        <v>0</v>
      </c>
      <c r="AL1019" s="836"/>
      <c r="AM1019" s="836">
        <v>0</v>
      </c>
      <c r="AN1019" s="848"/>
      <c r="AO1019" s="850"/>
      <c r="AP1019" s="838"/>
      <c r="AQ1019" s="839"/>
      <c r="AR1019" s="839"/>
      <c r="AS1019" s="839"/>
      <c r="AT1019" s="839"/>
      <c r="AU1019" s="839"/>
      <c r="AV1019" s="849"/>
      <c r="AW1019" s="134" t="s">
        <v>3208</v>
      </c>
      <c r="AX1019" s="136" t="s">
        <v>3208</v>
      </c>
      <c r="AY1019" s="137" t="s">
        <v>2576</v>
      </c>
      <c r="AZ1019" s="136">
        <v>0</v>
      </c>
      <c r="BA1019" s="136">
        <v>0</v>
      </c>
      <c r="BB1019" s="136">
        <v>0</v>
      </c>
      <c r="BC1019" s="214">
        <v>0</v>
      </c>
      <c r="BD1019" s="136">
        <v>0</v>
      </c>
      <c r="BE1019" s="214">
        <v>0</v>
      </c>
      <c r="BF1019" s="136">
        <v>0</v>
      </c>
      <c r="BG1019" s="214">
        <v>0</v>
      </c>
      <c r="BH1019" s="214">
        <v>0</v>
      </c>
      <c r="BI1019" s="134">
        <v>1</v>
      </c>
      <c r="BJ1019" s="214">
        <v>855</v>
      </c>
      <c r="BK1019" s="137">
        <v>2</v>
      </c>
      <c r="BL1019" s="137">
        <v>2</v>
      </c>
      <c r="BM1019" s="137">
        <v>0</v>
      </c>
      <c r="BN1019" s="134">
        <v>0</v>
      </c>
      <c r="BO1019" s="351">
        <v>0</v>
      </c>
      <c r="BP1019" s="134">
        <v>1</v>
      </c>
      <c r="BQ1019" s="214">
        <v>143</v>
      </c>
      <c r="BR1019" s="137">
        <v>143</v>
      </c>
      <c r="BS1019" s="138">
        <v>0</v>
      </c>
      <c r="BT1019" s="351" t="s">
        <v>103</v>
      </c>
      <c r="BU1019" s="214">
        <v>0</v>
      </c>
      <c r="BV1019" s="214">
        <v>0</v>
      </c>
      <c r="BW1019" s="214">
        <v>0</v>
      </c>
      <c r="BX1019" s="214">
        <v>0</v>
      </c>
      <c r="BY1019" s="214">
        <v>0</v>
      </c>
      <c r="BZ1019" s="134">
        <v>0</v>
      </c>
      <c r="CA1019" s="138">
        <v>1</v>
      </c>
      <c r="CB1019" s="136">
        <v>0</v>
      </c>
      <c r="CC1019" s="136">
        <v>0</v>
      </c>
      <c r="CD1019" s="136">
        <v>0</v>
      </c>
      <c r="CE1019" s="137">
        <v>0</v>
      </c>
      <c r="CF1019" s="137">
        <v>0</v>
      </c>
      <c r="CG1019" s="137">
        <v>0</v>
      </c>
      <c r="CH1019" s="214">
        <v>0</v>
      </c>
      <c r="CI1019" s="139">
        <v>0</v>
      </c>
      <c r="CJ1019" s="139">
        <v>0</v>
      </c>
      <c r="CK1019" s="139" t="s">
        <v>969</v>
      </c>
      <c r="CL1019" s="139" t="s">
        <v>969</v>
      </c>
      <c r="CM1019" s="139" t="s">
        <v>969</v>
      </c>
      <c r="CN1019" s="139" t="s">
        <v>454</v>
      </c>
      <c r="CO1019" s="139">
        <v>20.627639770507798</v>
      </c>
      <c r="CP1019" s="139">
        <v>93.022773742675795</v>
      </c>
      <c r="CQ1019" s="139" t="s">
        <v>2088</v>
      </c>
      <c r="CR1019" s="449" t="s">
        <v>3209</v>
      </c>
      <c r="CS1019" s="449"/>
      <c r="CT1019" s="24"/>
      <c r="CU1019" s="24"/>
      <c r="CV1019" s="24"/>
    </row>
    <row r="1020" spans="1:100" ht="15.75" customHeight="1" x14ac:dyDescent="0.25">
      <c r="A1020" s="643" t="s">
        <v>1388</v>
      </c>
      <c r="B1020" s="132" t="s">
        <v>479</v>
      </c>
      <c r="C1020" s="132" t="s">
        <v>454</v>
      </c>
      <c r="D1020" s="132" t="s">
        <v>463</v>
      </c>
      <c r="E1020" s="132" t="s">
        <v>718</v>
      </c>
      <c r="F1020" s="132">
        <v>337</v>
      </c>
      <c r="G1020" s="214">
        <v>1571</v>
      </c>
      <c r="H1020" s="132"/>
      <c r="I1020" s="132" t="s">
        <v>495</v>
      </c>
      <c r="J1020" s="133">
        <v>43615</v>
      </c>
      <c r="K1020" s="132">
        <v>0</v>
      </c>
      <c r="L1020" s="132" t="s">
        <v>2454</v>
      </c>
      <c r="M1020" s="134">
        <v>0</v>
      </c>
      <c r="N1020" s="134">
        <v>0</v>
      </c>
      <c r="O1020" s="320">
        <v>0</v>
      </c>
      <c r="P1020" s="326">
        <v>0</v>
      </c>
      <c r="Q1020" s="326">
        <v>0</v>
      </c>
      <c r="R1020" s="315">
        <v>0</v>
      </c>
      <c r="S1020" s="315">
        <v>0</v>
      </c>
      <c r="T1020" s="315"/>
      <c r="U1020" s="315"/>
      <c r="V1020" s="315"/>
      <c r="W1020" s="315"/>
      <c r="X1020" s="315"/>
      <c r="Y1020" s="315"/>
      <c r="Z1020" s="315"/>
      <c r="AA1020" s="336">
        <v>0</v>
      </c>
      <c r="AB1020" s="336">
        <v>0</v>
      </c>
      <c r="AC1020" s="337"/>
      <c r="AD1020" s="337"/>
      <c r="AE1020" s="336">
        <v>0</v>
      </c>
      <c r="AF1020" s="336" t="s">
        <v>1358</v>
      </c>
      <c r="AG1020" s="339" t="s">
        <v>1358</v>
      </c>
      <c r="AH1020" s="339"/>
      <c r="AI1020" s="336"/>
      <c r="AJ1020" s="336"/>
      <c r="AK1020" s="848">
        <v>0</v>
      </c>
      <c r="AL1020" s="836"/>
      <c r="AM1020" s="836">
        <v>0</v>
      </c>
      <c r="AN1020" s="848">
        <v>0</v>
      </c>
      <c r="AO1020" s="850">
        <v>0</v>
      </c>
      <c r="AP1020" s="838"/>
      <c r="AQ1020" s="839"/>
      <c r="AR1020" s="839"/>
      <c r="AS1020" s="839"/>
      <c r="AT1020" s="839"/>
      <c r="AU1020" s="839"/>
      <c r="AV1020" s="849"/>
      <c r="AW1020" s="134" t="s">
        <v>3208</v>
      </c>
      <c r="AX1020" s="136" t="s">
        <v>3208</v>
      </c>
      <c r="AY1020" s="137" t="s">
        <v>2576</v>
      </c>
      <c r="AZ1020" s="136">
        <v>0</v>
      </c>
      <c r="BA1020" s="136">
        <v>0</v>
      </c>
      <c r="BB1020" s="136">
        <v>0</v>
      </c>
      <c r="BC1020" s="214">
        <v>0</v>
      </c>
      <c r="BD1020" s="136">
        <v>0</v>
      </c>
      <c r="BE1020" s="214">
        <v>0</v>
      </c>
      <c r="BF1020" s="136">
        <v>0</v>
      </c>
      <c r="BG1020" s="214">
        <v>0</v>
      </c>
      <c r="BH1020" s="214">
        <v>0</v>
      </c>
      <c r="BI1020" s="134">
        <v>1</v>
      </c>
      <c r="BJ1020" s="214">
        <v>1571</v>
      </c>
      <c r="BK1020" s="137">
        <v>3</v>
      </c>
      <c r="BL1020" s="137">
        <v>3</v>
      </c>
      <c r="BM1020" s="137">
        <v>0</v>
      </c>
      <c r="BN1020" s="134">
        <v>0</v>
      </c>
      <c r="BO1020" s="351">
        <v>0</v>
      </c>
      <c r="BP1020" s="134">
        <v>1</v>
      </c>
      <c r="BQ1020" s="214">
        <v>262</v>
      </c>
      <c r="BR1020" s="137">
        <v>262</v>
      </c>
      <c r="BS1020" s="138">
        <v>0</v>
      </c>
      <c r="BT1020" s="351" t="s">
        <v>103</v>
      </c>
      <c r="BU1020" s="214">
        <v>0</v>
      </c>
      <c r="BV1020" s="214">
        <v>0</v>
      </c>
      <c r="BW1020" s="214">
        <v>0</v>
      </c>
      <c r="BX1020" s="214">
        <v>0</v>
      </c>
      <c r="BY1020" s="214">
        <v>0</v>
      </c>
      <c r="BZ1020" s="134">
        <v>0</v>
      </c>
      <c r="CA1020" s="138">
        <v>1</v>
      </c>
      <c r="CB1020" s="136">
        <v>0</v>
      </c>
      <c r="CC1020" s="136">
        <v>0</v>
      </c>
      <c r="CD1020" s="136">
        <v>0</v>
      </c>
      <c r="CE1020" s="137">
        <v>0</v>
      </c>
      <c r="CF1020" s="137">
        <v>0</v>
      </c>
      <c r="CG1020" s="137">
        <v>0</v>
      </c>
      <c r="CH1020" s="214">
        <v>0</v>
      </c>
      <c r="CI1020" s="139">
        <v>0</v>
      </c>
      <c r="CJ1020" s="139">
        <v>0</v>
      </c>
      <c r="CK1020" s="139" t="s">
        <v>975</v>
      </c>
      <c r="CL1020" s="139" t="s">
        <v>969</v>
      </c>
      <c r="CM1020" s="139" t="s">
        <v>975</v>
      </c>
      <c r="CN1020" s="139" t="s">
        <v>454</v>
      </c>
      <c r="CO1020" s="139">
        <v>20.705930709838899</v>
      </c>
      <c r="CP1020" s="139">
        <v>93.001953125</v>
      </c>
      <c r="CQ1020" s="139" t="s">
        <v>1768</v>
      </c>
      <c r="CR1020" s="449" t="s">
        <v>40</v>
      </c>
      <c r="CS1020" s="449"/>
      <c r="CT1020" s="24"/>
      <c r="CU1020" s="24"/>
      <c r="CV1020" s="24"/>
    </row>
    <row r="1021" spans="1:100" ht="15.75" customHeight="1" x14ac:dyDescent="0.25">
      <c r="A1021" s="643" t="s">
        <v>1388</v>
      </c>
      <c r="B1021" s="132" t="s">
        <v>479</v>
      </c>
      <c r="C1021" s="132" t="s">
        <v>454</v>
      </c>
      <c r="D1021" s="132" t="s">
        <v>463</v>
      </c>
      <c r="E1021" s="132" t="s">
        <v>801</v>
      </c>
      <c r="F1021" s="132">
        <v>76</v>
      </c>
      <c r="G1021" s="214">
        <v>363</v>
      </c>
      <c r="H1021" s="132"/>
      <c r="I1021" s="132" t="s">
        <v>495</v>
      </c>
      <c r="J1021" s="133">
        <v>43615</v>
      </c>
      <c r="K1021" s="132">
        <v>0</v>
      </c>
      <c r="L1021" s="132" t="s">
        <v>2454</v>
      </c>
      <c r="M1021" s="134">
        <v>0</v>
      </c>
      <c r="N1021" s="134">
        <v>0</v>
      </c>
      <c r="O1021" s="320">
        <v>0</v>
      </c>
      <c r="P1021" s="326">
        <v>0</v>
      </c>
      <c r="Q1021" s="326">
        <v>0</v>
      </c>
      <c r="R1021" s="315">
        <v>0</v>
      </c>
      <c r="S1021" s="315">
        <v>0</v>
      </c>
      <c r="T1021" s="315"/>
      <c r="U1021" s="315"/>
      <c r="V1021" s="315"/>
      <c r="W1021" s="315"/>
      <c r="X1021" s="315"/>
      <c r="Y1021" s="315"/>
      <c r="Z1021" s="315"/>
      <c r="AA1021" s="336">
        <v>0</v>
      </c>
      <c r="AB1021" s="336">
        <v>0</v>
      </c>
      <c r="AC1021" s="337"/>
      <c r="AD1021" s="337"/>
      <c r="AE1021" s="336">
        <v>0</v>
      </c>
      <c r="AF1021" s="336" t="s">
        <v>1358</v>
      </c>
      <c r="AG1021" s="339" t="s">
        <v>1358</v>
      </c>
      <c r="AH1021" s="339"/>
      <c r="AI1021" s="336"/>
      <c r="AJ1021" s="336"/>
      <c r="AK1021" s="848">
        <v>0</v>
      </c>
      <c r="AL1021" s="836"/>
      <c r="AM1021" s="836">
        <v>0</v>
      </c>
      <c r="AN1021" s="848">
        <v>0</v>
      </c>
      <c r="AO1021" s="850">
        <v>0</v>
      </c>
      <c r="AP1021" s="838"/>
      <c r="AQ1021" s="839"/>
      <c r="AR1021" s="839"/>
      <c r="AS1021" s="839"/>
      <c r="AT1021" s="839"/>
      <c r="AU1021" s="839"/>
      <c r="AV1021" s="849"/>
      <c r="AW1021" s="134" t="s">
        <v>3208</v>
      </c>
      <c r="AX1021" s="136" t="s">
        <v>3208</v>
      </c>
      <c r="AY1021" s="137" t="s">
        <v>2576</v>
      </c>
      <c r="AZ1021" s="136">
        <v>0</v>
      </c>
      <c r="BA1021" s="136">
        <v>0</v>
      </c>
      <c r="BB1021" s="136">
        <v>0</v>
      </c>
      <c r="BC1021" s="214">
        <v>0</v>
      </c>
      <c r="BD1021" s="136">
        <v>0</v>
      </c>
      <c r="BE1021" s="214">
        <v>0</v>
      </c>
      <c r="BF1021" s="136">
        <v>0</v>
      </c>
      <c r="BG1021" s="214">
        <v>0</v>
      </c>
      <c r="BH1021" s="214">
        <v>0</v>
      </c>
      <c r="BI1021" s="134">
        <v>1</v>
      </c>
      <c r="BJ1021" s="214">
        <v>363</v>
      </c>
      <c r="BK1021" s="137">
        <v>1</v>
      </c>
      <c r="BL1021" s="137">
        <v>1</v>
      </c>
      <c r="BM1021" s="137">
        <v>0</v>
      </c>
      <c r="BN1021" s="134">
        <v>0</v>
      </c>
      <c r="BO1021" s="351">
        <v>0</v>
      </c>
      <c r="BP1021" s="134">
        <v>1</v>
      </c>
      <c r="BQ1021" s="214">
        <v>61</v>
      </c>
      <c r="BR1021" s="137">
        <v>61</v>
      </c>
      <c r="BS1021" s="138">
        <v>0</v>
      </c>
      <c r="BT1021" s="351" t="s">
        <v>103</v>
      </c>
      <c r="BU1021" s="214">
        <v>0</v>
      </c>
      <c r="BV1021" s="214">
        <v>0</v>
      </c>
      <c r="BW1021" s="214">
        <v>0</v>
      </c>
      <c r="BX1021" s="214">
        <v>0</v>
      </c>
      <c r="BY1021" s="214">
        <v>0</v>
      </c>
      <c r="BZ1021" s="134">
        <v>0</v>
      </c>
      <c r="CA1021" s="138">
        <v>1</v>
      </c>
      <c r="CB1021" s="136">
        <v>0</v>
      </c>
      <c r="CC1021" s="136">
        <v>0</v>
      </c>
      <c r="CD1021" s="136">
        <v>0</v>
      </c>
      <c r="CE1021" s="137">
        <v>0</v>
      </c>
      <c r="CF1021" s="137">
        <v>0</v>
      </c>
      <c r="CG1021" s="137">
        <v>0</v>
      </c>
      <c r="CH1021" s="214">
        <v>0</v>
      </c>
      <c r="CI1021" s="139">
        <v>0</v>
      </c>
      <c r="CJ1021" s="139">
        <v>0</v>
      </c>
      <c r="CK1021" s="139" t="s">
        <v>975</v>
      </c>
      <c r="CL1021" s="139" t="s">
        <v>969</v>
      </c>
      <c r="CM1021" s="139" t="s">
        <v>975</v>
      </c>
      <c r="CN1021" s="139" t="s">
        <v>2737</v>
      </c>
      <c r="CO1021" s="139">
        <v>20.851089477539102</v>
      </c>
      <c r="CP1021" s="139">
        <v>92.916893005371094</v>
      </c>
      <c r="CQ1021" s="139">
        <v>196825</v>
      </c>
      <c r="CR1021" s="449" t="s">
        <v>40</v>
      </c>
      <c r="CS1021" s="449"/>
      <c r="CT1021" s="24"/>
      <c r="CU1021" s="24"/>
      <c r="CV1021" s="24"/>
    </row>
    <row r="1022" spans="1:100" ht="15.75" customHeight="1" thickBot="1" x14ac:dyDescent="0.3">
      <c r="A1022" s="643" t="s">
        <v>1388</v>
      </c>
      <c r="B1022" s="132" t="s">
        <v>460</v>
      </c>
      <c r="C1022" s="132" t="s">
        <v>454</v>
      </c>
      <c r="D1022" s="132" t="s">
        <v>463</v>
      </c>
      <c r="E1022" s="132" t="s">
        <v>680</v>
      </c>
      <c r="F1022" s="132">
        <v>165</v>
      </c>
      <c r="G1022" s="214">
        <v>786</v>
      </c>
      <c r="H1022" s="132"/>
      <c r="I1022" s="132"/>
      <c r="J1022" s="133"/>
      <c r="K1022" s="132"/>
      <c r="L1022" s="132" t="s">
        <v>282</v>
      </c>
      <c r="M1022" s="134">
        <v>0</v>
      </c>
      <c r="N1022" s="134">
        <v>0</v>
      </c>
      <c r="O1022" s="320">
        <v>0</v>
      </c>
      <c r="P1022" s="326">
        <v>0</v>
      </c>
      <c r="Q1022" s="326"/>
      <c r="R1022" s="315"/>
      <c r="S1022" s="315">
        <v>1</v>
      </c>
      <c r="T1022" s="315"/>
      <c r="U1022" s="315"/>
      <c r="V1022" s="315"/>
      <c r="W1022" s="315"/>
      <c r="X1022" s="315"/>
      <c r="Y1022" s="315"/>
      <c r="Z1022" s="315"/>
      <c r="AA1022" s="336">
        <v>0</v>
      </c>
      <c r="AB1022" s="336"/>
      <c r="AC1022" s="337"/>
      <c r="AD1022" s="337"/>
      <c r="AE1022" s="336">
        <v>0</v>
      </c>
      <c r="AF1022" s="336" t="s">
        <v>286</v>
      </c>
      <c r="AG1022" s="339" t="s">
        <v>286</v>
      </c>
      <c r="AH1022" s="339"/>
      <c r="AI1022" s="336"/>
      <c r="AJ1022" s="336"/>
      <c r="AK1022" s="848">
        <v>0</v>
      </c>
      <c r="AL1022" s="836"/>
      <c r="AM1022" s="836">
        <v>0</v>
      </c>
      <c r="AN1022" s="848"/>
      <c r="AO1022" s="850"/>
      <c r="AP1022" s="838"/>
      <c r="AQ1022" s="839"/>
      <c r="AR1022" s="839"/>
      <c r="AS1022" s="839"/>
      <c r="AT1022" s="839"/>
      <c r="AU1022" s="839"/>
      <c r="AV1022" s="849"/>
      <c r="AW1022" s="134" t="s">
        <v>3208</v>
      </c>
      <c r="AX1022" s="136" t="s">
        <v>3208</v>
      </c>
      <c r="AY1022" s="137" t="s">
        <v>2576</v>
      </c>
      <c r="AZ1022" s="136">
        <v>0</v>
      </c>
      <c r="BA1022" s="136">
        <v>0</v>
      </c>
      <c r="BB1022" s="136">
        <v>0</v>
      </c>
      <c r="BC1022" s="214">
        <v>0</v>
      </c>
      <c r="BD1022" s="136">
        <v>0</v>
      </c>
      <c r="BE1022" s="214">
        <v>0</v>
      </c>
      <c r="BF1022" s="136">
        <v>0</v>
      </c>
      <c r="BG1022" s="214">
        <v>0</v>
      </c>
      <c r="BH1022" s="214">
        <v>0</v>
      </c>
      <c r="BI1022" s="134">
        <v>1</v>
      </c>
      <c r="BJ1022" s="214">
        <v>786</v>
      </c>
      <c r="BK1022" s="137">
        <v>2</v>
      </c>
      <c r="BL1022" s="137">
        <v>2</v>
      </c>
      <c r="BM1022" s="137">
        <v>0</v>
      </c>
      <c r="BN1022" s="134">
        <v>0</v>
      </c>
      <c r="BO1022" s="351">
        <v>0</v>
      </c>
      <c r="BP1022" s="134">
        <v>1</v>
      </c>
      <c r="BQ1022" s="214">
        <v>131</v>
      </c>
      <c r="BR1022" s="137">
        <v>131</v>
      </c>
      <c r="BS1022" s="138">
        <v>0</v>
      </c>
      <c r="BT1022" s="351" t="s">
        <v>103</v>
      </c>
      <c r="BU1022" s="214">
        <v>0</v>
      </c>
      <c r="BV1022" s="214">
        <v>0</v>
      </c>
      <c r="BW1022" s="214">
        <v>0</v>
      </c>
      <c r="BX1022" s="214">
        <v>0</v>
      </c>
      <c r="BY1022" s="214">
        <v>0</v>
      </c>
      <c r="BZ1022" s="134">
        <v>0</v>
      </c>
      <c r="CA1022" s="138">
        <v>1</v>
      </c>
      <c r="CB1022" s="136">
        <v>0</v>
      </c>
      <c r="CC1022" s="136">
        <v>0</v>
      </c>
      <c r="CD1022" s="136">
        <v>0</v>
      </c>
      <c r="CE1022" s="137">
        <v>0</v>
      </c>
      <c r="CF1022" s="137">
        <v>0</v>
      </c>
      <c r="CG1022" s="137">
        <v>0</v>
      </c>
      <c r="CH1022" s="214">
        <v>0</v>
      </c>
      <c r="CI1022" s="139">
        <v>0</v>
      </c>
      <c r="CJ1022" s="139">
        <v>0</v>
      </c>
      <c r="CK1022" s="139" t="s">
        <v>969</v>
      </c>
      <c r="CL1022" s="139" t="s">
        <v>969</v>
      </c>
      <c r="CM1022" s="139" t="s">
        <v>969</v>
      </c>
      <c r="CN1022" s="139" t="s">
        <v>454</v>
      </c>
      <c r="CO1022" s="139">
        <v>20.644098281860401</v>
      </c>
      <c r="CP1022" s="139">
        <v>93.036460876464801</v>
      </c>
      <c r="CQ1022" s="139" t="s">
        <v>1739</v>
      </c>
      <c r="CR1022" s="449" t="s">
        <v>3209</v>
      </c>
      <c r="CS1022" s="449"/>
      <c r="CT1022" s="24"/>
      <c r="CU1022" s="24"/>
      <c r="CV1022" s="24"/>
    </row>
    <row r="1023" spans="1:100" ht="16.5" customHeight="1" thickBot="1" x14ac:dyDescent="0.3">
      <c r="A1023" s="643" t="s">
        <v>1388</v>
      </c>
      <c r="B1023" s="132" t="s">
        <v>460</v>
      </c>
      <c r="C1023" s="132" t="s">
        <v>454</v>
      </c>
      <c r="D1023" s="132" t="s">
        <v>463</v>
      </c>
      <c r="E1023" s="132" t="s">
        <v>722</v>
      </c>
      <c r="F1023" s="132">
        <v>116</v>
      </c>
      <c r="G1023" s="398">
        <v>802</v>
      </c>
      <c r="H1023" s="132"/>
      <c r="I1023" s="132"/>
      <c r="J1023" s="133"/>
      <c r="K1023" s="132"/>
      <c r="L1023" s="132" t="s">
        <v>282</v>
      </c>
      <c r="M1023" s="134">
        <v>0</v>
      </c>
      <c r="N1023" s="134">
        <v>0</v>
      </c>
      <c r="O1023" s="320">
        <v>0</v>
      </c>
      <c r="P1023" s="326">
        <v>0</v>
      </c>
      <c r="Q1023" s="326"/>
      <c r="R1023" s="315"/>
      <c r="S1023" s="315">
        <v>0</v>
      </c>
      <c r="T1023" s="315"/>
      <c r="U1023" s="315"/>
      <c r="V1023" s="315"/>
      <c r="W1023" s="315"/>
      <c r="X1023" s="315"/>
      <c r="Y1023" s="315"/>
      <c r="Z1023" s="315"/>
      <c r="AA1023" s="336">
        <v>40</v>
      </c>
      <c r="AB1023" s="336"/>
      <c r="AC1023" s="337"/>
      <c r="AD1023" s="337"/>
      <c r="AE1023" s="336">
        <v>0</v>
      </c>
      <c r="AF1023" s="336" t="s">
        <v>286</v>
      </c>
      <c r="AG1023" s="339" t="s">
        <v>286</v>
      </c>
      <c r="AH1023" s="339"/>
      <c r="AI1023" s="336"/>
      <c r="AJ1023" s="336"/>
      <c r="AK1023" s="848">
        <v>0</v>
      </c>
      <c r="AL1023" s="836"/>
      <c r="AM1023" s="836">
        <v>0</v>
      </c>
      <c r="AN1023" s="848"/>
      <c r="AO1023" s="850">
        <v>0</v>
      </c>
      <c r="AP1023" s="839"/>
      <c r="AQ1023" s="839"/>
      <c r="AR1023" s="839"/>
      <c r="AS1023" s="839"/>
      <c r="AT1023" s="839"/>
      <c r="AU1023" s="839"/>
      <c r="AV1023" s="849"/>
      <c r="AW1023" s="134" t="s">
        <v>3208</v>
      </c>
      <c r="AX1023" s="136" t="s">
        <v>3208</v>
      </c>
      <c r="AY1023" s="137" t="s">
        <v>2576</v>
      </c>
      <c r="AZ1023" s="136">
        <v>0</v>
      </c>
      <c r="BA1023" s="136">
        <v>0</v>
      </c>
      <c r="BB1023" s="136">
        <v>0</v>
      </c>
      <c r="BC1023" s="214">
        <v>0</v>
      </c>
      <c r="BD1023" s="136">
        <v>0</v>
      </c>
      <c r="BE1023" s="214">
        <v>0</v>
      </c>
      <c r="BF1023" s="136">
        <v>0</v>
      </c>
      <c r="BG1023" s="214">
        <v>0</v>
      </c>
      <c r="BH1023" s="214">
        <v>0</v>
      </c>
      <c r="BI1023" s="134">
        <v>1</v>
      </c>
      <c r="BJ1023" s="214">
        <v>802</v>
      </c>
      <c r="BK1023" s="137">
        <v>2</v>
      </c>
      <c r="BL1023" s="137">
        <v>2</v>
      </c>
      <c r="BM1023" s="137">
        <v>40</v>
      </c>
      <c r="BN1023" s="134">
        <v>0.29925187032418954</v>
      </c>
      <c r="BO1023" s="351">
        <v>240</v>
      </c>
      <c r="BP1023" s="134">
        <v>0.70324189526184544</v>
      </c>
      <c r="BQ1023" s="214">
        <v>94</v>
      </c>
      <c r="BR1023" s="137">
        <v>134</v>
      </c>
      <c r="BS1023" s="138">
        <v>0</v>
      </c>
      <c r="BT1023" s="351" t="s">
        <v>103</v>
      </c>
      <c r="BU1023" s="214">
        <v>0</v>
      </c>
      <c r="BV1023" s="214">
        <v>0</v>
      </c>
      <c r="BW1023" s="214">
        <v>0</v>
      </c>
      <c r="BX1023" s="214">
        <v>0</v>
      </c>
      <c r="BY1023" s="214">
        <v>0</v>
      </c>
      <c r="BZ1023" s="134">
        <v>0</v>
      </c>
      <c r="CA1023" s="138">
        <v>1</v>
      </c>
      <c r="CB1023" s="136">
        <v>0</v>
      </c>
      <c r="CC1023" s="136">
        <v>0</v>
      </c>
      <c r="CD1023" s="136">
        <v>0</v>
      </c>
      <c r="CE1023" s="137">
        <v>0</v>
      </c>
      <c r="CF1023" s="137">
        <v>0</v>
      </c>
      <c r="CG1023" s="137">
        <v>0</v>
      </c>
      <c r="CH1023" s="214">
        <v>0</v>
      </c>
      <c r="CI1023" s="139">
        <v>0</v>
      </c>
      <c r="CJ1023" s="139">
        <v>0</v>
      </c>
      <c r="CK1023" s="139" t="s">
        <v>969</v>
      </c>
      <c r="CL1023" s="139" t="s">
        <v>969</v>
      </c>
      <c r="CM1023" s="139" t="s">
        <v>1054</v>
      </c>
      <c r="CN1023" s="139" t="s">
        <v>966</v>
      </c>
      <c r="CO1023" s="139">
        <v>20.713259999999998</v>
      </c>
      <c r="CP1023" s="139">
        <v>93.014089999999996</v>
      </c>
      <c r="CQ1023" s="139" t="s">
        <v>1771</v>
      </c>
      <c r="CR1023" s="449" t="s">
        <v>3209</v>
      </c>
      <c r="CS1023" s="449"/>
      <c r="CT1023" s="24"/>
      <c r="CU1023" s="24"/>
      <c r="CV1023" s="24"/>
    </row>
    <row r="1024" spans="1:100" ht="16.5" customHeight="1" thickBot="1" x14ac:dyDescent="0.3">
      <c r="A1024" s="643" t="s">
        <v>1388</v>
      </c>
      <c r="B1024" s="132" t="s">
        <v>460</v>
      </c>
      <c r="C1024" s="132" t="s">
        <v>454</v>
      </c>
      <c r="D1024" s="132" t="s">
        <v>463</v>
      </c>
      <c r="E1024" s="132" t="s">
        <v>720</v>
      </c>
      <c r="F1024" s="132">
        <v>314</v>
      </c>
      <c r="G1024" s="398">
        <v>1569</v>
      </c>
      <c r="H1024" s="132"/>
      <c r="I1024" s="132"/>
      <c r="J1024" s="133"/>
      <c r="K1024" s="132"/>
      <c r="L1024" s="132" t="s">
        <v>282</v>
      </c>
      <c r="M1024" s="134">
        <v>0</v>
      </c>
      <c r="N1024" s="134">
        <v>0</v>
      </c>
      <c r="O1024" s="320">
        <v>0</v>
      </c>
      <c r="P1024" s="326">
        <v>0</v>
      </c>
      <c r="Q1024" s="326"/>
      <c r="R1024" s="315"/>
      <c r="S1024" s="315">
        <v>0</v>
      </c>
      <c r="T1024" s="315"/>
      <c r="U1024" s="315"/>
      <c r="V1024" s="315"/>
      <c r="W1024" s="315"/>
      <c r="X1024" s="315"/>
      <c r="Y1024" s="315"/>
      <c r="Z1024" s="315"/>
      <c r="AA1024" s="336">
        <v>160</v>
      </c>
      <c r="AB1024" s="336"/>
      <c r="AC1024" s="337"/>
      <c r="AD1024" s="337"/>
      <c r="AE1024" s="336">
        <v>0</v>
      </c>
      <c r="AF1024" s="336" t="s">
        <v>286</v>
      </c>
      <c r="AG1024" s="339" t="s">
        <v>286</v>
      </c>
      <c r="AH1024" s="339"/>
      <c r="AI1024" s="336"/>
      <c r="AJ1024" s="336"/>
      <c r="AK1024" s="848">
        <v>0</v>
      </c>
      <c r="AL1024" s="836"/>
      <c r="AM1024" s="836">
        <v>0</v>
      </c>
      <c r="AN1024" s="848"/>
      <c r="AO1024" s="850">
        <v>0</v>
      </c>
      <c r="AP1024" s="839"/>
      <c r="AQ1024" s="839"/>
      <c r="AR1024" s="839"/>
      <c r="AS1024" s="839"/>
      <c r="AT1024" s="839"/>
      <c r="AU1024" s="839"/>
      <c r="AV1024" s="849"/>
      <c r="AW1024" s="134" t="s">
        <v>3208</v>
      </c>
      <c r="AX1024" s="136" t="s">
        <v>3208</v>
      </c>
      <c r="AY1024" s="137" t="s">
        <v>2576</v>
      </c>
      <c r="AZ1024" s="136">
        <v>0</v>
      </c>
      <c r="BA1024" s="136">
        <v>0</v>
      </c>
      <c r="BB1024" s="136">
        <v>0</v>
      </c>
      <c r="BC1024" s="214">
        <v>0</v>
      </c>
      <c r="BD1024" s="136">
        <v>0</v>
      </c>
      <c r="BE1024" s="214">
        <v>0</v>
      </c>
      <c r="BF1024" s="136">
        <v>0</v>
      </c>
      <c r="BG1024" s="214">
        <v>0</v>
      </c>
      <c r="BH1024" s="214">
        <v>0</v>
      </c>
      <c r="BI1024" s="134">
        <v>1</v>
      </c>
      <c r="BJ1024" s="214">
        <v>1569</v>
      </c>
      <c r="BK1024" s="137">
        <v>3</v>
      </c>
      <c r="BL1024" s="137">
        <v>3</v>
      </c>
      <c r="BM1024" s="137">
        <v>160</v>
      </c>
      <c r="BN1024" s="134">
        <v>0.6118546845124283</v>
      </c>
      <c r="BO1024" s="351">
        <v>960</v>
      </c>
      <c r="BP1024" s="134">
        <v>0.39005736137667302</v>
      </c>
      <c r="BQ1024" s="214">
        <v>102</v>
      </c>
      <c r="BR1024" s="137">
        <v>262</v>
      </c>
      <c r="BS1024" s="138">
        <v>0</v>
      </c>
      <c r="BT1024" s="351" t="s">
        <v>103</v>
      </c>
      <c r="BU1024" s="214">
        <v>0</v>
      </c>
      <c r="BV1024" s="214">
        <v>0</v>
      </c>
      <c r="BW1024" s="214">
        <v>0</v>
      </c>
      <c r="BX1024" s="214">
        <v>0</v>
      </c>
      <c r="BY1024" s="214">
        <v>0</v>
      </c>
      <c r="BZ1024" s="134">
        <v>0</v>
      </c>
      <c r="CA1024" s="138">
        <v>1</v>
      </c>
      <c r="CB1024" s="136">
        <v>0</v>
      </c>
      <c r="CC1024" s="136">
        <v>0</v>
      </c>
      <c r="CD1024" s="136">
        <v>0</v>
      </c>
      <c r="CE1024" s="137">
        <v>0</v>
      </c>
      <c r="CF1024" s="137">
        <v>0</v>
      </c>
      <c r="CG1024" s="137">
        <v>0</v>
      </c>
      <c r="CH1024" s="214">
        <v>0</v>
      </c>
      <c r="CI1024" s="139">
        <v>0</v>
      </c>
      <c r="CJ1024" s="139">
        <v>0</v>
      </c>
      <c r="CK1024" s="139" t="s">
        <v>969</v>
      </c>
      <c r="CL1024" s="139" t="s">
        <v>969</v>
      </c>
      <c r="CM1024" s="139" t="s">
        <v>969</v>
      </c>
      <c r="CN1024" s="139" t="s">
        <v>454</v>
      </c>
      <c r="CO1024" s="139">
        <v>20.709970473999999</v>
      </c>
      <c r="CP1024" s="139">
        <v>93.015357971</v>
      </c>
      <c r="CQ1024" s="139" t="s">
        <v>1770</v>
      </c>
      <c r="CR1024" s="449" t="s">
        <v>3209</v>
      </c>
      <c r="CS1024" s="449"/>
      <c r="CT1024" s="24"/>
      <c r="CU1024" s="24"/>
      <c r="CV1024" s="24"/>
    </row>
    <row r="1025" spans="1:100" ht="16.5" customHeight="1" thickBot="1" x14ac:dyDescent="0.3">
      <c r="A1025" s="643" t="s">
        <v>1388</v>
      </c>
      <c r="B1025" s="132" t="s">
        <v>479</v>
      </c>
      <c r="C1025" s="132" t="s">
        <v>454</v>
      </c>
      <c r="D1025" s="132" t="s">
        <v>463</v>
      </c>
      <c r="E1025" s="132" t="s">
        <v>773</v>
      </c>
      <c r="F1025" s="132">
        <v>75</v>
      </c>
      <c r="G1025" s="398">
        <v>379</v>
      </c>
      <c r="H1025" s="132"/>
      <c r="I1025" s="132" t="s">
        <v>495</v>
      </c>
      <c r="J1025" s="133">
        <v>43615</v>
      </c>
      <c r="K1025" s="132">
        <v>0</v>
      </c>
      <c r="L1025" s="132" t="s">
        <v>2454</v>
      </c>
      <c r="M1025" s="134">
        <v>0</v>
      </c>
      <c r="N1025" s="134">
        <v>0</v>
      </c>
      <c r="O1025" s="320">
        <v>0</v>
      </c>
      <c r="P1025" s="326">
        <v>0</v>
      </c>
      <c r="Q1025" s="326">
        <v>0</v>
      </c>
      <c r="R1025" s="315">
        <v>0</v>
      </c>
      <c r="S1025" s="315">
        <v>0</v>
      </c>
      <c r="T1025" s="315"/>
      <c r="U1025" s="315"/>
      <c r="V1025" s="315"/>
      <c r="W1025" s="315"/>
      <c r="X1025" s="315"/>
      <c r="Y1025" s="315"/>
      <c r="Z1025" s="315"/>
      <c r="AA1025" s="336">
        <v>0</v>
      </c>
      <c r="AB1025" s="336">
        <v>0</v>
      </c>
      <c r="AC1025" s="337"/>
      <c r="AD1025" s="337"/>
      <c r="AE1025" s="336">
        <v>0</v>
      </c>
      <c r="AF1025" s="336" t="s">
        <v>1358</v>
      </c>
      <c r="AG1025" s="339" t="s">
        <v>1358</v>
      </c>
      <c r="AH1025" s="339"/>
      <c r="AI1025" s="336"/>
      <c r="AJ1025" s="336"/>
      <c r="AK1025" s="848">
        <v>0</v>
      </c>
      <c r="AL1025" s="836"/>
      <c r="AM1025" s="836">
        <v>0</v>
      </c>
      <c r="AN1025" s="848">
        <v>0</v>
      </c>
      <c r="AO1025" s="850">
        <v>0</v>
      </c>
      <c r="AP1025" s="839"/>
      <c r="AQ1025" s="839"/>
      <c r="AR1025" s="839"/>
      <c r="AS1025" s="839"/>
      <c r="AT1025" s="839"/>
      <c r="AU1025" s="839"/>
      <c r="AV1025" s="849"/>
      <c r="AW1025" s="134" t="s">
        <v>3208</v>
      </c>
      <c r="AX1025" s="136" t="s">
        <v>3208</v>
      </c>
      <c r="AY1025" s="137" t="s">
        <v>2576</v>
      </c>
      <c r="AZ1025" s="136">
        <v>0</v>
      </c>
      <c r="BA1025" s="136">
        <v>0</v>
      </c>
      <c r="BB1025" s="136">
        <v>0</v>
      </c>
      <c r="BC1025" s="214">
        <v>0</v>
      </c>
      <c r="BD1025" s="136">
        <v>0</v>
      </c>
      <c r="BE1025" s="214">
        <v>0</v>
      </c>
      <c r="BF1025" s="136">
        <v>0</v>
      </c>
      <c r="BG1025" s="214">
        <v>0</v>
      </c>
      <c r="BH1025" s="214">
        <v>0</v>
      </c>
      <c r="BI1025" s="134">
        <v>1</v>
      </c>
      <c r="BJ1025" s="214">
        <v>379</v>
      </c>
      <c r="BK1025" s="137">
        <v>1</v>
      </c>
      <c r="BL1025" s="137">
        <v>1</v>
      </c>
      <c r="BM1025" s="137">
        <v>0</v>
      </c>
      <c r="BN1025" s="134">
        <v>0</v>
      </c>
      <c r="BO1025" s="351">
        <v>0</v>
      </c>
      <c r="BP1025" s="134">
        <v>0.99736147757255944</v>
      </c>
      <c r="BQ1025" s="214">
        <v>63</v>
      </c>
      <c r="BR1025" s="137">
        <v>63</v>
      </c>
      <c r="BS1025" s="138">
        <v>0</v>
      </c>
      <c r="BT1025" s="351" t="s">
        <v>103</v>
      </c>
      <c r="BU1025" s="214">
        <v>0</v>
      </c>
      <c r="BV1025" s="214">
        <v>0</v>
      </c>
      <c r="BW1025" s="214">
        <v>0</v>
      </c>
      <c r="BX1025" s="214">
        <v>0</v>
      </c>
      <c r="BY1025" s="214">
        <v>0</v>
      </c>
      <c r="BZ1025" s="134">
        <v>0</v>
      </c>
      <c r="CA1025" s="138">
        <v>1</v>
      </c>
      <c r="CB1025" s="136">
        <v>0</v>
      </c>
      <c r="CC1025" s="136">
        <v>0</v>
      </c>
      <c r="CD1025" s="136">
        <v>0</v>
      </c>
      <c r="CE1025" s="137">
        <v>0</v>
      </c>
      <c r="CF1025" s="137">
        <v>0</v>
      </c>
      <c r="CG1025" s="137">
        <v>0</v>
      </c>
      <c r="CH1025" s="214">
        <v>0</v>
      </c>
      <c r="CI1025" s="139">
        <v>0</v>
      </c>
      <c r="CJ1025" s="139">
        <v>0</v>
      </c>
      <c r="CK1025" s="139" t="s">
        <v>975</v>
      </c>
      <c r="CL1025" s="139" t="s">
        <v>969</v>
      </c>
      <c r="CM1025" s="139" t="s">
        <v>975</v>
      </c>
      <c r="CN1025" s="139" t="s">
        <v>2737</v>
      </c>
      <c r="CO1025" s="139">
        <v>20.803529739379901</v>
      </c>
      <c r="CP1025" s="139">
        <v>92.929466247558594</v>
      </c>
      <c r="CQ1025" s="139" t="s">
        <v>1818</v>
      </c>
      <c r="CR1025" s="449" t="s">
        <v>40</v>
      </c>
      <c r="CS1025" s="449"/>
      <c r="CT1025" s="24"/>
      <c r="CU1025" s="24"/>
      <c r="CV1025" s="24"/>
    </row>
    <row r="1026" spans="1:100" ht="16.5" customHeight="1" thickBot="1" x14ac:dyDescent="0.3">
      <c r="A1026" s="643" t="s">
        <v>1388</v>
      </c>
      <c r="B1026" s="132" t="s">
        <v>479</v>
      </c>
      <c r="C1026" s="132" t="s">
        <v>454</v>
      </c>
      <c r="D1026" s="132" t="s">
        <v>463</v>
      </c>
      <c r="E1026" s="132" t="s">
        <v>713</v>
      </c>
      <c r="F1026" s="132">
        <v>142</v>
      </c>
      <c r="G1026" s="398">
        <v>1214</v>
      </c>
      <c r="H1026" s="132"/>
      <c r="I1026" s="132" t="s">
        <v>495</v>
      </c>
      <c r="J1026" s="133">
        <v>43615</v>
      </c>
      <c r="K1026" s="132">
        <v>0</v>
      </c>
      <c r="L1026" s="132" t="s">
        <v>2454</v>
      </c>
      <c r="M1026" s="134">
        <v>0</v>
      </c>
      <c r="N1026" s="134">
        <v>0</v>
      </c>
      <c r="O1026" s="320">
        <v>0</v>
      </c>
      <c r="P1026" s="326">
        <v>0</v>
      </c>
      <c r="Q1026" s="326">
        <v>0</v>
      </c>
      <c r="R1026" s="315">
        <v>0</v>
      </c>
      <c r="S1026" s="315">
        <v>0</v>
      </c>
      <c r="T1026" s="315"/>
      <c r="U1026" s="315"/>
      <c r="V1026" s="315"/>
      <c r="W1026" s="315"/>
      <c r="X1026" s="315"/>
      <c r="Y1026" s="315"/>
      <c r="Z1026" s="315"/>
      <c r="AA1026" s="336">
        <v>0</v>
      </c>
      <c r="AB1026" s="336">
        <v>0</v>
      </c>
      <c r="AC1026" s="337"/>
      <c r="AD1026" s="337"/>
      <c r="AE1026" s="336">
        <v>0</v>
      </c>
      <c r="AF1026" s="336" t="s">
        <v>1358</v>
      </c>
      <c r="AG1026" s="339" t="s">
        <v>1358</v>
      </c>
      <c r="AH1026" s="339"/>
      <c r="AI1026" s="336"/>
      <c r="AJ1026" s="336"/>
      <c r="AK1026" s="848">
        <v>0</v>
      </c>
      <c r="AL1026" s="836"/>
      <c r="AM1026" s="836">
        <v>0</v>
      </c>
      <c r="AN1026" s="848">
        <v>0</v>
      </c>
      <c r="AO1026" s="850">
        <v>0</v>
      </c>
      <c r="AP1026" s="839"/>
      <c r="AQ1026" s="839"/>
      <c r="AR1026" s="839"/>
      <c r="AS1026" s="839"/>
      <c r="AT1026" s="839"/>
      <c r="AU1026" s="839"/>
      <c r="AV1026" s="849"/>
      <c r="AW1026" s="134" t="s">
        <v>3208</v>
      </c>
      <c r="AX1026" s="136" t="s">
        <v>3208</v>
      </c>
      <c r="AY1026" s="137" t="s">
        <v>2576</v>
      </c>
      <c r="AZ1026" s="136">
        <v>0</v>
      </c>
      <c r="BA1026" s="136">
        <v>0</v>
      </c>
      <c r="BB1026" s="136">
        <v>0</v>
      </c>
      <c r="BC1026" s="214">
        <v>0</v>
      </c>
      <c r="BD1026" s="136">
        <v>0</v>
      </c>
      <c r="BE1026" s="214">
        <v>0</v>
      </c>
      <c r="BF1026" s="136">
        <v>0</v>
      </c>
      <c r="BG1026" s="214">
        <v>0</v>
      </c>
      <c r="BH1026" s="214">
        <v>0</v>
      </c>
      <c r="BI1026" s="134">
        <v>1</v>
      </c>
      <c r="BJ1026" s="214">
        <v>1214</v>
      </c>
      <c r="BK1026" s="137">
        <v>2</v>
      </c>
      <c r="BL1026" s="137">
        <v>2</v>
      </c>
      <c r="BM1026" s="137">
        <v>0</v>
      </c>
      <c r="BN1026" s="134">
        <v>0</v>
      </c>
      <c r="BO1026" s="351">
        <v>0</v>
      </c>
      <c r="BP1026" s="134">
        <v>0.9983525535420098</v>
      </c>
      <c r="BQ1026" s="214">
        <v>202</v>
      </c>
      <c r="BR1026" s="137">
        <v>202</v>
      </c>
      <c r="BS1026" s="138">
        <v>0</v>
      </c>
      <c r="BT1026" s="351" t="s">
        <v>103</v>
      </c>
      <c r="BU1026" s="214">
        <v>0</v>
      </c>
      <c r="BV1026" s="214">
        <v>0</v>
      </c>
      <c r="BW1026" s="214">
        <v>0</v>
      </c>
      <c r="BX1026" s="214">
        <v>0</v>
      </c>
      <c r="BY1026" s="214">
        <v>0</v>
      </c>
      <c r="BZ1026" s="134">
        <v>0</v>
      </c>
      <c r="CA1026" s="138">
        <v>1</v>
      </c>
      <c r="CB1026" s="136">
        <v>0</v>
      </c>
      <c r="CC1026" s="136">
        <v>0</v>
      </c>
      <c r="CD1026" s="136">
        <v>0</v>
      </c>
      <c r="CE1026" s="137">
        <v>0</v>
      </c>
      <c r="CF1026" s="137">
        <v>0</v>
      </c>
      <c r="CG1026" s="137">
        <v>0</v>
      </c>
      <c r="CH1026" s="214">
        <v>0</v>
      </c>
      <c r="CI1026" s="139">
        <v>0</v>
      </c>
      <c r="CJ1026" s="139">
        <v>0</v>
      </c>
      <c r="CK1026" s="139" t="s">
        <v>969</v>
      </c>
      <c r="CL1026" s="139" t="s">
        <v>969</v>
      </c>
      <c r="CM1026" s="139" t="s">
        <v>1054</v>
      </c>
      <c r="CN1026" s="139" t="s">
        <v>966</v>
      </c>
      <c r="CO1026" s="139">
        <v>20.696819999999999</v>
      </c>
      <c r="CP1026" s="139">
        <v>93.009900000000002</v>
      </c>
      <c r="CQ1026" s="139" t="s">
        <v>1763</v>
      </c>
      <c r="CR1026" s="449" t="s">
        <v>40</v>
      </c>
      <c r="CS1026" s="449"/>
      <c r="CT1026" s="24"/>
      <c r="CU1026" s="24"/>
      <c r="CV1026" s="24"/>
    </row>
    <row r="1027" spans="1:100" ht="16.5" customHeight="1" thickBot="1" x14ac:dyDescent="0.3">
      <c r="A1027" s="643" t="s">
        <v>1388</v>
      </c>
      <c r="B1027" s="132" t="s">
        <v>460</v>
      </c>
      <c r="C1027" s="132" t="s">
        <v>454</v>
      </c>
      <c r="D1027" s="132" t="s">
        <v>463</v>
      </c>
      <c r="E1027" s="132" t="s">
        <v>811</v>
      </c>
      <c r="F1027" s="132">
        <v>97</v>
      </c>
      <c r="G1027" s="398">
        <v>557</v>
      </c>
      <c r="H1027" s="132"/>
      <c r="I1027" s="132"/>
      <c r="J1027" s="133"/>
      <c r="K1027" s="132"/>
      <c r="L1027" s="132" t="s">
        <v>282</v>
      </c>
      <c r="M1027" s="134">
        <v>0</v>
      </c>
      <c r="N1027" s="134">
        <v>0</v>
      </c>
      <c r="O1027" s="320">
        <v>0</v>
      </c>
      <c r="P1027" s="326">
        <v>0</v>
      </c>
      <c r="Q1027" s="326"/>
      <c r="R1027" s="315"/>
      <c r="S1027" s="315">
        <v>0</v>
      </c>
      <c r="T1027" s="315"/>
      <c r="U1027" s="315"/>
      <c r="V1027" s="315"/>
      <c r="W1027" s="315"/>
      <c r="X1027" s="315"/>
      <c r="Y1027" s="315"/>
      <c r="Z1027" s="315"/>
      <c r="AA1027" s="336">
        <v>235</v>
      </c>
      <c r="AB1027" s="336"/>
      <c r="AC1027" s="337"/>
      <c r="AD1027" s="337"/>
      <c r="AE1027" s="336">
        <v>0</v>
      </c>
      <c r="AF1027" s="336" t="s">
        <v>286</v>
      </c>
      <c r="AG1027" s="339" t="s">
        <v>286</v>
      </c>
      <c r="AH1027" s="339"/>
      <c r="AI1027" s="336"/>
      <c r="AJ1027" s="336"/>
      <c r="AK1027" s="848">
        <v>0</v>
      </c>
      <c r="AL1027" s="836"/>
      <c r="AM1027" s="836">
        <v>0</v>
      </c>
      <c r="AN1027" s="848"/>
      <c r="AO1027" s="850">
        <v>0</v>
      </c>
      <c r="AP1027" s="839"/>
      <c r="AQ1027" s="839"/>
      <c r="AR1027" s="839"/>
      <c r="AS1027" s="839"/>
      <c r="AT1027" s="839"/>
      <c r="AU1027" s="839"/>
      <c r="AV1027" s="849"/>
      <c r="AW1027" s="134" t="s">
        <v>3208</v>
      </c>
      <c r="AX1027" s="136" t="s">
        <v>3208</v>
      </c>
      <c r="AY1027" s="137" t="s">
        <v>2576</v>
      </c>
      <c r="AZ1027" s="136">
        <v>0</v>
      </c>
      <c r="BA1027" s="136">
        <v>0</v>
      </c>
      <c r="BB1027" s="136">
        <v>0</v>
      </c>
      <c r="BC1027" s="214">
        <v>0</v>
      </c>
      <c r="BD1027" s="136">
        <v>0</v>
      </c>
      <c r="BE1027" s="214">
        <v>0</v>
      </c>
      <c r="BF1027" s="136">
        <v>0</v>
      </c>
      <c r="BG1027" s="214">
        <v>0</v>
      </c>
      <c r="BH1027" s="214">
        <v>0</v>
      </c>
      <c r="BI1027" s="134">
        <v>1</v>
      </c>
      <c r="BJ1027" s="214">
        <v>557</v>
      </c>
      <c r="BK1027" s="137">
        <v>1</v>
      </c>
      <c r="BL1027" s="137">
        <v>1</v>
      </c>
      <c r="BM1027" s="137">
        <v>235</v>
      </c>
      <c r="BN1027" s="134">
        <v>1</v>
      </c>
      <c r="BO1027" s="351">
        <v>557</v>
      </c>
      <c r="BP1027" s="134">
        <v>0</v>
      </c>
      <c r="BQ1027" s="214">
        <v>0</v>
      </c>
      <c r="BR1027" s="137">
        <v>93</v>
      </c>
      <c r="BS1027" s="138">
        <v>0</v>
      </c>
      <c r="BT1027" s="351" t="s">
        <v>103</v>
      </c>
      <c r="BU1027" s="214">
        <v>0</v>
      </c>
      <c r="BV1027" s="214">
        <v>0</v>
      </c>
      <c r="BW1027" s="214">
        <v>0</v>
      </c>
      <c r="BX1027" s="214">
        <v>0</v>
      </c>
      <c r="BY1027" s="214">
        <v>0</v>
      </c>
      <c r="BZ1027" s="134">
        <v>0</v>
      </c>
      <c r="CA1027" s="138">
        <v>1</v>
      </c>
      <c r="CB1027" s="136">
        <v>0</v>
      </c>
      <c r="CC1027" s="136">
        <v>0</v>
      </c>
      <c r="CD1027" s="136">
        <v>0</v>
      </c>
      <c r="CE1027" s="137">
        <v>0</v>
      </c>
      <c r="CF1027" s="137">
        <v>0</v>
      </c>
      <c r="CG1027" s="137">
        <v>0</v>
      </c>
      <c r="CH1027" s="214">
        <v>0</v>
      </c>
      <c r="CI1027" s="139">
        <v>0</v>
      </c>
      <c r="CJ1027" s="139">
        <v>0</v>
      </c>
      <c r="CK1027" s="139" t="s">
        <v>969</v>
      </c>
      <c r="CL1027" s="139" t="s">
        <v>969</v>
      </c>
      <c r="CM1027" s="139" t="s">
        <v>992</v>
      </c>
      <c r="CN1027" s="139" t="s">
        <v>966</v>
      </c>
      <c r="CO1027" s="139">
        <v>20.886997999999998</v>
      </c>
      <c r="CP1027" s="139">
        <v>93.006497999999993</v>
      </c>
      <c r="CQ1027" s="139" t="s">
        <v>1845</v>
      </c>
      <c r="CR1027" s="449" t="s">
        <v>3209</v>
      </c>
      <c r="CS1027" s="449"/>
      <c r="CT1027" s="24"/>
      <c r="CU1027" s="24"/>
      <c r="CV1027" s="24"/>
    </row>
    <row r="1028" spans="1:100" ht="16.5" customHeight="1" thickBot="1" x14ac:dyDescent="0.3">
      <c r="A1028" s="643" t="s">
        <v>1388</v>
      </c>
      <c r="B1028" s="132" t="s">
        <v>479</v>
      </c>
      <c r="C1028" s="132" t="s">
        <v>454</v>
      </c>
      <c r="D1028" s="132" t="s">
        <v>463</v>
      </c>
      <c r="E1028" s="132" t="s">
        <v>821</v>
      </c>
      <c r="F1028" s="132">
        <v>52</v>
      </c>
      <c r="G1028" s="398">
        <v>295</v>
      </c>
      <c r="H1028" s="132"/>
      <c r="I1028" s="132" t="s">
        <v>495</v>
      </c>
      <c r="J1028" s="133">
        <v>43615</v>
      </c>
      <c r="K1028" s="132">
        <v>0</v>
      </c>
      <c r="L1028" s="132" t="s">
        <v>2454</v>
      </c>
      <c r="M1028" s="134">
        <v>0</v>
      </c>
      <c r="N1028" s="134">
        <v>0</v>
      </c>
      <c r="O1028" s="320">
        <v>0</v>
      </c>
      <c r="P1028" s="326">
        <v>0</v>
      </c>
      <c r="Q1028" s="326">
        <v>0</v>
      </c>
      <c r="R1028" s="315">
        <v>0</v>
      </c>
      <c r="S1028" s="315">
        <v>0</v>
      </c>
      <c r="T1028" s="315"/>
      <c r="U1028" s="315"/>
      <c r="V1028" s="315"/>
      <c r="W1028" s="315"/>
      <c r="X1028" s="315"/>
      <c r="Y1028" s="315"/>
      <c r="Z1028" s="315"/>
      <c r="AA1028" s="336">
        <v>0</v>
      </c>
      <c r="AB1028" s="336">
        <v>0</v>
      </c>
      <c r="AC1028" s="337"/>
      <c r="AD1028" s="337"/>
      <c r="AE1028" s="336">
        <v>0</v>
      </c>
      <c r="AF1028" s="336" t="s">
        <v>332</v>
      </c>
      <c r="AG1028" s="339" t="s">
        <v>332</v>
      </c>
      <c r="AH1028" s="339"/>
      <c r="AI1028" s="336"/>
      <c r="AJ1028" s="336"/>
      <c r="AK1028" s="848">
        <v>0</v>
      </c>
      <c r="AL1028" s="836"/>
      <c r="AM1028" s="836">
        <v>0</v>
      </c>
      <c r="AN1028" s="848">
        <v>0</v>
      </c>
      <c r="AO1028" s="850">
        <v>0</v>
      </c>
      <c r="AP1028" s="839"/>
      <c r="AQ1028" s="839"/>
      <c r="AR1028" s="839"/>
      <c r="AS1028" s="839"/>
      <c r="AT1028" s="839"/>
      <c r="AU1028" s="839"/>
      <c r="AV1028" s="849"/>
      <c r="AW1028" s="134" t="s">
        <v>3208</v>
      </c>
      <c r="AX1028" s="136" t="s">
        <v>3208</v>
      </c>
      <c r="AY1028" s="137" t="s">
        <v>2576</v>
      </c>
      <c r="AZ1028" s="136">
        <v>0</v>
      </c>
      <c r="BA1028" s="136">
        <v>0</v>
      </c>
      <c r="BB1028" s="136">
        <v>0</v>
      </c>
      <c r="BC1028" s="214">
        <v>0</v>
      </c>
      <c r="BD1028" s="136">
        <v>0</v>
      </c>
      <c r="BE1028" s="214">
        <v>0</v>
      </c>
      <c r="BF1028" s="136">
        <v>0</v>
      </c>
      <c r="BG1028" s="214">
        <v>0</v>
      </c>
      <c r="BH1028" s="214">
        <v>0</v>
      </c>
      <c r="BI1028" s="134">
        <v>1</v>
      </c>
      <c r="BJ1028" s="214">
        <v>295</v>
      </c>
      <c r="BK1028" s="137">
        <v>1</v>
      </c>
      <c r="BL1028" s="137">
        <v>1</v>
      </c>
      <c r="BM1028" s="137">
        <v>0</v>
      </c>
      <c r="BN1028" s="134">
        <v>0</v>
      </c>
      <c r="BO1028" s="351">
        <v>0</v>
      </c>
      <c r="BP1028" s="134">
        <v>0.99661016949152548</v>
      </c>
      <c r="BQ1028" s="214">
        <v>49</v>
      </c>
      <c r="BR1028" s="137">
        <v>49</v>
      </c>
      <c r="BS1028" s="138">
        <v>0</v>
      </c>
      <c r="BT1028" s="351" t="s">
        <v>103</v>
      </c>
      <c r="BU1028" s="214">
        <v>0</v>
      </c>
      <c r="BV1028" s="214">
        <v>0</v>
      </c>
      <c r="BW1028" s="214">
        <v>0</v>
      </c>
      <c r="BX1028" s="214">
        <v>0</v>
      </c>
      <c r="BY1028" s="214">
        <v>0</v>
      </c>
      <c r="BZ1028" s="134">
        <v>0</v>
      </c>
      <c r="CA1028" s="138">
        <v>1</v>
      </c>
      <c r="CB1028" s="136">
        <v>0</v>
      </c>
      <c r="CC1028" s="136">
        <v>0</v>
      </c>
      <c r="CD1028" s="136">
        <v>0</v>
      </c>
      <c r="CE1028" s="137">
        <v>0</v>
      </c>
      <c r="CF1028" s="137">
        <v>0</v>
      </c>
      <c r="CG1028" s="137">
        <v>0</v>
      </c>
      <c r="CH1028" s="214">
        <v>0</v>
      </c>
      <c r="CI1028" s="139">
        <v>0</v>
      </c>
      <c r="CJ1028" s="139">
        <v>0</v>
      </c>
      <c r="CK1028" s="139" t="s">
        <v>975</v>
      </c>
      <c r="CL1028" s="139" t="s">
        <v>969</v>
      </c>
      <c r="CM1028" s="139" t="s">
        <v>975</v>
      </c>
      <c r="CN1028" s="139" t="s">
        <v>2737</v>
      </c>
      <c r="CO1028" s="139">
        <v>20.8950595855713</v>
      </c>
      <c r="CP1028" s="139">
        <v>92.907356262207003</v>
      </c>
      <c r="CQ1028" s="139">
        <v>196807</v>
      </c>
      <c r="CR1028" s="449" t="s">
        <v>40</v>
      </c>
      <c r="CS1028" s="449"/>
      <c r="CT1028" s="24"/>
      <c r="CU1028" s="24"/>
      <c r="CV1028" s="24"/>
    </row>
    <row r="1029" spans="1:100" ht="16.5" customHeight="1" thickBot="1" x14ac:dyDescent="0.3">
      <c r="A1029" s="643" t="s">
        <v>1388</v>
      </c>
      <c r="B1029" s="132" t="s">
        <v>479</v>
      </c>
      <c r="C1029" s="132" t="s">
        <v>454</v>
      </c>
      <c r="D1029" s="132" t="s">
        <v>463</v>
      </c>
      <c r="E1029" s="132" t="s">
        <v>781</v>
      </c>
      <c r="F1029" s="132">
        <v>35</v>
      </c>
      <c r="G1029" s="398">
        <v>238</v>
      </c>
      <c r="H1029" s="132"/>
      <c r="I1029" s="132" t="s">
        <v>495</v>
      </c>
      <c r="J1029" s="133">
        <v>43615</v>
      </c>
      <c r="K1029" s="132">
        <v>0</v>
      </c>
      <c r="L1029" s="132" t="s">
        <v>2454</v>
      </c>
      <c r="M1029" s="134">
        <v>0</v>
      </c>
      <c r="N1029" s="134">
        <v>0</v>
      </c>
      <c r="O1029" s="320">
        <v>0</v>
      </c>
      <c r="P1029" s="326">
        <v>0</v>
      </c>
      <c r="Q1029" s="326">
        <v>0</v>
      </c>
      <c r="R1029" s="315">
        <v>0</v>
      </c>
      <c r="S1029" s="315">
        <v>0</v>
      </c>
      <c r="T1029" s="315"/>
      <c r="U1029" s="315"/>
      <c r="V1029" s="315"/>
      <c r="W1029" s="315"/>
      <c r="X1029" s="315"/>
      <c r="Y1029" s="315"/>
      <c r="Z1029" s="315"/>
      <c r="AA1029" s="336">
        <v>0</v>
      </c>
      <c r="AB1029" s="336">
        <v>0</v>
      </c>
      <c r="AC1029" s="337"/>
      <c r="AD1029" s="337"/>
      <c r="AE1029" s="336">
        <v>0</v>
      </c>
      <c r="AF1029" s="336" t="s">
        <v>1358</v>
      </c>
      <c r="AG1029" s="339" t="s">
        <v>1358</v>
      </c>
      <c r="AH1029" s="339"/>
      <c r="AI1029" s="336"/>
      <c r="AJ1029" s="336"/>
      <c r="AK1029" s="848">
        <v>0</v>
      </c>
      <c r="AL1029" s="836"/>
      <c r="AM1029" s="836">
        <v>0</v>
      </c>
      <c r="AN1029" s="848">
        <v>0</v>
      </c>
      <c r="AO1029" s="850">
        <v>0</v>
      </c>
      <c r="AP1029" s="839"/>
      <c r="AQ1029" s="839"/>
      <c r="AR1029" s="839"/>
      <c r="AS1029" s="839"/>
      <c r="AT1029" s="839"/>
      <c r="AU1029" s="839"/>
      <c r="AV1029" s="849"/>
      <c r="AW1029" s="134" t="s">
        <v>3208</v>
      </c>
      <c r="AX1029" s="136" t="s">
        <v>3208</v>
      </c>
      <c r="AY1029" s="137" t="s">
        <v>2576</v>
      </c>
      <c r="AZ1029" s="136">
        <v>0</v>
      </c>
      <c r="BA1029" s="136">
        <v>0</v>
      </c>
      <c r="BB1029" s="136">
        <v>0</v>
      </c>
      <c r="BC1029" s="214">
        <v>0</v>
      </c>
      <c r="BD1029" s="136">
        <v>0</v>
      </c>
      <c r="BE1029" s="214">
        <v>0</v>
      </c>
      <c r="BF1029" s="136">
        <v>0</v>
      </c>
      <c r="BG1029" s="214">
        <v>0</v>
      </c>
      <c r="BH1029" s="214">
        <v>0</v>
      </c>
      <c r="BI1029" s="134">
        <v>1</v>
      </c>
      <c r="BJ1029" s="214">
        <v>238</v>
      </c>
      <c r="BK1029" s="137">
        <v>1</v>
      </c>
      <c r="BL1029" s="137">
        <v>1</v>
      </c>
      <c r="BM1029" s="137">
        <v>0</v>
      </c>
      <c r="BN1029" s="134">
        <v>0</v>
      </c>
      <c r="BO1029" s="351">
        <v>0</v>
      </c>
      <c r="BP1029" s="134">
        <v>1</v>
      </c>
      <c r="BQ1029" s="214">
        <v>40</v>
      </c>
      <c r="BR1029" s="137">
        <v>40</v>
      </c>
      <c r="BS1029" s="138">
        <v>0</v>
      </c>
      <c r="BT1029" s="351" t="s">
        <v>103</v>
      </c>
      <c r="BU1029" s="214">
        <v>0</v>
      </c>
      <c r="BV1029" s="214">
        <v>0</v>
      </c>
      <c r="BW1029" s="214">
        <v>0</v>
      </c>
      <c r="BX1029" s="214">
        <v>0</v>
      </c>
      <c r="BY1029" s="214">
        <v>0</v>
      </c>
      <c r="BZ1029" s="134">
        <v>0</v>
      </c>
      <c r="CA1029" s="138">
        <v>1</v>
      </c>
      <c r="CB1029" s="136">
        <v>0</v>
      </c>
      <c r="CC1029" s="136">
        <v>0</v>
      </c>
      <c r="CD1029" s="136">
        <v>0</v>
      </c>
      <c r="CE1029" s="137">
        <v>0</v>
      </c>
      <c r="CF1029" s="137">
        <v>0</v>
      </c>
      <c r="CG1029" s="137">
        <v>0</v>
      </c>
      <c r="CH1029" s="214">
        <v>0</v>
      </c>
      <c r="CI1029" s="139">
        <v>0</v>
      </c>
      <c r="CJ1029" s="139">
        <v>0</v>
      </c>
      <c r="CK1029" s="139" t="s">
        <v>975</v>
      </c>
      <c r="CL1029" s="139" t="s">
        <v>969</v>
      </c>
      <c r="CM1029" s="139" t="s">
        <v>975</v>
      </c>
      <c r="CN1029" s="139" t="s">
        <v>2737</v>
      </c>
      <c r="CO1029" s="139">
        <v>20.807970046997099</v>
      </c>
      <c r="CP1029" s="139">
        <v>92.929046630859403</v>
      </c>
      <c r="CQ1029" s="139">
        <v>196882</v>
      </c>
      <c r="CR1029" s="449" t="s">
        <v>40</v>
      </c>
      <c r="CS1029" s="449"/>
      <c r="CT1029" s="24"/>
      <c r="CU1029" s="24"/>
      <c r="CV1029" s="24"/>
    </row>
    <row r="1030" spans="1:100" ht="16.5" customHeight="1" thickBot="1" x14ac:dyDescent="0.3">
      <c r="A1030" s="643" t="s">
        <v>1388</v>
      </c>
      <c r="B1030" s="132" t="s">
        <v>460</v>
      </c>
      <c r="C1030" s="132" t="s">
        <v>454</v>
      </c>
      <c r="D1030" s="132" t="s">
        <v>463</v>
      </c>
      <c r="E1030" s="132" t="s">
        <v>865</v>
      </c>
      <c r="F1030" s="132">
        <v>130</v>
      </c>
      <c r="G1030" s="398">
        <v>664</v>
      </c>
      <c r="H1030" s="132"/>
      <c r="I1030" s="132"/>
      <c r="J1030" s="133"/>
      <c r="K1030" s="132"/>
      <c r="L1030" s="132" t="s">
        <v>282</v>
      </c>
      <c r="M1030" s="134">
        <v>0</v>
      </c>
      <c r="N1030" s="134">
        <v>0</v>
      </c>
      <c r="O1030" s="320">
        <v>0</v>
      </c>
      <c r="P1030" s="326">
        <v>0</v>
      </c>
      <c r="Q1030" s="326"/>
      <c r="R1030" s="315"/>
      <c r="S1030" s="315">
        <v>1</v>
      </c>
      <c r="T1030" s="315"/>
      <c r="U1030" s="315"/>
      <c r="V1030" s="315"/>
      <c r="W1030" s="315"/>
      <c r="X1030" s="315"/>
      <c r="Y1030" s="315"/>
      <c r="Z1030" s="315"/>
      <c r="AA1030" s="336">
        <v>0</v>
      </c>
      <c r="AB1030" s="336"/>
      <c r="AC1030" s="337"/>
      <c r="AD1030" s="337"/>
      <c r="AE1030" s="336">
        <v>0</v>
      </c>
      <c r="AF1030" s="336" t="s">
        <v>286</v>
      </c>
      <c r="AG1030" s="339" t="s">
        <v>286</v>
      </c>
      <c r="AH1030" s="339"/>
      <c r="AI1030" s="336"/>
      <c r="AJ1030" s="336"/>
      <c r="AK1030" s="848">
        <v>0</v>
      </c>
      <c r="AL1030" s="836"/>
      <c r="AM1030" s="836">
        <v>0</v>
      </c>
      <c r="AN1030" s="848"/>
      <c r="AO1030" s="850"/>
      <c r="AP1030" s="839"/>
      <c r="AQ1030" s="839"/>
      <c r="AR1030" s="839"/>
      <c r="AS1030" s="839"/>
      <c r="AT1030" s="839"/>
      <c r="AU1030" s="839"/>
      <c r="AV1030" s="849"/>
      <c r="AW1030" s="134" t="s">
        <v>3208</v>
      </c>
      <c r="AX1030" s="136" t="s">
        <v>3208</v>
      </c>
      <c r="AY1030" s="137" t="s">
        <v>2576</v>
      </c>
      <c r="AZ1030" s="136">
        <v>0</v>
      </c>
      <c r="BA1030" s="136">
        <v>0</v>
      </c>
      <c r="BB1030" s="136">
        <v>0</v>
      </c>
      <c r="BC1030" s="214">
        <v>0</v>
      </c>
      <c r="BD1030" s="136">
        <v>0</v>
      </c>
      <c r="BE1030" s="214">
        <v>0</v>
      </c>
      <c r="BF1030" s="136">
        <v>0</v>
      </c>
      <c r="BG1030" s="214">
        <v>0</v>
      </c>
      <c r="BH1030" s="214">
        <v>0</v>
      </c>
      <c r="BI1030" s="134">
        <v>1</v>
      </c>
      <c r="BJ1030" s="214">
        <v>664</v>
      </c>
      <c r="BK1030" s="137">
        <v>1</v>
      </c>
      <c r="BL1030" s="137">
        <v>1</v>
      </c>
      <c r="BM1030" s="137">
        <v>0</v>
      </c>
      <c r="BN1030" s="134">
        <v>0</v>
      </c>
      <c r="BO1030" s="351">
        <v>0</v>
      </c>
      <c r="BP1030" s="134">
        <v>1</v>
      </c>
      <c r="BQ1030" s="214">
        <v>111</v>
      </c>
      <c r="BR1030" s="137">
        <v>111</v>
      </c>
      <c r="BS1030" s="138">
        <v>0</v>
      </c>
      <c r="BT1030" s="351" t="s">
        <v>103</v>
      </c>
      <c r="BU1030" s="214">
        <v>0</v>
      </c>
      <c r="BV1030" s="214">
        <v>0</v>
      </c>
      <c r="BW1030" s="214">
        <v>0</v>
      </c>
      <c r="BX1030" s="214">
        <v>0</v>
      </c>
      <c r="BY1030" s="214">
        <v>0</v>
      </c>
      <c r="BZ1030" s="134">
        <v>0</v>
      </c>
      <c r="CA1030" s="138">
        <v>1</v>
      </c>
      <c r="CB1030" s="136">
        <v>0</v>
      </c>
      <c r="CC1030" s="136">
        <v>0</v>
      </c>
      <c r="CD1030" s="136">
        <v>0</v>
      </c>
      <c r="CE1030" s="137">
        <v>0</v>
      </c>
      <c r="CF1030" s="137">
        <v>0</v>
      </c>
      <c r="CG1030" s="137">
        <v>0</v>
      </c>
      <c r="CH1030" s="214">
        <v>0</v>
      </c>
      <c r="CI1030" s="139">
        <v>0</v>
      </c>
      <c r="CJ1030" s="139">
        <v>0</v>
      </c>
      <c r="CK1030" s="139" t="s">
        <v>969</v>
      </c>
      <c r="CL1030" s="139" t="s">
        <v>969</v>
      </c>
      <c r="CM1030" s="139" t="s">
        <v>969</v>
      </c>
      <c r="CN1030" s="139" t="s">
        <v>454</v>
      </c>
      <c r="CO1030" s="139">
        <v>20.6080207824707</v>
      </c>
      <c r="CP1030" s="139">
        <v>93.035400390625</v>
      </c>
      <c r="CQ1030" s="139" t="s">
        <v>2089</v>
      </c>
      <c r="CR1030" s="449" t="s">
        <v>3209</v>
      </c>
      <c r="CS1030" s="449"/>
      <c r="CT1030" s="24"/>
      <c r="CU1030" s="24"/>
      <c r="CV1030" s="24"/>
    </row>
    <row r="1031" spans="1:100" ht="16.5" customHeight="1" thickBot="1" x14ac:dyDescent="0.3">
      <c r="A1031" s="643" t="s">
        <v>1388</v>
      </c>
      <c r="B1031" s="132" t="s">
        <v>460</v>
      </c>
      <c r="C1031" s="132" t="s">
        <v>454</v>
      </c>
      <c r="D1031" s="132" t="s">
        <v>463</v>
      </c>
      <c r="E1031" s="132" t="s">
        <v>863</v>
      </c>
      <c r="F1031" s="132">
        <v>289</v>
      </c>
      <c r="G1031" s="398">
        <v>1419</v>
      </c>
      <c r="H1031" s="132"/>
      <c r="I1031" s="132"/>
      <c r="J1031" s="133"/>
      <c r="K1031" s="132"/>
      <c r="L1031" s="132" t="s">
        <v>282</v>
      </c>
      <c r="M1031" s="134">
        <v>0</v>
      </c>
      <c r="N1031" s="134">
        <v>0</v>
      </c>
      <c r="O1031" s="320">
        <v>0</v>
      </c>
      <c r="P1031" s="326">
        <v>0</v>
      </c>
      <c r="Q1031" s="326"/>
      <c r="R1031" s="315"/>
      <c r="S1031" s="315">
        <v>2</v>
      </c>
      <c r="T1031" s="315"/>
      <c r="U1031" s="315"/>
      <c r="V1031" s="315"/>
      <c r="W1031" s="315"/>
      <c r="X1031" s="315"/>
      <c r="Y1031" s="315"/>
      <c r="Z1031" s="315"/>
      <c r="AA1031" s="336">
        <v>0</v>
      </c>
      <c r="AB1031" s="336"/>
      <c r="AC1031" s="337"/>
      <c r="AD1031" s="337"/>
      <c r="AE1031" s="336">
        <v>0</v>
      </c>
      <c r="AF1031" s="336" t="s">
        <v>286</v>
      </c>
      <c r="AG1031" s="339" t="s">
        <v>286</v>
      </c>
      <c r="AH1031" s="339"/>
      <c r="AI1031" s="336"/>
      <c r="AJ1031" s="336"/>
      <c r="AK1031" s="848">
        <v>0</v>
      </c>
      <c r="AL1031" s="836"/>
      <c r="AM1031" s="836">
        <v>0</v>
      </c>
      <c r="AN1031" s="848"/>
      <c r="AO1031" s="850"/>
      <c r="AP1031" s="839"/>
      <c r="AQ1031" s="839"/>
      <c r="AR1031" s="839"/>
      <c r="AS1031" s="839"/>
      <c r="AT1031" s="839"/>
      <c r="AU1031" s="839"/>
      <c r="AV1031" s="849"/>
      <c r="AW1031" s="134" t="s">
        <v>3208</v>
      </c>
      <c r="AX1031" s="136" t="s">
        <v>3208</v>
      </c>
      <c r="AY1031" s="137" t="s">
        <v>2576</v>
      </c>
      <c r="AZ1031" s="136">
        <v>0</v>
      </c>
      <c r="BA1031" s="136">
        <v>0</v>
      </c>
      <c r="BB1031" s="136">
        <v>0</v>
      </c>
      <c r="BC1031" s="214">
        <v>0</v>
      </c>
      <c r="BD1031" s="136">
        <v>0</v>
      </c>
      <c r="BE1031" s="214">
        <v>0</v>
      </c>
      <c r="BF1031" s="136">
        <v>0</v>
      </c>
      <c r="BG1031" s="214">
        <v>0</v>
      </c>
      <c r="BH1031" s="214">
        <v>0</v>
      </c>
      <c r="BI1031" s="134">
        <v>1</v>
      </c>
      <c r="BJ1031" s="214">
        <v>1419</v>
      </c>
      <c r="BK1031" s="137">
        <v>3</v>
      </c>
      <c r="BL1031" s="137">
        <v>3</v>
      </c>
      <c r="BM1031" s="137">
        <v>0</v>
      </c>
      <c r="BN1031" s="134">
        <v>0</v>
      </c>
      <c r="BO1031" s="351">
        <v>0</v>
      </c>
      <c r="BP1031" s="134">
        <v>1</v>
      </c>
      <c r="BQ1031" s="214">
        <v>237</v>
      </c>
      <c r="BR1031" s="137">
        <v>237</v>
      </c>
      <c r="BS1031" s="138">
        <v>0</v>
      </c>
      <c r="BT1031" s="351" t="s">
        <v>103</v>
      </c>
      <c r="BU1031" s="214">
        <v>0</v>
      </c>
      <c r="BV1031" s="214">
        <v>0</v>
      </c>
      <c r="BW1031" s="214">
        <v>0</v>
      </c>
      <c r="BX1031" s="214">
        <v>0</v>
      </c>
      <c r="BY1031" s="214">
        <v>0</v>
      </c>
      <c r="BZ1031" s="134">
        <v>0</v>
      </c>
      <c r="CA1031" s="138">
        <v>1</v>
      </c>
      <c r="CB1031" s="136">
        <v>0</v>
      </c>
      <c r="CC1031" s="136">
        <v>0</v>
      </c>
      <c r="CD1031" s="136">
        <v>0</v>
      </c>
      <c r="CE1031" s="137">
        <v>0</v>
      </c>
      <c r="CF1031" s="137">
        <v>0</v>
      </c>
      <c r="CG1031" s="137">
        <v>0</v>
      </c>
      <c r="CH1031" s="214">
        <v>0</v>
      </c>
      <c r="CI1031" s="139">
        <v>0</v>
      </c>
      <c r="CJ1031" s="139">
        <v>0</v>
      </c>
      <c r="CK1031" s="139" t="s">
        <v>969</v>
      </c>
      <c r="CL1031" s="139" t="s">
        <v>969</v>
      </c>
      <c r="CM1031" s="139" t="s">
        <v>969</v>
      </c>
      <c r="CN1031" s="139" t="s">
        <v>454</v>
      </c>
      <c r="CO1031" s="139">
        <v>20.716699600219702</v>
      </c>
      <c r="CP1031" s="139">
        <v>92.997863769531307</v>
      </c>
      <c r="CQ1031" s="139" t="s">
        <v>2087</v>
      </c>
      <c r="CR1031" s="449" t="s">
        <v>3209</v>
      </c>
      <c r="CS1031" s="449"/>
      <c r="CT1031" s="24"/>
      <c r="CU1031" s="24"/>
      <c r="CV1031" s="24"/>
    </row>
    <row r="1032" spans="1:100" ht="16.5" customHeight="1" thickBot="1" x14ac:dyDescent="0.3">
      <c r="A1032" s="643" t="s">
        <v>1388</v>
      </c>
      <c r="B1032" s="132" t="s">
        <v>460</v>
      </c>
      <c r="C1032" s="132" t="s">
        <v>454</v>
      </c>
      <c r="D1032" s="132" t="s">
        <v>463</v>
      </c>
      <c r="E1032" s="132" t="s">
        <v>776</v>
      </c>
      <c r="F1032" s="132">
        <v>18</v>
      </c>
      <c r="G1032" s="398">
        <v>157</v>
      </c>
      <c r="H1032" s="132"/>
      <c r="I1032" s="132"/>
      <c r="J1032" s="133"/>
      <c r="K1032" s="132"/>
      <c r="L1032" s="132" t="s">
        <v>282</v>
      </c>
      <c r="M1032" s="134">
        <v>0</v>
      </c>
      <c r="N1032" s="134">
        <v>0</v>
      </c>
      <c r="O1032" s="320">
        <v>0</v>
      </c>
      <c r="P1032" s="326">
        <v>0</v>
      </c>
      <c r="Q1032" s="326"/>
      <c r="R1032" s="315"/>
      <c r="S1032" s="315">
        <v>0</v>
      </c>
      <c r="T1032" s="315"/>
      <c r="U1032" s="315"/>
      <c r="V1032" s="315"/>
      <c r="W1032" s="315"/>
      <c r="X1032" s="315"/>
      <c r="Y1032" s="315"/>
      <c r="Z1032" s="315"/>
      <c r="AA1032" s="336">
        <v>96</v>
      </c>
      <c r="AB1032" s="336"/>
      <c r="AC1032" s="337"/>
      <c r="AD1032" s="337"/>
      <c r="AE1032" s="336">
        <v>0</v>
      </c>
      <c r="AF1032" s="336" t="s">
        <v>286</v>
      </c>
      <c r="AG1032" s="339" t="s">
        <v>286</v>
      </c>
      <c r="AH1032" s="339"/>
      <c r="AI1032" s="336"/>
      <c r="AJ1032" s="336"/>
      <c r="AK1032" s="848">
        <v>0</v>
      </c>
      <c r="AL1032" s="836"/>
      <c r="AM1032" s="836">
        <v>0</v>
      </c>
      <c r="AN1032" s="848"/>
      <c r="AO1032" s="850">
        <v>0</v>
      </c>
      <c r="AP1032" s="839"/>
      <c r="AQ1032" s="839"/>
      <c r="AR1032" s="839"/>
      <c r="AS1032" s="839"/>
      <c r="AT1032" s="839"/>
      <c r="AU1032" s="839"/>
      <c r="AV1032" s="849"/>
      <c r="AW1032" s="134" t="s">
        <v>3208</v>
      </c>
      <c r="AX1032" s="136" t="s">
        <v>3208</v>
      </c>
      <c r="AY1032" s="137" t="s">
        <v>2576</v>
      </c>
      <c r="AZ1032" s="136">
        <v>0</v>
      </c>
      <c r="BA1032" s="136">
        <v>0</v>
      </c>
      <c r="BB1032" s="136">
        <v>0</v>
      </c>
      <c r="BC1032" s="214">
        <v>0</v>
      </c>
      <c r="BD1032" s="136">
        <v>0</v>
      </c>
      <c r="BE1032" s="214">
        <v>0</v>
      </c>
      <c r="BF1032" s="136">
        <v>0</v>
      </c>
      <c r="BG1032" s="214">
        <v>0</v>
      </c>
      <c r="BH1032" s="214">
        <v>0</v>
      </c>
      <c r="BI1032" s="134">
        <v>1</v>
      </c>
      <c r="BJ1032" s="214">
        <v>157</v>
      </c>
      <c r="BK1032" s="137">
        <v>1</v>
      </c>
      <c r="BL1032" s="137">
        <v>1</v>
      </c>
      <c r="BM1032" s="137">
        <v>96</v>
      </c>
      <c r="BN1032" s="134">
        <v>1</v>
      </c>
      <c r="BO1032" s="351">
        <v>157</v>
      </c>
      <c r="BP1032" s="134">
        <v>0</v>
      </c>
      <c r="BQ1032" s="214">
        <v>0</v>
      </c>
      <c r="BR1032" s="137">
        <v>26</v>
      </c>
      <c r="BS1032" s="138">
        <v>0</v>
      </c>
      <c r="BT1032" s="351" t="s">
        <v>103</v>
      </c>
      <c r="BU1032" s="214">
        <v>0</v>
      </c>
      <c r="BV1032" s="214">
        <v>0</v>
      </c>
      <c r="BW1032" s="214">
        <v>0</v>
      </c>
      <c r="BX1032" s="214">
        <v>0</v>
      </c>
      <c r="BY1032" s="214">
        <v>0</v>
      </c>
      <c r="BZ1032" s="134">
        <v>0</v>
      </c>
      <c r="CA1032" s="138">
        <v>1</v>
      </c>
      <c r="CB1032" s="136">
        <v>0</v>
      </c>
      <c r="CC1032" s="136">
        <v>0</v>
      </c>
      <c r="CD1032" s="136">
        <v>0</v>
      </c>
      <c r="CE1032" s="137">
        <v>0</v>
      </c>
      <c r="CF1032" s="137">
        <v>0</v>
      </c>
      <c r="CG1032" s="137">
        <v>0</v>
      </c>
      <c r="CH1032" s="214">
        <v>0</v>
      </c>
      <c r="CI1032" s="139">
        <v>0</v>
      </c>
      <c r="CJ1032" s="139">
        <v>0</v>
      </c>
      <c r="CK1032" s="139" t="s">
        <v>969</v>
      </c>
      <c r="CL1032" s="139" t="s">
        <v>969</v>
      </c>
      <c r="CM1032" s="139" t="s">
        <v>1054</v>
      </c>
      <c r="CN1032" s="139" t="s">
        <v>966</v>
      </c>
      <c r="CO1032" s="139">
        <v>20.805734000000001</v>
      </c>
      <c r="CP1032" s="139">
        <v>92.982675999999998</v>
      </c>
      <c r="CQ1032" s="139" t="s">
        <v>1820</v>
      </c>
      <c r="CR1032" s="449" t="s">
        <v>3209</v>
      </c>
      <c r="CS1032" s="449"/>
      <c r="CT1032" s="24"/>
      <c r="CU1032" s="24"/>
      <c r="CV1032" s="24"/>
    </row>
    <row r="1033" spans="1:100" ht="16.5" customHeight="1" thickBot="1" x14ac:dyDescent="0.3">
      <c r="A1033" s="643" t="s">
        <v>1388</v>
      </c>
      <c r="B1033" s="132" t="s">
        <v>479</v>
      </c>
      <c r="C1033" s="132" t="s">
        <v>454</v>
      </c>
      <c r="D1033" s="132" t="s">
        <v>463</v>
      </c>
      <c r="E1033" s="132" t="s">
        <v>762</v>
      </c>
      <c r="F1033" s="132">
        <v>102</v>
      </c>
      <c r="G1033" s="398">
        <v>397</v>
      </c>
      <c r="H1033" s="132"/>
      <c r="I1033" s="132" t="s">
        <v>495</v>
      </c>
      <c r="J1033" s="133">
        <v>43615</v>
      </c>
      <c r="K1033" s="132">
        <v>0</v>
      </c>
      <c r="L1033" s="132" t="s">
        <v>2454</v>
      </c>
      <c r="M1033" s="134">
        <v>0</v>
      </c>
      <c r="N1033" s="134">
        <v>0</v>
      </c>
      <c r="O1033" s="320">
        <v>0</v>
      </c>
      <c r="P1033" s="326">
        <v>0</v>
      </c>
      <c r="Q1033" s="326">
        <v>0</v>
      </c>
      <c r="R1033" s="315">
        <v>0</v>
      </c>
      <c r="S1033" s="315">
        <v>0</v>
      </c>
      <c r="T1033" s="315"/>
      <c r="U1033" s="315"/>
      <c r="V1033" s="315"/>
      <c r="W1033" s="315"/>
      <c r="X1033" s="315"/>
      <c r="Y1033" s="315"/>
      <c r="Z1033" s="315"/>
      <c r="AA1033" s="336">
        <v>0</v>
      </c>
      <c r="AB1033" s="336">
        <v>0</v>
      </c>
      <c r="AC1033" s="337"/>
      <c r="AD1033" s="337"/>
      <c r="AE1033" s="336">
        <v>0</v>
      </c>
      <c r="AF1033" s="336" t="s">
        <v>1358</v>
      </c>
      <c r="AG1033" s="339" t="s">
        <v>1358</v>
      </c>
      <c r="AH1033" s="339"/>
      <c r="AI1033" s="336"/>
      <c r="AJ1033" s="336"/>
      <c r="AK1033" s="848">
        <v>0</v>
      </c>
      <c r="AL1033" s="836"/>
      <c r="AM1033" s="836">
        <v>0</v>
      </c>
      <c r="AN1033" s="848">
        <v>0</v>
      </c>
      <c r="AO1033" s="850">
        <v>0</v>
      </c>
      <c r="AP1033" s="839"/>
      <c r="AQ1033" s="839"/>
      <c r="AR1033" s="839"/>
      <c r="AS1033" s="839"/>
      <c r="AT1033" s="839"/>
      <c r="AU1033" s="839"/>
      <c r="AV1033" s="849"/>
      <c r="AW1033" s="134" t="s">
        <v>3208</v>
      </c>
      <c r="AX1033" s="136" t="s">
        <v>3208</v>
      </c>
      <c r="AY1033" s="137" t="s">
        <v>2576</v>
      </c>
      <c r="AZ1033" s="136">
        <v>0</v>
      </c>
      <c r="BA1033" s="136">
        <v>0</v>
      </c>
      <c r="BB1033" s="136">
        <v>0</v>
      </c>
      <c r="BC1033" s="214">
        <v>0</v>
      </c>
      <c r="BD1033" s="136">
        <v>0</v>
      </c>
      <c r="BE1033" s="214">
        <v>0</v>
      </c>
      <c r="BF1033" s="136">
        <v>0</v>
      </c>
      <c r="BG1033" s="214">
        <v>0</v>
      </c>
      <c r="BH1033" s="214">
        <v>0</v>
      </c>
      <c r="BI1033" s="134">
        <v>1</v>
      </c>
      <c r="BJ1033" s="214">
        <v>397</v>
      </c>
      <c r="BK1033" s="137">
        <v>1</v>
      </c>
      <c r="BL1033" s="137">
        <v>1</v>
      </c>
      <c r="BM1033" s="137">
        <v>0</v>
      </c>
      <c r="BN1033" s="134">
        <v>0</v>
      </c>
      <c r="BO1033" s="351">
        <v>0</v>
      </c>
      <c r="BP1033" s="134">
        <v>0.99748110831234249</v>
      </c>
      <c r="BQ1033" s="214">
        <v>66</v>
      </c>
      <c r="BR1033" s="137">
        <v>66</v>
      </c>
      <c r="BS1033" s="138">
        <v>0</v>
      </c>
      <c r="BT1033" s="351" t="s">
        <v>103</v>
      </c>
      <c r="BU1033" s="214">
        <v>0</v>
      </c>
      <c r="BV1033" s="214">
        <v>0</v>
      </c>
      <c r="BW1033" s="214">
        <v>0</v>
      </c>
      <c r="BX1033" s="214">
        <v>0</v>
      </c>
      <c r="BY1033" s="214">
        <v>0</v>
      </c>
      <c r="BZ1033" s="134">
        <v>0</v>
      </c>
      <c r="CA1033" s="138">
        <v>1</v>
      </c>
      <c r="CB1033" s="136">
        <v>0</v>
      </c>
      <c r="CC1033" s="136">
        <v>0</v>
      </c>
      <c r="CD1033" s="136">
        <v>0</v>
      </c>
      <c r="CE1033" s="137">
        <v>0</v>
      </c>
      <c r="CF1033" s="137">
        <v>0</v>
      </c>
      <c r="CG1033" s="137">
        <v>0</v>
      </c>
      <c r="CH1033" s="214">
        <v>0</v>
      </c>
      <c r="CI1033" s="139">
        <v>0</v>
      </c>
      <c r="CJ1033" s="139">
        <v>0</v>
      </c>
      <c r="CK1033" s="139" t="s">
        <v>975</v>
      </c>
      <c r="CL1033" s="139" t="s">
        <v>969</v>
      </c>
      <c r="CM1033" s="139" t="s">
        <v>975</v>
      </c>
      <c r="CN1033" s="139" t="s">
        <v>2737</v>
      </c>
      <c r="CO1033" s="139">
        <v>20.785770416259801</v>
      </c>
      <c r="CP1033" s="139">
        <v>92.931427001953097</v>
      </c>
      <c r="CQ1033" s="139">
        <v>196887</v>
      </c>
      <c r="CR1033" s="449" t="s">
        <v>40</v>
      </c>
      <c r="CS1033" s="449"/>
      <c r="CT1033" s="24"/>
      <c r="CU1033" s="24"/>
      <c r="CV1033" s="24"/>
    </row>
    <row r="1034" spans="1:100" ht="16.5" customHeight="1" thickBot="1" x14ac:dyDescent="0.3">
      <c r="A1034" s="643" t="s">
        <v>1388</v>
      </c>
      <c r="B1034" s="132" t="s">
        <v>479</v>
      </c>
      <c r="C1034" s="132" t="s">
        <v>454</v>
      </c>
      <c r="D1034" s="132" t="s">
        <v>463</v>
      </c>
      <c r="E1034" s="132" t="s">
        <v>721</v>
      </c>
      <c r="F1034" s="132">
        <v>311</v>
      </c>
      <c r="G1034" s="398">
        <v>1393</v>
      </c>
      <c r="H1034" s="132"/>
      <c r="I1034" s="132" t="s">
        <v>495</v>
      </c>
      <c r="J1034" s="133">
        <v>43615</v>
      </c>
      <c r="K1034" s="132">
        <v>0</v>
      </c>
      <c r="L1034" s="132" t="s">
        <v>2454</v>
      </c>
      <c r="M1034" s="134">
        <v>0</v>
      </c>
      <c r="N1034" s="134">
        <v>0</v>
      </c>
      <c r="O1034" s="320">
        <v>0</v>
      </c>
      <c r="P1034" s="326">
        <v>0</v>
      </c>
      <c r="Q1034" s="326">
        <v>0</v>
      </c>
      <c r="R1034" s="315">
        <v>0</v>
      </c>
      <c r="S1034" s="315">
        <v>0</v>
      </c>
      <c r="T1034" s="315"/>
      <c r="U1034" s="315"/>
      <c r="V1034" s="315"/>
      <c r="W1034" s="315"/>
      <c r="X1034" s="315"/>
      <c r="Y1034" s="315"/>
      <c r="Z1034" s="315"/>
      <c r="AA1034" s="336">
        <v>0</v>
      </c>
      <c r="AB1034" s="336">
        <v>0</v>
      </c>
      <c r="AC1034" s="337"/>
      <c r="AD1034" s="337"/>
      <c r="AE1034" s="336">
        <v>0</v>
      </c>
      <c r="AF1034" s="336" t="s">
        <v>1358</v>
      </c>
      <c r="AG1034" s="339" t="s">
        <v>1358</v>
      </c>
      <c r="AH1034" s="339"/>
      <c r="AI1034" s="336"/>
      <c r="AJ1034" s="336"/>
      <c r="AK1034" s="848">
        <v>0</v>
      </c>
      <c r="AL1034" s="836"/>
      <c r="AM1034" s="836">
        <v>0</v>
      </c>
      <c r="AN1034" s="848">
        <v>0</v>
      </c>
      <c r="AO1034" s="850">
        <v>0</v>
      </c>
      <c r="AP1034" s="839"/>
      <c r="AQ1034" s="839"/>
      <c r="AR1034" s="839"/>
      <c r="AS1034" s="839"/>
      <c r="AT1034" s="839"/>
      <c r="AU1034" s="839"/>
      <c r="AV1034" s="849"/>
      <c r="AW1034" s="134" t="s">
        <v>3208</v>
      </c>
      <c r="AX1034" s="136" t="s">
        <v>3208</v>
      </c>
      <c r="AY1034" s="137" t="s">
        <v>2576</v>
      </c>
      <c r="AZ1034" s="136">
        <v>0</v>
      </c>
      <c r="BA1034" s="136">
        <v>0</v>
      </c>
      <c r="BB1034" s="136">
        <v>0</v>
      </c>
      <c r="BC1034" s="214">
        <v>0</v>
      </c>
      <c r="BD1034" s="136">
        <v>0</v>
      </c>
      <c r="BE1034" s="214">
        <v>0</v>
      </c>
      <c r="BF1034" s="136">
        <v>0</v>
      </c>
      <c r="BG1034" s="214">
        <v>0</v>
      </c>
      <c r="BH1034" s="214">
        <v>0</v>
      </c>
      <c r="BI1034" s="134">
        <v>1</v>
      </c>
      <c r="BJ1034" s="214">
        <v>1393</v>
      </c>
      <c r="BK1034" s="137">
        <v>3</v>
      </c>
      <c r="BL1034" s="137">
        <v>3</v>
      </c>
      <c r="BM1034" s="137">
        <v>0</v>
      </c>
      <c r="BN1034" s="134">
        <v>0</v>
      </c>
      <c r="BO1034" s="351">
        <v>0</v>
      </c>
      <c r="BP1034" s="134">
        <v>0.99928212491026569</v>
      </c>
      <c r="BQ1034" s="214">
        <v>232</v>
      </c>
      <c r="BR1034" s="137">
        <v>232</v>
      </c>
      <c r="BS1034" s="138">
        <v>0</v>
      </c>
      <c r="BT1034" s="351" t="s">
        <v>103</v>
      </c>
      <c r="BU1034" s="214">
        <v>0</v>
      </c>
      <c r="BV1034" s="214">
        <v>0</v>
      </c>
      <c r="BW1034" s="214">
        <v>0</v>
      </c>
      <c r="BX1034" s="214">
        <v>0</v>
      </c>
      <c r="BY1034" s="214">
        <v>0</v>
      </c>
      <c r="BZ1034" s="134">
        <v>0</v>
      </c>
      <c r="CA1034" s="138">
        <v>1</v>
      </c>
      <c r="CB1034" s="136">
        <v>0</v>
      </c>
      <c r="CC1034" s="136">
        <v>0</v>
      </c>
      <c r="CD1034" s="136">
        <v>0</v>
      </c>
      <c r="CE1034" s="137">
        <v>0</v>
      </c>
      <c r="CF1034" s="137">
        <v>0</v>
      </c>
      <c r="CG1034" s="137">
        <v>0</v>
      </c>
      <c r="CH1034" s="214">
        <v>0</v>
      </c>
      <c r="CI1034" s="139">
        <v>0</v>
      </c>
      <c r="CJ1034" s="139">
        <v>0</v>
      </c>
      <c r="CK1034" s="139" t="s">
        <v>975</v>
      </c>
      <c r="CL1034" s="139" t="s">
        <v>969</v>
      </c>
      <c r="CM1034" s="139" t="s">
        <v>975</v>
      </c>
      <c r="CN1034" s="139" t="s">
        <v>454</v>
      </c>
      <c r="CO1034" s="139">
        <v>20.711349487304702</v>
      </c>
      <c r="CP1034" s="139">
        <v>92.980506896972699</v>
      </c>
      <c r="CQ1034" s="139">
        <v>196944</v>
      </c>
      <c r="CR1034" s="449" t="s">
        <v>40</v>
      </c>
      <c r="CS1034" s="449"/>
      <c r="CT1034" s="24"/>
      <c r="CU1034" s="24"/>
      <c r="CV1034" s="24"/>
    </row>
    <row r="1035" spans="1:100" ht="16.5" customHeight="1" thickBot="1" x14ac:dyDescent="0.3">
      <c r="A1035" s="643" t="s">
        <v>1388</v>
      </c>
      <c r="B1035" s="132" t="s">
        <v>479</v>
      </c>
      <c r="C1035" s="132" t="s">
        <v>454</v>
      </c>
      <c r="D1035" s="132" t="s">
        <v>463</v>
      </c>
      <c r="E1035" s="132" t="s">
        <v>859</v>
      </c>
      <c r="F1035" s="132">
        <v>156</v>
      </c>
      <c r="G1035" s="398">
        <v>932</v>
      </c>
      <c r="H1035" s="132"/>
      <c r="I1035" s="132" t="s">
        <v>495</v>
      </c>
      <c r="J1035" s="133">
        <v>43615</v>
      </c>
      <c r="K1035" s="132">
        <v>0</v>
      </c>
      <c r="L1035" s="132" t="s">
        <v>2454</v>
      </c>
      <c r="M1035" s="134">
        <v>0</v>
      </c>
      <c r="N1035" s="134">
        <v>0</v>
      </c>
      <c r="O1035" s="320">
        <v>0</v>
      </c>
      <c r="P1035" s="326">
        <v>0</v>
      </c>
      <c r="Q1035" s="326">
        <v>0</v>
      </c>
      <c r="R1035" s="315">
        <v>0</v>
      </c>
      <c r="S1035" s="315">
        <v>0</v>
      </c>
      <c r="T1035" s="315"/>
      <c r="U1035" s="315"/>
      <c r="V1035" s="315"/>
      <c r="W1035" s="315"/>
      <c r="X1035" s="315"/>
      <c r="Y1035" s="315"/>
      <c r="Z1035" s="315"/>
      <c r="AA1035" s="336">
        <v>0</v>
      </c>
      <c r="AB1035" s="336">
        <v>0</v>
      </c>
      <c r="AC1035" s="337"/>
      <c r="AD1035" s="337"/>
      <c r="AE1035" s="336">
        <v>0</v>
      </c>
      <c r="AF1035" s="336" t="s">
        <v>332</v>
      </c>
      <c r="AG1035" s="339" t="s">
        <v>332</v>
      </c>
      <c r="AH1035" s="339"/>
      <c r="AI1035" s="336"/>
      <c r="AJ1035" s="336"/>
      <c r="AK1035" s="848">
        <v>0</v>
      </c>
      <c r="AL1035" s="836"/>
      <c r="AM1035" s="836">
        <v>0</v>
      </c>
      <c r="AN1035" s="848">
        <v>0</v>
      </c>
      <c r="AO1035" s="850">
        <v>0</v>
      </c>
      <c r="AP1035" s="839"/>
      <c r="AQ1035" s="839"/>
      <c r="AR1035" s="839"/>
      <c r="AS1035" s="839"/>
      <c r="AT1035" s="839"/>
      <c r="AU1035" s="839"/>
      <c r="AV1035" s="849"/>
      <c r="AW1035" s="134" t="s">
        <v>3208</v>
      </c>
      <c r="AX1035" s="136" t="s">
        <v>3208</v>
      </c>
      <c r="AY1035" s="137" t="s">
        <v>2576</v>
      </c>
      <c r="AZ1035" s="136">
        <v>0</v>
      </c>
      <c r="BA1035" s="136">
        <v>0</v>
      </c>
      <c r="BB1035" s="136">
        <v>0</v>
      </c>
      <c r="BC1035" s="214">
        <v>0</v>
      </c>
      <c r="BD1035" s="136">
        <v>0</v>
      </c>
      <c r="BE1035" s="214">
        <v>0</v>
      </c>
      <c r="BF1035" s="136">
        <v>0</v>
      </c>
      <c r="BG1035" s="214">
        <v>0</v>
      </c>
      <c r="BH1035" s="214">
        <v>0</v>
      </c>
      <c r="BI1035" s="134">
        <v>1</v>
      </c>
      <c r="BJ1035" s="214">
        <v>932</v>
      </c>
      <c r="BK1035" s="137">
        <v>2</v>
      </c>
      <c r="BL1035" s="137">
        <v>2</v>
      </c>
      <c r="BM1035" s="137">
        <v>0</v>
      </c>
      <c r="BN1035" s="134">
        <v>0</v>
      </c>
      <c r="BO1035" s="351">
        <v>0</v>
      </c>
      <c r="BP1035" s="134">
        <v>0.99785407725321884</v>
      </c>
      <c r="BQ1035" s="214">
        <v>155</v>
      </c>
      <c r="BR1035" s="137">
        <v>155</v>
      </c>
      <c r="BS1035" s="138">
        <v>0</v>
      </c>
      <c r="BT1035" s="351" t="s">
        <v>103</v>
      </c>
      <c r="BU1035" s="214">
        <v>0</v>
      </c>
      <c r="BV1035" s="214">
        <v>0</v>
      </c>
      <c r="BW1035" s="214">
        <v>0</v>
      </c>
      <c r="BX1035" s="214">
        <v>0</v>
      </c>
      <c r="BY1035" s="214">
        <v>0</v>
      </c>
      <c r="BZ1035" s="134">
        <v>0</v>
      </c>
      <c r="CA1035" s="138">
        <v>1</v>
      </c>
      <c r="CB1035" s="136">
        <v>0</v>
      </c>
      <c r="CC1035" s="136">
        <v>0</v>
      </c>
      <c r="CD1035" s="136">
        <v>0</v>
      </c>
      <c r="CE1035" s="137">
        <v>0</v>
      </c>
      <c r="CF1035" s="137">
        <v>0</v>
      </c>
      <c r="CG1035" s="137">
        <v>0</v>
      </c>
      <c r="CH1035" s="214">
        <v>0</v>
      </c>
      <c r="CI1035" s="139">
        <v>0</v>
      </c>
      <c r="CJ1035" s="139">
        <v>0</v>
      </c>
      <c r="CK1035" s="139" t="s">
        <v>975</v>
      </c>
      <c r="CL1035" s="139" t="s">
        <v>1050</v>
      </c>
      <c r="CM1035" s="139" t="s">
        <v>975</v>
      </c>
      <c r="CN1035" s="139" t="s">
        <v>454</v>
      </c>
      <c r="CO1035" s="139">
        <v>20.786739349365199</v>
      </c>
      <c r="CP1035" s="139">
        <v>92.944313049316406</v>
      </c>
      <c r="CQ1035" s="139" t="s">
        <v>2083</v>
      </c>
      <c r="CR1035" s="449" t="s">
        <v>40</v>
      </c>
      <c r="CS1035" s="449"/>
      <c r="CT1035" s="24"/>
      <c r="CU1035" s="24"/>
      <c r="CV1035" s="24"/>
    </row>
    <row r="1036" spans="1:100" ht="16.5" customHeight="1" thickBot="1" x14ac:dyDescent="0.3">
      <c r="A1036" s="643" t="s">
        <v>1388</v>
      </c>
      <c r="B1036" s="132" t="s">
        <v>479</v>
      </c>
      <c r="C1036" s="132" t="s">
        <v>454</v>
      </c>
      <c r="D1036" s="132" t="s">
        <v>463</v>
      </c>
      <c r="E1036" s="132" t="s">
        <v>782</v>
      </c>
      <c r="F1036" s="132">
        <v>130</v>
      </c>
      <c r="G1036" s="398">
        <v>509</v>
      </c>
      <c r="H1036" s="132"/>
      <c r="I1036" s="132" t="s">
        <v>495</v>
      </c>
      <c r="J1036" s="133">
        <v>43615</v>
      </c>
      <c r="K1036" s="132">
        <v>0</v>
      </c>
      <c r="L1036" s="132" t="s">
        <v>2454</v>
      </c>
      <c r="M1036" s="134">
        <v>0</v>
      </c>
      <c r="N1036" s="134">
        <v>0</v>
      </c>
      <c r="O1036" s="320">
        <v>0</v>
      </c>
      <c r="P1036" s="326">
        <v>0</v>
      </c>
      <c r="Q1036" s="326">
        <v>0</v>
      </c>
      <c r="R1036" s="315">
        <v>0</v>
      </c>
      <c r="S1036" s="315">
        <v>0</v>
      </c>
      <c r="T1036" s="315"/>
      <c r="U1036" s="315"/>
      <c r="V1036" s="315"/>
      <c r="W1036" s="315"/>
      <c r="X1036" s="315"/>
      <c r="Y1036" s="315"/>
      <c r="Z1036" s="315"/>
      <c r="AA1036" s="336">
        <v>0</v>
      </c>
      <c r="AB1036" s="336">
        <v>0</v>
      </c>
      <c r="AC1036" s="337"/>
      <c r="AD1036" s="337"/>
      <c r="AE1036" s="336">
        <v>0</v>
      </c>
      <c r="AF1036" s="336" t="s">
        <v>1358</v>
      </c>
      <c r="AG1036" s="339" t="s">
        <v>1358</v>
      </c>
      <c r="AH1036" s="339"/>
      <c r="AI1036" s="336"/>
      <c r="AJ1036" s="336"/>
      <c r="AK1036" s="848">
        <v>0</v>
      </c>
      <c r="AL1036" s="836"/>
      <c r="AM1036" s="836">
        <v>0</v>
      </c>
      <c r="AN1036" s="848">
        <v>0</v>
      </c>
      <c r="AO1036" s="850">
        <v>0</v>
      </c>
      <c r="AP1036" s="839"/>
      <c r="AQ1036" s="839"/>
      <c r="AR1036" s="839"/>
      <c r="AS1036" s="839"/>
      <c r="AT1036" s="839"/>
      <c r="AU1036" s="839"/>
      <c r="AV1036" s="849"/>
      <c r="AW1036" s="134" t="s">
        <v>3208</v>
      </c>
      <c r="AX1036" s="136" t="s">
        <v>3208</v>
      </c>
      <c r="AY1036" s="137" t="s">
        <v>2576</v>
      </c>
      <c r="AZ1036" s="136">
        <v>0</v>
      </c>
      <c r="BA1036" s="136">
        <v>0</v>
      </c>
      <c r="BB1036" s="136">
        <v>0</v>
      </c>
      <c r="BC1036" s="214">
        <v>0</v>
      </c>
      <c r="BD1036" s="136">
        <v>0</v>
      </c>
      <c r="BE1036" s="214">
        <v>0</v>
      </c>
      <c r="BF1036" s="136">
        <v>0</v>
      </c>
      <c r="BG1036" s="214">
        <v>0</v>
      </c>
      <c r="BH1036" s="214">
        <v>0</v>
      </c>
      <c r="BI1036" s="134">
        <v>1</v>
      </c>
      <c r="BJ1036" s="214">
        <v>509</v>
      </c>
      <c r="BK1036" s="137">
        <v>1</v>
      </c>
      <c r="BL1036" s="137">
        <v>1</v>
      </c>
      <c r="BM1036" s="137">
        <v>0</v>
      </c>
      <c r="BN1036" s="134">
        <v>0</v>
      </c>
      <c r="BO1036" s="351">
        <v>0</v>
      </c>
      <c r="BP1036" s="134">
        <v>1</v>
      </c>
      <c r="BQ1036" s="214">
        <v>85</v>
      </c>
      <c r="BR1036" s="137">
        <v>85</v>
      </c>
      <c r="BS1036" s="138">
        <v>0</v>
      </c>
      <c r="BT1036" s="351" t="s">
        <v>103</v>
      </c>
      <c r="BU1036" s="214">
        <v>0</v>
      </c>
      <c r="BV1036" s="214">
        <v>0</v>
      </c>
      <c r="BW1036" s="214">
        <v>0</v>
      </c>
      <c r="BX1036" s="214">
        <v>0</v>
      </c>
      <c r="BY1036" s="214">
        <v>0</v>
      </c>
      <c r="BZ1036" s="134">
        <v>0</v>
      </c>
      <c r="CA1036" s="138">
        <v>1</v>
      </c>
      <c r="CB1036" s="136">
        <v>0</v>
      </c>
      <c r="CC1036" s="136">
        <v>0</v>
      </c>
      <c r="CD1036" s="136">
        <v>0</v>
      </c>
      <c r="CE1036" s="137">
        <v>0</v>
      </c>
      <c r="CF1036" s="137">
        <v>0</v>
      </c>
      <c r="CG1036" s="137">
        <v>0</v>
      </c>
      <c r="CH1036" s="214">
        <v>0</v>
      </c>
      <c r="CI1036" s="139">
        <v>0</v>
      </c>
      <c r="CJ1036" s="139">
        <v>0</v>
      </c>
      <c r="CK1036" s="139" t="s">
        <v>975</v>
      </c>
      <c r="CL1036" s="139" t="s">
        <v>969</v>
      </c>
      <c r="CM1036" s="139" t="s">
        <v>975</v>
      </c>
      <c r="CN1036" s="139" t="s">
        <v>2737</v>
      </c>
      <c r="CO1036" s="139">
        <v>20.809240341186499</v>
      </c>
      <c r="CP1036" s="139">
        <v>92.923919677734403</v>
      </c>
      <c r="CQ1036" s="139">
        <v>196881</v>
      </c>
      <c r="CR1036" s="449" t="s">
        <v>40</v>
      </c>
      <c r="CS1036" s="449"/>
      <c r="CT1036" s="24"/>
      <c r="CU1036" s="24"/>
      <c r="CV1036" s="24"/>
    </row>
    <row r="1037" spans="1:100" ht="16.5" customHeight="1" thickBot="1" x14ac:dyDescent="0.3">
      <c r="A1037" s="643" t="s">
        <v>1388</v>
      </c>
      <c r="B1037" s="132" t="s">
        <v>453</v>
      </c>
      <c r="C1037" s="132" t="s">
        <v>454</v>
      </c>
      <c r="D1037" s="132" t="s">
        <v>463</v>
      </c>
      <c r="E1037" s="132" t="s">
        <v>2445</v>
      </c>
      <c r="F1037" s="132">
        <v>91</v>
      </c>
      <c r="G1037" s="398">
        <v>581</v>
      </c>
      <c r="H1037" s="132"/>
      <c r="I1037" s="132" t="s">
        <v>2527</v>
      </c>
      <c r="J1037" s="133" t="s">
        <v>2528</v>
      </c>
      <c r="K1037" s="132"/>
      <c r="L1037" s="132"/>
      <c r="M1037" s="134"/>
      <c r="N1037" s="134"/>
      <c r="O1037" s="320">
        <v>0</v>
      </c>
      <c r="P1037" s="326">
        <v>0</v>
      </c>
      <c r="Q1037" s="326"/>
      <c r="R1037" s="315">
        <v>3</v>
      </c>
      <c r="S1037" s="315">
        <v>0</v>
      </c>
      <c r="T1037" s="315"/>
      <c r="U1037" s="315"/>
      <c r="V1037" s="315"/>
      <c r="W1037" s="315"/>
      <c r="X1037" s="315"/>
      <c r="Y1037" s="315"/>
      <c r="Z1037" s="315"/>
      <c r="AA1037" s="336">
        <v>13</v>
      </c>
      <c r="AB1037" s="336"/>
      <c r="AC1037" s="337"/>
      <c r="AD1037" s="337"/>
      <c r="AE1037" s="336">
        <v>0</v>
      </c>
      <c r="AF1037" s="336" t="s">
        <v>286</v>
      </c>
      <c r="AG1037" s="339" t="s">
        <v>286</v>
      </c>
      <c r="AH1037" s="339"/>
      <c r="AI1037" s="336"/>
      <c r="AJ1037" s="336"/>
      <c r="AK1037" s="848">
        <v>0</v>
      </c>
      <c r="AL1037" s="836"/>
      <c r="AM1037" s="836">
        <v>0</v>
      </c>
      <c r="AN1037" s="848"/>
      <c r="AO1037" s="850">
        <v>0</v>
      </c>
      <c r="AP1037" s="839"/>
      <c r="AQ1037" s="839"/>
      <c r="AR1037" s="839"/>
      <c r="AS1037" s="839"/>
      <c r="AT1037" s="839"/>
      <c r="AU1037" s="839"/>
      <c r="AV1037" s="849"/>
      <c r="AW1037" s="134" t="s">
        <v>3208</v>
      </c>
      <c r="AX1037" s="136" t="s">
        <v>3208</v>
      </c>
      <c r="AY1037" s="137" t="s">
        <v>2576</v>
      </c>
      <c r="AZ1037" s="136">
        <v>0</v>
      </c>
      <c r="BA1037" s="136">
        <v>0</v>
      </c>
      <c r="BB1037" s="136">
        <v>0</v>
      </c>
      <c r="BC1037" s="214">
        <v>0</v>
      </c>
      <c r="BD1037" s="136">
        <v>1</v>
      </c>
      <c r="BE1037" s="214">
        <v>581</v>
      </c>
      <c r="BF1037" s="136">
        <v>1</v>
      </c>
      <c r="BG1037" s="214">
        <v>581</v>
      </c>
      <c r="BH1037" s="214">
        <v>1.1619999999999999</v>
      </c>
      <c r="BI1037" s="134">
        <v>0</v>
      </c>
      <c r="BJ1037" s="214">
        <v>0</v>
      </c>
      <c r="BK1037" s="137">
        <v>0</v>
      </c>
      <c r="BL1037" s="137">
        <v>1</v>
      </c>
      <c r="BM1037" s="137">
        <v>13</v>
      </c>
      <c r="BN1037" s="134">
        <v>0.44750430292598969</v>
      </c>
      <c r="BO1037" s="351">
        <v>260</v>
      </c>
      <c r="BP1037" s="134">
        <v>0.55077452667814109</v>
      </c>
      <c r="BQ1037" s="214">
        <v>16</v>
      </c>
      <c r="BR1037" s="137">
        <v>29</v>
      </c>
      <c r="BS1037" s="138">
        <v>0</v>
      </c>
      <c r="BT1037" s="351">
        <v>0</v>
      </c>
      <c r="BU1037" s="214">
        <v>0</v>
      </c>
      <c r="BV1037" s="214">
        <v>0</v>
      </c>
      <c r="BW1037" s="214">
        <v>0</v>
      </c>
      <c r="BX1037" s="214">
        <v>0</v>
      </c>
      <c r="BY1037" s="214">
        <v>0</v>
      </c>
      <c r="BZ1037" s="134">
        <v>0</v>
      </c>
      <c r="CA1037" s="138">
        <v>1</v>
      </c>
      <c r="CB1037" s="136">
        <v>0</v>
      </c>
      <c r="CC1037" s="136">
        <v>0</v>
      </c>
      <c r="CD1037" s="136">
        <v>0</v>
      </c>
      <c r="CE1037" s="137">
        <v>0</v>
      </c>
      <c r="CF1037" s="137">
        <v>0</v>
      </c>
      <c r="CG1037" s="137">
        <v>0</v>
      </c>
      <c r="CH1037" s="214">
        <v>0</v>
      </c>
      <c r="CI1037" s="139" t="s">
        <v>48</v>
      </c>
      <c r="CJ1037" s="139">
        <v>0</v>
      </c>
      <c r="CK1037" s="139" t="s">
        <v>50</v>
      </c>
      <c r="CL1037" s="139" t="s">
        <v>50</v>
      </c>
      <c r="CM1037" s="139" t="s">
        <v>968</v>
      </c>
      <c r="CN1037" s="139" t="s">
        <v>966</v>
      </c>
      <c r="CO1037" s="139">
        <v>20.865687000000001</v>
      </c>
      <c r="CP1037" s="139">
        <v>92.965980999999999</v>
      </c>
      <c r="CQ1037" s="139" t="s">
        <v>1839</v>
      </c>
      <c r="CR1037" s="449" t="s">
        <v>40</v>
      </c>
      <c r="CS1037" s="449"/>
      <c r="CT1037" s="24"/>
      <c r="CU1037" s="24"/>
      <c r="CV1037" s="24"/>
    </row>
    <row r="1038" spans="1:100" ht="16.5" customHeight="1" thickBot="1" x14ac:dyDescent="0.3">
      <c r="A1038" s="643" t="s">
        <v>1388</v>
      </c>
      <c r="B1038" s="132" t="s">
        <v>479</v>
      </c>
      <c r="C1038" s="132" t="s">
        <v>454</v>
      </c>
      <c r="D1038" s="132" t="s">
        <v>463</v>
      </c>
      <c r="E1038" s="132" t="s">
        <v>702</v>
      </c>
      <c r="F1038" s="132">
        <v>66</v>
      </c>
      <c r="G1038" s="398">
        <v>316</v>
      </c>
      <c r="H1038" s="132"/>
      <c r="I1038" s="132" t="s">
        <v>495</v>
      </c>
      <c r="J1038" s="133">
        <v>43615</v>
      </c>
      <c r="K1038" s="132">
        <v>0</v>
      </c>
      <c r="L1038" s="132" t="s">
        <v>2454</v>
      </c>
      <c r="M1038" s="134">
        <v>0</v>
      </c>
      <c r="N1038" s="134">
        <v>0</v>
      </c>
      <c r="O1038" s="320">
        <v>0</v>
      </c>
      <c r="P1038" s="326">
        <v>0</v>
      </c>
      <c r="Q1038" s="326">
        <v>0</v>
      </c>
      <c r="R1038" s="315">
        <v>0</v>
      </c>
      <c r="S1038" s="315">
        <v>0</v>
      </c>
      <c r="T1038" s="315"/>
      <c r="U1038" s="315"/>
      <c r="V1038" s="315"/>
      <c r="W1038" s="315"/>
      <c r="X1038" s="315"/>
      <c r="Y1038" s="315"/>
      <c r="Z1038" s="315"/>
      <c r="AA1038" s="336">
        <v>0</v>
      </c>
      <c r="AB1038" s="336">
        <v>0</v>
      </c>
      <c r="AC1038" s="337"/>
      <c r="AD1038" s="337"/>
      <c r="AE1038" s="336">
        <v>0</v>
      </c>
      <c r="AF1038" s="336" t="s">
        <v>1358</v>
      </c>
      <c r="AG1038" s="339" t="s">
        <v>1358</v>
      </c>
      <c r="AH1038" s="339"/>
      <c r="AI1038" s="336"/>
      <c r="AJ1038" s="336"/>
      <c r="AK1038" s="848">
        <v>0</v>
      </c>
      <c r="AL1038" s="836"/>
      <c r="AM1038" s="836">
        <v>0</v>
      </c>
      <c r="AN1038" s="848">
        <v>0</v>
      </c>
      <c r="AO1038" s="850">
        <v>0</v>
      </c>
      <c r="AP1038" s="839"/>
      <c r="AQ1038" s="839"/>
      <c r="AR1038" s="839"/>
      <c r="AS1038" s="839"/>
      <c r="AT1038" s="839"/>
      <c r="AU1038" s="839"/>
      <c r="AV1038" s="849"/>
      <c r="AW1038" s="134" t="s">
        <v>3208</v>
      </c>
      <c r="AX1038" s="136" t="s">
        <v>3208</v>
      </c>
      <c r="AY1038" s="137" t="s">
        <v>2576</v>
      </c>
      <c r="AZ1038" s="136">
        <v>0</v>
      </c>
      <c r="BA1038" s="136">
        <v>0</v>
      </c>
      <c r="BB1038" s="136">
        <v>0</v>
      </c>
      <c r="BC1038" s="214">
        <v>0</v>
      </c>
      <c r="BD1038" s="136">
        <v>0</v>
      </c>
      <c r="BE1038" s="214">
        <v>0</v>
      </c>
      <c r="BF1038" s="136">
        <v>0</v>
      </c>
      <c r="BG1038" s="214">
        <v>0</v>
      </c>
      <c r="BH1038" s="214">
        <v>0</v>
      </c>
      <c r="BI1038" s="134">
        <v>1</v>
      </c>
      <c r="BJ1038" s="214">
        <v>316</v>
      </c>
      <c r="BK1038" s="137">
        <v>1</v>
      </c>
      <c r="BL1038" s="137">
        <v>1</v>
      </c>
      <c r="BM1038" s="137">
        <v>0</v>
      </c>
      <c r="BN1038" s="134">
        <v>0</v>
      </c>
      <c r="BO1038" s="351">
        <v>0</v>
      </c>
      <c r="BP1038" s="134">
        <v>1</v>
      </c>
      <c r="BQ1038" s="214">
        <v>53</v>
      </c>
      <c r="BR1038" s="137">
        <v>53</v>
      </c>
      <c r="BS1038" s="138">
        <v>0</v>
      </c>
      <c r="BT1038" s="351" t="s">
        <v>103</v>
      </c>
      <c r="BU1038" s="214">
        <v>0</v>
      </c>
      <c r="BV1038" s="214">
        <v>0</v>
      </c>
      <c r="BW1038" s="214">
        <v>0</v>
      </c>
      <c r="BX1038" s="214">
        <v>0</v>
      </c>
      <c r="BY1038" s="214">
        <v>0</v>
      </c>
      <c r="BZ1038" s="134">
        <v>0</v>
      </c>
      <c r="CA1038" s="138">
        <v>1</v>
      </c>
      <c r="CB1038" s="136">
        <v>0</v>
      </c>
      <c r="CC1038" s="136">
        <v>0</v>
      </c>
      <c r="CD1038" s="136">
        <v>0</v>
      </c>
      <c r="CE1038" s="137">
        <v>0</v>
      </c>
      <c r="CF1038" s="137">
        <v>0</v>
      </c>
      <c r="CG1038" s="137">
        <v>0</v>
      </c>
      <c r="CH1038" s="214">
        <v>0</v>
      </c>
      <c r="CI1038" s="139">
        <v>0</v>
      </c>
      <c r="CJ1038" s="139">
        <v>0</v>
      </c>
      <c r="CK1038" s="139" t="s">
        <v>975</v>
      </c>
      <c r="CL1038" s="139" t="s">
        <v>969</v>
      </c>
      <c r="CM1038" s="139" t="s">
        <v>975</v>
      </c>
      <c r="CN1038" s="139" t="s">
        <v>2736</v>
      </c>
      <c r="CO1038" s="139">
        <v>20.681715011596701</v>
      </c>
      <c r="CP1038" s="139">
        <v>92.94140625</v>
      </c>
      <c r="CQ1038" s="139">
        <v>196930</v>
      </c>
      <c r="CR1038" s="449" t="s">
        <v>40</v>
      </c>
      <c r="CS1038" s="449"/>
      <c r="CT1038" s="24"/>
      <c r="CU1038" s="24"/>
      <c r="CV1038" s="24"/>
    </row>
    <row r="1039" spans="1:100" ht="16.5" customHeight="1" thickBot="1" x14ac:dyDescent="0.3">
      <c r="A1039" s="643" t="s">
        <v>1388</v>
      </c>
      <c r="B1039" s="132" t="s">
        <v>460</v>
      </c>
      <c r="C1039" s="132" t="s">
        <v>454</v>
      </c>
      <c r="D1039" s="132" t="s">
        <v>463</v>
      </c>
      <c r="E1039" s="132" t="s">
        <v>823</v>
      </c>
      <c r="F1039" s="132">
        <v>167</v>
      </c>
      <c r="G1039" s="398">
        <v>833</v>
      </c>
      <c r="H1039" s="132"/>
      <c r="I1039" s="132"/>
      <c r="J1039" s="133"/>
      <c r="K1039" s="132"/>
      <c r="L1039" s="132" t="s">
        <v>282</v>
      </c>
      <c r="M1039" s="134">
        <v>0</v>
      </c>
      <c r="N1039" s="134">
        <v>0</v>
      </c>
      <c r="O1039" s="320">
        <v>1</v>
      </c>
      <c r="P1039" s="326"/>
      <c r="Q1039" s="326"/>
      <c r="R1039" s="315"/>
      <c r="S1039" s="315">
        <v>0</v>
      </c>
      <c r="T1039" s="315"/>
      <c r="U1039" s="315"/>
      <c r="V1039" s="315"/>
      <c r="W1039" s="315"/>
      <c r="X1039" s="315"/>
      <c r="Y1039" s="315"/>
      <c r="Z1039" s="315"/>
      <c r="AA1039" s="336">
        <v>0</v>
      </c>
      <c r="AB1039" s="336"/>
      <c r="AC1039" s="337"/>
      <c r="AD1039" s="337"/>
      <c r="AE1039" s="336">
        <v>0</v>
      </c>
      <c r="AF1039" s="336" t="s">
        <v>286</v>
      </c>
      <c r="AG1039" s="339" t="s">
        <v>286</v>
      </c>
      <c r="AH1039" s="339"/>
      <c r="AI1039" s="336"/>
      <c r="AJ1039" s="336"/>
      <c r="AK1039" s="848">
        <v>0</v>
      </c>
      <c r="AL1039" s="836"/>
      <c r="AM1039" s="836">
        <v>0</v>
      </c>
      <c r="AN1039" s="848"/>
      <c r="AO1039" s="850">
        <v>0</v>
      </c>
      <c r="AP1039" s="839"/>
      <c r="AQ1039" s="839"/>
      <c r="AR1039" s="839"/>
      <c r="AS1039" s="839"/>
      <c r="AT1039" s="839"/>
      <c r="AU1039" s="839"/>
      <c r="AV1039" s="849"/>
      <c r="AW1039" s="134" t="s">
        <v>3208</v>
      </c>
      <c r="AX1039" s="136" t="s">
        <v>3208</v>
      </c>
      <c r="AY1039" s="137" t="s">
        <v>2576</v>
      </c>
      <c r="AZ1039" s="136">
        <v>1</v>
      </c>
      <c r="BA1039" s="136">
        <v>0.30012004801920766</v>
      </c>
      <c r="BB1039" s="136">
        <v>0.30012004801920766</v>
      </c>
      <c r="BC1039" s="214">
        <v>249.99999999999997</v>
      </c>
      <c r="BD1039" s="136">
        <v>0</v>
      </c>
      <c r="BE1039" s="214">
        <v>0</v>
      </c>
      <c r="BF1039" s="136">
        <v>0.30012004801920766</v>
      </c>
      <c r="BG1039" s="214">
        <v>249.99999999999997</v>
      </c>
      <c r="BH1039" s="214">
        <v>0.49999999999999994</v>
      </c>
      <c r="BI1039" s="134">
        <v>0.69987995198079234</v>
      </c>
      <c r="BJ1039" s="214">
        <v>583</v>
      </c>
      <c r="BK1039" s="137">
        <v>1.5</v>
      </c>
      <c r="BL1039" s="137">
        <v>2</v>
      </c>
      <c r="BM1039" s="137">
        <v>0</v>
      </c>
      <c r="BN1039" s="134">
        <v>0</v>
      </c>
      <c r="BO1039" s="351">
        <v>0</v>
      </c>
      <c r="BP1039" s="134">
        <v>1</v>
      </c>
      <c r="BQ1039" s="214">
        <v>139</v>
      </c>
      <c r="BR1039" s="137">
        <v>139</v>
      </c>
      <c r="BS1039" s="138">
        <v>0</v>
      </c>
      <c r="BT1039" s="351" t="s">
        <v>103</v>
      </c>
      <c r="BU1039" s="214">
        <v>0</v>
      </c>
      <c r="BV1039" s="214">
        <v>0</v>
      </c>
      <c r="BW1039" s="214">
        <v>0</v>
      </c>
      <c r="BX1039" s="214">
        <v>0</v>
      </c>
      <c r="BY1039" s="214">
        <v>0</v>
      </c>
      <c r="BZ1039" s="134">
        <v>0</v>
      </c>
      <c r="CA1039" s="138">
        <v>1</v>
      </c>
      <c r="CB1039" s="136">
        <v>0</v>
      </c>
      <c r="CC1039" s="136">
        <v>0</v>
      </c>
      <c r="CD1039" s="136">
        <v>0</v>
      </c>
      <c r="CE1039" s="137">
        <v>0</v>
      </c>
      <c r="CF1039" s="137">
        <v>0</v>
      </c>
      <c r="CG1039" s="137">
        <v>0</v>
      </c>
      <c r="CH1039" s="214">
        <v>0</v>
      </c>
      <c r="CI1039" s="139">
        <v>0</v>
      </c>
      <c r="CJ1039" s="139">
        <v>0</v>
      </c>
      <c r="CK1039" s="139" t="s">
        <v>969</v>
      </c>
      <c r="CL1039" s="139" t="s">
        <v>969</v>
      </c>
      <c r="CM1039" s="139" t="s">
        <v>969</v>
      </c>
      <c r="CN1039" s="139" t="s">
        <v>966</v>
      </c>
      <c r="CO1039" s="139">
        <v>20.903770446777301</v>
      </c>
      <c r="CP1039" s="139">
        <v>93.004432678222699</v>
      </c>
      <c r="CQ1039" s="139" t="s">
        <v>1854</v>
      </c>
      <c r="CR1039" s="449" t="s">
        <v>3209</v>
      </c>
      <c r="CS1039" s="449"/>
      <c r="CT1039" s="24"/>
      <c r="CU1039" s="24"/>
      <c r="CV1039" s="24"/>
    </row>
    <row r="1040" spans="1:100" ht="16.5" customHeight="1" thickBot="1" x14ac:dyDescent="0.3">
      <c r="A1040" s="643" t="s">
        <v>1388</v>
      </c>
      <c r="B1040" s="132" t="s">
        <v>479</v>
      </c>
      <c r="C1040" s="132" t="s">
        <v>454</v>
      </c>
      <c r="D1040" s="132" t="s">
        <v>463</v>
      </c>
      <c r="E1040" s="132" t="s">
        <v>494</v>
      </c>
      <c r="F1040" s="132">
        <v>137</v>
      </c>
      <c r="G1040" s="398">
        <v>479</v>
      </c>
      <c r="H1040" s="132"/>
      <c r="I1040" s="132" t="s">
        <v>495</v>
      </c>
      <c r="J1040" s="133">
        <v>43615</v>
      </c>
      <c r="K1040" s="132">
        <v>0</v>
      </c>
      <c r="L1040" s="132" t="s">
        <v>2454</v>
      </c>
      <c r="M1040" s="134">
        <v>0</v>
      </c>
      <c r="N1040" s="134">
        <v>0</v>
      </c>
      <c r="O1040" s="320">
        <v>0</v>
      </c>
      <c r="P1040" s="326">
        <v>0</v>
      </c>
      <c r="Q1040" s="326">
        <v>0</v>
      </c>
      <c r="R1040" s="315">
        <v>0</v>
      </c>
      <c r="S1040" s="315">
        <v>0</v>
      </c>
      <c r="T1040" s="315"/>
      <c r="U1040" s="315"/>
      <c r="V1040" s="315"/>
      <c r="W1040" s="315"/>
      <c r="X1040" s="315"/>
      <c r="Y1040" s="315"/>
      <c r="Z1040" s="315"/>
      <c r="AA1040" s="336">
        <v>0</v>
      </c>
      <c r="AB1040" s="336">
        <v>0</v>
      </c>
      <c r="AC1040" s="337"/>
      <c r="AD1040" s="337"/>
      <c r="AE1040" s="336">
        <v>0</v>
      </c>
      <c r="AF1040" s="336" t="s">
        <v>1358</v>
      </c>
      <c r="AG1040" s="339" t="s">
        <v>1358</v>
      </c>
      <c r="AH1040" s="339"/>
      <c r="AI1040" s="336"/>
      <c r="AJ1040" s="336"/>
      <c r="AK1040" s="848">
        <v>0</v>
      </c>
      <c r="AL1040" s="836"/>
      <c r="AM1040" s="836">
        <v>0</v>
      </c>
      <c r="AN1040" s="848">
        <v>0</v>
      </c>
      <c r="AO1040" s="850">
        <v>0</v>
      </c>
      <c r="AP1040" s="839"/>
      <c r="AQ1040" s="839"/>
      <c r="AR1040" s="839"/>
      <c r="AS1040" s="839"/>
      <c r="AT1040" s="839"/>
      <c r="AU1040" s="839"/>
      <c r="AV1040" s="849"/>
      <c r="AW1040" s="134" t="s">
        <v>3208</v>
      </c>
      <c r="AX1040" s="136" t="s">
        <v>3208</v>
      </c>
      <c r="AY1040" s="137" t="s">
        <v>2576</v>
      </c>
      <c r="AZ1040" s="136">
        <v>0</v>
      </c>
      <c r="BA1040" s="136">
        <v>0</v>
      </c>
      <c r="BB1040" s="136">
        <v>0</v>
      </c>
      <c r="BC1040" s="214">
        <v>0</v>
      </c>
      <c r="BD1040" s="136">
        <v>0</v>
      </c>
      <c r="BE1040" s="214">
        <v>0</v>
      </c>
      <c r="BF1040" s="136">
        <v>0</v>
      </c>
      <c r="BG1040" s="214">
        <v>0</v>
      </c>
      <c r="BH1040" s="214">
        <v>0</v>
      </c>
      <c r="BI1040" s="134">
        <v>1</v>
      </c>
      <c r="BJ1040" s="214">
        <v>479</v>
      </c>
      <c r="BK1040" s="137">
        <v>1</v>
      </c>
      <c r="BL1040" s="137">
        <v>1</v>
      </c>
      <c r="BM1040" s="137">
        <v>0</v>
      </c>
      <c r="BN1040" s="134">
        <v>0</v>
      </c>
      <c r="BO1040" s="351">
        <v>0</v>
      </c>
      <c r="BP1040" s="134">
        <v>1</v>
      </c>
      <c r="BQ1040" s="214">
        <v>80</v>
      </c>
      <c r="BR1040" s="137">
        <v>80</v>
      </c>
      <c r="BS1040" s="138">
        <v>0</v>
      </c>
      <c r="BT1040" s="351" t="s">
        <v>103</v>
      </c>
      <c r="BU1040" s="214">
        <v>0</v>
      </c>
      <c r="BV1040" s="214">
        <v>0</v>
      </c>
      <c r="BW1040" s="214">
        <v>0</v>
      </c>
      <c r="BX1040" s="214">
        <v>0</v>
      </c>
      <c r="BY1040" s="214">
        <v>0</v>
      </c>
      <c r="BZ1040" s="134">
        <v>0</v>
      </c>
      <c r="CA1040" s="138">
        <v>1</v>
      </c>
      <c r="CB1040" s="136">
        <v>0</v>
      </c>
      <c r="CC1040" s="136">
        <v>0</v>
      </c>
      <c r="CD1040" s="136">
        <v>0</v>
      </c>
      <c r="CE1040" s="137">
        <v>0</v>
      </c>
      <c r="CF1040" s="137">
        <v>0</v>
      </c>
      <c r="CG1040" s="137">
        <v>0</v>
      </c>
      <c r="CH1040" s="214">
        <v>0</v>
      </c>
      <c r="CI1040" s="139">
        <v>0</v>
      </c>
      <c r="CJ1040" s="139">
        <v>0</v>
      </c>
      <c r="CK1040" s="139" t="s">
        <v>975</v>
      </c>
      <c r="CL1040" s="139" t="s">
        <v>969</v>
      </c>
      <c r="CM1040" s="139" t="s">
        <v>975</v>
      </c>
      <c r="CN1040" s="139" t="s">
        <v>2737</v>
      </c>
      <c r="CO1040" s="139">
        <v>0</v>
      </c>
      <c r="CP1040" s="139">
        <v>0</v>
      </c>
      <c r="CQ1040" s="139">
        <v>0</v>
      </c>
      <c r="CR1040" s="449" t="s">
        <v>40</v>
      </c>
      <c r="CS1040" s="449"/>
      <c r="CT1040" s="24"/>
      <c r="CU1040" s="24"/>
      <c r="CV1040" s="24"/>
    </row>
    <row r="1041" spans="1:100" ht="16.5" customHeight="1" thickBot="1" x14ac:dyDescent="0.3">
      <c r="A1041" s="643" t="s">
        <v>1388</v>
      </c>
      <c r="B1041" s="132" t="s">
        <v>479</v>
      </c>
      <c r="C1041" s="132" t="s">
        <v>454</v>
      </c>
      <c r="D1041" s="132" t="s">
        <v>463</v>
      </c>
      <c r="E1041" s="132" t="s">
        <v>2735</v>
      </c>
      <c r="F1041" s="132">
        <v>30</v>
      </c>
      <c r="G1041" s="398">
        <v>136</v>
      </c>
      <c r="H1041" s="132"/>
      <c r="I1041" s="132" t="s">
        <v>495</v>
      </c>
      <c r="J1041" s="133">
        <v>43615</v>
      </c>
      <c r="K1041" s="132">
        <v>0</v>
      </c>
      <c r="L1041" s="132" t="s">
        <v>2454</v>
      </c>
      <c r="M1041" s="134">
        <v>0</v>
      </c>
      <c r="N1041" s="134">
        <v>0</v>
      </c>
      <c r="O1041" s="320">
        <v>0</v>
      </c>
      <c r="P1041" s="326">
        <v>0</v>
      </c>
      <c r="Q1041" s="326">
        <v>0</v>
      </c>
      <c r="R1041" s="315">
        <v>0</v>
      </c>
      <c r="S1041" s="315">
        <v>0</v>
      </c>
      <c r="T1041" s="315"/>
      <c r="U1041" s="315"/>
      <c r="V1041" s="315"/>
      <c r="W1041" s="315"/>
      <c r="X1041" s="315"/>
      <c r="Y1041" s="315"/>
      <c r="Z1041" s="315"/>
      <c r="AA1041" s="336">
        <v>0</v>
      </c>
      <c r="AB1041" s="336">
        <v>0</v>
      </c>
      <c r="AC1041" s="337"/>
      <c r="AD1041" s="337"/>
      <c r="AE1041" s="336">
        <v>0</v>
      </c>
      <c r="AF1041" s="336" t="s">
        <v>1358</v>
      </c>
      <c r="AG1041" s="339" t="s">
        <v>1358</v>
      </c>
      <c r="AH1041" s="339"/>
      <c r="AI1041" s="336"/>
      <c r="AJ1041" s="336"/>
      <c r="AK1041" s="848">
        <v>0</v>
      </c>
      <c r="AL1041" s="836"/>
      <c r="AM1041" s="836">
        <v>0</v>
      </c>
      <c r="AN1041" s="848">
        <v>0</v>
      </c>
      <c r="AO1041" s="850">
        <v>0</v>
      </c>
      <c r="AP1041" s="839"/>
      <c r="AQ1041" s="839"/>
      <c r="AR1041" s="839"/>
      <c r="AS1041" s="839"/>
      <c r="AT1041" s="839"/>
      <c r="AU1041" s="839"/>
      <c r="AV1041" s="849"/>
      <c r="AW1041" s="134" t="s">
        <v>3208</v>
      </c>
      <c r="AX1041" s="136" t="s">
        <v>3208</v>
      </c>
      <c r="AY1041" s="137" t="s">
        <v>2576</v>
      </c>
      <c r="AZ1041" s="136">
        <v>0</v>
      </c>
      <c r="BA1041" s="136">
        <v>0</v>
      </c>
      <c r="BB1041" s="136">
        <v>0</v>
      </c>
      <c r="BC1041" s="214">
        <v>0</v>
      </c>
      <c r="BD1041" s="136">
        <v>0</v>
      </c>
      <c r="BE1041" s="214">
        <v>0</v>
      </c>
      <c r="BF1041" s="136">
        <v>0</v>
      </c>
      <c r="BG1041" s="214">
        <v>0</v>
      </c>
      <c r="BH1041" s="214">
        <v>0</v>
      </c>
      <c r="BI1041" s="134">
        <v>1</v>
      </c>
      <c r="BJ1041" s="214">
        <v>136</v>
      </c>
      <c r="BK1041" s="137">
        <v>1</v>
      </c>
      <c r="BL1041" s="137">
        <v>1</v>
      </c>
      <c r="BM1041" s="137">
        <v>0</v>
      </c>
      <c r="BN1041" s="134">
        <v>0</v>
      </c>
      <c r="BO1041" s="351">
        <v>0</v>
      </c>
      <c r="BP1041" s="134">
        <v>1</v>
      </c>
      <c r="BQ1041" s="214">
        <v>23</v>
      </c>
      <c r="BR1041" s="137">
        <v>23</v>
      </c>
      <c r="BS1041" s="138">
        <v>0</v>
      </c>
      <c r="BT1041" s="351" t="s">
        <v>103</v>
      </c>
      <c r="BU1041" s="214">
        <v>0</v>
      </c>
      <c r="BV1041" s="214">
        <v>0</v>
      </c>
      <c r="BW1041" s="214">
        <v>0</v>
      </c>
      <c r="BX1041" s="214">
        <v>0</v>
      </c>
      <c r="BY1041" s="214">
        <v>0</v>
      </c>
      <c r="BZ1041" s="134">
        <v>0</v>
      </c>
      <c r="CA1041" s="138">
        <v>1</v>
      </c>
      <c r="CB1041" s="136">
        <v>0</v>
      </c>
      <c r="CC1041" s="136">
        <v>0</v>
      </c>
      <c r="CD1041" s="136">
        <v>0</v>
      </c>
      <c r="CE1041" s="137">
        <v>0</v>
      </c>
      <c r="CF1041" s="137">
        <v>0</v>
      </c>
      <c r="CG1041" s="137">
        <v>0</v>
      </c>
      <c r="CH1041" s="214">
        <v>0</v>
      </c>
      <c r="CI1041" s="139">
        <v>0</v>
      </c>
      <c r="CJ1041" s="139">
        <v>0</v>
      </c>
      <c r="CK1041" s="139" t="s">
        <v>975</v>
      </c>
      <c r="CL1041" s="139" t="s">
        <v>969</v>
      </c>
      <c r="CM1041" s="139" t="s">
        <v>975</v>
      </c>
      <c r="CN1041" s="139" t="s">
        <v>454</v>
      </c>
      <c r="CO1041" s="139">
        <v>0</v>
      </c>
      <c r="CP1041" s="139">
        <v>0</v>
      </c>
      <c r="CQ1041" s="139">
        <v>0</v>
      </c>
      <c r="CR1041" s="449" t="s">
        <v>40</v>
      </c>
      <c r="CS1041" s="449"/>
      <c r="CT1041" s="24"/>
      <c r="CU1041" s="24"/>
      <c r="CV1041" s="24"/>
    </row>
    <row r="1042" spans="1:100" ht="16.5" customHeight="1" thickBot="1" x14ac:dyDescent="0.3">
      <c r="A1042" s="643" t="s">
        <v>1388</v>
      </c>
      <c r="B1042" s="132" t="s">
        <v>479</v>
      </c>
      <c r="C1042" s="132" t="s">
        <v>454</v>
      </c>
      <c r="D1042" s="132" t="s">
        <v>463</v>
      </c>
      <c r="E1042" s="132" t="s">
        <v>497</v>
      </c>
      <c r="F1042" s="132">
        <v>130</v>
      </c>
      <c r="G1042" s="398">
        <v>621</v>
      </c>
      <c r="H1042" s="132"/>
      <c r="I1042" s="132" t="s">
        <v>495</v>
      </c>
      <c r="J1042" s="133">
        <v>43615</v>
      </c>
      <c r="K1042" s="132">
        <v>0</v>
      </c>
      <c r="L1042" s="132" t="s">
        <v>2454</v>
      </c>
      <c r="M1042" s="134">
        <v>0</v>
      </c>
      <c r="N1042" s="134">
        <v>0</v>
      </c>
      <c r="O1042" s="320">
        <v>0</v>
      </c>
      <c r="P1042" s="326">
        <v>0</v>
      </c>
      <c r="Q1042" s="326">
        <v>0</v>
      </c>
      <c r="R1042" s="315">
        <v>0</v>
      </c>
      <c r="S1042" s="315">
        <v>0</v>
      </c>
      <c r="T1042" s="315"/>
      <c r="U1042" s="315"/>
      <c r="V1042" s="315"/>
      <c r="W1042" s="315"/>
      <c r="X1042" s="315"/>
      <c r="Y1042" s="315"/>
      <c r="Z1042" s="315"/>
      <c r="AA1042" s="336">
        <v>0</v>
      </c>
      <c r="AB1042" s="336">
        <v>0</v>
      </c>
      <c r="AC1042" s="337"/>
      <c r="AD1042" s="337"/>
      <c r="AE1042" s="336">
        <v>0</v>
      </c>
      <c r="AF1042" s="336" t="s">
        <v>1358</v>
      </c>
      <c r="AG1042" s="339" t="s">
        <v>1358</v>
      </c>
      <c r="AH1042" s="339"/>
      <c r="AI1042" s="336"/>
      <c r="AJ1042" s="336"/>
      <c r="AK1042" s="848">
        <v>0</v>
      </c>
      <c r="AL1042" s="836"/>
      <c r="AM1042" s="836">
        <v>0</v>
      </c>
      <c r="AN1042" s="848">
        <v>0</v>
      </c>
      <c r="AO1042" s="850">
        <v>0</v>
      </c>
      <c r="AP1042" s="839"/>
      <c r="AQ1042" s="839"/>
      <c r="AR1042" s="839"/>
      <c r="AS1042" s="839"/>
      <c r="AT1042" s="839"/>
      <c r="AU1042" s="839"/>
      <c r="AV1042" s="849"/>
      <c r="AW1042" s="134" t="s">
        <v>3208</v>
      </c>
      <c r="AX1042" s="136" t="s">
        <v>3208</v>
      </c>
      <c r="AY1042" s="137" t="s">
        <v>2576</v>
      </c>
      <c r="AZ1042" s="136">
        <v>0</v>
      </c>
      <c r="BA1042" s="136">
        <v>0</v>
      </c>
      <c r="BB1042" s="136">
        <v>0</v>
      </c>
      <c r="BC1042" s="214">
        <v>0</v>
      </c>
      <c r="BD1042" s="136">
        <v>0</v>
      </c>
      <c r="BE1042" s="214">
        <v>0</v>
      </c>
      <c r="BF1042" s="136">
        <v>0</v>
      </c>
      <c r="BG1042" s="214">
        <v>0</v>
      </c>
      <c r="BH1042" s="214">
        <v>0</v>
      </c>
      <c r="BI1042" s="134">
        <v>1</v>
      </c>
      <c r="BJ1042" s="214">
        <v>621</v>
      </c>
      <c r="BK1042" s="137">
        <v>1</v>
      </c>
      <c r="BL1042" s="137">
        <v>1</v>
      </c>
      <c r="BM1042" s="137">
        <v>0</v>
      </c>
      <c r="BN1042" s="134">
        <v>0</v>
      </c>
      <c r="BO1042" s="351">
        <v>0</v>
      </c>
      <c r="BP1042" s="134">
        <v>1</v>
      </c>
      <c r="BQ1042" s="214">
        <v>104</v>
      </c>
      <c r="BR1042" s="137">
        <v>104</v>
      </c>
      <c r="BS1042" s="138">
        <v>0</v>
      </c>
      <c r="BT1042" s="351" t="s">
        <v>103</v>
      </c>
      <c r="BU1042" s="214">
        <v>0</v>
      </c>
      <c r="BV1042" s="214">
        <v>0</v>
      </c>
      <c r="BW1042" s="214">
        <v>0</v>
      </c>
      <c r="BX1042" s="214">
        <v>0</v>
      </c>
      <c r="BY1042" s="214">
        <v>0</v>
      </c>
      <c r="BZ1042" s="134">
        <v>0</v>
      </c>
      <c r="CA1042" s="138">
        <v>1</v>
      </c>
      <c r="CB1042" s="136">
        <v>0</v>
      </c>
      <c r="CC1042" s="136">
        <v>0</v>
      </c>
      <c r="CD1042" s="136">
        <v>0</v>
      </c>
      <c r="CE1042" s="137">
        <v>0</v>
      </c>
      <c r="CF1042" s="137">
        <v>0</v>
      </c>
      <c r="CG1042" s="137">
        <v>0</v>
      </c>
      <c r="CH1042" s="214">
        <v>0</v>
      </c>
      <c r="CI1042" s="139">
        <v>0</v>
      </c>
      <c r="CJ1042" s="139">
        <v>0</v>
      </c>
      <c r="CK1042" s="139" t="s">
        <v>975</v>
      </c>
      <c r="CL1042" s="139" t="s">
        <v>969</v>
      </c>
      <c r="CM1042" s="139" t="s">
        <v>975</v>
      </c>
      <c r="CN1042" s="139" t="s">
        <v>2734</v>
      </c>
      <c r="CO1042" s="139">
        <v>0</v>
      </c>
      <c r="CP1042" s="139">
        <v>0</v>
      </c>
      <c r="CQ1042" s="139">
        <v>196815</v>
      </c>
      <c r="CR1042" s="449" t="s">
        <v>40</v>
      </c>
      <c r="CS1042" s="449"/>
      <c r="CT1042" s="24"/>
      <c r="CU1042" s="24"/>
      <c r="CV1042" s="24"/>
    </row>
    <row r="1043" spans="1:100" ht="16.5" customHeight="1" thickBot="1" x14ac:dyDescent="0.3">
      <c r="A1043" s="643" t="s">
        <v>1388</v>
      </c>
      <c r="B1043" s="132" t="s">
        <v>479</v>
      </c>
      <c r="C1043" s="132" t="s">
        <v>454</v>
      </c>
      <c r="D1043" s="132" t="s">
        <v>463</v>
      </c>
      <c r="E1043" s="132" t="s">
        <v>820</v>
      </c>
      <c r="F1043" s="132">
        <v>171</v>
      </c>
      <c r="G1043" s="398">
        <v>821</v>
      </c>
      <c r="H1043" s="132"/>
      <c r="I1043" s="132" t="s">
        <v>495</v>
      </c>
      <c r="J1043" s="133">
        <v>43615</v>
      </c>
      <c r="K1043" s="132">
        <v>0</v>
      </c>
      <c r="L1043" s="132" t="s">
        <v>2454</v>
      </c>
      <c r="M1043" s="134">
        <v>0</v>
      </c>
      <c r="N1043" s="134">
        <v>0</v>
      </c>
      <c r="O1043" s="320">
        <v>0</v>
      </c>
      <c r="P1043" s="326">
        <v>0</v>
      </c>
      <c r="Q1043" s="326">
        <v>0</v>
      </c>
      <c r="R1043" s="315">
        <v>0</v>
      </c>
      <c r="S1043" s="315">
        <v>0</v>
      </c>
      <c r="T1043" s="315"/>
      <c r="U1043" s="315"/>
      <c r="V1043" s="315"/>
      <c r="W1043" s="315"/>
      <c r="X1043" s="315"/>
      <c r="Y1043" s="315"/>
      <c r="Z1043" s="315"/>
      <c r="AA1043" s="336">
        <v>0</v>
      </c>
      <c r="AB1043" s="336">
        <v>0</v>
      </c>
      <c r="AC1043" s="337"/>
      <c r="AD1043" s="337"/>
      <c r="AE1043" s="336">
        <v>0</v>
      </c>
      <c r="AF1043" s="336" t="s">
        <v>1358</v>
      </c>
      <c r="AG1043" s="339" t="s">
        <v>1358</v>
      </c>
      <c r="AH1043" s="339"/>
      <c r="AI1043" s="336"/>
      <c r="AJ1043" s="336"/>
      <c r="AK1043" s="848">
        <v>0</v>
      </c>
      <c r="AL1043" s="836"/>
      <c r="AM1043" s="836">
        <v>0</v>
      </c>
      <c r="AN1043" s="848">
        <v>0</v>
      </c>
      <c r="AO1043" s="850">
        <v>0</v>
      </c>
      <c r="AP1043" s="839"/>
      <c r="AQ1043" s="839"/>
      <c r="AR1043" s="839"/>
      <c r="AS1043" s="839"/>
      <c r="AT1043" s="839"/>
      <c r="AU1043" s="839"/>
      <c r="AV1043" s="849"/>
      <c r="AW1043" s="134" t="s">
        <v>3208</v>
      </c>
      <c r="AX1043" s="136" t="s">
        <v>3208</v>
      </c>
      <c r="AY1043" s="137" t="s">
        <v>2576</v>
      </c>
      <c r="AZ1043" s="136">
        <v>0</v>
      </c>
      <c r="BA1043" s="136">
        <v>0</v>
      </c>
      <c r="BB1043" s="136">
        <v>0</v>
      </c>
      <c r="BC1043" s="214">
        <v>0</v>
      </c>
      <c r="BD1043" s="136">
        <v>0</v>
      </c>
      <c r="BE1043" s="214">
        <v>0</v>
      </c>
      <c r="BF1043" s="136">
        <v>0</v>
      </c>
      <c r="BG1043" s="214">
        <v>0</v>
      </c>
      <c r="BH1043" s="214">
        <v>0</v>
      </c>
      <c r="BI1043" s="134">
        <v>1</v>
      </c>
      <c r="BJ1043" s="214">
        <v>821</v>
      </c>
      <c r="BK1043" s="137">
        <v>2</v>
      </c>
      <c r="BL1043" s="137">
        <v>2</v>
      </c>
      <c r="BM1043" s="137">
        <v>0</v>
      </c>
      <c r="BN1043" s="134">
        <v>0</v>
      </c>
      <c r="BO1043" s="351">
        <v>0</v>
      </c>
      <c r="BP1043" s="134">
        <v>1</v>
      </c>
      <c r="BQ1043" s="214">
        <v>137</v>
      </c>
      <c r="BR1043" s="137">
        <v>137</v>
      </c>
      <c r="BS1043" s="138">
        <v>0</v>
      </c>
      <c r="BT1043" s="351" t="s">
        <v>103</v>
      </c>
      <c r="BU1043" s="214">
        <v>0</v>
      </c>
      <c r="BV1043" s="214">
        <v>0</v>
      </c>
      <c r="BW1043" s="214">
        <v>0</v>
      </c>
      <c r="BX1043" s="214">
        <v>0</v>
      </c>
      <c r="BY1043" s="214">
        <v>0</v>
      </c>
      <c r="BZ1043" s="134">
        <v>0</v>
      </c>
      <c r="CA1043" s="138">
        <v>1</v>
      </c>
      <c r="CB1043" s="136">
        <v>0</v>
      </c>
      <c r="CC1043" s="136">
        <v>0</v>
      </c>
      <c r="CD1043" s="136">
        <v>0</v>
      </c>
      <c r="CE1043" s="137">
        <v>0</v>
      </c>
      <c r="CF1043" s="137">
        <v>0</v>
      </c>
      <c r="CG1043" s="137">
        <v>0</v>
      </c>
      <c r="CH1043" s="214">
        <v>0</v>
      </c>
      <c r="CI1043" s="139">
        <v>0</v>
      </c>
      <c r="CJ1043" s="139">
        <v>0</v>
      </c>
      <c r="CK1043" s="139" t="s">
        <v>975</v>
      </c>
      <c r="CL1043" s="139" t="s">
        <v>969</v>
      </c>
      <c r="CM1043" s="139" t="s">
        <v>975</v>
      </c>
      <c r="CN1043" s="139" t="s">
        <v>454</v>
      </c>
      <c r="CO1043" s="139">
        <v>20.894269943237301</v>
      </c>
      <c r="CP1043" s="139">
        <v>92.920730590820298</v>
      </c>
      <c r="CQ1043" s="139">
        <v>196814</v>
      </c>
      <c r="CR1043" s="449" t="s">
        <v>40</v>
      </c>
      <c r="CS1043" s="449"/>
      <c r="CT1043" s="24"/>
      <c r="CU1043" s="24"/>
      <c r="CV1043" s="24"/>
    </row>
    <row r="1044" spans="1:100" ht="16.5" customHeight="1" thickBot="1" x14ac:dyDescent="0.3">
      <c r="A1044" s="643" t="s">
        <v>1388</v>
      </c>
      <c r="B1044" s="132" t="s">
        <v>479</v>
      </c>
      <c r="C1044" s="132" t="s">
        <v>454</v>
      </c>
      <c r="D1044" s="132" t="s">
        <v>463</v>
      </c>
      <c r="E1044" s="132" t="s">
        <v>862</v>
      </c>
      <c r="F1044" s="132">
        <v>142</v>
      </c>
      <c r="G1044" s="398">
        <v>626</v>
      </c>
      <c r="H1044" s="132"/>
      <c r="I1044" s="132" t="s">
        <v>495</v>
      </c>
      <c r="J1044" s="133">
        <v>43615</v>
      </c>
      <c r="K1044" s="132">
        <v>0</v>
      </c>
      <c r="L1044" s="132" t="s">
        <v>2454</v>
      </c>
      <c r="M1044" s="134">
        <v>0</v>
      </c>
      <c r="N1044" s="134">
        <v>0</v>
      </c>
      <c r="O1044" s="320">
        <v>0</v>
      </c>
      <c r="P1044" s="326">
        <v>0</v>
      </c>
      <c r="Q1044" s="326">
        <v>0</v>
      </c>
      <c r="R1044" s="315">
        <v>0</v>
      </c>
      <c r="S1044" s="315">
        <v>0</v>
      </c>
      <c r="T1044" s="315"/>
      <c r="U1044" s="315"/>
      <c r="V1044" s="315"/>
      <c r="W1044" s="315"/>
      <c r="X1044" s="315"/>
      <c r="Y1044" s="315"/>
      <c r="Z1044" s="315"/>
      <c r="AA1044" s="336">
        <v>0</v>
      </c>
      <c r="AB1044" s="336">
        <v>0</v>
      </c>
      <c r="AC1044" s="337"/>
      <c r="AD1044" s="337"/>
      <c r="AE1044" s="336">
        <v>0</v>
      </c>
      <c r="AF1044" s="336" t="s">
        <v>332</v>
      </c>
      <c r="AG1044" s="339" t="s">
        <v>332</v>
      </c>
      <c r="AH1044" s="339"/>
      <c r="AI1044" s="336"/>
      <c r="AJ1044" s="336"/>
      <c r="AK1044" s="848">
        <v>0</v>
      </c>
      <c r="AL1044" s="836"/>
      <c r="AM1044" s="836">
        <v>0</v>
      </c>
      <c r="AN1044" s="848">
        <v>0</v>
      </c>
      <c r="AO1044" s="850">
        <v>0</v>
      </c>
      <c r="AP1044" s="839"/>
      <c r="AQ1044" s="839"/>
      <c r="AR1044" s="839"/>
      <c r="AS1044" s="839"/>
      <c r="AT1044" s="839"/>
      <c r="AU1044" s="839"/>
      <c r="AV1044" s="849"/>
      <c r="AW1044" s="134" t="s">
        <v>3208</v>
      </c>
      <c r="AX1044" s="136" t="s">
        <v>3208</v>
      </c>
      <c r="AY1044" s="137" t="s">
        <v>2576</v>
      </c>
      <c r="AZ1044" s="136">
        <v>0</v>
      </c>
      <c r="BA1044" s="136">
        <v>0</v>
      </c>
      <c r="BB1044" s="136">
        <v>0</v>
      </c>
      <c r="BC1044" s="214">
        <v>0</v>
      </c>
      <c r="BD1044" s="136">
        <v>0</v>
      </c>
      <c r="BE1044" s="214">
        <v>0</v>
      </c>
      <c r="BF1044" s="136">
        <v>0</v>
      </c>
      <c r="BG1044" s="214">
        <v>0</v>
      </c>
      <c r="BH1044" s="214">
        <v>0</v>
      </c>
      <c r="BI1044" s="134">
        <v>1</v>
      </c>
      <c r="BJ1044" s="214">
        <v>626</v>
      </c>
      <c r="BK1044" s="137">
        <v>1</v>
      </c>
      <c r="BL1044" s="137">
        <v>1</v>
      </c>
      <c r="BM1044" s="137">
        <v>0</v>
      </c>
      <c r="BN1044" s="134">
        <v>0</v>
      </c>
      <c r="BO1044" s="351">
        <v>0</v>
      </c>
      <c r="BP1044" s="134">
        <v>0.99680511182108633</v>
      </c>
      <c r="BQ1044" s="214">
        <v>104</v>
      </c>
      <c r="BR1044" s="137">
        <v>104</v>
      </c>
      <c r="BS1044" s="138">
        <v>0</v>
      </c>
      <c r="BT1044" s="351" t="s">
        <v>103</v>
      </c>
      <c r="BU1044" s="214">
        <v>0</v>
      </c>
      <c r="BV1044" s="214">
        <v>0</v>
      </c>
      <c r="BW1044" s="214">
        <v>0</v>
      </c>
      <c r="BX1044" s="214">
        <v>0</v>
      </c>
      <c r="BY1044" s="214">
        <v>0</v>
      </c>
      <c r="BZ1044" s="134">
        <v>0</v>
      </c>
      <c r="CA1044" s="138">
        <v>1</v>
      </c>
      <c r="CB1044" s="136">
        <v>0</v>
      </c>
      <c r="CC1044" s="136">
        <v>0</v>
      </c>
      <c r="CD1044" s="136">
        <v>0</v>
      </c>
      <c r="CE1044" s="137">
        <v>0</v>
      </c>
      <c r="CF1044" s="137">
        <v>0</v>
      </c>
      <c r="CG1044" s="137">
        <v>0</v>
      </c>
      <c r="CH1044" s="214">
        <v>0</v>
      </c>
      <c r="CI1044" s="139">
        <v>0</v>
      </c>
      <c r="CJ1044" s="139">
        <v>0</v>
      </c>
      <c r="CK1044" s="139" t="s">
        <v>975</v>
      </c>
      <c r="CL1044" s="139" t="s">
        <v>969</v>
      </c>
      <c r="CM1044" s="139" t="s">
        <v>975</v>
      </c>
      <c r="CN1044" s="139" t="s">
        <v>454</v>
      </c>
      <c r="CO1044" s="139">
        <v>20.677059173583999</v>
      </c>
      <c r="CP1044" s="139">
        <v>92.9532470703125</v>
      </c>
      <c r="CQ1044" s="139" t="s">
        <v>2086</v>
      </c>
      <c r="CR1044" s="449" t="s">
        <v>40</v>
      </c>
      <c r="CS1044" s="449"/>
      <c r="CT1044" s="24"/>
      <c r="CU1044" s="24"/>
      <c r="CV1044" s="24"/>
    </row>
    <row r="1045" spans="1:100" ht="15.75" customHeight="1" x14ac:dyDescent="0.25">
      <c r="A1045" s="643" t="s">
        <v>1388</v>
      </c>
      <c r="B1045" s="132" t="s">
        <v>460</v>
      </c>
      <c r="C1045" s="132" t="s">
        <v>454</v>
      </c>
      <c r="D1045" s="132" t="s">
        <v>463</v>
      </c>
      <c r="E1045" s="132" t="s">
        <v>861</v>
      </c>
      <c r="F1045" s="132">
        <v>118</v>
      </c>
      <c r="G1045" s="832">
        <v>665</v>
      </c>
      <c r="H1045" s="132"/>
      <c r="I1045" s="132"/>
      <c r="J1045" s="133"/>
      <c r="K1045" s="132"/>
      <c r="L1045" s="132" t="s">
        <v>282</v>
      </c>
      <c r="M1045" s="134">
        <v>0</v>
      </c>
      <c r="N1045" s="134">
        <v>0</v>
      </c>
      <c r="O1045" s="320">
        <v>0</v>
      </c>
      <c r="P1045" s="326">
        <v>0</v>
      </c>
      <c r="Q1045" s="326"/>
      <c r="R1045" s="315"/>
      <c r="S1045" s="315">
        <v>1</v>
      </c>
      <c r="T1045" s="315"/>
      <c r="U1045" s="315"/>
      <c r="V1045" s="315"/>
      <c r="W1045" s="315"/>
      <c r="X1045" s="315"/>
      <c r="Y1045" s="315"/>
      <c r="Z1045" s="315"/>
      <c r="AA1045" s="336">
        <v>0</v>
      </c>
      <c r="AB1045" s="336"/>
      <c r="AC1045" s="337"/>
      <c r="AD1045" s="337"/>
      <c r="AE1045" s="336">
        <v>0</v>
      </c>
      <c r="AF1045" s="336" t="s">
        <v>286</v>
      </c>
      <c r="AG1045" s="339" t="s">
        <v>286</v>
      </c>
      <c r="AH1045" s="339"/>
      <c r="AI1045" s="336"/>
      <c r="AJ1045" s="336"/>
      <c r="AK1045" s="848">
        <v>0</v>
      </c>
      <c r="AL1045" s="836"/>
      <c r="AM1045" s="836">
        <v>0</v>
      </c>
      <c r="AN1045" s="848"/>
      <c r="AO1045" s="850"/>
      <c r="AP1045" s="839"/>
      <c r="AQ1045" s="839"/>
      <c r="AR1045" s="839"/>
      <c r="AS1045" s="839"/>
      <c r="AT1045" s="839"/>
      <c r="AU1045" s="839"/>
      <c r="AV1045" s="849"/>
      <c r="AW1045" s="134" t="s">
        <v>3208</v>
      </c>
      <c r="AX1045" s="136" t="s">
        <v>3208</v>
      </c>
      <c r="AY1045" s="137" t="s">
        <v>2576</v>
      </c>
      <c r="AZ1045" s="136">
        <v>0</v>
      </c>
      <c r="BA1045" s="136">
        <v>0</v>
      </c>
      <c r="BB1045" s="136">
        <v>0</v>
      </c>
      <c r="BC1045" s="214">
        <v>0</v>
      </c>
      <c r="BD1045" s="136">
        <v>0</v>
      </c>
      <c r="BE1045" s="214">
        <v>0</v>
      </c>
      <c r="BF1045" s="136">
        <v>0</v>
      </c>
      <c r="BG1045" s="214">
        <v>0</v>
      </c>
      <c r="BH1045" s="214">
        <v>0</v>
      </c>
      <c r="BI1045" s="134">
        <v>1</v>
      </c>
      <c r="BJ1045" s="214">
        <v>665</v>
      </c>
      <c r="BK1045" s="137">
        <v>1</v>
      </c>
      <c r="BL1045" s="137">
        <v>1</v>
      </c>
      <c r="BM1045" s="137">
        <v>0</v>
      </c>
      <c r="BN1045" s="134">
        <v>0</v>
      </c>
      <c r="BO1045" s="351">
        <v>0</v>
      </c>
      <c r="BP1045" s="134">
        <v>1</v>
      </c>
      <c r="BQ1045" s="214">
        <v>111</v>
      </c>
      <c r="BR1045" s="137">
        <v>111</v>
      </c>
      <c r="BS1045" s="138">
        <v>0</v>
      </c>
      <c r="BT1045" s="351" t="s">
        <v>103</v>
      </c>
      <c r="BU1045" s="214">
        <v>0</v>
      </c>
      <c r="BV1045" s="214">
        <v>0</v>
      </c>
      <c r="BW1045" s="214">
        <v>0</v>
      </c>
      <c r="BX1045" s="214">
        <v>0</v>
      </c>
      <c r="BY1045" s="214">
        <v>0</v>
      </c>
      <c r="BZ1045" s="134">
        <v>0</v>
      </c>
      <c r="CA1045" s="138">
        <v>1</v>
      </c>
      <c r="CB1045" s="136">
        <v>0</v>
      </c>
      <c r="CC1045" s="136">
        <v>0</v>
      </c>
      <c r="CD1045" s="136">
        <v>0</v>
      </c>
      <c r="CE1045" s="137">
        <v>0</v>
      </c>
      <c r="CF1045" s="137">
        <v>0</v>
      </c>
      <c r="CG1045" s="137">
        <v>0</v>
      </c>
      <c r="CH1045" s="214">
        <v>0</v>
      </c>
      <c r="CI1045" s="139">
        <v>0</v>
      </c>
      <c r="CJ1045" s="139">
        <v>0</v>
      </c>
      <c r="CK1045" s="139" t="s">
        <v>969</v>
      </c>
      <c r="CL1045" s="139" t="s">
        <v>969</v>
      </c>
      <c r="CM1045" s="139" t="s">
        <v>969</v>
      </c>
      <c r="CN1045" s="139" t="s">
        <v>454</v>
      </c>
      <c r="CO1045" s="139">
        <v>20.697889328002901</v>
      </c>
      <c r="CP1045" s="139">
        <v>92.951232910156307</v>
      </c>
      <c r="CQ1045" s="139" t="s">
        <v>2085</v>
      </c>
      <c r="CR1045" s="449" t="s">
        <v>3209</v>
      </c>
      <c r="CS1045" s="449"/>
      <c r="CT1045" s="24"/>
      <c r="CU1045" s="24"/>
      <c r="CV1045" s="24"/>
    </row>
    <row r="1046" spans="1:100" x14ac:dyDescent="0.25">
      <c r="A1046" s="643" t="s">
        <v>1388</v>
      </c>
      <c r="B1046" s="132" t="s">
        <v>460</v>
      </c>
      <c r="C1046" s="132" t="s">
        <v>454</v>
      </c>
      <c r="D1046" s="132" t="s">
        <v>463</v>
      </c>
      <c r="E1046" s="132" t="s">
        <v>504</v>
      </c>
      <c r="F1046" s="132">
        <v>395</v>
      </c>
      <c r="G1046" s="214">
        <v>1687</v>
      </c>
      <c r="H1046" s="132"/>
      <c r="I1046" s="132"/>
      <c r="J1046" s="133"/>
      <c r="K1046" s="132"/>
      <c r="L1046" s="132" t="s">
        <v>282</v>
      </c>
      <c r="M1046" s="134">
        <v>0</v>
      </c>
      <c r="N1046" s="134">
        <v>0</v>
      </c>
      <c r="O1046" s="320">
        <v>0</v>
      </c>
      <c r="P1046" s="326">
        <v>0</v>
      </c>
      <c r="Q1046" s="326"/>
      <c r="R1046" s="315"/>
      <c r="S1046" s="315">
        <v>2</v>
      </c>
      <c r="T1046" s="315"/>
      <c r="U1046" s="315"/>
      <c r="V1046" s="315"/>
      <c r="W1046" s="315"/>
      <c r="X1046" s="315"/>
      <c r="Y1046" s="315"/>
      <c r="Z1046" s="315"/>
      <c r="AA1046" s="336">
        <v>0</v>
      </c>
      <c r="AB1046" s="336"/>
      <c r="AC1046" s="337"/>
      <c r="AD1046" s="337"/>
      <c r="AE1046" s="336">
        <v>0</v>
      </c>
      <c r="AF1046" s="336" t="s">
        <v>286</v>
      </c>
      <c r="AG1046" s="339" t="s">
        <v>286</v>
      </c>
      <c r="AH1046" s="339"/>
      <c r="AI1046" s="336"/>
      <c r="AJ1046" s="336"/>
      <c r="AK1046" s="848">
        <v>0</v>
      </c>
      <c r="AL1046" s="836"/>
      <c r="AM1046" s="836">
        <v>0</v>
      </c>
      <c r="AN1046" s="848"/>
      <c r="AO1046" s="850"/>
      <c r="AP1046" s="839"/>
      <c r="AQ1046" s="839"/>
      <c r="AR1046" s="839"/>
      <c r="AS1046" s="839"/>
      <c r="AT1046" s="839"/>
      <c r="AU1046" s="839"/>
      <c r="AV1046" s="849"/>
      <c r="AW1046" s="134" t="s">
        <v>3208</v>
      </c>
      <c r="AX1046" s="136" t="s">
        <v>3208</v>
      </c>
      <c r="AY1046" s="137" t="s">
        <v>2576</v>
      </c>
      <c r="AZ1046" s="136">
        <v>0</v>
      </c>
      <c r="BA1046" s="136">
        <v>0</v>
      </c>
      <c r="BB1046" s="136">
        <v>0</v>
      </c>
      <c r="BC1046" s="214">
        <v>0</v>
      </c>
      <c r="BD1046" s="136">
        <v>0</v>
      </c>
      <c r="BE1046" s="214">
        <v>0</v>
      </c>
      <c r="BF1046" s="136">
        <v>0</v>
      </c>
      <c r="BG1046" s="214">
        <v>0</v>
      </c>
      <c r="BH1046" s="214">
        <v>0</v>
      </c>
      <c r="BI1046" s="134">
        <v>1</v>
      </c>
      <c r="BJ1046" s="214">
        <v>1687</v>
      </c>
      <c r="BK1046" s="137">
        <v>3</v>
      </c>
      <c r="BL1046" s="137">
        <v>3</v>
      </c>
      <c r="BM1046" s="137">
        <v>0</v>
      </c>
      <c r="BN1046" s="134">
        <v>0</v>
      </c>
      <c r="BO1046" s="351">
        <v>0</v>
      </c>
      <c r="BP1046" s="134">
        <v>0.99940723177237689</v>
      </c>
      <c r="BQ1046" s="214">
        <v>281</v>
      </c>
      <c r="BR1046" s="137">
        <v>281</v>
      </c>
      <c r="BS1046" s="138">
        <v>0</v>
      </c>
      <c r="BT1046" s="351" t="s">
        <v>103</v>
      </c>
      <c r="BU1046" s="214">
        <v>0</v>
      </c>
      <c r="BV1046" s="214">
        <v>0</v>
      </c>
      <c r="BW1046" s="214">
        <v>0</v>
      </c>
      <c r="BX1046" s="214">
        <v>0</v>
      </c>
      <c r="BY1046" s="214">
        <v>0</v>
      </c>
      <c r="BZ1046" s="134">
        <v>0</v>
      </c>
      <c r="CA1046" s="138">
        <v>1</v>
      </c>
      <c r="CB1046" s="136">
        <v>0</v>
      </c>
      <c r="CC1046" s="136">
        <v>0</v>
      </c>
      <c r="CD1046" s="136">
        <v>0</v>
      </c>
      <c r="CE1046" s="137">
        <v>0</v>
      </c>
      <c r="CF1046" s="137">
        <v>0</v>
      </c>
      <c r="CG1046" s="137">
        <v>0</v>
      </c>
      <c r="CH1046" s="214">
        <v>0</v>
      </c>
      <c r="CI1046" s="139">
        <v>0</v>
      </c>
      <c r="CJ1046" s="139">
        <v>0</v>
      </c>
      <c r="CK1046" s="139" t="s">
        <v>969</v>
      </c>
      <c r="CL1046" s="139" t="s">
        <v>969</v>
      </c>
      <c r="CM1046" s="139" t="s">
        <v>969</v>
      </c>
      <c r="CN1046" s="139" t="s">
        <v>454</v>
      </c>
      <c r="CO1046" s="139">
        <v>0</v>
      </c>
      <c r="CP1046" s="139">
        <v>0</v>
      </c>
      <c r="CQ1046" s="139">
        <v>0</v>
      </c>
      <c r="CR1046" s="449" t="s">
        <v>3209</v>
      </c>
      <c r="CS1046" s="449"/>
      <c r="CT1046" s="24"/>
      <c r="CU1046" s="24"/>
      <c r="CV1046" s="24"/>
    </row>
    <row r="1047" spans="1:100" ht="15.75" customHeight="1" x14ac:dyDescent="0.25">
      <c r="A1047" s="643" t="s">
        <v>1388</v>
      </c>
      <c r="B1047" s="132" t="s">
        <v>479</v>
      </c>
      <c r="C1047" s="132" t="s">
        <v>454</v>
      </c>
      <c r="D1047" s="132" t="s">
        <v>463</v>
      </c>
      <c r="E1047" s="132" t="s">
        <v>796</v>
      </c>
      <c r="F1047" s="132">
        <v>94</v>
      </c>
      <c r="G1047" s="214">
        <v>362</v>
      </c>
      <c r="H1047" s="132"/>
      <c r="I1047" s="132" t="s">
        <v>495</v>
      </c>
      <c r="J1047" s="133">
        <v>43615</v>
      </c>
      <c r="K1047" s="132">
        <v>0</v>
      </c>
      <c r="L1047" s="132" t="s">
        <v>2454</v>
      </c>
      <c r="M1047" s="134">
        <v>0</v>
      </c>
      <c r="N1047" s="134">
        <v>0</v>
      </c>
      <c r="O1047" s="320">
        <v>0</v>
      </c>
      <c r="P1047" s="326">
        <v>0</v>
      </c>
      <c r="Q1047" s="326">
        <v>0</v>
      </c>
      <c r="R1047" s="315">
        <v>0</v>
      </c>
      <c r="S1047" s="315">
        <v>0</v>
      </c>
      <c r="T1047" s="315"/>
      <c r="U1047" s="315"/>
      <c r="V1047" s="315"/>
      <c r="W1047" s="315"/>
      <c r="X1047" s="315"/>
      <c r="Y1047" s="315"/>
      <c r="Z1047" s="315"/>
      <c r="AA1047" s="336">
        <v>0</v>
      </c>
      <c r="AB1047" s="336">
        <v>0</v>
      </c>
      <c r="AC1047" s="337"/>
      <c r="AD1047" s="337"/>
      <c r="AE1047" s="336">
        <v>0</v>
      </c>
      <c r="AF1047" s="336" t="s">
        <v>1358</v>
      </c>
      <c r="AG1047" s="339" t="s">
        <v>1358</v>
      </c>
      <c r="AH1047" s="339"/>
      <c r="AI1047" s="336"/>
      <c r="AJ1047" s="336"/>
      <c r="AK1047" s="848">
        <v>0</v>
      </c>
      <c r="AL1047" s="836"/>
      <c r="AM1047" s="836">
        <v>0</v>
      </c>
      <c r="AN1047" s="848">
        <v>0</v>
      </c>
      <c r="AO1047" s="850">
        <v>0</v>
      </c>
      <c r="AP1047" s="839"/>
      <c r="AQ1047" s="839"/>
      <c r="AR1047" s="839"/>
      <c r="AS1047" s="839"/>
      <c r="AT1047" s="839"/>
      <c r="AU1047" s="839"/>
      <c r="AV1047" s="849"/>
      <c r="AW1047" s="134" t="s">
        <v>3208</v>
      </c>
      <c r="AX1047" s="136" t="s">
        <v>3208</v>
      </c>
      <c r="AY1047" s="137" t="s">
        <v>2576</v>
      </c>
      <c r="AZ1047" s="136">
        <v>0</v>
      </c>
      <c r="BA1047" s="136">
        <v>0</v>
      </c>
      <c r="BB1047" s="136">
        <v>0</v>
      </c>
      <c r="BC1047" s="214">
        <v>0</v>
      </c>
      <c r="BD1047" s="136">
        <v>0</v>
      </c>
      <c r="BE1047" s="214">
        <v>0</v>
      </c>
      <c r="BF1047" s="136">
        <v>0</v>
      </c>
      <c r="BG1047" s="214">
        <v>0</v>
      </c>
      <c r="BH1047" s="214">
        <v>0</v>
      </c>
      <c r="BI1047" s="134">
        <v>1</v>
      </c>
      <c r="BJ1047" s="214">
        <v>362</v>
      </c>
      <c r="BK1047" s="137">
        <v>1</v>
      </c>
      <c r="BL1047" s="137">
        <v>1</v>
      </c>
      <c r="BM1047" s="137">
        <v>0</v>
      </c>
      <c r="BN1047" s="134">
        <v>0</v>
      </c>
      <c r="BO1047" s="351">
        <v>0</v>
      </c>
      <c r="BP1047" s="134">
        <v>0.99447513812154698</v>
      </c>
      <c r="BQ1047" s="214">
        <v>60</v>
      </c>
      <c r="BR1047" s="137">
        <v>60</v>
      </c>
      <c r="BS1047" s="138">
        <v>0</v>
      </c>
      <c r="BT1047" s="351" t="s">
        <v>103</v>
      </c>
      <c r="BU1047" s="214">
        <v>0</v>
      </c>
      <c r="BV1047" s="214">
        <v>0</v>
      </c>
      <c r="BW1047" s="214">
        <v>0</v>
      </c>
      <c r="BX1047" s="214">
        <v>0</v>
      </c>
      <c r="BY1047" s="214">
        <v>0</v>
      </c>
      <c r="BZ1047" s="134">
        <v>0</v>
      </c>
      <c r="CA1047" s="138">
        <v>1</v>
      </c>
      <c r="CB1047" s="136">
        <v>0</v>
      </c>
      <c r="CC1047" s="136">
        <v>0</v>
      </c>
      <c r="CD1047" s="136">
        <v>0</v>
      </c>
      <c r="CE1047" s="137">
        <v>0</v>
      </c>
      <c r="CF1047" s="137">
        <v>0</v>
      </c>
      <c r="CG1047" s="137">
        <v>0</v>
      </c>
      <c r="CH1047" s="214">
        <v>0</v>
      </c>
      <c r="CI1047" s="139">
        <v>0</v>
      </c>
      <c r="CJ1047" s="139">
        <v>0</v>
      </c>
      <c r="CK1047" s="139" t="s">
        <v>975</v>
      </c>
      <c r="CL1047" s="139" t="s">
        <v>969</v>
      </c>
      <c r="CM1047" s="139" t="s">
        <v>975</v>
      </c>
      <c r="CN1047" s="139" t="s">
        <v>2737</v>
      </c>
      <c r="CO1047" s="139">
        <v>20.831729888916001</v>
      </c>
      <c r="CP1047" s="139">
        <v>92.919639587402301</v>
      </c>
      <c r="CQ1047" s="139">
        <v>196880</v>
      </c>
      <c r="CR1047" s="449" t="s">
        <v>40</v>
      </c>
      <c r="CS1047" s="449"/>
      <c r="CT1047" s="24"/>
      <c r="CU1047" s="24"/>
      <c r="CV1047" s="24"/>
    </row>
    <row r="1048" spans="1:100" ht="15.75" customHeight="1" x14ac:dyDescent="0.25">
      <c r="A1048" s="643" t="s">
        <v>1388</v>
      </c>
      <c r="B1048" s="132" t="s">
        <v>460</v>
      </c>
      <c r="C1048" s="132" t="s">
        <v>454</v>
      </c>
      <c r="D1048" s="132" t="s">
        <v>463</v>
      </c>
      <c r="E1048" s="132" t="s">
        <v>759</v>
      </c>
      <c r="F1048" s="132">
        <v>144</v>
      </c>
      <c r="G1048" s="214">
        <v>1006</v>
      </c>
      <c r="H1048" s="132"/>
      <c r="I1048" s="132"/>
      <c r="J1048" s="133"/>
      <c r="K1048" s="132"/>
      <c r="L1048" s="132" t="s">
        <v>282</v>
      </c>
      <c r="M1048" s="134">
        <v>0</v>
      </c>
      <c r="N1048" s="134">
        <v>0</v>
      </c>
      <c r="O1048" s="320">
        <v>0</v>
      </c>
      <c r="P1048" s="326">
        <v>0</v>
      </c>
      <c r="Q1048" s="326"/>
      <c r="R1048" s="315"/>
      <c r="S1048" s="315">
        <v>0</v>
      </c>
      <c r="T1048" s="315"/>
      <c r="U1048" s="315"/>
      <c r="V1048" s="315"/>
      <c r="W1048" s="315"/>
      <c r="X1048" s="315"/>
      <c r="Y1048" s="315"/>
      <c r="Z1048" s="315"/>
      <c r="AA1048" s="336">
        <v>33</v>
      </c>
      <c r="AB1048" s="336"/>
      <c r="AC1048" s="337"/>
      <c r="AD1048" s="337"/>
      <c r="AE1048" s="336">
        <v>0</v>
      </c>
      <c r="AF1048" s="336" t="s">
        <v>286</v>
      </c>
      <c r="AG1048" s="339" t="s">
        <v>286</v>
      </c>
      <c r="AH1048" s="339"/>
      <c r="AI1048" s="336"/>
      <c r="AJ1048" s="336"/>
      <c r="AK1048" s="848">
        <v>0</v>
      </c>
      <c r="AL1048" s="836"/>
      <c r="AM1048" s="836">
        <v>0</v>
      </c>
      <c r="AN1048" s="848"/>
      <c r="AO1048" s="850">
        <v>0</v>
      </c>
      <c r="AP1048" s="839"/>
      <c r="AQ1048" s="839"/>
      <c r="AR1048" s="839"/>
      <c r="AS1048" s="839"/>
      <c r="AT1048" s="839"/>
      <c r="AU1048" s="839"/>
      <c r="AV1048" s="849"/>
      <c r="AW1048" s="134" t="s">
        <v>3208</v>
      </c>
      <c r="AX1048" s="136" t="s">
        <v>3208</v>
      </c>
      <c r="AY1048" s="137" t="s">
        <v>2576</v>
      </c>
      <c r="AZ1048" s="136">
        <v>0</v>
      </c>
      <c r="BA1048" s="136">
        <v>0</v>
      </c>
      <c r="BB1048" s="136">
        <v>0</v>
      </c>
      <c r="BC1048" s="214">
        <v>0</v>
      </c>
      <c r="BD1048" s="136">
        <v>0</v>
      </c>
      <c r="BE1048" s="214">
        <v>0</v>
      </c>
      <c r="BF1048" s="136">
        <v>0</v>
      </c>
      <c r="BG1048" s="214">
        <v>0</v>
      </c>
      <c r="BH1048" s="214">
        <v>0</v>
      </c>
      <c r="BI1048" s="134">
        <v>1</v>
      </c>
      <c r="BJ1048" s="214">
        <v>1006</v>
      </c>
      <c r="BK1048" s="137">
        <v>2</v>
      </c>
      <c r="BL1048" s="137">
        <v>2</v>
      </c>
      <c r="BM1048" s="137">
        <v>33</v>
      </c>
      <c r="BN1048" s="134">
        <v>0.19681908548707752</v>
      </c>
      <c r="BO1048" s="351">
        <v>198</v>
      </c>
      <c r="BP1048" s="134">
        <v>0.80516898608349907</v>
      </c>
      <c r="BQ1048" s="214">
        <v>135</v>
      </c>
      <c r="BR1048" s="137">
        <v>168</v>
      </c>
      <c r="BS1048" s="138">
        <v>0</v>
      </c>
      <c r="BT1048" s="351" t="s">
        <v>103</v>
      </c>
      <c r="BU1048" s="214">
        <v>0</v>
      </c>
      <c r="BV1048" s="214">
        <v>0</v>
      </c>
      <c r="BW1048" s="214">
        <v>0</v>
      </c>
      <c r="BX1048" s="214">
        <v>0</v>
      </c>
      <c r="BY1048" s="214">
        <v>0</v>
      </c>
      <c r="BZ1048" s="134">
        <v>0</v>
      </c>
      <c r="CA1048" s="138">
        <v>1</v>
      </c>
      <c r="CB1048" s="136">
        <v>0</v>
      </c>
      <c r="CC1048" s="136">
        <v>0</v>
      </c>
      <c r="CD1048" s="136">
        <v>0</v>
      </c>
      <c r="CE1048" s="137">
        <v>0</v>
      </c>
      <c r="CF1048" s="137">
        <v>0</v>
      </c>
      <c r="CG1048" s="137">
        <v>0</v>
      </c>
      <c r="CH1048" s="214">
        <v>0</v>
      </c>
      <c r="CI1048" s="139">
        <v>0</v>
      </c>
      <c r="CJ1048" s="139">
        <v>0</v>
      </c>
      <c r="CK1048" s="139" t="s">
        <v>969</v>
      </c>
      <c r="CL1048" s="139" t="s">
        <v>969</v>
      </c>
      <c r="CM1048" s="139" t="s">
        <v>1054</v>
      </c>
      <c r="CN1048" s="139" t="s">
        <v>966</v>
      </c>
      <c r="CO1048" s="139">
        <v>20.78332</v>
      </c>
      <c r="CP1048" s="139">
        <v>92.987399999999994</v>
      </c>
      <c r="CQ1048" s="139" t="s">
        <v>1806</v>
      </c>
      <c r="CR1048" s="449" t="s">
        <v>3209</v>
      </c>
      <c r="CS1048" s="449"/>
      <c r="CT1048" s="24"/>
      <c r="CU1048" s="24"/>
      <c r="CV1048" s="24"/>
    </row>
    <row r="1049" spans="1:100" ht="15.75" customHeight="1" x14ac:dyDescent="0.25">
      <c r="A1049" s="643" t="s">
        <v>1388</v>
      </c>
      <c r="B1049" s="132" t="s">
        <v>460</v>
      </c>
      <c r="C1049" s="132" t="s">
        <v>454</v>
      </c>
      <c r="D1049" s="132" t="s">
        <v>463</v>
      </c>
      <c r="E1049" s="132" t="s">
        <v>761</v>
      </c>
      <c r="F1049" s="132">
        <v>233</v>
      </c>
      <c r="G1049" s="214">
        <v>1163</v>
      </c>
      <c r="H1049" s="132"/>
      <c r="I1049" s="132"/>
      <c r="J1049" s="133"/>
      <c r="K1049" s="132"/>
      <c r="L1049" s="132" t="s">
        <v>282</v>
      </c>
      <c r="M1049" s="134">
        <v>0</v>
      </c>
      <c r="N1049" s="134">
        <v>0</v>
      </c>
      <c r="O1049" s="320">
        <v>0</v>
      </c>
      <c r="P1049" s="326">
        <v>0</v>
      </c>
      <c r="Q1049" s="326"/>
      <c r="R1049" s="315"/>
      <c r="S1049" s="315">
        <v>0</v>
      </c>
      <c r="T1049" s="315"/>
      <c r="U1049" s="315"/>
      <c r="V1049" s="315"/>
      <c r="W1049" s="315"/>
      <c r="X1049" s="315"/>
      <c r="Y1049" s="315"/>
      <c r="Z1049" s="315"/>
      <c r="AA1049" s="336">
        <v>39</v>
      </c>
      <c r="AB1049" s="336"/>
      <c r="AC1049" s="337"/>
      <c r="AD1049" s="337"/>
      <c r="AE1049" s="336">
        <v>0</v>
      </c>
      <c r="AF1049" s="336" t="s">
        <v>286</v>
      </c>
      <c r="AG1049" s="339" t="s">
        <v>286</v>
      </c>
      <c r="AH1049" s="339"/>
      <c r="AI1049" s="336"/>
      <c r="AJ1049" s="336"/>
      <c r="AK1049" s="848">
        <v>0</v>
      </c>
      <c r="AL1049" s="836"/>
      <c r="AM1049" s="836">
        <v>0</v>
      </c>
      <c r="AN1049" s="848"/>
      <c r="AO1049" s="850">
        <v>0</v>
      </c>
      <c r="AP1049" s="839"/>
      <c r="AQ1049" s="839"/>
      <c r="AR1049" s="839"/>
      <c r="AS1049" s="839"/>
      <c r="AT1049" s="839"/>
      <c r="AU1049" s="839"/>
      <c r="AV1049" s="849"/>
      <c r="AW1049" s="134" t="s">
        <v>3208</v>
      </c>
      <c r="AX1049" s="136" t="s">
        <v>3208</v>
      </c>
      <c r="AY1049" s="137" t="s">
        <v>2576</v>
      </c>
      <c r="AZ1049" s="136">
        <v>0</v>
      </c>
      <c r="BA1049" s="136">
        <v>0</v>
      </c>
      <c r="BB1049" s="136">
        <v>0</v>
      </c>
      <c r="BC1049" s="214">
        <v>0</v>
      </c>
      <c r="BD1049" s="136">
        <v>0</v>
      </c>
      <c r="BE1049" s="214">
        <v>0</v>
      </c>
      <c r="BF1049" s="136">
        <v>0</v>
      </c>
      <c r="BG1049" s="214">
        <v>0</v>
      </c>
      <c r="BH1049" s="214">
        <v>0</v>
      </c>
      <c r="BI1049" s="134">
        <v>1</v>
      </c>
      <c r="BJ1049" s="214">
        <v>1163</v>
      </c>
      <c r="BK1049" s="137">
        <v>2</v>
      </c>
      <c r="BL1049" s="137">
        <v>2</v>
      </c>
      <c r="BM1049" s="137">
        <v>39</v>
      </c>
      <c r="BN1049" s="134">
        <v>0.20120378331900257</v>
      </c>
      <c r="BO1049" s="351">
        <v>234</v>
      </c>
      <c r="BP1049" s="134">
        <v>0.79965606190885641</v>
      </c>
      <c r="BQ1049" s="214">
        <v>155</v>
      </c>
      <c r="BR1049" s="137">
        <v>194</v>
      </c>
      <c r="BS1049" s="138">
        <v>0</v>
      </c>
      <c r="BT1049" s="351" t="s">
        <v>103</v>
      </c>
      <c r="BU1049" s="214">
        <v>0</v>
      </c>
      <c r="BV1049" s="214">
        <v>0</v>
      </c>
      <c r="BW1049" s="214">
        <v>0</v>
      </c>
      <c r="BX1049" s="214">
        <v>0</v>
      </c>
      <c r="BY1049" s="214">
        <v>0</v>
      </c>
      <c r="BZ1049" s="134">
        <v>0</v>
      </c>
      <c r="CA1049" s="138">
        <v>1</v>
      </c>
      <c r="CB1049" s="136">
        <v>0</v>
      </c>
      <c r="CC1049" s="136">
        <v>0</v>
      </c>
      <c r="CD1049" s="136">
        <v>0</v>
      </c>
      <c r="CE1049" s="137">
        <v>0</v>
      </c>
      <c r="CF1049" s="137">
        <v>0</v>
      </c>
      <c r="CG1049" s="137">
        <v>0</v>
      </c>
      <c r="CH1049" s="214">
        <v>0</v>
      </c>
      <c r="CI1049" s="139">
        <v>0</v>
      </c>
      <c r="CJ1049" s="139">
        <v>0</v>
      </c>
      <c r="CK1049" s="139" t="s">
        <v>969</v>
      </c>
      <c r="CL1049" s="139" t="s">
        <v>969</v>
      </c>
      <c r="CM1049" s="139" t="s">
        <v>969</v>
      </c>
      <c r="CN1049" s="139" t="s">
        <v>454</v>
      </c>
      <c r="CO1049" s="139">
        <v>20.785699844360401</v>
      </c>
      <c r="CP1049" s="139">
        <v>92.986633300781307</v>
      </c>
      <c r="CQ1049" s="139" t="s">
        <v>1808</v>
      </c>
      <c r="CR1049" s="449" t="s">
        <v>3209</v>
      </c>
      <c r="CS1049" s="449"/>
      <c r="CT1049" s="24"/>
      <c r="CU1049" s="24"/>
      <c r="CV1049" s="24"/>
    </row>
    <row r="1050" spans="1:100" ht="15.75" customHeight="1" x14ac:dyDescent="0.25">
      <c r="A1050" s="643" t="s">
        <v>1388</v>
      </c>
      <c r="B1050" s="132" t="s">
        <v>479</v>
      </c>
      <c r="C1050" s="132" t="s">
        <v>454</v>
      </c>
      <c r="D1050" s="132" t="s">
        <v>463</v>
      </c>
      <c r="E1050" s="132" t="s">
        <v>858</v>
      </c>
      <c r="F1050" s="132">
        <v>499</v>
      </c>
      <c r="G1050" s="214">
        <v>2554</v>
      </c>
      <c r="H1050" s="132"/>
      <c r="I1050" s="132" t="s">
        <v>495</v>
      </c>
      <c r="J1050" s="133">
        <v>43615</v>
      </c>
      <c r="K1050" s="132">
        <v>0</v>
      </c>
      <c r="L1050" s="132" t="s">
        <v>2454</v>
      </c>
      <c r="M1050" s="134">
        <v>0</v>
      </c>
      <c r="N1050" s="134">
        <v>0</v>
      </c>
      <c r="O1050" s="320">
        <v>0</v>
      </c>
      <c r="P1050" s="326">
        <v>0</v>
      </c>
      <c r="Q1050" s="326">
        <v>0</v>
      </c>
      <c r="R1050" s="315">
        <v>0</v>
      </c>
      <c r="S1050" s="315">
        <v>2</v>
      </c>
      <c r="T1050" s="315"/>
      <c r="U1050" s="315"/>
      <c r="V1050" s="315"/>
      <c r="W1050" s="315"/>
      <c r="X1050" s="315"/>
      <c r="Y1050" s="315"/>
      <c r="Z1050" s="315"/>
      <c r="AA1050" s="336">
        <v>0</v>
      </c>
      <c r="AB1050" s="336">
        <v>0</v>
      </c>
      <c r="AC1050" s="337"/>
      <c r="AD1050" s="337"/>
      <c r="AE1050" s="336">
        <v>0</v>
      </c>
      <c r="AF1050" s="336" t="s">
        <v>332</v>
      </c>
      <c r="AG1050" s="339" t="s">
        <v>332</v>
      </c>
      <c r="AH1050" s="339"/>
      <c r="AI1050" s="336"/>
      <c r="AJ1050" s="336"/>
      <c r="AK1050" s="848">
        <v>0</v>
      </c>
      <c r="AL1050" s="836"/>
      <c r="AM1050" s="836">
        <v>0</v>
      </c>
      <c r="AN1050" s="848">
        <v>0</v>
      </c>
      <c r="AO1050" s="850">
        <v>0</v>
      </c>
      <c r="AP1050" s="839"/>
      <c r="AQ1050" s="839"/>
      <c r="AR1050" s="839"/>
      <c r="AS1050" s="839"/>
      <c r="AT1050" s="839"/>
      <c r="AU1050" s="839"/>
      <c r="AV1050" s="849"/>
      <c r="AW1050" s="134" t="s">
        <v>3208</v>
      </c>
      <c r="AX1050" s="136" t="s">
        <v>3208</v>
      </c>
      <c r="AY1050" s="137" t="s">
        <v>2576</v>
      </c>
      <c r="AZ1050" s="136">
        <v>0</v>
      </c>
      <c r="BA1050" s="136">
        <v>0</v>
      </c>
      <c r="BB1050" s="136">
        <v>0</v>
      </c>
      <c r="BC1050" s="214">
        <v>0</v>
      </c>
      <c r="BD1050" s="136">
        <v>0</v>
      </c>
      <c r="BE1050" s="214">
        <v>0</v>
      </c>
      <c r="BF1050" s="136">
        <v>0</v>
      </c>
      <c r="BG1050" s="214">
        <v>0</v>
      </c>
      <c r="BH1050" s="214">
        <v>0</v>
      </c>
      <c r="BI1050" s="134">
        <v>1</v>
      </c>
      <c r="BJ1050" s="214">
        <v>2554</v>
      </c>
      <c r="BK1050" s="137">
        <v>5</v>
      </c>
      <c r="BL1050" s="137">
        <v>5</v>
      </c>
      <c r="BM1050" s="137">
        <v>0</v>
      </c>
      <c r="BN1050" s="134">
        <v>0</v>
      </c>
      <c r="BO1050" s="351">
        <v>0</v>
      </c>
      <c r="BP1050" s="134">
        <v>1</v>
      </c>
      <c r="BQ1050" s="214">
        <v>426</v>
      </c>
      <c r="BR1050" s="137">
        <v>426</v>
      </c>
      <c r="BS1050" s="138">
        <v>0</v>
      </c>
      <c r="BT1050" s="351" t="s">
        <v>103</v>
      </c>
      <c r="BU1050" s="214">
        <v>0</v>
      </c>
      <c r="BV1050" s="214">
        <v>0</v>
      </c>
      <c r="BW1050" s="214">
        <v>0</v>
      </c>
      <c r="BX1050" s="214">
        <v>0</v>
      </c>
      <c r="BY1050" s="214">
        <v>0</v>
      </c>
      <c r="BZ1050" s="134">
        <v>0</v>
      </c>
      <c r="CA1050" s="138">
        <v>1</v>
      </c>
      <c r="CB1050" s="136">
        <v>0</v>
      </c>
      <c r="CC1050" s="136">
        <v>0</v>
      </c>
      <c r="CD1050" s="136">
        <v>0</v>
      </c>
      <c r="CE1050" s="137">
        <v>0</v>
      </c>
      <c r="CF1050" s="137">
        <v>0</v>
      </c>
      <c r="CG1050" s="137">
        <v>0</v>
      </c>
      <c r="CH1050" s="214">
        <v>0</v>
      </c>
      <c r="CI1050" s="139">
        <v>0</v>
      </c>
      <c r="CJ1050" s="139">
        <v>0</v>
      </c>
      <c r="CK1050" s="139" t="s">
        <v>975</v>
      </c>
      <c r="CL1050" s="139" t="s">
        <v>969</v>
      </c>
      <c r="CM1050" s="139" t="s">
        <v>975</v>
      </c>
      <c r="CN1050" s="139" t="s">
        <v>966</v>
      </c>
      <c r="CO1050" s="139">
        <v>20.859569549560501</v>
      </c>
      <c r="CP1050" s="139">
        <v>92.941146850585895</v>
      </c>
      <c r="CQ1050" s="139" t="s">
        <v>2082</v>
      </c>
      <c r="CR1050" s="449" t="s">
        <v>40</v>
      </c>
      <c r="CS1050" s="449"/>
      <c r="CT1050" s="24"/>
      <c r="CU1050" s="24"/>
      <c r="CV1050" s="24"/>
    </row>
    <row r="1051" spans="1:100" ht="15.75" customHeight="1" x14ac:dyDescent="0.25">
      <c r="A1051" s="643" t="s">
        <v>1388</v>
      </c>
      <c r="B1051" s="132" t="s">
        <v>479</v>
      </c>
      <c r="C1051" s="132" t="s">
        <v>454</v>
      </c>
      <c r="D1051" s="132" t="s">
        <v>463</v>
      </c>
      <c r="E1051" s="132" t="s">
        <v>804</v>
      </c>
      <c r="F1051" s="132">
        <v>478</v>
      </c>
      <c r="G1051" s="214">
        <v>2698</v>
      </c>
      <c r="H1051" s="132"/>
      <c r="I1051" s="132" t="s">
        <v>495</v>
      </c>
      <c r="J1051" s="133">
        <v>43615</v>
      </c>
      <c r="K1051" s="132">
        <v>0</v>
      </c>
      <c r="L1051" s="132" t="s">
        <v>2454</v>
      </c>
      <c r="M1051" s="134">
        <v>0</v>
      </c>
      <c r="N1051" s="134">
        <v>0</v>
      </c>
      <c r="O1051" s="320">
        <v>0</v>
      </c>
      <c r="P1051" s="326">
        <v>0</v>
      </c>
      <c r="Q1051" s="326">
        <v>0</v>
      </c>
      <c r="R1051" s="315">
        <v>0</v>
      </c>
      <c r="S1051" s="315">
        <v>0</v>
      </c>
      <c r="T1051" s="315"/>
      <c r="U1051" s="315"/>
      <c r="V1051" s="315"/>
      <c r="W1051" s="315"/>
      <c r="X1051" s="315"/>
      <c r="Y1051" s="315"/>
      <c r="Z1051" s="315"/>
      <c r="AA1051" s="336">
        <v>0</v>
      </c>
      <c r="AB1051" s="336">
        <v>0</v>
      </c>
      <c r="AC1051" s="337"/>
      <c r="AD1051" s="337"/>
      <c r="AE1051" s="336">
        <v>0</v>
      </c>
      <c r="AF1051" s="336" t="s">
        <v>1358</v>
      </c>
      <c r="AG1051" s="339" t="s">
        <v>1358</v>
      </c>
      <c r="AH1051" s="339"/>
      <c r="AI1051" s="336"/>
      <c r="AJ1051" s="336"/>
      <c r="AK1051" s="848">
        <v>0</v>
      </c>
      <c r="AL1051" s="836"/>
      <c r="AM1051" s="836">
        <v>0</v>
      </c>
      <c r="AN1051" s="848">
        <v>0</v>
      </c>
      <c r="AO1051" s="850">
        <v>0</v>
      </c>
      <c r="AP1051" s="839"/>
      <c r="AQ1051" s="839"/>
      <c r="AR1051" s="839"/>
      <c r="AS1051" s="839"/>
      <c r="AT1051" s="839"/>
      <c r="AU1051" s="839"/>
      <c r="AV1051" s="849"/>
      <c r="AW1051" s="134" t="s">
        <v>3208</v>
      </c>
      <c r="AX1051" s="136" t="s">
        <v>3208</v>
      </c>
      <c r="AY1051" s="137" t="s">
        <v>2576</v>
      </c>
      <c r="AZ1051" s="136">
        <v>0</v>
      </c>
      <c r="BA1051" s="136">
        <v>0</v>
      </c>
      <c r="BB1051" s="136">
        <v>0</v>
      </c>
      <c r="BC1051" s="214">
        <v>0</v>
      </c>
      <c r="BD1051" s="136">
        <v>0</v>
      </c>
      <c r="BE1051" s="214">
        <v>0</v>
      </c>
      <c r="BF1051" s="136">
        <v>0</v>
      </c>
      <c r="BG1051" s="214">
        <v>0</v>
      </c>
      <c r="BH1051" s="214">
        <v>0</v>
      </c>
      <c r="BI1051" s="134">
        <v>1</v>
      </c>
      <c r="BJ1051" s="214">
        <v>2698</v>
      </c>
      <c r="BK1051" s="137">
        <v>5</v>
      </c>
      <c r="BL1051" s="137">
        <v>5</v>
      </c>
      <c r="BM1051" s="137">
        <v>0</v>
      </c>
      <c r="BN1051" s="134">
        <v>0</v>
      </c>
      <c r="BO1051" s="351">
        <v>0</v>
      </c>
      <c r="BP1051" s="134">
        <v>1</v>
      </c>
      <c r="BQ1051" s="214">
        <v>450</v>
      </c>
      <c r="BR1051" s="137">
        <v>450</v>
      </c>
      <c r="BS1051" s="138">
        <v>0</v>
      </c>
      <c r="BT1051" s="351" t="s">
        <v>103</v>
      </c>
      <c r="BU1051" s="214">
        <v>0</v>
      </c>
      <c r="BV1051" s="214">
        <v>0</v>
      </c>
      <c r="BW1051" s="214">
        <v>0</v>
      </c>
      <c r="BX1051" s="214">
        <v>0</v>
      </c>
      <c r="BY1051" s="214">
        <v>0</v>
      </c>
      <c r="BZ1051" s="134">
        <v>0</v>
      </c>
      <c r="CA1051" s="138">
        <v>1</v>
      </c>
      <c r="CB1051" s="136">
        <v>0</v>
      </c>
      <c r="CC1051" s="136">
        <v>0</v>
      </c>
      <c r="CD1051" s="136">
        <v>0</v>
      </c>
      <c r="CE1051" s="137">
        <v>0</v>
      </c>
      <c r="CF1051" s="137">
        <v>0</v>
      </c>
      <c r="CG1051" s="137">
        <v>0</v>
      </c>
      <c r="CH1051" s="214">
        <v>0</v>
      </c>
      <c r="CI1051" s="139">
        <v>0</v>
      </c>
      <c r="CJ1051" s="139">
        <v>0</v>
      </c>
      <c r="CK1051" s="139" t="s">
        <v>975</v>
      </c>
      <c r="CL1051" s="139" t="s">
        <v>969</v>
      </c>
      <c r="CM1051" s="139" t="s">
        <v>975</v>
      </c>
      <c r="CN1051" s="139" t="s">
        <v>966</v>
      </c>
      <c r="CO1051" s="139">
        <v>20.864519119262699</v>
      </c>
      <c r="CP1051" s="139">
        <v>92.940399169921903</v>
      </c>
      <c r="CQ1051" s="139">
        <v>196817</v>
      </c>
      <c r="CR1051" s="449" t="s">
        <v>40</v>
      </c>
      <c r="CS1051" s="449"/>
      <c r="CT1051" s="24"/>
      <c r="CU1051" s="24"/>
      <c r="CV1051" s="24"/>
    </row>
    <row r="1052" spans="1:100" ht="15.75" customHeight="1" x14ac:dyDescent="0.25">
      <c r="A1052" s="643" t="s">
        <v>1388</v>
      </c>
      <c r="B1052" s="132" t="s">
        <v>479</v>
      </c>
      <c r="C1052" s="132" t="s">
        <v>454</v>
      </c>
      <c r="D1052" s="132" t="s">
        <v>463</v>
      </c>
      <c r="E1052" s="132" t="s">
        <v>2739</v>
      </c>
      <c r="F1052" s="132">
        <v>148</v>
      </c>
      <c r="G1052" s="214">
        <v>750</v>
      </c>
      <c r="H1052" s="132"/>
      <c r="I1052" s="132" t="s">
        <v>495</v>
      </c>
      <c r="J1052" s="133">
        <v>43615</v>
      </c>
      <c r="K1052" s="132">
        <v>0</v>
      </c>
      <c r="L1052" s="132" t="s">
        <v>2454</v>
      </c>
      <c r="M1052" s="134">
        <v>0</v>
      </c>
      <c r="N1052" s="134">
        <v>0</v>
      </c>
      <c r="O1052" s="320">
        <v>0</v>
      </c>
      <c r="P1052" s="326">
        <v>0</v>
      </c>
      <c r="Q1052" s="326">
        <v>0</v>
      </c>
      <c r="R1052" s="315">
        <v>0</v>
      </c>
      <c r="S1052" s="315">
        <v>0</v>
      </c>
      <c r="T1052" s="315"/>
      <c r="U1052" s="315"/>
      <c r="V1052" s="315"/>
      <c r="W1052" s="315"/>
      <c r="X1052" s="315"/>
      <c r="Y1052" s="315"/>
      <c r="Z1052" s="315"/>
      <c r="AA1052" s="336">
        <v>0</v>
      </c>
      <c r="AB1052" s="336">
        <v>0</v>
      </c>
      <c r="AC1052" s="337"/>
      <c r="AD1052" s="337"/>
      <c r="AE1052" s="336">
        <v>0</v>
      </c>
      <c r="AF1052" s="336" t="s">
        <v>1358</v>
      </c>
      <c r="AG1052" s="339" t="s">
        <v>1358</v>
      </c>
      <c r="AH1052" s="339"/>
      <c r="AI1052" s="336"/>
      <c r="AJ1052" s="336"/>
      <c r="AK1052" s="848">
        <v>0</v>
      </c>
      <c r="AL1052" s="836"/>
      <c r="AM1052" s="836">
        <v>0</v>
      </c>
      <c r="AN1052" s="848">
        <v>0</v>
      </c>
      <c r="AO1052" s="850">
        <v>0</v>
      </c>
      <c r="AP1052" s="839"/>
      <c r="AQ1052" s="839"/>
      <c r="AR1052" s="839"/>
      <c r="AS1052" s="839"/>
      <c r="AT1052" s="839"/>
      <c r="AU1052" s="839"/>
      <c r="AV1052" s="849"/>
      <c r="AW1052" s="134" t="s">
        <v>3208</v>
      </c>
      <c r="AX1052" s="136" t="s">
        <v>3208</v>
      </c>
      <c r="AY1052" s="137" t="s">
        <v>2576</v>
      </c>
      <c r="AZ1052" s="136">
        <v>0</v>
      </c>
      <c r="BA1052" s="136">
        <v>0</v>
      </c>
      <c r="BB1052" s="136">
        <v>0</v>
      </c>
      <c r="BC1052" s="214">
        <v>0</v>
      </c>
      <c r="BD1052" s="136">
        <v>0</v>
      </c>
      <c r="BE1052" s="214">
        <v>0</v>
      </c>
      <c r="BF1052" s="136">
        <v>0</v>
      </c>
      <c r="BG1052" s="214">
        <v>0</v>
      </c>
      <c r="BH1052" s="214">
        <v>0</v>
      </c>
      <c r="BI1052" s="134">
        <v>1</v>
      </c>
      <c r="BJ1052" s="214">
        <v>750</v>
      </c>
      <c r="BK1052" s="137">
        <v>2</v>
      </c>
      <c r="BL1052" s="137">
        <v>2</v>
      </c>
      <c r="BM1052" s="137">
        <v>0</v>
      </c>
      <c r="BN1052" s="134">
        <v>0</v>
      </c>
      <c r="BO1052" s="351">
        <v>0</v>
      </c>
      <c r="BP1052" s="134">
        <v>1</v>
      </c>
      <c r="BQ1052" s="214">
        <v>125</v>
      </c>
      <c r="BR1052" s="137">
        <v>125</v>
      </c>
      <c r="BS1052" s="138">
        <v>0</v>
      </c>
      <c r="BT1052" s="351" t="s">
        <v>103</v>
      </c>
      <c r="BU1052" s="214">
        <v>0</v>
      </c>
      <c r="BV1052" s="214">
        <v>0</v>
      </c>
      <c r="BW1052" s="214">
        <v>0</v>
      </c>
      <c r="BX1052" s="214">
        <v>0</v>
      </c>
      <c r="BY1052" s="214">
        <v>0</v>
      </c>
      <c r="BZ1052" s="134">
        <v>0</v>
      </c>
      <c r="CA1052" s="138">
        <v>1</v>
      </c>
      <c r="CB1052" s="136">
        <v>0</v>
      </c>
      <c r="CC1052" s="136">
        <v>0</v>
      </c>
      <c r="CD1052" s="136">
        <v>0</v>
      </c>
      <c r="CE1052" s="137">
        <v>0</v>
      </c>
      <c r="CF1052" s="137">
        <v>0</v>
      </c>
      <c r="CG1052" s="137">
        <v>0</v>
      </c>
      <c r="CH1052" s="214">
        <v>0</v>
      </c>
      <c r="CI1052" s="139">
        <v>0</v>
      </c>
      <c r="CJ1052" s="139">
        <v>0</v>
      </c>
      <c r="CK1052" s="139" t="s">
        <v>975</v>
      </c>
      <c r="CL1052" s="139" t="s">
        <v>969</v>
      </c>
      <c r="CM1052" s="139" t="s">
        <v>975</v>
      </c>
      <c r="CN1052" s="139" t="s">
        <v>966</v>
      </c>
      <c r="CO1052" s="139">
        <v>0</v>
      </c>
      <c r="CP1052" s="139">
        <v>0</v>
      </c>
      <c r="CQ1052" s="139">
        <v>196818</v>
      </c>
      <c r="CR1052" s="449" t="s">
        <v>40</v>
      </c>
      <c r="CS1052" s="449"/>
      <c r="CT1052" s="24"/>
      <c r="CU1052" s="24"/>
      <c r="CV1052" s="24"/>
    </row>
    <row r="1053" spans="1:100" ht="15.75" customHeight="1" x14ac:dyDescent="0.25">
      <c r="A1053" s="643" t="s">
        <v>1388</v>
      </c>
      <c r="B1053" s="132" t="s">
        <v>460</v>
      </c>
      <c r="C1053" s="132" t="s">
        <v>454</v>
      </c>
      <c r="D1053" s="132" t="s">
        <v>463</v>
      </c>
      <c r="E1053" s="132" t="s">
        <v>780</v>
      </c>
      <c r="F1053" s="132">
        <v>181</v>
      </c>
      <c r="G1053" s="214">
        <v>907</v>
      </c>
      <c r="H1053" s="132"/>
      <c r="I1053" s="132"/>
      <c r="J1053" s="133"/>
      <c r="K1053" s="132"/>
      <c r="L1053" s="132" t="s">
        <v>282</v>
      </c>
      <c r="M1053" s="134">
        <v>0</v>
      </c>
      <c r="N1053" s="134">
        <v>0</v>
      </c>
      <c r="O1053" s="320">
        <v>0</v>
      </c>
      <c r="P1053" s="326">
        <v>0</v>
      </c>
      <c r="Q1053" s="326"/>
      <c r="R1053" s="315"/>
      <c r="S1053" s="315">
        <v>0</v>
      </c>
      <c r="T1053" s="315"/>
      <c r="U1053" s="315"/>
      <c r="V1053" s="315"/>
      <c r="W1053" s="315"/>
      <c r="X1053" s="315"/>
      <c r="Y1053" s="315"/>
      <c r="Z1053" s="315"/>
      <c r="AA1053" s="336">
        <v>41</v>
      </c>
      <c r="AB1053" s="336"/>
      <c r="AC1053" s="337"/>
      <c r="AD1053" s="337"/>
      <c r="AE1053" s="336">
        <v>0</v>
      </c>
      <c r="AF1053" s="336" t="s">
        <v>286</v>
      </c>
      <c r="AG1053" s="339" t="s">
        <v>286</v>
      </c>
      <c r="AH1053" s="339"/>
      <c r="AI1053" s="336"/>
      <c r="AJ1053" s="336"/>
      <c r="AK1053" s="848">
        <v>0</v>
      </c>
      <c r="AL1053" s="836"/>
      <c r="AM1053" s="836">
        <v>0</v>
      </c>
      <c r="AN1053" s="848"/>
      <c r="AO1053" s="850">
        <v>0</v>
      </c>
      <c r="AP1053" s="839"/>
      <c r="AQ1053" s="839"/>
      <c r="AR1053" s="839"/>
      <c r="AS1053" s="839"/>
      <c r="AT1053" s="839"/>
      <c r="AU1053" s="839"/>
      <c r="AV1053" s="849"/>
      <c r="AW1053" s="134" t="s">
        <v>3208</v>
      </c>
      <c r="AX1053" s="136" t="s">
        <v>3208</v>
      </c>
      <c r="AY1053" s="137" t="s">
        <v>2576</v>
      </c>
      <c r="AZ1053" s="136">
        <v>0</v>
      </c>
      <c r="BA1053" s="136">
        <v>0</v>
      </c>
      <c r="BB1053" s="136">
        <v>0</v>
      </c>
      <c r="BC1053" s="214">
        <v>0</v>
      </c>
      <c r="BD1053" s="136">
        <v>0</v>
      </c>
      <c r="BE1053" s="214">
        <v>0</v>
      </c>
      <c r="BF1053" s="136">
        <v>0</v>
      </c>
      <c r="BG1053" s="214">
        <v>0</v>
      </c>
      <c r="BH1053" s="214">
        <v>0</v>
      </c>
      <c r="BI1053" s="134">
        <v>1</v>
      </c>
      <c r="BJ1053" s="214">
        <v>907</v>
      </c>
      <c r="BK1053" s="137">
        <v>2</v>
      </c>
      <c r="BL1053" s="137">
        <v>2</v>
      </c>
      <c r="BM1053" s="137">
        <v>41</v>
      </c>
      <c r="BN1053" s="134">
        <v>0.27122381477398017</v>
      </c>
      <c r="BO1053" s="351">
        <v>246</v>
      </c>
      <c r="BP1053" s="134">
        <v>0.72767364939360535</v>
      </c>
      <c r="BQ1053" s="214">
        <v>110</v>
      </c>
      <c r="BR1053" s="137">
        <v>151</v>
      </c>
      <c r="BS1053" s="138">
        <v>0</v>
      </c>
      <c r="BT1053" s="351" t="s">
        <v>103</v>
      </c>
      <c r="BU1053" s="214">
        <v>0</v>
      </c>
      <c r="BV1053" s="214">
        <v>0</v>
      </c>
      <c r="BW1053" s="214">
        <v>0</v>
      </c>
      <c r="BX1053" s="214">
        <v>0</v>
      </c>
      <c r="BY1053" s="214">
        <v>0</v>
      </c>
      <c r="BZ1053" s="134">
        <v>0</v>
      </c>
      <c r="CA1053" s="138">
        <v>1</v>
      </c>
      <c r="CB1053" s="136">
        <v>0</v>
      </c>
      <c r="CC1053" s="136">
        <v>0</v>
      </c>
      <c r="CD1053" s="136">
        <v>0</v>
      </c>
      <c r="CE1053" s="137">
        <v>0</v>
      </c>
      <c r="CF1053" s="137">
        <v>0</v>
      </c>
      <c r="CG1053" s="137">
        <v>0</v>
      </c>
      <c r="CH1053" s="214">
        <v>0</v>
      </c>
      <c r="CI1053" s="139">
        <v>0</v>
      </c>
      <c r="CJ1053" s="139">
        <v>0</v>
      </c>
      <c r="CK1053" s="139" t="s">
        <v>969</v>
      </c>
      <c r="CL1053" s="139" t="s">
        <v>969</v>
      </c>
      <c r="CM1053" s="139" t="s">
        <v>969</v>
      </c>
      <c r="CN1053" s="139" t="s">
        <v>454</v>
      </c>
      <c r="CO1053" s="139">
        <v>20.806400299072301</v>
      </c>
      <c r="CP1053" s="139">
        <v>92.982147216796903</v>
      </c>
      <c r="CQ1053" s="139" t="s">
        <v>1823</v>
      </c>
      <c r="CR1053" s="449" t="s">
        <v>3209</v>
      </c>
      <c r="CS1053" s="449"/>
      <c r="CT1053" s="24"/>
      <c r="CU1053" s="24"/>
      <c r="CV1053" s="24"/>
    </row>
    <row r="1054" spans="1:100" ht="15.75" customHeight="1" x14ac:dyDescent="0.25">
      <c r="A1054" s="643" t="s">
        <v>1388</v>
      </c>
      <c r="B1054" s="132" t="s">
        <v>479</v>
      </c>
      <c r="C1054" s="132" t="s">
        <v>454</v>
      </c>
      <c r="D1054" s="132" t="s">
        <v>463</v>
      </c>
      <c r="E1054" s="132" t="s">
        <v>671</v>
      </c>
      <c r="F1054" s="132">
        <v>163</v>
      </c>
      <c r="G1054" s="214">
        <v>888</v>
      </c>
      <c r="H1054" s="132"/>
      <c r="I1054" s="132" t="s">
        <v>495</v>
      </c>
      <c r="J1054" s="133">
        <v>43615</v>
      </c>
      <c r="K1054" s="132">
        <v>20</v>
      </c>
      <c r="L1054" s="132" t="s">
        <v>2454</v>
      </c>
      <c r="M1054" s="134">
        <v>0</v>
      </c>
      <c r="N1054" s="134">
        <v>0</v>
      </c>
      <c r="O1054" s="320">
        <v>0</v>
      </c>
      <c r="P1054" s="326">
        <v>0</v>
      </c>
      <c r="Q1054" s="326">
        <v>0</v>
      </c>
      <c r="R1054" s="315">
        <v>0</v>
      </c>
      <c r="S1054" s="315">
        <v>0</v>
      </c>
      <c r="T1054" s="315"/>
      <c r="U1054" s="315"/>
      <c r="V1054" s="315"/>
      <c r="W1054" s="315"/>
      <c r="X1054" s="315"/>
      <c r="Y1054" s="315"/>
      <c r="Z1054" s="315"/>
      <c r="AA1054" s="336">
        <v>0</v>
      </c>
      <c r="AB1054" s="336">
        <v>0</v>
      </c>
      <c r="AC1054" s="337"/>
      <c r="AD1054" s="337"/>
      <c r="AE1054" s="336">
        <v>0</v>
      </c>
      <c r="AF1054" s="336" t="s">
        <v>1358</v>
      </c>
      <c r="AG1054" s="339" t="s">
        <v>1358</v>
      </c>
      <c r="AH1054" s="339"/>
      <c r="AI1054" s="336"/>
      <c r="AJ1054" s="336"/>
      <c r="AK1054" s="848">
        <v>0</v>
      </c>
      <c r="AL1054" s="836"/>
      <c r="AM1054" s="836">
        <v>0</v>
      </c>
      <c r="AN1054" s="848">
        <v>0</v>
      </c>
      <c r="AO1054" s="850">
        <v>0</v>
      </c>
      <c r="AP1054" s="839"/>
      <c r="AQ1054" s="839"/>
      <c r="AR1054" s="839"/>
      <c r="AS1054" s="839"/>
      <c r="AT1054" s="839"/>
      <c r="AU1054" s="839"/>
      <c r="AV1054" s="849"/>
      <c r="AW1054" s="134" t="s">
        <v>3208</v>
      </c>
      <c r="AX1054" s="136" t="s">
        <v>3208</v>
      </c>
      <c r="AY1054" s="137" t="s">
        <v>2576</v>
      </c>
      <c r="AZ1054" s="136">
        <v>0</v>
      </c>
      <c r="BA1054" s="136">
        <v>0</v>
      </c>
      <c r="BB1054" s="136">
        <v>0</v>
      </c>
      <c r="BC1054" s="214">
        <v>0</v>
      </c>
      <c r="BD1054" s="136">
        <v>0</v>
      </c>
      <c r="BE1054" s="214">
        <v>0</v>
      </c>
      <c r="BF1054" s="136">
        <v>0</v>
      </c>
      <c r="BG1054" s="214">
        <v>0</v>
      </c>
      <c r="BH1054" s="214">
        <v>0</v>
      </c>
      <c r="BI1054" s="134">
        <v>1</v>
      </c>
      <c r="BJ1054" s="214">
        <v>888</v>
      </c>
      <c r="BK1054" s="137">
        <v>2</v>
      </c>
      <c r="BL1054" s="137">
        <v>2</v>
      </c>
      <c r="BM1054" s="137">
        <v>0</v>
      </c>
      <c r="BN1054" s="134">
        <v>0</v>
      </c>
      <c r="BO1054" s="351">
        <v>0</v>
      </c>
      <c r="BP1054" s="134">
        <v>1</v>
      </c>
      <c r="BQ1054" s="214">
        <v>148</v>
      </c>
      <c r="BR1054" s="137">
        <v>148</v>
      </c>
      <c r="BS1054" s="138">
        <v>0</v>
      </c>
      <c r="BT1054" s="351" t="s">
        <v>103</v>
      </c>
      <c r="BU1054" s="214">
        <v>0</v>
      </c>
      <c r="BV1054" s="214">
        <v>0</v>
      </c>
      <c r="BW1054" s="214">
        <v>0</v>
      </c>
      <c r="BX1054" s="214">
        <v>0</v>
      </c>
      <c r="BY1054" s="214">
        <v>0</v>
      </c>
      <c r="BZ1054" s="134">
        <v>0</v>
      </c>
      <c r="CA1054" s="138">
        <v>1</v>
      </c>
      <c r="CB1054" s="136">
        <v>0</v>
      </c>
      <c r="CC1054" s="136">
        <v>0</v>
      </c>
      <c r="CD1054" s="136">
        <v>0</v>
      </c>
      <c r="CE1054" s="137">
        <v>0</v>
      </c>
      <c r="CF1054" s="137">
        <v>0</v>
      </c>
      <c r="CG1054" s="137">
        <v>0</v>
      </c>
      <c r="CH1054" s="214">
        <v>0</v>
      </c>
      <c r="CI1054" s="139">
        <v>0</v>
      </c>
      <c r="CJ1054" s="139">
        <v>0</v>
      </c>
      <c r="CK1054" s="139" t="s">
        <v>969</v>
      </c>
      <c r="CL1054" s="139" t="s">
        <v>969</v>
      </c>
      <c r="CM1054" s="139" t="s">
        <v>1054</v>
      </c>
      <c r="CN1054" s="139" t="s">
        <v>966</v>
      </c>
      <c r="CO1054" s="139">
        <v>20.587142</v>
      </c>
      <c r="CP1054" s="139">
        <v>93.258573999999996</v>
      </c>
      <c r="CQ1054" s="139" t="s">
        <v>1728</v>
      </c>
      <c r="CR1054" s="449" t="s">
        <v>40</v>
      </c>
      <c r="CS1054" s="449"/>
      <c r="CT1054" s="24"/>
      <c r="CU1054" s="24"/>
      <c r="CV1054" s="24"/>
    </row>
    <row r="1055" spans="1:100" ht="15.75" customHeight="1" x14ac:dyDescent="0.25">
      <c r="A1055" s="643" t="s">
        <v>1388</v>
      </c>
      <c r="B1055" s="132" t="s">
        <v>479</v>
      </c>
      <c r="C1055" s="132" t="s">
        <v>454</v>
      </c>
      <c r="D1055" s="132" t="s">
        <v>463</v>
      </c>
      <c r="E1055" s="132" t="s">
        <v>860</v>
      </c>
      <c r="F1055" s="132">
        <v>88</v>
      </c>
      <c r="G1055" s="214">
        <v>325</v>
      </c>
      <c r="H1055" s="132"/>
      <c r="I1055" s="132" t="s">
        <v>495</v>
      </c>
      <c r="J1055" s="133">
        <v>43615</v>
      </c>
      <c r="K1055" s="132">
        <v>0</v>
      </c>
      <c r="L1055" s="132" t="s">
        <v>2454</v>
      </c>
      <c r="M1055" s="134">
        <v>0</v>
      </c>
      <c r="N1055" s="134">
        <v>0</v>
      </c>
      <c r="O1055" s="320"/>
      <c r="P1055" s="326"/>
      <c r="Q1055" s="326"/>
      <c r="R1055" s="315"/>
      <c r="S1055" s="315"/>
      <c r="T1055" s="315"/>
      <c r="U1055" s="315"/>
      <c r="V1055" s="315"/>
      <c r="W1055" s="315"/>
      <c r="X1055" s="315"/>
      <c r="Y1055" s="315"/>
      <c r="Z1055" s="315"/>
      <c r="AA1055" s="336"/>
      <c r="AB1055" s="336"/>
      <c r="AC1055" s="337"/>
      <c r="AD1055" s="337"/>
      <c r="AE1055" s="336"/>
      <c r="AF1055" s="336" t="s">
        <v>286</v>
      </c>
      <c r="AG1055" s="339" t="s">
        <v>286</v>
      </c>
      <c r="AH1055" s="339"/>
      <c r="AI1055" s="336"/>
      <c r="AJ1055" s="336"/>
      <c r="AK1055" s="848"/>
      <c r="AL1055" s="836"/>
      <c r="AM1055" s="836"/>
      <c r="AN1055" s="848"/>
      <c r="AO1055" s="850"/>
      <c r="AP1055" s="839"/>
      <c r="AQ1055" s="839"/>
      <c r="AR1055" s="839"/>
      <c r="AS1055" s="839"/>
      <c r="AT1055" s="839"/>
      <c r="AU1055" s="839"/>
      <c r="AV1055" s="849"/>
      <c r="AW1055" s="134" t="s">
        <v>3208</v>
      </c>
      <c r="AX1055" s="136" t="s">
        <v>3208</v>
      </c>
      <c r="AY1055" s="137" t="s">
        <v>2576</v>
      </c>
      <c r="AZ1055" s="136">
        <v>0</v>
      </c>
      <c r="BA1055" s="136">
        <v>0</v>
      </c>
      <c r="BB1055" s="136">
        <v>0</v>
      </c>
      <c r="BC1055" s="214">
        <v>0</v>
      </c>
      <c r="BD1055" s="136">
        <v>0</v>
      </c>
      <c r="BE1055" s="214">
        <v>0</v>
      </c>
      <c r="BF1055" s="136">
        <v>0</v>
      </c>
      <c r="BG1055" s="214">
        <v>0</v>
      </c>
      <c r="BH1055" s="214">
        <v>0</v>
      </c>
      <c r="BI1055" s="134">
        <v>1</v>
      </c>
      <c r="BJ1055" s="214">
        <v>325</v>
      </c>
      <c r="BK1055" s="137">
        <v>1</v>
      </c>
      <c r="BL1055" s="137">
        <v>1</v>
      </c>
      <c r="BM1055" s="137">
        <v>0</v>
      </c>
      <c r="BN1055" s="134">
        <v>0</v>
      </c>
      <c r="BO1055" s="351">
        <v>0</v>
      </c>
      <c r="BP1055" s="134">
        <v>0.99692307692307691</v>
      </c>
      <c r="BQ1055" s="214">
        <v>54</v>
      </c>
      <c r="BR1055" s="137">
        <v>54</v>
      </c>
      <c r="BS1055" s="138">
        <v>0</v>
      </c>
      <c r="BT1055" s="351" t="s">
        <v>103</v>
      </c>
      <c r="BU1055" s="214">
        <v>0</v>
      </c>
      <c r="BV1055" s="214">
        <v>0</v>
      </c>
      <c r="BW1055" s="214">
        <v>0</v>
      </c>
      <c r="BX1055" s="214">
        <v>0</v>
      </c>
      <c r="BY1055" s="214">
        <v>0</v>
      </c>
      <c r="BZ1055" s="134">
        <v>0</v>
      </c>
      <c r="CA1055" s="138">
        <v>1</v>
      </c>
      <c r="CB1055" s="136">
        <v>0</v>
      </c>
      <c r="CC1055" s="136">
        <v>0</v>
      </c>
      <c r="CD1055" s="136">
        <v>0</v>
      </c>
      <c r="CE1055" s="137">
        <v>0</v>
      </c>
      <c r="CF1055" s="137">
        <v>0</v>
      </c>
      <c r="CG1055" s="137">
        <v>0</v>
      </c>
      <c r="CH1055" s="214">
        <v>0</v>
      </c>
      <c r="CI1055" s="139">
        <v>0</v>
      </c>
      <c r="CJ1055" s="139">
        <v>0</v>
      </c>
      <c r="CK1055" s="139" t="s">
        <v>975</v>
      </c>
      <c r="CL1055" s="139" t="s">
        <v>969</v>
      </c>
      <c r="CM1055" s="139" t="s">
        <v>975</v>
      </c>
      <c r="CN1055" s="139" t="s">
        <v>454</v>
      </c>
      <c r="CO1055" s="139">
        <v>20.8037109375</v>
      </c>
      <c r="CP1055" s="139">
        <v>92.946136474609403</v>
      </c>
      <c r="CQ1055" s="139" t="s">
        <v>2084</v>
      </c>
      <c r="CR1055" s="449" t="s">
        <v>40</v>
      </c>
      <c r="CS1055" s="449"/>
      <c r="CT1055" s="24"/>
      <c r="CU1055" s="24"/>
      <c r="CV1055" s="24"/>
    </row>
    <row r="1056" spans="1:100" ht="15.75" customHeight="1" x14ac:dyDescent="0.25">
      <c r="A1056" s="643" t="s">
        <v>1388</v>
      </c>
      <c r="B1056" s="132" t="s">
        <v>479</v>
      </c>
      <c r="C1056" s="132" t="s">
        <v>454</v>
      </c>
      <c r="D1056" s="132" t="s">
        <v>463</v>
      </c>
      <c r="E1056" s="132" t="s">
        <v>510</v>
      </c>
      <c r="F1056" s="132">
        <v>56</v>
      </c>
      <c r="G1056" s="214">
        <v>238</v>
      </c>
      <c r="H1056" s="132"/>
      <c r="I1056" s="132" t="s">
        <v>495</v>
      </c>
      <c r="J1056" s="133">
        <v>43615</v>
      </c>
      <c r="K1056" s="132">
        <v>0</v>
      </c>
      <c r="L1056" s="132" t="s">
        <v>2454</v>
      </c>
      <c r="M1056" s="134">
        <v>0</v>
      </c>
      <c r="N1056" s="134">
        <v>0</v>
      </c>
      <c r="O1056" s="320">
        <v>0</v>
      </c>
      <c r="P1056" s="326">
        <v>0</v>
      </c>
      <c r="Q1056" s="326">
        <v>0</v>
      </c>
      <c r="R1056" s="315">
        <v>0</v>
      </c>
      <c r="S1056" s="315">
        <v>0</v>
      </c>
      <c r="T1056" s="315"/>
      <c r="U1056" s="315"/>
      <c r="V1056" s="315"/>
      <c r="W1056" s="315"/>
      <c r="X1056" s="315"/>
      <c r="Y1056" s="315"/>
      <c r="Z1056" s="315"/>
      <c r="AA1056" s="336">
        <v>0</v>
      </c>
      <c r="AB1056" s="336">
        <v>0</v>
      </c>
      <c r="AC1056" s="337"/>
      <c r="AD1056" s="337"/>
      <c r="AE1056" s="336">
        <v>0</v>
      </c>
      <c r="AF1056" s="336" t="s">
        <v>1358</v>
      </c>
      <c r="AG1056" s="339" t="s">
        <v>1358</v>
      </c>
      <c r="AH1056" s="339"/>
      <c r="AI1056" s="336"/>
      <c r="AJ1056" s="336"/>
      <c r="AK1056" s="848">
        <v>0</v>
      </c>
      <c r="AL1056" s="836"/>
      <c r="AM1056" s="836">
        <v>0</v>
      </c>
      <c r="AN1056" s="848">
        <v>0</v>
      </c>
      <c r="AO1056" s="850">
        <v>0</v>
      </c>
      <c r="AP1056" s="839"/>
      <c r="AQ1056" s="839"/>
      <c r="AR1056" s="839"/>
      <c r="AS1056" s="839"/>
      <c r="AT1056" s="839"/>
      <c r="AU1056" s="839"/>
      <c r="AV1056" s="849"/>
      <c r="AW1056" s="134" t="s">
        <v>3208</v>
      </c>
      <c r="AX1056" s="136" t="s">
        <v>3208</v>
      </c>
      <c r="AY1056" s="137" t="s">
        <v>2576</v>
      </c>
      <c r="AZ1056" s="136">
        <v>0</v>
      </c>
      <c r="BA1056" s="136">
        <v>0</v>
      </c>
      <c r="BB1056" s="136">
        <v>0</v>
      </c>
      <c r="BC1056" s="214">
        <v>0</v>
      </c>
      <c r="BD1056" s="136">
        <v>0</v>
      </c>
      <c r="BE1056" s="214">
        <v>0</v>
      </c>
      <c r="BF1056" s="136">
        <v>0</v>
      </c>
      <c r="BG1056" s="214">
        <v>0</v>
      </c>
      <c r="BH1056" s="214">
        <v>0</v>
      </c>
      <c r="BI1056" s="134">
        <v>1</v>
      </c>
      <c r="BJ1056" s="214">
        <v>238</v>
      </c>
      <c r="BK1056" s="137">
        <v>1</v>
      </c>
      <c r="BL1056" s="137">
        <v>1</v>
      </c>
      <c r="BM1056" s="137">
        <v>0</v>
      </c>
      <c r="BN1056" s="134">
        <v>0</v>
      </c>
      <c r="BO1056" s="351">
        <v>0</v>
      </c>
      <c r="BP1056" s="134">
        <v>1</v>
      </c>
      <c r="BQ1056" s="214">
        <v>40</v>
      </c>
      <c r="BR1056" s="137">
        <v>40</v>
      </c>
      <c r="BS1056" s="138">
        <v>0</v>
      </c>
      <c r="BT1056" s="351" t="s">
        <v>103</v>
      </c>
      <c r="BU1056" s="214">
        <v>0</v>
      </c>
      <c r="BV1056" s="214">
        <v>0</v>
      </c>
      <c r="BW1056" s="214">
        <v>0</v>
      </c>
      <c r="BX1056" s="214">
        <v>0</v>
      </c>
      <c r="BY1056" s="214">
        <v>0</v>
      </c>
      <c r="BZ1056" s="134">
        <v>0</v>
      </c>
      <c r="CA1056" s="138">
        <v>1</v>
      </c>
      <c r="CB1056" s="136">
        <v>0</v>
      </c>
      <c r="CC1056" s="136">
        <v>0</v>
      </c>
      <c r="CD1056" s="136">
        <v>0</v>
      </c>
      <c r="CE1056" s="137">
        <v>0</v>
      </c>
      <c r="CF1056" s="137">
        <v>0</v>
      </c>
      <c r="CG1056" s="137">
        <v>0</v>
      </c>
      <c r="CH1056" s="214">
        <v>0</v>
      </c>
      <c r="CI1056" s="139">
        <v>0</v>
      </c>
      <c r="CJ1056" s="139">
        <v>0</v>
      </c>
      <c r="CK1056" s="139" t="s">
        <v>975</v>
      </c>
      <c r="CL1056" s="139" t="s">
        <v>969</v>
      </c>
      <c r="CM1056" s="139" t="s">
        <v>975</v>
      </c>
      <c r="CN1056" s="139" t="s">
        <v>454</v>
      </c>
      <c r="CO1056" s="139">
        <v>0</v>
      </c>
      <c r="CP1056" s="139">
        <v>0</v>
      </c>
      <c r="CQ1056" s="139">
        <v>0</v>
      </c>
      <c r="CR1056" s="449" t="s">
        <v>40</v>
      </c>
      <c r="CS1056" s="449"/>
      <c r="CT1056" s="24"/>
      <c r="CU1056" s="24"/>
      <c r="CV1056" s="24"/>
    </row>
    <row r="1057" spans="1:100" ht="15.75" customHeight="1" x14ac:dyDescent="0.25">
      <c r="A1057" s="643" t="s">
        <v>1388</v>
      </c>
      <c r="B1057" s="132" t="s">
        <v>460</v>
      </c>
      <c r="C1057" s="132" t="s">
        <v>454</v>
      </c>
      <c r="D1057" s="132" t="s">
        <v>463</v>
      </c>
      <c r="E1057" s="132" t="s">
        <v>739</v>
      </c>
      <c r="F1057" s="132">
        <v>112</v>
      </c>
      <c r="G1057" s="214">
        <v>738</v>
      </c>
      <c r="H1057" s="132"/>
      <c r="I1057" s="132"/>
      <c r="J1057" s="133"/>
      <c r="K1057" s="132"/>
      <c r="L1057" s="132" t="s">
        <v>282</v>
      </c>
      <c r="M1057" s="134">
        <v>0</v>
      </c>
      <c r="N1057" s="134">
        <v>0</v>
      </c>
      <c r="O1057" s="320">
        <v>0</v>
      </c>
      <c r="P1057" s="326">
        <v>0</v>
      </c>
      <c r="Q1057" s="326"/>
      <c r="R1057" s="315"/>
      <c r="S1057" s="315">
        <v>0</v>
      </c>
      <c r="T1057" s="315"/>
      <c r="U1057" s="315"/>
      <c r="V1057" s="315"/>
      <c r="W1057" s="315"/>
      <c r="X1057" s="315"/>
      <c r="Y1057" s="315"/>
      <c r="Z1057" s="315"/>
      <c r="AA1057" s="336">
        <v>73</v>
      </c>
      <c r="AB1057" s="336"/>
      <c r="AC1057" s="337"/>
      <c r="AD1057" s="337"/>
      <c r="AE1057" s="336">
        <v>0</v>
      </c>
      <c r="AF1057" s="336" t="s">
        <v>286</v>
      </c>
      <c r="AG1057" s="339" t="s">
        <v>286</v>
      </c>
      <c r="AH1057" s="339"/>
      <c r="AI1057" s="336"/>
      <c r="AJ1057" s="336"/>
      <c r="AK1057" s="848">
        <v>0</v>
      </c>
      <c r="AL1057" s="836"/>
      <c r="AM1057" s="836">
        <v>0</v>
      </c>
      <c r="AN1057" s="848"/>
      <c r="AO1057" s="850">
        <v>0</v>
      </c>
      <c r="AP1057" s="839"/>
      <c r="AQ1057" s="839"/>
      <c r="AR1057" s="839"/>
      <c r="AS1057" s="839"/>
      <c r="AT1057" s="839"/>
      <c r="AU1057" s="839"/>
      <c r="AV1057" s="849"/>
      <c r="AW1057" s="134" t="s">
        <v>3208</v>
      </c>
      <c r="AX1057" s="136" t="s">
        <v>3208</v>
      </c>
      <c r="AY1057" s="137" t="s">
        <v>2576</v>
      </c>
      <c r="AZ1057" s="136">
        <v>0</v>
      </c>
      <c r="BA1057" s="136">
        <v>0</v>
      </c>
      <c r="BB1057" s="136">
        <v>0</v>
      </c>
      <c r="BC1057" s="214">
        <v>0</v>
      </c>
      <c r="BD1057" s="136">
        <v>0</v>
      </c>
      <c r="BE1057" s="214">
        <v>0</v>
      </c>
      <c r="BF1057" s="136">
        <v>0</v>
      </c>
      <c r="BG1057" s="214">
        <v>0</v>
      </c>
      <c r="BH1057" s="214">
        <v>0</v>
      </c>
      <c r="BI1057" s="134">
        <v>1</v>
      </c>
      <c r="BJ1057" s="214">
        <v>738</v>
      </c>
      <c r="BK1057" s="137">
        <v>1</v>
      </c>
      <c r="BL1057" s="137">
        <v>1</v>
      </c>
      <c r="BM1057" s="137">
        <v>73</v>
      </c>
      <c r="BN1057" s="134">
        <v>0.5934959349593496</v>
      </c>
      <c r="BO1057" s="351">
        <v>438</v>
      </c>
      <c r="BP1057" s="134">
        <v>0.4065040650406504</v>
      </c>
      <c r="BQ1057" s="214">
        <v>50</v>
      </c>
      <c r="BR1057" s="137">
        <v>123</v>
      </c>
      <c r="BS1057" s="138">
        <v>0</v>
      </c>
      <c r="BT1057" s="351" t="s">
        <v>103</v>
      </c>
      <c r="BU1057" s="214">
        <v>0</v>
      </c>
      <c r="BV1057" s="214">
        <v>0</v>
      </c>
      <c r="BW1057" s="214">
        <v>0</v>
      </c>
      <c r="BX1057" s="214">
        <v>0</v>
      </c>
      <c r="BY1057" s="214">
        <v>0</v>
      </c>
      <c r="BZ1057" s="134">
        <v>0</v>
      </c>
      <c r="CA1057" s="138">
        <v>1</v>
      </c>
      <c r="CB1057" s="136">
        <v>0</v>
      </c>
      <c r="CC1057" s="136">
        <v>0</v>
      </c>
      <c r="CD1057" s="136">
        <v>0</v>
      </c>
      <c r="CE1057" s="137">
        <v>0</v>
      </c>
      <c r="CF1057" s="137">
        <v>0</v>
      </c>
      <c r="CG1057" s="137">
        <v>0</v>
      </c>
      <c r="CH1057" s="214">
        <v>0</v>
      </c>
      <c r="CI1057" s="139">
        <v>0</v>
      </c>
      <c r="CJ1057" s="139">
        <v>0</v>
      </c>
      <c r="CK1057" s="139" t="s">
        <v>969</v>
      </c>
      <c r="CL1057" s="139" t="s">
        <v>969</v>
      </c>
      <c r="CM1057" s="139" t="s">
        <v>1054</v>
      </c>
      <c r="CN1057" s="139" t="s">
        <v>966</v>
      </c>
      <c r="CO1057" s="139">
        <v>20.727589999999999</v>
      </c>
      <c r="CP1057" s="139">
        <v>92.969350000000006</v>
      </c>
      <c r="CQ1057" s="139" t="s">
        <v>1790</v>
      </c>
      <c r="CR1057" s="449" t="s">
        <v>3209</v>
      </c>
      <c r="CS1057" s="449"/>
      <c r="CT1057" s="24"/>
      <c r="CU1057" s="24"/>
      <c r="CV1057" s="24"/>
    </row>
    <row r="1058" spans="1:100" ht="15.75" customHeight="1" x14ac:dyDescent="0.25">
      <c r="A1058" s="643" t="s">
        <v>1388</v>
      </c>
      <c r="B1058" s="132" t="s">
        <v>460</v>
      </c>
      <c r="C1058" s="132" t="s">
        <v>454</v>
      </c>
      <c r="D1058" s="132" t="s">
        <v>463</v>
      </c>
      <c r="E1058" s="132" t="s">
        <v>735</v>
      </c>
      <c r="F1058" s="132">
        <v>139</v>
      </c>
      <c r="G1058" s="214">
        <v>695</v>
      </c>
      <c r="H1058" s="132"/>
      <c r="I1058" s="132"/>
      <c r="J1058" s="133"/>
      <c r="K1058" s="132"/>
      <c r="L1058" s="132" t="s">
        <v>282</v>
      </c>
      <c r="M1058" s="134">
        <v>0</v>
      </c>
      <c r="N1058" s="134">
        <v>0</v>
      </c>
      <c r="O1058" s="320">
        <v>0</v>
      </c>
      <c r="P1058" s="326">
        <v>0</v>
      </c>
      <c r="Q1058" s="326"/>
      <c r="R1058" s="315"/>
      <c r="S1058" s="315">
        <v>0</v>
      </c>
      <c r="T1058" s="315"/>
      <c r="U1058" s="315"/>
      <c r="V1058" s="315"/>
      <c r="W1058" s="315"/>
      <c r="X1058" s="315"/>
      <c r="Y1058" s="315"/>
      <c r="Z1058" s="315"/>
      <c r="AA1058" s="336">
        <v>73</v>
      </c>
      <c r="AB1058" s="336"/>
      <c r="AC1058" s="337"/>
      <c r="AD1058" s="337"/>
      <c r="AE1058" s="336">
        <v>0</v>
      </c>
      <c r="AF1058" s="336" t="s">
        <v>286</v>
      </c>
      <c r="AG1058" s="339" t="s">
        <v>286</v>
      </c>
      <c r="AH1058" s="339"/>
      <c r="AI1058" s="336"/>
      <c r="AJ1058" s="336"/>
      <c r="AK1058" s="848">
        <v>0</v>
      </c>
      <c r="AL1058" s="836"/>
      <c r="AM1058" s="836">
        <v>0</v>
      </c>
      <c r="AN1058" s="848"/>
      <c r="AO1058" s="850">
        <v>0</v>
      </c>
      <c r="AP1058" s="839"/>
      <c r="AQ1058" s="839"/>
      <c r="AR1058" s="839"/>
      <c r="AS1058" s="839"/>
      <c r="AT1058" s="839"/>
      <c r="AU1058" s="839"/>
      <c r="AV1058" s="849"/>
      <c r="AW1058" s="134" t="s">
        <v>3208</v>
      </c>
      <c r="AX1058" s="136" t="s">
        <v>3208</v>
      </c>
      <c r="AY1058" s="137" t="s">
        <v>2576</v>
      </c>
      <c r="AZ1058" s="136">
        <v>0</v>
      </c>
      <c r="BA1058" s="136">
        <v>0</v>
      </c>
      <c r="BB1058" s="136">
        <v>0</v>
      </c>
      <c r="BC1058" s="214">
        <v>0</v>
      </c>
      <c r="BD1058" s="136">
        <v>0</v>
      </c>
      <c r="BE1058" s="214">
        <v>0</v>
      </c>
      <c r="BF1058" s="136">
        <v>0</v>
      </c>
      <c r="BG1058" s="214">
        <v>0</v>
      </c>
      <c r="BH1058" s="214">
        <v>0</v>
      </c>
      <c r="BI1058" s="134">
        <v>1</v>
      </c>
      <c r="BJ1058" s="214">
        <v>695</v>
      </c>
      <c r="BK1058" s="137">
        <v>1</v>
      </c>
      <c r="BL1058" s="137">
        <v>1</v>
      </c>
      <c r="BM1058" s="137">
        <v>73</v>
      </c>
      <c r="BN1058" s="134">
        <v>0.63021582733812953</v>
      </c>
      <c r="BO1058" s="351">
        <v>438</v>
      </c>
      <c r="BP1058" s="134">
        <v>0.37122302158273385</v>
      </c>
      <c r="BQ1058" s="214">
        <v>43</v>
      </c>
      <c r="BR1058" s="137">
        <v>116</v>
      </c>
      <c r="BS1058" s="138">
        <v>0</v>
      </c>
      <c r="BT1058" s="351" t="s">
        <v>103</v>
      </c>
      <c r="BU1058" s="214">
        <v>0</v>
      </c>
      <c r="BV1058" s="214">
        <v>0</v>
      </c>
      <c r="BW1058" s="214">
        <v>0</v>
      </c>
      <c r="BX1058" s="214">
        <v>0</v>
      </c>
      <c r="BY1058" s="214">
        <v>0</v>
      </c>
      <c r="BZ1058" s="134">
        <v>0</v>
      </c>
      <c r="CA1058" s="138">
        <v>1</v>
      </c>
      <c r="CB1058" s="136">
        <v>0</v>
      </c>
      <c r="CC1058" s="136">
        <v>0</v>
      </c>
      <c r="CD1058" s="136">
        <v>0</v>
      </c>
      <c r="CE1058" s="137">
        <v>0</v>
      </c>
      <c r="CF1058" s="137">
        <v>0</v>
      </c>
      <c r="CG1058" s="137">
        <v>0</v>
      </c>
      <c r="CH1058" s="214">
        <v>0</v>
      </c>
      <c r="CI1058" s="139">
        <v>0</v>
      </c>
      <c r="CJ1058" s="139">
        <v>0</v>
      </c>
      <c r="CK1058" s="139" t="s">
        <v>969</v>
      </c>
      <c r="CL1058" s="139" t="s">
        <v>969</v>
      </c>
      <c r="CM1058" s="139" t="s">
        <v>969</v>
      </c>
      <c r="CN1058" s="139" t="s">
        <v>454</v>
      </c>
      <c r="CO1058" s="139">
        <v>20.723630905151399</v>
      </c>
      <c r="CP1058" s="139">
        <v>92.974327087402301</v>
      </c>
      <c r="CQ1058" s="139" t="s">
        <v>1786</v>
      </c>
      <c r="CR1058" s="449" t="s">
        <v>3209</v>
      </c>
      <c r="CS1058" s="449"/>
      <c r="CT1058" s="24"/>
      <c r="CU1058" s="24"/>
      <c r="CV1058" s="24"/>
    </row>
    <row r="1059" spans="1:100" ht="15.75" customHeight="1" x14ac:dyDescent="0.25">
      <c r="A1059" s="643" t="s">
        <v>1388</v>
      </c>
      <c r="B1059" s="132" t="s">
        <v>530</v>
      </c>
      <c r="C1059" s="132" t="s">
        <v>454</v>
      </c>
      <c r="D1059" s="132" t="s">
        <v>466</v>
      </c>
      <c r="E1059" s="132" t="s">
        <v>824</v>
      </c>
      <c r="F1059" s="132">
        <v>102</v>
      </c>
      <c r="G1059" s="214">
        <v>368</v>
      </c>
      <c r="H1059" s="132"/>
      <c r="I1059" s="132" t="s">
        <v>388</v>
      </c>
      <c r="J1059" s="133">
        <v>43145</v>
      </c>
      <c r="K1059" s="132">
        <v>0</v>
      </c>
      <c r="L1059" s="132" t="s">
        <v>48</v>
      </c>
      <c r="M1059" s="134">
        <v>0</v>
      </c>
      <c r="N1059" s="134">
        <v>0</v>
      </c>
      <c r="O1059" s="320">
        <v>3</v>
      </c>
      <c r="P1059" s="326">
        <v>0</v>
      </c>
      <c r="Q1059" s="326">
        <v>0</v>
      </c>
      <c r="R1059" s="315">
        <v>2</v>
      </c>
      <c r="S1059" s="315">
        <v>0</v>
      </c>
      <c r="T1059" s="315"/>
      <c r="U1059" s="315"/>
      <c r="V1059" s="315"/>
      <c r="W1059" s="315"/>
      <c r="X1059" s="315"/>
      <c r="Y1059" s="315"/>
      <c r="Z1059" s="315"/>
      <c r="AA1059" s="336">
        <v>0</v>
      </c>
      <c r="AB1059" s="336">
        <v>0</v>
      </c>
      <c r="AC1059" s="337"/>
      <c r="AD1059" s="337"/>
      <c r="AE1059" s="336">
        <v>0</v>
      </c>
      <c r="AF1059" s="336" t="s">
        <v>332</v>
      </c>
      <c r="AG1059" s="339" t="s">
        <v>332</v>
      </c>
      <c r="AH1059" s="339"/>
      <c r="AI1059" s="336"/>
      <c r="AJ1059" s="336"/>
      <c r="AK1059" s="848">
        <v>0</v>
      </c>
      <c r="AL1059" s="836" t="s">
        <v>284</v>
      </c>
      <c r="AM1059" s="836">
        <v>0</v>
      </c>
      <c r="AN1059" s="848">
        <v>0</v>
      </c>
      <c r="AO1059" s="850">
        <v>7</v>
      </c>
      <c r="AP1059" s="839"/>
      <c r="AQ1059" s="839"/>
      <c r="AR1059" s="839"/>
      <c r="AS1059" s="839"/>
      <c r="AT1059" s="839"/>
      <c r="AU1059" s="839"/>
      <c r="AV1059" s="849"/>
      <c r="AW1059" s="134" t="s">
        <v>3208</v>
      </c>
      <c r="AX1059" s="136" t="s">
        <v>3208</v>
      </c>
      <c r="AY1059" s="137" t="s">
        <v>2576</v>
      </c>
      <c r="AZ1059" s="136">
        <v>1</v>
      </c>
      <c r="BA1059" s="136">
        <v>1</v>
      </c>
      <c r="BB1059" s="136">
        <v>1</v>
      </c>
      <c r="BC1059" s="214">
        <v>368</v>
      </c>
      <c r="BD1059" s="136">
        <v>1</v>
      </c>
      <c r="BE1059" s="214">
        <v>368</v>
      </c>
      <c r="BF1059" s="136">
        <v>1</v>
      </c>
      <c r="BG1059" s="214">
        <v>368</v>
      </c>
      <c r="BH1059" s="214">
        <v>0.73599999999999999</v>
      </c>
      <c r="BI1059" s="134">
        <v>0</v>
      </c>
      <c r="BJ1059" s="214">
        <v>0</v>
      </c>
      <c r="BK1059" s="137">
        <v>0.26400000000000001</v>
      </c>
      <c r="BL1059" s="137">
        <v>1</v>
      </c>
      <c r="BM1059" s="137">
        <v>0</v>
      </c>
      <c r="BN1059" s="134">
        <v>0</v>
      </c>
      <c r="BO1059" s="351">
        <v>0</v>
      </c>
      <c r="BP1059" s="134">
        <v>0.99456521739130432</v>
      </c>
      <c r="BQ1059" s="214">
        <v>61</v>
      </c>
      <c r="BR1059" s="137">
        <v>61</v>
      </c>
      <c r="BS1059" s="138">
        <v>0</v>
      </c>
      <c r="BT1059" s="351" t="s">
        <v>103</v>
      </c>
      <c r="BU1059" s="214">
        <v>368</v>
      </c>
      <c r="BV1059" s="214">
        <v>0</v>
      </c>
      <c r="BW1059" s="214">
        <v>1</v>
      </c>
      <c r="BX1059" s="214">
        <v>0</v>
      </c>
      <c r="BY1059" s="214">
        <v>0</v>
      </c>
      <c r="BZ1059" s="134">
        <v>0</v>
      </c>
      <c r="CA1059" s="138">
        <v>1</v>
      </c>
      <c r="CB1059" s="136">
        <v>1</v>
      </c>
      <c r="CC1059" s="136">
        <v>0</v>
      </c>
      <c r="CD1059" s="136">
        <v>0</v>
      </c>
      <c r="CE1059" s="137">
        <v>0</v>
      </c>
      <c r="CF1059" s="137">
        <v>0</v>
      </c>
      <c r="CG1059" s="137">
        <v>0</v>
      </c>
      <c r="CH1059" s="214">
        <v>0</v>
      </c>
      <c r="CI1059" s="139">
        <v>0</v>
      </c>
      <c r="CJ1059" s="139">
        <v>0</v>
      </c>
      <c r="CK1059" s="139" t="s">
        <v>969</v>
      </c>
      <c r="CL1059" s="139" t="s">
        <v>969</v>
      </c>
      <c r="CM1059" s="139" t="s">
        <v>969</v>
      </c>
      <c r="CN1059" s="139" t="s">
        <v>454</v>
      </c>
      <c r="CO1059" s="139">
        <v>20.910375595092798</v>
      </c>
      <c r="CP1059" s="139">
        <v>92.400138854980497</v>
      </c>
      <c r="CQ1059" s="139">
        <v>220734</v>
      </c>
      <c r="CR1059" s="449" t="s">
        <v>40</v>
      </c>
      <c r="CS1059" s="449"/>
      <c r="CT1059" s="24"/>
      <c r="CU1059" s="24"/>
      <c r="CV1059" s="24"/>
    </row>
    <row r="1060" spans="1:100" ht="15.75" customHeight="1" x14ac:dyDescent="0.25">
      <c r="A1060" s="643" t="s">
        <v>1388</v>
      </c>
      <c r="B1060" s="132" t="s">
        <v>530</v>
      </c>
      <c r="C1060" s="132" t="s">
        <v>454</v>
      </c>
      <c r="D1060" s="132" t="s">
        <v>466</v>
      </c>
      <c r="E1060" s="132" t="s">
        <v>644</v>
      </c>
      <c r="F1060" s="132">
        <v>38</v>
      </c>
      <c r="G1060" s="214">
        <v>216</v>
      </c>
      <c r="H1060" s="132"/>
      <c r="I1060" s="132" t="s">
        <v>388</v>
      </c>
      <c r="J1060" s="133">
        <v>43343</v>
      </c>
      <c r="K1060" s="132">
        <v>0</v>
      </c>
      <c r="L1060" s="132" t="s">
        <v>48</v>
      </c>
      <c r="M1060" s="134"/>
      <c r="N1060" s="134"/>
      <c r="O1060" s="320"/>
      <c r="P1060" s="326"/>
      <c r="Q1060" s="326"/>
      <c r="R1060" s="315"/>
      <c r="S1060" s="315"/>
      <c r="T1060" s="315"/>
      <c r="U1060" s="315"/>
      <c r="V1060" s="315"/>
      <c r="W1060" s="315"/>
      <c r="X1060" s="315"/>
      <c r="Y1060" s="315"/>
      <c r="Z1060" s="315"/>
      <c r="AA1060" s="336"/>
      <c r="AB1060" s="336"/>
      <c r="AC1060" s="337"/>
      <c r="AD1060" s="337"/>
      <c r="AE1060" s="336">
        <v>4</v>
      </c>
      <c r="AF1060" s="336" t="s">
        <v>332</v>
      </c>
      <c r="AG1060" s="339" t="s">
        <v>332</v>
      </c>
      <c r="AH1060" s="339"/>
      <c r="AI1060" s="336"/>
      <c r="AJ1060" s="336"/>
      <c r="AK1060" s="848">
        <v>0</v>
      </c>
      <c r="AL1060" s="836" t="s">
        <v>284</v>
      </c>
      <c r="AM1060" s="836">
        <v>0</v>
      </c>
      <c r="AN1060" s="848">
        <v>0</v>
      </c>
      <c r="AO1060" s="850">
        <v>7</v>
      </c>
      <c r="AP1060" s="839"/>
      <c r="AQ1060" s="839"/>
      <c r="AR1060" s="839"/>
      <c r="AS1060" s="839"/>
      <c r="AT1060" s="839"/>
      <c r="AU1060" s="839"/>
      <c r="AV1060" s="849"/>
      <c r="AW1060" s="134" t="s">
        <v>3208</v>
      </c>
      <c r="AX1060" s="136" t="s">
        <v>3208</v>
      </c>
      <c r="AY1060" s="137" t="s">
        <v>2576</v>
      </c>
      <c r="AZ1060" s="136">
        <v>0</v>
      </c>
      <c r="BA1060" s="136">
        <v>0</v>
      </c>
      <c r="BB1060" s="136">
        <v>0</v>
      </c>
      <c r="BC1060" s="214">
        <v>0</v>
      </c>
      <c r="BD1060" s="136">
        <v>0</v>
      </c>
      <c r="BE1060" s="214">
        <v>0</v>
      </c>
      <c r="BF1060" s="136">
        <v>0</v>
      </c>
      <c r="BG1060" s="214">
        <v>0</v>
      </c>
      <c r="BH1060" s="214">
        <v>0</v>
      </c>
      <c r="BI1060" s="134">
        <v>1</v>
      </c>
      <c r="BJ1060" s="214">
        <v>216</v>
      </c>
      <c r="BK1060" s="137">
        <v>1</v>
      </c>
      <c r="BL1060" s="137">
        <v>1</v>
      </c>
      <c r="BM1060" s="137">
        <v>0</v>
      </c>
      <c r="BN1060" s="134">
        <v>0</v>
      </c>
      <c r="BO1060" s="351">
        <v>0</v>
      </c>
      <c r="BP1060" s="134">
        <v>1</v>
      </c>
      <c r="BQ1060" s="214">
        <v>36</v>
      </c>
      <c r="BR1060" s="137">
        <v>36</v>
      </c>
      <c r="BS1060" s="138">
        <v>0</v>
      </c>
      <c r="BT1060" s="351" t="s">
        <v>103</v>
      </c>
      <c r="BU1060" s="214">
        <v>216</v>
      </c>
      <c r="BV1060" s="214">
        <v>0</v>
      </c>
      <c r="BW1060" s="214">
        <v>1</v>
      </c>
      <c r="BX1060" s="214">
        <v>0</v>
      </c>
      <c r="BY1060" s="214">
        <v>0</v>
      </c>
      <c r="BZ1060" s="134">
        <v>0</v>
      </c>
      <c r="CA1060" s="138">
        <v>1</v>
      </c>
      <c r="CB1060" s="136">
        <v>1</v>
      </c>
      <c r="CC1060" s="136">
        <v>0</v>
      </c>
      <c r="CD1060" s="136">
        <v>0</v>
      </c>
      <c r="CE1060" s="137">
        <v>0</v>
      </c>
      <c r="CF1060" s="137">
        <v>0</v>
      </c>
      <c r="CG1060" s="137">
        <v>0</v>
      </c>
      <c r="CH1060" s="214">
        <v>0</v>
      </c>
      <c r="CI1060" s="139">
        <v>0</v>
      </c>
      <c r="CJ1060" s="139">
        <v>0</v>
      </c>
      <c r="CK1060" s="139" t="s">
        <v>969</v>
      </c>
      <c r="CL1060" s="139" t="s">
        <v>969</v>
      </c>
      <c r="CM1060" s="139" t="s">
        <v>969</v>
      </c>
      <c r="CN1060" s="139" t="s">
        <v>454</v>
      </c>
      <c r="CO1060" s="139">
        <v>20.473930358886701</v>
      </c>
      <c r="CP1060" s="139">
        <v>92.668853759765597</v>
      </c>
      <c r="CQ1060" s="139">
        <v>197631</v>
      </c>
      <c r="CR1060" s="449" t="s">
        <v>40</v>
      </c>
      <c r="CS1060" s="449"/>
      <c r="CT1060" s="24"/>
      <c r="CU1060" s="24"/>
      <c r="CV1060" s="24"/>
    </row>
    <row r="1061" spans="1:100" ht="15.75" customHeight="1" x14ac:dyDescent="0.25">
      <c r="A1061" s="643" t="s">
        <v>1388</v>
      </c>
      <c r="B1061" s="132" t="s">
        <v>530</v>
      </c>
      <c r="C1061" s="132" t="s">
        <v>454</v>
      </c>
      <c r="D1061" s="132" t="s">
        <v>466</v>
      </c>
      <c r="E1061" s="132" t="s">
        <v>832</v>
      </c>
      <c r="F1061" s="132">
        <v>104</v>
      </c>
      <c r="G1061" s="214">
        <v>521</v>
      </c>
      <c r="H1061" s="132"/>
      <c r="I1061" s="132" t="s">
        <v>388</v>
      </c>
      <c r="J1061" s="133">
        <v>43145</v>
      </c>
      <c r="K1061" s="132">
        <v>0</v>
      </c>
      <c r="L1061" s="132" t="s">
        <v>48</v>
      </c>
      <c r="M1061" s="134">
        <v>0</v>
      </c>
      <c r="N1061" s="134">
        <v>0</v>
      </c>
      <c r="O1061" s="320">
        <v>0</v>
      </c>
      <c r="P1061" s="326">
        <v>0</v>
      </c>
      <c r="Q1061" s="326">
        <v>0</v>
      </c>
      <c r="R1061" s="315">
        <v>1</v>
      </c>
      <c r="S1061" s="315">
        <v>0</v>
      </c>
      <c r="T1061" s="315"/>
      <c r="U1061" s="315"/>
      <c r="V1061" s="315"/>
      <c r="W1061" s="315"/>
      <c r="X1061" s="315"/>
      <c r="Y1061" s="315"/>
      <c r="Z1061" s="315"/>
      <c r="AA1061" s="336">
        <v>3</v>
      </c>
      <c r="AB1061" s="336">
        <v>0</v>
      </c>
      <c r="AC1061" s="337"/>
      <c r="AD1061" s="337"/>
      <c r="AE1061" s="336">
        <v>3</v>
      </c>
      <c r="AF1061" s="336" t="s">
        <v>332</v>
      </c>
      <c r="AG1061" s="339" t="s">
        <v>332</v>
      </c>
      <c r="AH1061" s="339"/>
      <c r="AI1061" s="336"/>
      <c r="AJ1061" s="336"/>
      <c r="AK1061" s="848">
        <v>0</v>
      </c>
      <c r="AL1061" s="836" t="s">
        <v>284</v>
      </c>
      <c r="AM1061" s="836">
        <v>0</v>
      </c>
      <c r="AN1061" s="848">
        <v>0</v>
      </c>
      <c r="AO1061" s="850">
        <v>7</v>
      </c>
      <c r="AP1061" s="839"/>
      <c r="AQ1061" s="839"/>
      <c r="AR1061" s="839"/>
      <c r="AS1061" s="839"/>
      <c r="AT1061" s="839"/>
      <c r="AU1061" s="839"/>
      <c r="AV1061" s="849"/>
      <c r="AW1061" s="134" t="s">
        <v>3208</v>
      </c>
      <c r="AX1061" s="136" t="s">
        <v>3208</v>
      </c>
      <c r="AY1061" s="137" t="s">
        <v>2576</v>
      </c>
      <c r="AZ1061" s="136">
        <v>0</v>
      </c>
      <c r="BA1061" s="136">
        <v>0</v>
      </c>
      <c r="BB1061" s="136">
        <v>0</v>
      </c>
      <c r="BC1061" s="214">
        <v>0</v>
      </c>
      <c r="BD1061" s="136">
        <v>0.47984644913627639</v>
      </c>
      <c r="BE1061" s="214">
        <v>250</v>
      </c>
      <c r="BF1061" s="136">
        <v>0.47984644913627639</v>
      </c>
      <c r="BG1061" s="214">
        <v>250</v>
      </c>
      <c r="BH1061" s="214">
        <v>0.5</v>
      </c>
      <c r="BI1061" s="134">
        <v>0.52015355086372361</v>
      </c>
      <c r="BJ1061" s="214">
        <v>271</v>
      </c>
      <c r="BK1061" s="137">
        <v>0.5</v>
      </c>
      <c r="BL1061" s="137">
        <v>1</v>
      </c>
      <c r="BM1061" s="137">
        <v>3</v>
      </c>
      <c r="BN1061" s="134">
        <v>3.4548944337811902E-2</v>
      </c>
      <c r="BO1061" s="351">
        <v>18</v>
      </c>
      <c r="BP1061" s="134">
        <v>0.9673704414587333</v>
      </c>
      <c r="BQ1061" s="214">
        <v>84</v>
      </c>
      <c r="BR1061" s="137">
        <v>87</v>
      </c>
      <c r="BS1061" s="138">
        <v>0</v>
      </c>
      <c r="BT1061" s="351" t="s">
        <v>103</v>
      </c>
      <c r="BU1061" s="214">
        <v>521</v>
      </c>
      <c r="BV1061" s="214">
        <v>0</v>
      </c>
      <c r="BW1061" s="214">
        <v>1</v>
      </c>
      <c r="BX1061" s="214">
        <v>0</v>
      </c>
      <c r="BY1061" s="214">
        <v>0</v>
      </c>
      <c r="BZ1061" s="134">
        <v>0</v>
      </c>
      <c r="CA1061" s="138">
        <v>1</v>
      </c>
      <c r="CB1061" s="136">
        <v>1</v>
      </c>
      <c r="CC1061" s="136">
        <v>0</v>
      </c>
      <c r="CD1061" s="136">
        <v>0</v>
      </c>
      <c r="CE1061" s="137">
        <v>0</v>
      </c>
      <c r="CF1061" s="137">
        <v>0</v>
      </c>
      <c r="CG1061" s="137">
        <v>0</v>
      </c>
      <c r="CH1061" s="214">
        <v>0</v>
      </c>
      <c r="CI1061" s="139">
        <v>0</v>
      </c>
      <c r="CJ1061" s="139">
        <v>0</v>
      </c>
      <c r="CK1061" s="139" t="s">
        <v>969</v>
      </c>
      <c r="CL1061" s="139" t="s">
        <v>969</v>
      </c>
      <c r="CM1061" s="139" t="s">
        <v>969</v>
      </c>
      <c r="CN1061" s="139" t="s">
        <v>454</v>
      </c>
      <c r="CO1061" s="139">
        <v>20.987419128418001</v>
      </c>
      <c r="CP1061" s="139">
        <v>92.362136840820298</v>
      </c>
      <c r="CQ1061" s="139">
        <v>197913</v>
      </c>
      <c r="CR1061" s="449" t="s">
        <v>40</v>
      </c>
      <c r="CS1061" s="449"/>
      <c r="CT1061" s="24"/>
      <c r="CU1061" s="24"/>
      <c r="CV1061" s="24"/>
    </row>
    <row r="1062" spans="1:100" ht="16.5" customHeight="1" x14ac:dyDescent="0.25">
      <c r="A1062" s="643" t="s">
        <v>1388</v>
      </c>
      <c r="B1062" s="132" t="s">
        <v>530</v>
      </c>
      <c r="C1062" s="132" t="s">
        <v>454</v>
      </c>
      <c r="D1062" s="132" t="s">
        <v>466</v>
      </c>
      <c r="E1062" s="132" t="s">
        <v>2512</v>
      </c>
      <c r="F1062" s="132">
        <v>190</v>
      </c>
      <c r="G1062" s="214">
        <v>1193</v>
      </c>
      <c r="H1062" s="132"/>
      <c r="I1062" s="132" t="s">
        <v>388</v>
      </c>
      <c r="J1062" s="133">
        <v>43343</v>
      </c>
      <c r="K1062" s="132">
        <v>0</v>
      </c>
      <c r="L1062" s="132" t="s">
        <v>48</v>
      </c>
      <c r="M1062" s="134"/>
      <c r="N1062" s="134"/>
      <c r="O1062" s="320"/>
      <c r="P1062" s="326"/>
      <c r="Q1062" s="326"/>
      <c r="R1062" s="315"/>
      <c r="S1062" s="315"/>
      <c r="T1062" s="315"/>
      <c r="U1062" s="315"/>
      <c r="V1062" s="315"/>
      <c r="W1062" s="315"/>
      <c r="X1062" s="315"/>
      <c r="Y1062" s="315"/>
      <c r="Z1062" s="315"/>
      <c r="AA1062" s="336"/>
      <c r="AB1062" s="336"/>
      <c r="AC1062" s="337"/>
      <c r="AD1062" s="337"/>
      <c r="AE1062" s="336">
        <v>2</v>
      </c>
      <c r="AF1062" s="336" t="s">
        <v>332</v>
      </c>
      <c r="AG1062" s="339" t="s">
        <v>332</v>
      </c>
      <c r="AH1062" s="339"/>
      <c r="AI1062" s="336"/>
      <c r="AJ1062" s="336"/>
      <c r="AK1062" s="848">
        <v>0</v>
      </c>
      <c r="AL1062" s="836" t="s">
        <v>284</v>
      </c>
      <c r="AM1062" s="836">
        <v>0</v>
      </c>
      <c r="AN1062" s="848">
        <v>0</v>
      </c>
      <c r="AO1062" s="850">
        <v>7</v>
      </c>
      <c r="AP1062" s="839"/>
      <c r="AQ1062" s="839"/>
      <c r="AR1062" s="839"/>
      <c r="AS1062" s="839"/>
      <c r="AT1062" s="839"/>
      <c r="AU1062" s="839"/>
      <c r="AV1062" s="849"/>
      <c r="AW1062" s="134" t="s">
        <v>3208</v>
      </c>
      <c r="AX1062" s="136" t="s">
        <v>3208</v>
      </c>
      <c r="AY1062" s="137" t="s">
        <v>2576</v>
      </c>
      <c r="AZ1062" s="136">
        <v>0</v>
      </c>
      <c r="BA1062" s="136">
        <v>0</v>
      </c>
      <c r="BB1062" s="136">
        <v>0</v>
      </c>
      <c r="BC1062" s="214">
        <v>0</v>
      </c>
      <c r="BD1062" s="136">
        <v>0</v>
      </c>
      <c r="BE1062" s="214">
        <v>0</v>
      </c>
      <c r="BF1062" s="136">
        <v>0</v>
      </c>
      <c r="BG1062" s="214">
        <v>0</v>
      </c>
      <c r="BH1062" s="214">
        <v>0</v>
      </c>
      <c r="BI1062" s="134">
        <v>1</v>
      </c>
      <c r="BJ1062" s="214">
        <v>1193</v>
      </c>
      <c r="BK1062" s="137">
        <v>2</v>
      </c>
      <c r="BL1062" s="137">
        <v>2</v>
      </c>
      <c r="BM1062" s="137">
        <v>0</v>
      </c>
      <c r="BN1062" s="134">
        <v>0</v>
      </c>
      <c r="BO1062" s="351">
        <v>0</v>
      </c>
      <c r="BP1062" s="134">
        <v>1</v>
      </c>
      <c r="BQ1062" s="214">
        <v>199</v>
      </c>
      <c r="BR1062" s="137">
        <v>199</v>
      </c>
      <c r="BS1062" s="138">
        <v>0</v>
      </c>
      <c r="BT1062" s="351" t="s">
        <v>103</v>
      </c>
      <c r="BU1062" s="214">
        <v>1193</v>
      </c>
      <c r="BV1062" s="214">
        <v>0</v>
      </c>
      <c r="BW1062" s="214">
        <v>1</v>
      </c>
      <c r="BX1062" s="214">
        <v>0</v>
      </c>
      <c r="BY1062" s="214">
        <v>0</v>
      </c>
      <c r="BZ1062" s="134">
        <v>0</v>
      </c>
      <c r="CA1062" s="138">
        <v>1</v>
      </c>
      <c r="CB1062" s="136">
        <v>1</v>
      </c>
      <c r="CC1062" s="136">
        <v>0</v>
      </c>
      <c r="CD1062" s="136">
        <v>0</v>
      </c>
      <c r="CE1062" s="137">
        <v>0</v>
      </c>
      <c r="CF1062" s="137">
        <v>0</v>
      </c>
      <c r="CG1062" s="137">
        <v>0</v>
      </c>
      <c r="CH1062" s="214">
        <v>0</v>
      </c>
      <c r="CI1062" s="139">
        <v>0</v>
      </c>
      <c r="CJ1062" s="139">
        <v>0</v>
      </c>
      <c r="CK1062" s="139" t="s">
        <v>969</v>
      </c>
      <c r="CL1062" s="139" t="s">
        <v>969</v>
      </c>
      <c r="CM1062" s="139" t="s">
        <v>969</v>
      </c>
      <c r="CN1062" s="139" t="s">
        <v>966</v>
      </c>
      <c r="CO1062" s="139">
        <v>20.866529464721701</v>
      </c>
      <c r="CP1062" s="139">
        <v>92.364883422851605</v>
      </c>
      <c r="CQ1062" s="139">
        <v>197969</v>
      </c>
      <c r="CR1062" s="449" t="s">
        <v>40</v>
      </c>
      <c r="CS1062" s="449"/>
      <c r="CT1062" s="24"/>
      <c r="CU1062" s="24"/>
      <c r="CV1062" s="24"/>
    </row>
    <row r="1063" spans="1:100" ht="15.75" customHeight="1" x14ac:dyDescent="0.25">
      <c r="A1063" s="643" t="s">
        <v>1388</v>
      </c>
      <c r="B1063" s="132" t="s">
        <v>530</v>
      </c>
      <c r="C1063" s="132" t="s">
        <v>454</v>
      </c>
      <c r="D1063" s="132" t="s">
        <v>466</v>
      </c>
      <c r="E1063" s="132" t="s">
        <v>2513</v>
      </c>
      <c r="F1063" s="132">
        <v>270</v>
      </c>
      <c r="G1063" s="214">
        <v>1644</v>
      </c>
      <c r="H1063" s="132"/>
      <c r="I1063" s="132" t="s">
        <v>388</v>
      </c>
      <c r="J1063" s="133">
        <v>43343</v>
      </c>
      <c r="K1063" s="132">
        <v>0</v>
      </c>
      <c r="L1063" s="132" t="s">
        <v>48</v>
      </c>
      <c r="M1063" s="134"/>
      <c r="N1063" s="134"/>
      <c r="O1063" s="320"/>
      <c r="P1063" s="326"/>
      <c r="Q1063" s="326"/>
      <c r="R1063" s="315"/>
      <c r="S1063" s="315"/>
      <c r="T1063" s="315"/>
      <c r="U1063" s="315"/>
      <c r="V1063" s="315"/>
      <c r="W1063" s="315"/>
      <c r="X1063" s="315"/>
      <c r="Y1063" s="315"/>
      <c r="Z1063" s="315"/>
      <c r="AA1063" s="336"/>
      <c r="AB1063" s="336"/>
      <c r="AC1063" s="337"/>
      <c r="AD1063" s="337"/>
      <c r="AE1063" s="336">
        <v>12</v>
      </c>
      <c r="AF1063" s="336" t="s">
        <v>332</v>
      </c>
      <c r="AG1063" s="339" t="s">
        <v>332</v>
      </c>
      <c r="AH1063" s="339"/>
      <c r="AI1063" s="336"/>
      <c r="AJ1063" s="336"/>
      <c r="AK1063" s="848">
        <v>0</v>
      </c>
      <c r="AL1063" s="836" t="s">
        <v>284</v>
      </c>
      <c r="AM1063" s="836">
        <v>0</v>
      </c>
      <c r="AN1063" s="848">
        <v>0</v>
      </c>
      <c r="AO1063" s="850">
        <v>7</v>
      </c>
      <c r="AP1063" s="839"/>
      <c r="AQ1063" s="839"/>
      <c r="AR1063" s="839"/>
      <c r="AS1063" s="839"/>
      <c r="AT1063" s="839"/>
      <c r="AU1063" s="839"/>
      <c r="AV1063" s="849"/>
      <c r="AW1063" s="134" t="s">
        <v>3208</v>
      </c>
      <c r="AX1063" s="136" t="s">
        <v>3208</v>
      </c>
      <c r="AY1063" s="137" t="s">
        <v>2576</v>
      </c>
      <c r="AZ1063" s="136">
        <v>0</v>
      </c>
      <c r="BA1063" s="136">
        <v>0</v>
      </c>
      <c r="BB1063" s="136">
        <v>0</v>
      </c>
      <c r="BC1063" s="214">
        <v>0</v>
      </c>
      <c r="BD1063" s="136">
        <v>0</v>
      </c>
      <c r="BE1063" s="214">
        <v>0</v>
      </c>
      <c r="BF1063" s="136">
        <v>0</v>
      </c>
      <c r="BG1063" s="214">
        <v>0</v>
      </c>
      <c r="BH1063" s="214">
        <v>0</v>
      </c>
      <c r="BI1063" s="134">
        <v>1</v>
      </c>
      <c r="BJ1063" s="214">
        <v>1644</v>
      </c>
      <c r="BK1063" s="137">
        <v>3</v>
      </c>
      <c r="BL1063" s="137">
        <v>3</v>
      </c>
      <c r="BM1063" s="137">
        <v>0</v>
      </c>
      <c r="BN1063" s="134">
        <v>0</v>
      </c>
      <c r="BO1063" s="351">
        <v>0</v>
      </c>
      <c r="BP1063" s="134">
        <v>1</v>
      </c>
      <c r="BQ1063" s="214">
        <v>274</v>
      </c>
      <c r="BR1063" s="137">
        <v>274</v>
      </c>
      <c r="BS1063" s="138">
        <v>0</v>
      </c>
      <c r="BT1063" s="351" t="s">
        <v>103</v>
      </c>
      <c r="BU1063" s="214">
        <v>1644</v>
      </c>
      <c r="BV1063" s="214">
        <v>0</v>
      </c>
      <c r="BW1063" s="214">
        <v>1</v>
      </c>
      <c r="BX1063" s="214">
        <v>0</v>
      </c>
      <c r="BY1063" s="214">
        <v>0</v>
      </c>
      <c r="BZ1063" s="134">
        <v>0</v>
      </c>
      <c r="CA1063" s="138">
        <v>1</v>
      </c>
      <c r="CB1063" s="136">
        <v>1</v>
      </c>
      <c r="CC1063" s="136">
        <v>0</v>
      </c>
      <c r="CD1063" s="136">
        <v>0</v>
      </c>
      <c r="CE1063" s="137">
        <v>0</v>
      </c>
      <c r="CF1063" s="137">
        <v>0</v>
      </c>
      <c r="CG1063" s="137">
        <v>0</v>
      </c>
      <c r="CH1063" s="214">
        <v>0</v>
      </c>
      <c r="CI1063" s="139">
        <v>0</v>
      </c>
      <c r="CJ1063" s="139">
        <v>0</v>
      </c>
      <c r="CK1063" s="139" t="s">
        <v>969</v>
      </c>
      <c r="CL1063" s="139" t="s">
        <v>969</v>
      </c>
      <c r="CM1063" s="139" t="s">
        <v>969</v>
      </c>
      <c r="CN1063" s="139" t="s">
        <v>966</v>
      </c>
      <c r="CO1063" s="139">
        <v>20.903369903564499</v>
      </c>
      <c r="CP1063" s="139">
        <v>92.332237243652301</v>
      </c>
      <c r="CQ1063" s="139">
        <v>197961</v>
      </c>
      <c r="CR1063" s="449" t="s">
        <v>40</v>
      </c>
      <c r="CS1063" s="449"/>
      <c r="CT1063" s="24"/>
      <c r="CU1063" s="24"/>
      <c r="CV1063" s="24"/>
    </row>
    <row r="1064" spans="1:100" ht="15.75" customHeight="1" x14ac:dyDescent="0.25">
      <c r="A1064" s="643" t="s">
        <v>1388</v>
      </c>
      <c r="B1064" s="132" t="s">
        <v>530</v>
      </c>
      <c r="C1064" s="132" t="s">
        <v>454</v>
      </c>
      <c r="D1064" s="132" t="s">
        <v>466</v>
      </c>
      <c r="E1064" s="132" t="s">
        <v>839</v>
      </c>
      <c r="F1064" s="132">
        <v>240</v>
      </c>
      <c r="G1064" s="214">
        <v>1350</v>
      </c>
      <c r="H1064" s="132"/>
      <c r="I1064" s="132" t="s">
        <v>388</v>
      </c>
      <c r="J1064" s="133">
        <v>43145</v>
      </c>
      <c r="K1064" s="132">
        <v>0</v>
      </c>
      <c r="L1064" s="132" t="s">
        <v>48</v>
      </c>
      <c r="M1064" s="134">
        <v>0</v>
      </c>
      <c r="N1064" s="134">
        <v>0</v>
      </c>
      <c r="O1064" s="320">
        <v>1</v>
      </c>
      <c r="P1064" s="326">
        <v>25</v>
      </c>
      <c r="Q1064" s="326">
        <v>0</v>
      </c>
      <c r="R1064" s="315">
        <v>5</v>
      </c>
      <c r="S1064" s="315">
        <v>0</v>
      </c>
      <c r="T1064" s="315"/>
      <c r="U1064" s="315"/>
      <c r="V1064" s="315"/>
      <c r="W1064" s="315"/>
      <c r="X1064" s="315"/>
      <c r="Y1064" s="315"/>
      <c r="Z1064" s="315"/>
      <c r="AA1064" s="336">
        <v>5</v>
      </c>
      <c r="AB1064" s="336">
        <v>0</v>
      </c>
      <c r="AC1064" s="337"/>
      <c r="AD1064" s="337"/>
      <c r="AE1064" s="336">
        <v>5</v>
      </c>
      <c r="AF1064" s="336" t="s">
        <v>332</v>
      </c>
      <c r="AG1064" s="339" t="s">
        <v>332</v>
      </c>
      <c r="AH1064" s="339"/>
      <c r="AI1064" s="336"/>
      <c r="AJ1064" s="336"/>
      <c r="AK1064" s="848">
        <v>0</v>
      </c>
      <c r="AL1064" s="836" t="s">
        <v>284</v>
      </c>
      <c r="AM1064" s="836">
        <v>0</v>
      </c>
      <c r="AN1064" s="848">
        <v>0</v>
      </c>
      <c r="AO1064" s="850">
        <v>7</v>
      </c>
      <c r="AP1064" s="839"/>
      <c r="AQ1064" s="839"/>
      <c r="AR1064" s="839"/>
      <c r="AS1064" s="839"/>
      <c r="AT1064" s="839"/>
      <c r="AU1064" s="839"/>
      <c r="AV1064" s="849"/>
      <c r="AW1064" s="134" t="s">
        <v>3208</v>
      </c>
      <c r="AX1064" s="136" t="s">
        <v>3208</v>
      </c>
      <c r="AY1064" s="137" t="s">
        <v>2576</v>
      </c>
      <c r="AZ1064" s="136">
        <v>1</v>
      </c>
      <c r="BA1064" s="136">
        <v>1</v>
      </c>
      <c r="BB1064" s="136">
        <v>1</v>
      </c>
      <c r="BC1064" s="214">
        <v>1350</v>
      </c>
      <c r="BD1064" s="136">
        <v>0.92592592592592593</v>
      </c>
      <c r="BE1064" s="214">
        <v>1250</v>
      </c>
      <c r="BF1064" s="136">
        <v>1</v>
      </c>
      <c r="BG1064" s="214">
        <v>1350</v>
      </c>
      <c r="BH1064" s="214">
        <v>2.7</v>
      </c>
      <c r="BI1064" s="134">
        <v>0</v>
      </c>
      <c r="BJ1064" s="214">
        <v>0</v>
      </c>
      <c r="BK1064" s="137">
        <v>0.29999999999999982</v>
      </c>
      <c r="BL1064" s="137">
        <v>3</v>
      </c>
      <c r="BM1064" s="137">
        <v>5</v>
      </c>
      <c r="BN1064" s="134">
        <v>2.2222222222222223E-2</v>
      </c>
      <c r="BO1064" s="351">
        <v>30</v>
      </c>
      <c r="BP1064" s="134">
        <v>0.97777777777777775</v>
      </c>
      <c r="BQ1064" s="214">
        <v>220</v>
      </c>
      <c r="BR1064" s="137">
        <v>225</v>
      </c>
      <c r="BS1064" s="138">
        <v>0</v>
      </c>
      <c r="BT1064" s="351" t="s">
        <v>103</v>
      </c>
      <c r="BU1064" s="214">
        <v>1350</v>
      </c>
      <c r="BV1064" s="214">
        <v>0</v>
      </c>
      <c r="BW1064" s="214">
        <v>1</v>
      </c>
      <c r="BX1064" s="214">
        <v>0</v>
      </c>
      <c r="BY1064" s="214">
        <v>0</v>
      </c>
      <c r="BZ1064" s="134">
        <v>0</v>
      </c>
      <c r="CA1064" s="138">
        <v>1</v>
      </c>
      <c r="CB1064" s="136">
        <v>1</v>
      </c>
      <c r="CC1064" s="136">
        <v>0</v>
      </c>
      <c r="CD1064" s="136">
        <v>0</v>
      </c>
      <c r="CE1064" s="137">
        <v>0</v>
      </c>
      <c r="CF1064" s="137">
        <v>0</v>
      </c>
      <c r="CG1064" s="137">
        <v>0</v>
      </c>
      <c r="CH1064" s="214">
        <v>0</v>
      </c>
      <c r="CI1064" s="139">
        <v>0</v>
      </c>
      <c r="CJ1064" s="139">
        <v>0</v>
      </c>
      <c r="CK1064" s="139" t="s">
        <v>969</v>
      </c>
      <c r="CL1064" s="139" t="s">
        <v>969</v>
      </c>
      <c r="CM1064" s="139" t="s">
        <v>969</v>
      </c>
      <c r="CN1064" s="139" t="s">
        <v>454</v>
      </c>
      <c r="CO1064" s="139">
        <v>21.007270812988299</v>
      </c>
      <c r="CP1064" s="139">
        <v>92.3585205078125</v>
      </c>
      <c r="CQ1064" s="139">
        <v>197910</v>
      </c>
      <c r="CR1064" s="449" t="s">
        <v>40</v>
      </c>
      <c r="CS1064" s="449"/>
      <c r="CT1064" s="24"/>
      <c r="CU1064" s="24"/>
      <c r="CV1064" s="24"/>
    </row>
    <row r="1065" spans="1:100" ht="15.75" customHeight="1" x14ac:dyDescent="0.25">
      <c r="A1065" s="643" t="s">
        <v>1388</v>
      </c>
      <c r="B1065" s="132" t="s">
        <v>530</v>
      </c>
      <c r="C1065" s="132" t="s">
        <v>454</v>
      </c>
      <c r="D1065" s="132" t="s">
        <v>466</v>
      </c>
      <c r="E1065" s="132" t="s">
        <v>2514</v>
      </c>
      <c r="F1065" s="132">
        <v>250</v>
      </c>
      <c r="G1065" s="214">
        <v>2289</v>
      </c>
      <c r="H1065" s="132"/>
      <c r="I1065" s="132" t="s">
        <v>388</v>
      </c>
      <c r="J1065" s="133">
        <v>43343</v>
      </c>
      <c r="K1065" s="132">
        <v>0</v>
      </c>
      <c r="L1065" s="132" t="s">
        <v>48</v>
      </c>
      <c r="M1065" s="134"/>
      <c r="N1065" s="134"/>
      <c r="O1065" s="320"/>
      <c r="P1065" s="326"/>
      <c r="Q1065" s="326"/>
      <c r="R1065" s="315"/>
      <c r="S1065" s="315"/>
      <c r="T1065" s="315"/>
      <c r="U1065" s="315"/>
      <c r="V1065" s="315"/>
      <c r="W1065" s="315"/>
      <c r="X1065" s="315"/>
      <c r="Y1065" s="315"/>
      <c r="Z1065" s="315"/>
      <c r="AA1065" s="336"/>
      <c r="AB1065" s="336"/>
      <c r="AC1065" s="337"/>
      <c r="AD1065" s="337"/>
      <c r="AE1065" s="336">
        <v>18</v>
      </c>
      <c r="AF1065" s="336" t="s">
        <v>332</v>
      </c>
      <c r="AG1065" s="339" t="s">
        <v>332</v>
      </c>
      <c r="AH1065" s="339"/>
      <c r="AI1065" s="336"/>
      <c r="AJ1065" s="336"/>
      <c r="AK1065" s="848">
        <v>0</v>
      </c>
      <c r="AL1065" s="836" t="s">
        <v>284</v>
      </c>
      <c r="AM1065" s="836">
        <v>0</v>
      </c>
      <c r="AN1065" s="848">
        <v>0</v>
      </c>
      <c r="AO1065" s="850">
        <v>7</v>
      </c>
      <c r="AP1065" s="839"/>
      <c r="AQ1065" s="839"/>
      <c r="AR1065" s="839"/>
      <c r="AS1065" s="839"/>
      <c r="AT1065" s="839"/>
      <c r="AU1065" s="839"/>
      <c r="AV1065" s="849"/>
      <c r="AW1065" s="134" t="s">
        <v>3208</v>
      </c>
      <c r="AX1065" s="136" t="s">
        <v>3208</v>
      </c>
      <c r="AY1065" s="137" t="s">
        <v>2576</v>
      </c>
      <c r="AZ1065" s="136">
        <v>0</v>
      </c>
      <c r="BA1065" s="136">
        <v>0</v>
      </c>
      <c r="BB1065" s="136">
        <v>0</v>
      </c>
      <c r="BC1065" s="214">
        <v>0</v>
      </c>
      <c r="BD1065" s="136">
        <v>0</v>
      </c>
      <c r="BE1065" s="214">
        <v>0</v>
      </c>
      <c r="BF1065" s="136">
        <v>0</v>
      </c>
      <c r="BG1065" s="214">
        <v>0</v>
      </c>
      <c r="BH1065" s="214">
        <v>0</v>
      </c>
      <c r="BI1065" s="134">
        <v>1</v>
      </c>
      <c r="BJ1065" s="214">
        <v>2289</v>
      </c>
      <c r="BK1065" s="137">
        <v>5</v>
      </c>
      <c r="BL1065" s="137">
        <v>5</v>
      </c>
      <c r="BM1065" s="137">
        <v>0</v>
      </c>
      <c r="BN1065" s="134">
        <v>0</v>
      </c>
      <c r="BO1065" s="351">
        <v>0</v>
      </c>
      <c r="BP1065" s="134">
        <v>1</v>
      </c>
      <c r="BQ1065" s="214">
        <v>382</v>
      </c>
      <c r="BR1065" s="137">
        <v>382</v>
      </c>
      <c r="BS1065" s="138">
        <v>0</v>
      </c>
      <c r="BT1065" s="351" t="s">
        <v>103</v>
      </c>
      <c r="BU1065" s="214">
        <v>2289</v>
      </c>
      <c r="BV1065" s="214">
        <v>0</v>
      </c>
      <c r="BW1065" s="214">
        <v>1</v>
      </c>
      <c r="BX1065" s="214">
        <v>0</v>
      </c>
      <c r="BY1065" s="214">
        <v>0</v>
      </c>
      <c r="BZ1065" s="134">
        <v>0</v>
      </c>
      <c r="CA1065" s="138">
        <v>1</v>
      </c>
      <c r="CB1065" s="136">
        <v>1</v>
      </c>
      <c r="CC1065" s="136">
        <v>0</v>
      </c>
      <c r="CD1065" s="136">
        <v>0</v>
      </c>
      <c r="CE1065" s="137">
        <v>0</v>
      </c>
      <c r="CF1065" s="137">
        <v>0</v>
      </c>
      <c r="CG1065" s="137">
        <v>0</v>
      </c>
      <c r="CH1065" s="214">
        <v>0</v>
      </c>
      <c r="CI1065" s="139">
        <v>0</v>
      </c>
      <c r="CJ1065" s="139">
        <v>0</v>
      </c>
      <c r="CK1065" s="139" t="s">
        <v>969</v>
      </c>
      <c r="CL1065" s="139" t="s">
        <v>969</v>
      </c>
      <c r="CM1065" s="139" t="s">
        <v>969</v>
      </c>
      <c r="CN1065" s="139" t="s">
        <v>966</v>
      </c>
      <c r="CO1065" s="139">
        <v>20.872400283813501</v>
      </c>
      <c r="CP1065" s="139">
        <v>92.337608337402301</v>
      </c>
      <c r="CQ1065" s="139">
        <v>197971</v>
      </c>
      <c r="CR1065" s="449" t="s">
        <v>40</v>
      </c>
      <c r="CS1065" s="449"/>
      <c r="CT1065" s="24"/>
      <c r="CU1065" s="24"/>
      <c r="CV1065" s="24"/>
    </row>
    <row r="1066" spans="1:100" ht="15.75" customHeight="1" x14ac:dyDescent="0.25">
      <c r="A1066" s="643" t="s">
        <v>1388</v>
      </c>
      <c r="B1066" s="132" t="s">
        <v>530</v>
      </c>
      <c r="C1066" s="132" t="s">
        <v>454</v>
      </c>
      <c r="D1066" s="132" t="s">
        <v>466</v>
      </c>
      <c r="E1066" s="132" t="s">
        <v>2517</v>
      </c>
      <c r="F1066" s="132">
        <v>113</v>
      </c>
      <c r="G1066" s="214">
        <v>700</v>
      </c>
      <c r="H1066" s="132"/>
      <c r="I1066" s="132" t="s">
        <v>388</v>
      </c>
      <c r="J1066" s="133">
        <v>43343</v>
      </c>
      <c r="K1066" s="132">
        <v>0</v>
      </c>
      <c r="L1066" s="132" t="s">
        <v>48</v>
      </c>
      <c r="M1066" s="134"/>
      <c r="N1066" s="134"/>
      <c r="O1066" s="320"/>
      <c r="P1066" s="326"/>
      <c r="Q1066" s="326"/>
      <c r="R1066" s="315"/>
      <c r="S1066" s="315"/>
      <c r="T1066" s="315"/>
      <c r="U1066" s="315"/>
      <c r="V1066" s="315"/>
      <c r="W1066" s="315"/>
      <c r="X1066" s="315"/>
      <c r="Y1066" s="315"/>
      <c r="Z1066" s="315"/>
      <c r="AA1066" s="336"/>
      <c r="AB1066" s="336"/>
      <c r="AC1066" s="337"/>
      <c r="AD1066" s="337"/>
      <c r="AE1066" s="336">
        <v>3</v>
      </c>
      <c r="AF1066" s="336" t="s">
        <v>332</v>
      </c>
      <c r="AG1066" s="339" t="s">
        <v>332</v>
      </c>
      <c r="AH1066" s="339"/>
      <c r="AI1066" s="336"/>
      <c r="AJ1066" s="336"/>
      <c r="AK1066" s="848">
        <v>0</v>
      </c>
      <c r="AL1066" s="836" t="s">
        <v>284</v>
      </c>
      <c r="AM1066" s="836">
        <v>0</v>
      </c>
      <c r="AN1066" s="848">
        <v>0</v>
      </c>
      <c r="AO1066" s="850">
        <v>7</v>
      </c>
      <c r="AP1066" s="839"/>
      <c r="AQ1066" s="839"/>
      <c r="AR1066" s="839"/>
      <c r="AS1066" s="839"/>
      <c r="AT1066" s="839"/>
      <c r="AU1066" s="839"/>
      <c r="AV1066" s="849"/>
      <c r="AW1066" s="134" t="s">
        <v>3208</v>
      </c>
      <c r="AX1066" s="136" t="s">
        <v>3208</v>
      </c>
      <c r="AY1066" s="137" t="s">
        <v>2576</v>
      </c>
      <c r="AZ1066" s="136">
        <v>0</v>
      </c>
      <c r="BA1066" s="136">
        <v>0</v>
      </c>
      <c r="BB1066" s="136">
        <v>0</v>
      </c>
      <c r="BC1066" s="214">
        <v>0</v>
      </c>
      <c r="BD1066" s="136">
        <v>0</v>
      </c>
      <c r="BE1066" s="214">
        <v>0</v>
      </c>
      <c r="BF1066" s="136">
        <v>0</v>
      </c>
      <c r="BG1066" s="214">
        <v>0</v>
      </c>
      <c r="BH1066" s="214">
        <v>0</v>
      </c>
      <c r="BI1066" s="134">
        <v>1</v>
      </c>
      <c r="BJ1066" s="214">
        <v>700</v>
      </c>
      <c r="BK1066" s="137">
        <v>1</v>
      </c>
      <c r="BL1066" s="137">
        <v>1</v>
      </c>
      <c r="BM1066" s="137">
        <v>0</v>
      </c>
      <c r="BN1066" s="134">
        <v>0</v>
      </c>
      <c r="BO1066" s="351">
        <v>0</v>
      </c>
      <c r="BP1066" s="134">
        <v>1</v>
      </c>
      <c r="BQ1066" s="214">
        <v>117</v>
      </c>
      <c r="BR1066" s="137">
        <v>117</v>
      </c>
      <c r="BS1066" s="138">
        <v>0</v>
      </c>
      <c r="BT1066" s="351" t="s">
        <v>103</v>
      </c>
      <c r="BU1066" s="214">
        <v>700</v>
      </c>
      <c r="BV1066" s="214">
        <v>0</v>
      </c>
      <c r="BW1066" s="214">
        <v>1</v>
      </c>
      <c r="BX1066" s="214">
        <v>0</v>
      </c>
      <c r="BY1066" s="214">
        <v>0</v>
      </c>
      <c r="BZ1066" s="134">
        <v>0</v>
      </c>
      <c r="CA1066" s="138">
        <v>1</v>
      </c>
      <c r="CB1066" s="136">
        <v>1</v>
      </c>
      <c r="CC1066" s="136">
        <v>0</v>
      </c>
      <c r="CD1066" s="136">
        <v>0</v>
      </c>
      <c r="CE1066" s="137">
        <v>0</v>
      </c>
      <c r="CF1066" s="137">
        <v>0</v>
      </c>
      <c r="CG1066" s="137">
        <v>0</v>
      </c>
      <c r="CH1066" s="214">
        <v>0</v>
      </c>
      <c r="CI1066" s="139">
        <v>0</v>
      </c>
      <c r="CJ1066" s="139">
        <v>0</v>
      </c>
      <c r="CK1066" s="139" t="s">
        <v>969</v>
      </c>
      <c r="CL1066" s="139" t="s">
        <v>969</v>
      </c>
      <c r="CM1066" s="139" t="s">
        <v>969</v>
      </c>
      <c r="CN1066" s="139" t="s">
        <v>454</v>
      </c>
      <c r="CO1066" s="139">
        <v>20.731571197509801</v>
      </c>
      <c r="CP1066" s="139">
        <v>92.428176879882798</v>
      </c>
      <c r="CQ1066" s="139">
        <v>198016</v>
      </c>
      <c r="CR1066" s="449" t="s">
        <v>40</v>
      </c>
      <c r="CS1066" s="449"/>
      <c r="CT1066" s="24"/>
      <c r="CU1066" s="24"/>
      <c r="CV1066" s="24"/>
    </row>
    <row r="1067" spans="1:100" ht="15.75" customHeight="1" x14ac:dyDescent="0.25">
      <c r="A1067" s="643" t="s">
        <v>1388</v>
      </c>
      <c r="B1067" s="132" t="s">
        <v>530</v>
      </c>
      <c r="C1067" s="132" t="s">
        <v>454</v>
      </c>
      <c r="D1067" s="132" t="s">
        <v>466</v>
      </c>
      <c r="E1067" s="132" t="s">
        <v>840</v>
      </c>
      <c r="F1067" s="132">
        <v>62</v>
      </c>
      <c r="G1067" s="214">
        <v>278</v>
      </c>
      <c r="H1067" s="132"/>
      <c r="I1067" s="132" t="s">
        <v>388</v>
      </c>
      <c r="J1067" s="133">
        <v>43145</v>
      </c>
      <c r="K1067" s="132">
        <v>0</v>
      </c>
      <c r="L1067" s="132" t="s">
        <v>48</v>
      </c>
      <c r="M1067" s="134">
        <v>0</v>
      </c>
      <c r="N1067" s="134">
        <v>0</v>
      </c>
      <c r="O1067" s="320">
        <v>1</v>
      </c>
      <c r="P1067" s="326">
        <v>2</v>
      </c>
      <c r="Q1067" s="326">
        <v>0</v>
      </c>
      <c r="R1067" s="315">
        <v>3</v>
      </c>
      <c r="S1067" s="315">
        <v>0</v>
      </c>
      <c r="T1067" s="315"/>
      <c r="U1067" s="315"/>
      <c r="V1067" s="315"/>
      <c r="W1067" s="315"/>
      <c r="X1067" s="315"/>
      <c r="Y1067" s="315"/>
      <c r="Z1067" s="315"/>
      <c r="AA1067" s="336">
        <v>8</v>
      </c>
      <c r="AB1067" s="336">
        <v>0</v>
      </c>
      <c r="AC1067" s="337"/>
      <c r="AD1067" s="337"/>
      <c r="AE1067" s="336">
        <v>8</v>
      </c>
      <c r="AF1067" s="336" t="s">
        <v>332</v>
      </c>
      <c r="AG1067" s="339" t="s">
        <v>332</v>
      </c>
      <c r="AH1067" s="339"/>
      <c r="AI1067" s="336"/>
      <c r="AJ1067" s="336"/>
      <c r="AK1067" s="848">
        <v>0</v>
      </c>
      <c r="AL1067" s="836" t="s">
        <v>284</v>
      </c>
      <c r="AM1067" s="836">
        <v>0</v>
      </c>
      <c r="AN1067" s="848">
        <v>0</v>
      </c>
      <c r="AO1067" s="850">
        <v>7</v>
      </c>
      <c r="AP1067" s="839"/>
      <c r="AQ1067" s="839"/>
      <c r="AR1067" s="839"/>
      <c r="AS1067" s="839"/>
      <c r="AT1067" s="839"/>
      <c r="AU1067" s="839"/>
      <c r="AV1067" s="849"/>
      <c r="AW1067" s="134" t="s">
        <v>3208</v>
      </c>
      <c r="AX1067" s="136" t="s">
        <v>3208</v>
      </c>
      <c r="AY1067" s="137" t="s">
        <v>2576</v>
      </c>
      <c r="AZ1067" s="136">
        <v>1</v>
      </c>
      <c r="BA1067" s="136">
        <v>1</v>
      </c>
      <c r="BB1067" s="136">
        <v>1</v>
      </c>
      <c r="BC1067" s="214">
        <v>278</v>
      </c>
      <c r="BD1067" s="136">
        <v>1</v>
      </c>
      <c r="BE1067" s="214">
        <v>278</v>
      </c>
      <c r="BF1067" s="136">
        <v>1</v>
      </c>
      <c r="BG1067" s="214">
        <v>278</v>
      </c>
      <c r="BH1067" s="214">
        <v>0.55600000000000005</v>
      </c>
      <c r="BI1067" s="134">
        <v>0</v>
      </c>
      <c r="BJ1067" s="214">
        <v>0</v>
      </c>
      <c r="BK1067" s="137">
        <v>0.44399999999999995</v>
      </c>
      <c r="BL1067" s="137">
        <v>1</v>
      </c>
      <c r="BM1067" s="137">
        <v>8</v>
      </c>
      <c r="BN1067" s="134">
        <v>0.17266187050359713</v>
      </c>
      <c r="BO1067" s="351">
        <v>48</v>
      </c>
      <c r="BP1067" s="134">
        <v>0.82014388489208634</v>
      </c>
      <c r="BQ1067" s="214">
        <v>38</v>
      </c>
      <c r="BR1067" s="137">
        <v>46</v>
      </c>
      <c r="BS1067" s="138">
        <v>0</v>
      </c>
      <c r="BT1067" s="351" t="s">
        <v>103</v>
      </c>
      <c r="BU1067" s="214">
        <v>278</v>
      </c>
      <c r="BV1067" s="214">
        <v>0</v>
      </c>
      <c r="BW1067" s="214">
        <v>1</v>
      </c>
      <c r="BX1067" s="214">
        <v>0</v>
      </c>
      <c r="BY1067" s="214">
        <v>0</v>
      </c>
      <c r="BZ1067" s="134">
        <v>0</v>
      </c>
      <c r="CA1067" s="138">
        <v>1</v>
      </c>
      <c r="CB1067" s="136">
        <v>1</v>
      </c>
      <c r="CC1067" s="136">
        <v>0</v>
      </c>
      <c r="CD1067" s="136">
        <v>0</v>
      </c>
      <c r="CE1067" s="137">
        <v>0</v>
      </c>
      <c r="CF1067" s="137">
        <v>0</v>
      </c>
      <c r="CG1067" s="137">
        <v>0</v>
      </c>
      <c r="CH1067" s="214">
        <v>0</v>
      </c>
      <c r="CI1067" s="139">
        <v>0</v>
      </c>
      <c r="CJ1067" s="139">
        <v>0</v>
      </c>
      <c r="CK1067" s="139" t="s">
        <v>969</v>
      </c>
      <c r="CL1067" s="139" t="s">
        <v>969</v>
      </c>
      <c r="CM1067" s="139" t="s">
        <v>969</v>
      </c>
      <c r="CN1067" s="139" t="s">
        <v>454</v>
      </c>
      <c r="CO1067" s="139">
        <v>21.0094203948975</v>
      </c>
      <c r="CP1067" s="139">
        <v>92.318077087402301</v>
      </c>
      <c r="CQ1067" s="139">
        <v>197893</v>
      </c>
      <c r="CR1067" s="449" t="s">
        <v>40</v>
      </c>
      <c r="CS1067" s="449"/>
      <c r="CT1067" s="24"/>
      <c r="CU1067" s="24"/>
      <c r="CV1067" s="24"/>
    </row>
    <row r="1068" spans="1:100" ht="15.75" customHeight="1" x14ac:dyDescent="0.25">
      <c r="A1068" s="643" t="s">
        <v>1388</v>
      </c>
      <c r="B1068" s="132" t="s">
        <v>530</v>
      </c>
      <c r="C1068" s="132" t="s">
        <v>454</v>
      </c>
      <c r="D1068" s="132" t="s">
        <v>466</v>
      </c>
      <c r="E1068" s="132" t="s">
        <v>2515</v>
      </c>
      <c r="F1068" s="132">
        <v>46</v>
      </c>
      <c r="G1068" s="214">
        <v>259</v>
      </c>
      <c r="H1068" s="132"/>
      <c r="I1068" s="132" t="s">
        <v>388</v>
      </c>
      <c r="J1068" s="133">
        <v>43343</v>
      </c>
      <c r="K1068" s="132">
        <v>0</v>
      </c>
      <c r="L1068" s="132" t="s">
        <v>48</v>
      </c>
      <c r="M1068" s="134"/>
      <c r="N1068" s="134"/>
      <c r="O1068" s="320"/>
      <c r="P1068" s="326"/>
      <c r="Q1068" s="326"/>
      <c r="R1068" s="315"/>
      <c r="S1068" s="315"/>
      <c r="T1068" s="315"/>
      <c r="U1068" s="315"/>
      <c r="V1068" s="315"/>
      <c r="W1068" s="315"/>
      <c r="X1068" s="315"/>
      <c r="Y1068" s="315"/>
      <c r="Z1068" s="315"/>
      <c r="AA1068" s="336"/>
      <c r="AB1068" s="336"/>
      <c r="AC1068" s="337"/>
      <c r="AD1068" s="337"/>
      <c r="AE1068" s="336">
        <v>2</v>
      </c>
      <c r="AF1068" s="336" t="s">
        <v>332</v>
      </c>
      <c r="AG1068" s="339" t="s">
        <v>332</v>
      </c>
      <c r="AH1068" s="339"/>
      <c r="AI1068" s="336"/>
      <c r="AJ1068" s="336"/>
      <c r="AK1068" s="848">
        <v>0</v>
      </c>
      <c r="AL1068" s="836" t="s">
        <v>284</v>
      </c>
      <c r="AM1068" s="836">
        <v>0</v>
      </c>
      <c r="AN1068" s="848">
        <v>0</v>
      </c>
      <c r="AO1068" s="850">
        <v>7</v>
      </c>
      <c r="AP1068" s="839"/>
      <c r="AQ1068" s="839"/>
      <c r="AR1068" s="839"/>
      <c r="AS1068" s="839"/>
      <c r="AT1068" s="839"/>
      <c r="AU1068" s="839"/>
      <c r="AV1068" s="849"/>
      <c r="AW1068" s="134" t="s">
        <v>3208</v>
      </c>
      <c r="AX1068" s="136" t="s">
        <v>3208</v>
      </c>
      <c r="AY1068" s="137" t="s">
        <v>2576</v>
      </c>
      <c r="AZ1068" s="136">
        <v>0</v>
      </c>
      <c r="BA1068" s="136">
        <v>0</v>
      </c>
      <c r="BB1068" s="136">
        <v>0</v>
      </c>
      <c r="BC1068" s="214">
        <v>0</v>
      </c>
      <c r="BD1068" s="136">
        <v>0</v>
      </c>
      <c r="BE1068" s="214">
        <v>0</v>
      </c>
      <c r="BF1068" s="136">
        <v>0</v>
      </c>
      <c r="BG1068" s="214">
        <v>0</v>
      </c>
      <c r="BH1068" s="214">
        <v>0</v>
      </c>
      <c r="BI1068" s="134">
        <v>1</v>
      </c>
      <c r="BJ1068" s="214">
        <v>259</v>
      </c>
      <c r="BK1068" s="137">
        <v>1</v>
      </c>
      <c r="BL1068" s="137">
        <v>1</v>
      </c>
      <c r="BM1068" s="137">
        <v>0</v>
      </c>
      <c r="BN1068" s="134">
        <v>0</v>
      </c>
      <c r="BO1068" s="351">
        <v>0</v>
      </c>
      <c r="BP1068" s="134">
        <v>0.99613899613899615</v>
      </c>
      <c r="BQ1068" s="214">
        <v>43</v>
      </c>
      <c r="BR1068" s="137">
        <v>43</v>
      </c>
      <c r="BS1068" s="138">
        <v>0</v>
      </c>
      <c r="BT1068" s="351" t="s">
        <v>103</v>
      </c>
      <c r="BU1068" s="214">
        <v>259</v>
      </c>
      <c r="BV1068" s="214">
        <v>0</v>
      </c>
      <c r="BW1068" s="214">
        <v>1</v>
      </c>
      <c r="BX1068" s="214">
        <v>0</v>
      </c>
      <c r="BY1068" s="214">
        <v>0</v>
      </c>
      <c r="BZ1068" s="134">
        <v>0</v>
      </c>
      <c r="CA1068" s="138">
        <v>1</v>
      </c>
      <c r="CB1068" s="136">
        <v>1</v>
      </c>
      <c r="CC1068" s="136">
        <v>0</v>
      </c>
      <c r="CD1068" s="136">
        <v>0</v>
      </c>
      <c r="CE1068" s="137">
        <v>0</v>
      </c>
      <c r="CF1068" s="137">
        <v>0</v>
      </c>
      <c r="CG1068" s="137">
        <v>0</v>
      </c>
      <c r="CH1068" s="214">
        <v>0</v>
      </c>
      <c r="CI1068" s="139">
        <v>0</v>
      </c>
      <c r="CJ1068" s="139">
        <v>0</v>
      </c>
      <c r="CK1068" s="139" t="s">
        <v>969</v>
      </c>
      <c r="CL1068" s="139" t="s">
        <v>969</v>
      </c>
      <c r="CM1068" s="139" t="s">
        <v>969</v>
      </c>
      <c r="CN1068" s="139" t="s">
        <v>2518</v>
      </c>
      <c r="CO1068" s="139">
        <v>20.946010589599599</v>
      </c>
      <c r="CP1068" s="139">
        <v>92.301872253417997</v>
      </c>
      <c r="CQ1068" s="139">
        <v>197899</v>
      </c>
      <c r="CR1068" s="449" t="s">
        <v>40</v>
      </c>
      <c r="CS1068" s="449"/>
      <c r="CT1068" s="24"/>
      <c r="CU1068" s="24"/>
      <c r="CV1068" s="24"/>
    </row>
    <row r="1069" spans="1:100" ht="15.75" customHeight="1" x14ac:dyDescent="0.25">
      <c r="A1069" s="643" t="s">
        <v>1388</v>
      </c>
      <c r="B1069" s="132" t="s">
        <v>530</v>
      </c>
      <c r="C1069" s="132" t="s">
        <v>454</v>
      </c>
      <c r="D1069" s="132" t="s">
        <v>466</v>
      </c>
      <c r="E1069" s="132" t="s">
        <v>837</v>
      </c>
      <c r="F1069" s="132">
        <v>173</v>
      </c>
      <c r="G1069" s="214">
        <v>1205</v>
      </c>
      <c r="H1069" s="132"/>
      <c r="I1069" s="132" t="s">
        <v>388</v>
      </c>
      <c r="J1069" s="133">
        <v>43145</v>
      </c>
      <c r="K1069" s="132">
        <v>0</v>
      </c>
      <c r="L1069" s="132" t="s">
        <v>48</v>
      </c>
      <c r="M1069" s="134">
        <v>0</v>
      </c>
      <c r="N1069" s="134">
        <v>0</v>
      </c>
      <c r="O1069" s="320">
        <v>1</v>
      </c>
      <c r="P1069" s="326">
        <v>10</v>
      </c>
      <c r="Q1069" s="326">
        <v>0</v>
      </c>
      <c r="R1069" s="315">
        <v>5</v>
      </c>
      <c r="S1069" s="315">
        <v>0</v>
      </c>
      <c r="T1069" s="315"/>
      <c r="U1069" s="315"/>
      <c r="V1069" s="315"/>
      <c r="W1069" s="315"/>
      <c r="X1069" s="315"/>
      <c r="Y1069" s="315"/>
      <c r="Z1069" s="315"/>
      <c r="AA1069" s="336">
        <v>0</v>
      </c>
      <c r="AB1069" s="336">
        <v>0</v>
      </c>
      <c r="AC1069" s="337"/>
      <c r="AD1069" s="337"/>
      <c r="AE1069" s="336">
        <v>0</v>
      </c>
      <c r="AF1069" s="336" t="s">
        <v>332</v>
      </c>
      <c r="AG1069" s="339" t="s">
        <v>332</v>
      </c>
      <c r="AH1069" s="339"/>
      <c r="AI1069" s="336"/>
      <c r="AJ1069" s="336"/>
      <c r="AK1069" s="848">
        <v>0</v>
      </c>
      <c r="AL1069" s="836" t="s">
        <v>284</v>
      </c>
      <c r="AM1069" s="836">
        <v>0</v>
      </c>
      <c r="AN1069" s="848">
        <v>0</v>
      </c>
      <c r="AO1069" s="850">
        <v>7</v>
      </c>
      <c r="AP1069" s="839"/>
      <c r="AQ1069" s="839"/>
      <c r="AR1069" s="839"/>
      <c r="AS1069" s="839"/>
      <c r="AT1069" s="839"/>
      <c r="AU1069" s="839"/>
      <c r="AV1069" s="849"/>
      <c r="AW1069" s="134" t="s">
        <v>3208</v>
      </c>
      <c r="AX1069" s="136" t="s">
        <v>3208</v>
      </c>
      <c r="AY1069" s="137" t="s">
        <v>2576</v>
      </c>
      <c r="AZ1069" s="136">
        <v>1</v>
      </c>
      <c r="BA1069" s="136">
        <v>1</v>
      </c>
      <c r="BB1069" s="136">
        <v>1</v>
      </c>
      <c r="BC1069" s="214">
        <v>1205</v>
      </c>
      <c r="BD1069" s="136">
        <v>1</v>
      </c>
      <c r="BE1069" s="214">
        <v>1205</v>
      </c>
      <c r="BF1069" s="136">
        <v>1</v>
      </c>
      <c r="BG1069" s="214">
        <v>1205</v>
      </c>
      <c r="BH1069" s="214">
        <v>2.41</v>
      </c>
      <c r="BI1069" s="134">
        <v>0</v>
      </c>
      <c r="BJ1069" s="214">
        <v>0</v>
      </c>
      <c r="BK1069" s="137">
        <v>0</v>
      </c>
      <c r="BL1069" s="137">
        <v>2</v>
      </c>
      <c r="BM1069" s="137">
        <v>0</v>
      </c>
      <c r="BN1069" s="134">
        <v>0</v>
      </c>
      <c r="BO1069" s="351">
        <v>0</v>
      </c>
      <c r="BP1069" s="134">
        <v>1</v>
      </c>
      <c r="BQ1069" s="214">
        <v>201</v>
      </c>
      <c r="BR1069" s="137">
        <v>201</v>
      </c>
      <c r="BS1069" s="138">
        <v>0</v>
      </c>
      <c r="BT1069" s="351" t="s">
        <v>103</v>
      </c>
      <c r="BU1069" s="214">
        <v>1205</v>
      </c>
      <c r="BV1069" s="214">
        <v>0</v>
      </c>
      <c r="BW1069" s="214">
        <v>1</v>
      </c>
      <c r="BX1069" s="214">
        <v>0</v>
      </c>
      <c r="BY1069" s="214">
        <v>0</v>
      </c>
      <c r="BZ1069" s="134">
        <v>0</v>
      </c>
      <c r="CA1069" s="138">
        <v>1</v>
      </c>
      <c r="CB1069" s="136">
        <v>1</v>
      </c>
      <c r="CC1069" s="136">
        <v>0</v>
      </c>
      <c r="CD1069" s="136">
        <v>0</v>
      </c>
      <c r="CE1069" s="137">
        <v>0</v>
      </c>
      <c r="CF1069" s="137">
        <v>0</v>
      </c>
      <c r="CG1069" s="137">
        <v>0</v>
      </c>
      <c r="CH1069" s="214">
        <v>0</v>
      </c>
      <c r="CI1069" s="139">
        <v>0</v>
      </c>
      <c r="CJ1069" s="139">
        <v>0</v>
      </c>
      <c r="CK1069" s="139" t="s">
        <v>969</v>
      </c>
      <c r="CL1069" s="139" t="s">
        <v>969</v>
      </c>
      <c r="CM1069" s="139" t="s">
        <v>969</v>
      </c>
      <c r="CN1069" s="139" t="s">
        <v>966</v>
      </c>
      <c r="CO1069" s="139">
        <v>21.000970840454102</v>
      </c>
      <c r="CP1069" s="139">
        <v>92.334213256835895</v>
      </c>
      <c r="CQ1069" s="139">
        <v>197903</v>
      </c>
      <c r="CR1069" s="449" t="s">
        <v>40</v>
      </c>
      <c r="CS1069" s="449"/>
      <c r="CT1069" s="24"/>
      <c r="CU1069" s="24"/>
      <c r="CV1069" s="24"/>
    </row>
    <row r="1070" spans="1:100" ht="15.75" customHeight="1" x14ac:dyDescent="0.25">
      <c r="A1070" s="643" t="s">
        <v>1388</v>
      </c>
      <c r="B1070" s="132" t="s">
        <v>460</v>
      </c>
      <c r="C1070" s="132" t="s">
        <v>454</v>
      </c>
      <c r="D1070" s="132" t="s">
        <v>473</v>
      </c>
      <c r="E1070" s="132" t="s">
        <v>628</v>
      </c>
      <c r="F1070" s="132">
        <v>124</v>
      </c>
      <c r="G1070" s="214">
        <v>479</v>
      </c>
      <c r="H1070" s="132"/>
      <c r="I1070" s="132"/>
      <c r="J1070" s="133"/>
      <c r="K1070" s="132"/>
      <c r="L1070" s="132" t="s">
        <v>282</v>
      </c>
      <c r="M1070" s="134">
        <v>0</v>
      </c>
      <c r="N1070" s="134">
        <v>0</v>
      </c>
      <c r="O1070" s="320">
        <v>0</v>
      </c>
      <c r="P1070" s="326">
        <v>0</v>
      </c>
      <c r="Q1070" s="326"/>
      <c r="R1070" s="315"/>
      <c r="S1070" s="315">
        <v>0</v>
      </c>
      <c r="T1070" s="315"/>
      <c r="U1070" s="315"/>
      <c r="V1070" s="315"/>
      <c r="W1070" s="315"/>
      <c r="X1070" s="315"/>
      <c r="Y1070" s="315"/>
      <c r="Z1070" s="315"/>
      <c r="AA1070" s="336">
        <v>8</v>
      </c>
      <c r="AB1070" s="336"/>
      <c r="AC1070" s="337"/>
      <c r="AD1070" s="337"/>
      <c r="AE1070" s="336">
        <v>8</v>
      </c>
      <c r="AF1070" s="336" t="s">
        <v>286</v>
      </c>
      <c r="AG1070" s="339" t="s">
        <v>286</v>
      </c>
      <c r="AH1070" s="339"/>
      <c r="AI1070" s="336"/>
      <c r="AJ1070" s="336"/>
      <c r="AK1070" s="848">
        <v>0</v>
      </c>
      <c r="AL1070" s="836"/>
      <c r="AM1070" s="836">
        <v>0</v>
      </c>
      <c r="AN1070" s="848"/>
      <c r="AO1070" s="850"/>
      <c r="AP1070" s="839"/>
      <c r="AQ1070" s="839"/>
      <c r="AR1070" s="839"/>
      <c r="AS1070" s="839"/>
      <c r="AT1070" s="839"/>
      <c r="AU1070" s="839"/>
      <c r="AV1070" s="849"/>
      <c r="AW1070" s="134" t="s">
        <v>3208</v>
      </c>
      <c r="AX1070" s="136" t="s">
        <v>3208</v>
      </c>
      <c r="AY1070" s="137" t="s">
        <v>2576</v>
      </c>
      <c r="AZ1070" s="136">
        <v>0</v>
      </c>
      <c r="BA1070" s="136">
        <v>0</v>
      </c>
      <c r="BB1070" s="136">
        <v>0</v>
      </c>
      <c r="BC1070" s="214">
        <v>0</v>
      </c>
      <c r="BD1070" s="136">
        <v>0</v>
      </c>
      <c r="BE1070" s="214">
        <v>0</v>
      </c>
      <c r="BF1070" s="136">
        <v>0</v>
      </c>
      <c r="BG1070" s="214">
        <v>0</v>
      </c>
      <c r="BH1070" s="214">
        <v>0</v>
      </c>
      <c r="BI1070" s="134">
        <v>1</v>
      </c>
      <c r="BJ1070" s="214">
        <v>479</v>
      </c>
      <c r="BK1070" s="137">
        <v>1</v>
      </c>
      <c r="BL1070" s="137">
        <v>1</v>
      </c>
      <c r="BM1070" s="137">
        <v>8</v>
      </c>
      <c r="BN1070" s="134">
        <v>0.10020876826722339</v>
      </c>
      <c r="BO1070" s="351">
        <v>48</v>
      </c>
      <c r="BP1070" s="134">
        <v>0.90187891440501045</v>
      </c>
      <c r="BQ1070" s="214">
        <v>72</v>
      </c>
      <c r="BR1070" s="137">
        <v>80</v>
      </c>
      <c r="BS1070" s="138">
        <v>0</v>
      </c>
      <c r="BT1070" s="351" t="s">
        <v>103</v>
      </c>
      <c r="BU1070" s="214">
        <v>0</v>
      </c>
      <c r="BV1070" s="214">
        <v>0</v>
      </c>
      <c r="BW1070" s="214">
        <v>0</v>
      </c>
      <c r="BX1070" s="214">
        <v>0</v>
      </c>
      <c r="BY1070" s="214">
        <v>0</v>
      </c>
      <c r="BZ1070" s="134">
        <v>0</v>
      </c>
      <c r="CA1070" s="138">
        <v>1</v>
      </c>
      <c r="CB1070" s="136">
        <v>0</v>
      </c>
      <c r="CC1070" s="136">
        <v>0</v>
      </c>
      <c r="CD1070" s="136">
        <v>0</v>
      </c>
      <c r="CE1070" s="137">
        <v>0</v>
      </c>
      <c r="CF1070" s="137">
        <v>0</v>
      </c>
      <c r="CG1070" s="137">
        <v>0</v>
      </c>
      <c r="CH1070" s="214">
        <v>0</v>
      </c>
      <c r="CI1070" s="139">
        <v>0</v>
      </c>
      <c r="CJ1070" s="139">
        <v>0</v>
      </c>
      <c r="CK1070" s="139" t="s">
        <v>969</v>
      </c>
      <c r="CL1070" s="139" t="s">
        <v>969</v>
      </c>
      <c r="CM1070" s="139" t="s">
        <v>969</v>
      </c>
      <c r="CN1070" s="139" t="s">
        <v>1060</v>
      </c>
      <c r="CO1070" s="139">
        <v>20.394809723000002</v>
      </c>
      <c r="CP1070" s="139">
        <v>93.251609802000004</v>
      </c>
      <c r="CQ1070" s="139" t="s">
        <v>1685</v>
      </c>
      <c r="CR1070" s="449" t="s">
        <v>3209</v>
      </c>
      <c r="CS1070" s="449"/>
      <c r="CT1070" s="24"/>
      <c r="CU1070" s="24"/>
      <c r="CV1070" s="24"/>
    </row>
    <row r="1071" spans="1:100" ht="15.75" customHeight="1" x14ac:dyDescent="0.25">
      <c r="A1071" s="643" t="s">
        <v>1388</v>
      </c>
      <c r="B1071" s="132" t="s">
        <v>460</v>
      </c>
      <c r="C1071" s="132" t="s">
        <v>454</v>
      </c>
      <c r="D1071" s="132" t="s">
        <v>473</v>
      </c>
      <c r="E1071" s="132" t="s">
        <v>474</v>
      </c>
      <c r="F1071" s="132">
        <v>178</v>
      </c>
      <c r="G1071" s="214">
        <v>763</v>
      </c>
      <c r="H1071" s="132"/>
      <c r="I1071" s="132"/>
      <c r="J1071" s="133"/>
      <c r="K1071" s="132"/>
      <c r="L1071" s="132" t="s">
        <v>282</v>
      </c>
      <c r="M1071" s="134">
        <v>0</v>
      </c>
      <c r="N1071" s="134">
        <v>0</v>
      </c>
      <c r="O1071" s="320">
        <v>0</v>
      </c>
      <c r="P1071" s="326">
        <v>0</v>
      </c>
      <c r="Q1071" s="326"/>
      <c r="R1071" s="315"/>
      <c r="S1071" s="315">
        <v>0</v>
      </c>
      <c r="T1071" s="315"/>
      <c r="U1071" s="315"/>
      <c r="V1071" s="315"/>
      <c r="W1071" s="315"/>
      <c r="X1071" s="315"/>
      <c r="Y1071" s="315"/>
      <c r="Z1071" s="315"/>
      <c r="AA1071" s="336">
        <v>5</v>
      </c>
      <c r="AB1071" s="336"/>
      <c r="AC1071" s="337"/>
      <c r="AD1071" s="337"/>
      <c r="AE1071" s="336">
        <v>5</v>
      </c>
      <c r="AF1071" s="336" t="s">
        <v>286</v>
      </c>
      <c r="AG1071" s="339" t="s">
        <v>286</v>
      </c>
      <c r="AH1071" s="339"/>
      <c r="AI1071" s="336"/>
      <c r="AJ1071" s="336"/>
      <c r="AK1071" s="848">
        <v>0</v>
      </c>
      <c r="AL1071" s="836"/>
      <c r="AM1071" s="836">
        <v>0</v>
      </c>
      <c r="AN1071" s="848"/>
      <c r="AO1071" s="850"/>
      <c r="AP1071" s="839"/>
      <c r="AQ1071" s="839"/>
      <c r="AR1071" s="839"/>
      <c r="AS1071" s="839"/>
      <c r="AT1071" s="839"/>
      <c r="AU1071" s="839"/>
      <c r="AV1071" s="849"/>
      <c r="AW1071" s="134" t="s">
        <v>3208</v>
      </c>
      <c r="AX1071" s="136" t="s">
        <v>3208</v>
      </c>
      <c r="AY1071" s="137" t="s">
        <v>2576</v>
      </c>
      <c r="AZ1071" s="136">
        <v>0</v>
      </c>
      <c r="BA1071" s="136">
        <v>0</v>
      </c>
      <c r="BB1071" s="136">
        <v>0</v>
      </c>
      <c r="BC1071" s="214">
        <v>0</v>
      </c>
      <c r="BD1071" s="136">
        <v>0</v>
      </c>
      <c r="BE1071" s="214">
        <v>0</v>
      </c>
      <c r="BF1071" s="136">
        <v>0</v>
      </c>
      <c r="BG1071" s="214">
        <v>0</v>
      </c>
      <c r="BH1071" s="214">
        <v>0</v>
      </c>
      <c r="BI1071" s="134">
        <v>1</v>
      </c>
      <c r="BJ1071" s="214">
        <v>763</v>
      </c>
      <c r="BK1071" s="137">
        <v>2</v>
      </c>
      <c r="BL1071" s="137">
        <v>2</v>
      </c>
      <c r="BM1071" s="137">
        <v>5</v>
      </c>
      <c r="BN1071" s="134">
        <v>3.9318479685452164E-2</v>
      </c>
      <c r="BO1071" s="351">
        <v>30</v>
      </c>
      <c r="BP1071" s="134">
        <v>0.95937090432503269</v>
      </c>
      <c r="BQ1071" s="214">
        <v>122</v>
      </c>
      <c r="BR1071" s="137">
        <v>127</v>
      </c>
      <c r="BS1071" s="138">
        <v>0</v>
      </c>
      <c r="BT1071" s="351" t="s">
        <v>103</v>
      </c>
      <c r="BU1071" s="214">
        <v>0</v>
      </c>
      <c r="BV1071" s="214">
        <v>0</v>
      </c>
      <c r="BW1071" s="214">
        <v>0</v>
      </c>
      <c r="BX1071" s="214">
        <v>0</v>
      </c>
      <c r="BY1071" s="214">
        <v>0</v>
      </c>
      <c r="BZ1071" s="134">
        <v>0</v>
      </c>
      <c r="CA1071" s="138">
        <v>1</v>
      </c>
      <c r="CB1071" s="136">
        <v>0</v>
      </c>
      <c r="CC1071" s="136">
        <v>0</v>
      </c>
      <c r="CD1071" s="136">
        <v>0</v>
      </c>
      <c r="CE1071" s="137">
        <v>0</v>
      </c>
      <c r="CF1071" s="137">
        <v>0</v>
      </c>
      <c r="CG1071" s="137">
        <v>0</v>
      </c>
      <c r="CH1071" s="214">
        <v>0</v>
      </c>
      <c r="CI1071" s="139">
        <v>0</v>
      </c>
      <c r="CJ1071" s="139">
        <v>0</v>
      </c>
      <c r="CK1071" s="139" t="s">
        <v>969</v>
      </c>
      <c r="CL1071" s="139" t="s">
        <v>969</v>
      </c>
      <c r="CM1071" s="139" t="s">
        <v>969</v>
      </c>
      <c r="CN1071" s="139" t="s">
        <v>454</v>
      </c>
      <c r="CO1071" s="139">
        <v>0</v>
      </c>
      <c r="CP1071" s="139">
        <v>0</v>
      </c>
      <c r="CQ1071" s="139" t="s">
        <v>2092</v>
      </c>
      <c r="CR1071" s="449" t="s">
        <v>3209</v>
      </c>
      <c r="CS1071" s="449"/>
      <c r="CT1071" s="24"/>
      <c r="CU1071" s="24"/>
      <c r="CV1071" s="24"/>
    </row>
    <row r="1072" spans="1:100" ht="15.75" customHeight="1" x14ac:dyDescent="0.25">
      <c r="A1072" s="643" t="s">
        <v>1388</v>
      </c>
      <c r="B1072" s="132" t="s">
        <v>460</v>
      </c>
      <c r="C1072" s="132" t="s">
        <v>454</v>
      </c>
      <c r="D1072" s="132" t="s">
        <v>473</v>
      </c>
      <c r="E1072" s="132" t="s">
        <v>630</v>
      </c>
      <c r="F1072" s="132">
        <v>42</v>
      </c>
      <c r="G1072" s="214">
        <v>183</v>
      </c>
      <c r="H1072" s="132"/>
      <c r="I1072" s="132"/>
      <c r="J1072" s="133"/>
      <c r="K1072" s="132"/>
      <c r="L1072" s="132" t="s">
        <v>282</v>
      </c>
      <c r="M1072" s="134">
        <v>0</v>
      </c>
      <c r="N1072" s="134">
        <v>0</v>
      </c>
      <c r="O1072" s="320">
        <v>2</v>
      </c>
      <c r="P1072" s="326">
        <v>0</v>
      </c>
      <c r="Q1072" s="326"/>
      <c r="R1072" s="315"/>
      <c r="S1072" s="315">
        <v>2</v>
      </c>
      <c r="T1072" s="315"/>
      <c r="U1072" s="315"/>
      <c r="V1072" s="315"/>
      <c r="W1072" s="315"/>
      <c r="X1072" s="315"/>
      <c r="Y1072" s="315"/>
      <c r="Z1072" s="315"/>
      <c r="AA1072" s="336">
        <v>0</v>
      </c>
      <c r="AB1072" s="336"/>
      <c r="AC1072" s="337"/>
      <c r="AD1072" s="337"/>
      <c r="AE1072" s="336">
        <v>0</v>
      </c>
      <c r="AF1072" s="336" t="s">
        <v>286</v>
      </c>
      <c r="AG1072" s="339" t="s">
        <v>286</v>
      </c>
      <c r="AH1072" s="339"/>
      <c r="AI1072" s="336"/>
      <c r="AJ1072" s="336"/>
      <c r="AK1072" s="848">
        <v>0</v>
      </c>
      <c r="AL1072" s="836"/>
      <c r="AM1072" s="836">
        <v>0</v>
      </c>
      <c r="AN1072" s="848"/>
      <c r="AO1072" s="850"/>
      <c r="AP1072" s="839"/>
      <c r="AQ1072" s="839"/>
      <c r="AR1072" s="839"/>
      <c r="AS1072" s="839"/>
      <c r="AT1072" s="839"/>
      <c r="AU1072" s="839"/>
      <c r="AV1072" s="849"/>
      <c r="AW1072" s="134" t="s">
        <v>3208</v>
      </c>
      <c r="AX1072" s="136" t="s">
        <v>3208</v>
      </c>
      <c r="AY1072" s="137" t="s">
        <v>2576</v>
      </c>
      <c r="AZ1072" s="136">
        <v>1</v>
      </c>
      <c r="BA1072" s="136">
        <v>1</v>
      </c>
      <c r="BB1072" s="136">
        <v>1</v>
      </c>
      <c r="BC1072" s="214">
        <v>183</v>
      </c>
      <c r="BD1072" s="136">
        <v>0</v>
      </c>
      <c r="BE1072" s="214">
        <v>0</v>
      </c>
      <c r="BF1072" s="136">
        <v>1</v>
      </c>
      <c r="BG1072" s="214">
        <v>183</v>
      </c>
      <c r="BH1072" s="214">
        <v>0.36599999999999999</v>
      </c>
      <c r="BI1072" s="134">
        <v>0</v>
      </c>
      <c r="BJ1072" s="214">
        <v>0</v>
      </c>
      <c r="BK1072" s="137">
        <v>0.63400000000000001</v>
      </c>
      <c r="BL1072" s="137">
        <v>1</v>
      </c>
      <c r="BM1072" s="137">
        <v>0</v>
      </c>
      <c r="BN1072" s="134">
        <v>0</v>
      </c>
      <c r="BO1072" s="351">
        <v>0</v>
      </c>
      <c r="BP1072" s="134">
        <v>1</v>
      </c>
      <c r="BQ1072" s="214">
        <v>31</v>
      </c>
      <c r="BR1072" s="137">
        <v>31</v>
      </c>
      <c r="BS1072" s="138">
        <v>0</v>
      </c>
      <c r="BT1072" s="351" t="s">
        <v>103</v>
      </c>
      <c r="BU1072" s="214">
        <v>0</v>
      </c>
      <c r="BV1072" s="214">
        <v>0</v>
      </c>
      <c r="BW1072" s="214">
        <v>0</v>
      </c>
      <c r="BX1072" s="214">
        <v>0</v>
      </c>
      <c r="BY1072" s="214">
        <v>0</v>
      </c>
      <c r="BZ1072" s="134">
        <v>0</v>
      </c>
      <c r="CA1072" s="138">
        <v>1</v>
      </c>
      <c r="CB1072" s="136">
        <v>0</v>
      </c>
      <c r="CC1072" s="136">
        <v>0</v>
      </c>
      <c r="CD1072" s="136">
        <v>0</v>
      </c>
      <c r="CE1072" s="137">
        <v>0</v>
      </c>
      <c r="CF1072" s="137">
        <v>0</v>
      </c>
      <c r="CG1072" s="137">
        <v>0</v>
      </c>
      <c r="CH1072" s="214">
        <v>0</v>
      </c>
      <c r="CI1072" s="139">
        <v>0</v>
      </c>
      <c r="CJ1072" s="139">
        <v>0</v>
      </c>
      <c r="CK1072" s="139" t="s">
        <v>969</v>
      </c>
      <c r="CL1072" s="139" t="s">
        <v>969</v>
      </c>
      <c r="CM1072" s="139" t="s">
        <v>969</v>
      </c>
      <c r="CN1072" s="139" t="s">
        <v>454</v>
      </c>
      <c r="CO1072" s="139">
        <v>20.398889541999999</v>
      </c>
      <c r="CP1072" s="139">
        <v>93.254051208000007</v>
      </c>
      <c r="CQ1072" s="139" t="s">
        <v>1687</v>
      </c>
      <c r="CR1072" s="449" t="s">
        <v>3209</v>
      </c>
      <c r="CS1072" s="449"/>
      <c r="CT1072" s="24"/>
      <c r="CU1072" s="24"/>
      <c r="CV1072" s="24"/>
    </row>
    <row r="1073" spans="1:100" ht="15.75" customHeight="1" x14ac:dyDescent="0.25">
      <c r="A1073" s="643" t="s">
        <v>1388</v>
      </c>
      <c r="B1073" s="132" t="s">
        <v>460</v>
      </c>
      <c r="C1073" s="132" t="s">
        <v>454</v>
      </c>
      <c r="D1073" s="132" t="s">
        <v>473</v>
      </c>
      <c r="E1073" s="132" t="s">
        <v>610</v>
      </c>
      <c r="F1073" s="132">
        <v>415</v>
      </c>
      <c r="G1073" s="214">
        <v>1628</v>
      </c>
      <c r="H1073" s="132"/>
      <c r="I1073" s="132"/>
      <c r="J1073" s="133"/>
      <c r="K1073" s="132"/>
      <c r="L1073" s="132" t="s">
        <v>282</v>
      </c>
      <c r="M1073" s="134">
        <v>0</v>
      </c>
      <c r="N1073" s="134">
        <v>0</v>
      </c>
      <c r="O1073" s="320">
        <v>0</v>
      </c>
      <c r="P1073" s="326">
        <v>0</v>
      </c>
      <c r="Q1073" s="326"/>
      <c r="R1073" s="315"/>
      <c r="S1073" s="315">
        <v>0</v>
      </c>
      <c r="T1073" s="315"/>
      <c r="U1073" s="315"/>
      <c r="V1073" s="315"/>
      <c r="W1073" s="315"/>
      <c r="X1073" s="315"/>
      <c r="Y1073" s="315"/>
      <c r="Z1073" s="315"/>
      <c r="AA1073" s="336">
        <v>45</v>
      </c>
      <c r="AB1073" s="336"/>
      <c r="AC1073" s="337"/>
      <c r="AD1073" s="337"/>
      <c r="AE1073" s="336">
        <v>45</v>
      </c>
      <c r="AF1073" s="336" t="s">
        <v>286</v>
      </c>
      <c r="AG1073" s="339" t="s">
        <v>286</v>
      </c>
      <c r="AH1073" s="339"/>
      <c r="AI1073" s="336"/>
      <c r="AJ1073" s="336"/>
      <c r="AK1073" s="848">
        <v>0</v>
      </c>
      <c r="AL1073" s="836"/>
      <c r="AM1073" s="836">
        <v>0</v>
      </c>
      <c r="AN1073" s="848"/>
      <c r="AO1073" s="850"/>
      <c r="AP1073" s="839"/>
      <c r="AQ1073" s="839"/>
      <c r="AR1073" s="839"/>
      <c r="AS1073" s="839"/>
      <c r="AT1073" s="839"/>
      <c r="AU1073" s="839"/>
      <c r="AV1073" s="849"/>
      <c r="AW1073" s="134" t="s">
        <v>3208</v>
      </c>
      <c r="AX1073" s="136" t="s">
        <v>3208</v>
      </c>
      <c r="AY1073" s="137" t="s">
        <v>2576</v>
      </c>
      <c r="AZ1073" s="136">
        <v>0</v>
      </c>
      <c r="BA1073" s="136">
        <v>0</v>
      </c>
      <c r="BB1073" s="136">
        <v>0</v>
      </c>
      <c r="BC1073" s="214">
        <v>0</v>
      </c>
      <c r="BD1073" s="136">
        <v>0</v>
      </c>
      <c r="BE1073" s="214">
        <v>0</v>
      </c>
      <c r="BF1073" s="136">
        <v>0</v>
      </c>
      <c r="BG1073" s="214">
        <v>0</v>
      </c>
      <c r="BH1073" s="214">
        <v>0</v>
      </c>
      <c r="BI1073" s="134">
        <v>1</v>
      </c>
      <c r="BJ1073" s="214">
        <v>1628</v>
      </c>
      <c r="BK1073" s="137">
        <v>3</v>
      </c>
      <c r="BL1073" s="137">
        <v>3</v>
      </c>
      <c r="BM1073" s="137">
        <v>45</v>
      </c>
      <c r="BN1073" s="134">
        <v>0.16584766584766586</v>
      </c>
      <c r="BO1073" s="351">
        <v>270</v>
      </c>
      <c r="BP1073" s="134">
        <v>0.83292383292383299</v>
      </c>
      <c r="BQ1073" s="214">
        <v>226</v>
      </c>
      <c r="BR1073" s="137">
        <v>271</v>
      </c>
      <c r="BS1073" s="138">
        <v>0</v>
      </c>
      <c r="BT1073" s="351" t="s">
        <v>103</v>
      </c>
      <c r="BU1073" s="214">
        <v>0</v>
      </c>
      <c r="BV1073" s="214">
        <v>0</v>
      </c>
      <c r="BW1073" s="214">
        <v>0</v>
      </c>
      <c r="BX1073" s="214">
        <v>0</v>
      </c>
      <c r="BY1073" s="214">
        <v>0</v>
      </c>
      <c r="BZ1073" s="134">
        <v>0</v>
      </c>
      <c r="CA1073" s="138">
        <v>1</v>
      </c>
      <c r="CB1073" s="136">
        <v>0</v>
      </c>
      <c r="CC1073" s="136">
        <v>0</v>
      </c>
      <c r="CD1073" s="136">
        <v>0</v>
      </c>
      <c r="CE1073" s="137">
        <v>0</v>
      </c>
      <c r="CF1073" s="137">
        <v>0</v>
      </c>
      <c r="CG1073" s="137">
        <v>0</v>
      </c>
      <c r="CH1073" s="214">
        <v>0</v>
      </c>
      <c r="CI1073" s="139">
        <v>0</v>
      </c>
      <c r="CJ1073" s="139">
        <v>0</v>
      </c>
      <c r="CK1073" s="139" t="s">
        <v>969</v>
      </c>
      <c r="CL1073" s="139" t="s">
        <v>969</v>
      </c>
      <c r="CM1073" s="139" t="s">
        <v>969</v>
      </c>
      <c r="CN1073" s="139" t="s">
        <v>454</v>
      </c>
      <c r="CO1073" s="139">
        <v>20.218471527099599</v>
      </c>
      <c r="CP1073" s="139">
        <v>93.424331665039105</v>
      </c>
      <c r="CQ1073" s="139" t="s">
        <v>1667</v>
      </c>
      <c r="CR1073" s="449" t="s">
        <v>3209</v>
      </c>
      <c r="CS1073" s="449"/>
      <c r="CT1073" s="24"/>
      <c r="CU1073" s="24"/>
      <c r="CV1073" s="24"/>
    </row>
    <row r="1074" spans="1:100" ht="15.75" customHeight="1" x14ac:dyDescent="0.25">
      <c r="A1074" s="643" t="s">
        <v>1388</v>
      </c>
      <c r="B1074" s="132" t="s">
        <v>460</v>
      </c>
      <c r="C1074" s="132" t="s">
        <v>454</v>
      </c>
      <c r="D1074" s="132" t="s">
        <v>473</v>
      </c>
      <c r="E1074" s="132" t="s">
        <v>631</v>
      </c>
      <c r="F1074" s="132">
        <v>150</v>
      </c>
      <c r="G1074" s="214">
        <v>730</v>
      </c>
      <c r="H1074" s="132"/>
      <c r="I1074" s="132"/>
      <c r="J1074" s="133"/>
      <c r="K1074" s="132"/>
      <c r="L1074" s="132" t="s">
        <v>282</v>
      </c>
      <c r="M1074" s="134">
        <v>0</v>
      </c>
      <c r="N1074" s="134">
        <v>0</v>
      </c>
      <c r="O1074" s="320">
        <v>2</v>
      </c>
      <c r="P1074" s="326">
        <v>0</v>
      </c>
      <c r="Q1074" s="326"/>
      <c r="R1074" s="315"/>
      <c r="S1074" s="315">
        <v>3</v>
      </c>
      <c r="T1074" s="315"/>
      <c r="U1074" s="315"/>
      <c r="V1074" s="315"/>
      <c r="W1074" s="315"/>
      <c r="X1074" s="315"/>
      <c r="Y1074" s="315"/>
      <c r="Z1074" s="315"/>
      <c r="AA1074" s="336">
        <v>55</v>
      </c>
      <c r="AB1074" s="336"/>
      <c r="AC1074" s="337"/>
      <c r="AD1074" s="337"/>
      <c r="AE1074" s="336">
        <v>55</v>
      </c>
      <c r="AF1074" s="336" t="s">
        <v>286</v>
      </c>
      <c r="AG1074" s="339" t="s">
        <v>286</v>
      </c>
      <c r="AH1074" s="339"/>
      <c r="AI1074" s="336"/>
      <c r="AJ1074" s="336"/>
      <c r="AK1074" s="848">
        <v>1</v>
      </c>
      <c r="AL1074" s="836"/>
      <c r="AM1074" s="836">
        <v>15</v>
      </c>
      <c r="AN1074" s="848"/>
      <c r="AO1074" s="850">
        <v>4</v>
      </c>
      <c r="AP1074" s="839"/>
      <c r="AQ1074" s="839"/>
      <c r="AR1074" s="839"/>
      <c r="AS1074" s="839"/>
      <c r="AT1074" s="839"/>
      <c r="AU1074" s="839"/>
      <c r="AV1074" s="849"/>
      <c r="AW1074" s="134" t="s">
        <v>3208</v>
      </c>
      <c r="AX1074" s="136" t="s">
        <v>3208</v>
      </c>
      <c r="AY1074" s="137" t="s">
        <v>2576</v>
      </c>
      <c r="AZ1074" s="136">
        <v>1</v>
      </c>
      <c r="BA1074" s="136">
        <v>0.68493150684931503</v>
      </c>
      <c r="BB1074" s="136">
        <v>0.68493150684931503</v>
      </c>
      <c r="BC1074" s="214">
        <v>500</v>
      </c>
      <c r="BD1074" s="136">
        <v>0</v>
      </c>
      <c r="BE1074" s="214">
        <v>0</v>
      </c>
      <c r="BF1074" s="136">
        <v>0.68493150684931503</v>
      </c>
      <c r="BG1074" s="214">
        <v>500</v>
      </c>
      <c r="BH1074" s="214">
        <v>1</v>
      </c>
      <c r="BI1074" s="134">
        <v>0.31506849315068497</v>
      </c>
      <c r="BJ1074" s="214">
        <v>230.00000000000003</v>
      </c>
      <c r="BK1074" s="137">
        <v>0</v>
      </c>
      <c r="BL1074" s="137">
        <v>1</v>
      </c>
      <c r="BM1074" s="137">
        <v>55</v>
      </c>
      <c r="BN1074" s="134">
        <v>0.45205479452054792</v>
      </c>
      <c r="BO1074" s="351">
        <v>330</v>
      </c>
      <c r="BP1074" s="134">
        <v>0.55068493150684927</v>
      </c>
      <c r="BQ1074" s="214">
        <v>67</v>
      </c>
      <c r="BR1074" s="137">
        <v>122</v>
      </c>
      <c r="BS1074" s="138">
        <v>0</v>
      </c>
      <c r="BT1074" s="351" t="s">
        <v>103</v>
      </c>
      <c r="BU1074" s="214">
        <v>730</v>
      </c>
      <c r="BV1074" s="214">
        <v>0</v>
      </c>
      <c r="BW1074" s="214">
        <v>1</v>
      </c>
      <c r="BX1074" s="214">
        <v>0</v>
      </c>
      <c r="BY1074" s="214">
        <v>0</v>
      </c>
      <c r="BZ1074" s="134">
        <v>0</v>
      </c>
      <c r="CA1074" s="138">
        <v>1</v>
      </c>
      <c r="CB1074" s="136">
        <v>1</v>
      </c>
      <c r="CC1074" s="136">
        <v>0</v>
      </c>
      <c r="CD1074" s="136">
        <v>0</v>
      </c>
      <c r="CE1074" s="137">
        <v>0</v>
      </c>
      <c r="CF1074" s="137">
        <v>0</v>
      </c>
      <c r="CG1074" s="137">
        <v>0</v>
      </c>
      <c r="CH1074" s="214">
        <v>150</v>
      </c>
      <c r="CI1074" s="139">
        <v>0</v>
      </c>
      <c r="CJ1074" s="139">
        <v>0</v>
      </c>
      <c r="CK1074" s="139" t="s">
        <v>969</v>
      </c>
      <c r="CL1074" s="139" t="s">
        <v>969</v>
      </c>
      <c r="CM1074" s="139" t="s">
        <v>1054</v>
      </c>
      <c r="CN1074" s="139" t="s">
        <v>966</v>
      </c>
      <c r="CO1074" s="139">
        <v>20.39902</v>
      </c>
      <c r="CP1074" s="139">
        <v>93.249669999999995</v>
      </c>
      <c r="CQ1074" s="139" t="s">
        <v>1688</v>
      </c>
      <c r="CR1074" s="449" t="s">
        <v>3209</v>
      </c>
      <c r="CS1074" s="449"/>
      <c r="CT1074" s="24"/>
      <c r="CU1074" s="24"/>
      <c r="CV1074" s="24"/>
    </row>
    <row r="1075" spans="1:100" ht="15.75" customHeight="1" x14ac:dyDescent="0.25">
      <c r="A1075" s="643" t="s">
        <v>1388</v>
      </c>
      <c r="B1075" s="132" t="s">
        <v>460</v>
      </c>
      <c r="C1075" s="132" t="s">
        <v>454</v>
      </c>
      <c r="D1075" s="132" t="s">
        <v>473</v>
      </c>
      <c r="E1075" s="132" t="s">
        <v>656</v>
      </c>
      <c r="F1075" s="132">
        <v>175</v>
      </c>
      <c r="G1075" s="214">
        <v>659</v>
      </c>
      <c r="H1075" s="132"/>
      <c r="I1075" s="132"/>
      <c r="J1075" s="133"/>
      <c r="K1075" s="132"/>
      <c r="L1075" s="132" t="s">
        <v>282</v>
      </c>
      <c r="M1075" s="134">
        <v>0</v>
      </c>
      <c r="N1075" s="134">
        <v>0</v>
      </c>
      <c r="O1075" s="320">
        <v>2</v>
      </c>
      <c r="P1075" s="326">
        <v>0</v>
      </c>
      <c r="Q1075" s="326"/>
      <c r="R1075" s="315"/>
      <c r="S1075" s="315">
        <v>0</v>
      </c>
      <c r="T1075" s="315"/>
      <c r="U1075" s="315"/>
      <c r="V1075" s="315"/>
      <c r="W1075" s="315"/>
      <c r="X1075" s="315"/>
      <c r="Y1075" s="315"/>
      <c r="Z1075" s="315"/>
      <c r="AA1075" s="336">
        <v>12</v>
      </c>
      <c r="AB1075" s="336"/>
      <c r="AC1075" s="337"/>
      <c r="AD1075" s="337"/>
      <c r="AE1075" s="336">
        <v>12</v>
      </c>
      <c r="AF1075" s="336" t="s">
        <v>286</v>
      </c>
      <c r="AG1075" s="339" t="s">
        <v>286</v>
      </c>
      <c r="AH1075" s="339"/>
      <c r="AI1075" s="336"/>
      <c r="AJ1075" s="336"/>
      <c r="AK1075" s="848">
        <v>0</v>
      </c>
      <c r="AL1075" s="836"/>
      <c r="AM1075" s="836">
        <v>0</v>
      </c>
      <c r="AN1075" s="848"/>
      <c r="AO1075" s="850"/>
      <c r="AP1075" s="839"/>
      <c r="AQ1075" s="839"/>
      <c r="AR1075" s="839"/>
      <c r="AS1075" s="839"/>
      <c r="AT1075" s="839"/>
      <c r="AU1075" s="839"/>
      <c r="AV1075" s="849"/>
      <c r="AW1075" s="134" t="s">
        <v>3208</v>
      </c>
      <c r="AX1075" s="136" t="s">
        <v>3208</v>
      </c>
      <c r="AY1075" s="137" t="s">
        <v>2576</v>
      </c>
      <c r="AZ1075" s="136">
        <v>1</v>
      </c>
      <c r="BA1075" s="136">
        <v>0.75872534142640369</v>
      </c>
      <c r="BB1075" s="136">
        <v>0.75872534142640369</v>
      </c>
      <c r="BC1075" s="214">
        <v>500.00000000000006</v>
      </c>
      <c r="BD1075" s="136">
        <v>0</v>
      </c>
      <c r="BE1075" s="214">
        <v>0</v>
      </c>
      <c r="BF1075" s="136">
        <v>0.75872534142640369</v>
      </c>
      <c r="BG1075" s="214">
        <v>500.00000000000006</v>
      </c>
      <c r="BH1075" s="214">
        <v>1.0000000000000002</v>
      </c>
      <c r="BI1075" s="134">
        <v>0.24127465857359631</v>
      </c>
      <c r="BJ1075" s="214">
        <v>158.99999999999997</v>
      </c>
      <c r="BK1075" s="137">
        <v>0</v>
      </c>
      <c r="BL1075" s="137">
        <v>1</v>
      </c>
      <c r="BM1075" s="137">
        <v>12</v>
      </c>
      <c r="BN1075" s="134">
        <v>0.10925644916540213</v>
      </c>
      <c r="BO1075" s="351">
        <v>72</v>
      </c>
      <c r="BP1075" s="134">
        <v>0.89226100151745069</v>
      </c>
      <c r="BQ1075" s="214">
        <v>98</v>
      </c>
      <c r="BR1075" s="137">
        <v>110</v>
      </c>
      <c r="BS1075" s="138">
        <v>0</v>
      </c>
      <c r="BT1075" s="351" t="s">
        <v>103</v>
      </c>
      <c r="BU1075" s="214">
        <v>0</v>
      </c>
      <c r="BV1075" s="214">
        <v>0</v>
      </c>
      <c r="BW1075" s="214">
        <v>0</v>
      </c>
      <c r="BX1075" s="214">
        <v>0</v>
      </c>
      <c r="BY1075" s="214">
        <v>0</v>
      </c>
      <c r="BZ1075" s="134">
        <v>0</v>
      </c>
      <c r="CA1075" s="138">
        <v>1</v>
      </c>
      <c r="CB1075" s="136">
        <v>0</v>
      </c>
      <c r="CC1075" s="136">
        <v>0</v>
      </c>
      <c r="CD1075" s="136">
        <v>0</v>
      </c>
      <c r="CE1075" s="137">
        <v>0</v>
      </c>
      <c r="CF1075" s="137">
        <v>0</v>
      </c>
      <c r="CG1075" s="137">
        <v>0</v>
      </c>
      <c r="CH1075" s="214">
        <v>0</v>
      </c>
      <c r="CI1075" s="139">
        <v>0</v>
      </c>
      <c r="CJ1075" s="139">
        <v>0</v>
      </c>
      <c r="CK1075" s="139" t="s">
        <v>969</v>
      </c>
      <c r="CL1075" s="139" t="s">
        <v>969</v>
      </c>
      <c r="CM1075" s="139" t="s">
        <v>969</v>
      </c>
      <c r="CN1075" s="139" t="s">
        <v>454</v>
      </c>
      <c r="CO1075" s="139">
        <v>20.5199794769287</v>
      </c>
      <c r="CP1075" s="139">
        <v>93.277252197265597</v>
      </c>
      <c r="CQ1075" s="139" t="s">
        <v>1707</v>
      </c>
      <c r="CR1075" s="449" t="s">
        <v>3209</v>
      </c>
      <c r="CS1075" s="449"/>
      <c r="CT1075" s="24"/>
      <c r="CU1075" s="24"/>
      <c r="CV1075" s="24"/>
    </row>
    <row r="1076" spans="1:100" ht="15.75" customHeight="1" x14ac:dyDescent="0.25">
      <c r="A1076" s="643" t="s">
        <v>1388</v>
      </c>
      <c r="B1076" s="132" t="s">
        <v>460</v>
      </c>
      <c r="C1076" s="132" t="s">
        <v>454</v>
      </c>
      <c r="D1076" s="132" t="s">
        <v>473</v>
      </c>
      <c r="E1076" s="132" t="s">
        <v>629</v>
      </c>
      <c r="F1076" s="132">
        <v>41</v>
      </c>
      <c r="G1076" s="214">
        <v>146</v>
      </c>
      <c r="H1076" s="132"/>
      <c r="I1076" s="132"/>
      <c r="J1076" s="133"/>
      <c r="K1076" s="132"/>
      <c r="L1076" s="132" t="s">
        <v>282</v>
      </c>
      <c r="M1076" s="134">
        <v>0</v>
      </c>
      <c r="N1076" s="134">
        <v>0</v>
      </c>
      <c r="O1076" s="320">
        <v>2</v>
      </c>
      <c r="P1076" s="326">
        <v>0</v>
      </c>
      <c r="Q1076" s="326"/>
      <c r="R1076" s="315"/>
      <c r="S1076" s="315">
        <v>2</v>
      </c>
      <c r="T1076" s="315"/>
      <c r="U1076" s="315"/>
      <c r="V1076" s="315"/>
      <c r="W1076" s="315"/>
      <c r="X1076" s="315"/>
      <c r="Y1076" s="315"/>
      <c r="Z1076" s="315"/>
      <c r="AA1076" s="336">
        <v>2</v>
      </c>
      <c r="AB1076" s="336"/>
      <c r="AC1076" s="337"/>
      <c r="AD1076" s="337"/>
      <c r="AE1076" s="336">
        <v>2</v>
      </c>
      <c r="AF1076" s="336" t="s">
        <v>286</v>
      </c>
      <c r="AG1076" s="339" t="s">
        <v>286</v>
      </c>
      <c r="AH1076" s="339"/>
      <c r="AI1076" s="336"/>
      <c r="AJ1076" s="336"/>
      <c r="AK1076" s="848">
        <v>0</v>
      </c>
      <c r="AL1076" s="836"/>
      <c r="AM1076" s="836">
        <v>0</v>
      </c>
      <c r="AN1076" s="848"/>
      <c r="AO1076" s="850"/>
      <c r="AP1076" s="839"/>
      <c r="AQ1076" s="839"/>
      <c r="AR1076" s="839"/>
      <c r="AS1076" s="839"/>
      <c r="AT1076" s="839"/>
      <c r="AU1076" s="839"/>
      <c r="AV1076" s="849"/>
      <c r="AW1076" s="134" t="s">
        <v>3208</v>
      </c>
      <c r="AX1076" s="136" t="s">
        <v>3208</v>
      </c>
      <c r="AY1076" s="137" t="s">
        <v>2576</v>
      </c>
      <c r="AZ1076" s="136">
        <v>1</v>
      </c>
      <c r="BA1076" s="136">
        <v>1</v>
      </c>
      <c r="BB1076" s="136">
        <v>1</v>
      </c>
      <c r="BC1076" s="214">
        <v>146</v>
      </c>
      <c r="BD1076" s="136">
        <v>0</v>
      </c>
      <c r="BE1076" s="214">
        <v>0</v>
      </c>
      <c r="BF1076" s="136">
        <v>1</v>
      </c>
      <c r="BG1076" s="214">
        <v>146</v>
      </c>
      <c r="BH1076" s="214">
        <v>0.29199999999999998</v>
      </c>
      <c r="BI1076" s="134">
        <v>0</v>
      </c>
      <c r="BJ1076" s="214">
        <v>0</v>
      </c>
      <c r="BK1076" s="137">
        <v>0.70799999999999996</v>
      </c>
      <c r="BL1076" s="137">
        <v>1</v>
      </c>
      <c r="BM1076" s="137">
        <v>2</v>
      </c>
      <c r="BN1076" s="134">
        <v>8.2191780821917804E-2</v>
      </c>
      <c r="BO1076" s="351">
        <v>12</v>
      </c>
      <c r="BP1076" s="134">
        <v>0.90410958904109595</v>
      </c>
      <c r="BQ1076" s="214">
        <v>22</v>
      </c>
      <c r="BR1076" s="137">
        <v>24</v>
      </c>
      <c r="BS1076" s="138">
        <v>0</v>
      </c>
      <c r="BT1076" s="351" t="s">
        <v>103</v>
      </c>
      <c r="BU1076" s="214">
        <v>0</v>
      </c>
      <c r="BV1076" s="214">
        <v>0</v>
      </c>
      <c r="BW1076" s="214">
        <v>0</v>
      </c>
      <c r="BX1076" s="214">
        <v>0</v>
      </c>
      <c r="BY1076" s="214">
        <v>0</v>
      </c>
      <c r="BZ1076" s="134">
        <v>0</v>
      </c>
      <c r="CA1076" s="138">
        <v>1</v>
      </c>
      <c r="CB1076" s="136">
        <v>0</v>
      </c>
      <c r="CC1076" s="136">
        <v>0</v>
      </c>
      <c r="CD1076" s="136">
        <v>0</v>
      </c>
      <c r="CE1076" s="137">
        <v>0</v>
      </c>
      <c r="CF1076" s="137">
        <v>0</v>
      </c>
      <c r="CG1076" s="137">
        <v>0</v>
      </c>
      <c r="CH1076" s="214">
        <v>0</v>
      </c>
      <c r="CI1076" s="139">
        <v>0</v>
      </c>
      <c r="CJ1076" s="139">
        <v>0</v>
      </c>
      <c r="CK1076" s="139" t="s">
        <v>969</v>
      </c>
      <c r="CL1076" s="139" t="s">
        <v>969</v>
      </c>
      <c r="CM1076" s="139" t="s">
        <v>969</v>
      </c>
      <c r="CN1076" s="139" t="s">
        <v>454</v>
      </c>
      <c r="CO1076" s="139">
        <v>20.396680832000001</v>
      </c>
      <c r="CP1076" s="139">
        <v>93.252868652000004</v>
      </c>
      <c r="CQ1076" s="139" t="s">
        <v>1686</v>
      </c>
      <c r="CR1076" s="449" t="s">
        <v>3209</v>
      </c>
      <c r="CS1076" s="449"/>
      <c r="CT1076" s="24"/>
      <c r="CU1076" s="24"/>
      <c r="CV1076" s="24"/>
    </row>
    <row r="1077" spans="1:100" ht="15.75" customHeight="1" x14ac:dyDescent="0.25">
      <c r="A1077" s="643" t="s">
        <v>1388</v>
      </c>
      <c r="B1077" s="132" t="s">
        <v>460</v>
      </c>
      <c r="C1077" s="132" t="s">
        <v>454</v>
      </c>
      <c r="D1077" s="132" t="s">
        <v>473</v>
      </c>
      <c r="E1077" s="132" t="s">
        <v>626</v>
      </c>
      <c r="F1077" s="132">
        <v>280</v>
      </c>
      <c r="G1077" s="214">
        <v>1423</v>
      </c>
      <c r="H1077" s="132"/>
      <c r="I1077" s="132"/>
      <c r="J1077" s="133"/>
      <c r="K1077" s="132"/>
      <c r="L1077" s="132" t="s">
        <v>282</v>
      </c>
      <c r="M1077" s="134">
        <v>0</v>
      </c>
      <c r="N1077" s="134">
        <v>0</v>
      </c>
      <c r="O1077" s="320">
        <v>2</v>
      </c>
      <c r="P1077" s="326">
        <v>0</v>
      </c>
      <c r="Q1077" s="326"/>
      <c r="R1077" s="315"/>
      <c r="S1077" s="315">
        <v>3</v>
      </c>
      <c r="T1077" s="315"/>
      <c r="U1077" s="315"/>
      <c r="V1077" s="315"/>
      <c r="W1077" s="315"/>
      <c r="X1077" s="315"/>
      <c r="Y1077" s="315"/>
      <c r="Z1077" s="315"/>
      <c r="AA1077" s="336">
        <v>60</v>
      </c>
      <c r="AB1077" s="336"/>
      <c r="AC1077" s="337"/>
      <c r="AD1077" s="337"/>
      <c r="AE1077" s="336">
        <v>60</v>
      </c>
      <c r="AF1077" s="336" t="s">
        <v>286</v>
      </c>
      <c r="AG1077" s="339" t="s">
        <v>286</v>
      </c>
      <c r="AH1077" s="339"/>
      <c r="AI1077" s="336"/>
      <c r="AJ1077" s="336"/>
      <c r="AK1077" s="848">
        <v>1</v>
      </c>
      <c r="AL1077" s="836"/>
      <c r="AM1077" s="836">
        <v>0</v>
      </c>
      <c r="AN1077" s="848"/>
      <c r="AO1077" s="850">
        <v>6</v>
      </c>
      <c r="AP1077" s="839"/>
      <c r="AQ1077" s="839"/>
      <c r="AR1077" s="839"/>
      <c r="AS1077" s="839"/>
      <c r="AT1077" s="839"/>
      <c r="AU1077" s="839"/>
      <c r="AV1077" s="849"/>
      <c r="AW1077" s="134" t="s">
        <v>3208</v>
      </c>
      <c r="AX1077" s="136" t="s">
        <v>3208</v>
      </c>
      <c r="AY1077" s="137" t="s">
        <v>2576</v>
      </c>
      <c r="AZ1077" s="136">
        <v>1</v>
      </c>
      <c r="BA1077" s="136">
        <v>0.35137034434293746</v>
      </c>
      <c r="BB1077" s="136">
        <v>0.35137034434293746</v>
      </c>
      <c r="BC1077" s="214">
        <v>500</v>
      </c>
      <c r="BD1077" s="136">
        <v>0</v>
      </c>
      <c r="BE1077" s="214">
        <v>0</v>
      </c>
      <c r="BF1077" s="136">
        <v>0.35137034434293746</v>
      </c>
      <c r="BG1077" s="214">
        <v>500</v>
      </c>
      <c r="BH1077" s="214">
        <v>1</v>
      </c>
      <c r="BI1077" s="134">
        <v>0.64862965565706254</v>
      </c>
      <c r="BJ1077" s="214">
        <v>923</v>
      </c>
      <c r="BK1077" s="137">
        <v>2</v>
      </c>
      <c r="BL1077" s="137">
        <v>3</v>
      </c>
      <c r="BM1077" s="137">
        <v>60</v>
      </c>
      <c r="BN1077" s="134">
        <v>0.25298664792691494</v>
      </c>
      <c r="BO1077" s="351">
        <v>359.99999999999994</v>
      </c>
      <c r="BP1077" s="134">
        <v>0.74631061138439914</v>
      </c>
      <c r="BQ1077" s="214">
        <v>177</v>
      </c>
      <c r="BR1077" s="137">
        <v>237</v>
      </c>
      <c r="BS1077" s="138">
        <v>0</v>
      </c>
      <c r="BT1077" s="351" t="s">
        <v>103</v>
      </c>
      <c r="BU1077" s="214">
        <v>1423</v>
      </c>
      <c r="BV1077" s="214">
        <v>0</v>
      </c>
      <c r="BW1077" s="214">
        <v>1</v>
      </c>
      <c r="BX1077" s="214">
        <v>0</v>
      </c>
      <c r="BY1077" s="214">
        <v>0</v>
      </c>
      <c r="BZ1077" s="134">
        <v>0</v>
      </c>
      <c r="CA1077" s="138">
        <v>1</v>
      </c>
      <c r="CB1077" s="136">
        <v>1</v>
      </c>
      <c r="CC1077" s="136">
        <v>0</v>
      </c>
      <c r="CD1077" s="136">
        <v>0</v>
      </c>
      <c r="CE1077" s="137">
        <v>0</v>
      </c>
      <c r="CF1077" s="137">
        <v>0</v>
      </c>
      <c r="CG1077" s="137">
        <v>0</v>
      </c>
      <c r="CH1077" s="214">
        <v>280</v>
      </c>
      <c r="CI1077" s="139">
        <v>0</v>
      </c>
      <c r="CJ1077" s="139">
        <v>0</v>
      </c>
      <c r="CK1077" s="139" t="s">
        <v>969</v>
      </c>
      <c r="CL1077" s="139" t="s">
        <v>969</v>
      </c>
      <c r="CM1077" s="139" t="s">
        <v>1054</v>
      </c>
      <c r="CN1077" s="139" t="s">
        <v>966</v>
      </c>
      <c r="CO1077" s="139">
        <v>20.392137999999999</v>
      </c>
      <c r="CP1077" s="139">
        <v>93.257272</v>
      </c>
      <c r="CQ1077" s="139" t="s">
        <v>1684</v>
      </c>
      <c r="CR1077" s="449" t="s">
        <v>3209</v>
      </c>
      <c r="CS1077" s="449"/>
      <c r="CT1077" s="24"/>
      <c r="CU1077" s="24"/>
      <c r="CV1077" s="24"/>
    </row>
    <row r="1078" spans="1:100" ht="15.75" customHeight="1" x14ac:dyDescent="0.25">
      <c r="A1078" s="643" t="s">
        <v>1388</v>
      </c>
      <c r="B1078" s="132" t="s">
        <v>460</v>
      </c>
      <c r="C1078" s="132" t="s">
        <v>454</v>
      </c>
      <c r="D1078" s="132" t="s">
        <v>637</v>
      </c>
      <c r="E1078" s="132" t="s">
        <v>714</v>
      </c>
      <c r="F1078" s="132">
        <v>146</v>
      </c>
      <c r="G1078" s="214">
        <v>731</v>
      </c>
      <c r="H1078" s="132"/>
      <c r="I1078" s="132"/>
      <c r="J1078" s="133"/>
      <c r="K1078" s="132"/>
      <c r="L1078" s="132" t="s">
        <v>282</v>
      </c>
      <c r="M1078" s="134">
        <v>0</v>
      </c>
      <c r="N1078" s="134">
        <v>0</v>
      </c>
      <c r="O1078" s="320">
        <v>1</v>
      </c>
      <c r="P1078" s="326"/>
      <c r="Q1078" s="326"/>
      <c r="R1078" s="315"/>
      <c r="S1078" s="315">
        <v>0</v>
      </c>
      <c r="T1078" s="315"/>
      <c r="U1078" s="315"/>
      <c r="V1078" s="315"/>
      <c r="W1078" s="315"/>
      <c r="X1078" s="315"/>
      <c r="Y1078" s="315"/>
      <c r="Z1078" s="315"/>
      <c r="AA1078" s="336">
        <v>5</v>
      </c>
      <c r="AB1078" s="336"/>
      <c r="AC1078" s="337"/>
      <c r="AD1078" s="337"/>
      <c r="AE1078" s="336">
        <v>0</v>
      </c>
      <c r="AF1078" s="336" t="s">
        <v>286</v>
      </c>
      <c r="AG1078" s="339" t="s">
        <v>286</v>
      </c>
      <c r="AH1078" s="339"/>
      <c r="AI1078" s="336"/>
      <c r="AJ1078" s="336"/>
      <c r="AK1078" s="848">
        <v>0</v>
      </c>
      <c r="AL1078" s="836"/>
      <c r="AM1078" s="836">
        <v>0</v>
      </c>
      <c r="AN1078" s="848"/>
      <c r="AO1078" s="850">
        <v>0</v>
      </c>
      <c r="AP1078" s="839"/>
      <c r="AQ1078" s="839"/>
      <c r="AR1078" s="839"/>
      <c r="AS1078" s="839"/>
      <c r="AT1078" s="839"/>
      <c r="AU1078" s="839"/>
      <c r="AV1078" s="849"/>
      <c r="AW1078" s="134" t="s">
        <v>3208</v>
      </c>
      <c r="AX1078" s="136" t="s">
        <v>3208</v>
      </c>
      <c r="AY1078" s="137" t="s">
        <v>2576</v>
      </c>
      <c r="AZ1078" s="136">
        <v>1</v>
      </c>
      <c r="BA1078" s="136">
        <v>0.34199726402188785</v>
      </c>
      <c r="BB1078" s="136">
        <v>0.34199726402188785</v>
      </c>
      <c r="BC1078" s="214">
        <v>250.00000000000003</v>
      </c>
      <c r="BD1078" s="136">
        <v>0</v>
      </c>
      <c r="BE1078" s="214">
        <v>0</v>
      </c>
      <c r="BF1078" s="136">
        <v>0.34199726402188785</v>
      </c>
      <c r="BG1078" s="214">
        <v>250.00000000000003</v>
      </c>
      <c r="BH1078" s="214">
        <v>0.50000000000000011</v>
      </c>
      <c r="BI1078" s="134">
        <v>0.65800273597811221</v>
      </c>
      <c r="BJ1078" s="214">
        <v>481</v>
      </c>
      <c r="BK1078" s="137">
        <v>0.49999999999999989</v>
      </c>
      <c r="BL1078" s="137">
        <v>1</v>
      </c>
      <c r="BM1078" s="137">
        <v>5</v>
      </c>
      <c r="BN1078" s="134">
        <v>4.1039671682626538E-2</v>
      </c>
      <c r="BO1078" s="351">
        <v>30</v>
      </c>
      <c r="BP1078" s="134">
        <v>0.96032831737346103</v>
      </c>
      <c r="BQ1078" s="214">
        <v>117</v>
      </c>
      <c r="BR1078" s="137">
        <v>122</v>
      </c>
      <c r="BS1078" s="138">
        <v>0</v>
      </c>
      <c r="BT1078" s="351" t="s">
        <v>103</v>
      </c>
      <c r="BU1078" s="214">
        <v>0</v>
      </c>
      <c r="BV1078" s="214">
        <v>0</v>
      </c>
      <c r="BW1078" s="214">
        <v>0</v>
      </c>
      <c r="BX1078" s="214">
        <v>0</v>
      </c>
      <c r="BY1078" s="214">
        <v>0</v>
      </c>
      <c r="BZ1078" s="134">
        <v>0</v>
      </c>
      <c r="CA1078" s="138">
        <v>1</v>
      </c>
      <c r="CB1078" s="136">
        <v>0</v>
      </c>
      <c r="CC1078" s="136">
        <v>0</v>
      </c>
      <c r="CD1078" s="136">
        <v>0</v>
      </c>
      <c r="CE1078" s="137">
        <v>0</v>
      </c>
      <c r="CF1078" s="137">
        <v>0</v>
      </c>
      <c r="CG1078" s="137">
        <v>0</v>
      </c>
      <c r="CH1078" s="214">
        <v>0</v>
      </c>
      <c r="CI1078" s="139">
        <v>0</v>
      </c>
      <c r="CJ1078" s="139">
        <v>0</v>
      </c>
      <c r="CK1078" s="139" t="s">
        <v>969</v>
      </c>
      <c r="CL1078" s="139" t="s">
        <v>969</v>
      </c>
      <c r="CM1078" s="139" t="s">
        <v>969</v>
      </c>
      <c r="CN1078" s="139" t="s">
        <v>966</v>
      </c>
      <c r="CO1078" s="139">
        <v>20.697229385376001</v>
      </c>
      <c r="CP1078" s="139">
        <v>93.044059753417997</v>
      </c>
      <c r="CQ1078" s="139" t="s">
        <v>1764</v>
      </c>
      <c r="CR1078" s="449" t="s">
        <v>3209</v>
      </c>
      <c r="CS1078" s="449"/>
      <c r="CT1078" s="24"/>
      <c r="CU1078" s="24"/>
      <c r="CV1078" s="24"/>
    </row>
    <row r="1079" spans="1:100" ht="15.75" customHeight="1" x14ac:dyDescent="0.25">
      <c r="A1079" s="643" t="s">
        <v>1388</v>
      </c>
      <c r="B1079" s="132" t="s">
        <v>460</v>
      </c>
      <c r="C1079" s="132" t="s">
        <v>454</v>
      </c>
      <c r="D1079" s="132" t="s">
        <v>637</v>
      </c>
      <c r="E1079" s="132" t="s">
        <v>649</v>
      </c>
      <c r="F1079" s="132">
        <v>23</v>
      </c>
      <c r="G1079" s="214">
        <v>117</v>
      </c>
      <c r="H1079" s="132"/>
      <c r="I1079" s="132"/>
      <c r="J1079" s="133"/>
      <c r="K1079" s="132"/>
      <c r="L1079" s="132" t="s">
        <v>282</v>
      </c>
      <c r="M1079" s="134">
        <v>0</v>
      </c>
      <c r="N1079" s="134">
        <v>0</v>
      </c>
      <c r="O1079" s="320">
        <v>2</v>
      </c>
      <c r="P1079" s="326"/>
      <c r="Q1079" s="326"/>
      <c r="R1079" s="315"/>
      <c r="S1079" s="315">
        <v>0</v>
      </c>
      <c r="T1079" s="315"/>
      <c r="U1079" s="315"/>
      <c r="V1079" s="315"/>
      <c r="W1079" s="315"/>
      <c r="X1079" s="315"/>
      <c r="Y1079" s="315"/>
      <c r="Z1079" s="315"/>
      <c r="AA1079" s="336">
        <v>0</v>
      </c>
      <c r="AB1079" s="336"/>
      <c r="AC1079" s="337"/>
      <c r="AD1079" s="337"/>
      <c r="AE1079" s="336">
        <v>0</v>
      </c>
      <c r="AF1079" s="336" t="s">
        <v>286</v>
      </c>
      <c r="AG1079" s="339" t="s">
        <v>286</v>
      </c>
      <c r="AH1079" s="339"/>
      <c r="AI1079" s="336"/>
      <c r="AJ1079" s="336"/>
      <c r="AK1079" s="848">
        <v>0</v>
      </c>
      <c r="AL1079" s="836"/>
      <c r="AM1079" s="836">
        <v>0</v>
      </c>
      <c r="AN1079" s="848"/>
      <c r="AO1079" s="850">
        <v>0</v>
      </c>
      <c r="AP1079" s="839"/>
      <c r="AQ1079" s="839"/>
      <c r="AR1079" s="839"/>
      <c r="AS1079" s="839"/>
      <c r="AT1079" s="839"/>
      <c r="AU1079" s="839"/>
      <c r="AV1079" s="849"/>
      <c r="AW1079" s="134" t="s">
        <v>3208</v>
      </c>
      <c r="AX1079" s="136" t="s">
        <v>3208</v>
      </c>
      <c r="AY1079" s="137" t="s">
        <v>2576</v>
      </c>
      <c r="AZ1079" s="136">
        <v>1</v>
      </c>
      <c r="BA1079" s="136">
        <v>1</v>
      </c>
      <c r="BB1079" s="136">
        <v>1</v>
      </c>
      <c r="BC1079" s="214">
        <v>117</v>
      </c>
      <c r="BD1079" s="136">
        <v>0</v>
      </c>
      <c r="BE1079" s="214">
        <v>0</v>
      </c>
      <c r="BF1079" s="136">
        <v>1</v>
      </c>
      <c r="BG1079" s="214">
        <v>117</v>
      </c>
      <c r="BH1079" s="214">
        <v>0.23400000000000001</v>
      </c>
      <c r="BI1079" s="134">
        <v>0</v>
      </c>
      <c r="BJ1079" s="214">
        <v>0</v>
      </c>
      <c r="BK1079" s="137">
        <v>0.76600000000000001</v>
      </c>
      <c r="BL1079" s="137">
        <v>1</v>
      </c>
      <c r="BM1079" s="137">
        <v>0</v>
      </c>
      <c r="BN1079" s="134">
        <v>0</v>
      </c>
      <c r="BO1079" s="351">
        <v>0</v>
      </c>
      <c r="BP1079" s="134">
        <v>1</v>
      </c>
      <c r="BQ1079" s="214">
        <v>20</v>
      </c>
      <c r="BR1079" s="137">
        <v>20</v>
      </c>
      <c r="BS1079" s="138">
        <v>0</v>
      </c>
      <c r="BT1079" s="351" t="s">
        <v>103</v>
      </c>
      <c r="BU1079" s="214">
        <v>0</v>
      </c>
      <c r="BV1079" s="214">
        <v>0</v>
      </c>
      <c r="BW1079" s="214">
        <v>0</v>
      </c>
      <c r="BX1079" s="214">
        <v>0</v>
      </c>
      <c r="BY1079" s="214">
        <v>0</v>
      </c>
      <c r="BZ1079" s="134">
        <v>0</v>
      </c>
      <c r="CA1079" s="138">
        <v>1</v>
      </c>
      <c r="CB1079" s="136">
        <v>0</v>
      </c>
      <c r="CC1079" s="136">
        <v>0</v>
      </c>
      <c r="CD1079" s="136">
        <v>0</v>
      </c>
      <c r="CE1079" s="137">
        <v>0</v>
      </c>
      <c r="CF1079" s="137">
        <v>0</v>
      </c>
      <c r="CG1079" s="137">
        <v>0</v>
      </c>
      <c r="CH1079" s="214">
        <v>0</v>
      </c>
      <c r="CI1079" s="139">
        <v>0</v>
      </c>
      <c r="CJ1079" s="139">
        <v>0</v>
      </c>
      <c r="CK1079" s="139" t="s">
        <v>969</v>
      </c>
      <c r="CL1079" s="139" t="s">
        <v>969</v>
      </c>
      <c r="CM1079" s="139" t="s">
        <v>969</v>
      </c>
      <c r="CN1079" s="139" t="s">
        <v>454</v>
      </c>
      <c r="CO1079" s="139">
        <v>20.489089965820298</v>
      </c>
      <c r="CP1079" s="139">
        <v>93.211738586425795</v>
      </c>
      <c r="CQ1079" s="139" t="s">
        <v>1699</v>
      </c>
      <c r="CR1079" s="449" t="s">
        <v>3209</v>
      </c>
      <c r="CS1079" s="449"/>
      <c r="CT1079" s="24"/>
      <c r="CU1079" s="24"/>
      <c r="CV1079" s="24"/>
    </row>
    <row r="1080" spans="1:100" ht="15.75" customHeight="1" x14ac:dyDescent="0.25">
      <c r="A1080" s="643" t="s">
        <v>1388</v>
      </c>
      <c r="B1080" s="132" t="s">
        <v>460</v>
      </c>
      <c r="C1080" s="132" t="s">
        <v>454</v>
      </c>
      <c r="D1080" s="132" t="s">
        <v>637</v>
      </c>
      <c r="E1080" s="132" t="s">
        <v>640</v>
      </c>
      <c r="F1080" s="132">
        <v>44</v>
      </c>
      <c r="G1080" s="214">
        <v>221</v>
      </c>
      <c r="H1080" s="132"/>
      <c r="I1080" s="132"/>
      <c r="J1080" s="133"/>
      <c r="K1080" s="132"/>
      <c r="L1080" s="132" t="s">
        <v>282</v>
      </c>
      <c r="M1080" s="134">
        <v>0</v>
      </c>
      <c r="N1080" s="134">
        <v>0</v>
      </c>
      <c r="O1080" s="320">
        <v>2</v>
      </c>
      <c r="P1080" s="326"/>
      <c r="Q1080" s="326"/>
      <c r="R1080" s="315"/>
      <c r="S1080" s="315">
        <v>0</v>
      </c>
      <c r="T1080" s="315"/>
      <c r="U1080" s="315"/>
      <c r="V1080" s="315"/>
      <c r="W1080" s="315"/>
      <c r="X1080" s="315"/>
      <c r="Y1080" s="315"/>
      <c r="Z1080" s="315"/>
      <c r="AA1080" s="336">
        <v>3</v>
      </c>
      <c r="AB1080" s="336"/>
      <c r="AC1080" s="337"/>
      <c r="AD1080" s="337"/>
      <c r="AE1080" s="336">
        <v>0</v>
      </c>
      <c r="AF1080" s="336" t="s">
        <v>286</v>
      </c>
      <c r="AG1080" s="339" t="s">
        <v>286</v>
      </c>
      <c r="AH1080" s="339"/>
      <c r="AI1080" s="336"/>
      <c r="AJ1080" s="336"/>
      <c r="AK1080" s="848">
        <v>0</v>
      </c>
      <c r="AL1080" s="836"/>
      <c r="AM1080" s="836">
        <v>0</v>
      </c>
      <c r="AN1080" s="848"/>
      <c r="AO1080" s="850">
        <v>0</v>
      </c>
      <c r="AP1080" s="839"/>
      <c r="AQ1080" s="839"/>
      <c r="AR1080" s="839"/>
      <c r="AS1080" s="839"/>
      <c r="AT1080" s="839"/>
      <c r="AU1080" s="839"/>
      <c r="AV1080" s="849"/>
      <c r="AW1080" s="134" t="s">
        <v>3208</v>
      </c>
      <c r="AX1080" s="136" t="s">
        <v>3208</v>
      </c>
      <c r="AY1080" s="137" t="s">
        <v>2576</v>
      </c>
      <c r="AZ1080" s="136">
        <v>1</v>
      </c>
      <c r="BA1080" s="136">
        <v>1</v>
      </c>
      <c r="BB1080" s="136">
        <v>1</v>
      </c>
      <c r="BC1080" s="214">
        <v>221</v>
      </c>
      <c r="BD1080" s="136">
        <v>0</v>
      </c>
      <c r="BE1080" s="214">
        <v>0</v>
      </c>
      <c r="BF1080" s="136">
        <v>1</v>
      </c>
      <c r="BG1080" s="214">
        <v>221</v>
      </c>
      <c r="BH1080" s="214">
        <v>0.442</v>
      </c>
      <c r="BI1080" s="134">
        <v>0</v>
      </c>
      <c r="BJ1080" s="214">
        <v>0</v>
      </c>
      <c r="BK1080" s="137">
        <v>0.55800000000000005</v>
      </c>
      <c r="BL1080" s="137">
        <v>1</v>
      </c>
      <c r="BM1080" s="137">
        <v>3</v>
      </c>
      <c r="BN1080" s="134">
        <v>8.1447963800904979E-2</v>
      </c>
      <c r="BO1080" s="351">
        <v>18</v>
      </c>
      <c r="BP1080" s="134">
        <v>0.92307692307692302</v>
      </c>
      <c r="BQ1080" s="214">
        <v>34</v>
      </c>
      <c r="BR1080" s="137">
        <v>37</v>
      </c>
      <c r="BS1080" s="138">
        <v>0</v>
      </c>
      <c r="BT1080" s="351" t="s">
        <v>103</v>
      </c>
      <c r="BU1080" s="214">
        <v>0</v>
      </c>
      <c r="BV1080" s="214">
        <v>0</v>
      </c>
      <c r="BW1080" s="214">
        <v>0</v>
      </c>
      <c r="BX1080" s="214">
        <v>0</v>
      </c>
      <c r="BY1080" s="214">
        <v>0</v>
      </c>
      <c r="BZ1080" s="134">
        <v>0</v>
      </c>
      <c r="CA1080" s="138">
        <v>1</v>
      </c>
      <c r="CB1080" s="136">
        <v>0</v>
      </c>
      <c r="CC1080" s="136">
        <v>0</v>
      </c>
      <c r="CD1080" s="136">
        <v>0</v>
      </c>
      <c r="CE1080" s="137">
        <v>0</v>
      </c>
      <c r="CF1080" s="137">
        <v>0</v>
      </c>
      <c r="CG1080" s="137">
        <v>0</v>
      </c>
      <c r="CH1080" s="214">
        <v>0</v>
      </c>
      <c r="CI1080" s="139">
        <v>0</v>
      </c>
      <c r="CJ1080" s="139">
        <v>0</v>
      </c>
      <c r="CK1080" s="139" t="s">
        <v>969</v>
      </c>
      <c r="CL1080" s="139" t="s">
        <v>969</v>
      </c>
      <c r="CM1080" s="139" t="s">
        <v>969</v>
      </c>
      <c r="CN1080" s="139" t="s">
        <v>454</v>
      </c>
      <c r="CO1080" s="139">
        <v>20.464775085449201</v>
      </c>
      <c r="CP1080" s="139">
        <v>93.269363403320298</v>
      </c>
      <c r="CQ1080" s="139" t="s">
        <v>1696</v>
      </c>
      <c r="CR1080" s="449" t="s">
        <v>3209</v>
      </c>
      <c r="CS1080" s="449"/>
      <c r="CT1080" s="24"/>
      <c r="CU1080" s="24"/>
      <c r="CV1080" s="24"/>
    </row>
    <row r="1081" spans="1:100" ht="15.75" customHeight="1" x14ac:dyDescent="0.25">
      <c r="A1081" s="643" t="s">
        <v>1388</v>
      </c>
      <c r="B1081" s="132" t="s">
        <v>460</v>
      </c>
      <c r="C1081" s="132" t="s">
        <v>454</v>
      </c>
      <c r="D1081" s="132" t="s">
        <v>637</v>
      </c>
      <c r="E1081" s="132" t="s">
        <v>638</v>
      </c>
      <c r="F1081" s="132">
        <v>161</v>
      </c>
      <c r="G1081" s="214">
        <v>807</v>
      </c>
      <c r="H1081" s="132"/>
      <c r="I1081" s="132"/>
      <c r="J1081" s="133"/>
      <c r="K1081" s="132"/>
      <c r="L1081" s="132" t="s">
        <v>282</v>
      </c>
      <c r="M1081" s="134">
        <v>0</v>
      </c>
      <c r="N1081" s="134">
        <v>0</v>
      </c>
      <c r="O1081" s="320">
        <v>1</v>
      </c>
      <c r="P1081" s="326"/>
      <c r="Q1081" s="326"/>
      <c r="R1081" s="315"/>
      <c r="S1081" s="315">
        <v>0</v>
      </c>
      <c r="T1081" s="315"/>
      <c r="U1081" s="315"/>
      <c r="V1081" s="315"/>
      <c r="W1081" s="315"/>
      <c r="X1081" s="315"/>
      <c r="Y1081" s="315"/>
      <c r="Z1081" s="315"/>
      <c r="AA1081" s="336">
        <v>4</v>
      </c>
      <c r="AB1081" s="336"/>
      <c r="AC1081" s="337"/>
      <c r="AD1081" s="337"/>
      <c r="AE1081" s="336">
        <v>0</v>
      </c>
      <c r="AF1081" s="336" t="s">
        <v>286</v>
      </c>
      <c r="AG1081" s="339" t="s">
        <v>286</v>
      </c>
      <c r="AH1081" s="339"/>
      <c r="AI1081" s="336"/>
      <c r="AJ1081" s="336"/>
      <c r="AK1081" s="848">
        <v>0</v>
      </c>
      <c r="AL1081" s="836"/>
      <c r="AM1081" s="836">
        <v>0</v>
      </c>
      <c r="AN1081" s="848"/>
      <c r="AO1081" s="850">
        <v>0</v>
      </c>
      <c r="AP1081" s="839"/>
      <c r="AQ1081" s="839"/>
      <c r="AR1081" s="839"/>
      <c r="AS1081" s="839"/>
      <c r="AT1081" s="839"/>
      <c r="AU1081" s="839"/>
      <c r="AV1081" s="849"/>
      <c r="AW1081" s="134" t="s">
        <v>3208</v>
      </c>
      <c r="AX1081" s="136" t="s">
        <v>3208</v>
      </c>
      <c r="AY1081" s="137" t="s">
        <v>2576</v>
      </c>
      <c r="AZ1081" s="136">
        <v>1</v>
      </c>
      <c r="BA1081" s="136">
        <v>0.3097893432465923</v>
      </c>
      <c r="BB1081" s="136">
        <v>0.3097893432465923</v>
      </c>
      <c r="BC1081" s="214">
        <v>249.99999999999997</v>
      </c>
      <c r="BD1081" s="136">
        <v>0</v>
      </c>
      <c r="BE1081" s="214">
        <v>0</v>
      </c>
      <c r="BF1081" s="136">
        <v>0.3097893432465923</v>
      </c>
      <c r="BG1081" s="214">
        <v>249.99999999999997</v>
      </c>
      <c r="BH1081" s="214">
        <v>0.49999999999999994</v>
      </c>
      <c r="BI1081" s="134">
        <v>0.69021065675340765</v>
      </c>
      <c r="BJ1081" s="214">
        <v>557</v>
      </c>
      <c r="BK1081" s="137">
        <v>1.5</v>
      </c>
      <c r="BL1081" s="137">
        <v>2</v>
      </c>
      <c r="BM1081" s="137">
        <v>4</v>
      </c>
      <c r="BN1081" s="134">
        <v>2.9739776951672861E-2</v>
      </c>
      <c r="BO1081" s="351">
        <v>24</v>
      </c>
      <c r="BP1081" s="134">
        <v>0.97397769516728627</v>
      </c>
      <c r="BQ1081" s="214">
        <v>131</v>
      </c>
      <c r="BR1081" s="137">
        <v>135</v>
      </c>
      <c r="BS1081" s="138">
        <v>0</v>
      </c>
      <c r="BT1081" s="351" t="s">
        <v>103</v>
      </c>
      <c r="BU1081" s="214">
        <v>0</v>
      </c>
      <c r="BV1081" s="214">
        <v>0</v>
      </c>
      <c r="BW1081" s="214">
        <v>0</v>
      </c>
      <c r="BX1081" s="214">
        <v>0</v>
      </c>
      <c r="BY1081" s="214">
        <v>0</v>
      </c>
      <c r="BZ1081" s="134">
        <v>0</v>
      </c>
      <c r="CA1081" s="138">
        <v>1</v>
      </c>
      <c r="CB1081" s="136">
        <v>0</v>
      </c>
      <c r="CC1081" s="136">
        <v>0</v>
      </c>
      <c r="CD1081" s="136">
        <v>0</v>
      </c>
      <c r="CE1081" s="137">
        <v>0</v>
      </c>
      <c r="CF1081" s="137">
        <v>0</v>
      </c>
      <c r="CG1081" s="137">
        <v>0</v>
      </c>
      <c r="CH1081" s="214">
        <v>0</v>
      </c>
      <c r="CI1081" s="139">
        <v>0</v>
      </c>
      <c r="CJ1081" s="139">
        <v>0</v>
      </c>
      <c r="CK1081" s="139" t="s">
        <v>969</v>
      </c>
      <c r="CL1081" s="139" t="s">
        <v>969</v>
      </c>
      <c r="CM1081" s="139" t="s">
        <v>969</v>
      </c>
      <c r="CN1081" s="139" t="s">
        <v>454</v>
      </c>
      <c r="CO1081" s="139">
        <v>20.4625244140625</v>
      </c>
      <c r="CP1081" s="139">
        <v>93.257278442382798</v>
      </c>
      <c r="CQ1081" s="139" t="s">
        <v>1695</v>
      </c>
      <c r="CR1081" s="449" t="s">
        <v>3209</v>
      </c>
      <c r="CS1081" s="449"/>
      <c r="CT1081" s="24"/>
      <c r="CU1081" s="24"/>
      <c r="CV1081" s="24"/>
    </row>
    <row r="1082" spans="1:100" ht="15.75" customHeight="1" x14ac:dyDescent="0.25">
      <c r="A1082" s="643" t="s">
        <v>1388</v>
      </c>
      <c r="B1082" s="132" t="s">
        <v>460</v>
      </c>
      <c r="C1082" s="132" t="s">
        <v>454</v>
      </c>
      <c r="D1082" s="132" t="s">
        <v>637</v>
      </c>
      <c r="E1082" s="132" t="s">
        <v>715</v>
      </c>
      <c r="F1082" s="132">
        <v>211</v>
      </c>
      <c r="G1082" s="214">
        <v>1055</v>
      </c>
      <c r="H1082" s="132"/>
      <c r="I1082" s="132"/>
      <c r="J1082" s="133"/>
      <c r="K1082" s="132"/>
      <c r="L1082" s="132" t="s">
        <v>282</v>
      </c>
      <c r="M1082" s="134">
        <v>0</v>
      </c>
      <c r="N1082" s="134">
        <v>0</v>
      </c>
      <c r="O1082" s="320">
        <v>1</v>
      </c>
      <c r="P1082" s="326"/>
      <c r="Q1082" s="326"/>
      <c r="R1082" s="315"/>
      <c r="S1082" s="315">
        <v>0</v>
      </c>
      <c r="T1082" s="315"/>
      <c r="U1082" s="315"/>
      <c r="V1082" s="315"/>
      <c r="W1082" s="315"/>
      <c r="X1082" s="315"/>
      <c r="Y1082" s="315"/>
      <c r="Z1082" s="315"/>
      <c r="AA1082" s="336">
        <v>5</v>
      </c>
      <c r="AB1082" s="336"/>
      <c r="AC1082" s="337"/>
      <c r="AD1082" s="337"/>
      <c r="AE1082" s="336">
        <v>0</v>
      </c>
      <c r="AF1082" s="336" t="s">
        <v>286</v>
      </c>
      <c r="AG1082" s="339" t="s">
        <v>286</v>
      </c>
      <c r="AH1082" s="339"/>
      <c r="AI1082" s="336"/>
      <c r="AJ1082" s="336"/>
      <c r="AK1082" s="848">
        <v>0</v>
      </c>
      <c r="AL1082" s="836"/>
      <c r="AM1082" s="836">
        <v>0</v>
      </c>
      <c r="AN1082" s="848"/>
      <c r="AO1082" s="850">
        <v>0</v>
      </c>
      <c r="AP1082" s="839"/>
      <c r="AQ1082" s="839"/>
      <c r="AR1082" s="839"/>
      <c r="AS1082" s="839"/>
      <c r="AT1082" s="839"/>
      <c r="AU1082" s="839"/>
      <c r="AV1082" s="849"/>
      <c r="AW1082" s="134" t="s">
        <v>3208</v>
      </c>
      <c r="AX1082" s="136" t="s">
        <v>3208</v>
      </c>
      <c r="AY1082" s="137" t="s">
        <v>2576</v>
      </c>
      <c r="AZ1082" s="136">
        <v>1</v>
      </c>
      <c r="BA1082" s="136">
        <v>0.23696682464454977</v>
      </c>
      <c r="BB1082" s="136">
        <v>0.23696682464454977</v>
      </c>
      <c r="BC1082" s="214">
        <v>250</v>
      </c>
      <c r="BD1082" s="136">
        <v>0</v>
      </c>
      <c r="BE1082" s="214">
        <v>0</v>
      </c>
      <c r="BF1082" s="136">
        <v>0.23696682464454977</v>
      </c>
      <c r="BG1082" s="214">
        <v>250</v>
      </c>
      <c r="BH1082" s="214">
        <v>0.5</v>
      </c>
      <c r="BI1082" s="134">
        <v>0.76303317535545023</v>
      </c>
      <c r="BJ1082" s="214">
        <v>805</v>
      </c>
      <c r="BK1082" s="137">
        <v>1.5</v>
      </c>
      <c r="BL1082" s="137">
        <v>2</v>
      </c>
      <c r="BM1082" s="137">
        <v>5</v>
      </c>
      <c r="BN1082" s="134">
        <v>2.843601895734597E-2</v>
      </c>
      <c r="BO1082" s="351">
        <v>30</v>
      </c>
      <c r="BP1082" s="134">
        <v>0.97251184834123217</v>
      </c>
      <c r="BQ1082" s="214">
        <v>171</v>
      </c>
      <c r="BR1082" s="137">
        <v>176</v>
      </c>
      <c r="BS1082" s="138">
        <v>0</v>
      </c>
      <c r="BT1082" s="351" t="s">
        <v>103</v>
      </c>
      <c r="BU1082" s="214">
        <v>0</v>
      </c>
      <c r="BV1082" s="214">
        <v>0</v>
      </c>
      <c r="BW1082" s="214">
        <v>0</v>
      </c>
      <c r="BX1082" s="214">
        <v>0</v>
      </c>
      <c r="BY1082" s="214">
        <v>0</v>
      </c>
      <c r="BZ1082" s="134">
        <v>0</v>
      </c>
      <c r="CA1082" s="138">
        <v>1</v>
      </c>
      <c r="CB1082" s="136">
        <v>0</v>
      </c>
      <c r="CC1082" s="136">
        <v>0</v>
      </c>
      <c r="CD1082" s="136">
        <v>0</v>
      </c>
      <c r="CE1082" s="137">
        <v>0</v>
      </c>
      <c r="CF1082" s="137">
        <v>0</v>
      </c>
      <c r="CG1082" s="137">
        <v>0</v>
      </c>
      <c r="CH1082" s="214">
        <v>0</v>
      </c>
      <c r="CI1082" s="139">
        <v>0</v>
      </c>
      <c r="CJ1082" s="139">
        <v>0</v>
      </c>
      <c r="CK1082" s="139" t="s">
        <v>969</v>
      </c>
      <c r="CL1082" s="139" t="s">
        <v>969</v>
      </c>
      <c r="CM1082" s="139" t="s">
        <v>969</v>
      </c>
      <c r="CN1082" s="139" t="s">
        <v>454</v>
      </c>
      <c r="CO1082" s="139">
        <v>20.703550338745099</v>
      </c>
      <c r="CP1082" s="139">
        <v>93.060462951660199</v>
      </c>
      <c r="CQ1082" s="139" t="s">
        <v>1765</v>
      </c>
      <c r="CR1082" s="449" t="s">
        <v>3209</v>
      </c>
      <c r="CS1082" s="449"/>
      <c r="CT1082" s="24"/>
      <c r="CU1082" s="24"/>
      <c r="CV1082" s="24"/>
    </row>
    <row r="1083" spans="1:100" ht="15.75" customHeight="1" x14ac:dyDescent="0.25">
      <c r="A1083" s="643" t="s">
        <v>1388</v>
      </c>
      <c r="B1083" s="132" t="s">
        <v>559</v>
      </c>
      <c r="C1083" s="132" t="s">
        <v>454</v>
      </c>
      <c r="D1083" s="132" t="s">
        <v>560</v>
      </c>
      <c r="E1083" s="132" t="s">
        <v>562</v>
      </c>
      <c r="F1083" s="132">
        <v>40</v>
      </c>
      <c r="G1083" s="214">
        <v>217</v>
      </c>
      <c r="H1083" s="132"/>
      <c r="I1083" s="132" t="s">
        <v>388</v>
      </c>
      <c r="J1083" s="133">
        <v>43281</v>
      </c>
      <c r="K1083" s="132">
        <v>0</v>
      </c>
      <c r="L1083" s="132" t="s">
        <v>282</v>
      </c>
      <c r="M1083" s="134">
        <v>0</v>
      </c>
      <c r="N1083" s="134">
        <v>0</v>
      </c>
      <c r="O1083" s="320">
        <v>0</v>
      </c>
      <c r="P1083" s="326">
        <v>0</v>
      </c>
      <c r="Q1083" s="326">
        <v>37500</v>
      </c>
      <c r="R1083" s="315">
        <v>0</v>
      </c>
      <c r="S1083" s="315">
        <v>0</v>
      </c>
      <c r="T1083" s="315"/>
      <c r="U1083" s="315"/>
      <c r="V1083" s="315"/>
      <c r="W1083" s="315"/>
      <c r="X1083" s="315"/>
      <c r="Y1083" s="315"/>
      <c r="Z1083" s="315"/>
      <c r="AA1083" s="336">
        <v>40</v>
      </c>
      <c r="AB1083" s="336">
        <v>0</v>
      </c>
      <c r="AC1083" s="337"/>
      <c r="AD1083" s="337"/>
      <c r="AE1083" s="336">
        <v>40</v>
      </c>
      <c r="AF1083" s="336" t="s">
        <v>332</v>
      </c>
      <c r="AG1083" s="339" t="s">
        <v>283</v>
      </c>
      <c r="AH1083" s="339"/>
      <c r="AI1083" s="336"/>
      <c r="AJ1083" s="336"/>
      <c r="AK1083" s="848">
        <v>0</v>
      </c>
      <c r="AL1083" s="836"/>
      <c r="AM1083" s="836">
        <v>0</v>
      </c>
      <c r="AN1083" s="848">
        <v>0</v>
      </c>
      <c r="AO1083" s="850">
        <v>2</v>
      </c>
      <c r="AP1083" s="839"/>
      <c r="AQ1083" s="839"/>
      <c r="AR1083" s="839"/>
      <c r="AS1083" s="839"/>
      <c r="AT1083" s="839"/>
      <c r="AU1083" s="839"/>
      <c r="AV1083" s="849"/>
      <c r="AW1083" s="134" t="s">
        <v>3208</v>
      </c>
      <c r="AX1083" s="136" t="s">
        <v>3208</v>
      </c>
      <c r="AY1083" s="137" t="s">
        <v>2576</v>
      </c>
      <c r="AZ1083" s="136">
        <v>1</v>
      </c>
      <c r="BA1083" s="136">
        <v>1</v>
      </c>
      <c r="BB1083" s="136">
        <v>1</v>
      </c>
      <c r="BC1083" s="214">
        <v>217</v>
      </c>
      <c r="BD1083" s="136">
        <v>0</v>
      </c>
      <c r="BE1083" s="214">
        <v>0</v>
      </c>
      <c r="BF1083" s="136">
        <v>1</v>
      </c>
      <c r="BG1083" s="214">
        <v>217</v>
      </c>
      <c r="BH1083" s="214">
        <v>0.434</v>
      </c>
      <c r="BI1083" s="134">
        <v>0</v>
      </c>
      <c r="BJ1083" s="214">
        <v>0</v>
      </c>
      <c r="BK1083" s="137">
        <v>0.56600000000000006</v>
      </c>
      <c r="BL1083" s="137">
        <v>1</v>
      </c>
      <c r="BM1083" s="137">
        <v>40</v>
      </c>
      <c r="BN1083" s="134">
        <v>1</v>
      </c>
      <c r="BO1083" s="351">
        <v>217</v>
      </c>
      <c r="BP1083" s="134">
        <v>0</v>
      </c>
      <c r="BQ1083" s="214">
        <v>0</v>
      </c>
      <c r="BR1083" s="137">
        <v>36</v>
      </c>
      <c r="BS1083" s="138">
        <v>0</v>
      </c>
      <c r="BT1083" s="351" t="s">
        <v>103</v>
      </c>
      <c r="BU1083" s="214">
        <v>217</v>
      </c>
      <c r="BV1083" s="214">
        <v>0</v>
      </c>
      <c r="BW1083" s="214">
        <v>1</v>
      </c>
      <c r="BX1083" s="214">
        <v>0</v>
      </c>
      <c r="BY1083" s="214">
        <v>0</v>
      </c>
      <c r="BZ1083" s="134">
        <v>0</v>
      </c>
      <c r="CA1083" s="138">
        <v>1</v>
      </c>
      <c r="CB1083" s="136">
        <v>1</v>
      </c>
      <c r="CC1083" s="136">
        <v>0</v>
      </c>
      <c r="CD1083" s="136">
        <v>0</v>
      </c>
      <c r="CE1083" s="137">
        <v>0</v>
      </c>
      <c r="CF1083" s="137">
        <v>0</v>
      </c>
      <c r="CG1083" s="137">
        <v>0</v>
      </c>
      <c r="CH1083" s="214">
        <v>0</v>
      </c>
      <c r="CI1083" s="139">
        <v>0</v>
      </c>
      <c r="CJ1083" s="139">
        <v>0</v>
      </c>
      <c r="CK1083" s="139" t="s">
        <v>969</v>
      </c>
      <c r="CL1083" s="139" t="s">
        <v>969</v>
      </c>
      <c r="CM1083" s="139" t="s">
        <v>992</v>
      </c>
      <c r="CN1083" s="139" t="s">
        <v>454</v>
      </c>
      <c r="CO1083" s="139">
        <v>20.041981</v>
      </c>
      <c r="CP1083" s="139">
        <v>93.373951000000005</v>
      </c>
      <c r="CQ1083" s="139" t="s">
        <v>1606</v>
      </c>
      <c r="CR1083" s="449" t="s">
        <v>40</v>
      </c>
      <c r="CS1083" s="449"/>
      <c r="CT1083" s="24"/>
      <c r="CU1083" s="24"/>
      <c r="CV1083" s="24"/>
    </row>
    <row r="1084" spans="1:100" ht="15.75" customHeight="1" x14ac:dyDescent="0.25">
      <c r="A1084" s="643" t="s">
        <v>1388</v>
      </c>
      <c r="B1084" s="132" t="s">
        <v>559</v>
      </c>
      <c r="C1084" s="132" t="s">
        <v>454</v>
      </c>
      <c r="D1084" s="132" t="s">
        <v>560</v>
      </c>
      <c r="E1084" s="132" t="s">
        <v>561</v>
      </c>
      <c r="F1084" s="132">
        <v>713</v>
      </c>
      <c r="G1084" s="214">
        <v>2835</v>
      </c>
      <c r="H1084" s="132"/>
      <c r="I1084" s="132" t="s">
        <v>388</v>
      </c>
      <c r="J1084" s="133">
        <v>43281</v>
      </c>
      <c r="K1084" s="132">
        <v>0</v>
      </c>
      <c r="L1084" s="132" t="s">
        <v>48</v>
      </c>
      <c r="M1084" s="134">
        <v>0</v>
      </c>
      <c r="N1084" s="134">
        <v>0</v>
      </c>
      <c r="O1084" s="320">
        <v>0</v>
      </c>
      <c r="P1084" s="326">
        <v>0</v>
      </c>
      <c r="Q1084" s="326">
        <v>0</v>
      </c>
      <c r="R1084" s="315">
        <v>5</v>
      </c>
      <c r="S1084" s="315">
        <v>0</v>
      </c>
      <c r="T1084" s="315"/>
      <c r="U1084" s="315"/>
      <c r="V1084" s="315"/>
      <c r="W1084" s="315"/>
      <c r="X1084" s="315"/>
      <c r="Y1084" s="315"/>
      <c r="Z1084" s="315"/>
      <c r="AA1084" s="336">
        <v>150</v>
      </c>
      <c r="AB1084" s="336">
        <v>197</v>
      </c>
      <c r="AC1084" s="337"/>
      <c r="AD1084" s="337"/>
      <c r="AE1084" s="336">
        <v>0</v>
      </c>
      <c r="AF1084" s="336" t="s">
        <v>283</v>
      </c>
      <c r="AG1084" s="339" t="s">
        <v>283</v>
      </c>
      <c r="AH1084" s="339"/>
      <c r="AI1084" s="336"/>
      <c r="AJ1084" s="336" t="s">
        <v>283</v>
      </c>
      <c r="AK1084" s="848">
        <v>1</v>
      </c>
      <c r="AL1084" s="836" t="s">
        <v>376</v>
      </c>
      <c r="AM1084" s="836">
        <v>0</v>
      </c>
      <c r="AN1084" s="848">
        <v>1</v>
      </c>
      <c r="AO1084" s="850">
        <v>8</v>
      </c>
      <c r="AP1084" s="839"/>
      <c r="AQ1084" s="839"/>
      <c r="AR1084" s="839"/>
      <c r="AS1084" s="839"/>
      <c r="AT1084" s="839"/>
      <c r="AU1084" s="839"/>
      <c r="AV1084" s="849" t="s">
        <v>2468</v>
      </c>
      <c r="AW1084" s="134" t="s">
        <v>3208</v>
      </c>
      <c r="AX1084" s="136" t="s">
        <v>3208</v>
      </c>
      <c r="AY1084" s="137" t="s">
        <v>2576</v>
      </c>
      <c r="AZ1084" s="136">
        <v>0</v>
      </c>
      <c r="BA1084" s="136">
        <v>0</v>
      </c>
      <c r="BB1084" s="136">
        <v>0</v>
      </c>
      <c r="BC1084" s="214">
        <v>0</v>
      </c>
      <c r="BD1084" s="136">
        <v>0.44091710758377423</v>
      </c>
      <c r="BE1084" s="214">
        <v>1250</v>
      </c>
      <c r="BF1084" s="136">
        <v>0.44091710758377423</v>
      </c>
      <c r="BG1084" s="214">
        <v>1250</v>
      </c>
      <c r="BH1084" s="214">
        <v>2.5</v>
      </c>
      <c r="BI1084" s="134">
        <v>0.55908289241622577</v>
      </c>
      <c r="BJ1084" s="214">
        <v>1585</v>
      </c>
      <c r="BK1084" s="137">
        <v>3.5</v>
      </c>
      <c r="BL1084" s="137">
        <v>6</v>
      </c>
      <c r="BM1084" s="137">
        <v>347</v>
      </c>
      <c r="BN1084" s="134">
        <v>1</v>
      </c>
      <c r="BO1084" s="351">
        <v>2835</v>
      </c>
      <c r="BP1084" s="134">
        <v>0</v>
      </c>
      <c r="BQ1084" s="214">
        <v>0</v>
      </c>
      <c r="BR1084" s="137">
        <v>142</v>
      </c>
      <c r="BS1084" s="138">
        <v>0.56772334293948123</v>
      </c>
      <c r="BT1084" s="351">
        <v>0</v>
      </c>
      <c r="BU1084" s="214">
        <v>2835</v>
      </c>
      <c r="BV1084" s="214">
        <v>0</v>
      </c>
      <c r="BW1084" s="214">
        <v>1</v>
      </c>
      <c r="BX1084" s="214">
        <v>0</v>
      </c>
      <c r="BY1084" s="214">
        <v>0</v>
      </c>
      <c r="BZ1084" s="134">
        <v>0</v>
      </c>
      <c r="CA1084" s="138">
        <v>1</v>
      </c>
      <c r="CB1084" s="136">
        <v>1</v>
      </c>
      <c r="CC1084" s="136">
        <v>0</v>
      </c>
      <c r="CD1084" s="136">
        <v>0</v>
      </c>
      <c r="CE1084" s="137">
        <v>0</v>
      </c>
      <c r="CF1084" s="137">
        <v>0</v>
      </c>
      <c r="CG1084" s="137">
        <v>0</v>
      </c>
      <c r="CH1084" s="214">
        <v>713</v>
      </c>
      <c r="CI1084" s="139" t="s">
        <v>48</v>
      </c>
      <c r="CJ1084" s="139">
        <v>0</v>
      </c>
      <c r="CK1084" s="139" t="s">
        <v>50</v>
      </c>
      <c r="CL1084" s="139" t="s">
        <v>50</v>
      </c>
      <c r="CM1084" s="139" t="s">
        <v>965</v>
      </c>
      <c r="CN1084" s="139" t="s">
        <v>966</v>
      </c>
      <c r="CO1084" s="139">
        <v>20.037655000000001</v>
      </c>
      <c r="CP1084" s="139">
        <v>93.370037999999994</v>
      </c>
      <c r="CQ1084" s="139" t="s">
        <v>1605</v>
      </c>
      <c r="CR1084" s="449" t="s">
        <v>40</v>
      </c>
      <c r="CS1084" s="449"/>
      <c r="CT1084" s="24"/>
      <c r="CU1084" s="24"/>
      <c r="CV1084" s="24"/>
    </row>
    <row r="1085" spans="1:100" ht="15.75" customHeight="1" x14ac:dyDescent="0.25">
      <c r="A1085" s="643" t="s">
        <v>1388</v>
      </c>
      <c r="B1085" s="132" t="s">
        <v>426</v>
      </c>
      <c r="C1085" s="132" t="s">
        <v>454</v>
      </c>
      <c r="D1085" s="132" t="s">
        <v>563</v>
      </c>
      <c r="E1085" s="132" t="s">
        <v>573</v>
      </c>
      <c r="F1085" s="132">
        <v>399</v>
      </c>
      <c r="G1085" s="214">
        <v>1975</v>
      </c>
      <c r="H1085" s="132"/>
      <c r="I1085" s="132" t="s">
        <v>428</v>
      </c>
      <c r="J1085" s="133">
        <v>43220</v>
      </c>
      <c r="K1085" s="132">
        <v>36</v>
      </c>
      <c r="L1085" s="132" t="s">
        <v>282</v>
      </c>
      <c r="M1085" s="134">
        <v>0</v>
      </c>
      <c r="N1085" s="134">
        <v>0</v>
      </c>
      <c r="O1085" s="320">
        <v>0</v>
      </c>
      <c r="P1085" s="326">
        <v>0</v>
      </c>
      <c r="Q1085" s="326">
        <v>0</v>
      </c>
      <c r="R1085" s="315">
        <v>3</v>
      </c>
      <c r="S1085" s="315">
        <v>0</v>
      </c>
      <c r="T1085" s="315"/>
      <c r="U1085" s="315"/>
      <c r="V1085" s="315"/>
      <c r="W1085" s="315"/>
      <c r="X1085" s="315"/>
      <c r="Y1085" s="315"/>
      <c r="Z1085" s="315" t="s">
        <v>2471</v>
      </c>
      <c r="AA1085" s="336">
        <v>347</v>
      </c>
      <c r="AB1085" s="336">
        <v>347</v>
      </c>
      <c r="AC1085" s="337"/>
      <c r="AD1085" s="337"/>
      <c r="AE1085" s="336">
        <v>0</v>
      </c>
      <c r="AF1085" s="336" t="s">
        <v>1358</v>
      </c>
      <c r="AG1085" s="339" t="s">
        <v>283</v>
      </c>
      <c r="AH1085" s="339"/>
      <c r="AI1085" s="336"/>
      <c r="AJ1085" s="336" t="s">
        <v>2472</v>
      </c>
      <c r="AK1085" s="848">
        <v>0</v>
      </c>
      <c r="AL1085" s="836"/>
      <c r="AM1085" s="836">
        <v>0</v>
      </c>
      <c r="AN1085" s="848">
        <v>0</v>
      </c>
      <c r="AO1085" s="850">
        <v>3</v>
      </c>
      <c r="AP1085" s="839"/>
      <c r="AQ1085" s="839"/>
      <c r="AR1085" s="839"/>
      <c r="AS1085" s="839"/>
      <c r="AT1085" s="839"/>
      <c r="AU1085" s="839"/>
      <c r="AV1085" s="849" t="s">
        <v>2473</v>
      </c>
      <c r="AW1085" s="134" t="s">
        <v>3208</v>
      </c>
      <c r="AX1085" s="136" t="s">
        <v>3208</v>
      </c>
      <c r="AY1085" s="137" t="s">
        <v>2576</v>
      </c>
      <c r="AZ1085" s="136">
        <v>0</v>
      </c>
      <c r="BA1085" s="136">
        <v>0</v>
      </c>
      <c r="BB1085" s="136">
        <v>0</v>
      </c>
      <c r="BC1085" s="214">
        <v>0</v>
      </c>
      <c r="BD1085" s="136">
        <v>0.379746835443038</v>
      </c>
      <c r="BE1085" s="214">
        <v>750</v>
      </c>
      <c r="BF1085" s="136">
        <v>0.379746835443038</v>
      </c>
      <c r="BG1085" s="214">
        <v>750</v>
      </c>
      <c r="BH1085" s="214">
        <v>1.5</v>
      </c>
      <c r="BI1085" s="134">
        <v>0.620253164556962</v>
      </c>
      <c r="BJ1085" s="214">
        <v>1225</v>
      </c>
      <c r="BK1085" s="137">
        <v>2.5</v>
      </c>
      <c r="BL1085" s="137">
        <v>4</v>
      </c>
      <c r="BM1085" s="137">
        <v>694</v>
      </c>
      <c r="BN1085" s="134">
        <v>1</v>
      </c>
      <c r="BO1085" s="351">
        <v>1975</v>
      </c>
      <c r="BP1085" s="134">
        <v>0</v>
      </c>
      <c r="BQ1085" s="214">
        <v>0</v>
      </c>
      <c r="BR1085" s="137">
        <v>329</v>
      </c>
      <c r="BS1085" s="138">
        <v>0.5</v>
      </c>
      <c r="BT1085" s="351" t="s">
        <v>103</v>
      </c>
      <c r="BU1085" s="214">
        <v>1500</v>
      </c>
      <c r="BV1085" s="214">
        <v>0</v>
      </c>
      <c r="BW1085" s="214">
        <v>1</v>
      </c>
      <c r="BX1085" s="214">
        <v>0</v>
      </c>
      <c r="BY1085" s="214">
        <v>0</v>
      </c>
      <c r="BZ1085" s="134">
        <v>0</v>
      </c>
      <c r="CA1085" s="138">
        <v>1</v>
      </c>
      <c r="CB1085" s="136">
        <v>0.759493670886076</v>
      </c>
      <c r="CC1085" s="136">
        <v>0</v>
      </c>
      <c r="CD1085" s="136">
        <v>0</v>
      </c>
      <c r="CE1085" s="137">
        <v>0</v>
      </c>
      <c r="CF1085" s="137">
        <v>0</v>
      </c>
      <c r="CG1085" s="137">
        <v>0</v>
      </c>
      <c r="CH1085" s="214">
        <v>0</v>
      </c>
      <c r="CI1085" s="139">
        <v>0</v>
      </c>
      <c r="CJ1085" s="139">
        <v>0</v>
      </c>
      <c r="CK1085" s="139" t="s">
        <v>969</v>
      </c>
      <c r="CL1085" s="139" t="s">
        <v>969</v>
      </c>
      <c r="CM1085" s="139" t="s">
        <v>969</v>
      </c>
      <c r="CN1085" s="139" t="s">
        <v>966</v>
      </c>
      <c r="CO1085" s="139">
        <v>20.099340438842798</v>
      </c>
      <c r="CP1085" s="139">
        <v>92.989143371582003</v>
      </c>
      <c r="CQ1085" s="139" t="s">
        <v>1621</v>
      </c>
      <c r="CR1085" s="449" t="s">
        <v>40</v>
      </c>
      <c r="CS1085" s="449"/>
      <c r="CT1085" s="24"/>
      <c r="CU1085" s="24"/>
      <c r="CV1085" s="24"/>
    </row>
    <row r="1086" spans="1:100" ht="15.75" customHeight="1" x14ac:dyDescent="0.25">
      <c r="A1086" s="643" t="s">
        <v>1388</v>
      </c>
      <c r="B1086" s="132" t="s">
        <v>426</v>
      </c>
      <c r="C1086" s="132" t="s">
        <v>454</v>
      </c>
      <c r="D1086" s="132" t="s">
        <v>563</v>
      </c>
      <c r="E1086" s="132" t="s">
        <v>574</v>
      </c>
      <c r="F1086" s="132">
        <v>712</v>
      </c>
      <c r="G1086" s="214">
        <v>4302</v>
      </c>
      <c r="H1086" s="132"/>
      <c r="I1086" s="132" t="s">
        <v>428</v>
      </c>
      <c r="J1086" s="133">
        <v>43220</v>
      </c>
      <c r="K1086" s="132"/>
      <c r="L1086" s="132" t="s">
        <v>282</v>
      </c>
      <c r="M1086" s="134">
        <v>0</v>
      </c>
      <c r="N1086" s="134">
        <v>0</v>
      </c>
      <c r="O1086" s="320">
        <v>0</v>
      </c>
      <c r="P1086" s="326">
        <v>0</v>
      </c>
      <c r="Q1086" s="326">
        <v>65000</v>
      </c>
      <c r="R1086" s="315">
        <v>2</v>
      </c>
      <c r="S1086" s="315">
        <v>0</v>
      </c>
      <c r="T1086" s="315"/>
      <c r="U1086" s="315"/>
      <c r="V1086" s="315"/>
      <c r="W1086" s="315"/>
      <c r="X1086" s="315"/>
      <c r="Y1086" s="315"/>
      <c r="Z1086" s="315"/>
      <c r="AA1086" s="336">
        <v>130</v>
      </c>
      <c r="AB1086" s="336">
        <v>2</v>
      </c>
      <c r="AC1086" s="337"/>
      <c r="AD1086" s="337"/>
      <c r="AE1086" s="336">
        <v>0</v>
      </c>
      <c r="AF1086" s="336" t="s">
        <v>1358</v>
      </c>
      <c r="AG1086" s="339" t="s">
        <v>283</v>
      </c>
      <c r="AH1086" s="339"/>
      <c r="AI1086" s="336"/>
      <c r="AJ1086" s="336" t="s">
        <v>2464</v>
      </c>
      <c r="AK1086" s="848">
        <v>0</v>
      </c>
      <c r="AL1086" s="836" t="s">
        <v>284</v>
      </c>
      <c r="AM1086" s="836">
        <v>0</v>
      </c>
      <c r="AN1086" s="848">
        <v>0</v>
      </c>
      <c r="AO1086" s="850">
        <v>10</v>
      </c>
      <c r="AP1086" s="839"/>
      <c r="AQ1086" s="839"/>
      <c r="AR1086" s="839"/>
      <c r="AS1086" s="839"/>
      <c r="AT1086" s="839"/>
      <c r="AU1086" s="839"/>
      <c r="AV1086" s="849" t="s">
        <v>2469</v>
      </c>
      <c r="AW1086" s="134" t="s">
        <v>3208</v>
      </c>
      <c r="AX1086" s="136" t="s">
        <v>3208</v>
      </c>
      <c r="AY1086" s="137" t="s">
        <v>2576</v>
      </c>
      <c r="AZ1086" s="136">
        <v>1</v>
      </c>
      <c r="BA1086" s="136">
        <v>1</v>
      </c>
      <c r="BB1086" s="136">
        <v>1</v>
      </c>
      <c r="BC1086" s="214">
        <v>4302</v>
      </c>
      <c r="BD1086" s="136">
        <v>0.11622501162250116</v>
      </c>
      <c r="BE1086" s="214">
        <v>500</v>
      </c>
      <c r="BF1086" s="136">
        <v>1</v>
      </c>
      <c r="BG1086" s="214">
        <v>4302</v>
      </c>
      <c r="BH1086" s="214">
        <v>8.6039999999999992</v>
      </c>
      <c r="BI1086" s="134">
        <v>0</v>
      </c>
      <c r="BJ1086" s="214">
        <v>0</v>
      </c>
      <c r="BK1086" s="137">
        <v>0.3960000000000008</v>
      </c>
      <c r="BL1086" s="137">
        <v>9</v>
      </c>
      <c r="BM1086" s="137">
        <v>132</v>
      </c>
      <c r="BN1086" s="134">
        <v>0.60437006043700603</v>
      </c>
      <c r="BO1086" s="351">
        <v>2600</v>
      </c>
      <c r="BP1086" s="134">
        <v>0.38586703858670385</v>
      </c>
      <c r="BQ1086" s="214">
        <v>83</v>
      </c>
      <c r="BR1086" s="137">
        <v>215</v>
      </c>
      <c r="BS1086" s="138">
        <v>1.5151515151515152E-2</v>
      </c>
      <c r="BT1086" s="351">
        <v>0</v>
      </c>
      <c r="BU1086" s="214">
        <v>4302</v>
      </c>
      <c r="BV1086" s="214">
        <v>0</v>
      </c>
      <c r="BW1086" s="214">
        <v>1</v>
      </c>
      <c r="BX1086" s="214">
        <v>0</v>
      </c>
      <c r="BY1086" s="214">
        <v>0</v>
      </c>
      <c r="BZ1086" s="134">
        <v>0</v>
      </c>
      <c r="CA1086" s="138">
        <v>1</v>
      </c>
      <c r="CB1086" s="136">
        <v>1</v>
      </c>
      <c r="CC1086" s="136">
        <v>0</v>
      </c>
      <c r="CD1086" s="136">
        <v>0</v>
      </c>
      <c r="CE1086" s="137">
        <v>0</v>
      </c>
      <c r="CF1086" s="137">
        <v>0</v>
      </c>
      <c r="CG1086" s="137">
        <v>0</v>
      </c>
      <c r="CH1086" s="214">
        <v>0</v>
      </c>
      <c r="CI1086" s="139" t="s">
        <v>48</v>
      </c>
      <c r="CJ1086" s="139">
        <v>0</v>
      </c>
      <c r="CK1086" s="139" t="s">
        <v>50</v>
      </c>
      <c r="CL1086" s="139" t="s">
        <v>50</v>
      </c>
      <c r="CM1086" s="139" t="s">
        <v>965</v>
      </c>
      <c r="CN1086" s="139" t="s">
        <v>966</v>
      </c>
      <c r="CO1086" s="139">
        <v>20.108101999999999</v>
      </c>
      <c r="CP1086" s="139">
        <v>92.985095000000001</v>
      </c>
      <c r="CQ1086" s="139" t="s">
        <v>1624</v>
      </c>
      <c r="CR1086" s="449" t="s">
        <v>40</v>
      </c>
      <c r="CS1086" s="449"/>
      <c r="CT1086" s="24"/>
      <c r="CU1086" s="24"/>
      <c r="CV1086" s="24"/>
    </row>
    <row r="1087" spans="1:100" ht="15.75" customHeight="1" x14ac:dyDescent="0.25">
      <c r="A1087" s="643" t="s">
        <v>1388</v>
      </c>
      <c r="B1087" s="132" t="s">
        <v>571</v>
      </c>
      <c r="C1087" s="132" t="s">
        <v>454</v>
      </c>
      <c r="D1087" s="132" t="s">
        <v>563</v>
      </c>
      <c r="E1087" s="132" t="s">
        <v>572</v>
      </c>
      <c r="F1087" s="132">
        <v>1341</v>
      </c>
      <c r="G1087" s="214">
        <v>5938</v>
      </c>
      <c r="H1087" s="132"/>
      <c r="I1087" s="132" t="s">
        <v>388</v>
      </c>
      <c r="J1087" s="133">
        <v>43281</v>
      </c>
      <c r="K1087" s="132">
        <v>0</v>
      </c>
      <c r="L1087" s="132" t="s">
        <v>282</v>
      </c>
      <c r="M1087" s="134">
        <v>0</v>
      </c>
      <c r="N1087" s="134">
        <v>0</v>
      </c>
      <c r="O1087" s="320">
        <v>0</v>
      </c>
      <c r="P1087" s="326">
        <v>0</v>
      </c>
      <c r="Q1087" s="326">
        <v>81000</v>
      </c>
      <c r="R1087" s="315">
        <v>2</v>
      </c>
      <c r="S1087" s="315">
        <v>0</v>
      </c>
      <c r="T1087" s="315"/>
      <c r="U1087" s="315">
        <v>0</v>
      </c>
      <c r="V1087" s="315">
        <v>0</v>
      </c>
      <c r="W1087" s="315">
        <v>0</v>
      </c>
      <c r="X1087" s="315">
        <v>0</v>
      </c>
      <c r="Y1087" s="315">
        <v>0</v>
      </c>
      <c r="Z1087" s="315"/>
      <c r="AA1087" s="336">
        <v>87</v>
      </c>
      <c r="AB1087" s="336">
        <v>116</v>
      </c>
      <c r="AC1087" s="337">
        <v>34</v>
      </c>
      <c r="AD1087" s="337"/>
      <c r="AE1087" s="336">
        <v>0</v>
      </c>
      <c r="AF1087" s="336" t="s">
        <v>283</v>
      </c>
      <c r="AG1087" s="339" t="s">
        <v>1358</v>
      </c>
      <c r="AH1087" s="339">
        <v>0</v>
      </c>
      <c r="AI1087" s="336">
        <v>0</v>
      </c>
      <c r="AJ1087" s="336"/>
      <c r="AK1087" s="848">
        <v>0</v>
      </c>
      <c r="AL1087" s="836" t="s">
        <v>284</v>
      </c>
      <c r="AM1087" s="836">
        <v>0</v>
      </c>
      <c r="AN1087" s="848">
        <v>0</v>
      </c>
      <c r="AO1087" s="850">
        <v>20</v>
      </c>
      <c r="AP1087" s="839">
        <v>1341</v>
      </c>
      <c r="AQ1087" s="839">
        <v>1341</v>
      </c>
      <c r="AR1087" s="839" t="s">
        <v>282</v>
      </c>
      <c r="AS1087" s="839"/>
      <c r="AT1087" s="839"/>
      <c r="AU1087" s="839"/>
      <c r="AV1087" s="849"/>
      <c r="AW1087" s="134" t="s">
        <v>3208</v>
      </c>
      <c r="AX1087" s="136" t="s">
        <v>3208</v>
      </c>
      <c r="AY1087" s="137" t="s">
        <v>2576</v>
      </c>
      <c r="AZ1087" s="136">
        <v>0.90939710340181878</v>
      </c>
      <c r="BA1087" s="136">
        <v>0.90939710340181878</v>
      </c>
      <c r="BB1087" s="136">
        <v>0.90939710340181878</v>
      </c>
      <c r="BC1087" s="214">
        <v>5400</v>
      </c>
      <c r="BD1087" s="136">
        <v>8.4203435500168414E-2</v>
      </c>
      <c r="BE1087" s="214">
        <v>500.00000000000006</v>
      </c>
      <c r="BF1087" s="136">
        <v>0.99360053890198718</v>
      </c>
      <c r="BG1087" s="214">
        <v>5900</v>
      </c>
      <c r="BH1087" s="214">
        <v>11.8</v>
      </c>
      <c r="BI1087" s="134">
        <v>6.3994610980128153E-3</v>
      </c>
      <c r="BJ1087" s="214">
        <v>38.000000000000099</v>
      </c>
      <c r="BK1087" s="137">
        <v>0.19999999999999929</v>
      </c>
      <c r="BL1087" s="137">
        <v>12</v>
      </c>
      <c r="BM1087" s="137">
        <v>203</v>
      </c>
      <c r="BN1087" s="134">
        <v>0.29302795554058608</v>
      </c>
      <c r="BO1087" s="351">
        <v>1740.0000000000002</v>
      </c>
      <c r="BP1087" s="134">
        <v>0.31660491748063324</v>
      </c>
      <c r="BQ1087" s="214">
        <v>94</v>
      </c>
      <c r="BR1087" s="137">
        <v>297</v>
      </c>
      <c r="BS1087" s="138">
        <v>0.5714285714285714</v>
      </c>
      <c r="BT1087" s="351">
        <v>680</v>
      </c>
      <c r="BU1087" s="214">
        <v>5938</v>
      </c>
      <c r="BV1087" s="214">
        <v>1</v>
      </c>
      <c r="BW1087" s="214">
        <v>1</v>
      </c>
      <c r="BX1087" s="214">
        <v>1</v>
      </c>
      <c r="BY1087" s="214">
        <v>5938</v>
      </c>
      <c r="BZ1087" s="134">
        <v>1</v>
      </c>
      <c r="CA1087" s="138">
        <v>0</v>
      </c>
      <c r="CB1087" s="136">
        <v>1</v>
      </c>
      <c r="CC1087" s="136">
        <v>1</v>
      </c>
      <c r="CD1087" s="136">
        <v>1</v>
      </c>
      <c r="CE1087" s="137">
        <v>6705</v>
      </c>
      <c r="CF1087" s="137">
        <v>6705</v>
      </c>
      <c r="CG1087" s="137">
        <v>6705</v>
      </c>
      <c r="CH1087" s="214">
        <v>0</v>
      </c>
      <c r="CI1087" s="139" t="s">
        <v>48</v>
      </c>
      <c r="CJ1087" s="139">
        <v>0</v>
      </c>
      <c r="CK1087" s="139" t="s">
        <v>50</v>
      </c>
      <c r="CL1087" s="139" t="s">
        <v>50</v>
      </c>
      <c r="CM1087" s="139" t="s">
        <v>965</v>
      </c>
      <c r="CN1087" s="139" t="s">
        <v>966</v>
      </c>
      <c r="CO1087" s="139">
        <v>20.090183</v>
      </c>
      <c r="CP1087" s="139">
        <v>93.010368999999997</v>
      </c>
      <c r="CQ1087" s="139" t="s">
        <v>1620</v>
      </c>
      <c r="CR1087" s="449" t="s">
        <v>40</v>
      </c>
      <c r="CS1087" s="449"/>
      <c r="CT1087" s="24"/>
      <c r="CU1087" s="24"/>
      <c r="CV1087" s="24"/>
    </row>
    <row r="1088" spans="1:100" ht="15.75" customHeight="1" x14ac:dyDescent="0.25">
      <c r="A1088" s="643" t="s">
        <v>1388</v>
      </c>
      <c r="B1088" s="132" t="s">
        <v>426</v>
      </c>
      <c r="C1088" s="132" t="s">
        <v>454</v>
      </c>
      <c r="D1088" s="132" t="s">
        <v>563</v>
      </c>
      <c r="E1088" s="132" t="s">
        <v>568</v>
      </c>
      <c r="F1088" s="132">
        <v>708</v>
      </c>
      <c r="G1088" s="214">
        <v>4380</v>
      </c>
      <c r="H1088" s="132"/>
      <c r="I1088" s="132" t="s">
        <v>428</v>
      </c>
      <c r="J1088" s="133">
        <v>43220</v>
      </c>
      <c r="K1088" s="132"/>
      <c r="L1088" s="132" t="s">
        <v>282</v>
      </c>
      <c r="M1088" s="134">
        <v>0</v>
      </c>
      <c r="N1088" s="134">
        <v>0</v>
      </c>
      <c r="O1088" s="320">
        <v>0</v>
      </c>
      <c r="P1088" s="326">
        <v>0</v>
      </c>
      <c r="Q1088" s="326">
        <v>65000</v>
      </c>
      <c r="R1088" s="315">
        <v>0</v>
      </c>
      <c r="S1088" s="315">
        <v>0</v>
      </c>
      <c r="T1088" s="315"/>
      <c r="U1088" s="315"/>
      <c r="V1088" s="315"/>
      <c r="W1088" s="315"/>
      <c r="X1088" s="315"/>
      <c r="Y1088" s="315"/>
      <c r="Z1088" s="315"/>
      <c r="AA1088" s="336">
        <v>147</v>
      </c>
      <c r="AB1088" s="336">
        <v>12</v>
      </c>
      <c r="AC1088" s="337"/>
      <c r="AD1088" s="337"/>
      <c r="AE1088" s="336">
        <v>0</v>
      </c>
      <c r="AF1088" s="336" t="s">
        <v>1358</v>
      </c>
      <c r="AG1088" s="339" t="s">
        <v>1358</v>
      </c>
      <c r="AH1088" s="339"/>
      <c r="AI1088" s="336"/>
      <c r="AJ1088" s="336"/>
      <c r="AK1088" s="848">
        <v>0</v>
      </c>
      <c r="AL1088" s="836" t="s">
        <v>284</v>
      </c>
      <c r="AM1088" s="836">
        <v>0</v>
      </c>
      <c r="AN1088" s="848">
        <v>0</v>
      </c>
      <c r="AO1088" s="850">
        <v>9</v>
      </c>
      <c r="AP1088" s="839"/>
      <c r="AQ1088" s="839"/>
      <c r="AR1088" s="839"/>
      <c r="AS1088" s="839"/>
      <c r="AT1088" s="839"/>
      <c r="AU1088" s="839"/>
      <c r="AV1088" s="849" t="s">
        <v>2469</v>
      </c>
      <c r="AW1088" s="134" t="s">
        <v>3208</v>
      </c>
      <c r="AX1088" s="136" t="s">
        <v>3208</v>
      </c>
      <c r="AY1088" s="137" t="s">
        <v>2576</v>
      </c>
      <c r="AZ1088" s="136">
        <v>0.98934550989345504</v>
      </c>
      <c r="BA1088" s="136">
        <v>0.98934550989345504</v>
      </c>
      <c r="BB1088" s="136">
        <v>0.98934550989345504</v>
      </c>
      <c r="BC1088" s="214">
        <v>4333.333333333333</v>
      </c>
      <c r="BD1088" s="136">
        <v>0</v>
      </c>
      <c r="BE1088" s="214">
        <v>0</v>
      </c>
      <c r="BF1088" s="136">
        <v>0.98934550989345504</v>
      </c>
      <c r="BG1088" s="214">
        <v>4333.333333333333</v>
      </c>
      <c r="BH1088" s="214">
        <v>8.6666666666666661</v>
      </c>
      <c r="BI1088" s="134">
        <v>1.0654490106544956E-2</v>
      </c>
      <c r="BJ1088" s="214">
        <v>46.666666666666906</v>
      </c>
      <c r="BK1088" s="137">
        <v>0.33333333333333393</v>
      </c>
      <c r="BL1088" s="137">
        <v>9</v>
      </c>
      <c r="BM1088" s="137">
        <v>159</v>
      </c>
      <c r="BN1088" s="134">
        <v>0.67123287671232879</v>
      </c>
      <c r="BO1088" s="351">
        <v>2940</v>
      </c>
      <c r="BP1088" s="134">
        <v>0.27397260273972601</v>
      </c>
      <c r="BQ1088" s="214">
        <v>60</v>
      </c>
      <c r="BR1088" s="137">
        <v>219</v>
      </c>
      <c r="BS1088" s="138">
        <v>7.5471698113207544E-2</v>
      </c>
      <c r="BT1088" s="351">
        <v>0</v>
      </c>
      <c r="BU1088" s="214">
        <v>4380</v>
      </c>
      <c r="BV1088" s="214">
        <v>0</v>
      </c>
      <c r="BW1088" s="214">
        <v>1</v>
      </c>
      <c r="BX1088" s="214">
        <v>0</v>
      </c>
      <c r="BY1088" s="214">
        <v>0</v>
      </c>
      <c r="BZ1088" s="134">
        <v>0</v>
      </c>
      <c r="CA1088" s="138">
        <v>1</v>
      </c>
      <c r="CB1088" s="136">
        <v>1</v>
      </c>
      <c r="CC1088" s="136">
        <v>0</v>
      </c>
      <c r="CD1088" s="136">
        <v>0</v>
      </c>
      <c r="CE1088" s="137">
        <v>0</v>
      </c>
      <c r="CF1088" s="137">
        <v>0</v>
      </c>
      <c r="CG1088" s="137">
        <v>0</v>
      </c>
      <c r="CH1088" s="214">
        <v>0</v>
      </c>
      <c r="CI1088" s="139" t="s">
        <v>48</v>
      </c>
      <c r="CJ1088" s="139">
        <v>0</v>
      </c>
      <c r="CK1088" s="139" t="s">
        <v>50</v>
      </c>
      <c r="CL1088" s="139" t="s">
        <v>50</v>
      </c>
      <c r="CM1088" s="139" t="s">
        <v>2396</v>
      </c>
      <c r="CN1088" s="139" t="s">
        <v>966</v>
      </c>
      <c r="CO1088" s="139">
        <v>20.073437999999999</v>
      </c>
      <c r="CP1088" s="139">
        <v>93.154551999999995</v>
      </c>
      <c r="CQ1088" s="139" t="s">
        <v>1616</v>
      </c>
      <c r="CR1088" s="449" t="s">
        <v>40</v>
      </c>
      <c r="CS1088" s="449"/>
      <c r="CT1088" s="24"/>
      <c r="CU1088" s="24"/>
      <c r="CV1088" s="24"/>
    </row>
    <row r="1089" spans="1:100" ht="15.75" customHeight="1" x14ac:dyDescent="0.25">
      <c r="A1089" s="643" t="s">
        <v>1388</v>
      </c>
      <c r="B1089" s="132" t="s">
        <v>426</v>
      </c>
      <c r="C1089" s="132" t="s">
        <v>454</v>
      </c>
      <c r="D1089" s="132" t="s">
        <v>563</v>
      </c>
      <c r="E1089" s="132" t="s">
        <v>569</v>
      </c>
      <c r="F1089" s="132">
        <v>544</v>
      </c>
      <c r="G1089" s="214">
        <v>3951</v>
      </c>
      <c r="H1089" s="132"/>
      <c r="I1089" s="132" t="s">
        <v>428</v>
      </c>
      <c r="J1089" s="133">
        <v>43220</v>
      </c>
      <c r="K1089" s="132"/>
      <c r="L1089" s="132" t="s">
        <v>282</v>
      </c>
      <c r="M1089" s="134">
        <v>0</v>
      </c>
      <c r="N1089" s="134">
        <v>0</v>
      </c>
      <c r="O1089" s="320">
        <v>0</v>
      </c>
      <c r="P1089" s="326">
        <v>0</v>
      </c>
      <c r="Q1089" s="326">
        <v>60000</v>
      </c>
      <c r="R1089" s="315">
        <v>0</v>
      </c>
      <c r="S1089" s="315">
        <v>0</v>
      </c>
      <c r="T1089" s="315"/>
      <c r="U1089" s="315"/>
      <c r="V1089" s="315"/>
      <c r="W1089" s="315"/>
      <c r="X1089" s="315"/>
      <c r="Y1089" s="315"/>
      <c r="Z1089" s="315"/>
      <c r="AA1089" s="336">
        <v>132</v>
      </c>
      <c r="AB1089" s="336">
        <v>14</v>
      </c>
      <c r="AC1089" s="337"/>
      <c r="AD1089" s="337"/>
      <c r="AE1089" s="336">
        <v>0</v>
      </c>
      <c r="AF1089" s="336" t="s">
        <v>1358</v>
      </c>
      <c r="AG1089" s="339" t="s">
        <v>1358</v>
      </c>
      <c r="AH1089" s="339"/>
      <c r="AI1089" s="336"/>
      <c r="AJ1089" s="336"/>
      <c r="AK1089" s="848">
        <v>0</v>
      </c>
      <c r="AL1089" s="836" t="s">
        <v>284</v>
      </c>
      <c r="AM1089" s="836">
        <v>0</v>
      </c>
      <c r="AN1089" s="848">
        <v>0</v>
      </c>
      <c r="AO1089" s="850">
        <v>8</v>
      </c>
      <c r="AP1089" s="839"/>
      <c r="AQ1089" s="839"/>
      <c r="AR1089" s="839"/>
      <c r="AS1089" s="839"/>
      <c r="AT1089" s="839"/>
      <c r="AU1089" s="839"/>
      <c r="AV1089" s="849" t="s">
        <v>2469</v>
      </c>
      <c r="AW1089" s="134" t="s">
        <v>3208</v>
      </c>
      <c r="AX1089" s="136" t="s">
        <v>3208</v>
      </c>
      <c r="AY1089" s="137" t="s">
        <v>2576</v>
      </c>
      <c r="AZ1089" s="136">
        <v>1</v>
      </c>
      <c r="BA1089" s="136">
        <v>1</v>
      </c>
      <c r="BB1089" s="136">
        <v>1</v>
      </c>
      <c r="BC1089" s="214">
        <v>3951</v>
      </c>
      <c r="BD1089" s="136">
        <v>0</v>
      </c>
      <c r="BE1089" s="214">
        <v>0</v>
      </c>
      <c r="BF1089" s="136">
        <v>1</v>
      </c>
      <c r="BG1089" s="214">
        <v>3951</v>
      </c>
      <c r="BH1089" s="214">
        <v>7.9020000000000001</v>
      </c>
      <c r="BI1089" s="134">
        <v>0</v>
      </c>
      <c r="BJ1089" s="214">
        <v>0</v>
      </c>
      <c r="BK1089" s="137">
        <v>9.7999999999999865E-2</v>
      </c>
      <c r="BL1089" s="137">
        <v>8</v>
      </c>
      <c r="BM1089" s="137">
        <v>146</v>
      </c>
      <c r="BN1089" s="134">
        <v>0.66818526955201218</v>
      </c>
      <c r="BO1089" s="351">
        <v>2640</v>
      </c>
      <c r="BP1089" s="134">
        <v>0.26322450012655024</v>
      </c>
      <c r="BQ1089" s="214">
        <v>52</v>
      </c>
      <c r="BR1089" s="137">
        <v>198</v>
      </c>
      <c r="BS1089" s="138">
        <v>9.5890410958904104E-2</v>
      </c>
      <c r="BT1089" s="351">
        <v>0</v>
      </c>
      <c r="BU1089" s="214">
        <v>3951</v>
      </c>
      <c r="BV1089" s="214">
        <v>0</v>
      </c>
      <c r="BW1089" s="214">
        <v>1</v>
      </c>
      <c r="BX1089" s="214">
        <v>0</v>
      </c>
      <c r="BY1089" s="214">
        <v>0</v>
      </c>
      <c r="BZ1089" s="134">
        <v>0</v>
      </c>
      <c r="CA1089" s="138">
        <v>1</v>
      </c>
      <c r="CB1089" s="136">
        <v>1</v>
      </c>
      <c r="CC1089" s="136">
        <v>0</v>
      </c>
      <c r="CD1089" s="136">
        <v>0</v>
      </c>
      <c r="CE1089" s="137">
        <v>0</v>
      </c>
      <c r="CF1089" s="137">
        <v>0</v>
      </c>
      <c r="CG1089" s="137">
        <v>0</v>
      </c>
      <c r="CH1089" s="214">
        <v>0</v>
      </c>
      <c r="CI1089" s="139" t="s">
        <v>48</v>
      </c>
      <c r="CJ1089" s="139">
        <v>0</v>
      </c>
      <c r="CK1089" s="139" t="s">
        <v>50</v>
      </c>
      <c r="CL1089" s="139" t="s">
        <v>50</v>
      </c>
      <c r="CM1089" s="139" t="s">
        <v>965</v>
      </c>
      <c r="CN1089" s="139" t="s">
        <v>966</v>
      </c>
      <c r="CO1089" s="139">
        <v>20.073437999999999</v>
      </c>
      <c r="CP1089" s="139">
        <v>93.154551999999995</v>
      </c>
      <c r="CQ1089" s="139" t="s">
        <v>1616</v>
      </c>
      <c r="CR1089" s="449" t="s">
        <v>40</v>
      </c>
      <c r="CS1089" s="449"/>
      <c r="CT1089" s="24"/>
      <c r="CU1089" s="24"/>
      <c r="CV1089" s="24"/>
    </row>
    <row r="1090" spans="1:100" ht="15.75" customHeight="1" x14ac:dyDescent="0.25">
      <c r="A1090" s="643" t="s">
        <v>1388</v>
      </c>
      <c r="B1090" s="132" t="s">
        <v>447</v>
      </c>
      <c r="C1090" s="132" t="s">
        <v>454</v>
      </c>
      <c r="D1090" s="132" t="s">
        <v>563</v>
      </c>
      <c r="E1090" s="132" t="s">
        <v>570</v>
      </c>
      <c r="F1090" s="132">
        <v>204</v>
      </c>
      <c r="G1090" s="214">
        <v>1055</v>
      </c>
      <c r="H1090" s="132"/>
      <c r="I1090" s="132" t="s">
        <v>391</v>
      </c>
      <c r="J1090" s="133">
        <v>43190</v>
      </c>
      <c r="K1090" s="132">
        <v>0</v>
      </c>
      <c r="L1090" s="132" t="s">
        <v>282</v>
      </c>
      <c r="M1090" s="134">
        <v>0</v>
      </c>
      <c r="N1090" s="134">
        <v>0</v>
      </c>
      <c r="O1090" s="320">
        <v>0</v>
      </c>
      <c r="P1090" s="326">
        <v>0</v>
      </c>
      <c r="Q1090" s="326">
        <v>0</v>
      </c>
      <c r="R1090" s="315">
        <v>2</v>
      </c>
      <c r="S1090" s="315">
        <v>0</v>
      </c>
      <c r="T1090" s="315"/>
      <c r="U1090" s="315">
        <v>0</v>
      </c>
      <c r="V1090" s="315">
        <v>0</v>
      </c>
      <c r="W1090" s="315">
        <v>0</v>
      </c>
      <c r="X1090" s="315">
        <v>0</v>
      </c>
      <c r="Y1090" s="315">
        <v>0</v>
      </c>
      <c r="Z1090" s="315"/>
      <c r="AA1090" s="336">
        <v>50</v>
      </c>
      <c r="AB1090" s="336">
        <v>20</v>
      </c>
      <c r="AC1090" s="337">
        <v>0</v>
      </c>
      <c r="AD1090" s="337"/>
      <c r="AE1090" s="336">
        <v>70</v>
      </c>
      <c r="AF1090" s="336" t="s">
        <v>332</v>
      </c>
      <c r="AG1090" s="339" t="s">
        <v>332</v>
      </c>
      <c r="AH1090" s="339">
        <v>0</v>
      </c>
      <c r="AI1090" s="336">
        <v>0</v>
      </c>
      <c r="AJ1090" s="336"/>
      <c r="AK1090" s="848">
        <v>0</v>
      </c>
      <c r="AL1090" s="836" t="s">
        <v>284</v>
      </c>
      <c r="AM1090" s="836">
        <v>0</v>
      </c>
      <c r="AN1090" s="848">
        <v>0</v>
      </c>
      <c r="AO1090" s="850">
        <v>3</v>
      </c>
      <c r="AP1090" s="839">
        <v>0</v>
      </c>
      <c r="AQ1090" s="839">
        <v>0</v>
      </c>
      <c r="AR1090" s="839"/>
      <c r="AS1090" s="839"/>
      <c r="AT1090" s="839"/>
      <c r="AU1090" s="839"/>
      <c r="AV1090" s="849"/>
      <c r="AW1090" s="134" t="s">
        <v>3208</v>
      </c>
      <c r="AX1090" s="136" t="s">
        <v>3208</v>
      </c>
      <c r="AY1090" s="137" t="s">
        <v>2576</v>
      </c>
      <c r="AZ1090" s="136">
        <v>0</v>
      </c>
      <c r="BA1090" s="136">
        <v>0</v>
      </c>
      <c r="BB1090" s="136">
        <v>0</v>
      </c>
      <c r="BC1090" s="214">
        <v>0</v>
      </c>
      <c r="BD1090" s="136">
        <v>0.47393364928909953</v>
      </c>
      <c r="BE1090" s="214">
        <v>500</v>
      </c>
      <c r="BF1090" s="136">
        <v>0.47393364928909953</v>
      </c>
      <c r="BG1090" s="214">
        <v>500</v>
      </c>
      <c r="BH1090" s="214">
        <v>1</v>
      </c>
      <c r="BI1090" s="134">
        <v>0.52606635071090047</v>
      </c>
      <c r="BJ1090" s="214">
        <v>555</v>
      </c>
      <c r="BK1090" s="137">
        <v>1</v>
      </c>
      <c r="BL1090" s="137">
        <v>2</v>
      </c>
      <c r="BM1090" s="137">
        <v>70</v>
      </c>
      <c r="BN1090" s="134">
        <v>0.28436018957345971</v>
      </c>
      <c r="BO1090" s="351">
        <v>300</v>
      </c>
      <c r="BP1090" s="134">
        <v>0.6028436018957346</v>
      </c>
      <c r="BQ1090" s="214">
        <v>106</v>
      </c>
      <c r="BR1090" s="137">
        <v>176</v>
      </c>
      <c r="BS1090" s="138">
        <v>0.2857142857142857</v>
      </c>
      <c r="BT1090" s="351" t="s">
        <v>103</v>
      </c>
      <c r="BU1090" s="214">
        <v>1055</v>
      </c>
      <c r="BV1090" s="214">
        <v>0</v>
      </c>
      <c r="BW1090" s="214">
        <v>1</v>
      </c>
      <c r="BX1090" s="214">
        <v>0</v>
      </c>
      <c r="BY1090" s="214">
        <v>0</v>
      </c>
      <c r="BZ1090" s="134">
        <v>0</v>
      </c>
      <c r="CA1090" s="138">
        <v>1</v>
      </c>
      <c r="CB1090" s="136">
        <v>1</v>
      </c>
      <c r="CC1090" s="136">
        <v>0</v>
      </c>
      <c r="CD1090" s="136">
        <v>0</v>
      </c>
      <c r="CE1090" s="137">
        <v>0</v>
      </c>
      <c r="CF1090" s="137">
        <v>0</v>
      </c>
      <c r="CG1090" s="137">
        <v>0</v>
      </c>
      <c r="CH1090" s="214">
        <v>0</v>
      </c>
      <c r="CI1090" s="139">
        <v>0</v>
      </c>
      <c r="CJ1090" s="139">
        <v>0</v>
      </c>
      <c r="CK1090" s="139" t="s">
        <v>969</v>
      </c>
      <c r="CL1090" s="139" t="s">
        <v>969</v>
      </c>
      <c r="CM1090" s="139" t="s">
        <v>969</v>
      </c>
      <c r="CN1090" s="139" t="s">
        <v>454</v>
      </c>
      <c r="CO1090" s="139">
        <v>20.0839</v>
      </c>
      <c r="CP1090" s="139">
        <v>92.993799999999993</v>
      </c>
      <c r="CQ1090" s="139" t="s">
        <v>1618</v>
      </c>
      <c r="CR1090" s="449" t="s">
        <v>40</v>
      </c>
      <c r="CS1090" s="449"/>
      <c r="CT1090" s="24"/>
      <c r="CU1090" s="24"/>
      <c r="CV1090" s="24"/>
    </row>
    <row r="1091" spans="1:100" ht="15.75" customHeight="1" x14ac:dyDescent="0.25">
      <c r="A1091" s="643" t="s">
        <v>1388</v>
      </c>
      <c r="B1091" s="132" t="s">
        <v>447</v>
      </c>
      <c r="C1091" s="132" t="s">
        <v>454</v>
      </c>
      <c r="D1091" s="132" t="s">
        <v>563</v>
      </c>
      <c r="E1091" s="132" t="s">
        <v>567</v>
      </c>
      <c r="F1091" s="132">
        <v>744</v>
      </c>
      <c r="G1091" s="214">
        <v>2810</v>
      </c>
      <c r="H1091" s="132"/>
      <c r="I1091" s="132" t="s">
        <v>391</v>
      </c>
      <c r="J1091" s="133">
        <v>43190</v>
      </c>
      <c r="K1091" s="132">
        <v>0</v>
      </c>
      <c r="L1091" s="132" t="s">
        <v>282</v>
      </c>
      <c r="M1091" s="134">
        <v>0</v>
      </c>
      <c r="N1091" s="134">
        <v>0</v>
      </c>
      <c r="O1091" s="320">
        <v>14</v>
      </c>
      <c r="P1091" s="326">
        <v>0</v>
      </c>
      <c r="Q1091" s="326">
        <v>70067</v>
      </c>
      <c r="R1091" s="315">
        <v>0</v>
      </c>
      <c r="S1091" s="315">
        <v>8</v>
      </c>
      <c r="T1091" s="315"/>
      <c r="U1091" s="315">
        <v>0</v>
      </c>
      <c r="V1091" s="315">
        <v>0</v>
      </c>
      <c r="W1091" s="315">
        <v>0</v>
      </c>
      <c r="X1091" s="315">
        <v>0</v>
      </c>
      <c r="Y1091" s="315">
        <v>0</v>
      </c>
      <c r="Z1091" s="315"/>
      <c r="AA1091" s="336">
        <v>348</v>
      </c>
      <c r="AB1091" s="336">
        <v>18</v>
      </c>
      <c r="AC1091" s="337">
        <v>0</v>
      </c>
      <c r="AD1091" s="337"/>
      <c r="AE1091" s="336">
        <v>366</v>
      </c>
      <c r="AF1091" s="336" t="s">
        <v>283</v>
      </c>
      <c r="AG1091" s="339" t="s">
        <v>283</v>
      </c>
      <c r="AH1091" s="339">
        <v>0</v>
      </c>
      <c r="AI1091" s="336">
        <v>0</v>
      </c>
      <c r="AJ1091" s="336"/>
      <c r="AK1091" s="848">
        <v>0.55000000000000004</v>
      </c>
      <c r="AL1091" s="836" t="s">
        <v>291</v>
      </c>
      <c r="AM1091" s="836">
        <v>660</v>
      </c>
      <c r="AN1091" s="848">
        <v>0</v>
      </c>
      <c r="AO1091" s="850">
        <v>7</v>
      </c>
      <c r="AP1091" s="839">
        <v>720</v>
      </c>
      <c r="AQ1091" s="839">
        <v>720</v>
      </c>
      <c r="AR1091" s="839"/>
      <c r="AS1091" s="839"/>
      <c r="AT1091" s="839"/>
      <c r="AU1091" s="839"/>
      <c r="AV1091" s="849"/>
      <c r="AW1091" s="134" t="s">
        <v>3208</v>
      </c>
      <c r="AX1091" s="136" t="s">
        <v>3208</v>
      </c>
      <c r="AY1091" s="137" t="s">
        <v>2576</v>
      </c>
      <c r="AZ1091" s="136">
        <v>1</v>
      </c>
      <c r="BA1091" s="136">
        <v>1</v>
      </c>
      <c r="BB1091" s="136">
        <v>1</v>
      </c>
      <c r="BC1091" s="214">
        <v>2810</v>
      </c>
      <c r="BD1091" s="136">
        <v>0</v>
      </c>
      <c r="BE1091" s="214">
        <v>0</v>
      </c>
      <c r="BF1091" s="136">
        <v>1</v>
      </c>
      <c r="BG1091" s="214">
        <v>2810</v>
      </c>
      <c r="BH1091" s="214">
        <v>5.62</v>
      </c>
      <c r="BI1091" s="134">
        <v>0</v>
      </c>
      <c r="BJ1091" s="214">
        <v>0</v>
      </c>
      <c r="BK1091" s="137">
        <v>0.37999999999999989</v>
      </c>
      <c r="BL1091" s="137">
        <v>6</v>
      </c>
      <c r="BM1091" s="137">
        <v>366</v>
      </c>
      <c r="BN1091" s="134">
        <v>1</v>
      </c>
      <c r="BO1091" s="351">
        <v>2810</v>
      </c>
      <c r="BP1091" s="134">
        <v>0</v>
      </c>
      <c r="BQ1091" s="214">
        <v>0</v>
      </c>
      <c r="BR1091" s="137">
        <v>141</v>
      </c>
      <c r="BS1091" s="138">
        <v>4.9180327868852458E-2</v>
      </c>
      <c r="BT1091" s="351">
        <v>0</v>
      </c>
      <c r="BU1091" s="214">
        <v>2810</v>
      </c>
      <c r="BV1091" s="214">
        <v>0</v>
      </c>
      <c r="BW1091" s="214">
        <v>1</v>
      </c>
      <c r="BX1091" s="214">
        <v>0</v>
      </c>
      <c r="BY1091" s="214">
        <v>0</v>
      </c>
      <c r="BZ1091" s="134">
        <v>0</v>
      </c>
      <c r="CA1091" s="138">
        <v>1</v>
      </c>
      <c r="CB1091" s="136">
        <v>1</v>
      </c>
      <c r="CC1091" s="136">
        <v>0.967741935483871</v>
      </c>
      <c r="CD1091" s="136">
        <v>0.967741935483871</v>
      </c>
      <c r="CE1091" s="137">
        <v>3600</v>
      </c>
      <c r="CF1091" s="137">
        <v>3600</v>
      </c>
      <c r="CG1091" s="137">
        <v>3600</v>
      </c>
      <c r="CH1091" s="214">
        <v>409.20000000000005</v>
      </c>
      <c r="CI1091" s="139" t="s">
        <v>48</v>
      </c>
      <c r="CJ1091" s="139">
        <v>0</v>
      </c>
      <c r="CK1091" s="139" t="s">
        <v>50</v>
      </c>
      <c r="CL1091" s="139" t="s">
        <v>50</v>
      </c>
      <c r="CM1091" s="139" t="s">
        <v>965</v>
      </c>
      <c r="CN1091" s="139" t="s">
        <v>966</v>
      </c>
      <c r="CO1091" s="139">
        <v>20.064226000000001</v>
      </c>
      <c r="CP1091" s="139">
        <v>92.993758999999997</v>
      </c>
      <c r="CQ1091" s="139" t="s">
        <v>1612</v>
      </c>
      <c r="CR1091" s="449" t="s">
        <v>40</v>
      </c>
      <c r="CS1091" s="449"/>
      <c r="CT1091" s="24"/>
      <c r="CU1091" s="24"/>
      <c r="CV1091" s="24"/>
    </row>
    <row r="1092" spans="1:100" ht="15.75" customHeight="1" x14ac:dyDescent="0.25">
      <c r="A1092" s="643" t="s">
        <v>1388</v>
      </c>
      <c r="B1092" s="132" t="s">
        <v>447</v>
      </c>
      <c r="C1092" s="132" t="s">
        <v>454</v>
      </c>
      <c r="D1092" s="132" t="s">
        <v>563</v>
      </c>
      <c r="E1092" s="132" t="s">
        <v>566</v>
      </c>
      <c r="F1092" s="132">
        <v>948</v>
      </c>
      <c r="G1092" s="214">
        <v>3946</v>
      </c>
      <c r="H1092" s="132"/>
      <c r="I1092" s="132" t="s">
        <v>391</v>
      </c>
      <c r="J1092" s="133">
        <v>43190</v>
      </c>
      <c r="K1092" s="132">
        <v>0</v>
      </c>
      <c r="L1092" s="132" t="s">
        <v>282</v>
      </c>
      <c r="M1092" s="134">
        <v>0</v>
      </c>
      <c r="N1092" s="134">
        <v>0</v>
      </c>
      <c r="O1092" s="320">
        <v>50</v>
      </c>
      <c r="P1092" s="326">
        <v>8</v>
      </c>
      <c r="Q1092" s="326">
        <v>0</v>
      </c>
      <c r="R1092" s="315">
        <v>0</v>
      </c>
      <c r="S1092" s="315">
        <v>0</v>
      </c>
      <c r="T1092" s="315"/>
      <c r="U1092" s="315">
        <v>0</v>
      </c>
      <c r="V1092" s="315">
        <v>0</v>
      </c>
      <c r="W1092" s="315">
        <v>0</v>
      </c>
      <c r="X1092" s="315">
        <v>0</v>
      </c>
      <c r="Y1092" s="315">
        <v>0</v>
      </c>
      <c r="Z1092" s="315"/>
      <c r="AA1092" s="336">
        <v>243</v>
      </c>
      <c r="AB1092" s="336">
        <v>97</v>
      </c>
      <c r="AC1092" s="337">
        <v>0</v>
      </c>
      <c r="AD1092" s="337"/>
      <c r="AE1092" s="336">
        <v>340</v>
      </c>
      <c r="AF1092" s="336" t="s">
        <v>332</v>
      </c>
      <c r="AG1092" s="339" t="s">
        <v>283</v>
      </c>
      <c r="AH1092" s="339">
        <v>0</v>
      </c>
      <c r="AI1092" s="336">
        <v>0</v>
      </c>
      <c r="AJ1092" s="336"/>
      <c r="AK1092" s="848">
        <v>0.45</v>
      </c>
      <c r="AL1092" s="836" t="s">
        <v>291</v>
      </c>
      <c r="AM1092" s="836">
        <v>0</v>
      </c>
      <c r="AN1092" s="848">
        <v>0</v>
      </c>
      <c r="AO1092" s="850">
        <v>7</v>
      </c>
      <c r="AP1092" s="839">
        <v>0</v>
      </c>
      <c r="AQ1092" s="839">
        <v>0</v>
      </c>
      <c r="AR1092" s="839"/>
      <c r="AS1092" s="839"/>
      <c r="AT1092" s="839"/>
      <c r="AU1092" s="839"/>
      <c r="AV1092" s="849"/>
      <c r="AW1092" s="134" t="s">
        <v>3208</v>
      </c>
      <c r="AX1092" s="136" t="s">
        <v>3208</v>
      </c>
      <c r="AY1092" s="137" t="s">
        <v>2576</v>
      </c>
      <c r="AZ1092" s="136">
        <v>1</v>
      </c>
      <c r="BA1092" s="136">
        <v>1</v>
      </c>
      <c r="BB1092" s="136">
        <v>1</v>
      </c>
      <c r="BC1092" s="214">
        <v>3946</v>
      </c>
      <c r="BD1092" s="136">
        <v>0</v>
      </c>
      <c r="BE1092" s="214">
        <v>0</v>
      </c>
      <c r="BF1092" s="136">
        <v>1</v>
      </c>
      <c r="BG1092" s="214">
        <v>3946</v>
      </c>
      <c r="BH1092" s="214">
        <v>7.8920000000000003</v>
      </c>
      <c r="BI1092" s="134">
        <v>0</v>
      </c>
      <c r="BJ1092" s="214">
        <v>0</v>
      </c>
      <c r="BK1092" s="137">
        <v>0.10799999999999965</v>
      </c>
      <c r="BL1092" s="137">
        <v>8</v>
      </c>
      <c r="BM1092" s="137">
        <v>340</v>
      </c>
      <c r="BN1092" s="134">
        <v>0.36948808920425746</v>
      </c>
      <c r="BO1092" s="351">
        <v>1458</v>
      </c>
      <c r="BP1092" s="134">
        <v>0.48352762290927526</v>
      </c>
      <c r="BQ1092" s="214">
        <v>318</v>
      </c>
      <c r="BR1092" s="137">
        <v>658</v>
      </c>
      <c r="BS1092" s="138">
        <v>0.28529411764705881</v>
      </c>
      <c r="BT1092" s="351" t="s">
        <v>103</v>
      </c>
      <c r="BU1092" s="214">
        <v>3500</v>
      </c>
      <c r="BV1092" s="214">
        <v>0</v>
      </c>
      <c r="BW1092" s="214">
        <v>1</v>
      </c>
      <c r="BX1092" s="214">
        <v>0</v>
      </c>
      <c r="BY1092" s="214">
        <v>0</v>
      </c>
      <c r="BZ1092" s="134">
        <v>0</v>
      </c>
      <c r="CA1092" s="138">
        <v>1</v>
      </c>
      <c r="CB1092" s="136">
        <v>0.88697415103902688</v>
      </c>
      <c r="CC1092" s="136">
        <v>0</v>
      </c>
      <c r="CD1092" s="136">
        <v>0</v>
      </c>
      <c r="CE1092" s="137">
        <v>0</v>
      </c>
      <c r="CF1092" s="137">
        <v>0</v>
      </c>
      <c r="CG1092" s="137">
        <v>0</v>
      </c>
      <c r="CH1092" s="214">
        <v>426.6</v>
      </c>
      <c r="CI1092" s="139">
        <v>0</v>
      </c>
      <c r="CJ1092" s="139">
        <v>0</v>
      </c>
      <c r="CK1092" s="139" t="s">
        <v>969</v>
      </c>
      <c r="CL1092" s="139" t="s">
        <v>969</v>
      </c>
      <c r="CM1092" s="139" t="s">
        <v>969</v>
      </c>
      <c r="CN1092" s="139" t="s">
        <v>966</v>
      </c>
      <c r="CO1092" s="139">
        <v>20.0641</v>
      </c>
      <c r="CP1092" s="139">
        <v>92.994600000000005</v>
      </c>
      <c r="CQ1092" s="139" t="s">
        <v>1611</v>
      </c>
      <c r="CR1092" s="449" t="s">
        <v>40</v>
      </c>
      <c r="CS1092" s="449"/>
      <c r="CT1092" s="24"/>
      <c r="CU1092" s="24"/>
      <c r="CV1092" s="24"/>
    </row>
    <row r="1093" spans="1:100" ht="15.75" customHeight="1" x14ac:dyDescent="0.25">
      <c r="A1093" s="643" t="s">
        <v>1388</v>
      </c>
      <c r="B1093" s="132" t="s">
        <v>447</v>
      </c>
      <c r="C1093" s="132" t="s">
        <v>454</v>
      </c>
      <c r="D1093" s="132" t="s">
        <v>563</v>
      </c>
      <c r="E1093" s="132" t="s">
        <v>564</v>
      </c>
      <c r="F1093" s="132">
        <v>477</v>
      </c>
      <c r="G1093" s="214">
        <v>2034</v>
      </c>
      <c r="H1093" s="132"/>
      <c r="I1093" s="132" t="s">
        <v>391</v>
      </c>
      <c r="J1093" s="133">
        <v>43190</v>
      </c>
      <c r="K1093" s="132">
        <v>0</v>
      </c>
      <c r="L1093" s="132" t="s">
        <v>282</v>
      </c>
      <c r="M1093" s="134">
        <v>0</v>
      </c>
      <c r="N1093" s="134">
        <v>0</v>
      </c>
      <c r="O1093" s="320">
        <v>15</v>
      </c>
      <c r="P1093" s="326">
        <v>7</v>
      </c>
      <c r="Q1093" s="326">
        <v>0</v>
      </c>
      <c r="R1093" s="315">
        <v>2</v>
      </c>
      <c r="S1093" s="315">
        <v>0</v>
      </c>
      <c r="T1093" s="315"/>
      <c r="U1093" s="315">
        <v>0</v>
      </c>
      <c r="V1093" s="315">
        <v>0</v>
      </c>
      <c r="W1093" s="315">
        <v>0</v>
      </c>
      <c r="X1093" s="315">
        <v>0</v>
      </c>
      <c r="Y1093" s="315">
        <v>0</v>
      </c>
      <c r="Z1093" s="315"/>
      <c r="AA1093" s="336">
        <v>102</v>
      </c>
      <c r="AB1093" s="336">
        <v>74</v>
      </c>
      <c r="AC1093" s="337">
        <v>0</v>
      </c>
      <c r="AD1093" s="337"/>
      <c r="AE1093" s="336">
        <v>176</v>
      </c>
      <c r="AF1093" s="336" t="s">
        <v>332</v>
      </c>
      <c r="AG1093" s="339" t="s">
        <v>283</v>
      </c>
      <c r="AH1093" s="339">
        <v>0</v>
      </c>
      <c r="AI1093" s="336">
        <v>0</v>
      </c>
      <c r="AJ1093" s="336" t="s">
        <v>565</v>
      </c>
      <c r="AK1093" s="848">
        <v>0</v>
      </c>
      <c r="AL1093" s="836" t="s">
        <v>284</v>
      </c>
      <c r="AM1093" s="836">
        <v>0</v>
      </c>
      <c r="AN1093" s="848">
        <v>0</v>
      </c>
      <c r="AO1093" s="850">
        <v>4</v>
      </c>
      <c r="AP1093" s="839">
        <v>0</v>
      </c>
      <c r="AQ1093" s="839">
        <v>0</v>
      </c>
      <c r="AR1093" s="839"/>
      <c r="AS1093" s="839"/>
      <c r="AT1093" s="839"/>
      <c r="AU1093" s="839"/>
      <c r="AV1093" s="849"/>
      <c r="AW1093" s="134" t="s">
        <v>3208</v>
      </c>
      <c r="AX1093" s="136" t="s">
        <v>3208</v>
      </c>
      <c r="AY1093" s="137" t="s">
        <v>2576</v>
      </c>
      <c r="AZ1093" s="136">
        <v>1</v>
      </c>
      <c r="BA1093" s="136">
        <v>1</v>
      </c>
      <c r="BB1093" s="136">
        <v>1</v>
      </c>
      <c r="BC1093" s="214">
        <v>2034</v>
      </c>
      <c r="BD1093" s="136">
        <v>0.24582104228121926</v>
      </c>
      <c r="BE1093" s="214">
        <v>500</v>
      </c>
      <c r="BF1093" s="136">
        <v>1</v>
      </c>
      <c r="BG1093" s="214">
        <v>2034</v>
      </c>
      <c r="BH1093" s="214">
        <v>4.0679999999999996</v>
      </c>
      <c r="BI1093" s="134">
        <v>0</v>
      </c>
      <c r="BJ1093" s="214">
        <v>0</v>
      </c>
      <c r="BK1093" s="137">
        <v>0</v>
      </c>
      <c r="BL1093" s="137">
        <v>4</v>
      </c>
      <c r="BM1093" s="137">
        <v>176</v>
      </c>
      <c r="BN1093" s="134">
        <v>0.30088495575221241</v>
      </c>
      <c r="BO1093" s="351">
        <v>612</v>
      </c>
      <c r="BP1093" s="134">
        <v>0.4808259587020649</v>
      </c>
      <c r="BQ1093" s="214">
        <v>163</v>
      </c>
      <c r="BR1093" s="137">
        <v>339</v>
      </c>
      <c r="BS1093" s="138">
        <v>0.42045454545454547</v>
      </c>
      <c r="BT1093" s="351" t="s">
        <v>103</v>
      </c>
      <c r="BU1093" s="214">
        <v>2000</v>
      </c>
      <c r="BV1093" s="214">
        <v>0</v>
      </c>
      <c r="BW1093" s="214">
        <v>1</v>
      </c>
      <c r="BX1093" s="214">
        <v>0</v>
      </c>
      <c r="BY1093" s="214">
        <v>0</v>
      </c>
      <c r="BZ1093" s="134">
        <v>0</v>
      </c>
      <c r="CA1093" s="138">
        <v>1</v>
      </c>
      <c r="CB1093" s="136">
        <v>0.98328416912487704</v>
      </c>
      <c r="CC1093" s="136">
        <v>0</v>
      </c>
      <c r="CD1093" s="136">
        <v>0</v>
      </c>
      <c r="CE1093" s="137">
        <v>0</v>
      </c>
      <c r="CF1093" s="137">
        <v>0</v>
      </c>
      <c r="CG1093" s="137">
        <v>0</v>
      </c>
      <c r="CH1093" s="214">
        <v>0</v>
      </c>
      <c r="CI1093" s="139">
        <v>0</v>
      </c>
      <c r="CJ1093" s="139">
        <v>0</v>
      </c>
      <c r="CK1093" s="139" t="s">
        <v>969</v>
      </c>
      <c r="CL1093" s="139" t="s">
        <v>969</v>
      </c>
      <c r="CM1093" s="139" t="s">
        <v>969</v>
      </c>
      <c r="CN1093" s="139" t="s">
        <v>454</v>
      </c>
      <c r="CO1093" s="139">
        <v>20.057860999999999</v>
      </c>
      <c r="CP1093" s="139">
        <v>92.995181000000002</v>
      </c>
      <c r="CQ1093" s="139" t="s">
        <v>1608</v>
      </c>
      <c r="CR1093" s="449" t="s">
        <v>40</v>
      </c>
      <c r="CS1093" s="449"/>
      <c r="CT1093" s="24"/>
      <c r="CU1093" s="24"/>
      <c r="CV1093" s="24"/>
    </row>
    <row r="1094" spans="1:100" ht="15.75" customHeight="1" x14ac:dyDescent="0.25">
      <c r="A1094" s="643" t="s">
        <v>1388</v>
      </c>
      <c r="B1094" s="132" t="s">
        <v>460</v>
      </c>
      <c r="C1094" s="132" t="s">
        <v>454</v>
      </c>
      <c r="D1094" s="132" t="s">
        <v>618</v>
      </c>
      <c r="E1094" s="132" t="s">
        <v>650</v>
      </c>
      <c r="F1094" s="132">
        <v>72</v>
      </c>
      <c r="G1094" s="214">
        <v>360</v>
      </c>
      <c r="H1094" s="132"/>
      <c r="I1094" s="132"/>
      <c r="J1094" s="133"/>
      <c r="K1094" s="132"/>
      <c r="L1094" s="132" t="s">
        <v>282</v>
      </c>
      <c r="M1094" s="134">
        <v>0</v>
      </c>
      <c r="N1094" s="134">
        <v>0</v>
      </c>
      <c r="O1094" s="320">
        <v>0</v>
      </c>
      <c r="P1094" s="326"/>
      <c r="Q1094" s="326"/>
      <c r="R1094" s="315"/>
      <c r="S1094" s="315">
        <v>0</v>
      </c>
      <c r="T1094" s="315"/>
      <c r="U1094" s="315"/>
      <c r="V1094" s="315"/>
      <c r="W1094" s="315"/>
      <c r="X1094" s="315"/>
      <c r="Y1094" s="315"/>
      <c r="Z1094" s="315"/>
      <c r="AA1094" s="336">
        <v>5</v>
      </c>
      <c r="AB1094" s="336"/>
      <c r="AC1094" s="337"/>
      <c r="AD1094" s="337"/>
      <c r="AE1094" s="336">
        <v>0</v>
      </c>
      <c r="AF1094" s="336" t="s">
        <v>286</v>
      </c>
      <c r="AG1094" s="339" t="s">
        <v>286</v>
      </c>
      <c r="AH1094" s="339"/>
      <c r="AI1094" s="336"/>
      <c r="AJ1094" s="336"/>
      <c r="AK1094" s="848">
        <v>0</v>
      </c>
      <c r="AL1094" s="836"/>
      <c r="AM1094" s="836">
        <v>0</v>
      </c>
      <c r="AN1094" s="848"/>
      <c r="AO1094" s="850">
        <v>0</v>
      </c>
      <c r="AP1094" s="839"/>
      <c r="AQ1094" s="839"/>
      <c r="AR1094" s="839"/>
      <c r="AS1094" s="839"/>
      <c r="AT1094" s="839"/>
      <c r="AU1094" s="839"/>
      <c r="AV1094" s="849"/>
      <c r="AW1094" s="134" t="s">
        <v>3208</v>
      </c>
      <c r="AX1094" s="136" t="s">
        <v>3208</v>
      </c>
      <c r="AY1094" s="137" t="s">
        <v>2576</v>
      </c>
      <c r="AZ1094" s="136">
        <v>0</v>
      </c>
      <c r="BA1094" s="136">
        <v>0</v>
      </c>
      <c r="BB1094" s="136">
        <v>0</v>
      </c>
      <c r="BC1094" s="214">
        <v>0</v>
      </c>
      <c r="BD1094" s="136">
        <v>0</v>
      </c>
      <c r="BE1094" s="214">
        <v>0</v>
      </c>
      <c r="BF1094" s="136">
        <v>0</v>
      </c>
      <c r="BG1094" s="214">
        <v>0</v>
      </c>
      <c r="BH1094" s="214">
        <v>0</v>
      </c>
      <c r="BI1094" s="134">
        <v>1</v>
      </c>
      <c r="BJ1094" s="214">
        <v>360</v>
      </c>
      <c r="BK1094" s="137">
        <v>1</v>
      </c>
      <c r="BL1094" s="137">
        <v>1</v>
      </c>
      <c r="BM1094" s="137">
        <v>5</v>
      </c>
      <c r="BN1094" s="134">
        <v>8.3333333333333329E-2</v>
      </c>
      <c r="BO1094" s="351">
        <v>30</v>
      </c>
      <c r="BP1094" s="134">
        <v>0.91666666666666663</v>
      </c>
      <c r="BQ1094" s="214">
        <v>55</v>
      </c>
      <c r="BR1094" s="137">
        <v>60</v>
      </c>
      <c r="BS1094" s="138">
        <v>0</v>
      </c>
      <c r="BT1094" s="351" t="s">
        <v>103</v>
      </c>
      <c r="BU1094" s="214">
        <v>0</v>
      </c>
      <c r="BV1094" s="214">
        <v>0</v>
      </c>
      <c r="BW1094" s="214">
        <v>0</v>
      </c>
      <c r="BX1094" s="214">
        <v>0</v>
      </c>
      <c r="BY1094" s="214">
        <v>0</v>
      </c>
      <c r="BZ1094" s="134">
        <v>0</v>
      </c>
      <c r="CA1094" s="138">
        <v>1</v>
      </c>
      <c r="CB1094" s="136">
        <v>0</v>
      </c>
      <c r="CC1094" s="136">
        <v>0</v>
      </c>
      <c r="CD1094" s="136">
        <v>0</v>
      </c>
      <c r="CE1094" s="137">
        <v>0</v>
      </c>
      <c r="CF1094" s="137">
        <v>0</v>
      </c>
      <c r="CG1094" s="137">
        <v>0</v>
      </c>
      <c r="CH1094" s="214">
        <v>0</v>
      </c>
      <c r="CI1094" s="139">
        <v>0</v>
      </c>
      <c r="CJ1094" s="139">
        <v>0</v>
      </c>
      <c r="CK1094" s="139" t="s">
        <v>969</v>
      </c>
      <c r="CL1094" s="139" t="s">
        <v>969</v>
      </c>
      <c r="CM1094" s="139" t="s">
        <v>969</v>
      </c>
      <c r="CN1094" s="139" t="s">
        <v>966</v>
      </c>
      <c r="CO1094" s="139">
        <v>20.494340897000001</v>
      </c>
      <c r="CP1094" s="139">
        <v>93.054298400999997</v>
      </c>
      <c r="CQ1094" s="139" t="s">
        <v>1700</v>
      </c>
      <c r="CR1094" s="449" t="s">
        <v>3209</v>
      </c>
      <c r="CS1094" s="449"/>
      <c r="CT1094" s="24"/>
      <c r="CU1094" s="24"/>
      <c r="CV1094" s="24"/>
    </row>
    <row r="1095" spans="1:100" ht="15.75" customHeight="1" x14ac:dyDescent="0.25">
      <c r="A1095" s="643" t="s">
        <v>1388</v>
      </c>
      <c r="B1095" s="132" t="s">
        <v>460</v>
      </c>
      <c r="C1095" s="132" t="s">
        <v>454</v>
      </c>
      <c r="D1095" s="132" t="s">
        <v>618</v>
      </c>
      <c r="E1095" s="132" t="s">
        <v>674</v>
      </c>
      <c r="F1095" s="132">
        <v>324</v>
      </c>
      <c r="G1095" s="214">
        <v>1618</v>
      </c>
      <c r="H1095" s="132"/>
      <c r="I1095" s="132"/>
      <c r="J1095" s="133"/>
      <c r="K1095" s="132"/>
      <c r="L1095" s="132" t="s">
        <v>282</v>
      </c>
      <c r="M1095" s="134">
        <v>0</v>
      </c>
      <c r="N1095" s="134">
        <v>0</v>
      </c>
      <c r="O1095" s="320">
        <v>0</v>
      </c>
      <c r="P1095" s="326"/>
      <c r="Q1095" s="326"/>
      <c r="R1095" s="315"/>
      <c r="S1095" s="315">
        <v>0</v>
      </c>
      <c r="T1095" s="315"/>
      <c r="U1095" s="315"/>
      <c r="V1095" s="315"/>
      <c r="W1095" s="315"/>
      <c r="X1095" s="315"/>
      <c r="Y1095" s="315"/>
      <c r="Z1095" s="315"/>
      <c r="AA1095" s="336">
        <v>45</v>
      </c>
      <c r="AB1095" s="336"/>
      <c r="AC1095" s="337"/>
      <c r="AD1095" s="337"/>
      <c r="AE1095" s="336">
        <v>0</v>
      </c>
      <c r="AF1095" s="336" t="s">
        <v>286</v>
      </c>
      <c r="AG1095" s="339" t="s">
        <v>286</v>
      </c>
      <c r="AH1095" s="339"/>
      <c r="AI1095" s="336"/>
      <c r="AJ1095" s="336"/>
      <c r="AK1095" s="848">
        <v>0</v>
      </c>
      <c r="AL1095" s="836"/>
      <c r="AM1095" s="836">
        <v>0</v>
      </c>
      <c r="AN1095" s="848"/>
      <c r="AO1095" s="850">
        <v>0</v>
      </c>
      <c r="AP1095" s="839"/>
      <c r="AQ1095" s="839"/>
      <c r="AR1095" s="839"/>
      <c r="AS1095" s="839"/>
      <c r="AT1095" s="839"/>
      <c r="AU1095" s="839"/>
      <c r="AV1095" s="849"/>
      <c r="AW1095" s="134" t="s">
        <v>3208</v>
      </c>
      <c r="AX1095" s="136" t="s">
        <v>3208</v>
      </c>
      <c r="AY1095" s="137" t="s">
        <v>2576</v>
      </c>
      <c r="AZ1095" s="136">
        <v>0</v>
      </c>
      <c r="BA1095" s="136">
        <v>0</v>
      </c>
      <c r="BB1095" s="136">
        <v>0</v>
      </c>
      <c r="BC1095" s="214">
        <v>0</v>
      </c>
      <c r="BD1095" s="136">
        <v>0</v>
      </c>
      <c r="BE1095" s="214">
        <v>0</v>
      </c>
      <c r="BF1095" s="136">
        <v>0</v>
      </c>
      <c r="BG1095" s="214">
        <v>0</v>
      </c>
      <c r="BH1095" s="214">
        <v>0</v>
      </c>
      <c r="BI1095" s="134">
        <v>1</v>
      </c>
      <c r="BJ1095" s="214">
        <v>1618</v>
      </c>
      <c r="BK1095" s="137">
        <v>3</v>
      </c>
      <c r="BL1095" s="137">
        <v>3</v>
      </c>
      <c r="BM1095" s="137">
        <v>45</v>
      </c>
      <c r="BN1095" s="134">
        <v>0.1668726823238566</v>
      </c>
      <c r="BO1095" s="351">
        <v>270</v>
      </c>
      <c r="BP1095" s="134">
        <v>0.83436341161928296</v>
      </c>
      <c r="BQ1095" s="214">
        <v>225</v>
      </c>
      <c r="BR1095" s="137">
        <v>270</v>
      </c>
      <c r="BS1095" s="138">
        <v>0</v>
      </c>
      <c r="BT1095" s="351" t="s">
        <v>103</v>
      </c>
      <c r="BU1095" s="214">
        <v>0</v>
      </c>
      <c r="BV1095" s="214">
        <v>0</v>
      </c>
      <c r="BW1095" s="214">
        <v>0</v>
      </c>
      <c r="BX1095" s="214">
        <v>0</v>
      </c>
      <c r="BY1095" s="214">
        <v>0</v>
      </c>
      <c r="BZ1095" s="134">
        <v>0</v>
      </c>
      <c r="CA1095" s="138">
        <v>1</v>
      </c>
      <c r="CB1095" s="136">
        <v>0</v>
      </c>
      <c r="CC1095" s="136">
        <v>0</v>
      </c>
      <c r="CD1095" s="136">
        <v>0</v>
      </c>
      <c r="CE1095" s="137">
        <v>0</v>
      </c>
      <c r="CF1095" s="137">
        <v>0</v>
      </c>
      <c r="CG1095" s="137">
        <v>0</v>
      </c>
      <c r="CH1095" s="214">
        <v>0</v>
      </c>
      <c r="CI1095" s="139">
        <v>0</v>
      </c>
      <c r="CJ1095" s="139">
        <v>0</v>
      </c>
      <c r="CK1095" s="139" t="s">
        <v>969</v>
      </c>
      <c r="CL1095" s="139" t="s">
        <v>969</v>
      </c>
      <c r="CM1095" s="139" t="s">
        <v>969</v>
      </c>
      <c r="CN1095" s="139" t="s">
        <v>966</v>
      </c>
      <c r="CO1095" s="139">
        <v>20.608819961999998</v>
      </c>
      <c r="CP1095" s="139">
        <v>93.022407532000003</v>
      </c>
      <c r="CQ1095" s="139" t="s">
        <v>1732</v>
      </c>
      <c r="CR1095" s="449" t="s">
        <v>3209</v>
      </c>
      <c r="CS1095" s="449"/>
      <c r="CT1095" s="24"/>
      <c r="CU1095" s="24"/>
      <c r="CV1095" s="24"/>
    </row>
    <row r="1096" spans="1:100" ht="15.75" customHeight="1" x14ac:dyDescent="0.25">
      <c r="A1096" s="643" t="s">
        <v>1388</v>
      </c>
      <c r="B1096" s="132" t="s">
        <v>460</v>
      </c>
      <c r="C1096" s="132" t="s">
        <v>454</v>
      </c>
      <c r="D1096" s="132" t="s">
        <v>618</v>
      </c>
      <c r="E1096" s="132" t="s">
        <v>675</v>
      </c>
      <c r="F1096" s="132">
        <v>149</v>
      </c>
      <c r="G1096" s="214">
        <v>747</v>
      </c>
      <c r="H1096" s="132"/>
      <c r="I1096" s="132"/>
      <c r="J1096" s="133"/>
      <c r="K1096" s="132"/>
      <c r="L1096" s="132" t="s">
        <v>282</v>
      </c>
      <c r="M1096" s="134">
        <v>0</v>
      </c>
      <c r="N1096" s="134">
        <v>0</v>
      </c>
      <c r="O1096" s="320">
        <v>0</v>
      </c>
      <c r="P1096" s="326"/>
      <c r="Q1096" s="326"/>
      <c r="R1096" s="315"/>
      <c r="S1096" s="315">
        <v>0</v>
      </c>
      <c r="T1096" s="315"/>
      <c r="U1096" s="315"/>
      <c r="V1096" s="315"/>
      <c r="W1096" s="315"/>
      <c r="X1096" s="315"/>
      <c r="Y1096" s="315"/>
      <c r="Z1096" s="315"/>
      <c r="AA1096" s="336">
        <v>0</v>
      </c>
      <c r="AB1096" s="336"/>
      <c r="AC1096" s="337"/>
      <c r="AD1096" s="337"/>
      <c r="AE1096" s="336">
        <v>0</v>
      </c>
      <c r="AF1096" s="336" t="s">
        <v>286</v>
      </c>
      <c r="AG1096" s="339" t="s">
        <v>286</v>
      </c>
      <c r="AH1096" s="339"/>
      <c r="AI1096" s="336"/>
      <c r="AJ1096" s="336"/>
      <c r="AK1096" s="848">
        <v>0</v>
      </c>
      <c r="AL1096" s="836"/>
      <c r="AM1096" s="836">
        <v>0</v>
      </c>
      <c r="AN1096" s="848"/>
      <c r="AO1096" s="850">
        <v>0</v>
      </c>
      <c r="AP1096" s="839"/>
      <c r="AQ1096" s="839"/>
      <c r="AR1096" s="839"/>
      <c r="AS1096" s="839"/>
      <c r="AT1096" s="839"/>
      <c r="AU1096" s="839"/>
      <c r="AV1096" s="849"/>
      <c r="AW1096" s="134" t="s">
        <v>3208</v>
      </c>
      <c r="AX1096" s="136" t="s">
        <v>3208</v>
      </c>
      <c r="AY1096" s="137" t="s">
        <v>2576</v>
      </c>
      <c r="AZ1096" s="136">
        <v>0</v>
      </c>
      <c r="BA1096" s="136">
        <v>0</v>
      </c>
      <c r="BB1096" s="136">
        <v>0</v>
      </c>
      <c r="BC1096" s="214">
        <v>0</v>
      </c>
      <c r="BD1096" s="136">
        <v>0</v>
      </c>
      <c r="BE1096" s="214">
        <v>0</v>
      </c>
      <c r="BF1096" s="136">
        <v>0</v>
      </c>
      <c r="BG1096" s="214">
        <v>0</v>
      </c>
      <c r="BH1096" s="214">
        <v>0</v>
      </c>
      <c r="BI1096" s="134">
        <v>1</v>
      </c>
      <c r="BJ1096" s="214">
        <v>747</v>
      </c>
      <c r="BK1096" s="137">
        <v>1</v>
      </c>
      <c r="BL1096" s="137">
        <v>1</v>
      </c>
      <c r="BM1096" s="137">
        <v>0</v>
      </c>
      <c r="BN1096" s="134">
        <v>0</v>
      </c>
      <c r="BO1096" s="351">
        <v>0</v>
      </c>
      <c r="BP1096" s="134">
        <v>1</v>
      </c>
      <c r="BQ1096" s="214">
        <v>125</v>
      </c>
      <c r="BR1096" s="137">
        <v>125</v>
      </c>
      <c r="BS1096" s="138">
        <v>0</v>
      </c>
      <c r="BT1096" s="351" t="s">
        <v>103</v>
      </c>
      <c r="BU1096" s="214">
        <v>0</v>
      </c>
      <c r="BV1096" s="214">
        <v>0</v>
      </c>
      <c r="BW1096" s="214">
        <v>0</v>
      </c>
      <c r="BX1096" s="214">
        <v>0</v>
      </c>
      <c r="BY1096" s="214">
        <v>0</v>
      </c>
      <c r="BZ1096" s="134">
        <v>0</v>
      </c>
      <c r="CA1096" s="138">
        <v>1</v>
      </c>
      <c r="CB1096" s="136">
        <v>0</v>
      </c>
      <c r="CC1096" s="136">
        <v>0</v>
      </c>
      <c r="CD1096" s="136">
        <v>0</v>
      </c>
      <c r="CE1096" s="137">
        <v>0</v>
      </c>
      <c r="CF1096" s="137">
        <v>0</v>
      </c>
      <c r="CG1096" s="137">
        <v>0</v>
      </c>
      <c r="CH1096" s="214">
        <v>0</v>
      </c>
      <c r="CI1096" s="139">
        <v>0</v>
      </c>
      <c r="CJ1096" s="139">
        <v>0</v>
      </c>
      <c r="CK1096" s="139" t="s">
        <v>969</v>
      </c>
      <c r="CL1096" s="139" t="s">
        <v>969</v>
      </c>
      <c r="CM1096" s="139" t="s">
        <v>969</v>
      </c>
      <c r="CN1096" s="139" t="s">
        <v>454</v>
      </c>
      <c r="CO1096" s="139">
        <v>20.630609511999999</v>
      </c>
      <c r="CP1096" s="139">
        <v>92.998641968000001</v>
      </c>
      <c r="CQ1096" s="139" t="s">
        <v>1734</v>
      </c>
      <c r="CR1096" s="449" t="s">
        <v>3209</v>
      </c>
      <c r="CS1096" s="449"/>
      <c r="CT1096" s="24"/>
      <c r="CU1096" s="24"/>
      <c r="CV1096" s="24"/>
    </row>
    <row r="1097" spans="1:100" ht="15.75" customHeight="1" x14ac:dyDescent="0.25">
      <c r="A1097" s="643" t="s">
        <v>1388</v>
      </c>
      <c r="B1097" s="132" t="s">
        <v>460</v>
      </c>
      <c r="C1097" s="132" t="s">
        <v>454</v>
      </c>
      <c r="D1097" s="132" t="s">
        <v>618</v>
      </c>
      <c r="E1097" s="132" t="s">
        <v>681</v>
      </c>
      <c r="F1097" s="132">
        <v>83</v>
      </c>
      <c r="G1097" s="214">
        <v>417</v>
      </c>
      <c r="H1097" s="132"/>
      <c r="I1097" s="132"/>
      <c r="J1097" s="133"/>
      <c r="K1097" s="132"/>
      <c r="L1097" s="132" t="s">
        <v>282</v>
      </c>
      <c r="M1097" s="134">
        <v>0</v>
      </c>
      <c r="N1097" s="134">
        <v>0</v>
      </c>
      <c r="O1097" s="320">
        <v>0</v>
      </c>
      <c r="P1097" s="326"/>
      <c r="Q1097" s="326"/>
      <c r="R1097" s="315"/>
      <c r="S1097" s="315">
        <v>0</v>
      </c>
      <c r="T1097" s="315"/>
      <c r="U1097" s="315"/>
      <c r="V1097" s="315"/>
      <c r="W1097" s="315"/>
      <c r="X1097" s="315"/>
      <c r="Y1097" s="315"/>
      <c r="Z1097" s="315"/>
      <c r="AA1097" s="336">
        <v>10</v>
      </c>
      <c r="AB1097" s="336"/>
      <c r="AC1097" s="337"/>
      <c r="AD1097" s="337"/>
      <c r="AE1097" s="336">
        <v>0</v>
      </c>
      <c r="AF1097" s="336" t="s">
        <v>286</v>
      </c>
      <c r="AG1097" s="339" t="s">
        <v>286</v>
      </c>
      <c r="AH1097" s="339"/>
      <c r="AI1097" s="336"/>
      <c r="AJ1097" s="336"/>
      <c r="AK1097" s="848">
        <v>0</v>
      </c>
      <c r="AL1097" s="836"/>
      <c r="AM1097" s="836">
        <v>0</v>
      </c>
      <c r="AN1097" s="848"/>
      <c r="AO1097" s="850">
        <v>0</v>
      </c>
      <c r="AP1097" s="839"/>
      <c r="AQ1097" s="839"/>
      <c r="AR1097" s="839"/>
      <c r="AS1097" s="839"/>
      <c r="AT1097" s="839"/>
      <c r="AU1097" s="839"/>
      <c r="AV1097" s="849"/>
      <c r="AW1097" s="134" t="s">
        <v>3208</v>
      </c>
      <c r="AX1097" s="136" t="s">
        <v>3208</v>
      </c>
      <c r="AY1097" s="137" t="s">
        <v>2576</v>
      </c>
      <c r="AZ1097" s="136">
        <v>0</v>
      </c>
      <c r="BA1097" s="136">
        <v>0</v>
      </c>
      <c r="BB1097" s="136">
        <v>0</v>
      </c>
      <c r="BC1097" s="214">
        <v>0</v>
      </c>
      <c r="BD1097" s="136">
        <v>0</v>
      </c>
      <c r="BE1097" s="214">
        <v>0</v>
      </c>
      <c r="BF1097" s="136">
        <v>0</v>
      </c>
      <c r="BG1097" s="214">
        <v>0</v>
      </c>
      <c r="BH1097" s="214">
        <v>0</v>
      </c>
      <c r="BI1097" s="134">
        <v>1</v>
      </c>
      <c r="BJ1097" s="214">
        <v>417</v>
      </c>
      <c r="BK1097" s="137">
        <v>1</v>
      </c>
      <c r="BL1097" s="137">
        <v>1</v>
      </c>
      <c r="BM1097" s="137">
        <v>10</v>
      </c>
      <c r="BN1097" s="134">
        <v>0.14388489208633093</v>
      </c>
      <c r="BO1097" s="351">
        <v>60</v>
      </c>
      <c r="BP1097" s="134">
        <v>0.86330935251798557</v>
      </c>
      <c r="BQ1097" s="214">
        <v>60</v>
      </c>
      <c r="BR1097" s="137">
        <v>70</v>
      </c>
      <c r="BS1097" s="138">
        <v>0</v>
      </c>
      <c r="BT1097" s="351" t="s">
        <v>103</v>
      </c>
      <c r="BU1097" s="214">
        <v>0</v>
      </c>
      <c r="BV1097" s="214">
        <v>0</v>
      </c>
      <c r="BW1097" s="214">
        <v>0</v>
      </c>
      <c r="BX1097" s="214">
        <v>0</v>
      </c>
      <c r="BY1097" s="214">
        <v>0</v>
      </c>
      <c r="BZ1097" s="134">
        <v>0</v>
      </c>
      <c r="CA1097" s="138">
        <v>1</v>
      </c>
      <c r="CB1097" s="136">
        <v>0</v>
      </c>
      <c r="CC1097" s="136">
        <v>0</v>
      </c>
      <c r="CD1097" s="136">
        <v>0</v>
      </c>
      <c r="CE1097" s="137">
        <v>0</v>
      </c>
      <c r="CF1097" s="137">
        <v>0</v>
      </c>
      <c r="CG1097" s="137">
        <v>0</v>
      </c>
      <c r="CH1097" s="214">
        <v>0</v>
      </c>
      <c r="CI1097" s="139">
        <v>0</v>
      </c>
      <c r="CJ1097" s="139">
        <v>0</v>
      </c>
      <c r="CK1097" s="139" t="s">
        <v>969</v>
      </c>
      <c r="CL1097" s="139" t="s">
        <v>969</v>
      </c>
      <c r="CM1097" s="139" t="s">
        <v>969</v>
      </c>
      <c r="CN1097" s="139" t="s">
        <v>454</v>
      </c>
      <c r="CO1097" s="139">
        <v>20.645240783999999</v>
      </c>
      <c r="CP1097" s="139">
        <v>92.939758300999998</v>
      </c>
      <c r="CQ1097" s="139" t="s">
        <v>1741</v>
      </c>
      <c r="CR1097" s="449" t="s">
        <v>3209</v>
      </c>
      <c r="CS1097" s="449"/>
      <c r="CT1097" s="24"/>
      <c r="CU1097" s="24"/>
      <c r="CV1097" s="24"/>
    </row>
    <row r="1098" spans="1:100" ht="15.75" customHeight="1" x14ac:dyDescent="0.25">
      <c r="A1098" s="643" t="s">
        <v>1388</v>
      </c>
      <c r="B1098" s="132" t="s">
        <v>460</v>
      </c>
      <c r="C1098" s="132" t="s">
        <v>454</v>
      </c>
      <c r="D1098" s="132" t="s">
        <v>618</v>
      </c>
      <c r="E1098" s="132" t="s">
        <v>647</v>
      </c>
      <c r="F1098" s="132">
        <v>130</v>
      </c>
      <c r="G1098" s="214">
        <v>650</v>
      </c>
      <c r="H1098" s="132"/>
      <c r="I1098" s="132"/>
      <c r="J1098" s="133"/>
      <c r="K1098" s="132"/>
      <c r="L1098" s="132" t="s">
        <v>282</v>
      </c>
      <c r="M1098" s="134">
        <v>0</v>
      </c>
      <c r="N1098" s="134">
        <v>0</v>
      </c>
      <c r="O1098" s="320">
        <v>0</v>
      </c>
      <c r="P1098" s="326"/>
      <c r="Q1098" s="326"/>
      <c r="R1098" s="315"/>
      <c r="S1098" s="315">
        <v>0</v>
      </c>
      <c r="T1098" s="315"/>
      <c r="U1098" s="315"/>
      <c r="V1098" s="315"/>
      <c r="W1098" s="315"/>
      <c r="X1098" s="315"/>
      <c r="Y1098" s="315"/>
      <c r="Z1098" s="315"/>
      <c r="AA1098" s="336">
        <v>23</v>
      </c>
      <c r="AB1098" s="336"/>
      <c r="AC1098" s="337"/>
      <c r="AD1098" s="337"/>
      <c r="AE1098" s="336">
        <v>0</v>
      </c>
      <c r="AF1098" s="336" t="s">
        <v>286</v>
      </c>
      <c r="AG1098" s="339" t="s">
        <v>286</v>
      </c>
      <c r="AH1098" s="339"/>
      <c r="AI1098" s="336"/>
      <c r="AJ1098" s="336"/>
      <c r="AK1098" s="848">
        <v>0</v>
      </c>
      <c r="AL1098" s="836"/>
      <c r="AM1098" s="836">
        <v>0</v>
      </c>
      <c r="AN1098" s="848"/>
      <c r="AO1098" s="850">
        <v>0</v>
      </c>
      <c r="AP1098" s="839"/>
      <c r="AQ1098" s="839"/>
      <c r="AR1098" s="839"/>
      <c r="AS1098" s="839"/>
      <c r="AT1098" s="839"/>
      <c r="AU1098" s="839"/>
      <c r="AV1098" s="849"/>
      <c r="AW1098" s="134" t="s">
        <v>3208</v>
      </c>
      <c r="AX1098" s="136" t="s">
        <v>3208</v>
      </c>
      <c r="AY1098" s="137" t="s">
        <v>2576</v>
      </c>
      <c r="AZ1098" s="136">
        <v>0</v>
      </c>
      <c r="BA1098" s="136">
        <v>0</v>
      </c>
      <c r="BB1098" s="136">
        <v>0</v>
      </c>
      <c r="BC1098" s="214">
        <v>0</v>
      </c>
      <c r="BD1098" s="136">
        <v>0</v>
      </c>
      <c r="BE1098" s="214">
        <v>0</v>
      </c>
      <c r="BF1098" s="136">
        <v>0</v>
      </c>
      <c r="BG1098" s="214">
        <v>0</v>
      </c>
      <c r="BH1098" s="214">
        <v>0</v>
      </c>
      <c r="BI1098" s="134">
        <v>1</v>
      </c>
      <c r="BJ1098" s="214">
        <v>650</v>
      </c>
      <c r="BK1098" s="137">
        <v>1</v>
      </c>
      <c r="BL1098" s="137">
        <v>1</v>
      </c>
      <c r="BM1098" s="137">
        <v>23</v>
      </c>
      <c r="BN1098" s="134">
        <v>0.21230769230769231</v>
      </c>
      <c r="BO1098" s="351">
        <v>138</v>
      </c>
      <c r="BP1098" s="134">
        <v>0.7846153846153846</v>
      </c>
      <c r="BQ1098" s="214">
        <v>85</v>
      </c>
      <c r="BR1098" s="137">
        <v>108</v>
      </c>
      <c r="BS1098" s="138">
        <v>0</v>
      </c>
      <c r="BT1098" s="351" t="s">
        <v>103</v>
      </c>
      <c r="BU1098" s="214">
        <v>0</v>
      </c>
      <c r="BV1098" s="214">
        <v>0</v>
      </c>
      <c r="BW1098" s="214">
        <v>0</v>
      </c>
      <c r="BX1098" s="214">
        <v>0</v>
      </c>
      <c r="BY1098" s="214">
        <v>0</v>
      </c>
      <c r="BZ1098" s="134">
        <v>0</v>
      </c>
      <c r="CA1098" s="138">
        <v>1</v>
      </c>
      <c r="CB1098" s="136">
        <v>0</v>
      </c>
      <c r="CC1098" s="136">
        <v>0</v>
      </c>
      <c r="CD1098" s="136">
        <v>0</v>
      </c>
      <c r="CE1098" s="137">
        <v>0</v>
      </c>
      <c r="CF1098" s="137">
        <v>0</v>
      </c>
      <c r="CG1098" s="137">
        <v>0</v>
      </c>
      <c r="CH1098" s="214">
        <v>0</v>
      </c>
      <c r="CI1098" s="139">
        <v>0</v>
      </c>
      <c r="CJ1098" s="139">
        <v>0</v>
      </c>
      <c r="CK1098" s="139" t="s">
        <v>969</v>
      </c>
      <c r="CL1098" s="139" t="s">
        <v>969</v>
      </c>
      <c r="CM1098" s="139" t="s">
        <v>969</v>
      </c>
      <c r="CN1098" s="139" t="s">
        <v>454</v>
      </c>
      <c r="CO1098" s="139">
        <v>20.482030868999999</v>
      </c>
      <c r="CP1098" s="139">
        <v>93.045410156000003</v>
      </c>
      <c r="CQ1098" s="139" t="s">
        <v>1698</v>
      </c>
      <c r="CR1098" s="449" t="s">
        <v>3209</v>
      </c>
      <c r="CS1098" s="449"/>
      <c r="CT1098" s="24"/>
      <c r="CU1098" s="24"/>
      <c r="CV1098" s="24"/>
    </row>
    <row r="1099" spans="1:100" ht="15.75" customHeight="1" x14ac:dyDescent="0.25">
      <c r="A1099" s="643" t="s">
        <v>1388</v>
      </c>
      <c r="B1099" s="132" t="s">
        <v>460</v>
      </c>
      <c r="C1099" s="132" t="s">
        <v>454</v>
      </c>
      <c r="D1099" s="132" t="s">
        <v>618</v>
      </c>
      <c r="E1099" s="132" t="s">
        <v>676</v>
      </c>
      <c r="F1099" s="132">
        <v>82</v>
      </c>
      <c r="G1099" s="214">
        <v>408</v>
      </c>
      <c r="H1099" s="132"/>
      <c r="I1099" s="132"/>
      <c r="J1099" s="133"/>
      <c r="K1099" s="132"/>
      <c r="L1099" s="132" t="s">
        <v>282</v>
      </c>
      <c r="M1099" s="134">
        <v>0</v>
      </c>
      <c r="N1099" s="134">
        <v>0</v>
      </c>
      <c r="O1099" s="320">
        <v>0</v>
      </c>
      <c r="P1099" s="326"/>
      <c r="Q1099" s="326"/>
      <c r="R1099" s="315"/>
      <c r="S1099" s="315">
        <v>0</v>
      </c>
      <c r="T1099" s="315"/>
      <c r="U1099" s="315"/>
      <c r="V1099" s="315"/>
      <c r="W1099" s="315"/>
      <c r="X1099" s="315"/>
      <c r="Y1099" s="315"/>
      <c r="Z1099" s="315"/>
      <c r="AA1099" s="336">
        <v>0</v>
      </c>
      <c r="AB1099" s="336"/>
      <c r="AC1099" s="337"/>
      <c r="AD1099" s="337"/>
      <c r="AE1099" s="336">
        <v>0</v>
      </c>
      <c r="AF1099" s="336" t="s">
        <v>286</v>
      </c>
      <c r="AG1099" s="339" t="s">
        <v>286</v>
      </c>
      <c r="AH1099" s="339"/>
      <c r="AI1099" s="336"/>
      <c r="AJ1099" s="336"/>
      <c r="AK1099" s="848">
        <v>0</v>
      </c>
      <c r="AL1099" s="836"/>
      <c r="AM1099" s="836">
        <v>0</v>
      </c>
      <c r="AN1099" s="848"/>
      <c r="AO1099" s="850">
        <v>0</v>
      </c>
      <c r="AP1099" s="839"/>
      <c r="AQ1099" s="839"/>
      <c r="AR1099" s="839"/>
      <c r="AS1099" s="839"/>
      <c r="AT1099" s="839"/>
      <c r="AU1099" s="839"/>
      <c r="AV1099" s="849"/>
      <c r="AW1099" s="134" t="s">
        <v>3208</v>
      </c>
      <c r="AX1099" s="136" t="s">
        <v>3208</v>
      </c>
      <c r="AY1099" s="137" t="s">
        <v>2576</v>
      </c>
      <c r="AZ1099" s="136">
        <v>0</v>
      </c>
      <c r="BA1099" s="136">
        <v>0</v>
      </c>
      <c r="BB1099" s="136">
        <v>0</v>
      </c>
      <c r="BC1099" s="214">
        <v>0</v>
      </c>
      <c r="BD1099" s="136">
        <v>0</v>
      </c>
      <c r="BE1099" s="214">
        <v>0</v>
      </c>
      <c r="BF1099" s="136">
        <v>0</v>
      </c>
      <c r="BG1099" s="214">
        <v>0</v>
      </c>
      <c r="BH1099" s="214">
        <v>0</v>
      </c>
      <c r="BI1099" s="134">
        <v>1</v>
      </c>
      <c r="BJ1099" s="214">
        <v>408</v>
      </c>
      <c r="BK1099" s="137">
        <v>1</v>
      </c>
      <c r="BL1099" s="137">
        <v>1</v>
      </c>
      <c r="BM1099" s="137">
        <v>0</v>
      </c>
      <c r="BN1099" s="134">
        <v>0</v>
      </c>
      <c r="BO1099" s="351">
        <v>0</v>
      </c>
      <c r="BP1099" s="134">
        <v>1</v>
      </c>
      <c r="BQ1099" s="214">
        <v>68</v>
      </c>
      <c r="BR1099" s="137">
        <v>68</v>
      </c>
      <c r="BS1099" s="138">
        <v>0</v>
      </c>
      <c r="BT1099" s="351" t="s">
        <v>103</v>
      </c>
      <c r="BU1099" s="214">
        <v>0</v>
      </c>
      <c r="BV1099" s="214">
        <v>0</v>
      </c>
      <c r="BW1099" s="214">
        <v>0</v>
      </c>
      <c r="BX1099" s="214">
        <v>0</v>
      </c>
      <c r="BY1099" s="214">
        <v>0</v>
      </c>
      <c r="BZ1099" s="134">
        <v>0</v>
      </c>
      <c r="CA1099" s="138">
        <v>1</v>
      </c>
      <c r="CB1099" s="136">
        <v>0</v>
      </c>
      <c r="CC1099" s="136">
        <v>0</v>
      </c>
      <c r="CD1099" s="136">
        <v>0</v>
      </c>
      <c r="CE1099" s="137">
        <v>0</v>
      </c>
      <c r="CF1099" s="137">
        <v>0</v>
      </c>
      <c r="CG1099" s="137">
        <v>0</v>
      </c>
      <c r="CH1099" s="214">
        <v>0</v>
      </c>
      <c r="CI1099" s="139">
        <v>0</v>
      </c>
      <c r="CJ1099" s="139">
        <v>0</v>
      </c>
      <c r="CK1099" s="139" t="s">
        <v>969</v>
      </c>
      <c r="CL1099" s="139" t="s">
        <v>969</v>
      </c>
      <c r="CM1099" s="139" t="s">
        <v>969</v>
      </c>
      <c r="CN1099" s="139" t="s">
        <v>454</v>
      </c>
      <c r="CO1099" s="139">
        <v>20.632720946999999</v>
      </c>
      <c r="CP1099" s="139">
        <v>92.940132141000007</v>
      </c>
      <c r="CQ1099" s="139" t="s">
        <v>1735</v>
      </c>
      <c r="CR1099" s="449" t="s">
        <v>3209</v>
      </c>
      <c r="CS1099" s="449"/>
      <c r="CT1099" s="24"/>
      <c r="CU1099" s="24"/>
      <c r="CV1099" s="24"/>
    </row>
    <row r="1100" spans="1:100" ht="15.75" customHeight="1" x14ac:dyDescent="0.25">
      <c r="A1100" s="643" t="s">
        <v>1388</v>
      </c>
      <c r="B1100" s="132" t="s">
        <v>460</v>
      </c>
      <c r="C1100" s="132" t="s">
        <v>454</v>
      </c>
      <c r="D1100" s="132" t="s">
        <v>618</v>
      </c>
      <c r="E1100" s="132" t="s">
        <v>673</v>
      </c>
      <c r="F1100" s="132">
        <v>246</v>
      </c>
      <c r="G1100" s="214">
        <v>1232</v>
      </c>
      <c r="H1100" s="132"/>
      <c r="I1100" s="132"/>
      <c r="J1100" s="133"/>
      <c r="K1100" s="132"/>
      <c r="L1100" s="132" t="s">
        <v>282</v>
      </c>
      <c r="M1100" s="134">
        <v>0</v>
      </c>
      <c r="N1100" s="134">
        <v>0</v>
      </c>
      <c r="O1100" s="320">
        <v>0</v>
      </c>
      <c r="P1100" s="326"/>
      <c r="Q1100" s="326"/>
      <c r="R1100" s="315"/>
      <c r="S1100" s="315">
        <v>0</v>
      </c>
      <c r="T1100" s="315"/>
      <c r="U1100" s="315"/>
      <c r="V1100" s="315"/>
      <c r="W1100" s="315"/>
      <c r="X1100" s="315"/>
      <c r="Y1100" s="315"/>
      <c r="Z1100" s="315"/>
      <c r="AA1100" s="336">
        <v>42</v>
      </c>
      <c r="AB1100" s="336"/>
      <c r="AC1100" s="337"/>
      <c r="AD1100" s="337"/>
      <c r="AE1100" s="336">
        <v>0</v>
      </c>
      <c r="AF1100" s="336" t="s">
        <v>286</v>
      </c>
      <c r="AG1100" s="339" t="s">
        <v>286</v>
      </c>
      <c r="AH1100" s="339"/>
      <c r="AI1100" s="336"/>
      <c r="AJ1100" s="336"/>
      <c r="AK1100" s="848">
        <v>0</v>
      </c>
      <c r="AL1100" s="836"/>
      <c r="AM1100" s="836">
        <v>0</v>
      </c>
      <c r="AN1100" s="848"/>
      <c r="AO1100" s="850">
        <v>0</v>
      </c>
      <c r="AP1100" s="839"/>
      <c r="AQ1100" s="839"/>
      <c r="AR1100" s="839"/>
      <c r="AS1100" s="839"/>
      <c r="AT1100" s="839"/>
      <c r="AU1100" s="839"/>
      <c r="AV1100" s="849"/>
      <c r="AW1100" s="134" t="s">
        <v>3208</v>
      </c>
      <c r="AX1100" s="136" t="s">
        <v>3208</v>
      </c>
      <c r="AY1100" s="137" t="s">
        <v>2576</v>
      </c>
      <c r="AZ1100" s="136">
        <v>0</v>
      </c>
      <c r="BA1100" s="136">
        <v>0</v>
      </c>
      <c r="BB1100" s="136">
        <v>0</v>
      </c>
      <c r="BC1100" s="214">
        <v>0</v>
      </c>
      <c r="BD1100" s="136">
        <v>0</v>
      </c>
      <c r="BE1100" s="214">
        <v>0</v>
      </c>
      <c r="BF1100" s="136">
        <v>0</v>
      </c>
      <c r="BG1100" s="214">
        <v>0</v>
      </c>
      <c r="BH1100" s="214">
        <v>0</v>
      </c>
      <c r="BI1100" s="134">
        <v>1</v>
      </c>
      <c r="BJ1100" s="214">
        <v>1232</v>
      </c>
      <c r="BK1100" s="137">
        <v>2</v>
      </c>
      <c r="BL1100" s="137">
        <v>2</v>
      </c>
      <c r="BM1100" s="137">
        <v>42</v>
      </c>
      <c r="BN1100" s="134">
        <v>0.20454545454545456</v>
      </c>
      <c r="BO1100" s="351">
        <v>252.00000000000003</v>
      </c>
      <c r="BP1100" s="134">
        <v>0.79383116883116878</v>
      </c>
      <c r="BQ1100" s="214">
        <v>163</v>
      </c>
      <c r="BR1100" s="137">
        <v>205</v>
      </c>
      <c r="BS1100" s="138">
        <v>0</v>
      </c>
      <c r="BT1100" s="351" t="s">
        <v>103</v>
      </c>
      <c r="BU1100" s="214">
        <v>0</v>
      </c>
      <c r="BV1100" s="214">
        <v>0</v>
      </c>
      <c r="BW1100" s="214">
        <v>0</v>
      </c>
      <c r="BX1100" s="214">
        <v>0</v>
      </c>
      <c r="BY1100" s="214">
        <v>0</v>
      </c>
      <c r="BZ1100" s="134">
        <v>0</v>
      </c>
      <c r="CA1100" s="138">
        <v>1</v>
      </c>
      <c r="CB1100" s="136">
        <v>0</v>
      </c>
      <c r="CC1100" s="136">
        <v>0</v>
      </c>
      <c r="CD1100" s="136">
        <v>0</v>
      </c>
      <c r="CE1100" s="137">
        <v>0</v>
      </c>
      <c r="CF1100" s="137">
        <v>0</v>
      </c>
      <c r="CG1100" s="137">
        <v>0</v>
      </c>
      <c r="CH1100" s="214">
        <v>0</v>
      </c>
      <c r="CI1100" s="139">
        <v>0</v>
      </c>
      <c r="CJ1100" s="139">
        <v>0</v>
      </c>
      <c r="CK1100" s="139" t="s">
        <v>969</v>
      </c>
      <c r="CL1100" s="139" t="s">
        <v>969</v>
      </c>
      <c r="CM1100" s="139" t="s">
        <v>969</v>
      </c>
      <c r="CN1100" s="139" t="s">
        <v>454</v>
      </c>
      <c r="CO1100" s="139">
        <v>20.596279144</v>
      </c>
      <c r="CP1100" s="139">
        <v>92.987480164000004</v>
      </c>
      <c r="CQ1100" s="139" t="s">
        <v>1730</v>
      </c>
      <c r="CR1100" s="449" t="s">
        <v>3209</v>
      </c>
      <c r="CS1100" s="449"/>
      <c r="CT1100" s="24"/>
      <c r="CU1100" s="24"/>
      <c r="CV1100" s="24"/>
    </row>
    <row r="1101" spans="1:100" ht="15.75" customHeight="1" x14ac:dyDescent="0.25">
      <c r="A1101" s="643" t="s">
        <v>1388</v>
      </c>
      <c r="B1101" s="132" t="s">
        <v>460</v>
      </c>
      <c r="C1101" s="132" t="s">
        <v>454</v>
      </c>
      <c r="D1101" s="132" t="s">
        <v>618</v>
      </c>
      <c r="E1101" s="132" t="s">
        <v>619</v>
      </c>
      <c r="F1101" s="132">
        <v>362</v>
      </c>
      <c r="G1101" s="214">
        <v>1811</v>
      </c>
      <c r="H1101" s="132"/>
      <c r="I1101" s="132"/>
      <c r="J1101" s="133"/>
      <c r="K1101" s="132"/>
      <c r="L1101" s="132" t="s">
        <v>282</v>
      </c>
      <c r="M1101" s="134">
        <v>0</v>
      </c>
      <c r="N1101" s="134">
        <v>0</v>
      </c>
      <c r="O1101" s="320">
        <v>0</v>
      </c>
      <c r="P1101" s="326">
        <v>4</v>
      </c>
      <c r="Q1101" s="326"/>
      <c r="R1101" s="315"/>
      <c r="S1101" s="315">
        <v>0</v>
      </c>
      <c r="T1101" s="315"/>
      <c r="U1101" s="315"/>
      <c r="V1101" s="315"/>
      <c r="W1101" s="315"/>
      <c r="X1101" s="315"/>
      <c r="Y1101" s="315"/>
      <c r="Z1101" s="315"/>
      <c r="AA1101" s="336">
        <v>141</v>
      </c>
      <c r="AB1101" s="336"/>
      <c r="AC1101" s="337"/>
      <c r="AD1101" s="337"/>
      <c r="AE1101" s="336">
        <v>141</v>
      </c>
      <c r="AF1101" s="336" t="s">
        <v>286</v>
      </c>
      <c r="AG1101" s="339" t="s">
        <v>286</v>
      </c>
      <c r="AH1101" s="339"/>
      <c r="AI1101" s="336"/>
      <c r="AJ1101" s="336"/>
      <c r="AK1101" s="848">
        <v>0</v>
      </c>
      <c r="AL1101" s="836"/>
      <c r="AM1101" s="836">
        <v>0</v>
      </c>
      <c r="AN1101" s="848"/>
      <c r="AO1101" s="850">
        <v>0</v>
      </c>
      <c r="AP1101" s="839"/>
      <c r="AQ1101" s="839"/>
      <c r="AR1101" s="839"/>
      <c r="AS1101" s="839"/>
      <c r="AT1101" s="839"/>
      <c r="AU1101" s="839"/>
      <c r="AV1101" s="849"/>
      <c r="AW1101" s="134" t="s">
        <v>3208</v>
      </c>
      <c r="AX1101" s="136" t="s">
        <v>3208</v>
      </c>
      <c r="AY1101" s="137" t="s">
        <v>2576</v>
      </c>
      <c r="AZ1101" s="136">
        <v>1</v>
      </c>
      <c r="BA1101" s="136">
        <v>0.55218111540585313</v>
      </c>
      <c r="BB1101" s="136">
        <v>0.55218111540585313</v>
      </c>
      <c r="BC1101" s="214">
        <v>1000</v>
      </c>
      <c r="BD1101" s="136">
        <v>0</v>
      </c>
      <c r="BE1101" s="214">
        <v>0</v>
      </c>
      <c r="BF1101" s="136">
        <v>0.55218111540585313</v>
      </c>
      <c r="BG1101" s="214">
        <v>1000</v>
      </c>
      <c r="BH1101" s="214">
        <v>2</v>
      </c>
      <c r="BI1101" s="134">
        <v>0.44781888459414687</v>
      </c>
      <c r="BJ1101" s="214">
        <v>811</v>
      </c>
      <c r="BK1101" s="137">
        <v>2</v>
      </c>
      <c r="BL1101" s="137">
        <v>4</v>
      </c>
      <c r="BM1101" s="137">
        <v>141</v>
      </c>
      <c r="BN1101" s="134">
        <v>0.46714522363335176</v>
      </c>
      <c r="BO1101" s="351">
        <v>846</v>
      </c>
      <c r="BP1101" s="134">
        <v>0.53340695748205413</v>
      </c>
      <c r="BQ1101" s="214">
        <v>161</v>
      </c>
      <c r="BR1101" s="137">
        <v>302</v>
      </c>
      <c r="BS1101" s="138">
        <v>0</v>
      </c>
      <c r="BT1101" s="351" t="s">
        <v>103</v>
      </c>
      <c r="BU1101" s="214">
        <v>0</v>
      </c>
      <c r="BV1101" s="214">
        <v>0</v>
      </c>
      <c r="BW1101" s="214">
        <v>0</v>
      </c>
      <c r="BX1101" s="214">
        <v>0</v>
      </c>
      <c r="BY1101" s="214">
        <v>0</v>
      </c>
      <c r="BZ1101" s="134">
        <v>0</v>
      </c>
      <c r="CA1101" s="138">
        <v>1</v>
      </c>
      <c r="CB1101" s="136">
        <v>0</v>
      </c>
      <c r="CC1101" s="136">
        <v>0</v>
      </c>
      <c r="CD1101" s="136">
        <v>0</v>
      </c>
      <c r="CE1101" s="137">
        <v>0</v>
      </c>
      <c r="CF1101" s="137">
        <v>0</v>
      </c>
      <c r="CG1101" s="137">
        <v>0</v>
      </c>
      <c r="CH1101" s="214">
        <v>0</v>
      </c>
      <c r="CI1101" s="139">
        <v>0</v>
      </c>
      <c r="CJ1101" s="139">
        <v>0</v>
      </c>
      <c r="CK1101" s="139" t="s">
        <v>969</v>
      </c>
      <c r="CL1101" s="139" t="s">
        <v>969</v>
      </c>
      <c r="CM1101" s="139" t="s">
        <v>969</v>
      </c>
      <c r="CN1101" s="139" t="s">
        <v>454</v>
      </c>
      <c r="CO1101" s="139">
        <v>20.268000000000001</v>
      </c>
      <c r="CP1101" s="139">
        <v>92.977999999999994</v>
      </c>
      <c r="CQ1101" s="139" t="s">
        <v>1674</v>
      </c>
      <c r="CR1101" s="449" t="s">
        <v>3209</v>
      </c>
      <c r="CS1101" s="449"/>
      <c r="CT1101" s="24"/>
      <c r="CU1101" s="24"/>
      <c r="CV1101" s="24"/>
    </row>
    <row r="1102" spans="1:100" ht="15.75" customHeight="1" x14ac:dyDescent="0.25">
      <c r="A1102" s="643" t="s">
        <v>1388</v>
      </c>
      <c r="B1102" s="132" t="s">
        <v>460</v>
      </c>
      <c r="C1102" s="132" t="s">
        <v>454</v>
      </c>
      <c r="D1102" s="132" t="s">
        <v>618</v>
      </c>
      <c r="E1102" s="132" t="s">
        <v>622</v>
      </c>
      <c r="F1102" s="132">
        <v>139</v>
      </c>
      <c r="G1102" s="214">
        <v>695</v>
      </c>
      <c r="H1102" s="132"/>
      <c r="I1102" s="132"/>
      <c r="J1102" s="133"/>
      <c r="K1102" s="132"/>
      <c r="L1102" s="132" t="s">
        <v>282</v>
      </c>
      <c r="M1102" s="134">
        <v>0</v>
      </c>
      <c r="N1102" s="134">
        <v>0</v>
      </c>
      <c r="O1102" s="320">
        <v>0</v>
      </c>
      <c r="P1102" s="326">
        <v>0</v>
      </c>
      <c r="Q1102" s="326"/>
      <c r="R1102" s="315"/>
      <c r="S1102" s="315">
        <v>0</v>
      </c>
      <c r="T1102" s="315"/>
      <c r="U1102" s="315"/>
      <c r="V1102" s="315"/>
      <c r="W1102" s="315"/>
      <c r="X1102" s="315"/>
      <c r="Y1102" s="315"/>
      <c r="Z1102" s="315"/>
      <c r="AA1102" s="336">
        <v>44</v>
      </c>
      <c r="AB1102" s="336"/>
      <c r="AC1102" s="337"/>
      <c r="AD1102" s="337"/>
      <c r="AE1102" s="336">
        <v>44</v>
      </c>
      <c r="AF1102" s="336" t="s">
        <v>286</v>
      </c>
      <c r="AG1102" s="339" t="s">
        <v>286</v>
      </c>
      <c r="AH1102" s="339"/>
      <c r="AI1102" s="336"/>
      <c r="AJ1102" s="336"/>
      <c r="AK1102" s="848">
        <v>0</v>
      </c>
      <c r="AL1102" s="836"/>
      <c r="AM1102" s="836">
        <v>0</v>
      </c>
      <c r="AN1102" s="848"/>
      <c r="AO1102" s="850">
        <v>0</v>
      </c>
      <c r="AP1102" s="839"/>
      <c r="AQ1102" s="839"/>
      <c r="AR1102" s="839"/>
      <c r="AS1102" s="839"/>
      <c r="AT1102" s="839"/>
      <c r="AU1102" s="839"/>
      <c r="AV1102" s="849"/>
      <c r="AW1102" s="134" t="s">
        <v>3208</v>
      </c>
      <c r="AX1102" s="136" t="s">
        <v>3208</v>
      </c>
      <c r="AY1102" s="137" t="s">
        <v>2576</v>
      </c>
      <c r="AZ1102" s="136">
        <v>0</v>
      </c>
      <c r="BA1102" s="136">
        <v>0</v>
      </c>
      <c r="BB1102" s="136">
        <v>0</v>
      </c>
      <c r="BC1102" s="214">
        <v>0</v>
      </c>
      <c r="BD1102" s="136">
        <v>0</v>
      </c>
      <c r="BE1102" s="214">
        <v>0</v>
      </c>
      <c r="BF1102" s="136">
        <v>0</v>
      </c>
      <c r="BG1102" s="214">
        <v>0</v>
      </c>
      <c r="BH1102" s="214">
        <v>0</v>
      </c>
      <c r="BI1102" s="134">
        <v>1</v>
      </c>
      <c r="BJ1102" s="214">
        <v>695</v>
      </c>
      <c r="BK1102" s="137">
        <v>1</v>
      </c>
      <c r="BL1102" s="137">
        <v>1</v>
      </c>
      <c r="BM1102" s="137">
        <v>44</v>
      </c>
      <c r="BN1102" s="134">
        <v>0.37985611510791367</v>
      </c>
      <c r="BO1102" s="351">
        <v>264</v>
      </c>
      <c r="BP1102" s="134">
        <v>0.62158273381294971</v>
      </c>
      <c r="BQ1102" s="214">
        <v>72</v>
      </c>
      <c r="BR1102" s="137">
        <v>116</v>
      </c>
      <c r="BS1102" s="138">
        <v>0</v>
      </c>
      <c r="BT1102" s="351" t="s">
        <v>103</v>
      </c>
      <c r="BU1102" s="214">
        <v>0</v>
      </c>
      <c r="BV1102" s="214">
        <v>0</v>
      </c>
      <c r="BW1102" s="214">
        <v>0</v>
      </c>
      <c r="BX1102" s="214">
        <v>0</v>
      </c>
      <c r="BY1102" s="214">
        <v>0</v>
      </c>
      <c r="BZ1102" s="134">
        <v>0</v>
      </c>
      <c r="CA1102" s="138">
        <v>1</v>
      </c>
      <c r="CB1102" s="136">
        <v>0</v>
      </c>
      <c r="CC1102" s="136">
        <v>0</v>
      </c>
      <c r="CD1102" s="136">
        <v>0</v>
      </c>
      <c r="CE1102" s="137">
        <v>0</v>
      </c>
      <c r="CF1102" s="137">
        <v>0</v>
      </c>
      <c r="CG1102" s="137">
        <v>0</v>
      </c>
      <c r="CH1102" s="214">
        <v>0</v>
      </c>
      <c r="CI1102" s="139">
        <v>0</v>
      </c>
      <c r="CJ1102" s="139">
        <v>0</v>
      </c>
      <c r="CK1102" s="139" t="s">
        <v>969</v>
      </c>
      <c r="CL1102" s="139" t="s">
        <v>969</v>
      </c>
      <c r="CM1102" s="139" t="s">
        <v>969</v>
      </c>
      <c r="CN1102" s="139" t="s">
        <v>454</v>
      </c>
      <c r="CO1102" s="139">
        <v>20.292100000000001</v>
      </c>
      <c r="CP1102" s="139">
        <v>92.994100000000003</v>
      </c>
      <c r="CQ1102" s="139" t="s">
        <v>1675</v>
      </c>
      <c r="CR1102" s="449" t="s">
        <v>3209</v>
      </c>
      <c r="CS1102" s="449"/>
      <c r="CT1102" s="24"/>
      <c r="CU1102" s="24"/>
      <c r="CV1102" s="24"/>
    </row>
    <row r="1103" spans="1:100" ht="15.75" customHeight="1" x14ac:dyDescent="0.25">
      <c r="A1103" s="643" t="s">
        <v>1388</v>
      </c>
      <c r="B1103" s="132" t="s">
        <v>460</v>
      </c>
      <c r="C1103" s="132" t="s">
        <v>454</v>
      </c>
      <c r="D1103" s="132" t="s">
        <v>618</v>
      </c>
      <c r="E1103" s="132" t="s">
        <v>653</v>
      </c>
      <c r="F1103" s="132">
        <v>91</v>
      </c>
      <c r="G1103" s="214">
        <v>456</v>
      </c>
      <c r="H1103" s="132"/>
      <c r="I1103" s="132"/>
      <c r="J1103" s="133"/>
      <c r="K1103" s="132"/>
      <c r="L1103" s="132" t="s">
        <v>282</v>
      </c>
      <c r="M1103" s="134">
        <v>0</v>
      </c>
      <c r="N1103" s="134">
        <v>0</v>
      </c>
      <c r="O1103" s="320">
        <v>0</v>
      </c>
      <c r="P1103" s="326"/>
      <c r="Q1103" s="326"/>
      <c r="R1103" s="315"/>
      <c r="S1103" s="315">
        <v>0</v>
      </c>
      <c r="T1103" s="315"/>
      <c r="U1103" s="315"/>
      <c r="V1103" s="315"/>
      <c r="W1103" s="315"/>
      <c r="X1103" s="315"/>
      <c r="Y1103" s="315"/>
      <c r="Z1103" s="315"/>
      <c r="AA1103" s="336">
        <v>6</v>
      </c>
      <c r="AB1103" s="336"/>
      <c r="AC1103" s="337"/>
      <c r="AD1103" s="337"/>
      <c r="AE1103" s="336">
        <v>0</v>
      </c>
      <c r="AF1103" s="336" t="s">
        <v>286</v>
      </c>
      <c r="AG1103" s="339" t="s">
        <v>286</v>
      </c>
      <c r="AH1103" s="339"/>
      <c r="AI1103" s="336"/>
      <c r="AJ1103" s="336"/>
      <c r="AK1103" s="848">
        <v>0</v>
      </c>
      <c r="AL1103" s="836"/>
      <c r="AM1103" s="836">
        <v>0</v>
      </c>
      <c r="AN1103" s="848"/>
      <c r="AO1103" s="850">
        <v>0</v>
      </c>
      <c r="AP1103" s="839"/>
      <c r="AQ1103" s="839"/>
      <c r="AR1103" s="839"/>
      <c r="AS1103" s="839"/>
      <c r="AT1103" s="839"/>
      <c r="AU1103" s="839"/>
      <c r="AV1103" s="849"/>
      <c r="AW1103" s="134" t="s">
        <v>3208</v>
      </c>
      <c r="AX1103" s="136" t="s">
        <v>3208</v>
      </c>
      <c r="AY1103" s="137" t="s">
        <v>2576</v>
      </c>
      <c r="AZ1103" s="136">
        <v>0</v>
      </c>
      <c r="BA1103" s="136">
        <v>0</v>
      </c>
      <c r="BB1103" s="136">
        <v>0</v>
      </c>
      <c r="BC1103" s="214">
        <v>0</v>
      </c>
      <c r="BD1103" s="136">
        <v>0</v>
      </c>
      <c r="BE1103" s="214">
        <v>0</v>
      </c>
      <c r="BF1103" s="136">
        <v>0</v>
      </c>
      <c r="BG1103" s="214">
        <v>0</v>
      </c>
      <c r="BH1103" s="214">
        <v>0</v>
      </c>
      <c r="BI1103" s="134">
        <v>1</v>
      </c>
      <c r="BJ1103" s="214">
        <v>456</v>
      </c>
      <c r="BK1103" s="137">
        <v>1</v>
      </c>
      <c r="BL1103" s="137">
        <v>1</v>
      </c>
      <c r="BM1103" s="137">
        <v>6</v>
      </c>
      <c r="BN1103" s="134">
        <v>7.8947368421052627E-2</v>
      </c>
      <c r="BO1103" s="351">
        <v>36</v>
      </c>
      <c r="BP1103" s="134">
        <v>0.92105263157894735</v>
      </c>
      <c r="BQ1103" s="214">
        <v>70</v>
      </c>
      <c r="BR1103" s="137">
        <v>76</v>
      </c>
      <c r="BS1103" s="138">
        <v>0</v>
      </c>
      <c r="BT1103" s="351" t="s">
        <v>103</v>
      </c>
      <c r="BU1103" s="214">
        <v>0</v>
      </c>
      <c r="BV1103" s="214">
        <v>0</v>
      </c>
      <c r="BW1103" s="214">
        <v>0</v>
      </c>
      <c r="BX1103" s="214">
        <v>0</v>
      </c>
      <c r="BY1103" s="214">
        <v>0</v>
      </c>
      <c r="BZ1103" s="134">
        <v>0</v>
      </c>
      <c r="CA1103" s="138">
        <v>1</v>
      </c>
      <c r="CB1103" s="136">
        <v>0</v>
      </c>
      <c r="CC1103" s="136">
        <v>0</v>
      </c>
      <c r="CD1103" s="136">
        <v>0</v>
      </c>
      <c r="CE1103" s="137">
        <v>0</v>
      </c>
      <c r="CF1103" s="137">
        <v>0</v>
      </c>
      <c r="CG1103" s="137">
        <v>0</v>
      </c>
      <c r="CH1103" s="214">
        <v>0</v>
      </c>
      <c r="CI1103" s="139">
        <v>0</v>
      </c>
      <c r="CJ1103" s="139">
        <v>0</v>
      </c>
      <c r="CK1103" s="139" t="s">
        <v>969</v>
      </c>
      <c r="CL1103" s="139" t="s">
        <v>969</v>
      </c>
      <c r="CM1103" s="139" t="s">
        <v>969</v>
      </c>
      <c r="CN1103" s="139" t="s">
        <v>454</v>
      </c>
      <c r="CO1103" s="139">
        <v>20.509660720999999</v>
      </c>
      <c r="CP1103" s="139">
        <v>92.997230529999996</v>
      </c>
      <c r="CQ1103" s="139" t="s">
        <v>1704</v>
      </c>
      <c r="CR1103" s="449" t="s">
        <v>3209</v>
      </c>
      <c r="CS1103" s="449"/>
      <c r="CT1103" s="24"/>
      <c r="CU1103" s="24"/>
      <c r="CV1103" s="24"/>
    </row>
    <row r="1104" spans="1:100" ht="15.75" customHeight="1" x14ac:dyDescent="0.25">
      <c r="A1104" s="643" t="s">
        <v>1388</v>
      </c>
      <c r="B1104" s="132" t="s">
        <v>460</v>
      </c>
      <c r="C1104" s="132" t="s">
        <v>454</v>
      </c>
      <c r="D1104" s="132" t="s">
        <v>618</v>
      </c>
      <c r="E1104" s="132" t="s">
        <v>625</v>
      </c>
      <c r="F1104" s="132">
        <v>97</v>
      </c>
      <c r="G1104" s="214">
        <v>487</v>
      </c>
      <c r="H1104" s="132"/>
      <c r="I1104" s="132"/>
      <c r="J1104" s="133"/>
      <c r="K1104" s="132"/>
      <c r="L1104" s="132" t="s">
        <v>282</v>
      </c>
      <c r="M1104" s="134">
        <v>0</v>
      </c>
      <c r="N1104" s="134">
        <v>0</v>
      </c>
      <c r="O1104" s="320">
        <v>0</v>
      </c>
      <c r="P1104" s="326"/>
      <c r="Q1104" s="326"/>
      <c r="R1104" s="315"/>
      <c r="S1104" s="315">
        <v>0</v>
      </c>
      <c r="T1104" s="315"/>
      <c r="U1104" s="315"/>
      <c r="V1104" s="315"/>
      <c r="W1104" s="315"/>
      <c r="X1104" s="315"/>
      <c r="Y1104" s="315"/>
      <c r="Z1104" s="315"/>
      <c r="AA1104" s="336">
        <v>5</v>
      </c>
      <c r="AB1104" s="336"/>
      <c r="AC1104" s="337"/>
      <c r="AD1104" s="337"/>
      <c r="AE1104" s="336">
        <v>0</v>
      </c>
      <c r="AF1104" s="336" t="s">
        <v>286</v>
      </c>
      <c r="AG1104" s="339" t="s">
        <v>286</v>
      </c>
      <c r="AH1104" s="339"/>
      <c r="AI1104" s="336"/>
      <c r="AJ1104" s="336"/>
      <c r="AK1104" s="848">
        <v>0</v>
      </c>
      <c r="AL1104" s="836"/>
      <c r="AM1104" s="836">
        <v>0</v>
      </c>
      <c r="AN1104" s="848"/>
      <c r="AO1104" s="850">
        <v>0</v>
      </c>
      <c r="AP1104" s="839"/>
      <c r="AQ1104" s="839"/>
      <c r="AR1104" s="839"/>
      <c r="AS1104" s="839"/>
      <c r="AT1104" s="839"/>
      <c r="AU1104" s="839"/>
      <c r="AV1104" s="849"/>
      <c r="AW1104" s="134" t="s">
        <v>3208</v>
      </c>
      <c r="AX1104" s="136" t="s">
        <v>3208</v>
      </c>
      <c r="AY1104" s="137" t="s">
        <v>2576</v>
      </c>
      <c r="AZ1104" s="136">
        <v>0</v>
      </c>
      <c r="BA1104" s="136">
        <v>0</v>
      </c>
      <c r="BB1104" s="136">
        <v>0</v>
      </c>
      <c r="BC1104" s="214">
        <v>0</v>
      </c>
      <c r="BD1104" s="136">
        <v>0</v>
      </c>
      <c r="BE1104" s="214">
        <v>0</v>
      </c>
      <c r="BF1104" s="136">
        <v>0</v>
      </c>
      <c r="BG1104" s="214">
        <v>0</v>
      </c>
      <c r="BH1104" s="214">
        <v>0</v>
      </c>
      <c r="BI1104" s="134">
        <v>1</v>
      </c>
      <c r="BJ1104" s="214">
        <v>487</v>
      </c>
      <c r="BK1104" s="137">
        <v>1</v>
      </c>
      <c r="BL1104" s="137">
        <v>1</v>
      </c>
      <c r="BM1104" s="137">
        <v>5</v>
      </c>
      <c r="BN1104" s="134">
        <v>6.1601642710472276E-2</v>
      </c>
      <c r="BO1104" s="351">
        <v>30</v>
      </c>
      <c r="BP1104" s="134">
        <v>0.93634496919917864</v>
      </c>
      <c r="BQ1104" s="214">
        <v>76</v>
      </c>
      <c r="BR1104" s="137">
        <v>81</v>
      </c>
      <c r="BS1104" s="138">
        <v>0</v>
      </c>
      <c r="BT1104" s="351" t="s">
        <v>103</v>
      </c>
      <c r="BU1104" s="214">
        <v>0</v>
      </c>
      <c r="BV1104" s="214">
        <v>0</v>
      </c>
      <c r="BW1104" s="214">
        <v>0</v>
      </c>
      <c r="BX1104" s="214">
        <v>0</v>
      </c>
      <c r="BY1104" s="214">
        <v>0</v>
      </c>
      <c r="BZ1104" s="134">
        <v>0</v>
      </c>
      <c r="CA1104" s="138">
        <v>1</v>
      </c>
      <c r="CB1104" s="136">
        <v>0</v>
      </c>
      <c r="CC1104" s="136">
        <v>0</v>
      </c>
      <c r="CD1104" s="136">
        <v>0</v>
      </c>
      <c r="CE1104" s="137">
        <v>0</v>
      </c>
      <c r="CF1104" s="137">
        <v>0</v>
      </c>
      <c r="CG1104" s="137">
        <v>0</v>
      </c>
      <c r="CH1104" s="214">
        <v>0</v>
      </c>
      <c r="CI1104" s="139">
        <v>0</v>
      </c>
      <c r="CJ1104" s="139">
        <v>0</v>
      </c>
      <c r="CK1104" s="139" t="s">
        <v>969</v>
      </c>
      <c r="CL1104" s="139" t="s">
        <v>969</v>
      </c>
      <c r="CM1104" s="139" t="s">
        <v>969</v>
      </c>
      <c r="CN1104" s="139" t="s">
        <v>454</v>
      </c>
      <c r="CO1104" s="139">
        <v>20.361530303999999</v>
      </c>
      <c r="CP1104" s="139">
        <v>92.992073059000006</v>
      </c>
      <c r="CQ1104" s="139" t="s">
        <v>1680</v>
      </c>
      <c r="CR1104" s="449" t="s">
        <v>3209</v>
      </c>
      <c r="CS1104" s="449"/>
      <c r="CT1104" s="24"/>
      <c r="CU1104" s="24"/>
      <c r="CV1104" s="24"/>
    </row>
    <row r="1105" spans="1:100" ht="15.75" customHeight="1" x14ac:dyDescent="0.25">
      <c r="A1105" s="643" t="s">
        <v>1388</v>
      </c>
      <c r="B1105" s="132" t="s">
        <v>460</v>
      </c>
      <c r="C1105" s="132" t="s">
        <v>454</v>
      </c>
      <c r="D1105" s="132" t="s">
        <v>618</v>
      </c>
      <c r="E1105" s="132" t="s">
        <v>652</v>
      </c>
      <c r="F1105" s="132">
        <v>26</v>
      </c>
      <c r="G1105" s="214">
        <v>130</v>
      </c>
      <c r="H1105" s="132"/>
      <c r="I1105" s="132"/>
      <c r="J1105" s="133"/>
      <c r="K1105" s="132"/>
      <c r="L1105" s="132" t="s">
        <v>282</v>
      </c>
      <c r="M1105" s="134">
        <v>0</v>
      </c>
      <c r="N1105" s="134">
        <v>0</v>
      </c>
      <c r="O1105" s="320">
        <v>0</v>
      </c>
      <c r="P1105" s="326"/>
      <c r="Q1105" s="326"/>
      <c r="R1105" s="315"/>
      <c r="S1105" s="315">
        <v>0</v>
      </c>
      <c r="T1105" s="315"/>
      <c r="U1105" s="315"/>
      <c r="V1105" s="315"/>
      <c r="W1105" s="315"/>
      <c r="X1105" s="315"/>
      <c r="Y1105" s="315"/>
      <c r="Z1105" s="315"/>
      <c r="AA1105" s="336">
        <v>5</v>
      </c>
      <c r="AB1105" s="336"/>
      <c r="AC1105" s="337"/>
      <c r="AD1105" s="337"/>
      <c r="AE1105" s="336">
        <v>0</v>
      </c>
      <c r="AF1105" s="336" t="s">
        <v>286</v>
      </c>
      <c r="AG1105" s="339" t="s">
        <v>286</v>
      </c>
      <c r="AH1105" s="339"/>
      <c r="AI1105" s="336"/>
      <c r="AJ1105" s="336"/>
      <c r="AK1105" s="848">
        <v>0</v>
      </c>
      <c r="AL1105" s="836"/>
      <c r="AM1105" s="836">
        <v>0</v>
      </c>
      <c r="AN1105" s="848"/>
      <c r="AO1105" s="850">
        <v>0</v>
      </c>
      <c r="AP1105" s="839"/>
      <c r="AQ1105" s="839"/>
      <c r="AR1105" s="839"/>
      <c r="AS1105" s="839"/>
      <c r="AT1105" s="839"/>
      <c r="AU1105" s="839"/>
      <c r="AV1105" s="849"/>
      <c r="AW1105" s="134" t="s">
        <v>3208</v>
      </c>
      <c r="AX1105" s="136" t="s">
        <v>3208</v>
      </c>
      <c r="AY1105" s="137" t="s">
        <v>2576</v>
      </c>
      <c r="AZ1105" s="136">
        <v>0</v>
      </c>
      <c r="BA1105" s="136">
        <v>0</v>
      </c>
      <c r="BB1105" s="136">
        <v>0</v>
      </c>
      <c r="BC1105" s="214">
        <v>0</v>
      </c>
      <c r="BD1105" s="136">
        <v>0</v>
      </c>
      <c r="BE1105" s="214">
        <v>0</v>
      </c>
      <c r="BF1105" s="136">
        <v>0</v>
      </c>
      <c r="BG1105" s="214">
        <v>0</v>
      </c>
      <c r="BH1105" s="214">
        <v>0</v>
      </c>
      <c r="BI1105" s="134">
        <v>1</v>
      </c>
      <c r="BJ1105" s="214">
        <v>130</v>
      </c>
      <c r="BK1105" s="137">
        <v>1</v>
      </c>
      <c r="BL1105" s="137">
        <v>1</v>
      </c>
      <c r="BM1105" s="137">
        <v>5</v>
      </c>
      <c r="BN1105" s="134">
        <v>0.23076923076923078</v>
      </c>
      <c r="BO1105" s="351">
        <v>30</v>
      </c>
      <c r="BP1105" s="134">
        <v>0.7846153846153846</v>
      </c>
      <c r="BQ1105" s="214">
        <v>17</v>
      </c>
      <c r="BR1105" s="137">
        <v>22</v>
      </c>
      <c r="BS1105" s="138">
        <v>0</v>
      </c>
      <c r="BT1105" s="351" t="s">
        <v>103</v>
      </c>
      <c r="BU1105" s="214">
        <v>0</v>
      </c>
      <c r="BV1105" s="214">
        <v>0</v>
      </c>
      <c r="BW1105" s="214">
        <v>0</v>
      </c>
      <c r="BX1105" s="214">
        <v>0</v>
      </c>
      <c r="BY1105" s="214">
        <v>0</v>
      </c>
      <c r="BZ1105" s="134">
        <v>0</v>
      </c>
      <c r="CA1105" s="138">
        <v>1</v>
      </c>
      <c r="CB1105" s="136">
        <v>0</v>
      </c>
      <c r="CC1105" s="136">
        <v>0</v>
      </c>
      <c r="CD1105" s="136">
        <v>0</v>
      </c>
      <c r="CE1105" s="137">
        <v>0</v>
      </c>
      <c r="CF1105" s="137">
        <v>0</v>
      </c>
      <c r="CG1105" s="137">
        <v>0</v>
      </c>
      <c r="CH1105" s="214">
        <v>0</v>
      </c>
      <c r="CI1105" s="139">
        <v>0</v>
      </c>
      <c r="CJ1105" s="139">
        <v>0</v>
      </c>
      <c r="CK1105" s="139" t="s">
        <v>969</v>
      </c>
      <c r="CL1105" s="139" t="s">
        <v>969</v>
      </c>
      <c r="CM1105" s="139" t="s">
        <v>969</v>
      </c>
      <c r="CN1105" s="139" t="s">
        <v>454</v>
      </c>
      <c r="CO1105" s="139">
        <v>20.506580353</v>
      </c>
      <c r="CP1105" s="139">
        <v>93.043449401999993</v>
      </c>
      <c r="CQ1105" s="139" t="s">
        <v>1703</v>
      </c>
      <c r="CR1105" s="449" t="s">
        <v>3209</v>
      </c>
      <c r="CS1105" s="449"/>
      <c r="CT1105" s="24"/>
      <c r="CU1105" s="24"/>
      <c r="CV1105" s="24"/>
    </row>
    <row r="1106" spans="1:100" ht="15.75" customHeight="1" x14ac:dyDescent="0.25">
      <c r="A1106" s="643" t="s">
        <v>1388</v>
      </c>
      <c r="B1106" s="132" t="s">
        <v>460</v>
      </c>
      <c r="C1106" s="132" t="s">
        <v>454</v>
      </c>
      <c r="D1106" s="132" t="s">
        <v>618</v>
      </c>
      <c r="E1106" s="132" t="s">
        <v>666</v>
      </c>
      <c r="F1106" s="132">
        <v>97</v>
      </c>
      <c r="G1106" s="214">
        <v>484</v>
      </c>
      <c r="H1106" s="132"/>
      <c r="I1106" s="132"/>
      <c r="J1106" s="133"/>
      <c r="K1106" s="132"/>
      <c r="L1106" s="132" t="s">
        <v>282</v>
      </c>
      <c r="M1106" s="134">
        <v>0</v>
      </c>
      <c r="N1106" s="134">
        <v>0</v>
      </c>
      <c r="O1106" s="320">
        <v>0</v>
      </c>
      <c r="P1106" s="326"/>
      <c r="Q1106" s="326"/>
      <c r="R1106" s="315"/>
      <c r="S1106" s="315">
        <v>0</v>
      </c>
      <c r="T1106" s="315"/>
      <c r="U1106" s="315"/>
      <c r="V1106" s="315"/>
      <c r="W1106" s="315"/>
      <c r="X1106" s="315"/>
      <c r="Y1106" s="315"/>
      <c r="Z1106" s="315"/>
      <c r="AA1106" s="336">
        <v>10</v>
      </c>
      <c r="AB1106" s="336"/>
      <c r="AC1106" s="337"/>
      <c r="AD1106" s="337"/>
      <c r="AE1106" s="336">
        <v>0</v>
      </c>
      <c r="AF1106" s="336" t="s">
        <v>286</v>
      </c>
      <c r="AG1106" s="339" t="s">
        <v>286</v>
      </c>
      <c r="AH1106" s="339"/>
      <c r="AI1106" s="336"/>
      <c r="AJ1106" s="336"/>
      <c r="AK1106" s="848">
        <v>0</v>
      </c>
      <c r="AL1106" s="836"/>
      <c r="AM1106" s="836">
        <v>0</v>
      </c>
      <c r="AN1106" s="848"/>
      <c r="AO1106" s="850">
        <v>0</v>
      </c>
      <c r="AP1106" s="839"/>
      <c r="AQ1106" s="839"/>
      <c r="AR1106" s="839"/>
      <c r="AS1106" s="839"/>
      <c r="AT1106" s="839"/>
      <c r="AU1106" s="839"/>
      <c r="AV1106" s="849"/>
      <c r="AW1106" s="134" t="s">
        <v>3208</v>
      </c>
      <c r="AX1106" s="136" t="s">
        <v>3208</v>
      </c>
      <c r="AY1106" s="137" t="s">
        <v>2576</v>
      </c>
      <c r="AZ1106" s="136">
        <v>0</v>
      </c>
      <c r="BA1106" s="136">
        <v>0</v>
      </c>
      <c r="BB1106" s="136">
        <v>0</v>
      </c>
      <c r="BC1106" s="214">
        <v>0</v>
      </c>
      <c r="BD1106" s="136">
        <v>0</v>
      </c>
      <c r="BE1106" s="214">
        <v>0</v>
      </c>
      <c r="BF1106" s="136">
        <v>0</v>
      </c>
      <c r="BG1106" s="214">
        <v>0</v>
      </c>
      <c r="BH1106" s="214">
        <v>0</v>
      </c>
      <c r="BI1106" s="134">
        <v>1</v>
      </c>
      <c r="BJ1106" s="214">
        <v>484</v>
      </c>
      <c r="BK1106" s="137">
        <v>1</v>
      </c>
      <c r="BL1106" s="137">
        <v>1</v>
      </c>
      <c r="BM1106" s="137">
        <v>10</v>
      </c>
      <c r="BN1106" s="134">
        <v>0.12396694214876033</v>
      </c>
      <c r="BO1106" s="351">
        <v>60</v>
      </c>
      <c r="BP1106" s="134">
        <v>0.8801652892561983</v>
      </c>
      <c r="BQ1106" s="214">
        <v>71</v>
      </c>
      <c r="BR1106" s="137">
        <v>81</v>
      </c>
      <c r="BS1106" s="138">
        <v>0</v>
      </c>
      <c r="BT1106" s="351" t="s">
        <v>103</v>
      </c>
      <c r="BU1106" s="214">
        <v>0</v>
      </c>
      <c r="BV1106" s="214">
        <v>0</v>
      </c>
      <c r="BW1106" s="214">
        <v>0</v>
      </c>
      <c r="BX1106" s="214">
        <v>0</v>
      </c>
      <c r="BY1106" s="214">
        <v>0</v>
      </c>
      <c r="BZ1106" s="134">
        <v>0</v>
      </c>
      <c r="CA1106" s="138">
        <v>1</v>
      </c>
      <c r="CB1106" s="136">
        <v>0</v>
      </c>
      <c r="CC1106" s="136">
        <v>0</v>
      </c>
      <c r="CD1106" s="136">
        <v>0</v>
      </c>
      <c r="CE1106" s="137">
        <v>0</v>
      </c>
      <c r="CF1106" s="137">
        <v>0</v>
      </c>
      <c r="CG1106" s="137">
        <v>0</v>
      </c>
      <c r="CH1106" s="214">
        <v>0</v>
      </c>
      <c r="CI1106" s="139">
        <v>0</v>
      </c>
      <c r="CJ1106" s="139">
        <v>0</v>
      </c>
      <c r="CK1106" s="139" t="s">
        <v>969</v>
      </c>
      <c r="CL1106" s="139" t="s">
        <v>969</v>
      </c>
      <c r="CM1106" s="139" t="s">
        <v>969</v>
      </c>
      <c r="CN1106" s="139" t="s">
        <v>454</v>
      </c>
      <c r="CO1106" s="139">
        <v>20.564739227</v>
      </c>
      <c r="CP1106" s="139">
        <v>93.064781189000001</v>
      </c>
      <c r="CQ1106" s="139" t="s">
        <v>1718</v>
      </c>
      <c r="CR1106" s="449" t="s">
        <v>3209</v>
      </c>
      <c r="CS1106" s="449"/>
      <c r="CT1106" s="24"/>
      <c r="CU1106" s="24"/>
      <c r="CV1106" s="24"/>
    </row>
    <row r="1107" spans="1:100" ht="15.75" customHeight="1" x14ac:dyDescent="0.25">
      <c r="A1107" s="643" t="s">
        <v>1388</v>
      </c>
      <c r="B1107" s="132" t="s">
        <v>460</v>
      </c>
      <c r="C1107" s="132" t="s">
        <v>454</v>
      </c>
      <c r="D1107" s="132" t="s">
        <v>618</v>
      </c>
      <c r="E1107" s="132" t="s">
        <v>634</v>
      </c>
      <c r="F1107" s="132">
        <v>291</v>
      </c>
      <c r="G1107" s="214">
        <v>1455</v>
      </c>
      <c r="H1107" s="132"/>
      <c r="I1107" s="132"/>
      <c r="J1107" s="133"/>
      <c r="K1107" s="132"/>
      <c r="L1107" s="132" t="s">
        <v>282</v>
      </c>
      <c r="M1107" s="134">
        <v>0</v>
      </c>
      <c r="N1107" s="134">
        <v>0</v>
      </c>
      <c r="O1107" s="320">
        <v>0</v>
      </c>
      <c r="P1107" s="326">
        <v>0</v>
      </c>
      <c r="Q1107" s="326"/>
      <c r="R1107" s="315"/>
      <c r="S1107" s="315">
        <v>0</v>
      </c>
      <c r="T1107" s="315"/>
      <c r="U1107" s="315"/>
      <c r="V1107" s="315"/>
      <c r="W1107" s="315"/>
      <c r="X1107" s="315"/>
      <c r="Y1107" s="315"/>
      <c r="Z1107" s="315"/>
      <c r="AA1107" s="336">
        <v>44</v>
      </c>
      <c r="AB1107" s="336"/>
      <c r="AC1107" s="337"/>
      <c r="AD1107" s="337"/>
      <c r="AE1107" s="336">
        <v>44</v>
      </c>
      <c r="AF1107" s="336" t="s">
        <v>286</v>
      </c>
      <c r="AG1107" s="339" t="s">
        <v>286</v>
      </c>
      <c r="AH1107" s="339"/>
      <c r="AI1107" s="336"/>
      <c r="AJ1107" s="336"/>
      <c r="AK1107" s="848">
        <v>0</v>
      </c>
      <c r="AL1107" s="836"/>
      <c r="AM1107" s="836">
        <v>0</v>
      </c>
      <c r="AN1107" s="848"/>
      <c r="AO1107" s="850">
        <v>0</v>
      </c>
      <c r="AP1107" s="839"/>
      <c r="AQ1107" s="839"/>
      <c r="AR1107" s="839"/>
      <c r="AS1107" s="839"/>
      <c r="AT1107" s="839"/>
      <c r="AU1107" s="839"/>
      <c r="AV1107" s="849"/>
      <c r="AW1107" s="134" t="s">
        <v>3208</v>
      </c>
      <c r="AX1107" s="136" t="s">
        <v>3208</v>
      </c>
      <c r="AY1107" s="137" t="s">
        <v>2576</v>
      </c>
      <c r="AZ1107" s="136">
        <v>0</v>
      </c>
      <c r="BA1107" s="136">
        <v>0</v>
      </c>
      <c r="BB1107" s="136">
        <v>0</v>
      </c>
      <c r="BC1107" s="214">
        <v>0</v>
      </c>
      <c r="BD1107" s="136">
        <v>0</v>
      </c>
      <c r="BE1107" s="214">
        <v>0</v>
      </c>
      <c r="BF1107" s="136">
        <v>0</v>
      </c>
      <c r="BG1107" s="214">
        <v>0</v>
      </c>
      <c r="BH1107" s="214">
        <v>0</v>
      </c>
      <c r="BI1107" s="134">
        <v>1</v>
      </c>
      <c r="BJ1107" s="214">
        <v>1455</v>
      </c>
      <c r="BK1107" s="137">
        <v>3</v>
      </c>
      <c r="BL1107" s="137">
        <v>3</v>
      </c>
      <c r="BM1107" s="137">
        <v>44</v>
      </c>
      <c r="BN1107" s="134">
        <v>0.18144329896907216</v>
      </c>
      <c r="BO1107" s="351">
        <v>264</v>
      </c>
      <c r="BP1107" s="134">
        <v>0.8206185567010309</v>
      </c>
      <c r="BQ1107" s="214">
        <v>199</v>
      </c>
      <c r="BR1107" s="137">
        <v>243</v>
      </c>
      <c r="BS1107" s="138">
        <v>0</v>
      </c>
      <c r="BT1107" s="351" t="s">
        <v>103</v>
      </c>
      <c r="BU1107" s="214">
        <v>0</v>
      </c>
      <c r="BV1107" s="214">
        <v>0</v>
      </c>
      <c r="BW1107" s="214">
        <v>0</v>
      </c>
      <c r="BX1107" s="214">
        <v>0</v>
      </c>
      <c r="BY1107" s="214">
        <v>0</v>
      </c>
      <c r="BZ1107" s="134">
        <v>0</v>
      </c>
      <c r="CA1107" s="138">
        <v>1</v>
      </c>
      <c r="CB1107" s="136">
        <v>0</v>
      </c>
      <c r="CC1107" s="136">
        <v>0</v>
      </c>
      <c r="CD1107" s="136">
        <v>0</v>
      </c>
      <c r="CE1107" s="137">
        <v>0</v>
      </c>
      <c r="CF1107" s="137">
        <v>0</v>
      </c>
      <c r="CG1107" s="137">
        <v>0</v>
      </c>
      <c r="CH1107" s="214">
        <v>0</v>
      </c>
      <c r="CI1107" s="139">
        <v>0</v>
      </c>
      <c r="CJ1107" s="139">
        <v>0</v>
      </c>
      <c r="CK1107" s="139" t="s">
        <v>969</v>
      </c>
      <c r="CL1107" s="139" t="s">
        <v>969</v>
      </c>
      <c r="CM1107" s="139" t="s">
        <v>969</v>
      </c>
      <c r="CN1107" s="139" t="s">
        <v>454</v>
      </c>
      <c r="CO1107" s="139">
        <v>20.424389999999999</v>
      </c>
      <c r="CP1107" s="139">
        <v>93.012960000000007</v>
      </c>
      <c r="CQ1107" s="139" t="s">
        <v>1693</v>
      </c>
      <c r="CR1107" s="449" t="s">
        <v>3209</v>
      </c>
      <c r="CS1107" s="449"/>
      <c r="CT1107" s="24"/>
      <c r="CU1107" s="24"/>
      <c r="CV1107" s="24"/>
    </row>
    <row r="1108" spans="1:100" ht="15.75" customHeight="1" x14ac:dyDescent="0.25">
      <c r="A1108" s="643" t="s">
        <v>1388</v>
      </c>
      <c r="B1108" s="132" t="s">
        <v>530</v>
      </c>
      <c r="C1108" s="132" t="s">
        <v>454</v>
      </c>
      <c r="D1108" s="132" t="s">
        <v>498</v>
      </c>
      <c r="E1108" s="132" t="s">
        <v>664</v>
      </c>
      <c r="F1108" s="132">
        <v>367</v>
      </c>
      <c r="G1108" s="214">
        <v>1768</v>
      </c>
      <c r="H1108" s="132"/>
      <c r="I1108" s="132" t="s">
        <v>388</v>
      </c>
      <c r="J1108" s="133">
        <v>43145</v>
      </c>
      <c r="K1108" s="132">
        <v>0</v>
      </c>
      <c r="L1108" s="132" t="s">
        <v>48</v>
      </c>
      <c r="M1108" s="134"/>
      <c r="N1108" s="134"/>
      <c r="O1108" s="320">
        <v>0</v>
      </c>
      <c r="P1108" s="326">
        <v>0</v>
      </c>
      <c r="Q1108" s="326">
        <v>0</v>
      </c>
      <c r="R1108" s="315">
        <v>3</v>
      </c>
      <c r="S1108" s="315">
        <v>0</v>
      </c>
      <c r="T1108" s="315"/>
      <c r="U1108" s="315"/>
      <c r="V1108" s="315"/>
      <c r="W1108" s="315"/>
      <c r="X1108" s="315"/>
      <c r="Y1108" s="315"/>
      <c r="Z1108" s="315"/>
      <c r="AA1108" s="336">
        <v>0</v>
      </c>
      <c r="AB1108" s="336">
        <v>0</v>
      </c>
      <c r="AC1108" s="337"/>
      <c r="AD1108" s="337"/>
      <c r="AE1108" s="336">
        <v>0</v>
      </c>
      <c r="AF1108" s="336" t="s">
        <v>332</v>
      </c>
      <c r="AG1108" s="339" t="s">
        <v>332</v>
      </c>
      <c r="AH1108" s="339"/>
      <c r="AI1108" s="336"/>
      <c r="AJ1108" s="336"/>
      <c r="AK1108" s="848">
        <v>0</v>
      </c>
      <c r="AL1108" s="836" t="s">
        <v>284</v>
      </c>
      <c r="AM1108" s="836">
        <v>0</v>
      </c>
      <c r="AN1108" s="848">
        <v>0</v>
      </c>
      <c r="AO1108" s="850">
        <v>7</v>
      </c>
      <c r="AP1108" s="839"/>
      <c r="AQ1108" s="839"/>
      <c r="AR1108" s="839"/>
      <c r="AS1108" s="839"/>
      <c r="AT1108" s="839"/>
      <c r="AU1108" s="839"/>
      <c r="AV1108" s="849"/>
      <c r="AW1108" s="134" t="s">
        <v>3208</v>
      </c>
      <c r="AX1108" s="136" t="s">
        <v>3208</v>
      </c>
      <c r="AY1108" s="137" t="s">
        <v>2576</v>
      </c>
      <c r="AZ1108" s="136">
        <v>0</v>
      </c>
      <c r="BA1108" s="136">
        <v>0</v>
      </c>
      <c r="BB1108" s="136">
        <v>0</v>
      </c>
      <c r="BC1108" s="214">
        <v>0</v>
      </c>
      <c r="BD1108" s="136">
        <v>0.42420814479638008</v>
      </c>
      <c r="BE1108" s="214">
        <v>750</v>
      </c>
      <c r="BF1108" s="136">
        <v>0.42420814479638008</v>
      </c>
      <c r="BG1108" s="214">
        <v>750</v>
      </c>
      <c r="BH1108" s="214">
        <v>1.5</v>
      </c>
      <c r="BI1108" s="134">
        <v>0.57579185520361986</v>
      </c>
      <c r="BJ1108" s="214">
        <v>1017.9999999999999</v>
      </c>
      <c r="BK1108" s="137">
        <v>2.5</v>
      </c>
      <c r="BL1108" s="137">
        <v>4</v>
      </c>
      <c r="BM1108" s="137">
        <v>0</v>
      </c>
      <c r="BN1108" s="134">
        <v>0</v>
      </c>
      <c r="BO1108" s="351">
        <v>0</v>
      </c>
      <c r="BP1108" s="134">
        <v>1</v>
      </c>
      <c r="BQ1108" s="214">
        <v>295</v>
      </c>
      <c r="BR1108" s="137">
        <v>295</v>
      </c>
      <c r="BS1108" s="138">
        <v>0</v>
      </c>
      <c r="BT1108" s="351" t="s">
        <v>103</v>
      </c>
      <c r="BU1108" s="214">
        <v>1768</v>
      </c>
      <c r="BV1108" s="214">
        <v>0</v>
      </c>
      <c r="BW1108" s="214">
        <v>1</v>
      </c>
      <c r="BX1108" s="214">
        <v>0</v>
      </c>
      <c r="BY1108" s="214">
        <v>0</v>
      </c>
      <c r="BZ1108" s="134">
        <v>0</v>
      </c>
      <c r="CA1108" s="138">
        <v>1</v>
      </c>
      <c r="CB1108" s="136">
        <v>1</v>
      </c>
      <c r="CC1108" s="136">
        <v>0</v>
      </c>
      <c r="CD1108" s="136">
        <v>0</v>
      </c>
      <c r="CE1108" s="137">
        <v>0</v>
      </c>
      <c r="CF1108" s="137">
        <v>0</v>
      </c>
      <c r="CG1108" s="137">
        <v>0</v>
      </c>
      <c r="CH1108" s="214">
        <v>0</v>
      </c>
      <c r="CI1108" s="139">
        <v>0</v>
      </c>
      <c r="CJ1108" s="139">
        <v>0</v>
      </c>
      <c r="CK1108" s="139" t="s">
        <v>969</v>
      </c>
      <c r="CL1108" s="139" t="s">
        <v>969</v>
      </c>
      <c r="CM1108" s="139" t="s">
        <v>969</v>
      </c>
      <c r="CN1108" s="139" t="s">
        <v>966</v>
      </c>
      <c r="CO1108" s="139">
        <v>20.555610656738299</v>
      </c>
      <c r="CP1108" s="139">
        <v>92.643516540527301</v>
      </c>
      <c r="CQ1108" s="139">
        <v>197593</v>
      </c>
      <c r="CR1108" s="449" t="s">
        <v>40</v>
      </c>
      <c r="CS1108" s="449"/>
      <c r="CT1108" s="24"/>
      <c r="CU1108" s="24"/>
      <c r="CV1108" s="24"/>
    </row>
    <row r="1109" spans="1:100" ht="15.75" customHeight="1" x14ac:dyDescent="0.25">
      <c r="A1109" s="643" t="s">
        <v>1388</v>
      </c>
      <c r="B1109" s="132" t="s">
        <v>460</v>
      </c>
      <c r="C1109" s="132" t="s">
        <v>454</v>
      </c>
      <c r="D1109" s="132" t="s">
        <v>498</v>
      </c>
      <c r="E1109" s="132" t="s">
        <v>632</v>
      </c>
      <c r="F1109" s="132">
        <v>425</v>
      </c>
      <c r="G1109" s="214">
        <v>2552</v>
      </c>
      <c r="H1109" s="132"/>
      <c r="I1109" s="132" t="s">
        <v>391</v>
      </c>
      <c r="J1109" s="133">
        <v>43220</v>
      </c>
      <c r="K1109" s="132"/>
      <c r="L1109" s="132" t="s">
        <v>48</v>
      </c>
      <c r="M1109" s="134">
        <v>0.5</v>
      </c>
      <c r="N1109" s="134">
        <v>0</v>
      </c>
      <c r="O1109" s="320">
        <v>48</v>
      </c>
      <c r="P1109" s="326">
        <v>0</v>
      </c>
      <c r="Q1109" s="326">
        <v>0</v>
      </c>
      <c r="R1109" s="315">
        <v>0</v>
      </c>
      <c r="S1109" s="315">
        <v>48</v>
      </c>
      <c r="T1109" s="315"/>
      <c r="U1109" s="315"/>
      <c r="V1109" s="315"/>
      <c r="W1109" s="315"/>
      <c r="X1109" s="315"/>
      <c r="Y1109" s="315"/>
      <c r="Z1109" s="315" t="s">
        <v>2458</v>
      </c>
      <c r="AA1109" s="336">
        <v>328</v>
      </c>
      <c r="AB1109" s="336">
        <v>0</v>
      </c>
      <c r="AC1109" s="337"/>
      <c r="AD1109" s="337"/>
      <c r="AE1109" s="336">
        <v>0</v>
      </c>
      <c r="AF1109" s="336" t="s">
        <v>286</v>
      </c>
      <c r="AG1109" s="339" t="s">
        <v>286</v>
      </c>
      <c r="AH1109" s="339"/>
      <c r="AI1109" s="336"/>
      <c r="AJ1109" s="336"/>
      <c r="AK1109" s="848">
        <v>0</v>
      </c>
      <c r="AL1109" s="836"/>
      <c r="AM1109" s="836">
        <v>580</v>
      </c>
      <c r="AN1109" s="848">
        <v>0</v>
      </c>
      <c r="AO1109" s="850">
        <v>0</v>
      </c>
      <c r="AP1109" s="839"/>
      <c r="AQ1109" s="839"/>
      <c r="AR1109" s="839"/>
      <c r="AS1109" s="839"/>
      <c r="AT1109" s="839"/>
      <c r="AU1109" s="839"/>
      <c r="AV1109" s="849"/>
      <c r="AW1109" s="134" t="s">
        <v>3208</v>
      </c>
      <c r="AX1109" s="136" t="s">
        <v>3208</v>
      </c>
      <c r="AY1109" s="137" t="s">
        <v>2576</v>
      </c>
      <c r="AZ1109" s="136">
        <v>1</v>
      </c>
      <c r="BA1109" s="136">
        <v>1</v>
      </c>
      <c r="BB1109" s="136">
        <v>1</v>
      </c>
      <c r="BC1109" s="214">
        <v>2552</v>
      </c>
      <c r="BD1109" s="136">
        <v>0</v>
      </c>
      <c r="BE1109" s="214">
        <v>0</v>
      </c>
      <c r="BF1109" s="136">
        <v>1</v>
      </c>
      <c r="BG1109" s="214">
        <v>2552</v>
      </c>
      <c r="BH1109" s="214">
        <v>5.1040000000000001</v>
      </c>
      <c r="BI1109" s="134">
        <v>0</v>
      </c>
      <c r="BJ1109" s="214">
        <v>0</v>
      </c>
      <c r="BK1109" s="137">
        <v>0</v>
      </c>
      <c r="BL1109" s="137">
        <v>5</v>
      </c>
      <c r="BM1109" s="137">
        <v>328</v>
      </c>
      <c r="BN1109" s="134">
        <v>0.7711598746081505</v>
      </c>
      <c r="BO1109" s="351">
        <v>1968</v>
      </c>
      <c r="BP1109" s="134">
        <v>0.2280564263322884</v>
      </c>
      <c r="BQ1109" s="214">
        <v>97</v>
      </c>
      <c r="BR1109" s="137">
        <v>425</v>
      </c>
      <c r="BS1109" s="138">
        <v>0</v>
      </c>
      <c r="BT1109" s="351" t="s">
        <v>103</v>
      </c>
      <c r="BU1109" s="214">
        <v>0</v>
      </c>
      <c r="BV1109" s="214">
        <v>0</v>
      </c>
      <c r="BW1109" s="214">
        <v>0</v>
      </c>
      <c r="BX1109" s="214">
        <v>0</v>
      </c>
      <c r="BY1109" s="214">
        <v>0</v>
      </c>
      <c r="BZ1109" s="134">
        <v>0</v>
      </c>
      <c r="CA1109" s="138">
        <v>1</v>
      </c>
      <c r="CB1109" s="136">
        <v>0</v>
      </c>
      <c r="CC1109" s="136">
        <v>0</v>
      </c>
      <c r="CD1109" s="136">
        <v>0</v>
      </c>
      <c r="CE1109" s="137">
        <v>0</v>
      </c>
      <c r="CF1109" s="137">
        <v>0</v>
      </c>
      <c r="CG1109" s="137">
        <v>0</v>
      </c>
      <c r="CH1109" s="214">
        <v>0</v>
      </c>
      <c r="CI1109" s="139">
        <v>0</v>
      </c>
      <c r="CJ1109" s="139">
        <v>0</v>
      </c>
      <c r="CK1109" s="139" t="s">
        <v>969</v>
      </c>
      <c r="CL1109" s="139" t="s">
        <v>969</v>
      </c>
      <c r="CM1109" s="139" t="s">
        <v>1054</v>
      </c>
      <c r="CN1109" s="139" t="s">
        <v>966</v>
      </c>
      <c r="CO1109" s="139">
        <v>20.399269</v>
      </c>
      <c r="CP1109" s="139">
        <v>92.781294000000003</v>
      </c>
      <c r="CQ1109" s="139" t="s">
        <v>1689</v>
      </c>
      <c r="CR1109" s="449" t="s">
        <v>3209</v>
      </c>
      <c r="CS1109" s="449"/>
      <c r="CT1109" s="24"/>
      <c r="CU1109" s="24"/>
      <c r="CV1109" s="24"/>
    </row>
    <row r="1110" spans="1:100" ht="15.75" customHeight="1" x14ac:dyDescent="0.25">
      <c r="A1110" s="643" t="s">
        <v>1388</v>
      </c>
      <c r="B1110" s="132" t="s">
        <v>530</v>
      </c>
      <c r="C1110" s="132" t="s">
        <v>454</v>
      </c>
      <c r="D1110" s="132" t="s">
        <v>498</v>
      </c>
      <c r="E1110" s="132" t="s">
        <v>531</v>
      </c>
      <c r="F1110" s="132">
        <v>54</v>
      </c>
      <c r="G1110" s="214">
        <v>264</v>
      </c>
      <c r="H1110" s="132"/>
      <c r="I1110" s="132" t="s">
        <v>388</v>
      </c>
      <c r="J1110" s="133">
        <v>43145</v>
      </c>
      <c r="K1110" s="132">
        <v>0</v>
      </c>
      <c r="L1110" s="132" t="s">
        <v>48</v>
      </c>
      <c r="M1110" s="134"/>
      <c r="N1110" s="134"/>
      <c r="O1110" s="320">
        <v>0</v>
      </c>
      <c r="P1110" s="326">
        <v>1</v>
      </c>
      <c r="Q1110" s="326">
        <v>0</v>
      </c>
      <c r="R1110" s="315">
        <v>2</v>
      </c>
      <c r="S1110" s="315">
        <v>0</v>
      </c>
      <c r="T1110" s="315"/>
      <c r="U1110" s="315"/>
      <c r="V1110" s="315"/>
      <c r="W1110" s="315"/>
      <c r="X1110" s="315"/>
      <c r="Y1110" s="315"/>
      <c r="Z1110" s="315"/>
      <c r="AA1110" s="336">
        <v>3</v>
      </c>
      <c r="AB1110" s="336">
        <v>0</v>
      </c>
      <c r="AC1110" s="337"/>
      <c r="AD1110" s="337"/>
      <c r="AE1110" s="336">
        <v>3</v>
      </c>
      <c r="AF1110" s="336" t="s">
        <v>332</v>
      </c>
      <c r="AG1110" s="339" t="s">
        <v>332</v>
      </c>
      <c r="AH1110" s="339"/>
      <c r="AI1110" s="336"/>
      <c r="AJ1110" s="336"/>
      <c r="AK1110" s="848">
        <v>0</v>
      </c>
      <c r="AL1110" s="836" t="s">
        <v>284</v>
      </c>
      <c r="AM1110" s="836">
        <v>0</v>
      </c>
      <c r="AN1110" s="848">
        <v>0</v>
      </c>
      <c r="AO1110" s="850">
        <v>7</v>
      </c>
      <c r="AP1110" s="839"/>
      <c r="AQ1110" s="839"/>
      <c r="AR1110" s="839"/>
      <c r="AS1110" s="839"/>
      <c r="AT1110" s="839"/>
      <c r="AU1110" s="839"/>
      <c r="AV1110" s="849"/>
      <c r="AW1110" s="134" t="s">
        <v>3208</v>
      </c>
      <c r="AX1110" s="136" t="s">
        <v>3208</v>
      </c>
      <c r="AY1110" s="137" t="s">
        <v>2576</v>
      </c>
      <c r="AZ1110" s="136">
        <v>1</v>
      </c>
      <c r="BA1110" s="136">
        <v>0.94696969696969702</v>
      </c>
      <c r="BB1110" s="136">
        <v>0.94696969696969702</v>
      </c>
      <c r="BC1110" s="214">
        <v>250</v>
      </c>
      <c r="BD1110" s="136">
        <v>1</v>
      </c>
      <c r="BE1110" s="214">
        <v>264</v>
      </c>
      <c r="BF1110" s="136">
        <v>1</v>
      </c>
      <c r="BG1110" s="214">
        <v>264</v>
      </c>
      <c r="BH1110" s="214">
        <v>0.52800000000000002</v>
      </c>
      <c r="BI1110" s="134">
        <v>0</v>
      </c>
      <c r="BJ1110" s="214">
        <v>0</v>
      </c>
      <c r="BK1110" s="137">
        <v>0.47199999999999998</v>
      </c>
      <c r="BL1110" s="137">
        <v>1</v>
      </c>
      <c r="BM1110" s="137">
        <v>3</v>
      </c>
      <c r="BN1110" s="134">
        <v>6.8181818181818177E-2</v>
      </c>
      <c r="BO1110" s="351">
        <v>18</v>
      </c>
      <c r="BP1110" s="134">
        <v>0.93181818181818177</v>
      </c>
      <c r="BQ1110" s="214">
        <v>41</v>
      </c>
      <c r="BR1110" s="137">
        <v>44</v>
      </c>
      <c r="BS1110" s="138">
        <v>0</v>
      </c>
      <c r="BT1110" s="351" t="s">
        <v>103</v>
      </c>
      <c r="BU1110" s="214">
        <v>264</v>
      </c>
      <c r="BV1110" s="214">
        <v>0</v>
      </c>
      <c r="BW1110" s="214">
        <v>1</v>
      </c>
      <c r="BX1110" s="214">
        <v>0</v>
      </c>
      <c r="BY1110" s="214">
        <v>0</v>
      </c>
      <c r="BZ1110" s="134">
        <v>0</v>
      </c>
      <c r="CA1110" s="138">
        <v>1</v>
      </c>
      <c r="CB1110" s="136">
        <v>1</v>
      </c>
      <c r="CC1110" s="136">
        <v>0</v>
      </c>
      <c r="CD1110" s="136">
        <v>0</v>
      </c>
      <c r="CE1110" s="137">
        <v>0</v>
      </c>
      <c r="CF1110" s="137">
        <v>0</v>
      </c>
      <c r="CG1110" s="137">
        <v>0</v>
      </c>
      <c r="CH1110" s="214">
        <v>0</v>
      </c>
      <c r="CI1110" s="139">
        <v>0</v>
      </c>
      <c r="CJ1110" s="139">
        <v>0</v>
      </c>
      <c r="CK1110" s="139" t="s">
        <v>969</v>
      </c>
      <c r="CL1110" s="139" t="s">
        <v>969</v>
      </c>
      <c r="CM1110" s="139" t="s">
        <v>969</v>
      </c>
      <c r="CN1110" s="139" t="s">
        <v>454</v>
      </c>
      <c r="CO1110" s="139">
        <v>0</v>
      </c>
      <c r="CP1110" s="139">
        <v>0</v>
      </c>
      <c r="CQ1110" s="139">
        <v>220977</v>
      </c>
      <c r="CR1110" s="449" t="s">
        <v>40</v>
      </c>
      <c r="CS1110" s="449"/>
      <c r="CT1110" s="24"/>
      <c r="CU1110" s="24"/>
      <c r="CV1110" s="24"/>
    </row>
    <row r="1111" spans="1:100" ht="15.75" customHeight="1" x14ac:dyDescent="0.25">
      <c r="A1111" s="643" t="s">
        <v>1388</v>
      </c>
      <c r="B1111" s="132" t="s">
        <v>530</v>
      </c>
      <c r="C1111" s="132" t="s">
        <v>454</v>
      </c>
      <c r="D1111" s="132" t="s">
        <v>498</v>
      </c>
      <c r="E1111" s="132" t="s">
        <v>644</v>
      </c>
      <c r="F1111" s="132">
        <v>85</v>
      </c>
      <c r="G1111" s="214">
        <v>296</v>
      </c>
      <c r="H1111" s="132"/>
      <c r="I1111" s="132" t="s">
        <v>388</v>
      </c>
      <c r="J1111" s="133">
        <v>43145</v>
      </c>
      <c r="K1111" s="132">
        <v>0</v>
      </c>
      <c r="L1111" s="132" t="s">
        <v>48</v>
      </c>
      <c r="M1111" s="134"/>
      <c r="N1111" s="134"/>
      <c r="O1111" s="320">
        <v>0</v>
      </c>
      <c r="P1111" s="326">
        <v>0</v>
      </c>
      <c r="Q1111" s="326">
        <v>0</v>
      </c>
      <c r="R1111" s="315">
        <v>2</v>
      </c>
      <c r="S1111" s="315">
        <v>0</v>
      </c>
      <c r="T1111" s="315"/>
      <c r="U1111" s="315"/>
      <c r="V1111" s="315"/>
      <c r="W1111" s="315"/>
      <c r="X1111" s="315"/>
      <c r="Y1111" s="315"/>
      <c r="Z1111" s="315"/>
      <c r="AA1111" s="336">
        <v>22</v>
      </c>
      <c r="AB1111" s="336">
        <v>0</v>
      </c>
      <c r="AC1111" s="337"/>
      <c r="AD1111" s="337"/>
      <c r="AE1111" s="336">
        <v>22</v>
      </c>
      <c r="AF1111" s="336" t="s">
        <v>332</v>
      </c>
      <c r="AG1111" s="339" t="s">
        <v>332</v>
      </c>
      <c r="AH1111" s="339"/>
      <c r="AI1111" s="336"/>
      <c r="AJ1111" s="336"/>
      <c r="AK1111" s="848">
        <v>0</v>
      </c>
      <c r="AL1111" s="836" t="s">
        <v>284</v>
      </c>
      <c r="AM1111" s="836">
        <v>0</v>
      </c>
      <c r="AN1111" s="848">
        <v>0</v>
      </c>
      <c r="AO1111" s="850">
        <v>7</v>
      </c>
      <c r="AP1111" s="839"/>
      <c r="AQ1111" s="839"/>
      <c r="AR1111" s="839"/>
      <c r="AS1111" s="839"/>
      <c r="AT1111" s="839"/>
      <c r="AU1111" s="839"/>
      <c r="AV1111" s="849"/>
      <c r="AW1111" s="134" t="s">
        <v>3208</v>
      </c>
      <c r="AX1111" s="136" t="s">
        <v>3208</v>
      </c>
      <c r="AY1111" s="137" t="s">
        <v>2576</v>
      </c>
      <c r="AZ1111" s="136">
        <v>0</v>
      </c>
      <c r="BA1111" s="136">
        <v>0</v>
      </c>
      <c r="BB1111" s="136">
        <v>0</v>
      </c>
      <c r="BC1111" s="214">
        <v>0</v>
      </c>
      <c r="BD1111" s="136">
        <v>1</v>
      </c>
      <c r="BE1111" s="214">
        <v>296</v>
      </c>
      <c r="BF1111" s="136">
        <v>1</v>
      </c>
      <c r="BG1111" s="214">
        <v>296</v>
      </c>
      <c r="BH1111" s="214">
        <v>0.59199999999999997</v>
      </c>
      <c r="BI1111" s="134">
        <v>0</v>
      </c>
      <c r="BJ1111" s="214">
        <v>0</v>
      </c>
      <c r="BK1111" s="137">
        <v>0.40800000000000003</v>
      </c>
      <c r="BL1111" s="137">
        <v>1</v>
      </c>
      <c r="BM1111" s="137">
        <v>22</v>
      </c>
      <c r="BN1111" s="134">
        <v>0.44594594594594594</v>
      </c>
      <c r="BO1111" s="351">
        <v>132</v>
      </c>
      <c r="BP1111" s="134">
        <v>0.54729729729729726</v>
      </c>
      <c r="BQ1111" s="214">
        <v>27</v>
      </c>
      <c r="BR1111" s="137">
        <v>49</v>
      </c>
      <c r="BS1111" s="138">
        <v>0</v>
      </c>
      <c r="BT1111" s="351" t="s">
        <v>103</v>
      </c>
      <c r="BU1111" s="214">
        <v>296</v>
      </c>
      <c r="BV1111" s="214">
        <v>0</v>
      </c>
      <c r="BW1111" s="214">
        <v>1</v>
      </c>
      <c r="BX1111" s="214">
        <v>0</v>
      </c>
      <c r="BY1111" s="214">
        <v>0</v>
      </c>
      <c r="BZ1111" s="134">
        <v>0</v>
      </c>
      <c r="CA1111" s="138">
        <v>1</v>
      </c>
      <c r="CB1111" s="136">
        <v>1</v>
      </c>
      <c r="CC1111" s="136">
        <v>0</v>
      </c>
      <c r="CD1111" s="136">
        <v>0</v>
      </c>
      <c r="CE1111" s="137">
        <v>0</v>
      </c>
      <c r="CF1111" s="137">
        <v>0</v>
      </c>
      <c r="CG1111" s="137">
        <v>0</v>
      </c>
      <c r="CH1111" s="214">
        <v>0</v>
      </c>
      <c r="CI1111" s="139">
        <v>0</v>
      </c>
      <c r="CJ1111" s="139">
        <v>0</v>
      </c>
      <c r="CK1111" s="139" t="s">
        <v>969</v>
      </c>
      <c r="CL1111" s="139" t="s">
        <v>969</v>
      </c>
      <c r="CM1111" s="139" t="s">
        <v>969</v>
      </c>
      <c r="CN1111" s="139" t="s">
        <v>454</v>
      </c>
      <c r="CO1111" s="139">
        <v>20.473930358886701</v>
      </c>
      <c r="CP1111" s="139">
        <v>92.668853759765597</v>
      </c>
      <c r="CQ1111" s="139">
        <v>197631</v>
      </c>
      <c r="CR1111" s="449" t="s">
        <v>40</v>
      </c>
      <c r="CS1111" s="449"/>
      <c r="CT1111" s="24"/>
      <c r="CU1111" s="24"/>
      <c r="CV1111" s="24"/>
    </row>
    <row r="1112" spans="1:100" ht="15.75" customHeight="1" x14ac:dyDescent="0.25">
      <c r="A1112" s="643" t="s">
        <v>1388</v>
      </c>
      <c r="B1112" s="132" t="s">
        <v>530</v>
      </c>
      <c r="C1112" s="132" t="s">
        <v>454</v>
      </c>
      <c r="D1112" s="132" t="s">
        <v>498</v>
      </c>
      <c r="E1112" s="132" t="s">
        <v>669</v>
      </c>
      <c r="F1112" s="132">
        <v>280</v>
      </c>
      <c r="G1112" s="214">
        <v>2030</v>
      </c>
      <c r="H1112" s="132"/>
      <c r="I1112" s="132" t="s">
        <v>388</v>
      </c>
      <c r="J1112" s="133">
        <v>43145</v>
      </c>
      <c r="K1112" s="132">
        <v>0</v>
      </c>
      <c r="L1112" s="132" t="s">
        <v>48</v>
      </c>
      <c r="M1112" s="134"/>
      <c r="N1112" s="134"/>
      <c r="O1112" s="320">
        <v>0</v>
      </c>
      <c r="P1112" s="326">
        <v>0</v>
      </c>
      <c r="Q1112" s="326">
        <v>0</v>
      </c>
      <c r="R1112" s="315">
        <v>3</v>
      </c>
      <c r="S1112" s="315">
        <v>0</v>
      </c>
      <c r="T1112" s="315"/>
      <c r="U1112" s="315"/>
      <c r="V1112" s="315"/>
      <c r="W1112" s="315"/>
      <c r="X1112" s="315"/>
      <c r="Y1112" s="315"/>
      <c r="Z1112" s="315"/>
      <c r="AA1112" s="336">
        <v>0</v>
      </c>
      <c r="AB1112" s="336">
        <v>0</v>
      </c>
      <c r="AC1112" s="337"/>
      <c r="AD1112" s="337"/>
      <c r="AE1112" s="336">
        <v>0</v>
      </c>
      <c r="AF1112" s="336" t="s">
        <v>332</v>
      </c>
      <c r="AG1112" s="339" t="s">
        <v>332</v>
      </c>
      <c r="AH1112" s="339"/>
      <c r="AI1112" s="336"/>
      <c r="AJ1112" s="336"/>
      <c r="AK1112" s="848">
        <v>0</v>
      </c>
      <c r="AL1112" s="836" t="s">
        <v>284</v>
      </c>
      <c r="AM1112" s="836">
        <v>0</v>
      </c>
      <c r="AN1112" s="848">
        <v>0</v>
      </c>
      <c r="AO1112" s="850">
        <v>7</v>
      </c>
      <c r="AP1112" s="839"/>
      <c r="AQ1112" s="839"/>
      <c r="AR1112" s="839"/>
      <c r="AS1112" s="839"/>
      <c r="AT1112" s="839"/>
      <c r="AU1112" s="839"/>
      <c r="AV1112" s="849"/>
      <c r="AW1112" s="134" t="s">
        <v>3208</v>
      </c>
      <c r="AX1112" s="136" t="s">
        <v>3208</v>
      </c>
      <c r="AY1112" s="137" t="s">
        <v>2576</v>
      </c>
      <c r="AZ1112" s="136">
        <v>0</v>
      </c>
      <c r="BA1112" s="136">
        <v>0</v>
      </c>
      <c r="BB1112" s="136">
        <v>0</v>
      </c>
      <c r="BC1112" s="214">
        <v>0</v>
      </c>
      <c r="BD1112" s="136">
        <v>0.36945812807881773</v>
      </c>
      <c r="BE1112" s="214">
        <v>750</v>
      </c>
      <c r="BF1112" s="136">
        <v>0.36945812807881773</v>
      </c>
      <c r="BG1112" s="214">
        <v>750</v>
      </c>
      <c r="BH1112" s="214">
        <v>1.5</v>
      </c>
      <c r="BI1112" s="134">
        <v>0.63054187192118227</v>
      </c>
      <c r="BJ1112" s="214">
        <v>1280</v>
      </c>
      <c r="BK1112" s="137">
        <v>2.5</v>
      </c>
      <c r="BL1112" s="137">
        <v>4</v>
      </c>
      <c r="BM1112" s="137">
        <v>0</v>
      </c>
      <c r="BN1112" s="134">
        <v>0</v>
      </c>
      <c r="BO1112" s="351">
        <v>0</v>
      </c>
      <c r="BP1112" s="134">
        <v>0.9990147783251232</v>
      </c>
      <c r="BQ1112" s="214">
        <v>338</v>
      </c>
      <c r="BR1112" s="137">
        <v>338</v>
      </c>
      <c r="BS1112" s="138">
        <v>0</v>
      </c>
      <c r="BT1112" s="351" t="s">
        <v>103</v>
      </c>
      <c r="BU1112" s="214">
        <v>2030</v>
      </c>
      <c r="BV1112" s="214">
        <v>0</v>
      </c>
      <c r="BW1112" s="214">
        <v>1</v>
      </c>
      <c r="BX1112" s="214">
        <v>0</v>
      </c>
      <c r="BY1112" s="214">
        <v>0</v>
      </c>
      <c r="BZ1112" s="134">
        <v>0</v>
      </c>
      <c r="CA1112" s="138">
        <v>1</v>
      </c>
      <c r="CB1112" s="136">
        <v>1</v>
      </c>
      <c r="CC1112" s="136">
        <v>0</v>
      </c>
      <c r="CD1112" s="136">
        <v>0</v>
      </c>
      <c r="CE1112" s="137">
        <v>0</v>
      </c>
      <c r="CF1112" s="137">
        <v>0</v>
      </c>
      <c r="CG1112" s="137">
        <v>0</v>
      </c>
      <c r="CH1112" s="214">
        <v>0</v>
      </c>
      <c r="CI1112" s="139">
        <v>0</v>
      </c>
      <c r="CJ1112" s="139">
        <v>0</v>
      </c>
      <c r="CK1112" s="139" t="s">
        <v>969</v>
      </c>
      <c r="CL1112" s="139" t="s">
        <v>969</v>
      </c>
      <c r="CM1112" s="139" t="s">
        <v>969</v>
      </c>
      <c r="CN1112" s="139" t="s">
        <v>966</v>
      </c>
      <c r="CO1112" s="139">
        <v>20.581470489501999</v>
      </c>
      <c r="CP1112" s="139">
        <v>92.643272399902301</v>
      </c>
      <c r="CQ1112" s="139" t="s">
        <v>1723</v>
      </c>
      <c r="CR1112" s="449" t="s">
        <v>40</v>
      </c>
      <c r="CS1112" s="449"/>
      <c r="CT1112" s="24"/>
      <c r="CU1112" s="24"/>
      <c r="CV1112" s="24"/>
    </row>
    <row r="1113" spans="1:100" ht="15.75" customHeight="1" x14ac:dyDescent="0.25">
      <c r="A1113" s="643" t="s">
        <v>1388</v>
      </c>
      <c r="B1113" s="132" t="s">
        <v>530</v>
      </c>
      <c r="C1113" s="132" t="s">
        <v>454</v>
      </c>
      <c r="D1113" s="132" t="s">
        <v>498</v>
      </c>
      <c r="E1113" s="132" t="s">
        <v>668</v>
      </c>
      <c r="F1113" s="132">
        <v>245</v>
      </c>
      <c r="G1113" s="214">
        <v>1292</v>
      </c>
      <c r="H1113" s="132"/>
      <c r="I1113" s="132" t="s">
        <v>388</v>
      </c>
      <c r="J1113" s="133">
        <v>43145</v>
      </c>
      <c r="K1113" s="132">
        <v>0</v>
      </c>
      <c r="L1113" s="132" t="s">
        <v>48</v>
      </c>
      <c r="M1113" s="134"/>
      <c r="N1113" s="134"/>
      <c r="O1113" s="320">
        <v>0</v>
      </c>
      <c r="P1113" s="326">
        <v>0</v>
      </c>
      <c r="Q1113" s="326">
        <v>0</v>
      </c>
      <c r="R1113" s="315">
        <v>2</v>
      </c>
      <c r="S1113" s="315">
        <v>0</v>
      </c>
      <c r="T1113" s="315"/>
      <c r="U1113" s="315"/>
      <c r="V1113" s="315"/>
      <c r="W1113" s="315"/>
      <c r="X1113" s="315"/>
      <c r="Y1113" s="315"/>
      <c r="Z1113" s="315"/>
      <c r="AA1113" s="336">
        <v>0</v>
      </c>
      <c r="AB1113" s="336">
        <v>0</v>
      </c>
      <c r="AC1113" s="337"/>
      <c r="AD1113" s="337"/>
      <c r="AE1113" s="336">
        <v>0</v>
      </c>
      <c r="AF1113" s="336" t="s">
        <v>332</v>
      </c>
      <c r="AG1113" s="339" t="s">
        <v>332</v>
      </c>
      <c r="AH1113" s="339"/>
      <c r="AI1113" s="336"/>
      <c r="AJ1113" s="336"/>
      <c r="AK1113" s="848">
        <v>0</v>
      </c>
      <c r="AL1113" s="836" t="s">
        <v>284</v>
      </c>
      <c r="AM1113" s="836">
        <v>0</v>
      </c>
      <c r="AN1113" s="848">
        <v>0</v>
      </c>
      <c r="AO1113" s="850">
        <v>7</v>
      </c>
      <c r="AP1113" s="839"/>
      <c r="AQ1113" s="839"/>
      <c r="AR1113" s="839"/>
      <c r="AS1113" s="839"/>
      <c r="AT1113" s="839"/>
      <c r="AU1113" s="839"/>
      <c r="AV1113" s="849"/>
      <c r="AW1113" s="134" t="s">
        <v>3208</v>
      </c>
      <c r="AX1113" s="136" t="s">
        <v>3208</v>
      </c>
      <c r="AY1113" s="137" t="s">
        <v>2576</v>
      </c>
      <c r="AZ1113" s="136">
        <v>0</v>
      </c>
      <c r="BA1113" s="136">
        <v>0</v>
      </c>
      <c r="BB1113" s="136">
        <v>0</v>
      </c>
      <c r="BC1113" s="214">
        <v>0</v>
      </c>
      <c r="BD1113" s="136">
        <v>0.38699690402476783</v>
      </c>
      <c r="BE1113" s="214">
        <v>500.00000000000006</v>
      </c>
      <c r="BF1113" s="136">
        <v>0.38699690402476783</v>
      </c>
      <c r="BG1113" s="214">
        <v>500.00000000000006</v>
      </c>
      <c r="BH1113" s="214">
        <v>1.0000000000000002</v>
      </c>
      <c r="BI1113" s="134">
        <v>0.61300309597523217</v>
      </c>
      <c r="BJ1113" s="214">
        <v>792</v>
      </c>
      <c r="BK1113" s="137">
        <v>1.9999999999999998</v>
      </c>
      <c r="BL1113" s="137">
        <v>3</v>
      </c>
      <c r="BM1113" s="137">
        <v>0</v>
      </c>
      <c r="BN1113" s="134">
        <v>0</v>
      </c>
      <c r="BO1113" s="351">
        <v>0</v>
      </c>
      <c r="BP1113" s="134">
        <v>0.99845201238390091</v>
      </c>
      <c r="BQ1113" s="214">
        <v>215</v>
      </c>
      <c r="BR1113" s="137">
        <v>215</v>
      </c>
      <c r="BS1113" s="138">
        <v>0</v>
      </c>
      <c r="BT1113" s="351" t="s">
        <v>103</v>
      </c>
      <c r="BU1113" s="214">
        <v>1292</v>
      </c>
      <c r="BV1113" s="214">
        <v>0</v>
      </c>
      <c r="BW1113" s="214">
        <v>1</v>
      </c>
      <c r="BX1113" s="214">
        <v>0</v>
      </c>
      <c r="BY1113" s="214">
        <v>0</v>
      </c>
      <c r="BZ1113" s="134">
        <v>0</v>
      </c>
      <c r="CA1113" s="138">
        <v>1</v>
      </c>
      <c r="CB1113" s="136">
        <v>1</v>
      </c>
      <c r="CC1113" s="136">
        <v>0</v>
      </c>
      <c r="CD1113" s="136">
        <v>0</v>
      </c>
      <c r="CE1113" s="137">
        <v>0</v>
      </c>
      <c r="CF1113" s="137">
        <v>0</v>
      </c>
      <c r="CG1113" s="137">
        <v>0</v>
      </c>
      <c r="CH1113" s="214">
        <v>0</v>
      </c>
      <c r="CI1113" s="139">
        <v>0</v>
      </c>
      <c r="CJ1113" s="139">
        <v>0</v>
      </c>
      <c r="CK1113" s="139" t="s">
        <v>969</v>
      </c>
      <c r="CL1113" s="139" t="s">
        <v>969</v>
      </c>
      <c r="CM1113" s="139" t="s">
        <v>969</v>
      </c>
      <c r="CN1113" s="139" t="s">
        <v>454</v>
      </c>
      <c r="CO1113" s="139">
        <v>20.569759368896499</v>
      </c>
      <c r="CP1113" s="139">
        <v>92.641799926757798</v>
      </c>
      <c r="CQ1113" s="139" t="s">
        <v>1720</v>
      </c>
      <c r="CR1113" s="449" t="s">
        <v>40</v>
      </c>
      <c r="CS1113" s="449"/>
      <c r="CT1113" s="24"/>
      <c r="CU1113" s="24"/>
      <c r="CV1113" s="24"/>
    </row>
    <row r="1114" spans="1:100" ht="15.75" customHeight="1" x14ac:dyDescent="0.25">
      <c r="A1114" s="643" t="s">
        <v>1388</v>
      </c>
      <c r="B1114" s="132" t="s">
        <v>530</v>
      </c>
      <c r="C1114" s="132" t="s">
        <v>454</v>
      </c>
      <c r="D1114" s="132" t="s">
        <v>498</v>
      </c>
      <c r="E1114" s="132" t="s">
        <v>744</v>
      </c>
      <c r="F1114" s="132">
        <v>70</v>
      </c>
      <c r="G1114" s="214">
        <v>227</v>
      </c>
      <c r="H1114" s="132"/>
      <c r="I1114" s="132" t="s">
        <v>388</v>
      </c>
      <c r="J1114" s="133">
        <v>43145</v>
      </c>
      <c r="K1114" s="132">
        <v>0</v>
      </c>
      <c r="L1114" s="132" t="s">
        <v>48</v>
      </c>
      <c r="M1114" s="134"/>
      <c r="N1114" s="134"/>
      <c r="O1114" s="320">
        <v>0</v>
      </c>
      <c r="P1114" s="326">
        <v>3</v>
      </c>
      <c r="Q1114" s="326">
        <v>0</v>
      </c>
      <c r="R1114" s="315">
        <v>0</v>
      </c>
      <c r="S1114" s="315">
        <v>0</v>
      </c>
      <c r="T1114" s="315"/>
      <c r="U1114" s="315"/>
      <c r="V1114" s="315"/>
      <c r="W1114" s="315"/>
      <c r="X1114" s="315"/>
      <c r="Y1114" s="315"/>
      <c r="Z1114" s="315"/>
      <c r="AA1114" s="336">
        <v>9</v>
      </c>
      <c r="AB1114" s="336">
        <v>0</v>
      </c>
      <c r="AC1114" s="337"/>
      <c r="AD1114" s="337"/>
      <c r="AE1114" s="336">
        <v>9</v>
      </c>
      <c r="AF1114" s="336" t="s">
        <v>332</v>
      </c>
      <c r="AG1114" s="339" t="s">
        <v>332</v>
      </c>
      <c r="AH1114" s="339"/>
      <c r="AI1114" s="336"/>
      <c r="AJ1114" s="336"/>
      <c r="AK1114" s="848">
        <v>0</v>
      </c>
      <c r="AL1114" s="836" t="s">
        <v>284</v>
      </c>
      <c r="AM1114" s="836">
        <v>0</v>
      </c>
      <c r="AN1114" s="848">
        <v>0</v>
      </c>
      <c r="AO1114" s="850">
        <v>7</v>
      </c>
      <c r="AP1114" s="839"/>
      <c r="AQ1114" s="839"/>
      <c r="AR1114" s="839"/>
      <c r="AS1114" s="839"/>
      <c r="AT1114" s="839"/>
      <c r="AU1114" s="839"/>
      <c r="AV1114" s="849"/>
      <c r="AW1114" s="134" t="s">
        <v>3208</v>
      </c>
      <c r="AX1114" s="136" t="s">
        <v>3208</v>
      </c>
      <c r="AY1114" s="137" t="s">
        <v>2576</v>
      </c>
      <c r="AZ1114" s="136">
        <v>1</v>
      </c>
      <c r="BA1114" s="136">
        <v>1</v>
      </c>
      <c r="BB1114" s="136">
        <v>1</v>
      </c>
      <c r="BC1114" s="214">
        <v>227</v>
      </c>
      <c r="BD1114" s="136">
        <v>0</v>
      </c>
      <c r="BE1114" s="214">
        <v>0</v>
      </c>
      <c r="BF1114" s="136">
        <v>1</v>
      </c>
      <c r="BG1114" s="214">
        <v>227</v>
      </c>
      <c r="BH1114" s="214">
        <v>0.45400000000000001</v>
      </c>
      <c r="BI1114" s="134">
        <v>0</v>
      </c>
      <c r="BJ1114" s="214">
        <v>0</v>
      </c>
      <c r="BK1114" s="137">
        <v>0.54600000000000004</v>
      </c>
      <c r="BL1114" s="137">
        <v>1</v>
      </c>
      <c r="BM1114" s="137">
        <v>9</v>
      </c>
      <c r="BN1114" s="134">
        <v>0.23788546255506607</v>
      </c>
      <c r="BO1114" s="351">
        <v>54</v>
      </c>
      <c r="BP1114" s="134">
        <v>0.76651982378854622</v>
      </c>
      <c r="BQ1114" s="214">
        <v>29</v>
      </c>
      <c r="BR1114" s="137">
        <v>38</v>
      </c>
      <c r="BS1114" s="138">
        <v>0</v>
      </c>
      <c r="BT1114" s="351" t="s">
        <v>103</v>
      </c>
      <c r="BU1114" s="214">
        <v>227</v>
      </c>
      <c r="BV1114" s="214">
        <v>0</v>
      </c>
      <c r="BW1114" s="214">
        <v>1</v>
      </c>
      <c r="BX1114" s="214">
        <v>0</v>
      </c>
      <c r="BY1114" s="214">
        <v>0</v>
      </c>
      <c r="BZ1114" s="134">
        <v>0</v>
      </c>
      <c r="CA1114" s="138">
        <v>1</v>
      </c>
      <c r="CB1114" s="136">
        <v>1</v>
      </c>
      <c r="CC1114" s="136">
        <v>0</v>
      </c>
      <c r="CD1114" s="136">
        <v>0</v>
      </c>
      <c r="CE1114" s="137">
        <v>0</v>
      </c>
      <c r="CF1114" s="137">
        <v>0</v>
      </c>
      <c r="CG1114" s="137">
        <v>0</v>
      </c>
      <c r="CH1114" s="214">
        <v>0</v>
      </c>
      <c r="CI1114" s="139">
        <v>0</v>
      </c>
      <c r="CJ1114" s="139">
        <v>0</v>
      </c>
      <c r="CK1114" s="139" t="s">
        <v>969</v>
      </c>
      <c r="CL1114" s="139" t="s">
        <v>969</v>
      </c>
      <c r="CM1114" s="139" t="s">
        <v>969</v>
      </c>
      <c r="CN1114" s="139" t="s">
        <v>454</v>
      </c>
      <c r="CO1114" s="139">
        <v>20.495670318603501</v>
      </c>
      <c r="CP1114" s="139">
        <v>92.651496887207003</v>
      </c>
      <c r="CQ1114" s="139">
        <v>197616</v>
      </c>
      <c r="CR1114" s="449" t="s">
        <v>40</v>
      </c>
      <c r="CS1114" s="449"/>
      <c r="CT1114" s="24"/>
      <c r="CU1114" s="24"/>
      <c r="CV1114" s="24"/>
    </row>
    <row r="1115" spans="1:100" ht="15.75" customHeight="1" x14ac:dyDescent="0.25">
      <c r="A1115" s="643" t="s">
        <v>1388</v>
      </c>
      <c r="B1115" s="132" t="s">
        <v>530</v>
      </c>
      <c r="C1115" s="132" t="s">
        <v>454</v>
      </c>
      <c r="D1115" s="132" t="s">
        <v>498</v>
      </c>
      <c r="E1115" s="132" t="s">
        <v>684</v>
      </c>
      <c r="F1115" s="132">
        <v>83</v>
      </c>
      <c r="G1115" s="214">
        <v>450</v>
      </c>
      <c r="H1115" s="132"/>
      <c r="I1115" s="132" t="s">
        <v>388</v>
      </c>
      <c r="J1115" s="133">
        <v>43145</v>
      </c>
      <c r="K1115" s="132">
        <v>0</v>
      </c>
      <c r="L1115" s="132" t="s">
        <v>48</v>
      </c>
      <c r="M1115" s="134"/>
      <c r="N1115" s="134"/>
      <c r="O1115" s="320">
        <v>0</v>
      </c>
      <c r="P1115" s="326">
        <v>0</v>
      </c>
      <c r="Q1115" s="326">
        <v>0</v>
      </c>
      <c r="R1115" s="315">
        <v>2</v>
      </c>
      <c r="S1115" s="315">
        <v>0</v>
      </c>
      <c r="T1115" s="315"/>
      <c r="U1115" s="315"/>
      <c r="V1115" s="315"/>
      <c r="W1115" s="315"/>
      <c r="X1115" s="315"/>
      <c r="Y1115" s="315"/>
      <c r="Z1115" s="315"/>
      <c r="AA1115" s="336">
        <v>17</v>
      </c>
      <c r="AB1115" s="336">
        <v>0</v>
      </c>
      <c r="AC1115" s="337"/>
      <c r="AD1115" s="337"/>
      <c r="AE1115" s="336">
        <v>17</v>
      </c>
      <c r="AF1115" s="336" t="s">
        <v>332</v>
      </c>
      <c r="AG1115" s="339" t="s">
        <v>332</v>
      </c>
      <c r="AH1115" s="339"/>
      <c r="AI1115" s="336"/>
      <c r="AJ1115" s="336"/>
      <c r="AK1115" s="848">
        <v>0</v>
      </c>
      <c r="AL1115" s="836" t="s">
        <v>284</v>
      </c>
      <c r="AM1115" s="836">
        <v>0</v>
      </c>
      <c r="AN1115" s="848">
        <v>0</v>
      </c>
      <c r="AO1115" s="850">
        <v>7</v>
      </c>
      <c r="AP1115" s="839"/>
      <c r="AQ1115" s="839"/>
      <c r="AR1115" s="839"/>
      <c r="AS1115" s="839"/>
      <c r="AT1115" s="839"/>
      <c r="AU1115" s="839"/>
      <c r="AV1115" s="849"/>
      <c r="AW1115" s="134" t="s">
        <v>3208</v>
      </c>
      <c r="AX1115" s="136" t="s">
        <v>3208</v>
      </c>
      <c r="AY1115" s="137" t="s">
        <v>2576</v>
      </c>
      <c r="AZ1115" s="136">
        <v>0</v>
      </c>
      <c r="BA1115" s="136">
        <v>0</v>
      </c>
      <c r="BB1115" s="136">
        <v>0</v>
      </c>
      <c r="BC1115" s="214">
        <v>0</v>
      </c>
      <c r="BD1115" s="136">
        <v>1</v>
      </c>
      <c r="BE1115" s="214">
        <v>450</v>
      </c>
      <c r="BF1115" s="136">
        <v>1</v>
      </c>
      <c r="BG1115" s="214">
        <v>450</v>
      </c>
      <c r="BH1115" s="214">
        <v>0.9</v>
      </c>
      <c r="BI1115" s="134">
        <v>0</v>
      </c>
      <c r="BJ1115" s="214">
        <v>0</v>
      </c>
      <c r="BK1115" s="137">
        <v>9.9999999999999978E-2</v>
      </c>
      <c r="BL1115" s="137">
        <v>1</v>
      </c>
      <c r="BM1115" s="137">
        <v>17</v>
      </c>
      <c r="BN1115" s="134">
        <v>0.22666666666666666</v>
      </c>
      <c r="BO1115" s="351">
        <v>102</v>
      </c>
      <c r="BP1115" s="134">
        <v>0.77333333333333332</v>
      </c>
      <c r="BQ1115" s="214">
        <v>58</v>
      </c>
      <c r="BR1115" s="137">
        <v>75</v>
      </c>
      <c r="BS1115" s="138">
        <v>0</v>
      </c>
      <c r="BT1115" s="351" t="s">
        <v>103</v>
      </c>
      <c r="BU1115" s="214">
        <v>450</v>
      </c>
      <c r="BV1115" s="214">
        <v>0</v>
      </c>
      <c r="BW1115" s="214">
        <v>1</v>
      </c>
      <c r="BX1115" s="214">
        <v>0</v>
      </c>
      <c r="BY1115" s="214">
        <v>0</v>
      </c>
      <c r="BZ1115" s="134">
        <v>0</v>
      </c>
      <c r="CA1115" s="138">
        <v>1</v>
      </c>
      <c r="CB1115" s="136">
        <v>1</v>
      </c>
      <c r="CC1115" s="136">
        <v>0</v>
      </c>
      <c r="CD1115" s="136">
        <v>0</v>
      </c>
      <c r="CE1115" s="137">
        <v>0</v>
      </c>
      <c r="CF1115" s="137">
        <v>0</v>
      </c>
      <c r="CG1115" s="137">
        <v>0</v>
      </c>
      <c r="CH1115" s="214">
        <v>0</v>
      </c>
      <c r="CI1115" s="139">
        <v>0</v>
      </c>
      <c r="CJ1115" s="139">
        <v>0</v>
      </c>
      <c r="CK1115" s="139" t="s">
        <v>969</v>
      </c>
      <c r="CL1115" s="139" t="s">
        <v>969</v>
      </c>
      <c r="CM1115" s="139" t="s">
        <v>969</v>
      </c>
      <c r="CN1115" s="139" t="s">
        <v>454</v>
      </c>
      <c r="CO1115" s="139">
        <v>20.651939392089801</v>
      </c>
      <c r="CP1115" s="139">
        <v>92.684577941894503</v>
      </c>
      <c r="CQ1115" s="139">
        <v>197695</v>
      </c>
      <c r="CR1115" s="449" t="s">
        <v>40</v>
      </c>
      <c r="CS1115" s="449"/>
      <c r="CT1115" s="24"/>
      <c r="CU1115" s="24"/>
      <c r="CV1115" s="24"/>
    </row>
    <row r="1116" spans="1:100" ht="15.75" customHeight="1" x14ac:dyDescent="0.25">
      <c r="A1116" s="643" t="s">
        <v>1388</v>
      </c>
      <c r="B1116" s="132" t="s">
        <v>530</v>
      </c>
      <c r="C1116" s="132" t="s">
        <v>454</v>
      </c>
      <c r="D1116" s="132" t="s">
        <v>498</v>
      </c>
      <c r="E1116" s="132" t="s">
        <v>639</v>
      </c>
      <c r="F1116" s="132">
        <v>95</v>
      </c>
      <c r="G1116" s="214">
        <v>700</v>
      </c>
      <c r="H1116" s="132"/>
      <c r="I1116" s="132" t="s">
        <v>388</v>
      </c>
      <c r="J1116" s="133">
        <v>43145</v>
      </c>
      <c r="K1116" s="132">
        <v>0</v>
      </c>
      <c r="L1116" s="132" t="s">
        <v>48</v>
      </c>
      <c r="M1116" s="134"/>
      <c r="N1116" s="134"/>
      <c r="O1116" s="320">
        <v>0</v>
      </c>
      <c r="P1116" s="326">
        <v>0</v>
      </c>
      <c r="Q1116" s="326">
        <v>0</v>
      </c>
      <c r="R1116" s="315">
        <v>3</v>
      </c>
      <c r="S1116" s="315">
        <v>0</v>
      </c>
      <c r="T1116" s="315"/>
      <c r="U1116" s="315"/>
      <c r="V1116" s="315"/>
      <c r="W1116" s="315"/>
      <c r="X1116" s="315"/>
      <c r="Y1116" s="315"/>
      <c r="Z1116" s="315"/>
      <c r="AA1116" s="336">
        <v>28</v>
      </c>
      <c r="AB1116" s="336">
        <v>0</v>
      </c>
      <c r="AC1116" s="337"/>
      <c r="AD1116" s="337"/>
      <c r="AE1116" s="336">
        <v>28</v>
      </c>
      <c r="AF1116" s="336" t="s">
        <v>332</v>
      </c>
      <c r="AG1116" s="339" t="s">
        <v>332</v>
      </c>
      <c r="AH1116" s="339"/>
      <c r="AI1116" s="336"/>
      <c r="AJ1116" s="336"/>
      <c r="AK1116" s="848">
        <v>0</v>
      </c>
      <c r="AL1116" s="836" t="s">
        <v>284</v>
      </c>
      <c r="AM1116" s="836">
        <v>0</v>
      </c>
      <c r="AN1116" s="848">
        <v>0</v>
      </c>
      <c r="AO1116" s="850">
        <v>7</v>
      </c>
      <c r="AP1116" s="839"/>
      <c r="AQ1116" s="839"/>
      <c r="AR1116" s="839"/>
      <c r="AS1116" s="839"/>
      <c r="AT1116" s="839"/>
      <c r="AU1116" s="839"/>
      <c r="AV1116" s="849"/>
      <c r="AW1116" s="134" t="s">
        <v>3208</v>
      </c>
      <c r="AX1116" s="136" t="s">
        <v>3208</v>
      </c>
      <c r="AY1116" s="137" t="s">
        <v>2576</v>
      </c>
      <c r="AZ1116" s="136">
        <v>0</v>
      </c>
      <c r="BA1116" s="136">
        <v>0</v>
      </c>
      <c r="BB1116" s="136">
        <v>0</v>
      </c>
      <c r="BC1116" s="214">
        <v>0</v>
      </c>
      <c r="BD1116" s="136">
        <v>1</v>
      </c>
      <c r="BE1116" s="214">
        <v>700</v>
      </c>
      <c r="BF1116" s="136">
        <v>1</v>
      </c>
      <c r="BG1116" s="214">
        <v>700</v>
      </c>
      <c r="BH1116" s="214">
        <v>1.4</v>
      </c>
      <c r="BI1116" s="134">
        <v>0</v>
      </c>
      <c r="BJ1116" s="214">
        <v>0</v>
      </c>
      <c r="BK1116" s="137">
        <v>0</v>
      </c>
      <c r="BL1116" s="137">
        <v>1</v>
      </c>
      <c r="BM1116" s="137">
        <v>28</v>
      </c>
      <c r="BN1116" s="134">
        <v>0.24</v>
      </c>
      <c r="BO1116" s="351">
        <v>168</v>
      </c>
      <c r="BP1116" s="134">
        <v>0.76285714285714279</v>
      </c>
      <c r="BQ1116" s="214">
        <v>89</v>
      </c>
      <c r="BR1116" s="137">
        <v>117</v>
      </c>
      <c r="BS1116" s="138">
        <v>0</v>
      </c>
      <c r="BT1116" s="351" t="s">
        <v>103</v>
      </c>
      <c r="BU1116" s="214">
        <v>700</v>
      </c>
      <c r="BV1116" s="214">
        <v>0</v>
      </c>
      <c r="BW1116" s="214">
        <v>1</v>
      </c>
      <c r="BX1116" s="214">
        <v>0</v>
      </c>
      <c r="BY1116" s="214">
        <v>0</v>
      </c>
      <c r="BZ1116" s="134">
        <v>0</v>
      </c>
      <c r="CA1116" s="138">
        <v>1</v>
      </c>
      <c r="CB1116" s="136">
        <v>1</v>
      </c>
      <c r="CC1116" s="136">
        <v>0</v>
      </c>
      <c r="CD1116" s="136">
        <v>0</v>
      </c>
      <c r="CE1116" s="137">
        <v>0</v>
      </c>
      <c r="CF1116" s="137">
        <v>0</v>
      </c>
      <c r="CG1116" s="137">
        <v>0</v>
      </c>
      <c r="CH1116" s="214">
        <v>0</v>
      </c>
      <c r="CI1116" s="139">
        <v>0</v>
      </c>
      <c r="CJ1116" s="139">
        <v>0</v>
      </c>
      <c r="CK1116" s="139" t="s">
        <v>969</v>
      </c>
      <c r="CL1116" s="139" t="s">
        <v>969</v>
      </c>
      <c r="CM1116" s="139" t="s">
        <v>969</v>
      </c>
      <c r="CN1116" s="139" t="s">
        <v>454</v>
      </c>
      <c r="CO1116" s="139">
        <v>20.463909149169901</v>
      </c>
      <c r="CP1116" s="139">
        <v>92.675468444824205</v>
      </c>
      <c r="CQ1116" s="139">
        <v>197629</v>
      </c>
      <c r="CR1116" s="449" t="s">
        <v>40</v>
      </c>
      <c r="CS1116" s="449"/>
      <c r="CT1116" s="24"/>
      <c r="CU1116" s="24"/>
      <c r="CV1116" s="24"/>
    </row>
    <row r="1117" spans="1:100" ht="15.75" customHeight="1" x14ac:dyDescent="0.25">
      <c r="A1117" s="643" t="s">
        <v>1388</v>
      </c>
      <c r="B1117" s="132" t="s">
        <v>530</v>
      </c>
      <c r="C1117" s="132" t="s">
        <v>454</v>
      </c>
      <c r="D1117" s="132" t="s">
        <v>498</v>
      </c>
      <c r="E1117" s="132" t="s">
        <v>651</v>
      </c>
      <c r="F1117" s="132">
        <v>70</v>
      </c>
      <c r="G1117" s="214">
        <v>380</v>
      </c>
      <c r="H1117" s="132"/>
      <c r="I1117" s="132" t="s">
        <v>388</v>
      </c>
      <c r="J1117" s="133">
        <v>43145</v>
      </c>
      <c r="K1117" s="132">
        <v>0</v>
      </c>
      <c r="L1117" s="132" t="s">
        <v>48</v>
      </c>
      <c r="M1117" s="134"/>
      <c r="N1117" s="134"/>
      <c r="O1117" s="320">
        <v>0</v>
      </c>
      <c r="P1117" s="326">
        <v>0</v>
      </c>
      <c r="Q1117" s="326">
        <v>0</v>
      </c>
      <c r="R1117" s="315">
        <v>1</v>
      </c>
      <c r="S1117" s="315">
        <v>0</v>
      </c>
      <c r="T1117" s="315"/>
      <c r="U1117" s="315"/>
      <c r="V1117" s="315"/>
      <c r="W1117" s="315"/>
      <c r="X1117" s="315"/>
      <c r="Y1117" s="315"/>
      <c r="Z1117" s="315"/>
      <c r="AA1117" s="336">
        <v>16</v>
      </c>
      <c r="AB1117" s="336">
        <v>0</v>
      </c>
      <c r="AC1117" s="337"/>
      <c r="AD1117" s="337"/>
      <c r="AE1117" s="336">
        <v>16</v>
      </c>
      <c r="AF1117" s="336" t="s">
        <v>332</v>
      </c>
      <c r="AG1117" s="339" t="s">
        <v>332</v>
      </c>
      <c r="AH1117" s="339"/>
      <c r="AI1117" s="336"/>
      <c r="AJ1117" s="336"/>
      <c r="AK1117" s="848">
        <v>0</v>
      </c>
      <c r="AL1117" s="836" t="s">
        <v>284</v>
      </c>
      <c r="AM1117" s="836">
        <v>0</v>
      </c>
      <c r="AN1117" s="848">
        <v>0</v>
      </c>
      <c r="AO1117" s="850">
        <v>7</v>
      </c>
      <c r="AP1117" s="839"/>
      <c r="AQ1117" s="839"/>
      <c r="AR1117" s="839"/>
      <c r="AS1117" s="839"/>
      <c r="AT1117" s="839"/>
      <c r="AU1117" s="839"/>
      <c r="AV1117" s="849"/>
      <c r="AW1117" s="134" t="s">
        <v>3208</v>
      </c>
      <c r="AX1117" s="136" t="s">
        <v>3208</v>
      </c>
      <c r="AY1117" s="137" t="s">
        <v>2576</v>
      </c>
      <c r="AZ1117" s="136">
        <v>0</v>
      </c>
      <c r="BA1117" s="136">
        <v>0</v>
      </c>
      <c r="BB1117" s="136">
        <v>0</v>
      </c>
      <c r="BC1117" s="214">
        <v>0</v>
      </c>
      <c r="BD1117" s="136">
        <v>0.65789473684210531</v>
      </c>
      <c r="BE1117" s="214">
        <v>250.00000000000003</v>
      </c>
      <c r="BF1117" s="136">
        <v>0.65789473684210531</v>
      </c>
      <c r="BG1117" s="214">
        <v>250.00000000000003</v>
      </c>
      <c r="BH1117" s="214">
        <v>0.50000000000000011</v>
      </c>
      <c r="BI1117" s="134">
        <v>0.34210526315789469</v>
      </c>
      <c r="BJ1117" s="214">
        <v>129.99999999999997</v>
      </c>
      <c r="BK1117" s="137">
        <v>0.49999999999999989</v>
      </c>
      <c r="BL1117" s="137">
        <v>1</v>
      </c>
      <c r="BM1117" s="137">
        <v>16</v>
      </c>
      <c r="BN1117" s="134">
        <v>0.25263157894736843</v>
      </c>
      <c r="BO1117" s="351">
        <v>96</v>
      </c>
      <c r="BP1117" s="134">
        <v>0.74210526315789471</v>
      </c>
      <c r="BQ1117" s="214">
        <v>47</v>
      </c>
      <c r="BR1117" s="137">
        <v>63</v>
      </c>
      <c r="BS1117" s="138">
        <v>0</v>
      </c>
      <c r="BT1117" s="351" t="s">
        <v>103</v>
      </c>
      <c r="BU1117" s="214">
        <v>380</v>
      </c>
      <c r="BV1117" s="214">
        <v>0</v>
      </c>
      <c r="BW1117" s="214">
        <v>1</v>
      </c>
      <c r="BX1117" s="214">
        <v>0</v>
      </c>
      <c r="BY1117" s="214">
        <v>0</v>
      </c>
      <c r="BZ1117" s="134">
        <v>0</v>
      </c>
      <c r="CA1117" s="138">
        <v>1</v>
      </c>
      <c r="CB1117" s="136">
        <v>1</v>
      </c>
      <c r="CC1117" s="136">
        <v>0</v>
      </c>
      <c r="CD1117" s="136">
        <v>0</v>
      </c>
      <c r="CE1117" s="137">
        <v>0</v>
      </c>
      <c r="CF1117" s="137">
        <v>0</v>
      </c>
      <c r="CG1117" s="137">
        <v>0</v>
      </c>
      <c r="CH1117" s="214">
        <v>0</v>
      </c>
      <c r="CI1117" s="139">
        <v>0</v>
      </c>
      <c r="CJ1117" s="139">
        <v>0</v>
      </c>
      <c r="CK1117" s="139" t="s">
        <v>969</v>
      </c>
      <c r="CL1117" s="139" t="s">
        <v>969</v>
      </c>
      <c r="CM1117" s="139" t="s">
        <v>969</v>
      </c>
      <c r="CN1117" s="139" t="s">
        <v>454</v>
      </c>
      <c r="CO1117" s="139">
        <v>20.502599716186499</v>
      </c>
      <c r="CP1117" s="139">
        <v>92.647476196289105</v>
      </c>
      <c r="CQ1117" s="139">
        <v>197615</v>
      </c>
      <c r="CR1117" s="449" t="s">
        <v>40</v>
      </c>
      <c r="CS1117" s="449"/>
      <c r="CT1117" s="24"/>
      <c r="CU1117" s="24"/>
      <c r="CV1117" s="24"/>
    </row>
    <row r="1118" spans="1:100" ht="15.75" customHeight="1" x14ac:dyDescent="0.25">
      <c r="A1118" s="643" t="s">
        <v>1388</v>
      </c>
      <c r="B1118" s="132" t="s">
        <v>530</v>
      </c>
      <c r="C1118" s="132" t="s">
        <v>454</v>
      </c>
      <c r="D1118" s="132" t="s">
        <v>498</v>
      </c>
      <c r="E1118" s="132" t="s">
        <v>646</v>
      </c>
      <c r="F1118" s="132">
        <v>91</v>
      </c>
      <c r="G1118" s="214">
        <v>409</v>
      </c>
      <c r="H1118" s="132"/>
      <c r="I1118" s="132" t="s">
        <v>388</v>
      </c>
      <c r="J1118" s="133">
        <v>43145</v>
      </c>
      <c r="K1118" s="132">
        <v>0</v>
      </c>
      <c r="L1118" s="132" t="s">
        <v>48</v>
      </c>
      <c r="M1118" s="134"/>
      <c r="N1118" s="134"/>
      <c r="O1118" s="320">
        <v>0</v>
      </c>
      <c r="P1118" s="326">
        <v>1</v>
      </c>
      <c r="Q1118" s="326">
        <v>0</v>
      </c>
      <c r="R1118" s="315">
        <v>3</v>
      </c>
      <c r="S1118" s="315">
        <v>0</v>
      </c>
      <c r="T1118" s="315"/>
      <c r="U1118" s="315"/>
      <c r="V1118" s="315"/>
      <c r="W1118" s="315"/>
      <c r="X1118" s="315"/>
      <c r="Y1118" s="315"/>
      <c r="Z1118" s="315"/>
      <c r="AA1118" s="336">
        <v>42</v>
      </c>
      <c r="AB1118" s="336">
        <v>0</v>
      </c>
      <c r="AC1118" s="337"/>
      <c r="AD1118" s="337"/>
      <c r="AE1118" s="336">
        <v>42</v>
      </c>
      <c r="AF1118" s="336" t="s">
        <v>332</v>
      </c>
      <c r="AG1118" s="339" t="s">
        <v>332</v>
      </c>
      <c r="AH1118" s="339"/>
      <c r="AI1118" s="336"/>
      <c r="AJ1118" s="336"/>
      <c r="AK1118" s="848">
        <v>0</v>
      </c>
      <c r="AL1118" s="836" t="s">
        <v>284</v>
      </c>
      <c r="AM1118" s="836">
        <v>0</v>
      </c>
      <c r="AN1118" s="848">
        <v>0</v>
      </c>
      <c r="AO1118" s="850">
        <v>7</v>
      </c>
      <c r="AP1118" s="839"/>
      <c r="AQ1118" s="839"/>
      <c r="AR1118" s="839"/>
      <c r="AS1118" s="839"/>
      <c r="AT1118" s="839"/>
      <c r="AU1118" s="839"/>
      <c r="AV1118" s="849"/>
      <c r="AW1118" s="134" t="s">
        <v>3208</v>
      </c>
      <c r="AX1118" s="136" t="s">
        <v>3208</v>
      </c>
      <c r="AY1118" s="137" t="s">
        <v>2576</v>
      </c>
      <c r="AZ1118" s="136">
        <v>1</v>
      </c>
      <c r="BA1118" s="136">
        <v>0.61124694376528121</v>
      </c>
      <c r="BB1118" s="136">
        <v>0.61124694376528121</v>
      </c>
      <c r="BC1118" s="214">
        <v>250.00000000000003</v>
      </c>
      <c r="BD1118" s="136">
        <v>1</v>
      </c>
      <c r="BE1118" s="214">
        <v>409</v>
      </c>
      <c r="BF1118" s="136">
        <v>1</v>
      </c>
      <c r="BG1118" s="214">
        <v>409</v>
      </c>
      <c r="BH1118" s="214">
        <v>0.81799999999999995</v>
      </c>
      <c r="BI1118" s="134">
        <v>0</v>
      </c>
      <c r="BJ1118" s="214">
        <v>0</v>
      </c>
      <c r="BK1118" s="137">
        <v>0.18200000000000005</v>
      </c>
      <c r="BL1118" s="137">
        <v>1</v>
      </c>
      <c r="BM1118" s="137">
        <v>42</v>
      </c>
      <c r="BN1118" s="134">
        <v>0.61613691931540338</v>
      </c>
      <c r="BO1118" s="351">
        <v>251.99999999999997</v>
      </c>
      <c r="BP1118" s="134">
        <v>0.38141809290953543</v>
      </c>
      <c r="BQ1118" s="214">
        <v>26</v>
      </c>
      <c r="BR1118" s="137">
        <v>68</v>
      </c>
      <c r="BS1118" s="138">
        <v>0</v>
      </c>
      <c r="BT1118" s="351" t="s">
        <v>103</v>
      </c>
      <c r="BU1118" s="214">
        <v>409</v>
      </c>
      <c r="BV1118" s="214">
        <v>0</v>
      </c>
      <c r="BW1118" s="214">
        <v>1</v>
      </c>
      <c r="BX1118" s="214">
        <v>0</v>
      </c>
      <c r="BY1118" s="214">
        <v>0</v>
      </c>
      <c r="BZ1118" s="134">
        <v>0</v>
      </c>
      <c r="CA1118" s="138">
        <v>1</v>
      </c>
      <c r="CB1118" s="136">
        <v>1</v>
      </c>
      <c r="CC1118" s="136">
        <v>0</v>
      </c>
      <c r="CD1118" s="136">
        <v>0</v>
      </c>
      <c r="CE1118" s="137">
        <v>0</v>
      </c>
      <c r="CF1118" s="137">
        <v>0</v>
      </c>
      <c r="CG1118" s="137">
        <v>0</v>
      </c>
      <c r="CH1118" s="214">
        <v>0</v>
      </c>
      <c r="CI1118" s="139">
        <v>0</v>
      </c>
      <c r="CJ1118" s="139">
        <v>0</v>
      </c>
      <c r="CK1118" s="139" t="s">
        <v>969</v>
      </c>
      <c r="CL1118" s="139" t="s">
        <v>969</v>
      </c>
      <c r="CM1118" s="139" t="s">
        <v>969</v>
      </c>
      <c r="CN1118" s="139" t="s">
        <v>454</v>
      </c>
      <c r="CO1118" s="139">
        <v>20.480100631713899</v>
      </c>
      <c r="CP1118" s="139">
        <v>92.704818725585895</v>
      </c>
      <c r="CQ1118" s="139">
        <v>197618</v>
      </c>
      <c r="CR1118" s="449" t="s">
        <v>40</v>
      </c>
      <c r="CS1118" s="449"/>
      <c r="CT1118" s="24"/>
      <c r="CU1118" s="24"/>
      <c r="CV1118" s="24"/>
    </row>
    <row r="1119" spans="1:100" ht="15.75" customHeight="1" x14ac:dyDescent="0.25">
      <c r="A1119" s="643" t="s">
        <v>1388</v>
      </c>
      <c r="B1119" s="132" t="s">
        <v>530</v>
      </c>
      <c r="C1119" s="132" t="s">
        <v>454</v>
      </c>
      <c r="D1119" s="132" t="s">
        <v>498</v>
      </c>
      <c r="E1119" s="132" t="s">
        <v>643</v>
      </c>
      <c r="F1119" s="132">
        <v>90</v>
      </c>
      <c r="G1119" s="214">
        <v>458</v>
      </c>
      <c r="H1119" s="132"/>
      <c r="I1119" s="132" t="s">
        <v>388</v>
      </c>
      <c r="J1119" s="133">
        <v>43145</v>
      </c>
      <c r="K1119" s="132">
        <v>0</v>
      </c>
      <c r="L1119" s="132" t="s">
        <v>48</v>
      </c>
      <c r="M1119" s="134"/>
      <c r="N1119" s="134"/>
      <c r="O1119" s="320">
        <v>0</v>
      </c>
      <c r="P1119" s="326">
        <v>0</v>
      </c>
      <c r="Q1119" s="326">
        <v>0</v>
      </c>
      <c r="R1119" s="315">
        <v>3</v>
      </c>
      <c r="S1119" s="315">
        <v>0</v>
      </c>
      <c r="T1119" s="315"/>
      <c r="U1119" s="315"/>
      <c r="V1119" s="315"/>
      <c r="W1119" s="315"/>
      <c r="X1119" s="315"/>
      <c r="Y1119" s="315"/>
      <c r="Z1119" s="315"/>
      <c r="AA1119" s="336">
        <v>14</v>
      </c>
      <c r="AB1119" s="336">
        <v>0</v>
      </c>
      <c r="AC1119" s="337"/>
      <c r="AD1119" s="337"/>
      <c r="AE1119" s="336">
        <v>14</v>
      </c>
      <c r="AF1119" s="336" t="s">
        <v>332</v>
      </c>
      <c r="AG1119" s="339" t="s">
        <v>332</v>
      </c>
      <c r="AH1119" s="339"/>
      <c r="AI1119" s="336"/>
      <c r="AJ1119" s="336"/>
      <c r="AK1119" s="848">
        <v>0</v>
      </c>
      <c r="AL1119" s="836" t="s">
        <v>284</v>
      </c>
      <c r="AM1119" s="836">
        <v>0</v>
      </c>
      <c r="AN1119" s="848">
        <v>0</v>
      </c>
      <c r="AO1119" s="850">
        <v>7</v>
      </c>
      <c r="AP1119" s="839"/>
      <c r="AQ1119" s="839"/>
      <c r="AR1119" s="839"/>
      <c r="AS1119" s="839"/>
      <c r="AT1119" s="839"/>
      <c r="AU1119" s="839"/>
      <c r="AV1119" s="849"/>
      <c r="AW1119" s="134" t="s">
        <v>3208</v>
      </c>
      <c r="AX1119" s="136" t="s">
        <v>3208</v>
      </c>
      <c r="AY1119" s="137" t="s">
        <v>2576</v>
      </c>
      <c r="AZ1119" s="136">
        <v>0</v>
      </c>
      <c r="BA1119" s="136">
        <v>0</v>
      </c>
      <c r="BB1119" s="136">
        <v>0</v>
      </c>
      <c r="BC1119" s="214">
        <v>0</v>
      </c>
      <c r="BD1119" s="136">
        <v>1</v>
      </c>
      <c r="BE1119" s="214">
        <v>458</v>
      </c>
      <c r="BF1119" s="136">
        <v>1</v>
      </c>
      <c r="BG1119" s="214">
        <v>458</v>
      </c>
      <c r="BH1119" s="214">
        <v>0.91600000000000004</v>
      </c>
      <c r="BI1119" s="134">
        <v>0</v>
      </c>
      <c r="BJ1119" s="214">
        <v>0</v>
      </c>
      <c r="BK1119" s="137">
        <v>8.3999999999999964E-2</v>
      </c>
      <c r="BL1119" s="137">
        <v>1</v>
      </c>
      <c r="BM1119" s="137">
        <v>14</v>
      </c>
      <c r="BN1119" s="134">
        <v>0.18340611353711792</v>
      </c>
      <c r="BO1119" s="351">
        <v>84</v>
      </c>
      <c r="BP1119" s="134">
        <v>0.81222707423580787</v>
      </c>
      <c r="BQ1119" s="214">
        <v>62</v>
      </c>
      <c r="BR1119" s="137">
        <v>76</v>
      </c>
      <c r="BS1119" s="138">
        <v>0</v>
      </c>
      <c r="BT1119" s="351" t="s">
        <v>103</v>
      </c>
      <c r="BU1119" s="214">
        <v>458</v>
      </c>
      <c r="BV1119" s="214">
        <v>0</v>
      </c>
      <c r="BW1119" s="214">
        <v>1</v>
      </c>
      <c r="BX1119" s="214">
        <v>0</v>
      </c>
      <c r="BY1119" s="214">
        <v>0</v>
      </c>
      <c r="BZ1119" s="134">
        <v>0</v>
      </c>
      <c r="CA1119" s="138">
        <v>1</v>
      </c>
      <c r="CB1119" s="136">
        <v>1</v>
      </c>
      <c r="CC1119" s="136">
        <v>0</v>
      </c>
      <c r="CD1119" s="136">
        <v>0</v>
      </c>
      <c r="CE1119" s="137">
        <v>0</v>
      </c>
      <c r="CF1119" s="137">
        <v>0</v>
      </c>
      <c r="CG1119" s="137">
        <v>0</v>
      </c>
      <c r="CH1119" s="214">
        <v>0</v>
      </c>
      <c r="CI1119" s="139">
        <v>0</v>
      </c>
      <c r="CJ1119" s="139">
        <v>0</v>
      </c>
      <c r="CK1119" s="139" t="s">
        <v>969</v>
      </c>
      <c r="CL1119" s="139" t="s">
        <v>969</v>
      </c>
      <c r="CM1119" s="139" t="s">
        <v>969</v>
      </c>
      <c r="CN1119" s="139" t="s">
        <v>454</v>
      </c>
      <c r="CO1119" s="139">
        <v>20.470119476318398</v>
      </c>
      <c r="CP1119" s="139">
        <v>92.672653198242202</v>
      </c>
      <c r="CQ1119" s="139">
        <v>197630</v>
      </c>
      <c r="CR1119" s="449" t="s">
        <v>40</v>
      </c>
      <c r="CS1119" s="449"/>
      <c r="CT1119" s="24"/>
      <c r="CU1119" s="24"/>
      <c r="CV1119" s="24"/>
    </row>
    <row r="1120" spans="1:100" ht="15.75" customHeight="1" x14ac:dyDescent="0.25">
      <c r="A1120" s="643" t="s">
        <v>1388</v>
      </c>
      <c r="B1120" s="132" t="s">
        <v>530</v>
      </c>
      <c r="C1120" s="132" t="s">
        <v>454</v>
      </c>
      <c r="D1120" s="132" t="s">
        <v>498</v>
      </c>
      <c r="E1120" s="132" t="s">
        <v>2519</v>
      </c>
      <c r="F1120" s="132">
        <v>127</v>
      </c>
      <c r="G1120" s="214">
        <v>710</v>
      </c>
      <c r="H1120" s="132"/>
      <c r="I1120" s="132" t="s">
        <v>388</v>
      </c>
      <c r="J1120" s="133">
        <v>43343</v>
      </c>
      <c r="K1120" s="132">
        <v>0</v>
      </c>
      <c r="L1120" s="132" t="s">
        <v>48</v>
      </c>
      <c r="M1120" s="134"/>
      <c r="N1120" s="134"/>
      <c r="O1120" s="320"/>
      <c r="P1120" s="326"/>
      <c r="Q1120" s="326"/>
      <c r="R1120" s="315"/>
      <c r="S1120" s="315"/>
      <c r="T1120" s="315"/>
      <c r="U1120" s="315"/>
      <c r="V1120" s="315"/>
      <c r="W1120" s="315"/>
      <c r="X1120" s="315"/>
      <c r="Y1120" s="315"/>
      <c r="Z1120" s="315"/>
      <c r="AA1120" s="336">
        <v>2</v>
      </c>
      <c r="AB1120" s="336"/>
      <c r="AC1120" s="337"/>
      <c r="AD1120" s="337"/>
      <c r="AE1120" s="336">
        <v>2</v>
      </c>
      <c r="AF1120" s="336" t="s">
        <v>332</v>
      </c>
      <c r="AG1120" s="339" t="s">
        <v>332</v>
      </c>
      <c r="AH1120" s="339"/>
      <c r="AI1120" s="336"/>
      <c r="AJ1120" s="336"/>
      <c r="AK1120" s="848">
        <v>0</v>
      </c>
      <c r="AL1120" s="836" t="s">
        <v>284</v>
      </c>
      <c r="AM1120" s="836">
        <v>0</v>
      </c>
      <c r="AN1120" s="848">
        <v>0</v>
      </c>
      <c r="AO1120" s="850">
        <v>7</v>
      </c>
      <c r="AP1120" s="839"/>
      <c r="AQ1120" s="839"/>
      <c r="AR1120" s="839"/>
      <c r="AS1120" s="839"/>
      <c r="AT1120" s="839"/>
      <c r="AU1120" s="839"/>
      <c r="AV1120" s="849"/>
      <c r="AW1120" s="134" t="s">
        <v>3208</v>
      </c>
      <c r="AX1120" s="136" t="s">
        <v>3208</v>
      </c>
      <c r="AY1120" s="137" t="s">
        <v>2576</v>
      </c>
      <c r="AZ1120" s="136">
        <v>0</v>
      </c>
      <c r="BA1120" s="136">
        <v>0</v>
      </c>
      <c r="BB1120" s="136">
        <v>0</v>
      </c>
      <c r="BC1120" s="214">
        <v>0</v>
      </c>
      <c r="BD1120" s="136">
        <v>0</v>
      </c>
      <c r="BE1120" s="214">
        <v>0</v>
      </c>
      <c r="BF1120" s="136">
        <v>0</v>
      </c>
      <c r="BG1120" s="214">
        <v>0</v>
      </c>
      <c r="BH1120" s="214">
        <v>0</v>
      </c>
      <c r="BI1120" s="134">
        <v>1</v>
      </c>
      <c r="BJ1120" s="214">
        <v>710</v>
      </c>
      <c r="BK1120" s="137">
        <v>1</v>
      </c>
      <c r="BL1120" s="137">
        <v>1</v>
      </c>
      <c r="BM1120" s="137">
        <v>2</v>
      </c>
      <c r="BN1120" s="134">
        <v>1.6901408450704224E-2</v>
      </c>
      <c r="BO1120" s="351">
        <v>11.999999999999998</v>
      </c>
      <c r="BP1120" s="134">
        <v>0.9802816901408451</v>
      </c>
      <c r="BQ1120" s="214">
        <v>116</v>
      </c>
      <c r="BR1120" s="137">
        <v>118</v>
      </c>
      <c r="BS1120" s="138">
        <v>0</v>
      </c>
      <c r="BT1120" s="351" t="s">
        <v>103</v>
      </c>
      <c r="BU1120" s="214">
        <v>710</v>
      </c>
      <c r="BV1120" s="214">
        <v>0</v>
      </c>
      <c r="BW1120" s="214">
        <v>1</v>
      </c>
      <c r="BX1120" s="214">
        <v>0</v>
      </c>
      <c r="BY1120" s="214">
        <v>0</v>
      </c>
      <c r="BZ1120" s="134">
        <v>0</v>
      </c>
      <c r="CA1120" s="138">
        <v>1</v>
      </c>
      <c r="CB1120" s="136">
        <v>1</v>
      </c>
      <c r="CC1120" s="136">
        <v>0</v>
      </c>
      <c r="CD1120" s="136">
        <v>0</v>
      </c>
      <c r="CE1120" s="137">
        <v>0</v>
      </c>
      <c r="CF1120" s="137">
        <v>0</v>
      </c>
      <c r="CG1120" s="137">
        <v>0</v>
      </c>
      <c r="CH1120" s="214">
        <v>0</v>
      </c>
      <c r="CI1120" s="139">
        <v>0</v>
      </c>
      <c r="CJ1120" s="139">
        <v>0</v>
      </c>
      <c r="CK1120" s="139" t="s">
        <v>969</v>
      </c>
      <c r="CL1120" s="139" t="s">
        <v>969</v>
      </c>
      <c r="CM1120" s="139" t="s">
        <v>969</v>
      </c>
      <c r="CN1120" s="139" t="s">
        <v>454</v>
      </c>
      <c r="CO1120" s="139">
        <v>20.5047302246094</v>
      </c>
      <c r="CP1120" s="139">
        <v>92.683113098144503</v>
      </c>
      <c r="CQ1120" s="139">
        <v>197611</v>
      </c>
      <c r="CR1120" s="449" t="s">
        <v>40</v>
      </c>
      <c r="CS1120" s="449"/>
      <c r="CT1120" s="24"/>
      <c r="CU1120" s="24"/>
      <c r="CV1120" s="24"/>
    </row>
    <row r="1121" spans="1:100" ht="15.75" customHeight="1" x14ac:dyDescent="0.25">
      <c r="A1121" s="643" t="s">
        <v>1388</v>
      </c>
      <c r="B1121" s="132" t="s">
        <v>530</v>
      </c>
      <c r="C1121" s="132" t="s">
        <v>454</v>
      </c>
      <c r="D1121" s="132" t="s">
        <v>498</v>
      </c>
      <c r="E1121" s="132" t="s">
        <v>2520</v>
      </c>
      <c r="F1121" s="132">
        <v>64</v>
      </c>
      <c r="G1121" s="214">
        <v>345</v>
      </c>
      <c r="H1121" s="132"/>
      <c r="I1121" s="132" t="s">
        <v>388</v>
      </c>
      <c r="J1121" s="133">
        <v>43343</v>
      </c>
      <c r="K1121" s="132">
        <v>0</v>
      </c>
      <c r="L1121" s="132" t="s">
        <v>48</v>
      </c>
      <c r="M1121" s="134"/>
      <c r="N1121" s="134"/>
      <c r="O1121" s="320"/>
      <c r="P1121" s="326"/>
      <c r="Q1121" s="326"/>
      <c r="R1121" s="315"/>
      <c r="S1121" s="315"/>
      <c r="T1121" s="315"/>
      <c r="U1121" s="315"/>
      <c r="V1121" s="315"/>
      <c r="W1121" s="315"/>
      <c r="X1121" s="315"/>
      <c r="Y1121" s="315"/>
      <c r="Z1121" s="315"/>
      <c r="AA1121" s="336">
        <v>3</v>
      </c>
      <c r="AB1121" s="336"/>
      <c r="AC1121" s="337"/>
      <c r="AD1121" s="337"/>
      <c r="AE1121" s="336">
        <v>3</v>
      </c>
      <c r="AF1121" s="336" t="s">
        <v>332</v>
      </c>
      <c r="AG1121" s="339" t="s">
        <v>332</v>
      </c>
      <c r="AH1121" s="339"/>
      <c r="AI1121" s="336"/>
      <c r="AJ1121" s="336"/>
      <c r="AK1121" s="848">
        <v>0</v>
      </c>
      <c r="AL1121" s="836" t="s">
        <v>284</v>
      </c>
      <c r="AM1121" s="836">
        <v>0</v>
      </c>
      <c r="AN1121" s="848">
        <v>0</v>
      </c>
      <c r="AO1121" s="850">
        <v>7</v>
      </c>
      <c r="AP1121" s="839"/>
      <c r="AQ1121" s="839"/>
      <c r="AR1121" s="839"/>
      <c r="AS1121" s="839"/>
      <c r="AT1121" s="839"/>
      <c r="AU1121" s="839"/>
      <c r="AV1121" s="849"/>
      <c r="AW1121" s="134" t="s">
        <v>3208</v>
      </c>
      <c r="AX1121" s="136" t="s">
        <v>3208</v>
      </c>
      <c r="AY1121" s="137" t="s">
        <v>2576</v>
      </c>
      <c r="AZ1121" s="136">
        <v>0</v>
      </c>
      <c r="BA1121" s="136">
        <v>0</v>
      </c>
      <c r="BB1121" s="136">
        <v>0</v>
      </c>
      <c r="BC1121" s="214">
        <v>0</v>
      </c>
      <c r="BD1121" s="136">
        <v>0</v>
      </c>
      <c r="BE1121" s="214">
        <v>0</v>
      </c>
      <c r="BF1121" s="136">
        <v>0</v>
      </c>
      <c r="BG1121" s="214">
        <v>0</v>
      </c>
      <c r="BH1121" s="214">
        <v>0</v>
      </c>
      <c r="BI1121" s="134">
        <v>1</v>
      </c>
      <c r="BJ1121" s="214">
        <v>345</v>
      </c>
      <c r="BK1121" s="137">
        <v>1</v>
      </c>
      <c r="BL1121" s="137">
        <v>1</v>
      </c>
      <c r="BM1121" s="137">
        <v>3</v>
      </c>
      <c r="BN1121" s="134">
        <v>5.2173913043478258E-2</v>
      </c>
      <c r="BO1121" s="351">
        <v>18</v>
      </c>
      <c r="BP1121" s="134">
        <v>0.95652173913043481</v>
      </c>
      <c r="BQ1121" s="214">
        <v>55</v>
      </c>
      <c r="BR1121" s="137">
        <v>58</v>
      </c>
      <c r="BS1121" s="138">
        <v>0</v>
      </c>
      <c r="BT1121" s="351" t="s">
        <v>103</v>
      </c>
      <c r="BU1121" s="214">
        <v>345</v>
      </c>
      <c r="BV1121" s="214">
        <v>0</v>
      </c>
      <c r="BW1121" s="214">
        <v>1</v>
      </c>
      <c r="BX1121" s="214">
        <v>0</v>
      </c>
      <c r="BY1121" s="214">
        <v>0</v>
      </c>
      <c r="BZ1121" s="134">
        <v>0</v>
      </c>
      <c r="CA1121" s="138">
        <v>1</v>
      </c>
      <c r="CB1121" s="136">
        <v>1</v>
      </c>
      <c r="CC1121" s="136">
        <v>0</v>
      </c>
      <c r="CD1121" s="136">
        <v>0</v>
      </c>
      <c r="CE1121" s="137">
        <v>0</v>
      </c>
      <c r="CF1121" s="137">
        <v>0</v>
      </c>
      <c r="CG1121" s="137">
        <v>0</v>
      </c>
      <c r="CH1121" s="214">
        <v>0</v>
      </c>
      <c r="CI1121" s="139">
        <v>0</v>
      </c>
      <c r="CJ1121" s="139">
        <v>0</v>
      </c>
      <c r="CK1121" s="139" t="s">
        <v>969</v>
      </c>
      <c r="CL1121" s="139" t="s">
        <v>969</v>
      </c>
      <c r="CM1121" s="139" t="s">
        <v>969</v>
      </c>
      <c r="CN1121" s="139" t="s">
        <v>454</v>
      </c>
      <c r="CO1121" s="139">
        <v>20.497299194335898</v>
      </c>
      <c r="CP1121" s="139">
        <v>92.683097839355497</v>
      </c>
      <c r="CQ1121" s="139">
        <v>197613</v>
      </c>
      <c r="CR1121" s="449" t="s">
        <v>40</v>
      </c>
      <c r="CS1121" s="449"/>
      <c r="CT1121" s="24"/>
      <c r="CU1121" s="24"/>
      <c r="CV1121" s="24"/>
    </row>
    <row r="1122" spans="1:100" ht="15.75" customHeight="1" x14ac:dyDescent="0.25">
      <c r="A1122" s="643" t="s">
        <v>1388</v>
      </c>
      <c r="B1122" s="132" t="s">
        <v>530</v>
      </c>
      <c r="C1122" s="132" t="s">
        <v>454</v>
      </c>
      <c r="D1122" s="132" t="s">
        <v>498</v>
      </c>
      <c r="E1122" s="132" t="s">
        <v>636</v>
      </c>
      <c r="F1122" s="132">
        <v>127</v>
      </c>
      <c r="G1122" s="214">
        <v>559</v>
      </c>
      <c r="H1122" s="132"/>
      <c r="I1122" s="132" t="s">
        <v>388</v>
      </c>
      <c r="J1122" s="133">
        <v>43145</v>
      </c>
      <c r="K1122" s="132">
        <v>0</v>
      </c>
      <c r="L1122" s="132" t="s">
        <v>48</v>
      </c>
      <c r="M1122" s="134"/>
      <c r="N1122" s="134"/>
      <c r="O1122" s="320">
        <v>0</v>
      </c>
      <c r="P1122" s="326">
        <v>0</v>
      </c>
      <c r="Q1122" s="326">
        <v>0</v>
      </c>
      <c r="R1122" s="315">
        <v>5</v>
      </c>
      <c r="S1122" s="315">
        <v>0</v>
      </c>
      <c r="T1122" s="315"/>
      <c r="U1122" s="315"/>
      <c r="V1122" s="315"/>
      <c r="W1122" s="315"/>
      <c r="X1122" s="315"/>
      <c r="Y1122" s="315"/>
      <c r="Z1122" s="315"/>
      <c r="AA1122" s="336">
        <v>13</v>
      </c>
      <c r="AB1122" s="336">
        <v>0</v>
      </c>
      <c r="AC1122" s="337"/>
      <c r="AD1122" s="337"/>
      <c r="AE1122" s="336">
        <v>13</v>
      </c>
      <c r="AF1122" s="336" t="s">
        <v>332</v>
      </c>
      <c r="AG1122" s="339" t="s">
        <v>332</v>
      </c>
      <c r="AH1122" s="339"/>
      <c r="AI1122" s="336"/>
      <c r="AJ1122" s="336"/>
      <c r="AK1122" s="848">
        <v>0</v>
      </c>
      <c r="AL1122" s="836" t="s">
        <v>284</v>
      </c>
      <c r="AM1122" s="836">
        <v>0</v>
      </c>
      <c r="AN1122" s="848">
        <v>0</v>
      </c>
      <c r="AO1122" s="850">
        <v>7</v>
      </c>
      <c r="AP1122" s="839"/>
      <c r="AQ1122" s="839"/>
      <c r="AR1122" s="839"/>
      <c r="AS1122" s="839"/>
      <c r="AT1122" s="839"/>
      <c r="AU1122" s="839"/>
      <c r="AV1122" s="849"/>
      <c r="AW1122" s="134" t="s">
        <v>3208</v>
      </c>
      <c r="AX1122" s="136" t="s">
        <v>3208</v>
      </c>
      <c r="AY1122" s="137" t="s">
        <v>2576</v>
      </c>
      <c r="AZ1122" s="136">
        <v>0</v>
      </c>
      <c r="BA1122" s="136">
        <v>0</v>
      </c>
      <c r="BB1122" s="136">
        <v>0</v>
      </c>
      <c r="BC1122" s="214">
        <v>0</v>
      </c>
      <c r="BD1122" s="136">
        <v>1</v>
      </c>
      <c r="BE1122" s="214">
        <v>559</v>
      </c>
      <c r="BF1122" s="136">
        <v>1</v>
      </c>
      <c r="BG1122" s="214">
        <v>559</v>
      </c>
      <c r="BH1122" s="214">
        <v>1.1180000000000001</v>
      </c>
      <c r="BI1122" s="134">
        <v>0</v>
      </c>
      <c r="BJ1122" s="214">
        <v>0</v>
      </c>
      <c r="BK1122" s="137">
        <v>0</v>
      </c>
      <c r="BL1122" s="137">
        <v>1</v>
      </c>
      <c r="BM1122" s="137">
        <v>13</v>
      </c>
      <c r="BN1122" s="134">
        <v>0.13953488372093023</v>
      </c>
      <c r="BO1122" s="351">
        <v>78</v>
      </c>
      <c r="BP1122" s="134">
        <v>0.85867620751341678</v>
      </c>
      <c r="BQ1122" s="214">
        <v>80</v>
      </c>
      <c r="BR1122" s="137">
        <v>93</v>
      </c>
      <c r="BS1122" s="138">
        <v>0</v>
      </c>
      <c r="BT1122" s="351" t="s">
        <v>103</v>
      </c>
      <c r="BU1122" s="214">
        <v>559</v>
      </c>
      <c r="BV1122" s="214">
        <v>0</v>
      </c>
      <c r="BW1122" s="214">
        <v>1</v>
      </c>
      <c r="BX1122" s="214">
        <v>0</v>
      </c>
      <c r="BY1122" s="214">
        <v>0</v>
      </c>
      <c r="BZ1122" s="134">
        <v>0</v>
      </c>
      <c r="CA1122" s="138">
        <v>1</v>
      </c>
      <c r="CB1122" s="136">
        <v>1</v>
      </c>
      <c r="CC1122" s="136">
        <v>0</v>
      </c>
      <c r="CD1122" s="136">
        <v>0</v>
      </c>
      <c r="CE1122" s="137">
        <v>0</v>
      </c>
      <c r="CF1122" s="137">
        <v>0</v>
      </c>
      <c r="CG1122" s="137">
        <v>0</v>
      </c>
      <c r="CH1122" s="214">
        <v>0</v>
      </c>
      <c r="CI1122" s="139">
        <v>0</v>
      </c>
      <c r="CJ1122" s="139">
        <v>0</v>
      </c>
      <c r="CK1122" s="139" t="s">
        <v>969</v>
      </c>
      <c r="CL1122" s="139" t="s">
        <v>969</v>
      </c>
      <c r="CM1122" s="139" t="s">
        <v>969</v>
      </c>
      <c r="CN1122" s="139" t="s">
        <v>454</v>
      </c>
      <c r="CO1122" s="139">
        <v>20.453830718994102</v>
      </c>
      <c r="CP1122" s="139">
        <v>92.683090209960895</v>
      </c>
      <c r="CQ1122" s="139">
        <v>197621</v>
      </c>
      <c r="CR1122" s="449" t="s">
        <v>40</v>
      </c>
      <c r="CS1122" s="449"/>
      <c r="CT1122" s="24"/>
      <c r="CU1122" s="24"/>
      <c r="CV1122" s="24"/>
    </row>
    <row r="1123" spans="1:100" ht="15.75" customHeight="1" x14ac:dyDescent="0.25">
      <c r="A1123" s="643" t="s">
        <v>1388</v>
      </c>
      <c r="B1123" s="132" t="s">
        <v>460</v>
      </c>
      <c r="C1123" s="132" t="s">
        <v>454</v>
      </c>
      <c r="D1123" s="132" t="s">
        <v>498</v>
      </c>
      <c r="E1123" s="132" t="s">
        <v>623</v>
      </c>
      <c r="F1123" s="132">
        <v>292</v>
      </c>
      <c r="G1123" s="214">
        <v>1751</v>
      </c>
      <c r="H1123" s="132"/>
      <c r="I1123" s="132" t="s">
        <v>391</v>
      </c>
      <c r="J1123" s="133">
        <v>43220</v>
      </c>
      <c r="K1123" s="132">
        <v>0</v>
      </c>
      <c r="L1123" s="132" t="s">
        <v>48</v>
      </c>
      <c r="M1123" s="134">
        <v>0.5</v>
      </c>
      <c r="N1123" s="134">
        <v>0</v>
      </c>
      <c r="O1123" s="320">
        <v>11</v>
      </c>
      <c r="P1123" s="326">
        <v>0</v>
      </c>
      <c r="Q1123" s="326">
        <v>0</v>
      </c>
      <c r="R1123" s="315">
        <v>0</v>
      </c>
      <c r="S1123" s="315">
        <v>11</v>
      </c>
      <c r="T1123" s="315"/>
      <c r="U1123" s="315"/>
      <c r="V1123" s="315"/>
      <c r="W1123" s="315"/>
      <c r="X1123" s="315"/>
      <c r="Y1123" s="315"/>
      <c r="Z1123" s="315" t="s">
        <v>2458</v>
      </c>
      <c r="AA1123" s="336">
        <v>192</v>
      </c>
      <c r="AB1123" s="336">
        <v>70</v>
      </c>
      <c r="AC1123" s="337"/>
      <c r="AD1123" s="337"/>
      <c r="AE1123" s="336">
        <v>0</v>
      </c>
      <c r="AF1123" s="336" t="s">
        <v>286</v>
      </c>
      <c r="AG1123" s="339" t="s">
        <v>286</v>
      </c>
      <c r="AH1123" s="339"/>
      <c r="AI1123" s="336"/>
      <c r="AJ1123" s="336"/>
      <c r="AK1123" s="848">
        <v>0</v>
      </c>
      <c r="AL1123" s="836"/>
      <c r="AM1123" s="836">
        <v>341</v>
      </c>
      <c r="AN1123" s="848">
        <v>0</v>
      </c>
      <c r="AO1123" s="850">
        <v>0</v>
      </c>
      <c r="AP1123" s="839"/>
      <c r="AQ1123" s="839"/>
      <c r="AR1123" s="839"/>
      <c r="AS1123" s="839"/>
      <c r="AT1123" s="839"/>
      <c r="AU1123" s="839"/>
      <c r="AV1123" s="849"/>
      <c r="AW1123" s="134" t="s">
        <v>3208</v>
      </c>
      <c r="AX1123" s="136" t="s">
        <v>3208</v>
      </c>
      <c r="AY1123" s="137" t="s">
        <v>2576</v>
      </c>
      <c r="AZ1123" s="136">
        <v>1</v>
      </c>
      <c r="BA1123" s="136">
        <v>1</v>
      </c>
      <c r="BB1123" s="136">
        <v>1</v>
      </c>
      <c r="BC1123" s="214">
        <v>1751</v>
      </c>
      <c r="BD1123" s="136">
        <v>0</v>
      </c>
      <c r="BE1123" s="214">
        <v>0</v>
      </c>
      <c r="BF1123" s="136">
        <v>1</v>
      </c>
      <c r="BG1123" s="214">
        <v>1751</v>
      </c>
      <c r="BH1123" s="214">
        <v>3.5019999999999998</v>
      </c>
      <c r="BI1123" s="134">
        <v>0</v>
      </c>
      <c r="BJ1123" s="214">
        <v>0</v>
      </c>
      <c r="BK1123" s="137">
        <v>0.49800000000000022</v>
      </c>
      <c r="BL1123" s="137">
        <v>4</v>
      </c>
      <c r="BM1123" s="137">
        <v>262</v>
      </c>
      <c r="BN1123" s="134">
        <v>0.6579097658480868</v>
      </c>
      <c r="BO1123" s="351">
        <v>1152</v>
      </c>
      <c r="BP1123" s="134">
        <v>0.10279840091376358</v>
      </c>
      <c r="BQ1123" s="214">
        <v>30</v>
      </c>
      <c r="BR1123" s="137">
        <v>292</v>
      </c>
      <c r="BS1123" s="138">
        <v>0.26717557251908397</v>
      </c>
      <c r="BT1123" s="351" t="s">
        <v>103</v>
      </c>
      <c r="BU1123" s="214">
        <v>0</v>
      </c>
      <c r="BV1123" s="214">
        <v>0</v>
      </c>
      <c r="BW1123" s="214">
        <v>0</v>
      </c>
      <c r="BX1123" s="214">
        <v>0</v>
      </c>
      <c r="BY1123" s="214">
        <v>0</v>
      </c>
      <c r="BZ1123" s="134">
        <v>0</v>
      </c>
      <c r="CA1123" s="138">
        <v>1</v>
      </c>
      <c r="CB1123" s="136">
        <v>0</v>
      </c>
      <c r="CC1123" s="136">
        <v>0</v>
      </c>
      <c r="CD1123" s="136">
        <v>0</v>
      </c>
      <c r="CE1123" s="137">
        <v>0</v>
      </c>
      <c r="CF1123" s="137">
        <v>0</v>
      </c>
      <c r="CG1123" s="137">
        <v>0</v>
      </c>
      <c r="CH1123" s="214">
        <v>0</v>
      </c>
      <c r="CI1123" s="139">
        <v>0</v>
      </c>
      <c r="CJ1123" s="139">
        <v>0</v>
      </c>
      <c r="CK1123" s="139" t="s">
        <v>969</v>
      </c>
      <c r="CL1123" s="139" t="s">
        <v>969</v>
      </c>
      <c r="CM1123" s="139" t="s">
        <v>1054</v>
      </c>
      <c r="CN1123" s="139" t="s">
        <v>966</v>
      </c>
      <c r="CO1123" s="139">
        <v>20.335864000000001</v>
      </c>
      <c r="CP1123" s="139">
        <v>92.785706000000005</v>
      </c>
      <c r="CQ1123" s="139" t="s">
        <v>1678</v>
      </c>
      <c r="CR1123" s="449" t="s">
        <v>3209</v>
      </c>
      <c r="CS1123" s="449"/>
      <c r="CT1123" s="24"/>
      <c r="CU1123" s="24"/>
      <c r="CV1123" s="24"/>
    </row>
    <row r="1124" spans="1:100" ht="15.75" customHeight="1" x14ac:dyDescent="0.25">
      <c r="A1124" s="643" t="s">
        <v>1388</v>
      </c>
      <c r="B1124" s="132" t="s">
        <v>460</v>
      </c>
      <c r="C1124" s="132" t="s">
        <v>454</v>
      </c>
      <c r="D1124" s="132" t="s">
        <v>498</v>
      </c>
      <c r="E1124" s="132" t="s">
        <v>624</v>
      </c>
      <c r="F1124" s="132">
        <v>46</v>
      </c>
      <c r="G1124" s="214">
        <v>227</v>
      </c>
      <c r="H1124" s="132"/>
      <c r="I1124" s="132" t="s">
        <v>391</v>
      </c>
      <c r="J1124" s="133">
        <v>43220</v>
      </c>
      <c r="K1124" s="132">
        <v>0</v>
      </c>
      <c r="L1124" s="132" t="s">
        <v>282</v>
      </c>
      <c r="M1124" s="134">
        <v>0</v>
      </c>
      <c r="N1124" s="134">
        <v>0</v>
      </c>
      <c r="O1124" s="320">
        <v>3</v>
      </c>
      <c r="P1124" s="326">
        <v>0</v>
      </c>
      <c r="Q1124" s="326">
        <v>0</v>
      </c>
      <c r="R1124" s="315">
        <v>0</v>
      </c>
      <c r="S1124" s="315">
        <v>3</v>
      </c>
      <c r="T1124" s="315"/>
      <c r="U1124" s="315"/>
      <c r="V1124" s="315"/>
      <c r="W1124" s="315"/>
      <c r="X1124" s="315"/>
      <c r="Y1124" s="315"/>
      <c r="Z1124" s="315" t="s">
        <v>2458</v>
      </c>
      <c r="AA1124" s="336">
        <v>51</v>
      </c>
      <c r="AB1124" s="336">
        <v>23</v>
      </c>
      <c r="AC1124" s="337"/>
      <c r="AD1124" s="337"/>
      <c r="AE1124" s="336">
        <v>0</v>
      </c>
      <c r="AF1124" s="336" t="s">
        <v>286</v>
      </c>
      <c r="AG1124" s="339" t="s">
        <v>286</v>
      </c>
      <c r="AH1124" s="339"/>
      <c r="AI1124" s="336"/>
      <c r="AJ1124" s="336"/>
      <c r="AK1124" s="848">
        <v>0</v>
      </c>
      <c r="AL1124" s="836"/>
      <c r="AM1124" s="836">
        <v>46</v>
      </c>
      <c r="AN1124" s="848">
        <v>0</v>
      </c>
      <c r="AO1124" s="850">
        <v>0</v>
      </c>
      <c r="AP1124" s="839"/>
      <c r="AQ1124" s="839"/>
      <c r="AR1124" s="839"/>
      <c r="AS1124" s="839"/>
      <c r="AT1124" s="839"/>
      <c r="AU1124" s="839"/>
      <c r="AV1124" s="849"/>
      <c r="AW1124" s="134" t="s">
        <v>3208</v>
      </c>
      <c r="AX1124" s="136" t="s">
        <v>3208</v>
      </c>
      <c r="AY1124" s="137" t="s">
        <v>2576</v>
      </c>
      <c r="AZ1124" s="136">
        <v>1</v>
      </c>
      <c r="BA1124" s="136">
        <v>1</v>
      </c>
      <c r="BB1124" s="136">
        <v>1</v>
      </c>
      <c r="BC1124" s="214">
        <v>227</v>
      </c>
      <c r="BD1124" s="136">
        <v>0</v>
      </c>
      <c r="BE1124" s="214">
        <v>0</v>
      </c>
      <c r="BF1124" s="136">
        <v>1</v>
      </c>
      <c r="BG1124" s="214">
        <v>227</v>
      </c>
      <c r="BH1124" s="214">
        <v>0.45400000000000001</v>
      </c>
      <c r="BI1124" s="134">
        <v>0</v>
      </c>
      <c r="BJ1124" s="214">
        <v>0</v>
      </c>
      <c r="BK1124" s="137">
        <v>0.54600000000000004</v>
      </c>
      <c r="BL1124" s="137">
        <v>1</v>
      </c>
      <c r="BM1124" s="137">
        <v>74</v>
      </c>
      <c r="BN1124" s="134">
        <v>1</v>
      </c>
      <c r="BO1124" s="351">
        <v>227</v>
      </c>
      <c r="BP1124" s="134">
        <v>0</v>
      </c>
      <c r="BQ1124" s="214">
        <v>0</v>
      </c>
      <c r="BR1124" s="137">
        <v>38</v>
      </c>
      <c r="BS1124" s="138">
        <v>0.3108108108108108</v>
      </c>
      <c r="BT1124" s="351" t="s">
        <v>103</v>
      </c>
      <c r="BU1124" s="214">
        <v>0</v>
      </c>
      <c r="BV1124" s="214">
        <v>0</v>
      </c>
      <c r="BW1124" s="214">
        <v>0</v>
      </c>
      <c r="BX1124" s="214">
        <v>0</v>
      </c>
      <c r="BY1124" s="214">
        <v>0</v>
      </c>
      <c r="BZ1124" s="134">
        <v>0</v>
      </c>
      <c r="CA1124" s="138">
        <v>1</v>
      </c>
      <c r="CB1124" s="136">
        <v>0</v>
      </c>
      <c r="CC1124" s="136">
        <v>0</v>
      </c>
      <c r="CD1124" s="136">
        <v>0</v>
      </c>
      <c r="CE1124" s="137">
        <v>0</v>
      </c>
      <c r="CF1124" s="137">
        <v>0</v>
      </c>
      <c r="CG1124" s="137">
        <v>0</v>
      </c>
      <c r="CH1124" s="214">
        <v>0</v>
      </c>
      <c r="CI1124" s="139">
        <v>0</v>
      </c>
      <c r="CJ1124" s="139">
        <v>0</v>
      </c>
      <c r="CK1124" s="139" t="s">
        <v>969</v>
      </c>
      <c r="CL1124" s="139" t="s">
        <v>969</v>
      </c>
      <c r="CM1124" s="139" t="s">
        <v>969</v>
      </c>
      <c r="CN1124" s="139" t="s">
        <v>454</v>
      </c>
      <c r="CO1124" s="139">
        <v>20.339799880981399</v>
      </c>
      <c r="CP1124" s="139">
        <v>92.782653808593807</v>
      </c>
      <c r="CQ1124" s="139" t="s">
        <v>1679</v>
      </c>
      <c r="CR1124" s="449" t="s">
        <v>3209</v>
      </c>
      <c r="CS1124" s="449"/>
      <c r="CT1124" s="24"/>
      <c r="CU1124" s="24"/>
      <c r="CV1124" s="24"/>
    </row>
    <row r="1125" spans="1:100" ht="15.75" customHeight="1" x14ac:dyDescent="0.25">
      <c r="A1125" s="643" t="s">
        <v>1388</v>
      </c>
      <c r="B1125" s="132" t="s">
        <v>530</v>
      </c>
      <c r="C1125" s="132" t="s">
        <v>454</v>
      </c>
      <c r="D1125" s="132" t="s">
        <v>498</v>
      </c>
      <c r="E1125" s="132" t="s">
        <v>641</v>
      </c>
      <c r="F1125" s="132">
        <v>140</v>
      </c>
      <c r="G1125" s="214">
        <v>806</v>
      </c>
      <c r="H1125" s="132"/>
      <c r="I1125" s="132" t="s">
        <v>388</v>
      </c>
      <c r="J1125" s="133">
        <v>43343</v>
      </c>
      <c r="K1125" s="132">
        <v>0</v>
      </c>
      <c r="L1125" s="132" t="s">
        <v>48</v>
      </c>
      <c r="M1125" s="134"/>
      <c r="N1125" s="134"/>
      <c r="O1125" s="320"/>
      <c r="P1125" s="326"/>
      <c r="Q1125" s="326"/>
      <c r="R1125" s="315"/>
      <c r="S1125" s="315"/>
      <c r="T1125" s="315"/>
      <c r="U1125" s="315"/>
      <c r="V1125" s="315"/>
      <c r="W1125" s="315"/>
      <c r="X1125" s="315"/>
      <c r="Y1125" s="315"/>
      <c r="Z1125" s="315"/>
      <c r="AA1125" s="336">
        <v>2</v>
      </c>
      <c r="AB1125" s="336"/>
      <c r="AC1125" s="337"/>
      <c r="AD1125" s="337"/>
      <c r="AE1125" s="336">
        <v>2</v>
      </c>
      <c r="AF1125" s="336" t="s">
        <v>332</v>
      </c>
      <c r="AG1125" s="339" t="s">
        <v>332</v>
      </c>
      <c r="AH1125" s="339"/>
      <c r="AI1125" s="336"/>
      <c r="AJ1125" s="336"/>
      <c r="AK1125" s="848">
        <v>0</v>
      </c>
      <c r="AL1125" s="836" t="s">
        <v>284</v>
      </c>
      <c r="AM1125" s="836">
        <v>0</v>
      </c>
      <c r="AN1125" s="848">
        <v>0</v>
      </c>
      <c r="AO1125" s="850">
        <v>7</v>
      </c>
      <c r="AP1125" s="839"/>
      <c r="AQ1125" s="839"/>
      <c r="AR1125" s="839"/>
      <c r="AS1125" s="839"/>
      <c r="AT1125" s="839"/>
      <c r="AU1125" s="839"/>
      <c r="AV1125" s="849"/>
      <c r="AW1125" s="134" t="s">
        <v>3208</v>
      </c>
      <c r="AX1125" s="136" t="s">
        <v>3208</v>
      </c>
      <c r="AY1125" s="137" t="s">
        <v>2576</v>
      </c>
      <c r="AZ1125" s="136">
        <v>0</v>
      </c>
      <c r="BA1125" s="136">
        <v>0</v>
      </c>
      <c r="BB1125" s="136">
        <v>0</v>
      </c>
      <c r="BC1125" s="214">
        <v>0</v>
      </c>
      <c r="BD1125" s="136">
        <v>0</v>
      </c>
      <c r="BE1125" s="214">
        <v>0</v>
      </c>
      <c r="BF1125" s="136">
        <v>0</v>
      </c>
      <c r="BG1125" s="214">
        <v>0</v>
      </c>
      <c r="BH1125" s="214">
        <v>0</v>
      </c>
      <c r="BI1125" s="134">
        <v>1</v>
      </c>
      <c r="BJ1125" s="214">
        <v>806</v>
      </c>
      <c r="BK1125" s="137">
        <v>2</v>
      </c>
      <c r="BL1125" s="137">
        <v>2</v>
      </c>
      <c r="BM1125" s="137">
        <v>2</v>
      </c>
      <c r="BN1125" s="134">
        <v>1.488833746898263E-2</v>
      </c>
      <c r="BO1125" s="351">
        <v>12</v>
      </c>
      <c r="BP1125" s="134">
        <v>0.98263027295285355</v>
      </c>
      <c r="BQ1125" s="214">
        <v>132</v>
      </c>
      <c r="BR1125" s="137">
        <v>134</v>
      </c>
      <c r="BS1125" s="138">
        <v>0</v>
      </c>
      <c r="BT1125" s="351" t="s">
        <v>103</v>
      </c>
      <c r="BU1125" s="214">
        <v>806</v>
      </c>
      <c r="BV1125" s="214">
        <v>0</v>
      </c>
      <c r="BW1125" s="214">
        <v>1</v>
      </c>
      <c r="BX1125" s="214">
        <v>0</v>
      </c>
      <c r="BY1125" s="214">
        <v>0</v>
      </c>
      <c r="BZ1125" s="134">
        <v>0</v>
      </c>
      <c r="CA1125" s="138">
        <v>1</v>
      </c>
      <c r="CB1125" s="136">
        <v>1</v>
      </c>
      <c r="CC1125" s="136">
        <v>0</v>
      </c>
      <c r="CD1125" s="136">
        <v>0</v>
      </c>
      <c r="CE1125" s="137">
        <v>0</v>
      </c>
      <c r="CF1125" s="137">
        <v>0</v>
      </c>
      <c r="CG1125" s="137">
        <v>0</v>
      </c>
      <c r="CH1125" s="214">
        <v>0</v>
      </c>
      <c r="CI1125" s="139" t="s">
        <v>48</v>
      </c>
      <c r="CJ1125" s="139">
        <v>0</v>
      </c>
      <c r="CK1125" s="139" t="s">
        <v>969</v>
      </c>
      <c r="CL1125" s="139" t="s">
        <v>969</v>
      </c>
      <c r="CM1125" s="139" t="s">
        <v>1054</v>
      </c>
      <c r="CN1125" s="139" t="s">
        <v>454</v>
      </c>
      <c r="CO1125" s="139">
        <v>20.824777999999998</v>
      </c>
      <c r="CP1125" s="139">
        <v>92.362196999999995</v>
      </c>
      <c r="CQ1125" s="139" t="s">
        <v>1831</v>
      </c>
      <c r="CR1125" s="449" t="s">
        <v>40</v>
      </c>
      <c r="CS1125" s="449"/>
      <c r="CT1125" s="24"/>
      <c r="CU1125" s="24"/>
      <c r="CV1125" s="24"/>
    </row>
    <row r="1126" spans="1:100" ht="15.75" customHeight="1" x14ac:dyDescent="0.25">
      <c r="A1126" s="643" t="s">
        <v>1388</v>
      </c>
      <c r="B1126" s="132" t="s">
        <v>530</v>
      </c>
      <c r="C1126" s="132" t="s">
        <v>454</v>
      </c>
      <c r="D1126" s="132" t="s">
        <v>498</v>
      </c>
      <c r="E1126" s="132" t="s">
        <v>648</v>
      </c>
      <c r="F1126" s="132">
        <v>150</v>
      </c>
      <c r="G1126" s="214">
        <v>1681</v>
      </c>
      <c r="H1126" s="132"/>
      <c r="I1126" s="132" t="s">
        <v>388</v>
      </c>
      <c r="J1126" s="133">
        <v>43145</v>
      </c>
      <c r="K1126" s="132">
        <v>0</v>
      </c>
      <c r="L1126" s="132" t="s">
        <v>48</v>
      </c>
      <c r="M1126" s="134"/>
      <c r="N1126" s="134"/>
      <c r="O1126" s="320">
        <v>0</v>
      </c>
      <c r="P1126" s="326">
        <v>0</v>
      </c>
      <c r="Q1126" s="326">
        <v>0</v>
      </c>
      <c r="R1126" s="315">
        <v>4</v>
      </c>
      <c r="S1126" s="315">
        <v>0</v>
      </c>
      <c r="T1126" s="315"/>
      <c r="U1126" s="315"/>
      <c r="V1126" s="315"/>
      <c r="W1126" s="315"/>
      <c r="X1126" s="315"/>
      <c r="Y1126" s="315"/>
      <c r="Z1126" s="315"/>
      <c r="AA1126" s="336">
        <v>31</v>
      </c>
      <c r="AB1126" s="336">
        <v>0</v>
      </c>
      <c r="AC1126" s="337"/>
      <c r="AD1126" s="337"/>
      <c r="AE1126" s="336">
        <v>31</v>
      </c>
      <c r="AF1126" s="336" t="s">
        <v>332</v>
      </c>
      <c r="AG1126" s="339" t="s">
        <v>332</v>
      </c>
      <c r="AH1126" s="339"/>
      <c r="AI1126" s="336"/>
      <c r="AJ1126" s="336"/>
      <c r="AK1126" s="848">
        <v>0</v>
      </c>
      <c r="AL1126" s="836" t="s">
        <v>284</v>
      </c>
      <c r="AM1126" s="836">
        <v>0</v>
      </c>
      <c r="AN1126" s="848">
        <v>0</v>
      </c>
      <c r="AO1126" s="850">
        <v>7</v>
      </c>
      <c r="AP1126" s="839"/>
      <c r="AQ1126" s="839"/>
      <c r="AR1126" s="839"/>
      <c r="AS1126" s="839"/>
      <c r="AT1126" s="839"/>
      <c r="AU1126" s="839"/>
      <c r="AV1126" s="849"/>
      <c r="AW1126" s="134" t="s">
        <v>3208</v>
      </c>
      <c r="AX1126" s="136" t="s">
        <v>3208</v>
      </c>
      <c r="AY1126" s="137" t="s">
        <v>2576</v>
      </c>
      <c r="AZ1126" s="136">
        <v>0</v>
      </c>
      <c r="BA1126" s="136">
        <v>0</v>
      </c>
      <c r="BB1126" s="136">
        <v>0</v>
      </c>
      <c r="BC1126" s="214">
        <v>0</v>
      </c>
      <c r="BD1126" s="136">
        <v>0.59488399762046396</v>
      </c>
      <c r="BE1126" s="214">
        <v>999.99999999999989</v>
      </c>
      <c r="BF1126" s="136">
        <v>0.59488399762046396</v>
      </c>
      <c r="BG1126" s="214">
        <v>999.99999999999989</v>
      </c>
      <c r="BH1126" s="214">
        <v>1.9999999999999998</v>
      </c>
      <c r="BI1126" s="134">
        <v>0.40511600237953604</v>
      </c>
      <c r="BJ1126" s="214">
        <v>681.00000000000011</v>
      </c>
      <c r="BK1126" s="137">
        <v>1.0000000000000002</v>
      </c>
      <c r="BL1126" s="137">
        <v>3</v>
      </c>
      <c r="BM1126" s="137">
        <v>31</v>
      </c>
      <c r="BN1126" s="134">
        <v>0.11064842355740631</v>
      </c>
      <c r="BO1126" s="351">
        <v>186</v>
      </c>
      <c r="BP1126" s="134">
        <v>0.88875669244497313</v>
      </c>
      <c r="BQ1126" s="214">
        <v>249</v>
      </c>
      <c r="BR1126" s="137">
        <v>280</v>
      </c>
      <c r="BS1126" s="138">
        <v>0</v>
      </c>
      <c r="BT1126" s="351" t="s">
        <v>103</v>
      </c>
      <c r="BU1126" s="214">
        <v>1681</v>
      </c>
      <c r="BV1126" s="214">
        <v>0</v>
      </c>
      <c r="BW1126" s="214">
        <v>1</v>
      </c>
      <c r="BX1126" s="214">
        <v>0</v>
      </c>
      <c r="BY1126" s="214">
        <v>0</v>
      </c>
      <c r="BZ1126" s="134">
        <v>0</v>
      </c>
      <c r="CA1126" s="138">
        <v>1</v>
      </c>
      <c r="CB1126" s="136">
        <v>1</v>
      </c>
      <c r="CC1126" s="136">
        <v>0</v>
      </c>
      <c r="CD1126" s="136">
        <v>0</v>
      </c>
      <c r="CE1126" s="137">
        <v>0</v>
      </c>
      <c r="CF1126" s="137">
        <v>0</v>
      </c>
      <c r="CG1126" s="137">
        <v>0</v>
      </c>
      <c r="CH1126" s="214">
        <v>0</v>
      </c>
      <c r="CI1126" s="139">
        <v>0</v>
      </c>
      <c r="CJ1126" s="139">
        <v>0</v>
      </c>
      <c r="CK1126" s="139" t="s">
        <v>969</v>
      </c>
      <c r="CL1126" s="139" t="s">
        <v>969</v>
      </c>
      <c r="CM1126" s="139" t="s">
        <v>969</v>
      </c>
      <c r="CN1126" s="139" t="s">
        <v>454</v>
      </c>
      <c r="CO1126" s="139">
        <v>20.486930847168001</v>
      </c>
      <c r="CP1126" s="139">
        <v>92.662757873535199</v>
      </c>
      <c r="CQ1126" s="139">
        <v>197614</v>
      </c>
      <c r="CR1126" s="449" t="s">
        <v>40</v>
      </c>
      <c r="CS1126" s="449"/>
      <c r="CT1126" s="24"/>
      <c r="CU1126" s="24"/>
      <c r="CV1126" s="24"/>
    </row>
    <row r="1127" spans="1:100" ht="15.75" customHeight="1" x14ac:dyDescent="0.25">
      <c r="A1127" s="643" t="s">
        <v>1388</v>
      </c>
      <c r="B1127" s="132" t="s">
        <v>530</v>
      </c>
      <c r="C1127" s="132" t="s">
        <v>454</v>
      </c>
      <c r="D1127" s="132" t="s">
        <v>498</v>
      </c>
      <c r="E1127" s="132" t="s">
        <v>645</v>
      </c>
      <c r="F1127" s="132">
        <v>124</v>
      </c>
      <c r="G1127" s="214">
        <v>705</v>
      </c>
      <c r="H1127" s="132"/>
      <c r="I1127" s="132" t="s">
        <v>388</v>
      </c>
      <c r="J1127" s="133">
        <v>43145</v>
      </c>
      <c r="K1127" s="132">
        <v>0</v>
      </c>
      <c r="L1127" s="132" t="s">
        <v>48</v>
      </c>
      <c r="M1127" s="134"/>
      <c r="N1127" s="134"/>
      <c r="O1127" s="320">
        <v>0</v>
      </c>
      <c r="P1127" s="326">
        <v>1</v>
      </c>
      <c r="Q1127" s="326">
        <v>0</v>
      </c>
      <c r="R1127" s="315">
        <v>8</v>
      </c>
      <c r="S1127" s="315">
        <v>0</v>
      </c>
      <c r="T1127" s="315"/>
      <c r="U1127" s="315"/>
      <c r="V1127" s="315"/>
      <c r="W1127" s="315"/>
      <c r="X1127" s="315"/>
      <c r="Y1127" s="315"/>
      <c r="Z1127" s="315"/>
      <c r="AA1127" s="336">
        <v>57</v>
      </c>
      <c r="AB1127" s="336">
        <v>0</v>
      </c>
      <c r="AC1127" s="337"/>
      <c r="AD1127" s="337"/>
      <c r="AE1127" s="336">
        <v>57</v>
      </c>
      <c r="AF1127" s="336" t="s">
        <v>332</v>
      </c>
      <c r="AG1127" s="339" t="s">
        <v>332</v>
      </c>
      <c r="AH1127" s="339"/>
      <c r="AI1127" s="336"/>
      <c r="AJ1127" s="336"/>
      <c r="AK1127" s="848">
        <v>0</v>
      </c>
      <c r="AL1127" s="836" t="s">
        <v>284</v>
      </c>
      <c r="AM1127" s="836">
        <v>0</v>
      </c>
      <c r="AN1127" s="848">
        <v>0</v>
      </c>
      <c r="AO1127" s="850">
        <v>7</v>
      </c>
      <c r="AP1127" s="839"/>
      <c r="AQ1127" s="839"/>
      <c r="AR1127" s="839"/>
      <c r="AS1127" s="839"/>
      <c r="AT1127" s="839"/>
      <c r="AU1127" s="839"/>
      <c r="AV1127" s="849"/>
      <c r="AW1127" s="134" t="s">
        <v>3208</v>
      </c>
      <c r="AX1127" s="136" t="s">
        <v>3208</v>
      </c>
      <c r="AY1127" s="137" t="s">
        <v>2576</v>
      </c>
      <c r="AZ1127" s="136">
        <v>1</v>
      </c>
      <c r="BA1127" s="136">
        <v>0.3546099290780142</v>
      </c>
      <c r="BB1127" s="136">
        <v>0.3546099290780142</v>
      </c>
      <c r="BC1127" s="214">
        <v>250</v>
      </c>
      <c r="BD1127" s="136">
        <v>1</v>
      </c>
      <c r="BE1127" s="214">
        <v>705</v>
      </c>
      <c r="BF1127" s="136">
        <v>1</v>
      </c>
      <c r="BG1127" s="214">
        <v>705</v>
      </c>
      <c r="BH1127" s="214">
        <v>1.41</v>
      </c>
      <c r="BI1127" s="134">
        <v>0</v>
      </c>
      <c r="BJ1127" s="214">
        <v>0</v>
      </c>
      <c r="BK1127" s="137">
        <v>0</v>
      </c>
      <c r="BL1127" s="137">
        <v>1</v>
      </c>
      <c r="BM1127" s="137">
        <v>57</v>
      </c>
      <c r="BN1127" s="134">
        <v>0.48510638297872338</v>
      </c>
      <c r="BO1127" s="351">
        <v>342</v>
      </c>
      <c r="BP1127" s="134">
        <v>0.51914893617021274</v>
      </c>
      <c r="BQ1127" s="214">
        <v>61</v>
      </c>
      <c r="BR1127" s="137">
        <v>118</v>
      </c>
      <c r="BS1127" s="138">
        <v>0</v>
      </c>
      <c r="BT1127" s="351" t="s">
        <v>103</v>
      </c>
      <c r="BU1127" s="214">
        <v>705</v>
      </c>
      <c r="BV1127" s="214">
        <v>0</v>
      </c>
      <c r="BW1127" s="214">
        <v>1</v>
      </c>
      <c r="BX1127" s="214">
        <v>0</v>
      </c>
      <c r="BY1127" s="214">
        <v>0</v>
      </c>
      <c r="BZ1127" s="134">
        <v>0</v>
      </c>
      <c r="CA1127" s="138">
        <v>1</v>
      </c>
      <c r="CB1127" s="136">
        <v>1</v>
      </c>
      <c r="CC1127" s="136">
        <v>0</v>
      </c>
      <c r="CD1127" s="136">
        <v>0</v>
      </c>
      <c r="CE1127" s="137">
        <v>0</v>
      </c>
      <c r="CF1127" s="137">
        <v>0</v>
      </c>
      <c r="CG1127" s="137">
        <v>0</v>
      </c>
      <c r="CH1127" s="214">
        <v>0</v>
      </c>
      <c r="CI1127" s="139">
        <v>0</v>
      </c>
      <c r="CJ1127" s="139">
        <v>0</v>
      </c>
      <c r="CK1127" s="139" t="s">
        <v>969</v>
      </c>
      <c r="CL1127" s="139" t="s">
        <v>969</v>
      </c>
      <c r="CM1127" s="139" t="s">
        <v>969</v>
      </c>
      <c r="CN1127" s="139" t="s">
        <v>454</v>
      </c>
      <c r="CO1127" s="139">
        <v>20.478969573974599</v>
      </c>
      <c r="CP1127" s="139">
        <v>92.683746337890597</v>
      </c>
      <c r="CQ1127" s="139">
        <v>197617</v>
      </c>
      <c r="CR1127" s="449" t="s">
        <v>40</v>
      </c>
      <c r="CS1127" s="449"/>
      <c r="CT1127" s="24"/>
      <c r="CU1127" s="24"/>
      <c r="CV1127" s="24"/>
    </row>
    <row r="1128" spans="1:100" ht="15.75" customHeight="1" x14ac:dyDescent="0.25">
      <c r="A1128" s="643" t="s">
        <v>1388</v>
      </c>
      <c r="B1128" s="132" t="s">
        <v>530</v>
      </c>
      <c r="C1128" s="132" t="s">
        <v>454</v>
      </c>
      <c r="D1128" s="132" t="s">
        <v>498</v>
      </c>
      <c r="E1128" s="132" t="s">
        <v>642</v>
      </c>
      <c r="F1128" s="132">
        <v>20</v>
      </c>
      <c r="G1128" s="214">
        <v>102</v>
      </c>
      <c r="H1128" s="132"/>
      <c r="I1128" s="132" t="s">
        <v>388</v>
      </c>
      <c r="J1128" s="133">
        <v>43145</v>
      </c>
      <c r="K1128" s="132">
        <v>0</v>
      </c>
      <c r="L1128" s="132" t="s">
        <v>48</v>
      </c>
      <c r="M1128" s="134"/>
      <c r="N1128" s="134"/>
      <c r="O1128" s="320">
        <v>0</v>
      </c>
      <c r="P1128" s="326">
        <v>0</v>
      </c>
      <c r="Q1128" s="326">
        <v>0</v>
      </c>
      <c r="R1128" s="315">
        <v>2</v>
      </c>
      <c r="S1128" s="315">
        <v>0</v>
      </c>
      <c r="T1128" s="315"/>
      <c r="U1128" s="315"/>
      <c r="V1128" s="315"/>
      <c r="W1128" s="315"/>
      <c r="X1128" s="315"/>
      <c r="Y1128" s="315"/>
      <c r="Z1128" s="315"/>
      <c r="AA1128" s="336">
        <v>10</v>
      </c>
      <c r="AB1128" s="336">
        <v>0</v>
      </c>
      <c r="AC1128" s="337"/>
      <c r="AD1128" s="337"/>
      <c r="AE1128" s="336">
        <v>10</v>
      </c>
      <c r="AF1128" s="336" t="s">
        <v>332</v>
      </c>
      <c r="AG1128" s="339" t="s">
        <v>332</v>
      </c>
      <c r="AH1128" s="339"/>
      <c r="AI1128" s="336"/>
      <c r="AJ1128" s="336"/>
      <c r="AK1128" s="848">
        <v>0</v>
      </c>
      <c r="AL1128" s="836" t="s">
        <v>284</v>
      </c>
      <c r="AM1128" s="836">
        <v>0</v>
      </c>
      <c r="AN1128" s="848">
        <v>0</v>
      </c>
      <c r="AO1128" s="850">
        <v>7</v>
      </c>
      <c r="AP1128" s="839"/>
      <c r="AQ1128" s="839"/>
      <c r="AR1128" s="839"/>
      <c r="AS1128" s="839"/>
      <c r="AT1128" s="839"/>
      <c r="AU1128" s="839"/>
      <c r="AV1128" s="849"/>
      <c r="AW1128" s="134" t="s">
        <v>3208</v>
      </c>
      <c r="AX1128" s="136" t="s">
        <v>3208</v>
      </c>
      <c r="AY1128" s="137" t="s">
        <v>2576</v>
      </c>
      <c r="AZ1128" s="136">
        <v>0</v>
      </c>
      <c r="BA1128" s="136">
        <v>0</v>
      </c>
      <c r="BB1128" s="136">
        <v>0</v>
      </c>
      <c r="BC1128" s="214">
        <v>0</v>
      </c>
      <c r="BD1128" s="136">
        <v>1</v>
      </c>
      <c r="BE1128" s="214">
        <v>102</v>
      </c>
      <c r="BF1128" s="136">
        <v>1</v>
      </c>
      <c r="BG1128" s="214">
        <v>102</v>
      </c>
      <c r="BH1128" s="214">
        <v>0.20399999999999999</v>
      </c>
      <c r="BI1128" s="134">
        <v>0</v>
      </c>
      <c r="BJ1128" s="214">
        <v>0</v>
      </c>
      <c r="BK1128" s="137">
        <v>0.79600000000000004</v>
      </c>
      <c r="BL1128" s="137">
        <v>1</v>
      </c>
      <c r="BM1128" s="137">
        <v>10</v>
      </c>
      <c r="BN1128" s="134">
        <v>0.58823529411764708</v>
      </c>
      <c r="BO1128" s="351">
        <v>60</v>
      </c>
      <c r="BP1128" s="134">
        <v>0.41176470588235292</v>
      </c>
      <c r="BQ1128" s="214">
        <v>7</v>
      </c>
      <c r="BR1128" s="137">
        <v>17</v>
      </c>
      <c r="BS1128" s="138">
        <v>0</v>
      </c>
      <c r="BT1128" s="351" t="s">
        <v>103</v>
      </c>
      <c r="BU1128" s="214">
        <v>102</v>
      </c>
      <c r="BV1128" s="214">
        <v>0</v>
      </c>
      <c r="BW1128" s="214">
        <v>1</v>
      </c>
      <c r="BX1128" s="214">
        <v>0</v>
      </c>
      <c r="BY1128" s="214">
        <v>0</v>
      </c>
      <c r="BZ1128" s="134">
        <v>0</v>
      </c>
      <c r="CA1128" s="138">
        <v>1</v>
      </c>
      <c r="CB1128" s="136">
        <v>1</v>
      </c>
      <c r="CC1128" s="136">
        <v>0</v>
      </c>
      <c r="CD1128" s="136">
        <v>0</v>
      </c>
      <c r="CE1128" s="137">
        <v>0</v>
      </c>
      <c r="CF1128" s="137">
        <v>0</v>
      </c>
      <c r="CG1128" s="137">
        <v>0</v>
      </c>
      <c r="CH1128" s="214">
        <v>0</v>
      </c>
      <c r="CI1128" s="139">
        <v>0</v>
      </c>
      <c r="CJ1128" s="139">
        <v>0</v>
      </c>
      <c r="CK1128" s="139" t="s">
        <v>969</v>
      </c>
      <c r="CL1128" s="139" t="s">
        <v>969</v>
      </c>
      <c r="CM1128" s="139" t="s">
        <v>969</v>
      </c>
      <c r="CN1128" s="139" t="s">
        <v>454</v>
      </c>
      <c r="CO1128" s="139">
        <v>20.46994972229</v>
      </c>
      <c r="CP1128" s="139">
        <v>92.676437377929702</v>
      </c>
      <c r="CQ1128" s="139">
        <v>197632</v>
      </c>
      <c r="CR1128" s="449" t="s">
        <v>40</v>
      </c>
      <c r="CS1128" s="449"/>
      <c r="CT1128" s="24"/>
      <c r="CU1128" s="24"/>
      <c r="CV1128" s="24"/>
    </row>
    <row r="1129" spans="1:100" ht="15.75" customHeight="1" x14ac:dyDescent="0.25">
      <c r="A1129" s="643" t="s">
        <v>1388</v>
      </c>
      <c r="B1129" s="132" t="s">
        <v>453</v>
      </c>
      <c r="C1129" s="132" t="s">
        <v>454</v>
      </c>
      <c r="D1129" s="132" t="s">
        <v>455</v>
      </c>
      <c r="E1129" s="132" t="s">
        <v>456</v>
      </c>
      <c r="F1129" s="132">
        <v>43</v>
      </c>
      <c r="G1129" s="214">
        <v>213</v>
      </c>
      <c r="H1129" s="132"/>
      <c r="I1129" s="132"/>
      <c r="J1129" s="133"/>
      <c r="K1129" s="132"/>
      <c r="L1129" s="132"/>
      <c r="M1129" s="134"/>
      <c r="N1129" s="134"/>
      <c r="O1129" s="320">
        <v>0</v>
      </c>
      <c r="P1129" s="326">
        <v>5</v>
      </c>
      <c r="Q1129" s="326"/>
      <c r="R1129" s="315"/>
      <c r="S1129" s="315"/>
      <c r="T1129" s="315"/>
      <c r="U1129" s="315"/>
      <c r="V1129" s="315"/>
      <c r="W1129" s="315"/>
      <c r="X1129" s="315"/>
      <c r="Y1129" s="315"/>
      <c r="Z1129" s="315"/>
      <c r="AA1129" s="336">
        <v>0</v>
      </c>
      <c r="AB1129" s="336"/>
      <c r="AC1129" s="337"/>
      <c r="AD1129" s="337"/>
      <c r="AE1129" s="336"/>
      <c r="AF1129" s="336" t="s">
        <v>286</v>
      </c>
      <c r="AG1129" s="339" t="s">
        <v>286</v>
      </c>
      <c r="AH1129" s="339"/>
      <c r="AI1129" s="336"/>
      <c r="AJ1129" s="336"/>
      <c r="AK1129" s="848"/>
      <c r="AL1129" s="836"/>
      <c r="AM1129" s="836"/>
      <c r="AN1129" s="848"/>
      <c r="AO1129" s="850"/>
      <c r="AP1129" s="839"/>
      <c r="AQ1129" s="839"/>
      <c r="AR1129" s="839"/>
      <c r="AS1129" s="839"/>
      <c r="AT1129" s="839"/>
      <c r="AU1129" s="839"/>
      <c r="AV1129" s="849"/>
      <c r="AW1129" s="134" t="s">
        <v>3208</v>
      </c>
      <c r="AX1129" s="136" t="s">
        <v>3208</v>
      </c>
      <c r="AY1129" s="137" t="s">
        <v>2576</v>
      </c>
      <c r="AZ1129" s="136">
        <v>1</v>
      </c>
      <c r="BA1129" s="136">
        <v>1</v>
      </c>
      <c r="BB1129" s="136">
        <v>1</v>
      </c>
      <c r="BC1129" s="214">
        <v>213</v>
      </c>
      <c r="BD1129" s="136">
        <v>0</v>
      </c>
      <c r="BE1129" s="214">
        <v>0</v>
      </c>
      <c r="BF1129" s="136">
        <v>1</v>
      </c>
      <c r="BG1129" s="214">
        <v>213</v>
      </c>
      <c r="BH1129" s="214">
        <v>0.42599999999999999</v>
      </c>
      <c r="BI1129" s="134">
        <v>0</v>
      </c>
      <c r="BJ1129" s="214">
        <v>0</v>
      </c>
      <c r="BK1129" s="137">
        <v>0.57400000000000007</v>
      </c>
      <c r="BL1129" s="137">
        <v>1</v>
      </c>
      <c r="BM1129" s="137">
        <v>0</v>
      </c>
      <c r="BN1129" s="134">
        <v>0</v>
      </c>
      <c r="BO1129" s="351">
        <v>0</v>
      </c>
      <c r="BP1129" s="134">
        <v>1</v>
      </c>
      <c r="BQ1129" s="214">
        <v>36</v>
      </c>
      <c r="BR1129" s="137">
        <v>36</v>
      </c>
      <c r="BS1129" s="138">
        <v>0</v>
      </c>
      <c r="BT1129" s="351" t="s">
        <v>103</v>
      </c>
      <c r="BU1129" s="214">
        <v>0</v>
      </c>
      <c r="BV1129" s="214">
        <v>0</v>
      </c>
      <c r="BW1129" s="214">
        <v>0</v>
      </c>
      <c r="BX1129" s="214">
        <v>0</v>
      </c>
      <c r="BY1129" s="214">
        <v>0</v>
      </c>
      <c r="BZ1129" s="134">
        <v>0</v>
      </c>
      <c r="CA1129" s="138">
        <v>1</v>
      </c>
      <c r="CB1129" s="136">
        <v>0</v>
      </c>
      <c r="CC1129" s="136">
        <v>0</v>
      </c>
      <c r="CD1129" s="136">
        <v>0</v>
      </c>
      <c r="CE1129" s="137">
        <v>0</v>
      </c>
      <c r="CF1129" s="137">
        <v>0</v>
      </c>
      <c r="CG1129" s="137">
        <v>0</v>
      </c>
      <c r="CH1129" s="214">
        <v>0</v>
      </c>
      <c r="CI1129" s="139">
        <v>0</v>
      </c>
      <c r="CJ1129" s="139">
        <v>0</v>
      </c>
      <c r="CK1129" s="139" t="s">
        <v>975</v>
      </c>
      <c r="CL1129" s="139" t="s">
        <v>969</v>
      </c>
      <c r="CM1129" s="139" t="s">
        <v>975</v>
      </c>
      <c r="CN1129" s="139" t="s">
        <v>966</v>
      </c>
      <c r="CO1129" s="139">
        <v>0</v>
      </c>
      <c r="CP1129" s="139">
        <v>0</v>
      </c>
      <c r="CQ1129" s="139">
        <v>0</v>
      </c>
      <c r="CR1129" s="449" t="s">
        <v>40</v>
      </c>
      <c r="CS1129" s="449"/>
      <c r="CT1129" s="24"/>
      <c r="CU1129" s="24"/>
      <c r="CV1129" s="24"/>
    </row>
    <row r="1130" spans="1:100" ht="15.75" customHeight="1" x14ac:dyDescent="0.25">
      <c r="A1130" s="643" t="s">
        <v>1388</v>
      </c>
      <c r="B1130" s="132" t="s">
        <v>460</v>
      </c>
      <c r="C1130" s="132" t="s">
        <v>454</v>
      </c>
      <c r="D1130" s="132" t="s">
        <v>455</v>
      </c>
      <c r="E1130" s="132" t="s">
        <v>614</v>
      </c>
      <c r="F1130" s="132">
        <v>373</v>
      </c>
      <c r="G1130" s="214">
        <v>1867</v>
      </c>
      <c r="H1130" s="132"/>
      <c r="I1130" s="132"/>
      <c r="J1130" s="133"/>
      <c r="K1130" s="132"/>
      <c r="L1130" s="132" t="s">
        <v>282</v>
      </c>
      <c r="M1130" s="134">
        <v>0</v>
      </c>
      <c r="N1130" s="134">
        <v>0</v>
      </c>
      <c r="O1130" s="320">
        <v>10</v>
      </c>
      <c r="P1130" s="326">
        <v>6</v>
      </c>
      <c r="Q1130" s="326"/>
      <c r="R1130" s="315"/>
      <c r="S1130" s="315">
        <v>0</v>
      </c>
      <c r="T1130" s="315"/>
      <c r="U1130" s="315"/>
      <c r="V1130" s="315"/>
      <c r="W1130" s="315"/>
      <c r="X1130" s="315"/>
      <c r="Y1130" s="315"/>
      <c r="Z1130" s="315"/>
      <c r="AA1130" s="336">
        <v>68</v>
      </c>
      <c r="AB1130" s="336"/>
      <c r="AC1130" s="337"/>
      <c r="AD1130" s="337"/>
      <c r="AE1130" s="336">
        <v>0</v>
      </c>
      <c r="AF1130" s="336" t="s">
        <v>332</v>
      </c>
      <c r="AG1130" s="339" t="s">
        <v>332</v>
      </c>
      <c r="AH1130" s="339"/>
      <c r="AI1130" s="336"/>
      <c r="AJ1130" s="336"/>
      <c r="AK1130" s="848">
        <v>0</v>
      </c>
      <c r="AL1130" s="836"/>
      <c r="AM1130" s="836">
        <v>0</v>
      </c>
      <c r="AN1130" s="848"/>
      <c r="AO1130" s="850">
        <v>0</v>
      </c>
      <c r="AP1130" s="839"/>
      <c r="AQ1130" s="839"/>
      <c r="AR1130" s="839"/>
      <c r="AS1130" s="839"/>
      <c r="AT1130" s="839"/>
      <c r="AU1130" s="839"/>
      <c r="AV1130" s="849"/>
      <c r="AW1130" s="134" t="s">
        <v>3208</v>
      </c>
      <c r="AX1130" s="136" t="s">
        <v>3208</v>
      </c>
      <c r="AY1130" s="137" t="s">
        <v>2576</v>
      </c>
      <c r="AZ1130" s="136">
        <v>1</v>
      </c>
      <c r="BA1130" s="136">
        <v>1</v>
      </c>
      <c r="BB1130" s="136">
        <v>1</v>
      </c>
      <c r="BC1130" s="214">
        <v>1867</v>
      </c>
      <c r="BD1130" s="136">
        <v>0</v>
      </c>
      <c r="BE1130" s="214">
        <v>0</v>
      </c>
      <c r="BF1130" s="136">
        <v>1</v>
      </c>
      <c r="BG1130" s="214">
        <v>1867</v>
      </c>
      <c r="BH1130" s="214">
        <v>3.734</v>
      </c>
      <c r="BI1130" s="134">
        <v>0</v>
      </c>
      <c r="BJ1130" s="214">
        <v>0</v>
      </c>
      <c r="BK1130" s="137">
        <v>0.26600000000000001</v>
      </c>
      <c r="BL1130" s="137">
        <v>4</v>
      </c>
      <c r="BM1130" s="137">
        <v>68</v>
      </c>
      <c r="BN1130" s="134">
        <v>0.21853240492769149</v>
      </c>
      <c r="BO1130" s="351">
        <v>408</v>
      </c>
      <c r="BP1130" s="134">
        <v>0.78093197643277978</v>
      </c>
      <c r="BQ1130" s="214">
        <v>243</v>
      </c>
      <c r="BR1130" s="137">
        <v>311</v>
      </c>
      <c r="BS1130" s="138">
        <v>0</v>
      </c>
      <c r="BT1130" s="351" t="s">
        <v>103</v>
      </c>
      <c r="BU1130" s="214">
        <v>0</v>
      </c>
      <c r="BV1130" s="214">
        <v>0</v>
      </c>
      <c r="BW1130" s="214">
        <v>0</v>
      </c>
      <c r="BX1130" s="214">
        <v>0</v>
      </c>
      <c r="BY1130" s="214">
        <v>0</v>
      </c>
      <c r="BZ1130" s="134">
        <v>0</v>
      </c>
      <c r="CA1130" s="138">
        <v>1</v>
      </c>
      <c r="CB1130" s="136">
        <v>0</v>
      </c>
      <c r="CC1130" s="136">
        <v>0</v>
      </c>
      <c r="CD1130" s="136">
        <v>0</v>
      </c>
      <c r="CE1130" s="137">
        <v>0</v>
      </c>
      <c r="CF1130" s="137">
        <v>0</v>
      </c>
      <c r="CG1130" s="137">
        <v>0</v>
      </c>
      <c r="CH1130" s="214">
        <v>0</v>
      </c>
      <c r="CI1130" s="139">
        <v>0</v>
      </c>
      <c r="CJ1130" s="139">
        <v>0</v>
      </c>
      <c r="CK1130" s="139" t="s">
        <v>969</v>
      </c>
      <c r="CL1130" s="139" t="s">
        <v>969</v>
      </c>
      <c r="CM1130" s="139" t="s">
        <v>969</v>
      </c>
      <c r="CN1130" s="139" t="s">
        <v>966</v>
      </c>
      <c r="CO1130" s="139">
        <v>20.235199999999999</v>
      </c>
      <c r="CP1130" s="139">
        <v>92.805000000000007</v>
      </c>
      <c r="CQ1130" s="139" t="s">
        <v>1670</v>
      </c>
      <c r="CR1130" s="449" t="s">
        <v>3209</v>
      </c>
      <c r="CS1130" s="449"/>
      <c r="CT1130" s="24"/>
      <c r="CU1130" s="24"/>
      <c r="CV1130" s="24"/>
    </row>
    <row r="1131" spans="1:100" ht="15.75" customHeight="1" x14ac:dyDescent="0.25">
      <c r="A1131" s="643" t="s">
        <v>1388</v>
      </c>
      <c r="B1131" s="132" t="s">
        <v>447</v>
      </c>
      <c r="C1131" s="132" t="s">
        <v>454</v>
      </c>
      <c r="D1131" s="132" t="s">
        <v>455</v>
      </c>
      <c r="E1131" s="132" t="s">
        <v>615</v>
      </c>
      <c r="F1131" s="132">
        <v>380</v>
      </c>
      <c r="G1131" s="214">
        <v>1813</v>
      </c>
      <c r="H1131" s="132"/>
      <c r="I1131" s="132" t="s">
        <v>449</v>
      </c>
      <c r="J1131" s="133">
        <v>43356</v>
      </c>
      <c r="K1131" s="132">
        <v>0</v>
      </c>
      <c r="L1131" s="132" t="s">
        <v>282</v>
      </c>
      <c r="M1131" s="134">
        <v>0</v>
      </c>
      <c r="N1131" s="134">
        <v>0</v>
      </c>
      <c r="O1131" s="320">
        <v>8</v>
      </c>
      <c r="P1131" s="326">
        <v>30</v>
      </c>
      <c r="Q1131" s="326">
        <v>0</v>
      </c>
      <c r="R1131" s="315">
        <v>0</v>
      </c>
      <c r="S1131" s="315">
        <v>0</v>
      </c>
      <c r="T1131" s="315"/>
      <c r="U1131" s="315">
        <v>0</v>
      </c>
      <c r="V1131" s="315">
        <v>0</v>
      </c>
      <c r="W1131" s="315">
        <v>0</v>
      </c>
      <c r="X1131" s="315">
        <v>0</v>
      </c>
      <c r="Y1131" s="315">
        <v>0</v>
      </c>
      <c r="Z1131" s="315"/>
      <c r="AA1131" s="336">
        <v>113</v>
      </c>
      <c r="AB1131" s="336">
        <v>0</v>
      </c>
      <c r="AC1131" s="337">
        <v>0</v>
      </c>
      <c r="AD1131" s="337"/>
      <c r="AE1131" s="336">
        <v>0</v>
      </c>
      <c r="AF1131" s="336" t="s">
        <v>286</v>
      </c>
      <c r="AG1131" s="339" t="s">
        <v>286</v>
      </c>
      <c r="AH1131" s="339">
        <v>0</v>
      </c>
      <c r="AI1131" s="336">
        <v>0</v>
      </c>
      <c r="AJ1131" s="336"/>
      <c r="AK1131" s="848">
        <v>0</v>
      </c>
      <c r="AL1131" s="836" t="s">
        <v>284</v>
      </c>
      <c r="AM1131" s="836">
        <v>0</v>
      </c>
      <c r="AN1131" s="848">
        <v>0</v>
      </c>
      <c r="AO1131" s="850">
        <v>1</v>
      </c>
      <c r="AP1131" s="839">
        <v>0</v>
      </c>
      <c r="AQ1131" s="839">
        <v>0</v>
      </c>
      <c r="AR1131" s="839"/>
      <c r="AS1131" s="839"/>
      <c r="AT1131" s="839"/>
      <c r="AU1131" s="839"/>
      <c r="AV1131" s="849"/>
      <c r="AW1131" s="134" t="s">
        <v>3208</v>
      </c>
      <c r="AX1131" s="136" t="s">
        <v>3208</v>
      </c>
      <c r="AY1131" s="137" t="s">
        <v>2576</v>
      </c>
      <c r="AZ1131" s="136">
        <v>1</v>
      </c>
      <c r="BA1131" s="136">
        <v>1</v>
      </c>
      <c r="BB1131" s="136">
        <v>1</v>
      </c>
      <c r="BC1131" s="214">
        <v>1813</v>
      </c>
      <c r="BD1131" s="136">
        <v>0</v>
      </c>
      <c r="BE1131" s="214">
        <v>0</v>
      </c>
      <c r="BF1131" s="136">
        <v>1</v>
      </c>
      <c r="BG1131" s="214">
        <v>1813</v>
      </c>
      <c r="BH1131" s="214">
        <v>3.6259999999999999</v>
      </c>
      <c r="BI1131" s="134">
        <v>0</v>
      </c>
      <c r="BJ1131" s="214">
        <v>0</v>
      </c>
      <c r="BK1131" s="137">
        <v>0.37400000000000011</v>
      </c>
      <c r="BL1131" s="137">
        <v>4</v>
      </c>
      <c r="BM1131" s="137">
        <v>113</v>
      </c>
      <c r="BN1131" s="134">
        <v>0.37396580253723111</v>
      </c>
      <c r="BO1131" s="351">
        <v>678</v>
      </c>
      <c r="BP1131" s="134">
        <v>0.62548262548262545</v>
      </c>
      <c r="BQ1131" s="214">
        <v>189</v>
      </c>
      <c r="BR1131" s="137">
        <v>302</v>
      </c>
      <c r="BS1131" s="138">
        <v>0</v>
      </c>
      <c r="BT1131" s="351" t="s">
        <v>103</v>
      </c>
      <c r="BU1131" s="214">
        <v>500</v>
      </c>
      <c r="BV1131" s="214">
        <v>0</v>
      </c>
      <c r="BW1131" s="214">
        <v>0</v>
      </c>
      <c r="BX1131" s="214">
        <v>0</v>
      </c>
      <c r="BY1131" s="214">
        <v>0</v>
      </c>
      <c r="BZ1131" s="134">
        <v>0</v>
      </c>
      <c r="CA1131" s="138">
        <v>1</v>
      </c>
      <c r="CB1131" s="136">
        <v>0.27578599007170435</v>
      </c>
      <c r="CC1131" s="136">
        <v>0</v>
      </c>
      <c r="CD1131" s="136">
        <v>0</v>
      </c>
      <c r="CE1131" s="137">
        <v>0</v>
      </c>
      <c r="CF1131" s="137">
        <v>0</v>
      </c>
      <c r="CG1131" s="137">
        <v>0</v>
      </c>
      <c r="CH1131" s="214">
        <v>0</v>
      </c>
      <c r="CI1131" s="139">
        <v>0</v>
      </c>
      <c r="CJ1131" s="139">
        <v>0</v>
      </c>
      <c r="CK1131" s="139" t="s">
        <v>969</v>
      </c>
      <c r="CL1131" s="139" t="s">
        <v>969</v>
      </c>
      <c r="CM1131" s="139" t="s">
        <v>969</v>
      </c>
      <c r="CN1131" s="139" t="s">
        <v>454</v>
      </c>
      <c r="CO1131" s="139">
        <v>20.235199999999999</v>
      </c>
      <c r="CP1131" s="139">
        <v>92.790199999999999</v>
      </c>
      <c r="CQ1131" s="139" t="s">
        <v>1671</v>
      </c>
      <c r="CR1131" s="449" t="s">
        <v>40</v>
      </c>
      <c r="CS1131" s="449"/>
      <c r="CT1131" s="24"/>
      <c r="CU1131" s="24"/>
      <c r="CV1131" s="24"/>
    </row>
    <row r="1132" spans="1:100" ht="15.75" customHeight="1" x14ac:dyDescent="0.25">
      <c r="A1132" s="643" t="s">
        <v>1388</v>
      </c>
      <c r="B1132" s="132" t="s">
        <v>447</v>
      </c>
      <c r="C1132" s="132" t="s">
        <v>454</v>
      </c>
      <c r="D1132" s="132" t="s">
        <v>455</v>
      </c>
      <c r="E1132" s="132" t="s">
        <v>575</v>
      </c>
      <c r="F1132" s="132">
        <v>615</v>
      </c>
      <c r="G1132" s="214">
        <v>2985</v>
      </c>
      <c r="H1132" s="132"/>
      <c r="I1132" s="132" t="s">
        <v>449</v>
      </c>
      <c r="J1132" s="133">
        <v>43356</v>
      </c>
      <c r="K1132" s="132">
        <v>0</v>
      </c>
      <c r="L1132" s="132" t="s">
        <v>282</v>
      </c>
      <c r="M1132" s="134">
        <v>0</v>
      </c>
      <c r="N1132" s="134">
        <v>0</v>
      </c>
      <c r="O1132" s="320">
        <v>9</v>
      </c>
      <c r="P1132" s="326">
        <v>62</v>
      </c>
      <c r="Q1132" s="326">
        <v>0</v>
      </c>
      <c r="R1132" s="315">
        <v>0</v>
      </c>
      <c r="S1132" s="315">
        <v>0</v>
      </c>
      <c r="T1132" s="315"/>
      <c r="U1132" s="315">
        <v>0</v>
      </c>
      <c r="V1132" s="315">
        <v>0</v>
      </c>
      <c r="W1132" s="315">
        <v>0</v>
      </c>
      <c r="X1132" s="315">
        <v>0</v>
      </c>
      <c r="Y1132" s="315">
        <v>0</v>
      </c>
      <c r="Z1132" s="315"/>
      <c r="AA1132" s="336">
        <v>2</v>
      </c>
      <c r="AB1132" s="336">
        <v>0</v>
      </c>
      <c r="AC1132" s="337">
        <v>0</v>
      </c>
      <c r="AD1132" s="337"/>
      <c r="AE1132" s="336">
        <v>0</v>
      </c>
      <c r="AF1132" s="336" t="s">
        <v>286</v>
      </c>
      <c r="AG1132" s="339" t="s">
        <v>286</v>
      </c>
      <c r="AH1132" s="339">
        <v>0</v>
      </c>
      <c r="AI1132" s="336">
        <v>0</v>
      </c>
      <c r="AJ1132" s="336"/>
      <c r="AK1132" s="848">
        <v>0</v>
      </c>
      <c r="AL1132" s="836" t="s">
        <v>284</v>
      </c>
      <c r="AM1132" s="836">
        <v>0</v>
      </c>
      <c r="AN1132" s="848">
        <v>0</v>
      </c>
      <c r="AO1132" s="850">
        <v>1</v>
      </c>
      <c r="AP1132" s="839">
        <v>0</v>
      </c>
      <c r="AQ1132" s="839">
        <v>0</v>
      </c>
      <c r="AR1132" s="839"/>
      <c r="AS1132" s="839"/>
      <c r="AT1132" s="839"/>
      <c r="AU1132" s="839"/>
      <c r="AV1132" s="849"/>
      <c r="AW1132" s="134" t="s">
        <v>3208</v>
      </c>
      <c r="AX1132" s="136" t="s">
        <v>3208</v>
      </c>
      <c r="AY1132" s="137" t="s">
        <v>2576</v>
      </c>
      <c r="AZ1132" s="136">
        <v>1</v>
      </c>
      <c r="BA1132" s="136">
        <v>1</v>
      </c>
      <c r="BB1132" s="136">
        <v>1</v>
      </c>
      <c r="BC1132" s="214">
        <v>2985</v>
      </c>
      <c r="BD1132" s="136">
        <v>0</v>
      </c>
      <c r="BE1132" s="214">
        <v>0</v>
      </c>
      <c r="BF1132" s="136">
        <v>1</v>
      </c>
      <c r="BG1132" s="214">
        <v>2985</v>
      </c>
      <c r="BH1132" s="214">
        <v>5.97</v>
      </c>
      <c r="BI1132" s="134">
        <v>0</v>
      </c>
      <c r="BJ1132" s="214">
        <v>0</v>
      </c>
      <c r="BK1132" s="137">
        <v>3.0000000000000249E-2</v>
      </c>
      <c r="BL1132" s="137">
        <v>6</v>
      </c>
      <c r="BM1132" s="137">
        <v>2</v>
      </c>
      <c r="BN1132" s="134">
        <v>4.0201005025125632E-3</v>
      </c>
      <c r="BO1132" s="351">
        <v>12.000000000000002</v>
      </c>
      <c r="BP1132" s="134">
        <v>0.99698492462311561</v>
      </c>
      <c r="BQ1132" s="214">
        <v>496</v>
      </c>
      <c r="BR1132" s="137">
        <v>498</v>
      </c>
      <c r="BS1132" s="138">
        <v>0</v>
      </c>
      <c r="BT1132" s="351" t="s">
        <v>103</v>
      </c>
      <c r="BU1132" s="214">
        <v>500</v>
      </c>
      <c r="BV1132" s="214">
        <v>0</v>
      </c>
      <c r="BW1132" s="214">
        <v>0</v>
      </c>
      <c r="BX1132" s="214">
        <v>0</v>
      </c>
      <c r="BY1132" s="214">
        <v>0</v>
      </c>
      <c r="BZ1132" s="134">
        <v>0</v>
      </c>
      <c r="CA1132" s="138">
        <v>1</v>
      </c>
      <c r="CB1132" s="136">
        <v>0.16750418760469013</v>
      </c>
      <c r="CC1132" s="136">
        <v>0</v>
      </c>
      <c r="CD1132" s="136">
        <v>0</v>
      </c>
      <c r="CE1132" s="137">
        <v>0</v>
      </c>
      <c r="CF1132" s="137">
        <v>0</v>
      </c>
      <c r="CG1132" s="137">
        <v>0</v>
      </c>
      <c r="CH1132" s="214">
        <v>0</v>
      </c>
      <c r="CI1132" s="139">
        <v>0</v>
      </c>
      <c r="CJ1132" s="139">
        <v>0</v>
      </c>
      <c r="CK1132" s="139" t="s">
        <v>969</v>
      </c>
      <c r="CL1132" s="139" t="s">
        <v>969</v>
      </c>
      <c r="CM1132" s="139" t="s">
        <v>969</v>
      </c>
      <c r="CN1132" s="139" t="s">
        <v>966</v>
      </c>
      <c r="CO1132" s="139">
        <v>20.127127999999999</v>
      </c>
      <c r="CP1132" s="139">
        <v>92.875450000000001</v>
      </c>
      <c r="CQ1132" s="139" t="s">
        <v>1628</v>
      </c>
      <c r="CR1132" s="449" t="s">
        <v>40</v>
      </c>
      <c r="CS1132" s="449"/>
      <c r="CT1132" s="24"/>
      <c r="CU1132" s="24"/>
      <c r="CV1132" s="24"/>
    </row>
    <row r="1133" spans="1:100" ht="15.75" customHeight="1" x14ac:dyDescent="0.25">
      <c r="A1133" s="643" t="s">
        <v>1388</v>
      </c>
      <c r="B1133" s="132" t="s">
        <v>426</v>
      </c>
      <c r="C1133" s="132" t="s">
        <v>454</v>
      </c>
      <c r="D1133" s="132" t="s">
        <v>455</v>
      </c>
      <c r="E1133" s="132" t="s">
        <v>576</v>
      </c>
      <c r="F1133" s="132">
        <v>397</v>
      </c>
      <c r="G1133" s="214">
        <v>1995</v>
      </c>
      <c r="H1133" s="132"/>
      <c r="I1133" s="132" t="s">
        <v>872</v>
      </c>
      <c r="J1133" s="133">
        <v>44104</v>
      </c>
      <c r="K1133" s="132">
        <v>0</v>
      </c>
      <c r="L1133" s="132" t="s">
        <v>282</v>
      </c>
      <c r="M1133" s="134">
        <v>0</v>
      </c>
      <c r="N1133" s="134">
        <v>0</v>
      </c>
      <c r="O1133" s="320">
        <v>0</v>
      </c>
      <c r="P1133" s="326">
        <v>26</v>
      </c>
      <c r="Q1133" s="326">
        <v>0</v>
      </c>
      <c r="R1133" s="315">
        <v>0</v>
      </c>
      <c r="S1133" s="315">
        <v>29</v>
      </c>
      <c r="T1133" s="315"/>
      <c r="U1133" s="315">
        <v>0</v>
      </c>
      <c r="V1133" s="315">
        <v>0</v>
      </c>
      <c r="W1133" s="315">
        <v>0</v>
      </c>
      <c r="X1133" s="315">
        <v>0</v>
      </c>
      <c r="Y1133" s="315">
        <v>0</v>
      </c>
      <c r="Z1133" s="315"/>
      <c r="AA1133" s="336">
        <v>55</v>
      </c>
      <c r="AB1133" s="336">
        <v>61</v>
      </c>
      <c r="AC1133" s="337">
        <v>12</v>
      </c>
      <c r="AD1133" s="337"/>
      <c r="AE1133" s="336">
        <v>112</v>
      </c>
      <c r="AF1133" s="336" t="s">
        <v>283</v>
      </c>
      <c r="AG1133" s="339" t="s">
        <v>283</v>
      </c>
      <c r="AH1133" s="339">
        <v>0</v>
      </c>
      <c r="AI1133" s="336">
        <v>0</v>
      </c>
      <c r="AJ1133" s="336"/>
      <c r="AK1133" s="848">
        <v>0</v>
      </c>
      <c r="AL1133" s="836" t="s">
        <v>376</v>
      </c>
      <c r="AM1133" s="836">
        <v>0</v>
      </c>
      <c r="AN1133" s="848">
        <v>0</v>
      </c>
      <c r="AO1133" s="850">
        <v>2</v>
      </c>
      <c r="AP1133" s="839">
        <v>397</v>
      </c>
      <c r="AQ1133" s="839">
        <v>397</v>
      </c>
      <c r="AR1133" s="839"/>
      <c r="AS1133" s="839"/>
      <c r="AT1133" s="839"/>
      <c r="AU1133" s="839"/>
      <c r="AV1133" s="849"/>
      <c r="AW1133" s="134" t="s">
        <v>3208</v>
      </c>
      <c r="AX1133" s="136" t="s">
        <v>3208</v>
      </c>
      <c r="AY1133" s="137" t="s">
        <v>2576</v>
      </c>
      <c r="AZ1133" s="136">
        <v>1</v>
      </c>
      <c r="BA1133" s="136">
        <v>1</v>
      </c>
      <c r="BB1133" s="136">
        <v>1</v>
      </c>
      <c r="BC1133" s="214">
        <v>1995</v>
      </c>
      <c r="BD1133" s="136">
        <v>0</v>
      </c>
      <c r="BE1133" s="214">
        <v>0</v>
      </c>
      <c r="BF1133" s="136">
        <v>1</v>
      </c>
      <c r="BG1133" s="214">
        <v>1995</v>
      </c>
      <c r="BH1133" s="214">
        <v>3.99</v>
      </c>
      <c r="BI1133" s="134">
        <v>0</v>
      </c>
      <c r="BJ1133" s="214">
        <v>0</v>
      </c>
      <c r="BK1133" s="137">
        <v>9.9999999999997868E-3</v>
      </c>
      <c r="BL1133" s="137">
        <v>4</v>
      </c>
      <c r="BM1133" s="137">
        <v>116</v>
      </c>
      <c r="BN1133" s="134">
        <v>0.55137844611528819</v>
      </c>
      <c r="BO1133" s="351">
        <v>1100</v>
      </c>
      <c r="BP1133" s="134">
        <v>0</v>
      </c>
      <c r="BQ1133" s="214">
        <v>0</v>
      </c>
      <c r="BR1133" s="137">
        <v>100</v>
      </c>
      <c r="BS1133" s="138">
        <v>0.52586206896551724</v>
      </c>
      <c r="BT1133" s="351">
        <v>240</v>
      </c>
      <c r="BU1133" s="214">
        <v>1000</v>
      </c>
      <c r="BV1133" s="214">
        <v>1</v>
      </c>
      <c r="BW1133" s="214">
        <v>0</v>
      </c>
      <c r="BX1133" s="214">
        <v>1</v>
      </c>
      <c r="BY1133" s="214">
        <v>1995</v>
      </c>
      <c r="BZ1133" s="134">
        <v>1</v>
      </c>
      <c r="CA1133" s="138">
        <v>0</v>
      </c>
      <c r="CB1133" s="136">
        <v>0.50125313283208017</v>
      </c>
      <c r="CC1133" s="136">
        <v>1</v>
      </c>
      <c r="CD1133" s="136">
        <v>1</v>
      </c>
      <c r="CE1133" s="137">
        <v>1985</v>
      </c>
      <c r="CF1133" s="137">
        <v>1985</v>
      </c>
      <c r="CG1133" s="137">
        <v>1985</v>
      </c>
      <c r="CH1133" s="214">
        <v>0</v>
      </c>
      <c r="CI1133" s="139" t="s">
        <v>48</v>
      </c>
      <c r="CJ1133" s="139">
        <v>0</v>
      </c>
      <c r="CK1133" s="139" t="s">
        <v>50</v>
      </c>
      <c r="CL1133" s="139" t="s">
        <v>50</v>
      </c>
      <c r="CM1133" s="139" t="s">
        <v>965</v>
      </c>
      <c r="CN1133" s="139" t="s">
        <v>966</v>
      </c>
      <c r="CO1133" s="139">
        <v>20.128488999999998</v>
      </c>
      <c r="CP1133" s="139">
        <v>92.875814000000005</v>
      </c>
      <c r="CQ1133" s="139" t="s">
        <v>1629</v>
      </c>
      <c r="CR1133" s="449" t="s">
        <v>40</v>
      </c>
      <c r="CS1133" s="449"/>
      <c r="CT1133" s="24"/>
      <c r="CU1133" s="24"/>
      <c r="CV1133" s="24"/>
    </row>
    <row r="1134" spans="1:100" ht="15.75" customHeight="1" x14ac:dyDescent="0.25">
      <c r="A1134" s="643" t="s">
        <v>1388</v>
      </c>
      <c r="B1134" s="132" t="s">
        <v>460</v>
      </c>
      <c r="C1134" s="132" t="s">
        <v>454</v>
      </c>
      <c r="D1134" s="132" t="s">
        <v>455</v>
      </c>
      <c r="E1134" s="132" t="s">
        <v>593</v>
      </c>
      <c r="F1134" s="132">
        <v>22</v>
      </c>
      <c r="G1134" s="214">
        <v>114</v>
      </c>
      <c r="H1134" s="132"/>
      <c r="I1134" s="132"/>
      <c r="J1134" s="133"/>
      <c r="K1134" s="132"/>
      <c r="L1134" s="132" t="s">
        <v>282</v>
      </c>
      <c r="M1134" s="134">
        <v>0</v>
      </c>
      <c r="N1134" s="134">
        <v>0</v>
      </c>
      <c r="O1134" s="320">
        <v>0</v>
      </c>
      <c r="P1134" s="326">
        <v>0</v>
      </c>
      <c r="Q1134" s="326">
        <v>0</v>
      </c>
      <c r="R1134" s="315">
        <v>0</v>
      </c>
      <c r="S1134" s="315">
        <v>0</v>
      </c>
      <c r="T1134" s="315"/>
      <c r="U1134" s="315"/>
      <c r="V1134" s="315"/>
      <c r="W1134" s="315"/>
      <c r="X1134" s="315"/>
      <c r="Y1134" s="315"/>
      <c r="Z1134" s="315"/>
      <c r="AA1134" s="336">
        <v>0</v>
      </c>
      <c r="AB1134" s="336">
        <v>0</v>
      </c>
      <c r="AC1134" s="337"/>
      <c r="AD1134" s="337"/>
      <c r="AE1134" s="336">
        <v>0</v>
      </c>
      <c r="AF1134" s="336" t="s">
        <v>332</v>
      </c>
      <c r="AG1134" s="339" t="s">
        <v>332</v>
      </c>
      <c r="AH1134" s="339"/>
      <c r="AI1134" s="336"/>
      <c r="AJ1134" s="336"/>
      <c r="AK1134" s="848">
        <v>0</v>
      </c>
      <c r="AL1134" s="836" t="s">
        <v>284</v>
      </c>
      <c r="AM1134" s="836">
        <v>0</v>
      </c>
      <c r="AN1134" s="848">
        <v>0</v>
      </c>
      <c r="AO1134" s="850">
        <v>2</v>
      </c>
      <c r="AP1134" s="839"/>
      <c r="AQ1134" s="839"/>
      <c r="AR1134" s="839"/>
      <c r="AS1134" s="839"/>
      <c r="AT1134" s="839"/>
      <c r="AU1134" s="839"/>
      <c r="AV1134" s="849"/>
      <c r="AW1134" s="134" t="s">
        <v>3208</v>
      </c>
      <c r="AX1134" s="136" t="s">
        <v>3208</v>
      </c>
      <c r="AY1134" s="137" t="s">
        <v>2576</v>
      </c>
      <c r="AZ1134" s="136">
        <v>0</v>
      </c>
      <c r="BA1134" s="136">
        <v>0</v>
      </c>
      <c r="BB1134" s="136">
        <v>0</v>
      </c>
      <c r="BC1134" s="214">
        <v>0</v>
      </c>
      <c r="BD1134" s="136">
        <v>0</v>
      </c>
      <c r="BE1134" s="214">
        <v>0</v>
      </c>
      <c r="BF1134" s="136">
        <v>0</v>
      </c>
      <c r="BG1134" s="214">
        <v>0</v>
      </c>
      <c r="BH1134" s="214">
        <v>0</v>
      </c>
      <c r="BI1134" s="134">
        <v>1</v>
      </c>
      <c r="BJ1134" s="214">
        <v>114</v>
      </c>
      <c r="BK1134" s="137">
        <v>1</v>
      </c>
      <c r="BL1134" s="137">
        <v>1</v>
      </c>
      <c r="BM1134" s="137">
        <v>0</v>
      </c>
      <c r="BN1134" s="134">
        <v>0</v>
      </c>
      <c r="BO1134" s="351">
        <v>0</v>
      </c>
      <c r="BP1134" s="134">
        <v>1</v>
      </c>
      <c r="BQ1134" s="214">
        <v>6</v>
      </c>
      <c r="BR1134" s="137">
        <v>6</v>
      </c>
      <c r="BS1134" s="138">
        <v>0</v>
      </c>
      <c r="BT1134" s="351">
        <v>0</v>
      </c>
      <c r="BU1134" s="214">
        <v>114</v>
      </c>
      <c r="BV1134" s="214">
        <v>0</v>
      </c>
      <c r="BW1134" s="214">
        <v>1</v>
      </c>
      <c r="BX1134" s="214">
        <v>0</v>
      </c>
      <c r="BY1134" s="214">
        <v>0</v>
      </c>
      <c r="BZ1134" s="134">
        <v>0</v>
      </c>
      <c r="CA1134" s="138">
        <v>1</v>
      </c>
      <c r="CB1134" s="136">
        <v>1</v>
      </c>
      <c r="CC1134" s="136">
        <v>0</v>
      </c>
      <c r="CD1134" s="136">
        <v>0</v>
      </c>
      <c r="CE1134" s="137">
        <v>0</v>
      </c>
      <c r="CF1134" s="137">
        <v>0</v>
      </c>
      <c r="CG1134" s="137">
        <v>0</v>
      </c>
      <c r="CH1134" s="214">
        <v>0</v>
      </c>
      <c r="CI1134" s="139" t="s">
        <v>48</v>
      </c>
      <c r="CJ1134" s="139">
        <v>0</v>
      </c>
      <c r="CK1134" s="139" t="s">
        <v>50</v>
      </c>
      <c r="CL1134" s="139" t="s">
        <v>50</v>
      </c>
      <c r="CM1134" s="139" t="s">
        <v>942</v>
      </c>
      <c r="CN1134" s="139" t="s">
        <v>966</v>
      </c>
      <c r="CO1134" s="139">
        <v>20.182987000000001</v>
      </c>
      <c r="CP1134" s="139">
        <v>92.804803000000007</v>
      </c>
      <c r="CQ1134" s="139" t="s">
        <v>1654</v>
      </c>
      <c r="CR1134" s="449" t="s">
        <v>3209</v>
      </c>
      <c r="CS1134" s="449"/>
      <c r="CT1134" s="24"/>
      <c r="CU1134" s="24"/>
      <c r="CV1134" s="24"/>
    </row>
    <row r="1135" spans="1:100" ht="15.75" customHeight="1" x14ac:dyDescent="0.25">
      <c r="A1135" s="643" t="s">
        <v>1388</v>
      </c>
      <c r="B1135" s="132" t="s">
        <v>426</v>
      </c>
      <c r="C1135" s="132" t="s">
        <v>454</v>
      </c>
      <c r="D1135" s="132" t="s">
        <v>455</v>
      </c>
      <c r="E1135" s="132" t="s">
        <v>587</v>
      </c>
      <c r="F1135" s="132">
        <v>1016</v>
      </c>
      <c r="G1135" s="214">
        <v>4892</v>
      </c>
      <c r="H1135" s="132"/>
      <c r="I1135" s="132" t="s">
        <v>872</v>
      </c>
      <c r="J1135" s="133">
        <v>44104</v>
      </c>
      <c r="K1135" s="132">
        <v>0</v>
      </c>
      <c r="L1135" s="132" t="s">
        <v>282</v>
      </c>
      <c r="M1135" s="134">
        <v>0</v>
      </c>
      <c r="N1135" s="134">
        <v>0</v>
      </c>
      <c r="O1135" s="320">
        <v>0</v>
      </c>
      <c r="P1135" s="326">
        <v>46</v>
      </c>
      <c r="Q1135" s="326">
        <v>0</v>
      </c>
      <c r="R1135" s="315">
        <v>0</v>
      </c>
      <c r="S1135" s="315">
        <v>53</v>
      </c>
      <c r="T1135" s="315"/>
      <c r="U1135" s="315">
        <v>0</v>
      </c>
      <c r="V1135" s="315">
        <v>0</v>
      </c>
      <c r="W1135" s="315">
        <v>0</v>
      </c>
      <c r="X1135" s="315">
        <v>0</v>
      </c>
      <c r="Y1135" s="315">
        <v>0</v>
      </c>
      <c r="Z1135" s="315"/>
      <c r="AA1135" s="336">
        <v>254</v>
      </c>
      <c r="AB1135" s="336">
        <v>32</v>
      </c>
      <c r="AC1135" s="337">
        <v>162</v>
      </c>
      <c r="AD1135" s="337"/>
      <c r="AE1135" s="336">
        <v>250</v>
      </c>
      <c r="AF1135" s="336" t="s">
        <v>283</v>
      </c>
      <c r="AG1135" s="339" t="s">
        <v>1358</v>
      </c>
      <c r="AH1135" s="339">
        <v>0</v>
      </c>
      <c r="AI1135" s="336">
        <v>0</v>
      </c>
      <c r="AJ1135" s="336"/>
      <c r="AK1135" s="848">
        <v>0</v>
      </c>
      <c r="AL1135" s="836" t="s">
        <v>284</v>
      </c>
      <c r="AM1135" s="836">
        <v>0</v>
      </c>
      <c r="AN1135" s="848">
        <v>0</v>
      </c>
      <c r="AO1135" s="850">
        <v>9</v>
      </c>
      <c r="AP1135" s="839">
        <v>1016</v>
      </c>
      <c r="AQ1135" s="839">
        <v>1016</v>
      </c>
      <c r="AR1135" s="839"/>
      <c r="AS1135" s="839"/>
      <c r="AT1135" s="839"/>
      <c r="AU1135" s="839"/>
      <c r="AV1135" s="849"/>
      <c r="AW1135" s="134" t="s">
        <v>3208</v>
      </c>
      <c r="AX1135" s="136" t="s">
        <v>3208</v>
      </c>
      <c r="AY1135" s="137" t="s">
        <v>2576</v>
      </c>
      <c r="AZ1135" s="136">
        <v>1</v>
      </c>
      <c r="BA1135" s="136">
        <v>1</v>
      </c>
      <c r="BB1135" s="136">
        <v>1</v>
      </c>
      <c r="BC1135" s="214">
        <v>4892</v>
      </c>
      <c r="BD1135" s="136">
        <v>0</v>
      </c>
      <c r="BE1135" s="214">
        <v>0</v>
      </c>
      <c r="BF1135" s="136">
        <v>1</v>
      </c>
      <c r="BG1135" s="214">
        <v>4892</v>
      </c>
      <c r="BH1135" s="214">
        <v>9.7840000000000007</v>
      </c>
      <c r="BI1135" s="134">
        <v>0</v>
      </c>
      <c r="BJ1135" s="214">
        <v>0</v>
      </c>
      <c r="BK1135" s="137">
        <v>0.2159999999999993</v>
      </c>
      <c r="BL1135" s="137">
        <v>10</v>
      </c>
      <c r="BM1135" s="137">
        <v>286</v>
      </c>
      <c r="BN1135" s="134">
        <v>1</v>
      </c>
      <c r="BO1135" s="351">
        <v>4892</v>
      </c>
      <c r="BP1135" s="134">
        <v>0</v>
      </c>
      <c r="BQ1135" s="214">
        <v>0</v>
      </c>
      <c r="BR1135" s="137">
        <v>245</v>
      </c>
      <c r="BS1135" s="138">
        <v>0.11188811188811189</v>
      </c>
      <c r="BT1135" s="351">
        <v>3240</v>
      </c>
      <c r="BU1135" s="214">
        <v>4500</v>
      </c>
      <c r="BV1135" s="214">
        <v>1</v>
      </c>
      <c r="BW1135" s="214">
        <v>1</v>
      </c>
      <c r="BX1135" s="214">
        <v>1</v>
      </c>
      <c r="BY1135" s="214">
        <v>4892</v>
      </c>
      <c r="BZ1135" s="134">
        <v>1</v>
      </c>
      <c r="CA1135" s="138">
        <v>0</v>
      </c>
      <c r="CB1135" s="136">
        <v>0.91986917416189695</v>
      </c>
      <c r="CC1135" s="136">
        <v>1</v>
      </c>
      <c r="CD1135" s="136">
        <v>1</v>
      </c>
      <c r="CE1135" s="137">
        <v>5080</v>
      </c>
      <c r="CF1135" s="137">
        <v>5080</v>
      </c>
      <c r="CG1135" s="137">
        <v>5080</v>
      </c>
      <c r="CH1135" s="214">
        <v>0</v>
      </c>
      <c r="CI1135" s="139" t="s">
        <v>48</v>
      </c>
      <c r="CJ1135" s="139">
        <v>0</v>
      </c>
      <c r="CK1135" s="139" t="s">
        <v>50</v>
      </c>
      <c r="CL1135" s="139" t="s">
        <v>50</v>
      </c>
      <c r="CM1135" s="139" t="s">
        <v>965</v>
      </c>
      <c r="CN1135" s="139" t="s">
        <v>966</v>
      </c>
      <c r="CO1135" s="139">
        <v>20.179417000000001</v>
      </c>
      <c r="CP1135" s="139">
        <v>92.813028000000003</v>
      </c>
      <c r="CQ1135" s="139" t="s">
        <v>1647</v>
      </c>
      <c r="CR1135" s="449" t="s">
        <v>40</v>
      </c>
      <c r="CS1135" s="449"/>
      <c r="CT1135" s="24"/>
      <c r="CU1135" s="24"/>
      <c r="CV1135" s="24"/>
    </row>
    <row r="1136" spans="1:100" ht="15.75" customHeight="1" x14ac:dyDescent="0.25">
      <c r="A1136" s="643" t="s">
        <v>1388</v>
      </c>
      <c r="B1136" s="132" t="s">
        <v>426</v>
      </c>
      <c r="C1136" s="132" t="s">
        <v>454</v>
      </c>
      <c r="D1136" s="132" t="s">
        <v>455</v>
      </c>
      <c r="E1136" s="132" t="s">
        <v>590</v>
      </c>
      <c r="F1136" s="132">
        <v>1311</v>
      </c>
      <c r="G1136" s="214">
        <v>6936</v>
      </c>
      <c r="H1136" s="132"/>
      <c r="I1136" s="132" t="s">
        <v>872</v>
      </c>
      <c r="J1136" s="133">
        <v>44104</v>
      </c>
      <c r="K1136" s="132">
        <v>0</v>
      </c>
      <c r="L1136" s="132" t="s">
        <v>282</v>
      </c>
      <c r="M1136" s="134">
        <v>0</v>
      </c>
      <c r="N1136" s="134">
        <v>0</v>
      </c>
      <c r="O1136" s="320">
        <v>0</v>
      </c>
      <c r="P1136" s="326">
        <v>71</v>
      </c>
      <c r="Q1136" s="326">
        <v>0</v>
      </c>
      <c r="R1136" s="315">
        <v>0</v>
      </c>
      <c r="S1136" s="315">
        <v>88</v>
      </c>
      <c r="T1136" s="315"/>
      <c r="U1136" s="315">
        <v>0</v>
      </c>
      <c r="V1136" s="315">
        <v>0</v>
      </c>
      <c r="W1136" s="315">
        <v>0</v>
      </c>
      <c r="X1136" s="315">
        <v>0</v>
      </c>
      <c r="Y1136" s="315">
        <v>0</v>
      </c>
      <c r="Z1136" s="315"/>
      <c r="AA1136" s="336">
        <v>305</v>
      </c>
      <c r="AB1136" s="336">
        <v>137</v>
      </c>
      <c r="AC1136" s="337">
        <v>197</v>
      </c>
      <c r="AD1136" s="337"/>
      <c r="AE1136" s="336">
        <v>303</v>
      </c>
      <c r="AF1136" s="336" t="s">
        <v>283</v>
      </c>
      <c r="AG1136" s="339" t="s">
        <v>283</v>
      </c>
      <c r="AH1136" s="339">
        <v>0</v>
      </c>
      <c r="AI1136" s="336">
        <v>0</v>
      </c>
      <c r="AJ1136" s="336"/>
      <c r="AK1136" s="848">
        <v>0</v>
      </c>
      <c r="AL1136" s="836" t="s">
        <v>284</v>
      </c>
      <c r="AM1136" s="836">
        <v>0</v>
      </c>
      <c r="AN1136" s="848">
        <v>0</v>
      </c>
      <c r="AO1136" s="850">
        <v>0</v>
      </c>
      <c r="AP1136" s="839">
        <v>0</v>
      </c>
      <c r="AQ1136" s="839">
        <v>0</v>
      </c>
      <c r="AR1136" s="839"/>
      <c r="AS1136" s="839"/>
      <c r="AT1136" s="839"/>
      <c r="AU1136" s="839"/>
      <c r="AV1136" s="849"/>
      <c r="AW1136" s="134" t="s">
        <v>3208</v>
      </c>
      <c r="AX1136" s="136" t="s">
        <v>3208</v>
      </c>
      <c r="AY1136" s="137" t="s">
        <v>2576</v>
      </c>
      <c r="AZ1136" s="136">
        <v>1</v>
      </c>
      <c r="BA1136" s="136">
        <v>1</v>
      </c>
      <c r="BB1136" s="136">
        <v>1</v>
      </c>
      <c r="BC1136" s="214">
        <v>6936</v>
      </c>
      <c r="BD1136" s="136">
        <v>0</v>
      </c>
      <c r="BE1136" s="214">
        <v>0</v>
      </c>
      <c r="BF1136" s="136">
        <v>1</v>
      </c>
      <c r="BG1136" s="214">
        <v>6936</v>
      </c>
      <c r="BH1136" s="214">
        <v>13.872</v>
      </c>
      <c r="BI1136" s="134">
        <v>0</v>
      </c>
      <c r="BJ1136" s="214">
        <v>0</v>
      </c>
      <c r="BK1136" s="137">
        <v>0.12800000000000011</v>
      </c>
      <c r="BL1136" s="137">
        <v>14</v>
      </c>
      <c r="BM1136" s="137">
        <v>442</v>
      </c>
      <c r="BN1136" s="134">
        <v>0.87946943483275664</v>
      </c>
      <c r="BO1136" s="351">
        <v>6100</v>
      </c>
      <c r="BP1136" s="134">
        <v>0</v>
      </c>
      <c r="BQ1136" s="214">
        <v>0</v>
      </c>
      <c r="BR1136" s="137">
        <v>347</v>
      </c>
      <c r="BS1136" s="138">
        <v>0.30995475113122173</v>
      </c>
      <c r="BT1136" s="351">
        <v>3940</v>
      </c>
      <c r="BU1136" s="214">
        <v>0</v>
      </c>
      <c r="BV1136" s="214">
        <v>0</v>
      </c>
      <c r="BW1136" s="214">
        <v>0</v>
      </c>
      <c r="BX1136" s="214">
        <v>0</v>
      </c>
      <c r="BY1136" s="214">
        <v>0</v>
      </c>
      <c r="BZ1136" s="134">
        <v>0</v>
      </c>
      <c r="CA1136" s="138">
        <v>1</v>
      </c>
      <c r="CB1136" s="136">
        <v>0</v>
      </c>
      <c r="CC1136" s="136">
        <v>0</v>
      </c>
      <c r="CD1136" s="136">
        <v>0</v>
      </c>
      <c r="CE1136" s="137">
        <v>0</v>
      </c>
      <c r="CF1136" s="137">
        <v>0</v>
      </c>
      <c r="CG1136" s="137">
        <v>0</v>
      </c>
      <c r="CH1136" s="214">
        <v>0</v>
      </c>
      <c r="CI1136" s="139" t="s">
        <v>48</v>
      </c>
      <c r="CJ1136" s="139">
        <v>0</v>
      </c>
      <c r="CK1136" s="139" t="s">
        <v>50</v>
      </c>
      <c r="CL1136" s="139" t="s">
        <v>50</v>
      </c>
      <c r="CM1136" s="139" t="s">
        <v>965</v>
      </c>
      <c r="CN1136" s="139" t="s">
        <v>966</v>
      </c>
      <c r="CO1136" s="139">
        <v>20.181405999999999</v>
      </c>
      <c r="CP1136" s="139">
        <v>92.807552000000001</v>
      </c>
      <c r="CQ1136" s="139" t="s">
        <v>1651</v>
      </c>
      <c r="CR1136" s="449" t="s">
        <v>40</v>
      </c>
      <c r="CS1136" s="449"/>
      <c r="CT1136" s="24"/>
      <c r="CU1136" s="24"/>
      <c r="CV1136" s="24"/>
    </row>
    <row r="1137" spans="1:100" ht="15.75" customHeight="1" x14ac:dyDescent="0.25">
      <c r="A1137" s="643" t="s">
        <v>1388</v>
      </c>
      <c r="B1137" s="132" t="s">
        <v>460</v>
      </c>
      <c r="C1137" s="132" t="s">
        <v>454</v>
      </c>
      <c r="D1137" s="132" t="s">
        <v>455</v>
      </c>
      <c r="E1137" s="132" t="s">
        <v>2447</v>
      </c>
      <c r="F1137" s="132">
        <v>14</v>
      </c>
      <c r="G1137" s="214">
        <v>93</v>
      </c>
      <c r="H1137" s="132"/>
      <c r="I1137" s="132"/>
      <c r="J1137" s="133"/>
      <c r="K1137" s="132"/>
      <c r="L1137" s="132" t="s">
        <v>282</v>
      </c>
      <c r="M1137" s="134">
        <v>0</v>
      </c>
      <c r="N1137" s="134">
        <v>0</v>
      </c>
      <c r="O1137" s="320">
        <v>0</v>
      </c>
      <c r="P1137" s="326">
        <v>0</v>
      </c>
      <c r="Q1137" s="326">
        <v>0</v>
      </c>
      <c r="R1137" s="315">
        <v>0</v>
      </c>
      <c r="S1137" s="315">
        <v>0</v>
      </c>
      <c r="T1137" s="315"/>
      <c r="U1137" s="315"/>
      <c r="V1137" s="315"/>
      <c r="W1137" s="315"/>
      <c r="X1137" s="315"/>
      <c r="Y1137" s="315"/>
      <c r="Z1137" s="315"/>
      <c r="AA1137" s="336">
        <v>0</v>
      </c>
      <c r="AB1137" s="336">
        <v>0</v>
      </c>
      <c r="AC1137" s="337"/>
      <c r="AD1137" s="337"/>
      <c r="AE1137" s="336">
        <v>0</v>
      </c>
      <c r="AF1137" s="336" t="s">
        <v>332</v>
      </c>
      <c r="AG1137" s="339" t="s">
        <v>332</v>
      </c>
      <c r="AH1137" s="339"/>
      <c r="AI1137" s="336"/>
      <c r="AJ1137" s="336"/>
      <c r="AK1137" s="848">
        <v>0</v>
      </c>
      <c r="AL1137" s="836" t="s">
        <v>284</v>
      </c>
      <c r="AM1137" s="836">
        <v>0</v>
      </c>
      <c r="AN1137" s="848">
        <v>0</v>
      </c>
      <c r="AO1137" s="850">
        <v>0</v>
      </c>
      <c r="AP1137" s="839"/>
      <c r="AQ1137" s="839"/>
      <c r="AR1137" s="839"/>
      <c r="AS1137" s="839"/>
      <c r="AT1137" s="839"/>
      <c r="AU1137" s="839"/>
      <c r="AV1137" s="849"/>
      <c r="AW1137" s="134" t="s">
        <v>3208</v>
      </c>
      <c r="AX1137" s="136" t="s">
        <v>3208</v>
      </c>
      <c r="AY1137" s="137" t="s">
        <v>2576</v>
      </c>
      <c r="AZ1137" s="136">
        <v>0</v>
      </c>
      <c r="BA1137" s="136">
        <v>0</v>
      </c>
      <c r="BB1137" s="136">
        <v>0</v>
      </c>
      <c r="BC1137" s="214">
        <v>0</v>
      </c>
      <c r="BD1137" s="136">
        <v>0</v>
      </c>
      <c r="BE1137" s="214">
        <v>0</v>
      </c>
      <c r="BF1137" s="136">
        <v>0</v>
      </c>
      <c r="BG1137" s="214">
        <v>0</v>
      </c>
      <c r="BH1137" s="214">
        <v>0</v>
      </c>
      <c r="BI1137" s="134">
        <v>1</v>
      </c>
      <c r="BJ1137" s="214">
        <v>93</v>
      </c>
      <c r="BK1137" s="137">
        <v>1</v>
      </c>
      <c r="BL1137" s="137">
        <v>1</v>
      </c>
      <c r="BM1137" s="137">
        <v>0</v>
      </c>
      <c r="BN1137" s="134">
        <v>0</v>
      </c>
      <c r="BO1137" s="351">
        <v>0</v>
      </c>
      <c r="BP1137" s="134">
        <v>1</v>
      </c>
      <c r="BQ1137" s="214">
        <v>16</v>
      </c>
      <c r="BR1137" s="137">
        <v>16</v>
      </c>
      <c r="BS1137" s="138">
        <v>0</v>
      </c>
      <c r="BT1137" s="351" t="s">
        <v>103</v>
      </c>
      <c r="BU1137" s="214">
        <v>0</v>
      </c>
      <c r="BV1137" s="214">
        <v>0</v>
      </c>
      <c r="BW1137" s="214">
        <v>0</v>
      </c>
      <c r="BX1137" s="214">
        <v>0</v>
      </c>
      <c r="BY1137" s="214">
        <v>0</v>
      </c>
      <c r="BZ1137" s="134">
        <v>0</v>
      </c>
      <c r="CA1137" s="138">
        <v>1</v>
      </c>
      <c r="CB1137" s="136">
        <v>0</v>
      </c>
      <c r="CC1137" s="136">
        <v>0</v>
      </c>
      <c r="CD1137" s="136">
        <v>0</v>
      </c>
      <c r="CE1137" s="137">
        <v>0</v>
      </c>
      <c r="CF1137" s="137">
        <v>0</v>
      </c>
      <c r="CG1137" s="137">
        <v>0</v>
      </c>
      <c r="CH1137" s="214">
        <v>0</v>
      </c>
      <c r="CI1137" s="139">
        <v>0</v>
      </c>
      <c r="CJ1137" s="139">
        <v>0</v>
      </c>
      <c r="CK1137" s="139" t="s">
        <v>969</v>
      </c>
      <c r="CL1137" s="139" t="s">
        <v>969</v>
      </c>
      <c r="CM1137" s="139" t="s">
        <v>969</v>
      </c>
      <c r="CN1137" s="139" t="s">
        <v>966</v>
      </c>
      <c r="CO1137" s="139">
        <v>0</v>
      </c>
      <c r="CP1137" s="139">
        <v>0</v>
      </c>
      <c r="CQ1137" s="139">
        <v>0</v>
      </c>
      <c r="CR1137" s="449" t="s">
        <v>3209</v>
      </c>
      <c r="CS1137" s="449"/>
      <c r="CT1137" s="24"/>
      <c r="CU1137" s="24"/>
      <c r="CV1137" s="24"/>
    </row>
    <row r="1138" spans="1:100" ht="15.75" customHeight="1" x14ac:dyDescent="0.25">
      <c r="A1138" s="643" t="s">
        <v>1388</v>
      </c>
      <c r="B1138" s="132" t="s">
        <v>453</v>
      </c>
      <c r="C1138" s="132" t="s">
        <v>454</v>
      </c>
      <c r="D1138" s="132" t="s">
        <v>455</v>
      </c>
      <c r="E1138" s="132" t="s">
        <v>577</v>
      </c>
      <c r="F1138" s="132">
        <v>27</v>
      </c>
      <c r="G1138" s="214">
        <v>175</v>
      </c>
      <c r="H1138" s="132"/>
      <c r="I1138" s="132"/>
      <c r="J1138" s="133"/>
      <c r="K1138" s="132"/>
      <c r="L1138" s="132"/>
      <c r="M1138" s="134"/>
      <c r="N1138" s="134"/>
      <c r="O1138" s="320">
        <v>0</v>
      </c>
      <c r="P1138" s="326">
        <v>4</v>
      </c>
      <c r="Q1138" s="326"/>
      <c r="R1138" s="315"/>
      <c r="S1138" s="315"/>
      <c r="T1138" s="315"/>
      <c r="U1138" s="315"/>
      <c r="V1138" s="315"/>
      <c r="W1138" s="315"/>
      <c r="X1138" s="315"/>
      <c r="Y1138" s="315"/>
      <c r="Z1138" s="315"/>
      <c r="AA1138" s="336">
        <v>0</v>
      </c>
      <c r="AB1138" s="336"/>
      <c r="AC1138" s="337"/>
      <c r="AD1138" s="337"/>
      <c r="AE1138" s="336"/>
      <c r="AF1138" s="336" t="s">
        <v>286</v>
      </c>
      <c r="AG1138" s="339" t="s">
        <v>286</v>
      </c>
      <c r="AH1138" s="339"/>
      <c r="AI1138" s="336"/>
      <c r="AJ1138" s="336"/>
      <c r="AK1138" s="848"/>
      <c r="AL1138" s="836"/>
      <c r="AM1138" s="836"/>
      <c r="AN1138" s="848"/>
      <c r="AO1138" s="850"/>
      <c r="AP1138" s="839"/>
      <c r="AQ1138" s="839"/>
      <c r="AR1138" s="839"/>
      <c r="AS1138" s="839"/>
      <c r="AT1138" s="839"/>
      <c r="AU1138" s="839"/>
      <c r="AV1138" s="849"/>
      <c r="AW1138" s="134" t="s">
        <v>3208</v>
      </c>
      <c r="AX1138" s="136" t="s">
        <v>3208</v>
      </c>
      <c r="AY1138" s="137" t="s">
        <v>2576</v>
      </c>
      <c r="AZ1138" s="136">
        <v>1</v>
      </c>
      <c r="BA1138" s="136">
        <v>1</v>
      </c>
      <c r="BB1138" s="136">
        <v>1</v>
      </c>
      <c r="BC1138" s="214">
        <v>175</v>
      </c>
      <c r="BD1138" s="136">
        <v>0</v>
      </c>
      <c r="BE1138" s="214">
        <v>0</v>
      </c>
      <c r="BF1138" s="136">
        <v>1</v>
      </c>
      <c r="BG1138" s="214">
        <v>175</v>
      </c>
      <c r="BH1138" s="214">
        <v>0.35</v>
      </c>
      <c r="BI1138" s="134">
        <v>0</v>
      </c>
      <c r="BJ1138" s="214">
        <v>0</v>
      </c>
      <c r="BK1138" s="137">
        <v>0.65</v>
      </c>
      <c r="BL1138" s="137">
        <v>1</v>
      </c>
      <c r="BM1138" s="137">
        <v>0</v>
      </c>
      <c r="BN1138" s="134">
        <v>0</v>
      </c>
      <c r="BO1138" s="351">
        <v>0</v>
      </c>
      <c r="BP1138" s="134">
        <v>0.99428571428571422</v>
      </c>
      <c r="BQ1138" s="214">
        <v>29</v>
      </c>
      <c r="BR1138" s="137">
        <v>29</v>
      </c>
      <c r="BS1138" s="138">
        <v>0</v>
      </c>
      <c r="BT1138" s="351" t="s">
        <v>103</v>
      </c>
      <c r="BU1138" s="214">
        <v>0</v>
      </c>
      <c r="BV1138" s="214">
        <v>0</v>
      </c>
      <c r="BW1138" s="214">
        <v>0</v>
      </c>
      <c r="BX1138" s="214">
        <v>0</v>
      </c>
      <c r="BY1138" s="214">
        <v>0</v>
      </c>
      <c r="BZ1138" s="134">
        <v>0</v>
      </c>
      <c r="CA1138" s="138">
        <v>1</v>
      </c>
      <c r="CB1138" s="136">
        <v>0</v>
      </c>
      <c r="CC1138" s="136">
        <v>0</v>
      </c>
      <c r="CD1138" s="136">
        <v>0</v>
      </c>
      <c r="CE1138" s="137">
        <v>0</v>
      </c>
      <c r="CF1138" s="137">
        <v>0</v>
      </c>
      <c r="CG1138" s="137">
        <v>0</v>
      </c>
      <c r="CH1138" s="214">
        <v>0</v>
      </c>
      <c r="CI1138" s="139">
        <v>0</v>
      </c>
      <c r="CJ1138" s="139">
        <v>0</v>
      </c>
      <c r="CK1138" s="139" t="s">
        <v>975</v>
      </c>
      <c r="CL1138" s="139" t="s">
        <v>969</v>
      </c>
      <c r="CM1138" s="139" t="s">
        <v>975</v>
      </c>
      <c r="CN1138" s="139" t="s">
        <v>966</v>
      </c>
      <c r="CO1138" s="139">
        <v>20.1438598632813</v>
      </c>
      <c r="CP1138" s="139">
        <v>92.867576599121094</v>
      </c>
      <c r="CQ1138" s="139">
        <v>196200</v>
      </c>
      <c r="CR1138" s="449" t="s">
        <v>40</v>
      </c>
      <c r="CS1138" s="449"/>
      <c r="CT1138" s="24"/>
      <c r="CU1138" s="24"/>
      <c r="CV1138" s="24"/>
    </row>
    <row r="1139" spans="1:100" ht="15.75" customHeight="1" x14ac:dyDescent="0.25">
      <c r="A1139" s="643" t="s">
        <v>1388</v>
      </c>
      <c r="B1139" s="132" t="s">
        <v>453</v>
      </c>
      <c r="C1139" s="132" t="s">
        <v>454</v>
      </c>
      <c r="D1139" s="132" t="s">
        <v>455</v>
      </c>
      <c r="E1139" s="132" t="s">
        <v>621</v>
      </c>
      <c r="F1139" s="132">
        <v>21</v>
      </c>
      <c r="G1139" s="214">
        <v>106</v>
      </c>
      <c r="H1139" s="132"/>
      <c r="I1139" s="132"/>
      <c r="J1139" s="133"/>
      <c r="K1139" s="132"/>
      <c r="L1139" s="132"/>
      <c r="M1139" s="134"/>
      <c r="N1139" s="134"/>
      <c r="O1139" s="320">
        <v>0</v>
      </c>
      <c r="P1139" s="326">
        <v>1</v>
      </c>
      <c r="Q1139" s="326"/>
      <c r="R1139" s="315"/>
      <c r="S1139" s="315"/>
      <c r="T1139" s="315"/>
      <c r="U1139" s="315"/>
      <c r="V1139" s="315"/>
      <c r="W1139" s="315"/>
      <c r="X1139" s="315"/>
      <c r="Y1139" s="315"/>
      <c r="Z1139" s="315"/>
      <c r="AA1139" s="336">
        <v>0</v>
      </c>
      <c r="AB1139" s="336"/>
      <c r="AC1139" s="337"/>
      <c r="AD1139" s="337"/>
      <c r="AE1139" s="336"/>
      <c r="AF1139" s="336" t="s">
        <v>286</v>
      </c>
      <c r="AG1139" s="339" t="s">
        <v>286</v>
      </c>
      <c r="AH1139" s="339"/>
      <c r="AI1139" s="336"/>
      <c r="AJ1139" s="336"/>
      <c r="AK1139" s="848"/>
      <c r="AL1139" s="836"/>
      <c r="AM1139" s="836"/>
      <c r="AN1139" s="848"/>
      <c r="AO1139" s="850"/>
      <c r="AP1139" s="839"/>
      <c r="AQ1139" s="839"/>
      <c r="AR1139" s="839"/>
      <c r="AS1139" s="839"/>
      <c r="AT1139" s="839"/>
      <c r="AU1139" s="839"/>
      <c r="AV1139" s="849"/>
      <c r="AW1139" s="134" t="s">
        <v>3208</v>
      </c>
      <c r="AX1139" s="136" t="s">
        <v>3208</v>
      </c>
      <c r="AY1139" s="137" t="s">
        <v>2576</v>
      </c>
      <c r="AZ1139" s="136">
        <v>1</v>
      </c>
      <c r="BA1139" s="136">
        <v>1</v>
      </c>
      <c r="BB1139" s="136">
        <v>1</v>
      </c>
      <c r="BC1139" s="214">
        <v>106</v>
      </c>
      <c r="BD1139" s="136">
        <v>0</v>
      </c>
      <c r="BE1139" s="214">
        <v>0</v>
      </c>
      <c r="BF1139" s="136">
        <v>1</v>
      </c>
      <c r="BG1139" s="214">
        <v>106</v>
      </c>
      <c r="BH1139" s="214">
        <v>0.21199999999999999</v>
      </c>
      <c r="BI1139" s="134">
        <v>0</v>
      </c>
      <c r="BJ1139" s="214">
        <v>0</v>
      </c>
      <c r="BK1139" s="137">
        <v>0.78800000000000003</v>
      </c>
      <c r="BL1139" s="137">
        <v>1</v>
      </c>
      <c r="BM1139" s="137">
        <v>0</v>
      </c>
      <c r="BN1139" s="134">
        <v>0</v>
      </c>
      <c r="BO1139" s="351">
        <v>0</v>
      </c>
      <c r="BP1139" s="134">
        <v>1</v>
      </c>
      <c r="BQ1139" s="214">
        <v>18</v>
      </c>
      <c r="BR1139" s="137">
        <v>18</v>
      </c>
      <c r="BS1139" s="138">
        <v>0</v>
      </c>
      <c r="BT1139" s="351" t="s">
        <v>103</v>
      </c>
      <c r="BU1139" s="214">
        <v>0</v>
      </c>
      <c r="BV1139" s="214">
        <v>0</v>
      </c>
      <c r="BW1139" s="214">
        <v>0</v>
      </c>
      <c r="BX1139" s="214">
        <v>0</v>
      </c>
      <c r="BY1139" s="214">
        <v>0</v>
      </c>
      <c r="BZ1139" s="134">
        <v>0</v>
      </c>
      <c r="CA1139" s="138">
        <v>1</v>
      </c>
      <c r="CB1139" s="136">
        <v>0</v>
      </c>
      <c r="CC1139" s="136">
        <v>0</v>
      </c>
      <c r="CD1139" s="136">
        <v>0</v>
      </c>
      <c r="CE1139" s="137">
        <v>0</v>
      </c>
      <c r="CF1139" s="137">
        <v>0</v>
      </c>
      <c r="CG1139" s="137">
        <v>0</v>
      </c>
      <c r="CH1139" s="214">
        <v>0</v>
      </c>
      <c r="CI1139" s="139">
        <v>0</v>
      </c>
      <c r="CJ1139" s="139">
        <v>0</v>
      </c>
      <c r="CK1139" s="139" t="s">
        <v>975</v>
      </c>
      <c r="CL1139" s="139" t="s">
        <v>969</v>
      </c>
      <c r="CM1139" s="139" t="s">
        <v>975</v>
      </c>
      <c r="CN1139" s="139" t="s">
        <v>454</v>
      </c>
      <c r="CO1139" s="139">
        <v>20.286720275878899</v>
      </c>
      <c r="CP1139" s="139">
        <v>92.882843017578097</v>
      </c>
      <c r="CQ1139" s="139">
        <v>196172</v>
      </c>
      <c r="CR1139" s="449" t="s">
        <v>40</v>
      </c>
      <c r="CS1139" s="449"/>
      <c r="CT1139" s="24"/>
      <c r="CU1139" s="24"/>
      <c r="CV1139" s="24"/>
    </row>
    <row r="1140" spans="1:100" ht="15.75" customHeight="1" x14ac:dyDescent="0.25">
      <c r="A1140" s="643" t="s">
        <v>1388</v>
      </c>
      <c r="B1140" s="132" t="s">
        <v>426</v>
      </c>
      <c r="C1140" s="132" t="s">
        <v>454</v>
      </c>
      <c r="D1140" s="132" t="s">
        <v>455</v>
      </c>
      <c r="E1140" s="132" t="s">
        <v>586</v>
      </c>
      <c r="F1140" s="132">
        <v>1436</v>
      </c>
      <c r="G1140" s="214">
        <v>8508</v>
      </c>
      <c r="H1140" s="132"/>
      <c r="I1140" s="132" t="s">
        <v>872</v>
      </c>
      <c r="J1140" s="133">
        <v>44104</v>
      </c>
      <c r="K1140" s="132">
        <v>0</v>
      </c>
      <c r="L1140" s="132" t="s">
        <v>282</v>
      </c>
      <c r="M1140" s="134">
        <v>0</v>
      </c>
      <c r="N1140" s="134">
        <v>0</v>
      </c>
      <c r="O1140" s="320">
        <v>0</v>
      </c>
      <c r="P1140" s="326">
        <v>72</v>
      </c>
      <c r="Q1140" s="326">
        <v>0</v>
      </c>
      <c r="R1140" s="315">
        <v>0</v>
      </c>
      <c r="S1140" s="315">
        <v>93</v>
      </c>
      <c r="T1140" s="315"/>
      <c r="U1140" s="315">
        <v>0</v>
      </c>
      <c r="V1140" s="315">
        <v>0</v>
      </c>
      <c r="W1140" s="315">
        <v>0</v>
      </c>
      <c r="X1140" s="315">
        <v>0</v>
      </c>
      <c r="Y1140" s="315">
        <v>0</v>
      </c>
      <c r="Z1140" s="315"/>
      <c r="AA1140" s="336">
        <v>406</v>
      </c>
      <c r="AB1140" s="336">
        <v>130</v>
      </c>
      <c r="AC1140" s="337">
        <v>117</v>
      </c>
      <c r="AD1140" s="337"/>
      <c r="AE1140" s="336">
        <v>371</v>
      </c>
      <c r="AF1140" s="336" t="s">
        <v>283</v>
      </c>
      <c r="AG1140" s="339" t="s">
        <v>283</v>
      </c>
      <c r="AH1140" s="339">
        <v>0</v>
      </c>
      <c r="AI1140" s="336">
        <v>0</v>
      </c>
      <c r="AJ1140" s="336"/>
      <c r="AK1140" s="848">
        <v>0</v>
      </c>
      <c r="AL1140" s="836" t="s">
        <v>284</v>
      </c>
      <c r="AM1140" s="836">
        <v>0</v>
      </c>
      <c r="AN1140" s="848">
        <v>0</v>
      </c>
      <c r="AO1140" s="850">
        <v>8</v>
      </c>
      <c r="AP1140" s="839">
        <v>2007</v>
      </c>
      <c r="AQ1140" s="839">
        <v>2007</v>
      </c>
      <c r="AR1140" s="839"/>
      <c r="AS1140" s="839"/>
      <c r="AT1140" s="839"/>
      <c r="AU1140" s="839"/>
      <c r="AV1140" s="849"/>
      <c r="AW1140" s="134" t="s">
        <v>3208</v>
      </c>
      <c r="AX1140" s="136" t="s">
        <v>3208</v>
      </c>
      <c r="AY1140" s="137" t="s">
        <v>2576</v>
      </c>
      <c r="AZ1140" s="136">
        <v>1</v>
      </c>
      <c r="BA1140" s="136">
        <v>1</v>
      </c>
      <c r="BB1140" s="136">
        <v>1</v>
      </c>
      <c r="BC1140" s="214">
        <v>8508</v>
      </c>
      <c r="BD1140" s="136">
        <v>0</v>
      </c>
      <c r="BE1140" s="214">
        <v>0</v>
      </c>
      <c r="BF1140" s="136">
        <v>1</v>
      </c>
      <c r="BG1140" s="214">
        <v>8508</v>
      </c>
      <c r="BH1140" s="214">
        <v>17.015999999999998</v>
      </c>
      <c r="BI1140" s="134">
        <v>0</v>
      </c>
      <c r="BJ1140" s="214">
        <v>0</v>
      </c>
      <c r="BK1140" s="137">
        <v>0</v>
      </c>
      <c r="BL1140" s="137">
        <v>17</v>
      </c>
      <c r="BM1140" s="137">
        <v>536</v>
      </c>
      <c r="BN1140" s="134">
        <v>0.95439586271744237</v>
      </c>
      <c r="BO1140" s="351">
        <v>8120</v>
      </c>
      <c r="BP1140" s="134">
        <v>0</v>
      </c>
      <c r="BQ1140" s="214">
        <v>0</v>
      </c>
      <c r="BR1140" s="137">
        <v>425</v>
      </c>
      <c r="BS1140" s="138">
        <v>0.24253731343283583</v>
      </c>
      <c r="BT1140" s="351">
        <v>2340</v>
      </c>
      <c r="BU1140" s="214">
        <v>4000</v>
      </c>
      <c r="BV1140" s="214">
        <v>1</v>
      </c>
      <c r="BW1140" s="214">
        <v>0</v>
      </c>
      <c r="BX1140" s="214">
        <v>1</v>
      </c>
      <c r="BY1140" s="214">
        <v>8508</v>
      </c>
      <c r="BZ1140" s="134">
        <v>1</v>
      </c>
      <c r="CA1140" s="138">
        <v>0</v>
      </c>
      <c r="CB1140" s="136">
        <v>0.4701457451810061</v>
      </c>
      <c r="CC1140" s="136">
        <v>1</v>
      </c>
      <c r="CD1140" s="136">
        <v>1</v>
      </c>
      <c r="CE1140" s="137">
        <v>10035</v>
      </c>
      <c r="CF1140" s="137">
        <v>10035</v>
      </c>
      <c r="CG1140" s="137">
        <v>10035</v>
      </c>
      <c r="CH1140" s="214">
        <v>0</v>
      </c>
      <c r="CI1140" s="139" t="s">
        <v>48</v>
      </c>
      <c r="CJ1140" s="139">
        <v>0</v>
      </c>
      <c r="CK1140" s="139" t="s">
        <v>50</v>
      </c>
      <c r="CL1140" s="139" t="s">
        <v>50</v>
      </c>
      <c r="CM1140" s="139" t="s">
        <v>965</v>
      </c>
      <c r="CN1140" s="139" t="s">
        <v>966</v>
      </c>
      <c r="CO1140" s="139">
        <v>20.16846</v>
      </c>
      <c r="CP1140" s="139">
        <v>92.827427</v>
      </c>
      <c r="CQ1140" s="139" t="s">
        <v>1645</v>
      </c>
      <c r="CR1140" s="449" t="s">
        <v>40</v>
      </c>
      <c r="CS1140" s="449"/>
      <c r="CT1140" s="24"/>
      <c r="CU1140" s="24"/>
      <c r="CV1140" s="24"/>
    </row>
    <row r="1141" spans="1:100" ht="15.75" customHeight="1" x14ac:dyDescent="0.25">
      <c r="A1141" s="643" t="s">
        <v>1388</v>
      </c>
      <c r="B1141" s="132" t="s">
        <v>426</v>
      </c>
      <c r="C1141" s="132" t="s">
        <v>454</v>
      </c>
      <c r="D1141" s="132" t="s">
        <v>455</v>
      </c>
      <c r="E1141" s="132" t="s">
        <v>585</v>
      </c>
      <c r="F1141" s="132">
        <v>601</v>
      </c>
      <c r="G1141" s="214">
        <v>3360</v>
      </c>
      <c r="H1141" s="132"/>
      <c r="I1141" s="132" t="s">
        <v>872</v>
      </c>
      <c r="J1141" s="133">
        <v>44104</v>
      </c>
      <c r="K1141" s="132">
        <v>0</v>
      </c>
      <c r="L1141" s="132" t="s">
        <v>282</v>
      </c>
      <c r="M1141" s="134">
        <v>0</v>
      </c>
      <c r="N1141" s="134">
        <v>0</v>
      </c>
      <c r="O1141" s="320">
        <v>0</v>
      </c>
      <c r="P1141" s="326">
        <v>21</v>
      </c>
      <c r="Q1141" s="326">
        <v>0</v>
      </c>
      <c r="R1141" s="315">
        <v>0</v>
      </c>
      <c r="S1141" s="315">
        <v>21</v>
      </c>
      <c r="T1141" s="315"/>
      <c r="U1141" s="315">
        <v>0</v>
      </c>
      <c r="V1141" s="315">
        <v>0</v>
      </c>
      <c r="W1141" s="315">
        <v>0</v>
      </c>
      <c r="X1141" s="315">
        <v>0</v>
      </c>
      <c r="Y1141" s="315">
        <v>0</v>
      </c>
      <c r="Z1141" s="315"/>
      <c r="AA1141" s="336">
        <v>0</v>
      </c>
      <c r="AB1141" s="336">
        <v>0</v>
      </c>
      <c r="AC1141" s="337">
        <v>0</v>
      </c>
      <c r="AD1141" s="337"/>
      <c r="AE1141" s="336">
        <v>0</v>
      </c>
      <c r="AF1141" s="336" t="s">
        <v>332</v>
      </c>
      <c r="AG1141" s="339" t="s">
        <v>332</v>
      </c>
      <c r="AH1141" s="339">
        <v>0</v>
      </c>
      <c r="AI1141" s="336">
        <v>0</v>
      </c>
      <c r="AJ1141" s="336"/>
      <c r="AK1141" s="848">
        <v>0</v>
      </c>
      <c r="AL1141" s="836" t="s">
        <v>284</v>
      </c>
      <c r="AM1141" s="836">
        <v>0</v>
      </c>
      <c r="AN1141" s="848">
        <v>0</v>
      </c>
      <c r="AO1141" s="850">
        <v>1</v>
      </c>
      <c r="AP1141" s="839">
        <v>593</v>
      </c>
      <c r="AQ1141" s="839">
        <v>593</v>
      </c>
      <c r="AR1141" s="839"/>
      <c r="AS1141" s="839"/>
      <c r="AT1141" s="839"/>
      <c r="AU1141" s="839"/>
      <c r="AV1141" s="849"/>
      <c r="AW1141" s="134" t="s">
        <v>3208</v>
      </c>
      <c r="AX1141" s="136" t="s">
        <v>3208</v>
      </c>
      <c r="AY1141" s="137" t="s">
        <v>2576</v>
      </c>
      <c r="AZ1141" s="136">
        <v>1</v>
      </c>
      <c r="BA1141" s="136">
        <v>1</v>
      </c>
      <c r="BB1141" s="136">
        <v>1</v>
      </c>
      <c r="BC1141" s="214">
        <v>3360</v>
      </c>
      <c r="BD1141" s="136">
        <v>0</v>
      </c>
      <c r="BE1141" s="214">
        <v>0</v>
      </c>
      <c r="BF1141" s="136">
        <v>1</v>
      </c>
      <c r="BG1141" s="214">
        <v>3360</v>
      </c>
      <c r="BH1141" s="214">
        <v>6.72</v>
      </c>
      <c r="BI1141" s="134">
        <v>0</v>
      </c>
      <c r="BJ1141" s="214">
        <v>0</v>
      </c>
      <c r="BK1141" s="137">
        <v>0.28000000000000025</v>
      </c>
      <c r="BL1141" s="137">
        <v>7</v>
      </c>
      <c r="BM1141" s="137">
        <v>0</v>
      </c>
      <c r="BN1141" s="134">
        <v>0</v>
      </c>
      <c r="BO1141" s="351">
        <v>0</v>
      </c>
      <c r="BP1141" s="134">
        <v>1</v>
      </c>
      <c r="BQ1141" s="214">
        <v>168</v>
      </c>
      <c r="BR1141" s="137">
        <v>168</v>
      </c>
      <c r="BS1141" s="138">
        <v>0</v>
      </c>
      <c r="BT1141" s="351">
        <v>0</v>
      </c>
      <c r="BU1141" s="214">
        <v>500</v>
      </c>
      <c r="BV1141" s="214">
        <v>0</v>
      </c>
      <c r="BW1141" s="214">
        <v>0</v>
      </c>
      <c r="BX1141" s="214">
        <v>0</v>
      </c>
      <c r="BY1141" s="214">
        <v>0</v>
      </c>
      <c r="BZ1141" s="134">
        <v>0</v>
      </c>
      <c r="CA1141" s="138">
        <v>1</v>
      </c>
      <c r="CB1141" s="136">
        <v>0.14880952380952381</v>
      </c>
      <c r="CC1141" s="136">
        <v>0.98668885191347755</v>
      </c>
      <c r="CD1141" s="136">
        <v>0.98668885191347755</v>
      </c>
      <c r="CE1141" s="137">
        <v>2965</v>
      </c>
      <c r="CF1141" s="137">
        <v>2965</v>
      </c>
      <c r="CG1141" s="137">
        <v>2965</v>
      </c>
      <c r="CH1141" s="214">
        <v>0</v>
      </c>
      <c r="CI1141" s="139" t="s">
        <v>48</v>
      </c>
      <c r="CJ1141" s="139">
        <v>0</v>
      </c>
      <c r="CK1141" s="139" t="s">
        <v>50</v>
      </c>
      <c r="CL1141" s="139" t="s">
        <v>50</v>
      </c>
      <c r="CM1141" s="139" t="s">
        <v>942</v>
      </c>
      <c r="CN1141" s="139" t="s">
        <v>966</v>
      </c>
      <c r="CO1141" s="139">
        <v>20.167421999999998</v>
      </c>
      <c r="CP1141" s="139">
        <v>92.830074999999994</v>
      </c>
      <c r="CQ1141" s="139" t="s">
        <v>1644</v>
      </c>
      <c r="CR1141" s="449" t="s">
        <v>40</v>
      </c>
      <c r="CS1141" s="449"/>
      <c r="CT1141" s="24"/>
      <c r="CU1141" s="24"/>
      <c r="CV1141" s="24"/>
    </row>
    <row r="1142" spans="1:100" ht="15.75" customHeight="1" x14ac:dyDescent="0.25">
      <c r="A1142" s="643" t="s">
        <v>1388</v>
      </c>
      <c r="B1142" s="132" t="s">
        <v>460</v>
      </c>
      <c r="C1142" s="132" t="s">
        <v>454</v>
      </c>
      <c r="D1142" s="132" t="s">
        <v>455</v>
      </c>
      <c r="E1142" s="132" t="s">
        <v>459</v>
      </c>
      <c r="F1142" s="132">
        <v>357</v>
      </c>
      <c r="G1142" s="214">
        <v>2743</v>
      </c>
      <c r="H1142" s="132"/>
      <c r="I1142" s="132"/>
      <c r="J1142" s="133"/>
      <c r="K1142" s="132"/>
      <c r="L1142" s="132" t="s">
        <v>282</v>
      </c>
      <c r="M1142" s="134">
        <v>0</v>
      </c>
      <c r="N1142" s="134">
        <v>0</v>
      </c>
      <c r="O1142" s="320">
        <v>0</v>
      </c>
      <c r="P1142" s="326">
        <v>20</v>
      </c>
      <c r="Q1142" s="326">
        <v>0</v>
      </c>
      <c r="R1142" s="315">
        <v>0</v>
      </c>
      <c r="S1142" s="315">
        <v>0</v>
      </c>
      <c r="T1142" s="315"/>
      <c r="U1142" s="315"/>
      <c r="V1142" s="315"/>
      <c r="W1142" s="315"/>
      <c r="X1142" s="315"/>
      <c r="Y1142" s="315"/>
      <c r="Z1142" s="315"/>
      <c r="AA1142" s="336">
        <v>39</v>
      </c>
      <c r="AB1142" s="336">
        <v>0</v>
      </c>
      <c r="AC1142" s="337"/>
      <c r="AD1142" s="337"/>
      <c r="AE1142" s="336">
        <v>0</v>
      </c>
      <c r="AF1142" s="336" t="s">
        <v>286</v>
      </c>
      <c r="AG1142" s="339" t="s">
        <v>286</v>
      </c>
      <c r="AH1142" s="339"/>
      <c r="AI1142" s="336"/>
      <c r="AJ1142" s="336"/>
      <c r="AK1142" s="848">
        <v>0</v>
      </c>
      <c r="AL1142" s="836" t="s">
        <v>284</v>
      </c>
      <c r="AM1142" s="836">
        <v>0</v>
      </c>
      <c r="AN1142" s="848">
        <v>0</v>
      </c>
      <c r="AO1142" s="850">
        <v>2</v>
      </c>
      <c r="AP1142" s="839"/>
      <c r="AQ1142" s="839"/>
      <c r="AR1142" s="839"/>
      <c r="AS1142" s="839"/>
      <c r="AT1142" s="839"/>
      <c r="AU1142" s="839"/>
      <c r="AV1142" s="849"/>
      <c r="AW1142" s="134" t="s">
        <v>3208</v>
      </c>
      <c r="AX1142" s="136" t="s">
        <v>3208</v>
      </c>
      <c r="AY1142" s="137" t="s">
        <v>2576</v>
      </c>
      <c r="AZ1142" s="136">
        <v>1</v>
      </c>
      <c r="BA1142" s="136">
        <v>1</v>
      </c>
      <c r="BB1142" s="136">
        <v>1</v>
      </c>
      <c r="BC1142" s="214">
        <v>2743</v>
      </c>
      <c r="BD1142" s="136">
        <v>0</v>
      </c>
      <c r="BE1142" s="214">
        <v>0</v>
      </c>
      <c r="BF1142" s="136">
        <v>1</v>
      </c>
      <c r="BG1142" s="214">
        <v>2743</v>
      </c>
      <c r="BH1142" s="214">
        <v>5.4859999999999998</v>
      </c>
      <c r="BI1142" s="134">
        <v>0</v>
      </c>
      <c r="BJ1142" s="214">
        <v>0</v>
      </c>
      <c r="BK1142" s="137">
        <v>0</v>
      </c>
      <c r="BL1142" s="137">
        <v>5</v>
      </c>
      <c r="BM1142" s="137">
        <v>39</v>
      </c>
      <c r="BN1142" s="134">
        <v>8.5308056872037921E-2</v>
      </c>
      <c r="BO1142" s="351">
        <v>234.00000000000003</v>
      </c>
      <c r="BP1142" s="134">
        <v>0.91432737878235504</v>
      </c>
      <c r="BQ1142" s="214">
        <v>418</v>
      </c>
      <c r="BR1142" s="137">
        <v>457</v>
      </c>
      <c r="BS1142" s="138">
        <v>0</v>
      </c>
      <c r="BT1142" s="351" t="s">
        <v>103</v>
      </c>
      <c r="BU1142" s="214">
        <v>1000</v>
      </c>
      <c r="BV1142" s="214">
        <v>0</v>
      </c>
      <c r="BW1142" s="214">
        <v>0</v>
      </c>
      <c r="BX1142" s="214">
        <v>0</v>
      </c>
      <c r="BY1142" s="214">
        <v>0</v>
      </c>
      <c r="BZ1142" s="134">
        <v>0</v>
      </c>
      <c r="CA1142" s="138">
        <v>1</v>
      </c>
      <c r="CB1142" s="136">
        <v>0.36456434560699963</v>
      </c>
      <c r="CC1142" s="136">
        <v>0</v>
      </c>
      <c r="CD1142" s="136">
        <v>0</v>
      </c>
      <c r="CE1142" s="137">
        <v>0</v>
      </c>
      <c r="CF1142" s="137">
        <v>0</v>
      </c>
      <c r="CG1142" s="137">
        <v>0</v>
      </c>
      <c r="CH1142" s="214">
        <v>0</v>
      </c>
      <c r="CI1142" s="139">
        <v>0</v>
      </c>
      <c r="CJ1142" s="139">
        <v>0</v>
      </c>
      <c r="CK1142" s="139" t="s">
        <v>969</v>
      </c>
      <c r="CL1142" s="139" t="s">
        <v>969</v>
      </c>
      <c r="CM1142" s="139" t="s">
        <v>969</v>
      </c>
      <c r="CN1142" s="139" t="s">
        <v>966</v>
      </c>
      <c r="CO1142" s="139">
        <v>0</v>
      </c>
      <c r="CP1142" s="139">
        <v>0</v>
      </c>
      <c r="CQ1142" s="139">
        <v>0</v>
      </c>
      <c r="CR1142" s="449" t="s">
        <v>3209</v>
      </c>
      <c r="CS1142" s="449"/>
      <c r="CT1142" s="24"/>
      <c r="CU1142" s="24"/>
      <c r="CV1142" s="24"/>
    </row>
    <row r="1143" spans="1:100" ht="15.75" customHeight="1" x14ac:dyDescent="0.25">
      <c r="A1143" s="643" t="s">
        <v>1388</v>
      </c>
      <c r="B1143" s="132" t="s">
        <v>447</v>
      </c>
      <c r="C1143" s="132" t="s">
        <v>454</v>
      </c>
      <c r="D1143" s="132" t="s">
        <v>455</v>
      </c>
      <c r="E1143" s="132" t="s">
        <v>609</v>
      </c>
      <c r="F1143" s="132">
        <v>22</v>
      </c>
      <c r="G1143" s="214">
        <v>113</v>
      </c>
      <c r="H1143" s="132"/>
      <c r="I1143" s="132" t="s">
        <v>449</v>
      </c>
      <c r="J1143" s="133">
        <v>43356</v>
      </c>
      <c r="K1143" s="132">
        <v>0</v>
      </c>
      <c r="L1143" s="132" t="s">
        <v>282</v>
      </c>
      <c r="M1143" s="134">
        <v>0</v>
      </c>
      <c r="N1143" s="134">
        <v>0</v>
      </c>
      <c r="O1143" s="320">
        <v>2</v>
      </c>
      <c r="P1143" s="326">
        <v>1</v>
      </c>
      <c r="Q1143" s="326">
        <v>0</v>
      </c>
      <c r="R1143" s="315">
        <v>0</v>
      </c>
      <c r="S1143" s="315">
        <v>0</v>
      </c>
      <c r="T1143" s="315"/>
      <c r="U1143" s="315">
        <v>0</v>
      </c>
      <c r="V1143" s="315">
        <v>0</v>
      </c>
      <c r="W1143" s="315">
        <v>0</v>
      </c>
      <c r="X1143" s="315">
        <v>0</v>
      </c>
      <c r="Y1143" s="315">
        <v>0</v>
      </c>
      <c r="Z1143" s="315"/>
      <c r="AA1143" s="336">
        <v>22</v>
      </c>
      <c r="AB1143" s="336">
        <v>0</v>
      </c>
      <c r="AC1143" s="337">
        <v>0</v>
      </c>
      <c r="AD1143" s="337"/>
      <c r="AE1143" s="336">
        <v>0</v>
      </c>
      <c r="AF1143" s="336" t="s">
        <v>286</v>
      </c>
      <c r="AG1143" s="339" t="s">
        <v>286</v>
      </c>
      <c r="AH1143" s="339">
        <v>0</v>
      </c>
      <c r="AI1143" s="336">
        <v>0</v>
      </c>
      <c r="AJ1143" s="336"/>
      <c r="AK1143" s="848">
        <v>0</v>
      </c>
      <c r="AL1143" s="836" t="s">
        <v>284</v>
      </c>
      <c r="AM1143" s="836">
        <v>0</v>
      </c>
      <c r="AN1143" s="848">
        <v>0</v>
      </c>
      <c r="AO1143" s="850">
        <v>1</v>
      </c>
      <c r="AP1143" s="839">
        <v>0</v>
      </c>
      <c r="AQ1143" s="839">
        <v>0</v>
      </c>
      <c r="AR1143" s="839"/>
      <c r="AS1143" s="839"/>
      <c r="AT1143" s="839"/>
      <c r="AU1143" s="839"/>
      <c r="AV1143" s="849"/>
      <c r="AW1143" s="134" t="s">
        <v>3208</v>
      </c>
      <c r="AX1143" s="136" t="s">
        <v>3208</v>
      </c>
      <c r="AY1143" s="137" t="s">
        <v>2576</v>
      </c>
      <c r="AZ1143" s="136">
        <v>1</v>
      </c>
      <c r="BA1143" s="136">
        <v>1</v>
      </c>
      <c r="BB1143" s="136">
        <v>1</v>
      </c>
      <c r="BC1143" s="214">
        <v>113</v>
      </c>
      <c r="BD1143" s="136">
        <v>0</v>
      </c>
      <c r="BE1143" s="214">
        <v>0</v>
      </c>
      <c r="BF1143" s="136">
        <v>1</v>
      </c>
      <c r="BG1143" s="214">
        <v>113</v>
      </c>
      <c r="BH1143" s="214">
        <v>0.22600000000000001</v>
      </c>
      <c r="BI1143" s="134">
        <v>0</v>
      </c>
      <c r="BJ1143" s="214">
        <v>0</v>
      </c>
      <c r="BK1143" s="137">
        <v>0.77400000000000002</v>
      </c>
      <c r="BL1143" s="137">
        <v>1</v>
      </c>
      <c r="BM1143" s="137">
        <v>22</v>
      </c>
      <c r="BN1143" s="134">
        <v>1</v>
      </c>
      <c r="BO1143" s="351">
        <v>113</v>
      </c>
      <c r="BP1143" s="134">
        <v>0</v>
      </c>
      <c r="BQ1143" s="214">
        <v>0</v>
      </c>
      <c r="BR1143" s="137">
        <v>19</v>
      </c>
      <c r="BS1143" s="138">
        <v>0</v>
      </c>
      <c r="BT1143" s="351" t="s">
        <v>103</v>
      </c>
      <c r="BU1143" s="214">
        <v>113</v>
      </c>
      <c r="BV1143" s="214">
        <v>0</v>
      </c>
      <c r="BW1143" s="214">
        <v>1</v>
      </c>
      <c r="BX1143" s="214">
        <v>0</v>
      </c>
      <c r="BY1143" s="214">
        <v>0</v>
      </c>
      <c r="BZ1143" s="134">
        <v>0</v>
      </c>
      <c r="CA1143" s="138">
        <v>1</v>
      </c>
      <c r="CB1143" s="136">
        <v>1</v>
      </c>
      <c r="CC1143" s="136">
        <v>0</v>
      </c>
      <c r="CD1143" s="136">
        <v>0</v>
      </c>
      <c r="CE1143" s="137">
        <v>0</v>
      </c>
      <c r="CF1143" s="137">
        <v>0</v>
      </c>
      <c r="CG1143" s="137">
        <v>0</v>
      </c>
      <c r="CH1143" s="214">
        <v>0</v>
      </c>
      <c r="CI1143" s="139">
        <v>0</v>
      </c>
      <c r="CJ1143" s="139">
        <v>0</v>
      </c>
      <c r="CK1143" s="139" t="s">
        <v>969</v>
      </c>
      <c r="CL1143" s="139" t="s">
        <v>969</v>
      </c>
      <c r="CM1143" s="139" t="s">
        <v>969</v>
      </c>
      <c r="CN1143" s="139" t="s">
        <v>454</v>
      </c>
      <c r="CO1143" s="139">
        <v>20.218299999999999</v>
      </c>
      <c r="CP1143" s="139">
        <v>92.805999999999997</v>
      </c>
      <c r="CQ1143" s="139" t="s">
        <v>1666</v>
      </c>
      <c r="CR1143" s="449" t="s">
        <v>40</v>
      </c>
      <c r="CS1143" s="449"/>
      <c r="CT1143" s="24"/>
      <c r="CU1143" s="24"/>
      <c r="CV1143" s="24"/>
    </row>
    <row r="1144" spans="1:100" ht="15.75" customHeight="1" x14ac:dyDescent="0.25">
      <c r="A1144" s="643" t="s">
        <v>1388</v>
      </c>
      <c r="B1144" s="132" t="s">
        <v>453</v>
      </c>
      <c r="C1144" s="132" t="s">
        <v>454</v>
      </c>
      <c r="D1144" s="132" t="s">
        <v>455</v>
      </c>
      <c r="E1144" s="132" t="s">
        <v>600</v>
      </c>
      <c r="F1144" s="132">
        <v>26</v>
      </c>
      <c r="G1144" s="214">
        <v>105</v>
      </c>
      <c r="H1144" s="132"/>
      <c r="I1144" s="132"/>
      <c r="J1144" s="133"/>
      <c r="K1144" s="132"/>
      <c r="L1144" s="132"/>
      <c r="M1144" s="134"/>
      <c r="N1144" s="134"/>
      <c r="O1144" s="320">
        <v>0</v>
      </c>
      <c r="P1144" s="326">
        <v>3</v>
      </c>
      <c r="Q1144" s="326"/>
      <c r="R1144" s="315"/>
      <c r="S1144" s="315"/>
      <c r="T1144" s="315"/>
      <c r="U1144" s="315"/>
      <c r="V1144" s="315"/>
      <c r="W1144" s="315"/>
      <c r="X1144" s="315"/>
      <c r="Y1144" s="315"/>
      <c r="Z1144" s="315"/>
      <c r="AA1144" s="336">
        <v>0</v>
      </c>
      <c r="AB1144" s="336"/>
      <c r="AC1144" s="337"/>
      <c r="AD1144" s="337"/>
      <c r="AE1144" s="336"/>
      <c r="AF1144" s="336" t="s">
        <v>286</v>
      </c>
      <c r="AG1144" s="339" t="s">
        <v>286</v>
      </c>
      <c r="AH1144" s="339"/>
      <c r="AI1144" s="336"/>
      <c r="AJ1144" s="336"/>
      <c r="AK1144" s="848"/>
      <c r="AL1144" s="836"/>
      <c r="AM1144" s="836"/>
      <c r="AN1144" s="848"/>
      <c r="AO1144" s="850"/>
      <c r="AP1144" s="839"/>
      <c r="AQ1144" s="839"/>
      <c r="AR1144" s="839"/>
      <c r="AS1144" s="839"/>
      <c r="AT1144" s="839"/>
      <c r="AU1144" s="839"/>
      <c r="AV1144" s="849"/>
      <c r="AW1144" s="134" t="s">
        <v>3208</v>
      </c>
      <c r="AX1144" s="136" t="s">
        <v>3208</v>
      </c>
      <c r="AY1144" s="137" t="s">
        <v>2576</v>
      </c>
      <c r="AZ1144" s="136">
        <v>1</v>
      </c>
      <c r="BA1144" s="136">
        <v>1</v>
      </c>
      <c r="BB1144" s="136">
        <v>1</v>
      </c>
      <c r="BC1144" s="214">
        <v>105</v>
      </c>
      <c r="BD1144" s="136">
        <v>0</v>
      </c>
      <c r="BE1144" s="214">
        <v>0</v>
      </c>
      <c r="BF1144" s="136">
        <v>1</v>
      </c>
      <c r="BG1144" s="214">
        <v>105</v>
      </c>
      <c r="BH1144" s="214">
        <v>0.21</v>
      </c>
      <c r="BI1144" s="134">
        <v>0</v>
      </c>
      <c r="BJ1144" s="214">
        <v>0</v>
      </c>
      <c r="BK1144" s="137">
        <v>0.79</v>
      </c>
      <c r="BL1144" s="137">
        <v>1</v>
      </c>
      <c r="BM1144" s="137">
        <v>0</v>
      </c>
      <c r="BN1144" s="134">
        <v>0</v>
      </c>
      <c r="BO1144" s="351">
        <v>0</v>
      </c>
      <c r="BP1144" s="134">
        <v>1</v>
      </c>
      <c r="BQ1144" s="214">
        <v>18</v>
      </c>
      <c r="BR1144" s="137">
        <v>18</v>
      </c>
      <c r="BS1144" s="138">
        <v>0</v>
      </c>
      <c r="BT1144" s="351" t="s">
        <v>103</v>
      </c>
      <c r="BU1144" s="214">
        <v>0</v>
      </c>
      <c r="BV1144" s="214">
        <v>0</v>
      </c>
      <c r="BW1144" s="214">
        <v>0</v>
      </c>
      <c r="BX1144" s="214">
        <v>0</v>
      </c>
      <c r="BY1144" s="214">
        <v>0</v>
      </c>
      <c r="BZ1144" s="134">
        <v>0</v>
      </c>
      <c r="CA1144" s="138">
        <v>1</v>
      </c>
      <c r="CB1144" s="136">
        <v>0</v>
      </c>
      <c r="CC1144" s="136">
        <v>0</v>
      </c>
      <c r="CD1144" s="136">
        <v>0</v>
      </c>
      <c r="CE1144" s="137">
        <v>0</v>
      </c>
      <c r="CF1144" s="137">
        <v>0</v>
      </c>
      <c r="CG1144" s="137">
        <v>0</v>
      </c>
      <c r="CH1144" s="214">
        <v>0</v>
      </c>
      <c r="CI1144" s="139">
        <v>0</v>
      </c>
      <c r="CJ1144" s="139">
        <v>0</v>
      </c>
      <c r="CK1144" s="139" t="s">
        <v>975</v>
      </c>
      <c r="CL1144" s="139" t="s">
        <v>969</v>
      </c>
      <c r="CM1144" s="139" t="s">
        <v>975</v>
      </c>
      <c r="CN1144" s="139" t="s">
        <v>966</v>
      </c>
      <c r="CO1144" s="139">
        <v>20.194370269775401</v>
      </c>
      <c r="CP1144" s="139">
        <v>92.834007263183594</v>
      </c>
      <c r="CQ1144" s="139">
        <v>196128</v>
      </c>
      <c r="CR1144" s="449" t="s">
        <v>40</v>
      </c>
      <c r="CS1144" s="449"/>
      <c r="CT1144" s="24"/>
      <c r="CU1144" s="24"/>
      <c r="CV1144" s="24"/>
    </row>
    <row r="1145" spans="1:100" x14ac:dyDescent="0.25">
      <c r="A1145" s="643" t="s">
        <v>1388</v>
      </c>
      <c r="B1145" s="132" t="s">
        <v>453</v>
      </c>
      <c r="C1145" s="132" t="s">
        <v>454</v>
      </c>
      <c r="D1145" s="132" t="s">
        <v>455</v>
      </c>
      <c r="E1145" s="132" t="s">
        <v>594</v>
      </c>
      <c r="F1145" s="132">
        <v>8</v>
      </c>
      <c r="G1145" s="214">
        <v>38</v>
      </c>
      <c r="H1145" s="132"/>
      <c r="I1145" s="132"/>
      <c r="J1145" s="133"/>
      <c r="K1145" s="132"/>
      <c r="L1145" s="132"/>
      <c r="M1145" s="134"/>
      <c r="N1145" s="134"/>
      <c r="O1145" s="320">
        <v>0</v>
      </c>
      <c r="P1145" s="326">
        <v>1</v>
      </c>
      <c r="Q1145" s="326"/>
      <c r="R1145" s="315"/>
      <c r="S1145" s="315"/>
      <c r="T1145" s="315"/>
      <c r="U1145" s="315"/>
      <c r="V1145" s="315"/>
      <c r="W1145" s="315"/>
      <c r="X1145" s="315"/>
      <c r="Y1145" s="315"/>
      <c r="Z1145" s="315"/>
      <c r="AA1145" s="336">
        <v>0</v>
      </c>
      <c r="AB1145" s="336"/>
      <c r="AC1145" s="337"/>
      <c r="AD1145" s="337"/>
      <c r="AE1145" s="336"/>
      <c r="AF1145" s="336" t="s">
        <v>286</v>
      </c>
      <c r="AG1145" s="339" t="s">
        <v>286</v>
      </c>
      <c r="AH1145" s="339"/>
      <c r="AI1145" s="336"/>
      <c r="AJ1145" s="336"/>
      <c r="AK1145" s="848"/>
      <c r="AL1145" s="836"/>
      <c r="AM1145" s="836"/>
      <c r="AN1145" s="848"/>
      <c r="AO1145" s="850"/>
      <c r="AP1145" s="839"/>
      <c r="AQ1145" s="839"/>
      <c r="AR1145" s="839"/>
      <c r="AS1145" s="839"/>
      <c r="AT1145" s="839"/>
      <c r="AU1145" s="839"/>
      <c r="AV1145" s="849"/>
      <c r="AW1145" s="134" t="s">
        <v>3208</v>
      </c>
      <c r="AX1145" s="136" t="s">
        <v>3208</v>
      </c>
      <c r="AY1145" s="137" t="s">
        <v>2576</v>
      </c>
      <c r="AZ1145" s="136">
        <v>1</v>
      </c>
      <c r="BA1145" s="136">
        <v>1</v>
      </c>
      <c r="BB1145" s="136">
        <v>1</v>
      </c>
      <c r="BC1145" s="214">
        <v>38</v>
      </c>
      <c r="BD1145" s="136">
        <v>0</v>
      </c>
      <c r="BE1145" s="214">
        <v>0</v>
      </c>
      <c r="BF1145" s="136">
        <v>1</v>
      </c>
      <c r="BG1145" s="214">
        <v>38</v>
      </c>
      <c r="BH1145" s="214">
        <v>7.5999999999999998E-2</v>
      </c>
      <c r="BI1145" s="134">
        <v>0</v>
      </c>
      <c r="BJ1145" s="214">
        <v>0</v>
      </c>
      <c r="BK1145" s="137">
        <v>0.92400000000000004</v>
      </c>
      <c r="BL1145" s="137">
        <v>1</v>
      </c>
      <c r="BM1145" s="137">
        <v>0</v>
      </c>
      <c r="BN1145" s="134">
        <v>0</v>
      </c>
      <c r="BO1145" s="351">
        <v>0</v>
      </c>
      <c r="BP1145" s="134">
        <v>0.94736842105263164</v>
      </c>
      <c r="BQ1145" s="214">
        <v>6</v>
      </c>
      <c r="BR1145" s="137">
        <v>6</v>
      </c>
      <c r="BS1145" s="138">
        <v>0</v>
      </c>
      <c r="BT1145" s="351" t="s">
        <v>103</v>
      </c>
      <c r="BU1145" s="214">
        <v>0</v>
      </c>
      <c r="BV1145" s="214">
        <v>0</v>
      </c>
      <c r="BW1145" s="214">
        <v>0</v>
      </c>
      <c r="BX1145" s="214">
        <v>0</v>
      </c>
      <c r="BY1145" s="214">
        <v>0</v>
      </c>
      <c r="BZ1145" s="134">
        <v>0</v>
      </c>
      <c r="CA1145" s="138">
        <v>1</v>
      </c>
      <c r="CB1145" s="136">
        <v>0</v>
      </c>
      <c r="CC1145" s="136">
        <v>0</v>
      </c>
      <c r="CD1145" s="136">
        <v>0</v>
      </c>
      <c r="CE1145" s="137">
        <v>0</v>
      </c>
      <c r="CF1145" s="137">
        <v>0</v>
      </c>
      <c r="CG1145" s="137">
        <v>0</v>
      </c>
      <c r="CH1145" s="214">
        <v>0</v>
      </c>
      <c r="CI1145" s="139">
        <v>0</v>
      </c>
      <c r="CJ1145" s="139">
        <v>0</v>
      </c>
      <c r="CK1145" s="139" t="s">
        <v>975</v>
      </c>
      <c r="CL1145" s="139" t="s">
        <v>969</v>
      </c>
      <c r="CM1145" s="139" t="s">
        <v>975</v>
      </c>
      <c r="CN1145" s="139" t="s">
        <v>966</v>
      </c>
      <c r="CO1145" s="139">
        <v>20.183790206909201</v>
      </c>
      <c r="CP1145" s="139">
        <v>92.864143371582003</v>
      </c>
      <c r="CQ1145" s="139">
        <v>196197</v>
      </c>
      <c r="CR1145" s="449" t="s">
        <v>40</v>
      </c>
      <c r="CS1145" s="449"/>
      <c r="CT1145" s="24"/>
      <c r="CU1145" s="24"/>
      <c r="CV1145" s="24"/>
    </row>
    <row r="1146" spans="1:100" ht="15.75" customHeight="1" x14ac:dyDescent="0.25">
      <c r="A1146" s="643" t="s">
        <v>1388</v>
      </c>
      <c r="B1146" s="132" t="s">
        <v>426</v>
      </c>
      <c r="C1146" s="132" t="s">
        <v>454</v>
      </c>
      <c r="D1146" s="132" t="s">
        <v>455</v>
      </c>
      <c r="E1146" s="132" t="s">
        <v>589</v>
      </c>
      <c r="F1146" s="132">
        <v>400</v>
      </c>
      <c r="G1146" s="214">
        <v>2186</v>
      </c>
      <c r="H1146" s="132"/>
      <c r="I1146" s="132" t="s">
        <v>872</v>
      </c>
      <c r="J1146" s="133">
        <v>44104</v>
      </c>
      <c r="K1146" s="132">
        <v>0</v>
      </c>
      <c r="L1146" s="132" t="s">
        <v>282</v>
      </c>
      <c r="M1146" s="134">
        <v>0</v>
      </c>
      <c r="N1146" s="134">
        <v>0</v>
      </c>
      <c r="O1146" s="320">
        <v>0</v>
      </c>
      <c r="P1146" s="326">
        <v>27</v>
      </c>
      <c r="Q1146" s="326">
        <v>0</v>
      </c>
      <c r="R1146" s="315">
        <v>0</v>
      </c>
      <c r="S1146" s="315">
        <v>27</v>
      </c>
      <c r="T1146" s="315"/>
      <c r="U1146" s="315">
        <v>0</v>
      </c>
      <c r="V1146" s="315">
        <v>0</v>
      </c>
      <c r="W1146" s="315">
        <v>0</v>
      </c>
      <c r="X1146" s="315">
        <v>0</v>
      </c>
      <c r="Y1146" s="315">
        <v>0</v>
      </c>
      <c r="Z1146" s="315"/>
      <c r="AA1146" s="336">
        <v>102</v>
      </c>
      <c r="AB1146" s="336">
        <v>5</v>
      </c>
      <c r="AC1146" s="337">
        <v>25</v>
      </c>
      <c r="AD1146" s="337"/>
      <c r="AE1146" s="336">
        <v>102</v>
      </c>
      <c r="AF1146" s="336" t="s">
        <v>283</v>
      </c>
      <c r="AG1146" s="339" t="s">
        <v>1358</v>
      </c>
      <c r="AH1146" s="339">
        <v>0</v>
      </c>
      <c r="AI1146" s="336">
        <v>0</v>
      </c>
      <c r="AJ1146" s="336"/>
      <c r="AK1146" s="848">
        <v>0</v>
      </c>
      <c r="AL1146" s="836" t="s">
        <v>284</v>
      </c>
      <c r="AM1146" s="836">
        <v>0</v>
      </c>
      <c r="AN1146" s="848">
        <v>0</v>
      </c>
      <c r="AO1146" s="850">
        <v>2</v>
      </c>
      <c r="AP1146" s="839">
        <v>400</v>
      </c>
      <c r="AQ1146" s="839">
        <v>400</v>
      </c>
      <c r="AR1146" s="839"/>
      <c r="AS1146" s="839"/>
      <c r="AT1146" s="839"/>
      <c r="AU1146" s="839"/>
      <c r="AV1146" s="849"/>
      <c r="AW1146" s="134" t="s">
        <v>3208</v>
      </c>
      <c r="AX1146" s="136" t="s">
        <v>3208</v>
      </c>
      <c r="AY1146" s="137" t="s">
        <v>2576</v>
      </c>
      <c r="AZ1146" s="136">
        <v>1</v>
      </c>
      <c r="BA1146" s="136">
        <v>1</v>
      </c>
      <c r="BB1146" s="136">
        <v>1</v>
      </c>
      <c r="BC1146" s="214">
        <v>2186</v>
      </c>
      <c r="BD1146" s="136">
        <v>0</v>
      </c>
      <c r="BE1146" s="214">
        <v>0</v>
      </c>
      <c r="BF1146" s="136">
        <v>1</v>
      </c>
      <c r="BG1146" s="214">
        <v>2186</v>
      </c>
      <c r="BH1146" s="214">
        <v>4.3719999999999999</v>
      </c>
      <c r="BI1146" s="134">
        <v>0</v>
      </c>
      <c r="BJ1146" s="214">
        <v>0</v>
      </c>
      <c r="BK1146" s="137">
        <v>0</v>
      </c>
      <c r="BL1146" s="137">
        <v>4</v>
      </c>
      <c r="BM1146" s="137">
        <v>107</v>
      </c>
      <c r="BN1146" s="134">
        <v>0.93321134492223234</v>
      </c>
      <c r="BO1146" s="351">
        <v>2040</v>
      </c>
      <c r="BP1146" s="134">
        <v>1.8298261665141813E-2</v>
      </c>
      <c r="BQ1146" s="214">
        <v>2</v>
      </c>
      <c r="BR1146" s="137">
        <v>109</v>
      </c>
      <c r="BS1146" s="138">
        <v>4.6728971962616821E-2</v>
      </c>
      <c r="BT1146" s="351">
        <v>500</v>
      </c>
      <c r="BU1146" s="214">
        <v>1000</v>
      </c>
      <c r="BV1146" s="214">
        <v>1</v>
      </c>
      <c r="BW1146" s="214">
        <v>0</v>
      </c>
      <c r="BX1146" s="214">
        <v>1</v>
      </c>
      <c r="BY1146" s="214">
        <v>2186</v>
      </c>
      <c r="BZ1146" s="134">
        <v>1</v>
      </c>
      <c r="CA1146" s="138">
        <v>0</v>
      </c>
      <c r="CB1146" s="136">
        <v>0.45745654162854527</v>
      </c>
      <c r="CC1146" s="136">
        <v>1</v>
      </c>
      <c r="CD1146" s="136">
        <v>1</v>
      </c>
      <c r="CE1146" s="137">
        <v>2000</v>
      </c>
      <c r="CF1146" s="137">
        <v>2000</v>
      </c>
      <c r="CG1146" s="137">
        <v>2000</v>
      </c>
      <c r="CH1146" s="214">
        <v>0</v>
      </c>
      <c r="CI1146" s="139">
        <v>0</v>
      </c>
      <c r="CJ1146" s="139">
        <v>0</v>
      </c>
      <c r="CK1146" s="139" t="s">
        <v>50</v>
      </c>
      <c r="CL1146" s="139" t="s">
        <v>50</v>
      </c>
      <c r="CM1146" s="139" t="s">
        <v>929</v>
      </c>
      <c r="CN1146" s="139" t="s">
        <v>966</v>
      </c>
      <c r="CO1146" s="139">
        <v>20.180194</v>
      </c>
      <c r="CP1146" s="139">
        <v>92.816638999999995</v>
      </c>
      <c r="CQ1146" s="139" t="s">
        <v>1649</v>
      </c>
      <c r="CR1146" s="449" t="s">
        <v>40</v>
      </c>
      <c r="CS1146" s="449"/>
      <c r="CT1146" s="24"/>
      <c r="CU1146" s="24"/>
      <c r="CV1146" s="24"/>
    </row>
    <row r="1147" spans="1:100" ht="15.75" customHeight="1" x14ac:dyDescent="0.25">
      <c r="A1147" s="643" t="s">
        <v>1388</v>
      </c>
      <c r="B1147" s="132" t="s">
        <v>479</v>
      </c>
      <c r="C1147" s="132" t="s">
        <v>454</v>
      </c>
      <c r="D1147" s="132" t="s">
        <v>455</v>
      </c>
      <c r="E1147" s="132" t="s">
        <v>592</v>
      </c>
      <c r="F1147" s="132">
        <v>400</v>
      </c>
      <c r="G1147" s="214">
        <v>2248</v>
      </c>
      <c r="H1147" s="132"/>
      <c r="I1147" s="132" t="s">
        <v>2560</v>
      </c>
      <c r="J1147" s="133">
        <v>43266</v>
      </c>
      <c r="K1147" s="132">
        <v>20</v>
      </c>
      <c r="L1147" s="132" t="s">
        <v>48</v>
      </c>
      <c r="M1147" s="134">
        <v>0</v>
      </c>
      <c r="N1147" s="134">
        <v>0</v>
      </c>
      <c r="O1147" s="320">
        <v>0</v>
      </c>
      <c r="P1147" s="326">
        <v>13</v>
      </c>
      <c r="Q1147" s="326">
        <v>0</v>
      </c>
      <c r="R1147" s="315">
        <v>1</v>
      </c>
      <c r="S1147" s="315"/>
      <c r="T1147" s="315"/>
      <c r="U1147" s="315">
        <v>13</v>
      </c>
      <c r="V1147" s="315">
        <v>11</v>
      </c>
      <c r="W1147" s="315">
        <v>13</v>
      </c>
      <c r="X1147" s="315">
        <v>10</v>
      </c>
      <c r="Y1147" s="315">
        <v>0</v>
      </c>
      <c r="Z1147" s="315"/>
      <c r="AA1147" s="336">
        <v>118</v>
      </c>
      <c r="AB1147" s="336">
        <v>24</v>
      </c>
      <c r="AC1147" s="337">
        <v>3</v>
      </c>
      <c r="AD1147" s="337"/>
      <c r="AE1147" s="336">
        <v>142</v>
      </c>
      <c r="AF1147" s="336" t="s">
        <v>283</v>
      </c>
      <c r="AG1147" s="339" t="s">
        <v>283</v>
      </c>
      <c r="AH1147" s="339">
        <v>0</v>
      </c>
      <c r="AI1147" s="336">
        <v>0</v>
      </c>
      <c r="AJ1147" s="336"/>
      <c r="AK1147" s="848">
        <v>0</v>
      </c>
      <c r="AL1147" s="836" t="s">
        <v>291</v>
      </c>
      <c r="AM1147" s="836">
        <v>399</v>
      </c>
      <c r="AN1147" s="848">
        <v>0</v>
      </c>
      <c r="AO1147" s="850">
        <v>10</v>
      </c>
      <c r="AP1147" s="839">
        <v>400</v>
      </c>
      <c r="AQ1147" s="839">
        <v>400</v>
      </c>
      <c r="AR1147" s="839"/>
      <c r="AS1147" s="839"/>
      <c r="AT1147" s="839"/>
      <c r="AU1147" s="839"/>
      <c r="AV1147" s="849"/>
      <c r="AW1147" s="134">
        <v>0.84615384615384615</v>
      </c>
      <c r="AX1147" s="136">
        <v>0.76923076923076927</v>
      </c>
      <c r="AY1147" s="137" t="s">
        <v>2577</v>
      </c>
      <c r="AZ1147" s="136">
        <v>1</v>
      </c>
      <c r="BA1147" s="136">
        <v>1</v>
      </c>
      <c r="BB1147" s="136">
        <v>1</v>
      </c>
      <c r="BC1147" s="214">
        <v>2248</v>
      </c>
      <c r="BD1147" s="136">
        <v>0.11120996441281139</v>
      </c>
      <c r="BE1147" s="214">
        <v>250</v>
      </c>
      <c r="BF1147" s="136">
        <v>1</v>
      </c>
      <c r="BG1147" s="214">
        <v>2248</v>
      </c>
      <c r="BH1147" s="214">
        <v>4.4960000000000004</v>
      </c>
      <c r="BI1147" s="134">
        <v>0</v>
      </c>
      <c r="BJ1147" s="214">
        <v>0</v>
      </c>
      <c r="BK1147" s="137">
        <v>0</v>
      </c>
      <c r="BL1147" s="137">
        <v>4</v>
      </c>
      <c r="BM1147" s="137">
        <v>142</v>
      </c>
      <c r="BN1147" s="134">
        <v>1</v>
      </c>
      <c r="BO1147" s="351">
        <v>2248</v>
      </c>
      <c r="BP1147" s="134">
        <v>0</v>
      </c>
      <c r="BQ1147" s="214">
        <v>0</v>
      </c>
      <c r="BR1147" s="137">
        <v>112</v>
      </c>
      <c r="BS1147" s="138">
        <v>0.16901408450704225</v>
      </c>
      <c r="BT1147" s="351">
        <v>60</v>
      </c>
      <c r="BU1147" s="214">
        <v>2248</v>
      </c>
      <c r="BV1147" s="214">
        <v>1</v>
      </c>
      <c r="BW1147" s="214">
        <v>1</v>
      </c>
      <c r="BX1147" s="214">
        <v>1</v>
      </c>
      <c r="BY1147" s="214">
        <v>2248</v>
      </c>
      <c r="BZ1147" s="134">
        <v>1</v>
      </c>
      <c r="CA1147" s="138">
        <v>0</v>
      </c>
      <c r="CB1147" s="136">
        <v>1</v>
      </c>
      <c r="CC1147" s="136">
        <v>1</v>
      </c>
      <c r="CD1147" s="136">
        <v>1</v>
      </c>
      <c r="CE1147" s="137">
        <v>2000</v>
      </c>
      <c r="CF1147" s="137">
        <v>2000</v>
      </c>
      <c r="CG1147" s="137">
        <v>2000</v>
      </c>
      <c r="CH1147" s="214">
        <v>0</v>
      </c>
      <c r="CI1147" s="139" t="s">
        <v>48</v>
      </c>
      <c r="CJ1147" s="139">
        <v>0</v>
      </c>
      <c r="CK1147" s="139" t="s">
        <v>50</v>
      </c>
      <c r="CL1147" s="139" t="s">
        <v>50</v>
      </c>
      <c r="CM1147" s="139" t="s">
        <v>965</v>
      </c>
      <c r="CN1147" s="139" t="s">
        <v>966</v>
      </c>
      <c r="CO1147" s="139">
        <v>20.181778000000001</v>
      </c>
      <c r="CP1147" s="139">
        <v>92.823166999999998</v>
      </c>
      <c r="CQ1147" s="139" t="s">
        <v>1653</v>
      </c>
      <c r="CR1147" s="449" t="s">
        <v>40</v>
      </c>
      <c r="CS1147" s="449"/>
      <c r="CT1147" s="24"/>
      <c r="CU1147" s="24"/>
      <c r="CV1147" s="24"/>
    </row>
    <row r="1148" spans="1:100" ht="15.75" customHeight="1" x14ac:dyDescent="0.25">
      <c r="A1148" s="643" t="s">
        <v>1388</v>
      </c>
      <c r="B1148" s="132" t="s">
        <v>460</v>
      </c>
      <c r="C1148" s="132" t="s">
        <v>454</v>
      </c>
      <c r="D1148" s="132" t="s">
        <v>455</v>
      </c>
      <c r="E1148" s="132" t="s">
        <v>616</v>
      </c>
      <c r="F1148" s="132">
        <v>197</v>
      </c>
      <c r="G1148" s="214">
        <v>488</v>
      </c>
      <c r="H1148" s="132"/>
      <c r="I1148" s="132"/>
      <c r="J1148" s="133"/>
      <c r="K1148" s="132"/>
      <c r="L1148" s="132" t="s">
        <v>282</v>
      </c>
      <c r="M1148" s="134">
        <v>0</v>
      </c>
      <c r="N1148" s="134">
        <v>0</v>
      </c>
      <c r="O1148" s="320">
        <v>9</v>
      </c>
      <c r="P1148" s="326">
        <v>4</v>
      </c>
      <c r="Q1148" s="326">
        <v>0</v>
      </c>
      <c r="R1148" s="315">
        <v>0</v>
      </c>
      <c r="S1148" s="315">
        <v>0</v>
      </c>
      <c r="T1148" s="315"/>
      <c r="U1148" s="315"/>
      <c r="V1148" s="315"/>
      <c r="W1148" s="315"/>
      <c r="X1148" s="315"/>
      <c r="Y1148" s="315"/>
      <c r="Z1148" s="315" t="s">
        <v>2459</v>
      </c>
      <c r="AA1148" s="336">
        <v>146</v>
      </c>
      <c r="AB1148" s="336">
        <v>0</v>
      </c>
      <c r="AC1148" s="337"/>
      <c r="AD1148" s="337"/>
      <c r="AE1148" s="336">
        <v>0</v>
      </c>
      <c r="AF1148" s="336" t="s">
        <v>1358</v>
      </c>
      <c r="AG1148" s="339" t="s">
        <v>1358</v>
      </c>
      <c r="AH1148" s="339"/>
      <c r="AI1148" s="336"/>
      <c r="AJ1148" s="336"/>
      <c r="AK1148" s="848">
        <v>0</v>
      </c>
      <c r="AL1148" s="836"/>
      <c r="AM1148" s="836">
        <v>0</v>
      </c>
      <c r="AN1148" s="848">
        <v>0</v>
      </c>
      <c r="AO1148" s="850">
        <v>0</v>
      </c>
      <c r="AP1148" s="839"/>
      <c r="AQ1148" s="839"/>
      <c r="AR1148" s="839"/>
      <c r="AS1148" s="839"/>
      <c r="AT1148" s="839"/>
      <c r="AU1148" s="839"/>
      <c r="AV1148" s="849"/>
      <c r="AW1148" s="134" t="s">
        <v>3208</v>
      </c>
      <c r="AX1148" s="136" t="s">
        <v>3208</v>
      </c>
      <c r="AY1148" s="137" t="s">
        <v>2576</v>
      </c>
      <c r="AZ1148" s="136">
        <v>1</v>
      </c>
      <c r="BA1148" s="136">
        <v>1</v>
      </c>
      <c r="BB1148" s="136">
        <v>1</v>
      </c>
      <c r="BC1148" s="214">
        <v>488</v>
      </c>
      <c r="BD1148" s="136">
        <v>0</v>
      </c>
      <c r="BE1148" s="214">
        <v>0</v>
      </c>
      <c r="BF1148" s="136">
        <v>1</v>
      </c>
      <c r="BG1148" s="214">
        <v>488</v>
      </c>
      <c r="BH1148" s="214">
        <v>0.97599999999999998</v>
      </c>
      <c r="BI1148" s="134">
        <v>0</v>
      </c>
      <c r="BJ1148" s="214">
        <v>0</v>
      </c>
      <c r="BK1148" s="137">
        <v>2.4000000000000021E-2</v>
      </c>
      <c r="BL1148" s="137">
        <v>1</v>
      </c>
      <c r="BM1148" s="137">
        <v>146</v>
      </c>
      <c r="BN1148" s="134">
        <v>1</v>
      </c>
      <c r="BO1148" s="351">
        <v>488</v>
      </c>
      <c r="BP1148" s="134">
        <v>0</v>
      </c>
      <c r="BQ1148" s="214">
        <v>0</v>
      </c>
      <c r="BR1148" s="137">
        <v>81</v>
      </c>
      <c r="BS1148" s="138">
        <v>0</v>
      </c>
      <c r="BT1148" s="351" t="s">
        <v>103</v>
      </c>
      <c r="BU1148" s="214">
        <v>0</v>
      </c>
      <c r="BV1148" s="214">
        <v>0</v>
      </c>
      <c r="BW1148" s="214">
        <v>0</v>
      </c>
      <c r="BX1148" s="214">
        <v>0</v>
      </c>
      <c r="BY1148" s="214">
        <v>0</v>
      </c>
      <c r="BZ1148" s="134">
        <v>0</v>
      </c>
      <c r="CA1148" s="138">
        <v>1</v>
      </c>
      <c r="CB1148" s="136">
        <v>0</v>
      </c>
      <c r="CC1148" s="136">
        <v>0</v>
      </c>
      <c r="CD1148" s="136">
        <v>0</v>
      </c>
      <c r="CE1148" s="137">
        <v>0</v>
      </c>
      <c r="CF1148" s="137">
        <v>0</v>
      </c>
      <c r="CG1148" s="137">
        <v>0</v>
      </c>
      <c r="CH1148" s="214">
        <v>0</v>
      </c>
      <c r="CI1148" s="139">
        <v>0</v>
      </c>
      <c r="CJ1148" s="139">
        <v>0</v>
      </c>
      <c r="CK1148" s="139" t="s">
        <v>969</v>
      </c>
      <c r="CL1148" s="139" t="s">
        <v>969</v>
      </c>
      <c r="CM1148" s="139" t="s">
        <v>969</v>
      </c>
      <c r="CN1148" s="139" t="s">
        <v>454</v>
      </c>
      <c r="CO1148" s="139">
        <v>20.245159149169901</v>
      </c>
      <c r="CP1148" s="139">
        <v>92.807418823242202</v>
      </c>
      <c r="CQ1148" s="139" t="s">
        <v>1673</v>
      </c>
      <c r="CR1148" s="449" t="s">
        <v>3209</v>
      </c>
      <c r="CS1148" s="449"/>
      <c r="CT1148" s="24"/>
      <c r="CU1148" s="24"/>
      <c r="CV1148" s="24"/>
    </row>
    <row r="1149" spans="1:100" ht="15.75" customHeight="1" x14ac:dyDescent="0.25">
      <c r="A1149" s="643" t="s">
        <v>1388</v>
      </c>
      <c r="B1149" s="132" t="s">
        <v>453</v>
      </c>
      <c r="C1149" s="132" t="s">
        <v>454</v>
      </c>
      <c r="D1149" s="132" t="s">
        <v>455</v>
      </c>
      <c r="E1149" s="132" t="s">
        <v>620</v>
      </c>
      <c r="F1149" s="132">
        <v>108</v>
      </c>
      <c r="G1149" s="214">
        <v>541</v>
      </c>
      <c r="H1149" s="132"/>
      <c r="I1149" s="132"/>
      <c r="J1149" s="133"/>
      <c r="K1149" s="132"/>
      <c r="L1149" s="132"/>
      <c r="M1149" s="134"/>
      <c r="N1149" s="134"/>
      <c r="O1149" s="320">
        <v>0</v>
      </c>
      <c r="P1149" s="326">
        <v>1</v>
      </c>
      <c r="Q1149" s="326"/>
      <c r="R1149" s="315"/>
      <c r="S1149" s="315"/>
      <c r="T1149" s="315"/>
      <c r="U1149" s="315"/>
      <c r="V1149" s="315"/>
      <c r="W1149" s="315"/>
      <c r="X1149" s="315"/>
      <c r="Y1149" s="315"/>
      <c r="Z1149" s="315"/>
      <c r="AA1149" s="336">
        <v>0</v>
      </c>
      <c r="AB1149" s="336"/>
      <c r="AC1149" s="337"/>
      <c r="AD1149" s="337"/>
      <c r="AE1149" s="336"/>
      <c r="AF1149" s="336" t="s">
        <v>286</v>
      </c>
      <c r="AG1149" s="339" t="s">
        <v>286</v>
      </c>
      <c r="AH1149" s="339"/>
      <c r="AI1149" s="336"/>
      <c r="AJ1149" s="336"/>
      <c r="AK1149" s="848"/>
      <c r="AL1149" s="836"/>
      <c r="AM1149" s="836"/>
      <c r="AN1149" s="848"/>
      <c r="AO1149" s="850"/>
      <c r="AP1149" s="839"/>
      <c r="AQ1149" s="839"/>
      <c r="AR1149" s="839"/>
      <c r="AS1149" s="839"/>
      <c r="AT1149" s="839"/>
      <c r="AU1149" s="839"/>
      <c r="AV1149" s="849"/>
      <c r="AW1149" s="134" t="s">
        <v>3208</v>
      </c>
      <c r="AX1149" s="136" t="s">
        <v>3208</v>
      </c>
      <c r="AY1149" s="137" t="s">
        <v>2576</v>
      </c>
      <c r="AZ1149" s="136">
        <v>1</v>
      </c>
      <c r="BA1149" s="136">
        <v>0.46210720887245843</v>
      </c>
      <c r="BB1149" s="136">
        <v>0.46210720887245843</v>
      </c>
      <c r="BC1149" s="214">
        <v>250</v>
      </c>
      <c r="BD1149" s="136">
        <v>0</v>
      </c>
      <c r="BE1149" s="214">
        <v>0</v>
      </c>
      <c r="BF1149" s="136">
        <v>0.46210720887245843</v>
      </c>
      <c r="BG1149" s="214">
        <v>250</v>
      </c>
      <c r="BH1149" s="214">
        <v>0.5</v>
      </c>
      <c r="BI1149" s="134">
        <v>0.53789279112754151</v>
      </c>
      <c r="BJ1149" s="214">
        <v>290.99999999999994</v>
      </c>
      <c r="BK1149" s="137">
        <v>0.5</v>
      </c>
      <c r="BL1149" s="137">
        <v>1</v>
      </c>
      <c r="BM1149" s="137">
        <v>0</v>
      </c>
      <c r="BN1149" s="134">
        <v>0</v>
      </c>
      <c r="BO1149" s="351">
        <v>0</v>
      </c>
      <c r="BP1149" s="134">
        <v>0.99815157116451014</v>
      </c>
      <c r="BQ1149" s="214">
        <v>90</v>
      </c>
      <c r="BR1149" s="137">
        <v>90</v>
      </c>
      <c r="BS1149" s="138">
        <v>0</v>
      </c>
      <c r="BT1149" s="351" t="s">
        <v>103</v>
      </c>
      <c r="BU1149" s="214">
        <v>0</v>
      </c>
      <c r="BV1149" s="214">
        <v>0</v>
      </c>
      <c r="BW1149" s="214">
        <v>0</v>
      </c>
      <c r="BX1149" s="214">
        <v>0</v>
      </c>
      <c r="BY1149" s="214">
        <v>0</v>
      </c>
      <c r="BZ1149" s="134">
        <v>0</v>
      </c>
      <c r="CA1149" s="138">
        <v>1</v>
      </c>
      <c r="CB1149" s="136">
        <v>0</v>
      </c>
      <c r="CC1149" s="136">
        <v>0</v>
      </c>
      <c r="CD1149" s="136">
        <v>0</v>
      </c>
      <c r="CE1149" s="137">
        <v>0</v>
      </c>
      <c r="CF1149" s="137">
        <v>0</v>
      </c>
      <c r="CG1149" s="137">
        <v>0</v>
      </c>
      <c r="CH1149" s="214">
        <v>0</v>
      </c>
      <c r="CI1149" s="139">
        <v>0</v>
      </c>
      <c r="CJ1149" s="139">
        <v>0</v>
      </c>
      <c r="CK1149" s="139" t="s">
        <v>975</v>
      </c>
      <c r="CL1149" s="139" t="s">
        <v>969</v>
      </c>
      <c r="CM1149" s="139" t="s">
        <v>975</v>
      </c>
      <c r="CN1149" s="139" t="s">
        <v>454</v>
      </c>
      <c r="CO1149" s="139">
        <v>20.272630691528299</v>
      </c>
      <c r="CP1149" s="139">
        <v>92.84326171875</v>
      </c>
      <c r="CQ1149" s="139">
        <v>196163</v>
      </c>
      <c r="CR1149" s="449" t="s">
        <v>40</v>
      </c>
      <c r="CS1149" s="449"/>
      <c r="CT1149" s="24"/>
      <c r="CU1149" s="24"/>
      <c r="CV1149" s="24"/>
    </row>
    <row r="1150" spans="1:100" ht="15.75" customHeight="1" x14ac:dyDescent="0.25">
      <c r="A1150" s="643" t="s">
        <v>1388</v>
      </c>
      <c r="B1150" s="132" t="s">
        <v>527</v>
      </c>
      <c r="C1150" s="132" t="s">
        <v>454</v>
      </c>
      <c r="D1150" s="132" t="s">
        <v>455</v>
      </c>
      <c r="E1150" s="132" t="s">
        <v>596</v>
      </c>
      <c r="F1150" s="132">
        <v>656</v>
      </c>
      <c r="G1150" s="214">
        <v>3486</v>
      </c>
      <c r="H1150" s="132">
        <v>0</v>
      </c>
      <c r="I1150" s="132" t="s">
        <v>47</v>
      </c>
      <c r="J1150" s="133">
        <v>44104</v>
      </c>
      <c r="K1150" s="132">
        <v>0</v>
      </c>
      <c r="L1150" s="132" t="s">
        <v>282</v>
      </c>
      <c r="M1150" s="134">
        <v>0</v>
      </c>
      <c r="N1150" s="134">
        <v>0</v>
      </c>
      <c r="O1150" s="320">
        <v>0</v>
      </c>
      <c r="P1150" s="326">
        <v>37</v>
      </c>
      <c r="Q1150" s="326"/>
      <c r="R1150" s="315">
        <v>0</v>
      </c>
      <c r="S1150" s="315">
        <v>46</v>
      </c>
      <c r="T1150" s="315"/>
      <c r="U1150" s="315">
        <v>35</v>
      </c>
      <c r="V1150" s="315">
        <v>24</v>
      </c>
      <c r="W1150" s="315">
        <v>84</v>
      </c>
      <c r="X1150" s="315">
        <v>51</v>
      </c>
      <c r="Y1150" s="315">
        <v>8</v>
      </c>
      <c r="Z1150" s="315"/>
      <c r="AA1150" s="336">
        <v>109</v>
      </c>
      <c r="AB1150" s="336">
        <v>126</v>
      </c>
      <c r="AC1150" s="337">
        <v>0</v>
      </c>
      <c r="AD1150" s="337"/>
      <c r="AE1150" s="336">
        <v>235</v>
      </c>
      <c r="AF1150" s="336" t="s">
        <v>283</v>
      </c>
      <c r="AG1150" s="339" t="s">
        <v>1358</v>
      </c>
      <c r="AH1150" s="339">
        <v>0</v>
      </c>
      <c r="AI1150" s="336">
        <v>2</v>
      </c>
      <c r="AJ1150" s="336"/>
      <c r="AK1150" s="848">
        <v>1</v>
      </c>
      <c r="AL1150" s="836" t="s">
        <v>284</v>
      </c>
      <c r="AM1150" s="836">
        <v>656</v>
      </c>
      <c r="AN1150" s="848">
        <v>0</v>
      </c>
      <c r="AO1150" s="850">
        <v>5</v>
      </c>
      <c r="AP1150" s="839">
        <v>656</v>
      </c>
      <c r="AQ1150" s="839">
        <v>656</v>
      </c>
      <c r="AR1150" s="839" t="s">
        <v>282</v>
      </c>
      <c r="AS1150" s="839"/>
      <c r="AT1150" s="839"/>
      <c r="AU1150" s="839"/>
      <c r="AV1150" s="849"/>
      <c r="AW1150" s="134">
        <v>0.68571428571428572</v>
      </c>
      <c r="AX1150" s="136">
        <v>0.6071428571428571</v>
      </c>
      <c r="AY1150" s="137" t="s">
        <v>2577</v>
      </c>
      <c r="AZ1150" s="136">
        <v>1</v>
      </c>
      <c r="BA1150" s="136">
        <v>1</v>
      </c>
      <c r="BB1150" s="136">
        <v>1</v>
      </c>
      <c r="BC1150" s="214">
        <v>3486</v>
      </c>
      <c r="BD1150" s="136">
        <v>0</v>
      </c>
      <c r="BE1150" s="214">
        <v>0</v>
      </c>
      <c r="BF1150" s="136">
        <v>1</v>
      </c>
      <c r="BG1150" s="214">
        <v>3486</v>
      </c>
      <c r="BH1150" s="214">
        <v>6.9720000000000004</v>
      </c>
      <c r="BI1150" s="134">
        <v>0</v>
      </c>
      <c r="BJ1150" s="214">
        <v>0</v>
      </c>
      <c r="BK1150" s="137">
        <v>2.7999999999999581E-2</v>
      </c>
      <c r="BL1150" s="137">
        <v>7</v>
      </c>
      <c r="BM1150" s="137">
        <v>235</v>
      </c>
      <c r="BN1150" s="134">
        <v>0.62535857716580612</v>
      </c>
      <c r="BO1150" s="351">
        <v>2180</v>
      </c>
      <c r="BP1150" s="134">
        <v>0</v>
      </c>
      <c r="BQ1150" s="214">
        <v>0</v>
      </c>
      <c r="BR1150" s="137">
        <v>174</v>
      </c>
      <c r="BS1150" s="138">
        <v>0.53617021276595744</v>
      </c>
      <c r="BT1150" s="351">
        <v>0</v>
      </c>
      <c r="BU1150" s="214">
        <v>2500</v>
      </c>
      <c r="BV1150" s="214">
        <v>1</v>
      </c>
      <c r="BW1150" s="214">
        <v>0</v>
      </c>
      <c r="BX1150" s="214">
        <v>1</v>
      </c>
      <c r="BY1150" s="214">
        <v>3486</v>
      </c>
      <c r="BZ1150" s="134">
        <v>1</v>
      </c>
      <c r="CA1150" s="138">
        <v>0</v>
      </c>
      <c r="CB1150" s="136">
        <v>0.71715433161216291</v>
      </c>
      <c r="CC1150" s="136">
        <v>1</v>
      </c>
      <c r="CD1150" s="136">
        <v>1</v>
      </c>
      <c r="CE1150" s="137">
        <v>3280</v>
      </c>
      <c r="CF1150" s="137">
        <v>3280</v>
      </c>
      <c r="CG1150" s="137">
        <v>3280</v>
      </c>
      <c r="CH1150" s="214">
        <v>656</v>
      </c>
      <c r="CI1150" s="139" t="s">
        <v>48</v>
      </c>
      <c r="CJ1150" s="139">
        <v>0</v>
      </c>
      <c r="CK1150" s="139" t="s">
        <v>50</v>
      </c>
      <c r="CL1150" s="139" t="s">
        <v>50</v>
      </c>
      <c r="CM1150" s="139" t="s">
        <v>965</v>
      </c>
      <c r="CN1150" s="139" t="s">
        <v>966</v>
      </c>
      <c r="CO1150" s="139">
        <v>20.185917</v>
      </c>
      <c r="CP1150" s="139">
        <v>92.831000000000003</v>
      </c>
      <c r="CQ1150" s="139" t="s">
        <v>1656</v>
      </c>
      <c r="CR1150" s="449" t="s">
        <v>40</v>
      </c>
      <c r="CS1150" s="449"/>
      <c r="CT1150" s="24"/>
      <c r="CU1150" s="24"/>
      <c r="CV1150" s="24"/>
    </row>
    <row r="1151" spans="1:100" ht="15.75" customHeight="1" x14ac:dyDescent="0.25">
      <c r="A1151" s="643" t="s">
        <v>1388</v>
      </c>
      <c r="B1151" s="132" t="s">
        <v>447</v>
      </c>
      <c r="C1151" s="132" t="s">
        <v>454</v>
      </c>
      <c r="D1151" s="132" t="s">
        <v>455</v>
      </c>
      <c r="E1151" s="132" t="s">
        <v>613</v>
      </c>
      <c r="F1151" s="132">
        <v>250</v>
      </c>
      <c r="G1151" s="214">
        <v>1183</v>
      </c>
      <c r="H1151" s="132"/>
      <c r="I1151" s="132" t="s">
        <v>449</v>
      </c>
      <c r="J1151" s="133">
        <v>43356</v>
      </c>
      <c r="K1151" s="132">
        <v>0</v>
      </c>
      <c r="L1151" s="132" t="s">
        <v>282</v>
      </c>
      <c r="M1151" s="134">
        <v>0</v>
      </c>
      <c r="N1151" s="134">
        <v>0</v>
      </c>
      <c r="O1151" s="320">
        <v>11</v>
      </c>
      <c r="P1151" s="326">
        <v>21</v>
      </c>
      <c r="Q1151" s="326">
        <v>0</v>
      </c>
      <c r="R1151" s="315">
        <v>0</v>
      </c>
      <c r="S1151" s="315">
        <v>0</v>
      </c>
      <c r="T1151" s="315"/>
      <c r="U1151" s="315">
        <v>0</v>
      </c>
      <c r="V1151" s="315">
        <v>0</v>
      </c>
      <c r="W1151" s="315">
        <v>0</v>
      </c>
      <c r="X1151" s="315">
        <v>0</v>
      </c>
      <c r="Y1151" s="315">
        <v>0</v>
      </c>
      <c r="Z1151" s="315"/>
      <c r="AA1151" s="336">
        <v>65</v>
      </c>
      <c r="AB1151" s="336">
        <v>0</v>
      </c>
      <c r="AC1151" s="337">
        <v>0</v>
      </c>
      <c r="AD1151" s="337"/>
      <c r="AE1151" s="336">
        <v>0</v>
      </c>
      <c r="AF1151" s="336" t="s">
        <v>286</v>
      </c>
      <c r="AG1151" s="339" t="s">
        <v>286</v>
      </c>
      <c r="AH1151" s="339">
        <v>0</v>
      </c>
      <c r="AI1151" s="336">
        <v>0</v>
      </c>
      <c r="AJ1151" s="336"/>
      <c r="AK1151" s="848">
        <v>0</v>
      </c>
      <c r="AL1151" s="836" t="s">
        <v>284</v>
      </c>
      <c r="AM1151" s="836">
        <v>0</v>
      </c>
      <c r="AN1151" s="848">
        <v>0</v>
      </c>
      <c r="AO1151" s="850">
        <v>1</v>
      </c>
      <c r="AP1151" s="839">
        <v>0</v>
      </c>
      <c r="AQ1151" s="839">
        <v>0</v>
      </c>
      <c r="AR1151" s="839"/>
      <c r="AS1151" s="839"/>
      <c r="AT1151" s="839"/>
      <c r="AU1151" s="839"/>
      <c r="AV1151" s="849"/>
      <c r="AW1151" s="134" t="s">
        <v>3208</v>
      </c>
      <c r="AX1151" s="136" t="s">
        <v>3208</v>
      </c>
      <c r="AY1151" s="137" t="s">
        <v>2576</v>
      </c>
      <c r="AZ1151" s="136">
        <v>1</v>
      </c>
      <c r="BA1151" s="136">
        <v>1</v>
      </c>
      <c r="BB1151" s="136">
        <v>1</v>
      </c>
      <c r="BC1151" s="214">
        <v>1183</v>
      </c>
      <c r="BD1151" s="136">
        <v>0</v>
      </c>
      <c r="BE1151" s="214">
        <v>0</v>
      </c>
      <c r="BF1151" s="136">
        <v>1</v>
      </c>
      <c r="BG1151" s="214">
        <v>1183</v>
      </c>
      <c r="BH1151" s="214">
        <v>2.3660000000000001</v>
      </c>
      <c r="BI1151" s="134">
        <v>0</v>
      </c>
      <c r="BJ1151" s="214">
        <v>0</v>
      </c>
      <c r="BK1151" s="137">
        <v>0</v>
      </c>
      <c r="BL1151" s="137">
        <v>2</v>
      </c>
      <c r="BM1151" s="137">
        <v>65</v>
      </c>
      <c r="BN1151" s="134">
        <v>0.32967032967032966</v>
      </c>
      <c r="BO1151" s="351">
        <v>390</v>
      </c>
      <c r="BP1151" s="134">
        <v>0.66948436179205417</v>
      </c>
      <c r="BQ1151" s="214">
        <v>132</v>
      </c>
      <c r="BR1151" s="137">
        <v>197</v>
      </c>
      <c r="BS1151" s="138">
        <v>0</v>
      </c>
      <c r="BT1151" s="351" t="s">
        <v>103</v>
      </c>
      <c r="BU1151" s="214">
        <v>500</v>
      </c>
      <c r="BV1151" s="214">
        <v>0</v>
      </c>
      <c r="BW1151" s="214">
        <v>0</v>
      </c>
      <c r="BX1151" s="214">
        <v>0</v>
      </c>
      <c r="BY1151" s="214">
        <v>0</v>
      </c>
      <c r="BZ1151" s="134">
        <v>0</v>
      </c>
      <c r="CA1151" s="138">
        <v>1</v>
      </c>
      <c r="CB1151" s="136">
        <v>0.42265426880811496</v>
      </c>
      <c r="CC1151" s="136">
        <v>0</v>
      </c>
      <c r="CD1151" s="136">
        <v>0</v>
      </c>
      <c r="CE1151" s="137">
        <v>0</v>
      </c>
      <c r="CF1151" s="137">
        <v>0</v>
      </c>
      <c r="CG1151" s="137">
        <v>0</v>
      </c>
      <c r="CH1151" s="214">
        <v>0</v>
      </c>
      <c r="CI1151" s="139">
        <v>0</v>
      </c>
      <c r="CJ1151" s="139">
        <v>0</v>
      </c>
      <c r="CK1151" s="139" t="s">
        <v>969</v>
      </c>
      <c r="CL1151" s="139" t="s">
        <v>969</v>
      </c>
      <c r="CM1151" s="139" t="s">
        <v>969</v>
      </c>
      <c r="CN1151" s="139" t="s">
        <v>966</v>
      </c>
      <c r="CO1151" s="139">
        <v>20.2302</v>
      </c>
      <c r="CP1151" s="139">
        <v>92.817999999999998</v>
      </c>
      <c r="CQ1151" s="139" t="s">
        <v>1669</v>
      </c>
      <c r="CR1151" s="449" t="s">
        <v>40</v>
      </c>
      <c r="CS1151" s="449"/>
      <c r="CT1151" s="24"/>
      <c r="CU1151" s="24"/>
      <c r="CV1151" s="24"/>
    </row>
    <row r="1152" spans="1:100" ht="15.75" customHeight="1" x14ac:dyDescent="0.25">
      <c r="A1152" s="643" t="s">
        <v>1388</v>
      </c>
      <c r="B1152" s="132" t="s">
        <v>447</v>
      </c>
      <c r="C1152" s="132" t="s">
        <v>454</v>
      </c>
      <c r="D1152" s="132" t="s">
        <v>455</v>
      </c>
      <c r="E1152" s="132" t="s">
        <v>608</v>
      </c>
      <c r="F1152" s="132">
        <v>164</v>
      </c>
      <c r="G1152" s="214">
        <v>908</v>
      </c>
      <c r="H1152" s="132"/>
      <c r="I1152" s="132" t="s">
        <v>449</v>
      </c>
      <c r="J1152" s="133">
        <v>43356</v>
      </c>
      <c r="K1152" s="132">
        <v>0</v>
      </c>
      <c r="L1152" s="132" t="s">
        <v>282</v>
      </c>
      <c r="M1152" s="134">
        <v>0</v>
      </c>
      <c r="N1152" s="134">
        <v>0</v>
      </c>
      <c r="O1152" s="320">
        <v>20</v>
      </c>
      <c r="P1152" s="326">
        <v>35</v>
      </c>
      <c r="Q1152" s="326">
        <v>0</v>
      </c>
      <c r="R1152" s="315">
        <v>0</v>
      </c>
      <c r="S1152" s="315">
        <v>0</v>
      </c>
      <c r="T1152" s="315"/>
      <c r="U1152" s="315">
        <v>0</v>
      </c>
      <c r="V1152" s="315">
        <v>0</v>
      </c>
      <c r="W1152" s="315">
        <v>0</v>
      </c>
      <c r="X1152" s="315">
        <v>0</v>
      </c>
      <c r="Y1152" s="315">
        <v>0</v>
      </c>
      <c r="Z1152" s="315"/>
      <c r="AA1152" s="336">
        <v>48</v>
      </c>
      <c r="AB1152" s="336">
        <v>0</v>
      </c>
      <c r="AC1152" s="337">
        <v>0</v>
      </c>
      <c r="AD1152" s="337"/>
      <c r="AE1152" s="336">
        <v>0</v>
      </c>
      <c r="AF1152" s="336" t="s">
        <v>286</v>
      </c>
      <c r="AG1152" s="339" t="s">
        <v>286</v>
      </c>
      <c r="AH1152" s="339">
        <v>0</v>
      </c>
      <c r="AI1152" s="336">
        <v>0</v>
      </c>
      <c r="AJ1152" s="336"/>
      <c r="AK1152" s="848">
        <v>0</v>
      </c>
      <c r="AL1152" s="836" t="s">
        <v>284</v>
      </c>
      <c r="AM1152" s="836">
        <v>0</v>
      </c>
      <c r="AN1152" s="848">
        <v>0</v>
      </c>
      <c r="AO1152" s="850">
        <v>1</v>
      </c>
      <c r="AP1152" s="839">
        <v>0</v>
      </c>
      <c r="AQ1152" s="839">
        <v>0</v>
      </c>
      <c r="AR1152" s="839"/>
      <c r="AS1152" s="839"/>
      <c r="AT1152" s="839"/>
      <c r="AU1152" s="839"/>
      <c r="AV1152" s="849"/>
      <c r="AW1152" s="134" t="s">
        <v>3208</v>
      </c>
      <c r="AX1152" s="136" t="s">
        <v>3208</v>
      </c>
      <c r="AY1152" s="137" t="s">
        <v>2576</v>
      </c>
      <c r="AZ1152" s="136">
        <v>1</v>
      </c>
      <c r="BA1152" s="136">
        <v>1</v>
      </c>
      <c r="BB1152" s="136">
        <v>1</v>
      </c>
      <c r="BC1152" s="214">
        <v>908</v>
      </c>
      <c r="BD1152" s="136">
        <v>0</v>
      </c>
      <c r="BE1152" s="214">
        <v>0</v>
      </c>
      <c r="BF1152" s="136">
        <v>1</v>
      </c>
      <c r="BG1152" s="214">
        <v>908</v>
      </c>
      <c r="BH1152" s="214">
        <v>1.8160000000000001</v>
      </c>
      <c r="BI1152" s="134">
        <v>0</v>
      </c>
      <c r="BJ1152" s="214">
        <v>0</v>
      </c>
      <c r="BK1152" s="137">
        <v>0.18399999999999994</v>
      </c>
      <c r="BL1152" s="137">
        <v>2</v>
      </c>
      <c r="BM1152" s="137">
        <v>48</v>
      </c>
      <c r="BN1152" s="134">
        <v>0.31718061674008813</v>
      </c>
      <c r="BO1152" s="351">
        <v>288</v>
      </c>
      <c r="BP1152" s="134">
        <v>0.68061674008810569</v>
      </c>
      <c r="BQ1152" s="214">
        <v>103</v>
      </c>
      <c r="BR1152" s="137">
        <v>151</v>
      </c>
      <c r="BS1152" s="138">
        <v>0</v>
      </c>
      <c r="BT1152" s="351" t="s">
        <v>103</v>
      </c>
      <c r="BU1152" s="214">
        <v>500</v>
      </c>
      <c r="BV1152" s="214">
        <v>0</v>
      </c>
      <c r="BW1152" s="214">
        <v>1</v>
      </c>
      <c r="BX1152" s="214">
        <v>0</v>
      </c>
      <c r="BY1152" s="214">
        <v>0</v>
      </c>
      <c r="BZ1152" s="134">
        <v>0</v>
      </c>
      <c r="CA1152" s="138">
        <v>1</v>
      </c>
      <c r="CB1152" s="136">
        <v>0.5506607929515418</v>
      </c>
      <c r="CC1152" s="136">
        <v>0</v>
      </c>
      <c r="CD1152" s="136">
        <v>0</v>
      </c>
      <c r="CE1152" s="137">
        <v>0</v>
      </c>
      <c r="CF1152" s="137">
        <v>0</v>
      </c>
      <c r="CG1152" s="137">
        <v>0</v>
      </c>
      <c r="CH1152" s="214">
        <v>0</v>
      </c>
      <c r="CI1152" s="139">
        <v>0</v>
      </c>
      <c r="CJ1152" s="139">
        <v>0</v>
      </c>
      <c r="CK1152" s="139" t="s">
        <v>969</v>
      </c>
      <c r="CL1152" s="139" t="s">
        <v>969</v>
      </c>
      <c r="CM1152" s="139" t="s">
        <v>969</v>
      </c>
      <c r="CN1152" s="139" t="s">
        <v>966</v>
      </c>
      <c r="CO1152" s="139">
        <v>20.212700000000002</v>
      </c>
      <c r="CP1152" s="139">
        <v>92.820800000000006</v>
      </c>
      <c r="CQ1152" s="139" t="s">
        <v>1665</v>
      </c>
      <c r="CR1152" s="449" t="s">
        <v>40</v>
      </c>
      <c r="CS1152" s="449"/>
      <c r="CT1152" s="24"/>
      <c r="CU1152" s="24"/>
      <c r="CV1152" s="24"/>
    </row>
    <row r="1153" spans="1:100" ht="15.75" customHeight="1" x14ac:dyDescent="0.25">
      <c r="A1153" s="643" t="s">
        <v>1388</v>
      </c>
      <c r="B1153" s="132" t="s">
        <v>447</v>
      </c>
      <c r="C1153" s="132" t="s">
        <v>454</v>
      </c>
      <c r="D1153" s="132" t="s">
        <v>455</v>
      </c>
      <c r="E1153" s="132" t="s">
        <v>1046</v>
      </c>
      <c r="F1153" s="132">
        <v>325</v>
      </c>
      <c r="G1153" s="214">
        <v>1857</v>
      </c>
      <c r="H1153" s="132"/>
      <c r="I1153" s="132" t="s">
        <v>449</v>
      </c>
      <c r="J1153" s="133">
        <v>43356</v>
      </c>
      <c r="K1153" s="132">
        <v>0</v>
      </c>
      <c r="L1153" s="132" t="s">
        <v>282</v>
      </c>
      <c r="M1153" s="134">
        <v>0</v>
      </c>
      <c r="N1153" s="134">
        <v>0</v>
      </c>
      <c r="O1153" s="320">
        <v>20</v>
      </c>
      <c r="P1153" s="326">
        <v>30</v>
      </c>
      <c r="Q1153" s="326">
        <v>0</v>
      </c>
      <c r="R1153" s="315">
        <v>0</v>
      </c>
      <c r="S1153" s="315">
        <v>0</v>
      </c>
      <c r="T1153" s="315"/>
      <c r="U1153" s="315">
        <v>0</v>
      </c>
      <c r="V1153" s="315">
        <v>0</v>
      </c>
      <c r="W1153" s="315">
        <v>0</v>
      </c>
      <c r="X1153" s="315">
        <v>0</v>
      </c>
      <c r="Y1153" s="315">
        <v>0</v>
      </c>
      <c r="Z1153" s="315"/>
      <c r="AA1153" s="336">
        <v>64</v>
      </c>
      <c r="AB1153" s="336">
        <v>0</v>
      </c>
      <c r="AC1153" s="337">
        <v>0</v>
      </c>
      <c r="AD1153" s="337"/>
      <c r="AE1153" s="336">
        <v>0</v>
      </c>
      <c r="AF1153" s="336" t="s">
        <v>286</v>
      </c>
      <c r="AG1153" s="339" t="s">
        <v>286</v>
      </c>
      <c r="AH1153" s="339">
        <v>0</v>
      </c>
      <c r="AI1153" s="336">
        <v>0</v>
      </c>
      <c r="AJ1153" s="336"/>
      <c r="AK1153" s="848">
        <v>0</v>
      </c>
      <c r="AL1153" s="836" t="s">
        <v>284</v>
      </c>
      <c r="AM1153" s="836">
        <v>0</v>
      </c>
      <c r="AN1153" s="848">
        <v>0</v>
      </c>
      <c r="AO1153" s="850">
        <v>1</v>
      </c>
      <c r="AP1153" s="839">
        <v>0</v>
      </c>
      <c r="AQ1153" s="839">
        <v>0</v>
      </c>
      <c r="AR1153" s="839"/>
      <c r="AS1153" s="839"/>
      <c r="AT1153" s="839"/>
      <c r="AU1153" s="839"/>
      <c r="AV1153" s="849"/>
      <c r="AW1153" s="134" t="s">
        <v>3208</v>
      </c>
      <c r="AX1153" s="136" t="s">
        <v>3208</v>
      </c>
      <c r="AY1153" s="137" t="s">
        <v>2576</v>
      </c>
      <c r="AZ1153" s="136">
        <v>1</v>
      </c>
      <c r="BA1153" s="136">
        <v>1</v>
      </c>
      <c r="BB1153" s="136">
        <v>1</v>
      </c>
      <c r="BC1153" s="214">
        <v>1857</v>
      </c>
      <c r="BD1153" s="136">
        <v>0</v>
      </c>
      <c r="BE1153" s="214">
        <v>0</v>
      </c>
      <c r="BF1153" s="136">
        <v>1</v>
      </c>
      <c r="BG1153" s="214">
        <v>1857</v>
      </c>
      <c r="BH1153" s="214">
        <v>3.714</v>
      </c>
      <c r="BI1153" s="134">
        <v>0</v>
      </c>
      <c r="BJ1153" s="214">
        <v>0</v>
      </c>
      <c r="BK1153" s="137">
        <v>0.28600000000000003</v>
      </c>
      <c r="BL1153" s="137">
        <v>4</v>
      </c>
      <c r="BM1153" s="137">
        <v>64</v>
      </c>
      <c r="BN1153" s="134">
        <v>0.20678513731825526</v>
      </c>
      <c r="BO1153" s="351">
        <v>384</v>
      </c>
      <c r="BP1153" s="134">
        <v>0.79483037156704361</v>
      </c>
      <c r="BQ1153" s="214">
        <v>246</v>
      </c>
      <c r="BR1153" s="137">
        <v>310</v>
      </c>
      <c r="BS1153" s="138">
        <v>0</v>
      </c>
      <c r="BT1153" s="351" t="s">
        <v>103</v>
      </c>
      <c r="BU1153" s="214">
        <v>500</v>
      </c>
      <c r="BV1153" s="214">
        <v>0</v>
      </c>
      <c r="BW1153" s="214">
        <v>0</v>
      </c>
      <c r="BX1153" s="214">
        <v>0</v>
      </c>
      <c r="BY1153" s="214">
        <v>0</v>
      </c>
      <c r="BZ1153" s="134">
        <v>0</v>
      </c>
      <c r="CA1153" s="138">
        <v>1</v>
      </c>
      <c r="CB1153" s="136">
        <v>0.26925148088314488</v>
      </c>
      <c r="CC1153" s="136">
        <v>0</v>
      </c>
      <c r="CD1153" s="136">
        <v>0</v>
      </c>
      <c r="CE1153" s="137">
        <v>0</v>
      </c>
      <c r="CF1153" s="137">
        <v>0</v>
      </c>
      <c r="CG1153" s="137">
        <v>0</v>
      </c>
      <c r="CH1153" s="214">
        <v>0</v>
      </c>
      <c r="CI1153" s="139">
        <v>0</v>
      </c>
      <c r="CJ1153" s="139">
        <v>0</v>
      </c>
      <c r="CK1153" s="139" t="s">
        <v>969</v>
      </c>
      <c r="CL1153" s="139" t="s">
        <v>969</v>
      </c>
      <c r="CM1153" s="139" t="s">
        <v>969</v>
      </c>
      <c r="CN1153" s="139" t="s">
        <v>966</v>
      </c>
      <c r="CO1153" s="139">
        <v>20.219509124755898</v>
      </c>
      <c r="CP1153" s="139">
        <v>92.811332702636705</v>
      </c>
      <c r="CQ1153" s="139">
        <v>196145</v>
      </c>
      <c r="CR1153" s="449" t="s">
        <v>40</v>
      </c>
      <c r="CS1153" s="449"/>
      <c r="CT1153" s="24"/>
      <c r="CU1153" s="24"/>
      <c r="CV1153" s="24"/>
    </row>
    <row r="1154" spans="1:100" ht="15.75" customHeight="1" x14ac:dyDescent="0.25">
      <c r="A1154" s="643" t="s">
        <v>1388</v>
      </c>
      <c r="B1154" s="132" t="s">
        <v>453</v>
      </c>
      <c r="C1154" s="132" t="s">
        <v>454</v>
      </c>
      <c r="D1154" s="132" t="s">
        <v>455</v>
      </c>
      <c r="E1154" s="132" t="s">
        <v>617</v>
      </c>
      <c r="F1154" s="132">
        <v>51</v>
      </c>
      <c r="G1154" s="214">
        <v>256</v>
      </c>
      <c r="H1154" s="132"/>
      <c r="I1154" s="132"/>
      <c r="J1154" s="133"/>
      <c r="K1154" s="132"/>
      <c r="L1154" s="132"/>
      <c r="M1154" s="134"/>
      <c r="N1154" s="134"/>
      <c r="O1154" s="320">
        <v>0</v>
      </c>
      <c r="P1154" s="326">
        <v>1</v>
      </c>
      <c r="Q1154" s="326"/>
      <c r="R1154" s="315"/>
      <c r="S1154" s="315"/>
      <c r="T1154" s="315"/>
      <c r="U1154" s="315"/>
      <c r="V1154" s="315"/>
      <c r="W1154" s="315"/>
      <c r="X1154" s="315"/>
      <c r="Y1154" s="315"/>
      <c r="Z1154" s="315"/>
      <c r="AA1154" s="336">
        <v>0</v>
      </c>
      <c r="AB1154" s="336"/>
      <c r="AC1154" s="337"/>
      <c r="AD1154" s="337"/>
      <c r="AE1154" s="336"/>
      <c r="AF1154" s="336" t="s">
        <v>286</v>
      </c>
      <c r="AG1154" s="339" t="s">
        <v>286</v>
      </c>
      <c r="AH1154" s="339"/>
      <c r="AI1154" s="336"/>
      <c r="AJ1154" s="336"/>
      <c r="AK1154" s="848"/>
      <c r="AL1154" s="836"/>
      <c r="AM1154" s="836"/>
      <c r="AN1154" s="848"/>
      <c r="AO1154" s="850"/>
      <c r="AP1154" s="839"/>
      <c r="AQ1154" s="839"/>
      <c r="AR1154" s="839"/>
      <c r="AS1154" s="839"/>
      <c r="AT1154" s="839"/>
      <c r="AU1154" s="839"/>
      <c r="AV1154" s="849"/>
      <c r="AW1154" s="134" t="s">
        <v>3208</v>
      </c>
      <c r="AX1154" s="136" t="s">
        <v>3208</v>
      </c>
      <c r="AY1154" s="137" t="s">
        <v>2576</v>
      </c>
      <c r="AZ1154" s="136">
        <v>1</v>
      </c>
      <c r="BA1154" s="136">
        <v>0.9765625</v>
      </c>
      <c r="BB1154" s="136">
        <v>0.9765625</v>
      </c>
      <c r="BC1154" s="214">
        <v>250</v>
      </c>
      <c r="BD1154" s="136">
        <v>0</v>
      </c>
      <c r="BE1154" s="214">
        <v>0</v>
      </c>
      <c r="BF1154" s="136">
        <v>0.9765625</v>
      </c>
      <c r="BG1154" s="214">
        <v>250</v>
      </c>
      <c r="BH1154" s="214">
        <v>0.5</v>
      </c>
      <c r="BI1154" s="134">
        <v>2.34375E-2</v>
      </c>
      <c r="BJ1154" s="214">
        <v>6</v>
      </c>
      <c r="BK1154" s="137">
        <v>0.5</v>
      </c>
      <c r="BL1154" s="137">
        <v>1</v>
      </c>
      <c r="BM1154" s="137">
        <v>0</v>
      </c>
      <c r="BN1154" s="134">
        <v>0</v>
      </c>
      <c r="BO1154" s="351">
        <v>0</v>
      </c>
      <c r="BP1154" s="134">
        <v>1</v>
      </c>
      <c r="BQ1154" s="214">
        <v>43</v>
      </c>
      <c r="BR1154" s="137">
        <v>43</v>
      </c>
      <c r="BS1154" s="138">
        <v>0</v>
      </c>
      <c r="BT1154" s="351" t="s">
        <v>103</v>
      </c>
      <c r="BU1154" s="214">
        <v>0</v>
      </c>
      <c r="BV1154" s="214">
        <v>0</v>
      </c>
      <c r="BW1154" s="214">
        <v>0</v>
      </c>
      <c r="BX1154" s="214">
        <v>0</v>
      </c>
      <c r="BY1154" s="214">
        <v>0</v>
      </c>
      <c r="BZ1154" s="134">
        <v>0</v>
      </c>
      <c r="CA1154" s="138">
        <v>1</v>
      </c>
      <c r="CB1154" s="136">
        <v>0</v>
      </c>
      <c r="CC1154" s="136">
        <v>0</v>
      </c>
      <c r="CD1154" s="136">
        <v>0</v>
      </c>
      <c r="CE1154" s="137">
        <v>0</v>
      </c>
      <c r="CF1154" s="137">
        <v>0</v>
      </c>
      <c r="CG1154" s="137">
        <v>0</v>
      </c>
      <c r="CH1154" s="214">
        <v>0</v>
      </c>
      <c r="CI1154" s="139">
        <v>0</v>
      </c>
      <c r="CJ1154" s="139">
        <v>0</v>
      </c>
      <c r="CK1154" s="139" t="s">
        <v>975</v>
      </c>
      <c r="CL1154" s="139" t="s">
        <v>969</v>
      </c>
      <c r="CM1154" s="139" t="s">
        <v>975</v>
      </c>
      <c r="CN1154" s="139" t="s">
        <v>454</v>
      </c>
      <c r="CO1154" s="139">
        <v>20.260789871215799</v>
      </c>
      <c r="CP1154" s="139">
        <v>92.878593444824205</v>
      </c>
      <c r="CQ1154" s="139">
        <v>196178</v>
      </c>
      <c r="CR1154" s="449" t="s">
        <v>40</v>
      </c>
      <c r="CS1154" s="449"/>
      <c r="CT1154" s="24"/>
      <c r="CU1154" s="24"/>
      <c r="CV1154" s="24"/>
    </row>
    <row r="1155" spans="1:100" ht="15.75" customHeight="1" x14ac:dyDescent="0.25">
      <c r="A1155" s="643" t="s">
        <v>1388</v>
      </c>
      <c r="B1155" s="132" t="s">
        <v>2446</v>
      </c>
      <c r="C1155" s="132" t="s">
        <v>454</v>
      </c>
      <c r="D1155" s="132" t="s">
        <v>455</v>
      </c>
      <c r="E1155" s="132" t="s">
        <v>606</v>
      </c>
      <c r="F1155" s="132">
        <v>673</v>
      </c>
      <c r="G1155" s="214">
        <v>3095</v>
      </c>
      <c r="H1155" s="132"/>
      <c r="I1155" s="132" t="s">
        <v>2560</v>
      </c>
      <c r="J1155" s="133">
        <v>43266</v>
      </c>
      <c r="K1155" s="132">
        <v>20</v>
      </c>
      <c r="L1155" s="132" t="s">
        <v>48</v>
      </c>
      <c r="M1155" s="134">
        <v>0</v>
      </c>
      <c r="N1155" s="134">
        <v>0</v>
      </c>
      <c r="O1155" s="320">
        <v>0</v>
      </c>
      <c r="P1155" s="326">
        <v>24</v>
      </c>
      <c r="Q1155" s="326">
        <v>0</v>
      </c>
      <c r="R1155" s="315">
        <v>0</v>
      </c>
      <c r="S1155" s="315"/>
      <c r="T1155" s="315"/>
      <c r="U1155" s="315">
        <v>24</v>
      </c>
      <c r="V1155" s="315">
        <v>21</v>
      </c>
      <c r="W1155" s="315">
        <v>24</v>
      </c>
      <c r="X1155" s="315">
        <v>16</v>
      </c>
      <c r="Y1155" s="315"/>
      <c r="Z1155" s="315"/>
      <c r="AA1155" s="336">
        <v>188</v>
      </c>
      <c r="AB1155" s="336">
        <v>15</v>
      </c>
      <c r="AC1155" s="337">
        <v>3</v>
      </c>
      <c r="AD1155" s="337"/>
      <c r="AE1155" s="336">
        <v>203</v>
      </c>
      <c r="AF1155" s="336" t="s">
        <v>283</v>
      </c>
      <c r="AG1155" s="339" t="s">
        <v>283</v>
      </c>
      <c r="AH1155" s="339"/>
      <c r="AI1155" s="336"/>
      <c r="AJ1155" s="336" t="s">
        <v>2465</v>
      </c>
      <c r="AK1155" s="848">
        <v>0</v>
      </c>
      <c r="AL1155" s="836" t="s">
        <v>291</v>
      </c>
      <c r="AM1155" s="836">
        <v>592</v>
      </c>
      <c r="AN1155" s="848">
        <v>0</v>
      </c>
      <c r="AO1155" s="850">
        <v>12</v>
      </c>
      <c r="AP1155" s="839">
        <v>673</v>
      </c>
      <c r="AQ1155" s="839">
        <v>673</v>
      </c>
      <c r="AR1155" s="839"/>
      <c r="AS1155" s="839"/>
      <c r="AT1155" s="839"/>
      <c r="AU1155" s="839"/>
      <c r="AV1155" s="849"/>
      <c r="AW1155" s="134">
        <v>0.875</v>
      </c>
      <c r="AX1155" s="136">
        <v>0.66666666666666663</v>
      </c>
      <c r="AY1155" s="137" t="s">
        <v>2577</v>
      </c>
      <c r="AZ1155" s="136">
        <v>1</v>
      </c>
      <c r="BA1155" s="136">
        <v>1</v>
      </c>
      <c r="BB1155" s="136">
        <v>1</v>
      </c>
      <c r="BC1155" s="214">
        <v>3095</v>
      </c>
      <c r="BD1155" s="136">
        <v>0</v>
      </c>
      <c r="BE1155" s="214">
        <v>0</v>
      </c>
      <c r="BF1155" s="136">
        <v>1</v>
      </c>
      <c r="BG1155" s="214">
        <v>3095</v>
      </c>
      <c r="BH1155" s="214">
        <v>6.19</v>
      </c>
      <c r="BI1155" s="134">
        <v>0</v>
      </c>
      <c r="BJ1155" s="214">
        <v>0</v>
      </c>
      <c r="BK1155" s="137">
        <v>0</v>
      </c>
      <c r="BL1155" s="137">
        <v>6</v>
      </c>
      <c r="BM1155" s="137">
        <v>203</v>
      </c>
      <c r="BN1155" s="134">
        <v>1</v>
      </c>
      <c r="BO1155" s="351">
        <v>3095</v>
      </c>
      <c r="BP1155" s="134">
        <v>0</v>
      </c>
      <c r="BQ1155" s="214">
        <v>0</v>
      </c>
      <c r="BR1155" s="137">
        <v>155</v>
      </c>
      <c r="BS1155" s="138">
        <v>7.3891625615763554E-2</v>
      </c>
      <c r="BT1155" s="351">
        <v>60</v>
      </c>
      <c r="BU1155" s="214">
        <v>3095</v>
      </c>
      <c r="BV1155" s="214">
        <v>1</v>
      </c>
      <c r="BW1155" s="214">
        <v>1</v>
      </c>
      <c r="BX1155" s="214">
        <v>1</v>
      </c>
      <c r="BY1155" s="214">
        <v>3095</v>
      </c>
      <c r="BZ1155" s="134">
        <v>1</v>
      </c>
      <c r="CA1155" s="138">
        <v>0</v>
      </c>
      <c r="CB1155" s="136">
        <v>1</v>
      </c>
      <c r="CC1155" s="136">
        <v>1</v>
      </c>
      <c r="CD1155" s="136">
        <v>1</v>
      </c>
      <c r="CE1155" s="137">
        <v>3365</v>
      </c>
      <c r="CF1155" s="137">
        <v>3365</v>
      </c>
      <c r="CG1155" s="137">
        <v>3365</v>
      </c>
      <c r="CH1155" s="214">
        <v>0</v>
      </c>
      <c r="CI1155" s="139" t="s">
        <v>48</v>
      </c>
      <c r="CJ1155" s="139">
        <v>0</v>
      </c>
      <c r="CK1155" s="139" t="s">
        <v>50</v>
      </c>
      <c r="CL1155" s="139" t="s">
        <v>50</v>
      </c>
      <c r="CM1155" s="139" t="s">
        <v>965</v>
      </c>
      <c r="CN1155" s="139" t="s">
        <v>966</v>
      </c>
      <c r="CO1155" s="139">
        <v>20.206778</v>
      </c>
      <c r="CP1155" s="139">
        <v>92.774193999999994</v>
      </c>
      <c r="CQ1155" s="139" t="s">
        <v>1663</v>
      </c>
      <c r="CR1155" s="449" t="s">
        <v>40</v>
      </c>
      <c r="CS1155" s="449"/>
      <c r="CT1155" s="24"/>
      <c r="CU1155" s="24"/>
      <c r="CV1155" s="24"/>
    </row>
    <row r="1156" spans="1:100" ht="15.75" customHeight="1" x14ac:dyDescent="0.25">
      <c r="A1156" s="643" t="s">
        <v>1388</v>
      </c>
      <c r="B1156" s="132" t="s">
        <v>527</v>
      </c>
      <c r="C1156" s="132" t="s">
        <v>454</v>
      </c>
      <c r="D1156" s="132" t="s">
        <v>455</v>
      </c>
      <c r="E1156" s="132" t="s">
        <v>601</v>
      </c>
      <c r="F1156" s="132">
        <v>200</v>
      </c>
      <c r="G1156" s="214">
        <v>1065</v>
      </c>
      <c r="H1156" s="132">
        <v>0</v>
      </c>
      <c r="I1156" s="132" t="s">
        <v>47</v>
      </c>
      <c r="J1156" s="133">
        <v>44104</v>
      </c>
      <c r="K1156" s="132">
        <v>0</v>
      </c>
      <c r="L1156" s="132" t="s">
        <v>282</v>
      </c>
      <c r="M1156" s="134">
        <v>0</v>
      </c>
      <c r="N1156" s="134">
        <v>0</v>
      </c>
      <c r="O1156" s="320">
        <v>0</v>
      </c>
      <c r="P1156" s="326">
        <v>0</v>
      </c>
      <c r="Q1156" s="326">
        <v>0</v>
      </c>
      <c r="R1156" s="315">
        <v>2</v>
      </c>
      <c r="S1156" s="315">
        <v>0</v>
      </c>
      <c r="T1156" s="315"/>
      <c r="U1156" s="315">
        <v>0</v>
      </c>
      <c r="V1156" s="315">
        <v>0</v>
      </c>
      <c r="W1156" s="315">
        <v>0</v>
      </c>
      <c r="X1156" s="315">
        <v>0</v>
      </c>
      <c r="Y1156" s="315">
        <v>0</v>
      </c>
      <c r="Z1156" s="315"/>
      <c r="AA1156" s="336">
        <v>0</v>
      </c>
      <c r="AB1156" s="336">
        <v>0</v>
      </c>
      <c r="AC1156" s="337">
        <v>0</v>
      </c>
      <c r="AD1156" s="337"/>
      <c r="AE1156" s="336">
        <v>0</v>
      </c>
      <c r="AF1156" s="336" t="s">
        <v>283</v>
      </c>
      <c r="AG1156" s="339" t="s">
        <v>1358</v>
      </c>
      <c r="AH1156" s="339">
        <v>0</v>
      </c>
      <c r="AI1156" s="336">
        <v>0</v>
      </c>
      <c r="AJ1156" s="336"/>
      <c r="AK1156" s="848">
        <v>0</v>
      </c>
      <c r="AL1156" s="836"/>
      <c r="AM1156" s="836">
        <v>0</v>
      </c>
      <c r="AN1156" s="848">
        <v>0</v>
      </c>
      <c r="AO1156" s="850">
        <v>0</v>
      </c>
      <c r="AP1156" s="839">
        <v>0</v>
      </c>
      <c r="AQ1156" s="839">
        <v>0</v>
      </c>
      <c r="AR1156" s="839"/>
      <c r="AS1156" s="839"/>
      <c r="AT1156" s="839"/>
      <c r="AU1156" s="839"/>
      <c r="AV1156" s="849"/>
      <c r="AW1156" s="134" t="s">
        <v>3208</v>
      </c>
      <c r="AX1156" s="136" t="s">
        <v>3208</v>
      </c>
      <c r="AY1156" s="137" t="s">
        <v>2576</v>
      </c>
      <c r="AZ1156" s="136">
        <v>0</v>
      </c>
      <c r="BA1156" s="136">
        <v>0</v>
      </c>
      <c r="BB1156" s="136">
        <v>0</v>
      </c>
      <c r="BC1156" s="214">
        <v>0</v>
      </c>
      <c r="BD1156" s="136">
        <v>0.46948356807511737</v>
      </c>
      <c r="BE1156" s="214">
        <v>500</v>
      </c>
      <c r="BF1156" s="136">
        <v>0.46948356807511737</v>
      </c>
      <c r="BG1156" s="214">
        <v>500</v>
      </c>
      <c r="BH1156" s="214">
        <v>1</v>
      </c>
      <c r="BI1156" s="134">
        <v>0.53051643192488263</v>
      </c>
      <c r="BJ1156" s="214">
        <v>565</v>
      </c>
      <c r="BK1156" s="137">
        <v>1</v>
      </c>
      <c r="BL1156" s="137">
        <v>2</v>
      </c>
      <c r="BM1156" s="137">
        <v>0</v>
      </c>
      <c r="BN1156" s="134">
        <v>0</v>
      </c>
      <c r="BO1156" s="351">
        <v>0</v>
      </c>
      <c r="BP1156" s="134">
        <v>1</v>
      </c>
      <c r="BQ1156" s="214">
        <v>178</v>
      </c>
      <c r="BR1156" s="137">
        <v>178</v>
      </c>
      <c r="BS1156" s="138">
        <v>0</v>
      </c>
      <c r="BT1156" s="351" t="s">
        <v>103</v>
      </c>
      <c r="BU1156" s="214">
        <v>0</v>
      </c>
      <c r="BV1156" s="214">
        <v>0</v>
      </c>
      <c r="BW1156" s="214">
        <v>0</v>
      </c>
      <c r="BX1156" s="214">
        <v>0</v>
      </c>
      <c r="BY1156" s="214">
        <v>0</v>
      </c>
      <c r="BZ1156" s="134">
        <v>0</v>
      </c>
      <c r="CA1156" s="138">
        <v>1</v>
      </c>
      <c r="CB1156" s="136">
        <v>0</v>
      </c>
      <c r="CC1156" s="136">
        <v>0</v>
      </c>
      <c r="CD1156" s="136">
        <v>0</v>
      </c>
      <c r="CE1156" s="137">
        <v>0</v>
      </c>
      <c r="CF1156" s="137">
        <v>0</v>
      </c>
      <c r="CG1156" s="137">
        <v>0</v>
      </c>
      <c r="CH1156" s="214">
        <v>0</v>
      </c>
      <c r="CI1156" s="139">
        <v>0</v>
      </c>
      <c r="CJ1156" s="139">
        <v>0</v>
      </c>
      <c r="CK1156" s="139" t="s">
        <v>969</v>
      </c>
      <c r="CL1156" s="139" t="s">
        <v>969</v>
      </c>
      <c r="CM1156" s="139" t="s">
        <v>969</v>
      </c>
      <c r="CN1156" s="139" t="s">
        <v>966</v>
      </c>
      <c r="CO1156" s="139">
        <v>20.1975498199463</v>
      </c>
      <c r="CP1156" s="139">
        <v>92.785682678222699</v>
      </c>
      <c r="CQ1156" s="139" t="s">
        <v>1659</v>
      </c>
      <c r="CR1156" s="449" t="s">
        <v>40</v>
      </c>
      <c r="CS1156" s="449"/>
      <c r="CT1156" s="24"/>
      <c r="CU1156" s="24"/>
      <c r="CV1156" s="24"/>
    </row>
    <row r="1157" spans="1:100" ht="16.5" customHeight="1" x14ac:dyDescent="0.25">
      <c r="A1157" s="643" t="s">
        <v>1388</v>
      </c>
      <c r="B1157" s="132" t="s">
        <v>527</v>
      </c>
      <c r="C1157" s="132" t="s">
        <v>454</v>
      </c>
      <c r="D1157" s="132" t="s">
        <v>455</v>
      </c>
      <c r="E1157" s="132" t="s">
        <v>597</v>
      </c>
      <c r="F1157" s="132">
        <v>2428</v>
      </c>
      <c r="G1157" s="214">
        <v>13302</v>
      </c>
      <c r="H1157" s="132"/>
      <c r="I1157" s="132" t="s">
        <v>47</v>
      </c>
      <c r="J1157" s="133">
        <v>44104</v>
      </c>
      <c r="K1157" s="132">
        <v>0</v>
      </c>
      <c r="L1157" s="132" t="s">
        <v>282</v>
      </c>
      <c r="M1157" s="134">
        <v>0</v>
      </c>
      <c r="N1157" s="134">
        <v>0</v>
      </c>
      <c r="O1157" s="320">
        <v>0</v>
      </c>
      <c r="P1157" s="326">
        <v>128</v>
      </c>
      <c r="Q1157" s="326"/>
      <c r="R1157" s="315">
        <v>0</v>
      </c>
      <c r="S1157" s="315">
        <v>234</v>
      </c>
      <c r="T1157" s="315"/>
      <c r="U1157" s="315">
        <v>201</v>
      </c>
      <c r="V1157" s="315">
        <v>182</v>
      </c>
      <c r="W1157" s="315">
        <v>142</v>
      </c>
      <c r="X1157" s="315">
        <v>86</v>
      </c>
      <c r="Y1157" s="315">
        <v>9</v>
      </c>
      <c r="Z1157" s="315"/>
      <c r="AA1157" s="336">
        <v>577</v>
      </c>
      <c r="AB1157" s="336">
        <v>211</v>
      </c>
      <c r="AC1157" s="337">
        <v>0</v>
      </c>
      <c r="AD1157" s="337"/>
      <c r="AE1157" s="336">
        <v>788</v>
      </c>
      <c r="AF1157" s="336" t="s">
        <v>283</v>
      </c>
      <c r="AG1157" s="339" t="s">
        <v>1358</v>
      </c>
      <c r="AH1157" s="339">
        <v>0</v>
      </c>
      <c r="AI1157" s="336">
        <v>18</v>
      </c>
      <c r="AJ1157" s="336"/>
      <c r="AK1157" s="848">
        <v>1</v>
      </c>
      <c r="AL1157" s="836" t="s">
        <v>284</v>
      </c>
      <c r="AM1157" s="836">
        <v>2428</v>
      </c>
      <c r="AN1157" s="848">
        <v>0</v>
      </c>
      <c r="AO1157" s="850">
        <v>24</v>
      </c>
      <c r="AP1157" s="839">
        <v>2428</v>
      </c>
      <c r="AQ1157" s="839">
        <v>2428</v>
      </c>
      <c r="AR1157" s="839" t="s">
        <v>282</v>
      </c>
      <c r="AS1157" s="839"/>
      <c r="AT1157" s="839"/>
      <c r="AU1157" s="839"/>
      <c r="AV1157" s="849"/>
      <c r="AW1157" s="134">
        <v>0.90547263681592038</v>
      </c>
      <c r="AX1157" s="136">
        <v>0.60563380281690138</v>
      </c>
      <c r="AY1157" s="137" t="s">
        <v>2577</v>
      </c>
      <c r="AZ1157" s="136">
        <v>1</v>
      </c>
      <c r="BA1157" s="136">
        <v>1</v>
      </c>
      <c r="BB1157" s="136">
        <v>1</v>
      </c>
      <c r="BC1157" s="214">
        <v>13302</v>
      </c>
      <c r="BD1157" s="136">
        <v>0</v>
      </c>
      <c r="BE1157" s="214">
        <v>0</v>
      </c>
      <c r="BF1157" s="136">
        <v>1</v>
      </c>
      <c r="BG1157" s="214">
        <v>13302</v>
      </c>
      <c r="BH1157" s="214">
        <v>26.603999999999999</v>
      </c>
      <c r="BI1157" s="134">
        <v>0</v>
      </c>
      <c r="BJ1157" s="214">
        <v>0</v>
      </c>
      <c r="BK1157" s="137">
        <v>0.3960000000000008</v>
      </c>
      <c r="BL1157" s="137">
        <v>27</v>
      </c>
      <c r="BM1157" s="137">
        <v>788</v>
      </c>
      <c r="BN1157" s="134">
        <v>0.86753871598255905</v>
      </c>
      <c r="BO1157" s="351">
        <v>11540</v>
      </c>
      <c r="BP1157" s="134">
        <v>0</v>
      </c>
      <c r="BQ1157" s="214">
        <v>0</v>
      </c>
      <c r="BR1157" s="137">
        <v>665</v>
      </c>
      <c r="BS1157" s="138">
        <v>0.26776649746192893</v>
      </c>
      <c r="BT1157" s="351">
        <v>0</v>
      </c>
      <c r="BU1157" s="214">
        <v>12000</v>
      </c>
      <c r="BV1157" s="214">
        <v>1</v>
      </c>
      <c r="BW1157" s="214">
        <v>1</v>
      </c>
      <c r="BX1157" s="214">
        <v>1</v>
      </c>
      <c r="BY1157" s="214">
        <v>13302</v>
      </c>
      <c r="BZ1157" s="134">
        <v>1</v>
      </c>
      <c r="CA1157" s="138">
        <v>0</v>
      </c>
      <c r="CB1157" s="136">
        <v>0.90211998195760035</v>
      </c>
      <c r="CC1157" s="136">
        <v>1</v>
      </c>
      <c r="CD1157" s="136">
        <v>1</v>
      </c>
      <c r="CE1157" s="137">
        <v>12140</v>
      </c>
      <c r="CF1157" s="137">
        <v>12140</v>
      </c>
      <c r="CG1157" s="137">
        <v>12140</v>
      </c>
      <c r="CH1157" s="214">
        <v>2428</v>
      </c>
      <c r="CI1157" s="139" t="s">
        <v>48</v>
      </c>
      <c r="CJ1157" s="139">
        <v>0</v>
      </c>
      <c r="CK1157" s="139" t="s">
        <v>50</v>
      </c>
      <c r="CL1157" s="139" t="s">
        <v>50</v>
      </c>
      <c r="CM1157" s="139" t="s">
        <v>965</v>
      </c>
      <c r="CN1157" s="139" t="s">
        <v>966</v>
      </c>
      <c r="CO1157" s="139">
        <v>20.18994</v>
      </c>
      <c r="CP1157" s="139">
        <v>92.798880999999994</v>
      </c>
      <c r="CQ1157" s="139" t="s">
        <v>1657</v>
      </c>
      <c r="CR1157" s="449" t="s">
        <v>40</v>
      </c>
      <c r="CS1157" s="449"/>
      <c r="CT1157" s="24"/>
      <c r="CU1157" s="24"/>
      <c r="CV1157" s="24"/>
    </row>
    <row r="1158" spans="1:100" ht="16.5" customHeight="1" x14ac:dyDescent="0.25">
      <c r="A1158" s="643" t="s">
        <v>1388</v>
      </c>
      <c r="B1158" s="132" t="s">
        <v>571</v>
      </c>
      <c r="C1158" s="132" t="s">
        <v>454</v>
      </c>
      <c r="D1158" s="132" t="s">
        <v>455</v>
      </c>
      <c r="E1158" s="132" t="s">
        <v>595</v>
      </c>
      <c r="F1158" s="132">
        <v>2256</v>
      </c>
      <c r="G1158" s="214">
        <v>12121</v>
      </c>
      <c r="H1158" s="132"/>
      <c r="I1158" s="132" t="s">
        <v>442</v>
      </c>
      <c r="J1158" s="133">
        <v>43404</v>
      </c>
      <c r="K1158" s="132">
        <v>0</v>
      </c>
      <c r="L1158" s="132" t="s">
        <v>282</v>
      </c>
      <c r="M1158" s="134">
        <v>0</v>
      </c>
      <c r="N1158" s="134">
        <v>0</v>
      </c>
      <c r="O1158" s="320">
        <v>0</v>
      </c>
      <c r="P1158" s="326">
        <v>82</v>
      </c>
      <c r="Q1158" s="326">
        <v>0</v>
      </c>
      <c r="R1158" s="315">
        <v>0</v>
      </c>
      <c r="S1158" s="315">
        <v>73</v>
      </c>
      <c r="T1158" s="315"/>
      <c r="U1158" s="315">
        <v>118</v>
      </c>
      <c r="V1158" s="315">
        <v>85</v>
      </c>
      <c r="W1158" s="315">
        <v>0</v>
      </c>
      <c r="X1158" s="315">
        <v>0</v>
      </c>
      <c r="Y1158" s="315">
        <v>0</v>
      </c>
      <c r="Z1158" s="315"/>
      <c r="AA1158" s="336">
        <v>608</v>
      </c>
      <c r="AB1158" s="336">
        <v>76</v>
      </c>
      <c r="AC1158" s="337">
        <v>109</v>
      </c>
      <c r="AD1158" s="337"/>
      <c r="AE1158" s="336">
        <v>0</v>
      </c>
      <c r="AF1158" s="336" t="s">
        <v>283</v>
      </c>
      <c r="AG1158" s="339" t="s">
        <v>283</v>
      </c>
      <c r="AH1158" s="339">
        <v>0</v>
      </c>
      <c r="AI1158" s="336">
        <v>0</v>
      </c>
      <c r="AJ1158" s="336"/>
      <c r="AK1158" s="848">
        <v>0</v>
      </c>
      <c r="AL1158" s="836" t="s">
        <v>284</v>
      </c>
      <c r="AM1158" s="836">
        <v>0</v>
      </c>
      <c r="AN1158" s="848">
        <v>0</v>
      </c>
      <c r="AO1158" s="850">
        <v>29</v>
      </c>
      <c r="AP1158" s="839">
        <v>2256</v>
      </c>
      <c r="AQ1158" s="839">
        <v>2256</v>
      </c>
      <c r="AR1158" s="839" t="s">
        <v>282</v>
      </c>
      <c r="AS1158" s="839"/>
      <c r="AT1158" s="839"/>
      <c r="AU1158" s="839"/>
      <c r="AV1158" s="849"/>
      <c r="AW1158" s="134">
        <v>0.72033898305084743</v>
      </c>
      <c r="AX1158" s="136" t="s">
        <v>3208</v>
      </c>
      <c r="AY1158" s="137" t="s">
        <v>2577</v>
      </c>
      <c r="AZ1158" s="136">
        <v>1</v>
      </c>
      <c r="BA1158" s="136">
        <v>1</v>
      </c>
      <c r="BB1158" s="136">
        <v>1</v>
      </c>
      <c r="BC1158" s="214">
        <v>12121</v>
      </c>
      <c r="BD1158" s="136">
        <v>0</v>
      </c>
      <c r="BE1158" s="214">
        <v>0</v>
      </c>
      <c r="BF1158" s="136">
        <v>1</v>
      </c>
      <c r="BG1158" s="214">
        <v>12121</v>
      </c>
      <c r="BH1158" s="214">
        <v>24.242000000000001</v>
      </c>
      <c r="BI1158" s="134">
        <v>0</v>
      </c>
      <c r="BJ1158" s="214">
        <v>0</v>
      </c>
      <c r="BK1158" s="137">
        <v>0</v>
      </c>
      <c r="BL1158" s="137">
        <v>24</v>
      </c>
      <c r="BM1158" s="137">
        <v>684</v>
      </c>
      <c r="BN1158" s="134">
        <v>1</v>
      </c>
      <c r="BO1158" s="351">
        <v>12121</v>
      </c>
      <c r="BP1158" s="134">
        <v>0</v>
      </c>
      <c r="BQ1158" s="214">
        <v>0</v>
      </c>
      <c r="BR1158" s="137">
        <v>606</v>
      </c>
      <c r="BS1158" s="138">
        <v>0.1111111111111111</v>
      </c>
      <c r="BT1158" s="351">
        <v>2180</v>
      </c>
      <c r="BU1158" s="214">
        <v>12121</v>
      </c>
      <c r="BV1158" s="214">
        <v>1</v>
      </c>
      <c r="BW1158" s="214">
        <v>1</v>
      </c>
      <c r="BX1158" s="214">
        <v>1</v>
      </c>
      <c r="BY1158" s="214">
        <v>12121</v>
      </c>
      <c r="BZ1158" s="134">
        <v>1</v>
      </c>
      <c r="CA1158" s="138">
        <v>0</v>
      </c>
      <c r="CB1158" s="136">
        <v>1</v>
      </c>
      <c r="CC1158" s="136">
        <v>1</v>
      </c>
      <c r="CD1158" s="136">
        <v>1</v>
      </c>
      <c r="CE1158" s="137">
        <v>11280</v>
      </c>
      <c r="CF1158" s="137">
        <v>11280</v>
      </c>
      <c r="CG1158" s="137">
        <v>11280</v>
      </c>
      <c r="CH1158" s="214">
        <v>0</v>
      </c>
      <c r="CI1158" s="139" t="s">
        <v>48</v>
      </c>
      <c r="CJ1158" s="139">
        <v>0</v>
      </c>
      <c r="CK1158" s="139" t="s">
        <v>50</v>
      </c>
      <c r="CL1158" s="139" t="s">
        <v>50</v>
      </c>
      <c r="CM1158" s="139" t="s">
        <v>965</v>
      </c>
      <c r="CN1158" s="139" t="s">
        <v>966</v>
      </c>
      <c r="CO1158" s="139">
        <v>20.185092000000001</v>
      </c>
      <c r="CP1158" s="139">
        <v>92.802295999999998</v>
      </c>
      <c r="CQ1158" s="139" t="s">
        <v>1655</v>
      </c>
      <c r="CR1158" s="449" t="s">
        <v>40</v>
      </c>
      <c r="CS1158" s="449"/>
      <c r="CT1158" s="24"/>
      <c r="CU1158" s="24"/>
      <c r="CV1158" s="24"/>
    </row>
    <row r="1159" spans="1:100" ht="16.5" customHeight="1" x14ac:dyDescent="0.25">
      <c r="A1159" s="643" t="s">
        <v>1388</v>
      </c>
      <c r="B1159" s="132" t="s">
        <v>453</v>
      </c>
      <c r="C1159" s="132" t="s">
        <v>454</v>
      </c>
      <c r="D1159" s="132" t="s">
        <v>455</v>
      </c>
      <c r="E1159" s="132" t="s">
        <v>605</v>
      </c>
      <c r="F1159" s="132">
        <v>8</v>
      </c>
      <c r="G1159" s="214">
        <v>49</v>
      </c>
      <c r="H1159" s="132"/>
      <c r="I1159" s="132"/>
      <c r="J1159" s="133"/>
      <c r="K1159" s="132"/>
      <c r="L1159" s="132"/>
      <c r="M1159" s="134"/>
      <c r="N1159" s="134"/>
      <c r="O1159" s="320">
        <v>0</v>
      </c>
      <c r="P1159" s="326">
        <v>2</v>
      </c>
      <c r="Q1159" s="326"/>
      <c r="R1159" s="315"/>
      <c r="S1159" s="315"/>
      <c r="T1159" s="315"/>
      <c r="U1159" s="315"/>
      <c r="V1159" s="315"/>
      <c r="W1159" s="315"/>
      <c r="X1159" s="315"/>
      <c r="Y1159" s="315"/>
      <c r="Z1159" s="315"/>
      <c r="AA1159" s="336">
        <v>0</v>
      </c>
      <c r="AB1159" s="336"/>
      <c r="AC1159" s="337"/>
      <c r="AD1159" s="337"/>
      <c r="AE1159" s="336"/>
      <c r="AF1159" s="336" t="s">
        <v>286</v>
      </c>
      <c r="AG1159" s="339" t="s">
        <v>286</v>
      </c>
      <c r="AH1159" s="339"/>
      <c r="AI1159" s="336"/>
      <c r="AJ1159" s="336"/>
      <c r="AK1159" s="848"/>
      <c r="AL1159" s="836"/>
      <c r="AM1159" s="836"/>
      <c r="AN1159" s="848"/>
      <c r="AO1159" s="850"/>
      <c r="AP1159" s="839"/>
      <c r="AQ1159" s="839"/>
      <c r="AR1159" s="839"/>
      <c r="AS1159" s="839"/>
      <c r="AT1159" s="839"/>
      <c r="AU1159" s="839"/>
      <c r="AV1159" s="849"/>
      <c r="AW1159" s="134" t="s">
        <v>3208</v>
      </c>
      <c r="AX1159" s="136" t="s">
        <v>3208</v>
      </c>
      <c r="AY1159" s="137" t="s">
        <v>2576</v>
      </c>
      <c r="AZ1159" s="136">
        <v>1</v>
      </c>
      <c r="BA1159" s="136">
        <v>1</v>
      </c>
      <c r="BB1159" s="136">
        <v>1</v>
      </c>
      <c r="BC1159" s="214">
        <v>49</v>
      </c>
      <c r="BD1159" s="136">
        <v>0</v>
      </c>
      <c r="BE1159" s="214">
        <v>0</v>
      </c>
      <c r="BF1159" s="136">
        <v>1</v>
      </c>
      <c r="BG1159" s="214">
        <v>49</v>
      </c>
      <c r="BH1159" s="214">
        <v>9.8000000000000004E-2</v>
      </c>
      <c r="BI1159" s="134">
        <v>0</v>
      </c>
      <c r="BJ1159" s="214">
        <v>0</v>
      </c>
      <c r="BK1159" s="137">
        <v>0.90200000000000002</v>
      </c>
      <c r="BL1159" s="137">
        <v>1</v>
      </c>
      <c r="BM1159" s="137">
        <v>0</v>
      </c>
      <c r="BN1159" s="134">
        <v>0</v>
      </c>
      <c r="BO1159" s="351">
        <v>0</v>
      </c>
      <c r="BP1159" s="134">
        <v>0.97959183673469397</v>
      </c>
      <c r="BQ1159" s="214">
        <v>8</v>
      </c>
      <c r="BR1159" s="137">
        <v>8</v>
      </c>
      <c r="BS1159" s="138">
        <v>0</v>
      </c>
      <c r="BT1159" s="351" t="s">
        <v>103</v>
      </c>
      <c r="BU1159" s="214">
        <v>0</v>
      </c>
      <c r="BV1159" s="214">
        <v>0</v>
      </c>
      <c r="BW1159" s="214">
        <v>0</v>
      </c>
      <c r="BX1159" s="214">
        <v>0</v>
      </c>
      <c r="BY1159" s="214">
        <v>0</v>
      </c>
      <c r="BZ1159" s="134">
        <v>0</v>
      </c>
      <c r="CA1159" s="138">
        <v>1</v>
      </c>
      <c r="CB1159" s="136">
        <v>0</v>
      </c>
      <c r="CC1159" s="136">
        <v>0</v>
      </c>
      <c r="CD1159" s="136">
        <v>0</v>
      </c>
      <c r="CE1159" s="137">
        <v>0</v>
      </c>
      <c r="CF1159" s="137">
        <v>0</v>
      </c>
      <c r="CG1159" s="137">
        <v>0</v>
      </c>
      <c r="CH1159" s="214">
        <v>0</v>
      </c>
      <c r="CI1159" s="139">
        <v>0</v>
      </c>
      <c r="CJ1159" s="139">
        <v>0</v>
      </c>
      <c r="CK1159" s="139" t="s">
        <v>975</v>
      </c>
      <c r="CL1159" s="139" t="s">
        <v>969</v>
      </c>
      <c r="CM1159" s="139" t="s">
        <v>975</v>
      </c>
      <c r="CN1159" s="139" t="s">
        <v>966</v>
      </c>
      <c r="CO1159" s="139">
        <v>20.204370498657202</v>
      </c>
      <c r="CP1159" s="139">
        <v>92.780357360839801</v>
      </c>
      <c r="CQ1159" s="139">
        <v>196158</v>
      </c>
      <c r="CR1159" s="449" t="s">
        <v>40</v>
      </c>
      <c r="CS1159" s="449"/>
      <c r="CT1159" s="24"/>
      <c r="CU1159" s="24"/>
      <c r="CV1159" s="24"/>
    </row>
    <row r="1160" spans="1:100" ht="16.5" customHeight="1" x14ac:dyDescent="0.25">
      <c r="A1160" s="643" t="s">
        <v>1388</v>
      </c>
      <c r="B1160" s="132" t="s">
        <v>460</v>
      </c>
      <c r="C1160" s="132" t="s">
        <v>454</v>
      </c>
      <c r="D1160" s="132" t="s">
        <v>455</v>
      </c>
      <c r="E1160" s="132" t="s">
        <v>461</v>
      </c>
      <c r="F1160" s="132">
        <v>87</v>
      </c>
      <c r="G1160" s="214">
        <v>447</v>
      </c>
      <c r="H1160" s="132"/>
      <c r="I1160" s="132"/>
      <c r="J1160" s="133"/>
      <c r="K1160" s="132"/>
      <c r="L1160" s="132" t="s">
        <v>282</v>
      </c>
      <c r="M1160" s="134">
        <v>0</v>
      </c>
      <c r="N1160" s="134">
        <v>0</v>
      </c>
      <c r="O1160" s="320">
        <v>2</v>
      </c>
      <c r="P1160" s="326">
        <v>4</v>
      </c>
      <c r="Q1160" s="326">
        <v>0</v>
      </c>
      <c r="R1160" s="315">
        <v>0</v>
      </c>
      <c r="S1160" s="315">
        <v>0</v>
      </c>
      <c r="T1160" s="315"/>
      <c r="U1160" s="315"/>
      <c r="V1160" s="315"/>
      <c r="W1160" s="315"/>
      <c r="X1160" s="315"/>
      <c r="Y1160" s="315"/>
      <c r="Z1160" s="315" t="s">
        <v>2459</v>
      </c>
      <c r="AA1160" s="336">
        <v>72</v>
      </c>
      <c r="AB1160" s="336">
        <v>0</v>
      </c>
      <c r="AC1160" s="337"/>
      <c r="AD1160" s="337"/>
      <c r="AE1160" s="336">
        <v>0</v>
      </c>
      <c r="AF1160" s="336" t="s">
        <v>1358</v>
      </c>
      <c r="AG1160" s="339" t="s">
        <v>1358</v>
      </c>
      <c r="AH1160" s="339"/>
      <c r="AI1160" s="336"/>
      <c r="AJ1160" s="336"/>
      <c r="AK1160" s="848">
        <v>0</v>
      </c>
      <c r="AL1160" s="836"/>
      <c r="AM1160" s="836">
        <v>0</v>
      </c>
      <c r="AN1160" s="848">
        <v>0</v>
      </c>
      <c r="AO1160" s="850">
        <v>0</v>
      </c>
      <c r="AP1160" s="839"/>
      <c r="AQ1160" s="839"/>
      <c r="AR1160" s="839"/>
      <c r="AS1160" s="839"/>
      <c r="AT1160" s="839"/>
      <c r="AU1160" s="839"/>
      <c r="AV1160" s="849"/>
      <c r="AW1160" s="134" t="s">
        <v>3208</v>
      </c>
      <c r="AX1160" s="136" t="s">
        <v>3208</v>
      </c>
      <c r="AY1160" s="137" t="s">
        <v>2576</v>
      </c>
      <c r="AZ1160" s="136">
        <v>1</v>
      </c>
      <c r="BA1160" s="136">
        <v>1</v>
      </c>
      <c r="BB1160" s="136">
        <v>1</v>
      </c>
      <c r="BC1160" s="214">
        <v>447</v>
      </c>
      <c r="BD1160" s="136">
        <v>0</v>
      </c>
      <c r="BE1160" s="214">
        <v>0</v>
      </c>
      <c r="BF1160" s="136">
        <v>1</v>
      </c>
      <c r="BG1160" s="214">
        <v>447</v>
      </c>
      <c r="BH1160" s="214">
        <v>0.89400000000000002</v>
      </c>
      <c r="BI1160" s="134">
        <v>0</v>
      </c>
      <c r="BJ1160" s="214">
        <v>0</v>
      </c>
      <c r="BK1160" s="137">
        <v>0.10599999999999998</v>
      </c>
      <c r="BL1160" s="137">
        <v>1</v>
      </c>
      <c r="BM1160" s="137">
        <v>72</v>
      </c>
      <c r="BN1160" s="134">
        <v>0.96644295302013428</v>
      </c>
      <c r="BO1160" s="351">
        <v>432</v>
      </c>
      <c r="BP1160" s="134">
        <v>4.0268456375838924E-2</v>
      </c>
      <c r="BQ1160" s="214">
        <v>3</v>
      </c>
      <c r="BR1160" s="137">
        <v>75</v>
      </c>
      <c r="BS1160" s="138">
        <v>0</v>
      </c>
      <c r="BT1160" s="351" t="s">
        <v>103</v>
      </c>
      <c r="BU1160" s="214">
        <v>0</v>
      </c>
      <c r="BV1160" s="214">
        <v>0</v>
      </c>
      <c r="BW1160" s="214">
        <v>0</v>
      </c>
      <c r="BX1160" s="214">
        <v>0</v>
      </c>
      <c r="BY1160" s="214">
        <v>0</v>
      </c>
      <c r="BZ1160" s="134">
        <v>0</v>
      </c>
      <c r="CA1160" s="138">
        <v>1</v>
      </c>
      <c r="CB1160" s="136">
        <v>0</v>
      </c>
      <c r="CC1160" s="136">
        <v>0</v>
      </c>
      <c r="CD1160" s="136">
        <v>0</v>
      </c>
      <c r="CE1160" s="137">
        <v>0</v>
      </c>
      <c r="CF1160" s="137">
        <v>0</v>
      </c>
      <c r="CG1160" s="137">
        <v>0</v>
      </c>
      <c r="CH1160" s="214">
        <v>0</v>
      </c>
      <c r="CI1160" s="139">
        <v>0</v>
      </c>
      <c r="CJ1160" s="139">
        <v>0</v>
      </c>
      <c r="CK1160" s="139" t="s">
        <v>969</v>
      </c>
      <c r="CL1160" s="139" t="s">
        <v>969</v>
      </c>
      <c r="CM1160" s="139" t="s">
        <v>969</v>
      </c>
      <c r="CN1160" s="139" t="s">
        <v>966</v>
      </c>
      <c r="CO1160" s="139">
        <v>0</v>
      </c>
      <c r="CP1160" s="139">
        <v>0</v>
      </c>
      <c r="CQ1160" s="139">
        <v>0</v>
      </c>
      <c r="CR1160" s="449" t="s">
        <v>3209</v>
      </c>
      <c r="CS1160" s="449"/>
      <c r="CT1160" s="24"/>
      <c r="CU1160" s="24"/>
      <c r="CV1160" s="24"/>
    </row>
    <row r="1161" spans="1:100" ht="16.5" customHeight="1" x14ac:dyDescent="0.25">
      <c r="A1161" s="643" t="s">
        <v>1388</v>
      </c>
      <c r="B1161" s="132" t="s">
        <v>571</v>
      </c>
      <c r="C1161" s="132" t="s">
        <v>454</v>
      </c>
      <c r="D1161" s="132" t="s">
        <v>455</v>
      </c>
      <c r="E1161" s="132" t="s">
        <v>607</v>
      </c>
      <c r="F1161" s="132">
        <v>400</v>
      </c>
      <c r="G1161" s="214">
        <v>2187</v>
      </c>
      <c r="H1161" s="132"/>
      <c r="I1161" s="132" t="s">
        <v>442</v>
      </c>
      <c r="J1161" s="133">
        <v>43404</v>
      </c>
      <c r="K1161" s="132">
        <v>0</v>
      </c>
      <c r="L1161" s="132" t="s">
        <v>282</v>
      </c>
      <c r="M1161" s="134">
        <v>0</v>
      </c>
      <c r="N1161" s="134">
        <v>0</v>
      </c>
      <c r="O1161" s="320">
        <v>0</v>
      </c>
      <c r="P1161" s="326">
        <v>28</v>
      </c>
      <c r="Q1161" s="326">
        <v>0</v>
      </c>
      <c r="R1161" s="315">
        <v>0</v>
      </c>
      <c r="S1161" s="315">
        <v>0</v>
      </c>
      <c r="T1161" s="315"/>
      <c r="U1161" s="315"/>
      <c r="V1161" s="315"/>
      <c r="W1161" s="315"/>
      <c r="X1161" s="315"/>
      <c r="Y1161" s="315"/>
      <c r="Z1161" s="315"/>
      <c r="AA1161" s="336">
        <v>98</v>
      </c>
      <c r="AB1161" s="336">
        <v>0</v>
      </c>
      <c r="AC1161" s="337">
        <v>65</v>
      </c>
      <c r="AD1161" s="337"/>
      <c r="AE1161" s="336">
        <v>0</v>
      </c>
      <c r="AF1161" s="336" t="s">
        <v>283</v>
      </c>
      <c r="AG1161" s="339" t="s">
        <v>283</v>
      </c>
      <c r="AH1161" s="339"/>
      <c r="AI1161" s="336"/>
      <c r="AJ1161" s="336"/>
      <c r="AK1161" s="848">
        <v>0</v>
      </c>
      <c r="AL1161" s="836" t="s">
        <v>284</v>
      </c>
      <c r="AM1161" s="836">
        <v>0</v>
      </c>
      <c r="AN1161" s="848">
        <v>0</v>
      </c>
      <c r="AO1161" s="850">
        <v>9</v>
      </c>
      <c r="AP1161" s="839">
        <v>400</v>
      </c>
      <c r="AQ1161" s="839">
        <v>400</v>
      </c>
      <c r="AR1161" s="839" t="s">
        <v>282</v>
      </c>
      <c r="AS1161" s="839"/>
      <c r="AT1161" s="839"/>
      <c r="AU1161" s="839"/>
      <c r="AV1161" s="849"/>
      <c r="AW1161" s="134" t="s">
        <v>3208</v>
      </c>
      <c r="AX1161" s="136" t="s">
        <v>3208</v>
      </c>
      <c r="AY1161" s="137" t="s">
        <v>2576</v>
      </c>
      <c r="AZ1161" s="136">
        <v>1</v>
      </c>
      <c r="BA1161" s="136">
        <v>1</v>
      </c>
      <c r="BB1161" s="136">
        <v>1</v>
      </c>
      <c r="BC1161" s="214">
        <v>2187</v>
      </c>
      <c r="BD1161" s="136">
        <v>0</v>
      </c>
      <c r="BE1161" s="214">
        <v>0</v>
      </c>
      <c r="BF1161" s="136">
        <v>1</v>
      </c>
      <c r="BG1161" s="214">
        <v>2187</v>
      </c>
      <c r="BH1161" s="214">
        <v>4.3739999999999997</v>
      </c>
      <c r="BI1161" s="134">
        <v>0</v>
      </c>
      <c r="BJ1161" s="214">
        <v>0</v>
      </c>
      <c r="BK1161" s="137">
        <v>0</v>
      </c>
      <c r="BL1161" s="137">
        <v>4</v>
      </c>
      <c r="BM1161" s="137">
        <v>98</v>
      </c>
      <c r="BN1161" s="134">
        <v>0.89620484682213075</v>
      </c>
      <c r="BO1161" s="351">
        <v>1960</v>
      </c>
      <c r="BP1161" s="134">
        <v>0.1005944215820759</v>
      </c>
      <c r="BQ1161" s="214">
        <v>11</v>
      </c>
      <c r="BR1161" s="137">
        <v>109</v>
      </c>
      <c r="BS1161" s="138">
        <v>0</v>
      </c>
      <c r="BT1161" s="351">
        <v>1300</v>
      </c>
      <c r="BU1161" s="214">
        <v>2187</v>
      </c>
      <c r="BV1161" s="214">
        <v>1</v>
      </c>
      <c r="BW1161" s="214">
        <v>1</v>
      </c>
      <c r="BX1161" s="214">
        <v>1</v>
      </c>
      <c r="BY1161" s="214">
        <v>2187</v>
      </c>
      <c r="BZ1161" s="134">
        <v>1</v>
      </c>
      <c r="CA1161" s="138">
        <v>0</v>
      </c>
      <c r="CB1161" s="136">
        <v>1</v>
      </c>
      <c r="CC1161" s="136">
        <v>1</v>
      </c>
      <c r="CD1161" s="136">
        <v>1</v>
      </c>
      <c r="CE1161" s="137">
        <v>2000</v>
      </c>
      <c r="CF1161" s="137">
        <v>2000</v>
      </c>
      <c r="CG1161" s="137">
        <v>2000</v>
      </c>
      <c r="CH1161" s="214">
        <v>0</v>
      </c>
      <c r="CI1161" s="139">
        <v>0</v>
      </c>
      <c r="CJ1161" s="139">
        <v>0</v>
      </c>
      <c r="CK1161" s="139" t="s">
        <v>50</v>
      </c>
      <c r="CL1161" s="139" t="s">
        <v>50</v>
      </c>
      <c r="CM1161" s="139" t="s">
        <v>929</v>
      </c>
      <c r="CN1161" s="139" t="s">
        <v>966</v>
      </c>
      <c r="CO1161" s="139">
        <v>20.207284999999999</v>
      </c>
      <c r="CP1161" s="139">
        <v>92.788177000000005</v>
      </c>
      <c r="CQ1161" s="139" t="s">
        <v>1664</v>
      </c>
      <c r="CR1161" s="449" t="s">
        <v>40</v>
      </c>
      <c r="CS1161" s="449"/>
      <c r="CT1161" s="24"/>
      <c r="CU1161" s="24"/>
      <c r="CV1161" s="24"/>
    </row>
    <row r="1162" spans="1:100" ht="16.5" customHeight="1" x14ac:dyDescent="0.25">
      <c r="A1162" s="643" t="s">
        <v>1388</v>
      </c>
      <c r="B1162" s="132" t="s">
        <v>2446</v>
      </c>
      <c r="C1162" s="132" t="s">
        <v>454</v>
      </c>
      <c r="D1162" s="132" t="s">
        <v>455</v>
      </c>
      <c r="E1162" s="132" t="s">
        <v>580</v>
      </c>
      <c r="F1162" s="132">
        <v>249</v>
      </c>
      <c r="G1162" s="214">
        <v>1362</v>
      </c>
      <c r="H1162" s="132"/>
      <c r="I1162" s="132" t="s">
        <v>2560</v>
      </c>
      <c r="J1162" s="133">
        <v>43266</v>
      </c>
      <c r="K1162" s="132">
        <v>20</v>
      </c>
      <c r="L1162" s="132" t="s">
        <v>48</v>
      </c>
      <c r="M1162" s="134">
        <v>0</v>
      </c>
      <c r="N1162" s="134">
        <v>0</v>
      </c>
      <c r="O1162" s="320">
        <v>0</v>
      </c>
      <c r="P1162" s="326">
        <v>15</v>
      </c>
      <c r="Q1162" s="326">
        <v>0</v>
      </c>
      <c r="R1162" s="315">
        <v>1</v>
      </c>
      <c r="S1162" s="315">
        <v>17</v>
      </c>
      <c r="T1162" s="315"/>
      <c r="U1162" s="315">
        <v>13</v>
      </c>
      <c r="V1162" s="315">
        <v>11</v>
      </c>
      <c r="W1162" s="315">
        <v>13</v>
      </c>
      <c r="X1162" s="315">
        <v>9</v>
      </c>
      <c r="Y1162" s="315"/>
      <c r="Z1162" s="315"/>
      <c r="AA1162" s="336">
        <v>249</v>
      </c>
      <c r="AB1162" s="336">
        <v>0</v>
      </c>
      <c r="AC1162" s="337"/>
      <c r="AD1162" s="337"/>
      <c r="AE1162" s="336">
        <v>249</v>
      </c>
      <c r="AF1162" s="336" t="s">
        <v>332</v>
      </c>
      <c r="AG1162" s="339" t="s">
        <v>283</v>
      </c>
      <c r="AH1162" s="339"/>
      <c r="AI1162" s="336"/>
      <c r="AJ1162" s="336"/>
      <c r="AK1162" s="848">
        <v>0</v>
      </c>
      <c r="AL1162" s="836" t="s">
        <v>284</v>
      </c>
      <c r="AM1162" s="836">
        <v>0</v>
      </c>
      <c r="AN1162" s="848">
        <v>0</v>
      </c>
      <c r="AO1162" s="850">
        <v>4</v>
      </c>
      <c r="AP1162" s="839">
        <v>249</v>
      </c>
      <c r="AQ1162" s="839">
        <v>249</v>
      </c>
      <c r="AR1162" s="839"/>
      <c r="AS1162" s="839"/>
      <c r="AT1162" s="839"/>
      <c r="AU1162" s="839"/>
      <c r="AV1162" s="849"/>
      <c r="AW1162" s="134">
        <v>0.84615384615384615</v>
      </c>
      <c r="AX1162" s="136">
        <v>0.69230769230769229</v>
      </c>
      <c r="AY1162" s="137" t="s">
        <v>2577</v>
      </c>
      <c r="AZ1162" s="136">
        <v>1</v>
      </c>
      <c r="BA1162" s="136">
        <v>1</v>
      </c>
      <c r="BB1162" s="136">
        <v>1</v>
      </c>
      <c r="BC1162" s="214">
        <v>1362</v>
      </c>
      <c r="BD1162" s="136">
        <v>0.18355359765051396</v>
      </c>
      <c r="BE1162" s="214">
        <v>250.00000000000003</v>
      </c>
      <c r="BF1162" s="136">
        <v>1</v>
      </c>
      <c r="BG1162" s="214">
        <v>1362</v>
      </c>
      <c r="BH1162" s="214">
        <v>2.7240000000000002</v>
      </c>
      <c r="BI1162" s="134">
        <v>0</v>
      </c>
      <c r="BJ1162" s="214">
        <v>0</v>
      </c>
      <c r="BK1162" s="137">
        <v>0.2759999999999998</v>
      </c>
      <c r="BL1162" s="137">
        <v>3</v>
      </c>
      <c r="BM1162" s="137">
        <v>249</v>
      </c>
      <c r="BN1162" s="134">
        <v>1</v>
      </c>
      <c r="BO1162" s="351">
        <v>1362</v>
      </c>
      <c r="BP1162" s="134">
        <v>0</v>
      </c>
      <c r="BQ1162" s="214">
        <v>0</v>
      </c>
      <c r="BR1162" s="137">
        <v>227</v>
      </c>
      <c r="BS1162" s="138">
        <v>0</v>
      </c>
      <c r="BT1162" s="351" t="s">
        <v>103</v>
      </c>
      <c r="BU1162" s="214">
        <v>1362</v>
      </c>
      <c r="BV1162" s="214">
        <v>1</v>
      </c>
      <c r="BW1162" s="214">
        <v>1</v>
      </c>
      <c r="BX1162" s="214">
        <v>1</v>
      </c>
      <c r="BY1162" s="214">
        <v>1362</v>
      </c>
      <c r="BZ1162" s="134">
        <v>1</v>
      </c>
      <c r="CA1162" s="138">
        <v>0</v>
      </c>
      <c r="CB1162" s="136">
        <v>1</v>
      </c>
      <c r="CC1162" s="136">
        <v>1</v>
      </c>
      <c r="CD1162" s="136">
        <v>1</v>
      </c>
      <c r="CE1162" s="137">
        <v>1245</v>
      </c>
      <c r="CF1162" s="137">
        <v>1245</v>
      </c>
      <c r="CG1162" s="137">
        <v>1245</v>
      </c>
      <c r="CH1162" s="214">
        <v>0</v>
      </c>
      <c r="CI1162" s="139">
        <v>0</v>
      </c>
      <c r="CJ1162" s="139">
        <v>0</v>
      </c>
      <c r="CK1162" s="139" t="s">
        <v>969</v>
      </c>
      <c r="CL1162" s="139" t="s">
        <v>969</v>
      </c>
      <c r="CM1162" s="139" t="s">
        <v>992</v>
      </c>
      <c r="CN1162" s="139" t="s">
        <v>454</v>
      </c>
      <c r="CO1162" s="139">
        <v>20.151471999999998</v>
      </c>
      <c r="CP1162" s="139">
        <v>92.887277999999995</v>
      </c>
      <c r="CQ1162" s="139" t="s">
        <v>1637</v>
      </c>
      <c r="CR1162" s="449" t="s">
        <v>40</v>
      </c>
      <c r="CS1162" s="449"/>
      <c r="CT1162" s="24"/>
      <c r="CU1162" s="24"/>
      <c r="CV1162" s="24"/>
    </row>
    <row r="1163" spans="1:100" ht="16.5" customHeight="1" x14ac:dyDescent="0.25">
      <c r="A1163" s="643" t="s">
        <v>1388</v>
      </c>
      <c r="B1163" s="132" t="s">
        <v>527</v>
      </c>
      <c r="C1163" s="132" t="s">
        <v>454</v>
      </c>
      <c r="D1163" s="132" t="s">
        <v>455</v>
      </c>
      <c r="E1163" s="132" t="s">
        <v>581</v>
      </c>
      <c r="F1163" s="132">
        <v>420</v>
      </c>
      <c r="G1163" s="214">
        <v>1984</v>
      </c>
      <c r="H1163" s="132">
        <v>0</v>
      </c>
      <c r="I1163" s="132" t="s">
        <v>47</v>
      </c>
      <c r="J1163" s="133">
        <v>44104</v>
      </c>
      <c r="K1163" s="132">
        <v>0</v>
      </c>
      <c r="L1163" s="132" t="s">
        <v>282</v>
      </c>
      <c r="M1163" s="134">
        <v>0</v>
      </c>
      <c r="N1163" s="134">
        <v>0</v>
      </c>
      <c r="O1163" s="320">
        <v>0</v>
      </c>
      <c r="P1163" s="326">
        <v>0</v>
      </c>
      <c r="Q1163" s="326">
        <v>0</v>
      </c>
      <c r="R1163" s="315">
        <v>1</v>
      </c>
      <c r="S1163" s="315">
        <v>0</v>
      </c>
      <c r="T1163" s="315"/>
      <c r="U1163" s="315">
        <v>0</v>
      </c>
      <c r="V1163" s="315">
        <v>0</v>
      </c>
      <c r="W1163" s="315">
        <v>0</v>
      </c>
      <c r="X1163" s="315">
        <v>0</v>
      </c>
      <c r="Y1163" s="315">
        <v>0</v>
      </c>
      <c r="Z1163" s="315"/>
      <c r="AA1163" s="336">
        <v>420</v>
      </c>
      <c r="AB1163" s="336">
        <v>0</v>
      </c>
      <c r="AC1163" s="337">
        <v>0</v>
      </c>
      <c r="AD1163" s="337"/>
      <c r="AE1163" s="336">
        <v>420</v>
      </c>
      <c r="AF1163" s="336" t="s">
        <v>283</v>
      </c>
      <c r="AG1163" s="339" t="s">
        <v>1358</v>
      </c>
      <c r="AH1163" s="339">
        <v>0</v>
      </c>
      <c r="AI1163" s="336">
        <v>0</v>
      </c>
      <c r="AJ1163" s="336"/>
      <c r="AK1163" s="848">
        <v>1</v>
      </c>
      <c r="AL1163" s="836" t="s">
        <v>284</v>
      </c>
      <c r="AM1163" s="836">
        <v>420</v>
      </c>
      <c r="AN1163" s="848">
        <v>0</v>
      </c>
      <c r="AO1163" s="850">
        <v>1</v>
      </c>
      <c r="AP1163" s="839">
        <v>0</v>
      </c>
      <c r="AQ1163" s="839">
        <v>0</v>
      </c>
      <c r="AR1163" s="839"/>
      <c r="AS1163" s="839"/>
      <c r="AT1163" s="839"/>
      <c r="AU1163" s="839"/>
      <c r="AV1163" s="849"/>
      <c r="AW1163" s="134" t="s">
        <v>3208</v>
      </c>
      <c r="AX1163" s="136" t="s">
        <v>3208</v>
      </c>
      <c r="AY1163" s="137" t="s">
        <v>2576</v>
      </c>
      <c r="AZ1163" s="136">
        <v>0</v>
      </c>
      <c r="BA1163" s="136">
        <v>0</v>
      </c>
      <c r="BB1163" s="136">
        <v>0</v>
      </c>
      <c r="BC1163" s="214">
        <v>0</v>
      </c>
      <c r="BD1163" s="136">
        <v>0.12600806451612903</v>
      </c>
      <c r="BE1163" s="214">
        <v>250</v>
      </c>
      <c r="BF1163" s="136">
        <v>0.12600806451612903</v>
      </c>
      <c r="BG1163" s="214">
        <v>250</v>
      </c>
      <c r="BH1163" s="214">
        <v>0.5</v>
      </c>
      <c r="BI1163" s="134">
        <v>0.873991935483871</v>
      </c>
      <c r="BJ1163" s="214">
        <v>1734</v>
      </c>
      <c r="BK1163" s="137">
        <v>3.5</v>
      </c>
      <c r="BL1163" s="137">
        <v>4</v>
      </c>
      <c r="BM1163" s="137">
        <v>420</v>
      </c>
      <c r="BN1163" s="134">
        <v>1</v>
      </c>
      <c r="BO1163" s="351">
        <v>1984</v>
      </c>
      <c r="BP1163" s="134">
        <v>0</v>
      </c>
      <c r="BQ1163" s="214">
        <v>0</v>
      </c>
      <c r="BR1163" s="137">
        <v>331</v>
      </c>
      <c r="BS1163" s="138">
        <v>0</v>
      </c>
      <c r="BT1163" s="351" t="s">
        <v>103</v>
      </c>
      <c r="BU1163" s="214">
        <v>500</v>
      </c>
      <c r="BV1163" s="214">
        <v>0</v>
      </c>
      <c r="BW1163" s="214">
        <v>0</v>
      </c>
      <c r="BX1163" s="214">
        <v>0</v>
      </c>
      <c r="BY1163" s="214">
        <v>0</v>
      </c>
      <c r="BZ1163" s="134">
        <v>0</v>
      </c>
      <c r="CA1163" s="138">
        <v>1</v>
      </c>
      <c r="CB1163" s="136">
        <v>0.25201612903225806</v>
      </c>
      <c r="CC1163" s="136">
        <v>0</v>
      </c>
      <c r="CD1163" s="136">
        <v>0</v>
      </c>
      <c r="CE1163" s="137">
        <v>0</v>
      </c>
      <c r="CF1163" s="137">
        <v>0</v>
      </c>
      <c r="CG1163" s="137">
        <v>0</v>
      </c>
      <c r="CH1163" s="214">
        <v>420</v>
      </c>
      <c r="CI1163" s="139">
        <v>0</v>
      </c>
      <c r="CJ1163" s="139">
        <v>0</v>
      </c>
      <c r="CK1163" s="139" t="s">
        <v>969</v>
      </c>
      <c r="CL1163" s="139" t="s">
        <v>969</v>
      </c>
      <c r="CM1163" s="139" t="s">
        <v>992</v>
      </c>
      <c r="CN1163" s="139" t="s">
        <v>454</v>
      </c>
      <c r="CO1163" s="139">
        <v>20.151471999999998</v>
      </c>
      <c r="CP1163" s="139">
        <v>92.887277999999995</v>
      </c>
      <c r="CQ1163" s="139" t="s">
        <v>1638</v>
      </c>
      <c r="CR1163" s="449" t="s">
        <v>40</v>
      </c>
      <c r="CS1163" s="449"/>
      <c r="CT1163" s="24"/>
      <c r="CU1163" s="24"/>
      <c r="CV1163" s="24"/>
    </row>
    <row r="1164" spans="1:100" ht="16.5" customHeight="1" x14ac:dyDescent="0.25">
      <c r="A1164" s="643" t="s">
        <v>1388</v>
      </c>
      <c r="B1164" s="132" t="s">
        <v>527</v>
      </c>
      <c r="C1164" s="132" t="s">
        <v>454</v>
      </c>
      <c r="D1164" s="132" t="s">
        <v>455</v>
      </c>
      <c r="E1164" s="132" t="s">
        <v>604</v>
      </c>
      <c r="F1164" s="132">
        <v>2280</v>
      </c>
      <c r="G1164" s="214">
        <v>11564</v>
      </c>
      <c r="H1164" s="132">
        <v>0</v>
      </c>
      <c r="I1164" s="132" t="s">
        <v>47</v>
      </c>
      <c r="J1164" s="133">
        <v>44104</v>
      </c>
      <c r="K1164" s="132">
        <v>0</v>
      </c>
      <c r="L1164" s="132" t="s">
        <v>282</v>
      </c>
      <c r="M1164" s="134">
        <v>0</v>
      </c>
      <c r="N1164" s="134">
        <v>0</v>
      </c>
      <c r="O1164" s="320">
        <v>0</v>
      </c>
      <c r="P1164" s="326">
        <v>172</v>
      </c>
      <c r="Q1164" s="326">
        <v>0</v>
      </c>
      <c r="R1164" s="315">
        <v>0</v>
      </c>
      <c r="S1164" s="315">
        <v>196</v>
      </c>
      <c r="T1164" s="315"/>
      <c r="U1164" s="315">
        <v>211</v>
      </c>
      <c r="V1164" s="315">
        <v>198</v>
      </c>
      <c r="W1164" s="315">
        <v>204</v>
      </c>
      <c r="X1164" s="315">
        <v>156</v>
      </c>
      <c r="Y1164" s="315">
        <v>13</v>
      </c>
      <c r="Z1164" s="315"/>
      <c r="AA1164" s="336">
        <v>505</v>
      </c>
      <c r="AB1164" s="336">
        <v>11</v>
      </c>
      <c r="AC1164" s="337">
        <v>0</v>
      </c>
      <c r="AD1164" s="337"/>
      <c r="AE1164" s="336">
        <v>516</v>
      </c>
      <c r="AF1164" s="336" t="s">
        <v>283</v>
      </c>
      <c r="AG1164" s="339" t="s">
        <v>1358</v>
      </c>
      <c r="AH1164" s="339">
        <v>0</v>
      </c>
      <c r="AI1164" s="336">
        <v>26</v>
      </c>
      <c r="AJ1164" s="336"/>
      <c r="AK1164" s="848">
        <v>1</v>
      </c>
      <c r="AL1164" s="836" t="s">
        <v>284</v>
      </c>
      <c r="AM1164" s="836">
        <v>2280</v>
      </c>
      <c r="AN1164" s="848">
        <v>0</v>
      </c>
      <c r="AO1164" s="850">
        <v>26</v>
      </c>
      <c r="AP1164" s="839">
        <v>2280</v>
      </c>
      <c r="AQ1164" s="839">
        <v>2280</v>
      </c>
      <c r="AR1164" s="839" t="s">
        <v>282</v>
      </c>
      <c r="AS1164" s="839"/>
      <c r="AT1164" s="839"/>
      <c r="AU1164" s="839"/>
      <c r="AV1164" s="849"/>
      <c r="AW1164" s="134">
        <v>0.93838862559241709</v>
      </c>
      <c r="AX1164" s="136">
        <v>0.76470588235294112</v>
      </c>
      <c r="AY1164" s="137" t="s">
        <v>2577</v>
      </c>
      <c r="AZ1164" s="136">
        <v>1</v>
      </c>
      <c r="BA1164" s="136">
        <v>1</v>
      </c>
      <c r="BB1164" s="136">
        <v>1</v>
      </c>
      <c r="BC1164" s="214">
        <v>11564</v>
      </c>
      <c r="BD1164" s="136">
        <v>0</v>
      </c>
      <c r="BE1164" s="214">
        <v>0</v>
      </c>
      <c r="BF1164" s="136">
        <v>1</v>
      </c>
      <c r="BG1164" s="214">
        <v>11564</v>
      </c>
      <c r="BH1164" s="214">
        <v>23.128</v>
      </c>
      <c r="BI1164" s="134">
        <v>0</v>
      </c>
      <c r="BJ1164" s="214">
        <v>0</v>
      </c>
      <c r="BK1164" s="137">
        <v>0</v>
      </c>
      <c r="BL1164" s="137">
        <v>23</v>
      </c>
      <c r="BM1164" s="137">
        <v>516</v>
      </c>
      <c r="BN1164" s="134">
        <v>0.8734002075406434</v>
      </c>
      <c r="BO1164" s="351">
        <v>10100</v>
      </c>
      <c r="BP1164" s="134">
        <v>0.10722933241093047</v>
      </c>
      <c r="BQ1164" s="214">
        <v>62</v>
      </c>
      <c r="BR1164" s="137">
        <v>578</v>
      </c>
      <c r="BS1164" s="138">
        <v>2.1317829457364341E-2</v>
      </c>
      <c r="BT1164" s="351">
        <v>0</v>
      </c>
      <c r="BU1164" s="214">
        <v>11564</v>
      </c>
      <c r="BV1164" s="214">
        <v>1</v>
      </c>
      <c r="BW1164" s="214">
        <v>1</v>
      </c>
      <c r="BX1164" s="214">
        <v>1</v>
      </c>
      <c r="BY1164" s="214">
        <v>11564</v>
      </c>
      <c r="BZ1164" s="134">
        <v>1</v>
      </c>
      <c r="CA1164" s="138">
        <v>0</v>
      </c>
      <c r="CB1164" s="136">
        <v>1</v>
      </c>
      <c r="CC1164" s="136">
        <v>1</v>
      </c>
      <c r="CD1164" s="136">
        <v>1</v>
      </c>
      <c r="CE1164" s="137">
        <v>11400</v>
      </c>
      <c r="CF1164" s="137">
        <v>11400</v>
      </c>
      <c r="CG1164" s="137">
        <v>11400</v>
      </c>
      <c r="CH1164" s="214">
        <v>2280</v>
      </c>
      <c r="CI1164" s="139" t="s">
        <v>48</v>
      </c>
      <c r="CJ1164" s="139">
        <v>0</v>
      </c>
      <c r="CK1164" s="139" t="s">
        <v>50</v>
      </c>
      <c r="CL1164" s="139" t="s">
        <v>50</v>
      </c>
      <c r="CM1164" s="139" t="s">
        <v>965</v>
      </c>
      <c r="CN1164" s="139" t="s">
        <v>966</v>
      </c>
      <c r="CO1164" s="139">
        <v>20.202525000000001</v>
      </c>
      <c r="CP1164" s="139">
        <v>92.792479999999998</v>
      </c>
      <c r="CQ1164" s="139" t="s">
        <v>1661</v>
      </c>
      <c r="CR1164" s="449" t="s">
        <v>40</v>
      </c>
      <c r="CS1164" s="449"/>
      <c r="CT1164" s="24"/>
      <c r="CU1164" s="24"/>
      <c r="CV1164" s="24"/>
    </row>
    <row r="1165" spans="1:100" ht="16.5" customHeight="1" x14ac:dyDescent="0.25">
      <c r="A1165" s="643" t="s">
        <v>1388</v>
      </c>
      <c r="B1165" s="132" t="s">
        <v>527</v>
      </c>
      <c r="C1165" s="132" t="s">
        <v>454</v>
      </c>
      <c r="D1165" s="132" t="s">
        <v>455</v>
      </c>
      <c r="E1165" s="132" t="s">
        <v>602</v>
      </c>
      <c r="F1165" s="132">
        <v>235</v>
      </c>
      <c r="G1165" s="214">
        <v>1390</v>
      </c>
      <c r="H1165" s="132">
        <v>0</v>
      </c>
      <c r="I1165" s="132" t="s">
        <v>47</v>
      </c>
      <c r="J1165" s="133">
        <v>44104</v>
      </c>
      <c r="K1165" s="132">
        <v>0</v>
      </c>
      <c r="L1165" s="132" t="s">
        <v>282</v>
      </c>
      <c r="M1165" s="134">
        <v>0</v>
      </c>
      <c r="N1165" s="134">
        <v>0</v>
      </c>
      <c r="O1165" s="320">
        <v>0</v>
      </c>
      <c r="P1165" s="326">
        <v>10</v>
      </c>
      <c r="Q1165" s="326">
        <v>0</v>
      </c>
      <c r="R1165" s="315">
        <v>0</v>
      </c>
      <c r="S1165" s="315">
        <v>0</v>
      </c>
      <c r="T1165" s="315"/>
      <c r="U1165" s="315">
        <v>0</v>
      </c>
      <c r="V1165" s="315">
        <v>0</v>
      </c>
      <c r="W1165" s="315">
        <v>0</v>
      </c>
      <c r="X1165" s="315">
        <v>0</v>
      </c>
      <c r="Y1165" s="315">
        <v>0</v>
      </c>
      <c r="Z1165" s="315"/>
      <c r="AA1165" s="336">
        <v>0</v>
      </c>
      <c r="AB1165" s="336">
        <v>0</v>
      </c>
      <c r="AC1165" s="337">
        <v>0</v>
      </c>
      <c r="AD1165" s="337"/>
      <c r="AE1165" s="336">
        <v>0</v>
      </c>
      <c r="AF1165" s="336" t="s">
        <v>283</v>
      </c>
      <c r="AG1165" s="339" t="s">
        <v>1358</v>
      </c>
      <c r="AH1165" s="339">
        <v>0</v>
      </c>
      <c r="AI1165" s="336">
        <v>0</v>
      </c>
      <c r="AJ1165" s="336"/>
      <c r="AK1165" s="848">
        <v>1</v>
      </c>
      <c r="AL1165" s="836" t="s">
        <v>284</v>
      </c>
      <c r="AM1165" s="836">
        <v>235</v>
      </c>
      <c r="AN1165" s="848">
        <v>0</v>
      </c>
      <c r="AO1165" s="850">
        <v>1</v>
      </c>
      <c r="AP1165" s="839">
        <v>0</v>
      </c>
      <c r="AQ1165" s="839">
        <v>0</v>
      </c>
      <c r="AR1165" s="839"/>
      <c r="AS1165" s="839"/>
      <c r="AT1165" s="839"/>
      <c r="AU1165" s="839"/>
      <c r="AV1165" s="849"/>
      <c r="AW1165" s="134" t="s">
        <v>3208</v>
      </c>
      <c r="AX1165" s="136" t="s">
        <v>3208</v>
      </c>
      <c r="AY1165" s="137" t="s">
        <v>2576</v>
      </c>
      <c r="AZ1165" s="136">
        <v>1</v>
      </c>
      <c r="BA1165" s="136">
        <v>1</v>
      </c>
      <c r="BB1165" s="136">
        <v>1</v>
      </c>
      <c r="BC1165" s="214">
        <v>1390</v>
      </c>
      <c r="BD1165" s="136">
        <v>0</v>
      </c>
      <c r="BE1165" s="214">
        <v>0</v>
      </c>
      <c r="BF1165" s="136">
        <v>1</v>
      </c>
      <c r="BG1165" s="214">
        <v>1390</v>
      </c>
      <c r="BH1165" s="214">
        <v>2.78</v>
      </c>
      <c r="BI1165" s="134">
        <v>0</v>
      </c>
      <c r="BJ1165" s="214">
        <v>0</v>
      </c>
      <c r="BK1165" s="137">
        <v>0.2200000000000002</v>
      </c>
      <c r="BL1165" s="137">
        <v>3</v>
      </c>
      <c r="BM1165" s="137">
        <v>0</v>
      </c>
      <c r="BN1165" s="134">
        <v>0</v>
      </c>
      <c r="BO1165" s="351">
        <v>0</v>
      </c>
      <c r="BP1165" s="134">
        <v>1</v>
      </c>
      <c r="BQ1165" s="214">
        <v>232</v>
      </c>
      <c r="BR1165" s="137">
        <v>232</v>
      </c>
      <c r="BS1165" s="138">
        <v>0</v>
      </c>
      <c r="BT1165" s="351" t="s">
        <v>103</v>
      </c>
      <c r="BU1165" s="214">
        <v>500</v>
      </c>
      <c r="BV1165" s="214">
        <v>0</v>
      </c>
      <c r="BW1165" s="214">
        <v>0</v>
      </c>
      <c r="BX1165" s="214">
        <v>0</v>
      </c>
      <c r="BY1165" s="214">
        <v>0</v>
      </c>
      <c r="BZ1165" s="134">
        <v>0</v>
      </c>
      <c r="CA1165" s="138">
        <v>1</v>
      </c>
      <c r="CB1165" s="136">
        <v>0.35971223021582732</v>
      </c>
      <c r="CC1165" s="136">
        <v>0</v>
      </c>
      <c r="CD1165" s="136">
        <v>0</v>
      </c>
      <c r="CE1165" s="137">
        <v>0</v>
      </c>
      <c r="CF1165" s="137">
        <v>0</v>
      </c>
      <c r="CG1165" s="137">
        <v>0</v>
      </c>
      <c r="CH1165" s="214">
        <v>235</v>
      </c>
      <c r="CI1165" s="139">
        <v>0</v>
      </c>
      <c r="CJ1165" s="139">
        <v>0</v>
      </c>
      <c r="CK1165" s="139" t="s">
        <v>969</v>
      </c>
      <c r="CL1165" s="139" t="s">
        <v>969</v>
      </c>
      <c r="CM1165" s="139" t="s">
        <v>969</v>
      </c>
      <c r="CN1165" s="139" t="s">
        <v>966</v>
      </c>
      <c r="CO1165" s="139">
        <v>20.201499999999999</v>
      </c>
      <c r="CP1165" s="139">
        <v>92.796599999999998</v>
      </c>
      <c r="CQ1165" s="139">
        <v>196154</v>
      </c>
      <c r="CR1165" s="449" t="s">
        <v>40</v>
      </c>
      <c r="CS1165" s="449"/>
      <c r="CT1165" s="24"/>
      <c r="CU1165" s="24"/>
      <c r="CV1165" s="24"/>
    </row>
    <row r="1166" spans="1:100" ht="16.5" customHeight="1" x14ac:dyDescent="0.25">
      <c r="A1166" s="643" t="s">
        <v>1388</v>
      </c>
      <c r="B1166" s="132" t="s">
        <v>527</v>
      </c>
      <c r="C1166" s="132" t="s">
        <v>454</v>
      </c>
      <c r="D1166" s="132" t="s">
        <v>455</v>
      </c>
      <c r="E1166" s="132" t="s">
        <v>598</v>
      </c>
      <c r="F1166" s="132">
        <v>92</v>
      </c>
      <c r="G1166" s="214">
        <v>469</v>
      </c>
      <c r="H1166" s="132">
        <v>0</v>
      </c>
      <c r="I1166" s="132" t="s">
        <v>47</v>
      </c>
      <c r="J1166" s="133">
        <v>44104</v>
      </c>
      <c r="K1166" s="132">
        <v>0</v>
      </c>
      <c r="L1166" s="132" t="s">
        <v>282</v>
      </c>
      <c r="M1166" s="134">
        <v>0</v>
      </c>
      <c r="N1166" s="134">
        <v>0</v>
      </c>
      <c r="O1166" s="320">
        <v>12</v>
      </c>
      <c r="P1166" s="326">
        <v>7</v>
      </c>
      <c r="Q1166" s="326">
        <v>0</v>
      </c>
      <c r="R1166" s="315">
        <v>0</v>
      </c>
      <c r="S1166" s="315">
        <v>0</v>
      </c>
      <c r="T1166" s="315"/>
      <c r="U1166" s="315">
        <v>0</v>
      </c>
      <c r="V1166" s="315">
        <v>0</v>
      </c>
      <c r="W1166" s="315">
        <v>0</v>
      </c>
      <c r="X1166" s="315">
        <v>0</v>
      </c>
      <c r="Y1166" s="315">
        <v>0</v>
      </c>
      <c r="Z1166" s="315"/>
      <c r="AA1166" s="336">
        <v>0</v>
      </c>
      <c r="AB1166" s="336">
        <v>0</v>
      </c>
      <c r="AC1166" s="337">
        <v>0</v>
      </c>
      <c r="AD1166" s="337"/>
      <c r="AE1166" s="336">
        <v>0</v>
      </c>
      <c r="AF1166" s="336" t="s">
        <v>283</v>
      </c>
      <c r="AG1166" s="339" t="s">
        <v>1358</v>
      </c>
      <c r="AH1166" s="339">
        <v>0</v>
      </c>
      <c r="AI1166" s="336">
        <v>0</v>
      </c>
      <c r="AJ1166" s="336"/>
      <c r="AK1166" s="848">
        <v>1</v>
      </c>
      <c r="AL1166" s="836" t="s">
        <v>284</v>
      </c>
      <c r="AM1166" s="836">
        <v>92</v>
      </c>
      <c r="AN1166" s="848">
        <v>0</v>
      </c>
      <c r="AO1166" s="850">
        <v>1</v>
      </c>
      <c r="AP1166" s="839">
        <v>0</v>
      </c>
      <c r="AQ1166" s="839">
        <v>0</v>
      </c>
      <c r="AR1166" s="839"/>
      <c r="AS1166" s="839"/>
      <c r="AT1166" s="839"/>
      <c r="AU1166" s="839"/>
      <c r="AV1166" s="849"/>
      <c r="AW1166" s="134" t="s">
        <v>3208</v>
      </c>
      <c r="AX1166" s="136" t="s">
        <v>3208</v>
      </c>
      <c r="AY1166" s="137" t="s">
        <v>2576</v>
      </c>
      <c r="AZ1166" s="136">
        <v>1</v>
      </c>
      <c r="BA1166" s="136">
        <v>1</v>
      </c>
      <c r="BB1166" s="136">
        <v>1</v>
      </c>
      <c r="BC1166" s="214">
        <v>469</v>
      </c>
      <c r="BD1166" s="136">
        <v>0</v>
      </c>
      <c r="BE1166" s="214">
        <v>0</v>
      </c>
      <c r="BF1166" s="136">
        <v>1</v>
      </c>
      <c r="BG1166" s="214">
        <v>469</v>
      </c>
      <c r="BH1166" s="214">
        <v>0.93799999999999994</v>
      </c>
      <c r="BI1166" s="134">
        <v>0</v>
      </c>
      <c r="BJ1166" s="214">
        <v>0</v>
      </c>
      <c r="BK1166" s="137">
        <v>6.2000000000000055E-2</v>
      </c>
      <c r="BL1166" s="137">
        <v>1</v>
      </c>
      <c r="BM1166" s="137">
        <v>0</v>
      </c>
      <c r="BN1166" s="134">
        <v>0</v>
      </c>
      <c r="BO1166" s="351">
        <v>0</v>
      </c>
      <c r="BP1166" s="134">
        <v>0.99786780383795304</v>
      </c>
      <c r="BQ1166" s="214">
        <v>78</v>
      </c>
      <c r="BR1166" s="137">
        <v>78</v>
      </c>
      <c r="BS1166" s="138">
        <v>0</v>
      </c>
      <c r="BT1166" s="351" t="s">
        <v>103</v>
      </c>
      <c r="BU1166" s="214">
        <v>469</v>
      </c>
      <c r="BV1166" s="214">
        <v>0</v>
      </c>
      <c r="BW1166" s="214">
        <v>1</v>
      </c>
      <c r="BX1166" s="214">
        <v>0</v>
      </c>
      <c r="BY1166" s="214">
        <v>0</v>
      </c>
      <c r="BZ1166" s="134">
        <v>0</v>
      </c>
      <c r="CA1166" s="138">
        <v>1</v>
      </c>
      <c r="CB1166" s="136">
        <v>1</v>
      </c>
      <c r="CC1166" s="136">
        <v>0</v>
      </c>
      <c r="CD1166" s="136">
        <v>0</v>
      </c>
      <c r="CE1166" s="137">
        <v>0</v>
      </c>
      <c r="CF1166" s="137">
        <v>0</v>
      </c>
      <c r="CG1166" s="137">
        <v>0</v>
      </c>
      <c r="CH1166" s="214">
        <v>92</v>
      </c>
      <c r="CI1166" s="139">
        <v>0</v>
      </c>
      <c r="CJ1166" s="139">
        <v>0</v>
      </c>
      <c r="CK1166" s="139" t="s">
        <v>969</v>
      </c>
      <c r="CL1166" s="139" t="s">
        <v>969</v>
      </c>
      <c r="CM1166" s="139" t="s">
        <v>969</v>
      </c>
      <c r="CN1166" s="139" t="s">
        <v>966</v>
      </c>
      <c r="CO1166" s="139">
        <v>20.191719055175799</v>
      </c>
      <c r="CP1166" s="139">
        <v>92.808166503906307</v>
      </c>
      <c r="CQ1166" s="139" t="s">
        <v>1658</v>
      </c>
      <c r="CR1166" s="449" t="s">
        <v>40</v>
      </c>
      <c r="CS1166" s="449"/>
      <c r="CT1166" s="24"/>
      <c r="CU1166" s="24"/>
      <c r="CV1166" s="24"/>
    </row>
    <row r="1167" spans="1:100" ht="16.5" customHeight="1" x14ac:dyDescent="0.25">
      <c r="A1167" s="643" t="s">
        <v>1388</v>
      </c>
      <c r="B1167" s="132" t="s">
        <v>527</v>
      </c>
      <c r="C1167" s="132" t="s">
        <v>454</v>
      </c>
      <c r="D1167" s="132" t="s">
        <v>455</v>
      </c>
      <c r="E1167" s="132" t="s">
        <v>578</v>
      </c>
      <c r="F1167" s="132">
        <v>72</v>
      </c>
      <c r="G1167" s="214">
        <v>447</v>
      </c>
      <c r="H1167" s="132">
        <v>0</v>
      </c>
      <c r="I1167" s="132" t="s">
        <v>47</v>
      </c>
      <c r="J1167" s="133">
        <v>44104</v>
      </c>
      <c r="K1167" s="132">
        <v>0</v>
      </c>
      <c r="L1167" s="132" t="s">
        <v>282</v>
      </c>
      <c r="M1167" s="134">
        <v>0</v>
      </c>
      <c r="N1167" s="134">
        <v>0</v>
      </c>
      <c r="O1167" s="320">
        <v>0</v>
      </c>
      <c r="P1167" s="326">
        <v>0</v>
      </c>
      <c r="Q1167" s="326">
        <v>0</v>
      </c>
      <c r="R1167" s="315">
        <v>1</v>
      </c>
      <c r="S1167" s="315">
        <v>0</v>
      </c>
      <c r="T1167" s="315"/>
      <c r="U1167" s="315">
        <v>0</v>
      </c>
      <c r="V1167" s="315">
        <v>0</v>
      </c>
      <c r="W1167" s="315">
        <v>0</v>
      </c>
      <c r="X1167" s="315">
        <v>0</v>
      </c>
      <c r="Y1167" s="315">
        <v>0</v>
      </c>
      <c r="Z1167" s="315"/>
      <c r="AA1167" s="336">
        <v>72</v>
      </c>
      <c r="AB1167" s="336">
        <v>0</v>
      </c>
      <c r="AC1167" s="337">
        <v>0</v>
      </c>
      <c r="AD1167" s="337"/>
      <c r="AE1167" s="336">
        <v>0</v>
      </c>
      <c r="AF1167" s="336" t="s">
        <v>283</v>
      </c>
      <c r="AG1167" s="339" t="s">
        <v>1358</v>
      </c>
      <c r="AH1167" s="339">
        <v>0</v>
      </c>
      <c r="AI1167" s="336">
        <v>0</v>
      </c>
      <c r="AJ1167" s="336"/>
      <c r="AK1167" s="848">
        <v>1</v>
      </c>
      <c r="AL1167" s="836" t="s">
        <v>284</v>
      </c>
      <c r="AM1167" s="836">
        <v>72</v>
      </c>
      <c r="AN1167" s="848">
        <v>0</v>
      </c>
      <c r="AO1167" s="850">
        <v>1</v>
      </c>
      <c r="AP1167" s="839">
        <v>0</v>
      </c>
      <c r="AQ1167" s="839">
        <v>0</v>
      </c>
      <c r="AR1167" s="839"/>
      <c r="AS1167" s="839"/>
      <c r="AT1167" s="839"/>
      <c r="AU1167" s="839"/>
      <c r="AV1167" s="849"/>
      <c r="AW1167" s="134" t="s">
        <v>3208</v>
      </c>
      <c r="AX1167" s="136" t="s">
        <v>3208</v>
      </c>
      <c r="AY1167" s="137" t="s">
        <v>2576</v>
      </c>
      <c r="AZ1167" s="136">
        <v>0</v>
      </c>
      <c r="BA1167" s="136">
        <v>0</v>
      </c>
      <c r="BB1167" s="136">
        <v>0</v>
      </c>
      <c r="BC1167" s="214">
        <v>0</v>
      </c>
      <c r="BD1167" s="136">
        <v>0.5592841163310962</v>
      </c>
      <c r="BE1167" s="214">
        <v>250</v>
      </c>
      <c r="BF1167" s="136">
        <v>0.5592841163310962</v>
      </c>
      <c r="BG1167" s="214">
        <v>250</v>
      </c>
      <c r="BH1167" s="214">
        <v>0.5</v>
      </c>
      <c r="BI1167" s="134">
        <v>0.4407158836689038</v>
      </c>
      <c r="BJ1167" s="214">
        <v>197</v>
      </c>
      <c r="BK1167" s="137">
        <v>0.5</v>
      </c>
      <c r="BL1167" s="137">
        <v>1</v>
      </c>
      <c r="BM1167" s="137">
        <v>72</v>
      </c>
      <c r="BN1167" s="134">
        <v>0.96644295302013428</v>
      </c>
      <c r="BO1167" s="351">
        <v>432</v>
      </c>
      <c r="BP1167" s="134">
        <v>4.0268456375838924E-2</v>
      </c>
      <c r="BQ1167" s="214">
        <v>3</v>
      </c>
      <c r="BR1167" s="137">
        <v>75</v>
      </c>
      <c r="BS1167" s="138">
        <v>0</v>
      </c>
      <c r="BT1167" s="351" t="s">
        <v>103</v>
      </c>
      <c r="BU1167" s="214">
        <v>447</v>
      </c>
      <c r="BV1167" s="214">
        <v>0</v>
      </c>
      <c r="BW1167" s="214">
        <v>1</v>
      </c>
      <c r="BX1167" s="214">
        <v>0</v>
      </c>
      <c r="BY1167" s="214">
        <v>0</v>
      </c>
      <c r="BZ1167" s="134">
        <v>0</v>
      </c>
      <c r="CA1167" s="138">
        <v>1</v>
      </c>
      <c r="CB1167" s="136">
        <v>1</v>
      </c>
      <c r="CC1167" s="136">
        <v>0</v>
      </c>
      <c r="CD1167" s="136">
        <v>0</v>
      </c>
      <c r="CE1167" s="137">
        <v>0</v>
      </c>
      <c r="CF1167" s="137">
        <v>0</v>
      </c>
      <c r="CG1167" s="137">
        <v>0</v>
      </c>
      <c r="CH1167" s="214">
        <v>72</v>
      </c>
      <c r="CI1167" s="139">
        <v>0</v>
      </c>
      <c r="CJ1167" s="139">
        <v>0</v>
      </c>
      <c r="CK1167" s="139" t="s">
        <v>969</v>
      </c>
      <c r="CL1167" s="139" t="s">
        <v>969</v>
      </c>
      <c r="CM1167" s="139" t="s">
        <v>992</v>
      </c>
      <c r="CN1167" s="139" t="s">
        <v>1017</v>
      </c>
      <c r="CO1167" s="139">
        <v>20.148584</v>
      </c>
      <c r="CP1167" s="139">
        <v>92.880319999999998</v>
      </c>
      <c r="CQ1167" s="139" t="s">
        <v>1633</v>
      </c>
      <c r="CR1167" s="449" t="s">
        <v>40</v>
      </c>
      <c r="CS1167" s="449"/>
      <c r="CT1167" s="24"/>
      <c r="CU1167" s="24"/>
      <c r="CV1167" s="24"/>
    </row>
    <row r="1168" spans="1:100" ht="16.5" customHeight="1" x14ac:dyDescent="0.25">
      <c r="A1168" s="643" t="s">
        <v>1388</v>
      </c>
      <c r="B1168" s="132" t="s">
        <v>527</v>
      </c>
      <c r="C1168" s="132" t="s">
        <v>454</v>
      </c>
      <c r="D1168" s="132" t="s">
        <v>455</v>
      </c>
      <c r="E1168" s="132" t="s">
        <v>2510</v>
      </c>
      <c r="F1168" s="132">
        <v>152</v>
      </c>
      <c r="G1168" s="214">
        <v>614</v>
      </c>
      <c r="H1168" s="132">
        <v>0</v>
      </c>
      <c r="I1168" s="132" t="s">
        <v>47</v>
      </c>
      <c r="J1168" s="133">
        <v>44104</v>
      </c>
      <c r="K1168" s="132">
        <v>0</v>
      </c>
      <c r="L1168" s="132" t="s">
        <v>282</v>
      </c>
      <c r="M1168" s="134">
        <v>0</v>
      </c>
      <c r="N1168" s="134">
        <v>0</v>
      </c>
      <c r="O1168" s="320">
        <v>0</v>
      </c>
      <c r="P1168" s="326">
        <v>12</v>
      </c>
      <c r="Q1168" s="326">
        <v>0</v>
      </c>
      <c r="R1168" s="315">
        <v>0</v>
      </c>
      <c r="S1168" s="315">
        <v>0</v>
      </c>
      <c r="T1168" s="315"/>
      <c r="U1168" s="315">
        <v>0</v>
      </c>
      <c r="V1168" s="315">
        <v>0</v>
      </c>
      <c r="W1168" s="315">
        <v>0</v>
      </c>
      <c r="X1168" s="315">
        <v>0</v>
      </c>
      <c r="Y1168" s="315">
        <v>0</v>
      </c>
      <c r="Z1168" s="315"/>
      <c r="AA1168" s="336">
        <v>152</v>
      </c>
      <c r="AB1168" s="336">
        <v>0</v>
      </c>
      <c r="AC1168" s="337">
        <v>0</v>
      </c>
      <c r="AD1168" s="337"/>
      <c r="AE1168" s="336">
        <v>0</v>
      </c>
      <c r="AF1168" s="336" t="s">
        <v>283</v>
      </c>
      <c r="AG1168" s="339" t="s">
        <v>1358</v>
      </c>
      <c r="AH1168" s="339">
        <v>0</v>
      </c>
      <c r="AI1168" s="336">
        <v>0</v>
      </c>
      <c r="AJ1168" s="336"/>
      <c r="AK1168" s="848">
        <v>1</v>
      </c>
      <c r="AL1168" s="836" t="s">
        <v>284</v>
      </c>
      <c r="AM1168" s="836">
        <v>152</v>
      </c>
      <c r="AN1168" s="848">
        <v>0</v>
      </c>
      <c r="AO1168" s="850">
        <v>1</v>
      </c>
      <c r="AP1168" s="839">
        <v>0</v>
      </c>
      <c r="AQ1168" s="839">
        <v>0</v>
      </c>
      <c r="AR1168" s="839"/>
      <c r="AS1168" s="839"/>
      <c r="AT1168" s="839"/>
      <c r="AU1168" s="839"/>
      <c r="AV1168" s="849"/>
      <c r="AW1168" s="134" t="s">
        <v>3208</v>
      </c>
      <c r="AX1168" s="136" t="s">
        <v>3208</v>
      </c>
      <c r="AY1168" s="137" t="s">
        <v>2576</v>
      </c>
      <c r="AZ1168" s="136">
        <v>1</v>
      </c>
      <c r="BA1168" s="136">
        <v>1</v>
      </c>
      <c r="BB1168" s="136">
        <v>1</v>
      </c>
      <c r="BC1168" s="214">
        <v>614</v>
      </c>
      <c r="BD1168" s="136">
        <v>0</v>
      </c>
      <c r="BE1168" s="214">
        <v>0</v>
      </c>
      <c r="BF1168" s="136">
        <v>1</v>
      </c>
      <c r="BG1168" s="214">
        <v>614</v>
      </c>
      <c r="BH1168" s="214">
        <v>1.228</v>
      </c>
      <c r="BI1168" s="134">
        <v>0</v>
      </c>
      <c r="BJ1168" s="214">
        <v>0</v>
      </c>
      <c r="BK1168" s="137">
        <v>0</v>
      </c>
      <c r="BL1168" s="137">
        <v>1</v>
      </c>
      <c r="BM1168" s="137">
        <v>152</v>
      </c>
      <c r="BN1168" s="134">
        <v>1</v>
      </c>
      <c r="BO1168" s="351">
        <v>614</v>
      </c>
      <c r="BP1168" s="134">
        <v>0</v>
      </c>
      <c r="BQ1168" s="214">
        <v>0</v>
      </c>
      <c r="BR1168" s="137">
        <v>102</v>
      </c>
      <c r="BS1168" s="138">
        <v>0</v>
      </c>
      <c r="BT1168" s="351" t="s">
        <v>103</v>
      </c>
      <c r="BU1168" s="214">
        <v>500</v>
      </c>
      <c r="BV1168" s="214">
        <v>0</v>
      </c>
      <c r="BW1168" s="214">
        <v>1</v>
      </c>
      <c r="BX1168" s="214">
        <v>0</v>
      </c>
      <c r="BY1168" s="214">
        <v>0</v>
      </c>
      <c r="BZ1168" s="134">
        <v>0</v>
      </c>
      <c r="CA1168" s="138">
        <v>1</v>
      </c>
      <c r="CB1168" s="136">
        <v>0.81433224755700329</v>
      </c>
      <c r="CC1168" s="136">
        <v>0</v>
      </c>
      <c r="CD1168" s="136">
        <v>0</v>
      </c>
      <c r="CE1168" s="137">
        <v>0</v>
      </c>
      <c r="CF1168" s="137">
        <v>0</v>
      </c>
      <c r="CG1168" s="137">
        <v>0</v>
      </c>
      <c r="CH1168" s="214">
        <v>152</v>
      </c>
      <c r="CI1168" s="139">
        <v>0</v>
      </c>
      <c r="CJ1168" s="139">
        <v>0</v>
      </c>
      <c r="CK1168" s="139" t="s">
        <v>969</v>
      </c>
      <c r="CL1168" s="139" t="s">
        <v>969</v>
      </c>
      <c r="CM1168" s="139" t="s">
        <v>992</v>
      </c>
      <c r="CN1168" s="139" t="s">
        <v>454</v>
      </c>
      <c r="CO1168" s="139">
        <v>20.155805999999998</v>
      </c>
      <c r="CP1168" s="139">
        <v>92.879138999999995</v>
      </c>
      <c r="CQ1168" s="139" t="s">
        <v>1640</v>
      </c>
      <c r="CR1168" s="449" t="s">
        <v>40</v>
      </c>
      <c r="CS1168" s="449"/>
      <c r="CT1168" s="24"/>
      <c r="CU1168" s="24"/>
      <c r="CV1168" s="24"/>
    </row>
    <row r="1169" spans="1:100" ht="16.5" customHeight="1" x14ac:dyDescent="0.25">
      <c r="A1169" s="643" t="s">
        <v>1388</v>
      </c>
      <c r="B1169" s="132" t="s">
        <v>426</v>
      </c>
      <c r="C1169" s="132" t="s">
        <v>454</v>
      </c>
      <c r="D1169" s="132" t="s">
        <v>455</v>
      </c>
      <c r="E1169" s="132" t="s">
        <v>584</v>
      </c>
      <c r="F1169" s="132">
        <v>2286</v>
      </c>
      <c r="G1169" s="214">
        <v>12202</v>
      </c>
      <c r="H1169" s="132"/>
      <c r="I1169" s="132" t="s">
        <v>872</v>
      </c>
      <c r="J1169" s="133">
        <v>44104</v>
      </c>
      <c r="K1169" s="132">
        <v>0</v>
      </c>
      <c r="L1169" s="132" t="s">
        <v>282</v>
      </c>
      <c r="M1169" s="134">
        <v>0</v>
      </c>
      <c r="N1169" s="134">
        <v>0</v>
      </c>
      <c r="O1169" s="320">
        <v>0</v>
      </c>
      <c r="P1169" s="326">
        <v>48</v>
      </c>
      <c r="Q1169" s="326">
        <v>0</v>
      </c>
      <c r="R1169" s="315">
        <v>0</v>
      </c>
      <c r="S1169" s="315">
        <v>48</v>
      </c>
      <c r="T1169" s="315"/>
      <c r="U1169" s="315">
        <v>0</v>
      </c>
      <c r="V1169" s="315">
        <v>0</v>
      </c>
      <c r="W1169" s="315">
        <v>0</v>
      </c>
      <c r="X1169" s="315">
        <v>0</v>
      </c>
      <c r="Y1169" s="315">
        <v>0</v>
      </c>
      <c r="Z1169" s="315"/>
      <c r="AA1169" s="336">
        <v>243</v>
      </c>
      <c r="AB1169" s="336">
        <v>21</v>
      </c>
      <c r="AC1169" s="337">
        <v>50</v>
      </c>
      <c r="AD1169" s="337"/>
      <c r="AE1169" s="336">
        <v>240</v>
      </c>
      <c r="AF1169" s="336" t="s">
        <v>283</v>
      </c>
      <c r="AG1169" s="339" t="s">
        <v>283</v>
      </c>
      <c r="AH1169" s="339">
        <v>0</v>
      </c>
      <c r="AI1169" s="336">
        <v>0</v>
      </c>
      <c r="AJ1169" s="336"/>
      <c r="AK1169" s="848">
        <v>0</v>
      </c>
      <c r="AL1169" s="836" t="s">
        <v>284</v>
      </c>
      <c r="AM1169" s="836">
        <v>0</v>
      </c>
      <c r="AN1169" s="848">
        <v>0</v>
      </c>
      <c r="AO1169" s="850">
        <v>8</v>
      </c>
      <c r="AP1169" s="839">
        <v>1135</v>
      </c>
      <c r="AQ1169" s="839">
        <v>1895</v>
      </c>
      <c r="AR1169" s="839"/>
      <c r="AS1169" s="839"/>
      <c r="AT1169" s="839"/>
      <c r="AU1169" s="839"/>
      <c r="AV1169" s="849"/>
      <c r="AW1169" s="134" t="s">
        <v>3208</v>
      </c>
      <c r="AX1169" s="136" t="s">
        <v>3208</v>
      </c>
      <c r="AY1169" s="137" t="s">
        <v>2576</v>
      </c>
      <c r="AZ1169" s="136">
        <v>1</v>
      </c>
      <c r="BA1169" s="136">
        <v>0.98344533683002788</v>
      </c>
      <c r="BB1169" s="136">
        <v>1</v>
      </c>
      <c r="BC1169" s="214">
        <v>12202</v>
      </c>
      <c r="BD1169" s="136">
        <v>0</v>
      </c>
      <c r="BE1169" s="214">
        <v>0</v>
      </c>
      <c r="BF1169" s="136">
        <v>1</v>
      </c>
      <c r="BG1169" s="214">
        <v>12202</v>
      </c>
      <c r="BH1169" s="214">
        <v>24.404</v>
      </c>
      <c r="BI1169" s="134">
        <v>0</v>
      </c>
      <c r="BJ1169" s="214">
        <v>0</v>
      </c>
      <c r="BK1169" s="137">
        <v>0</v>
      </c>
      <c r="BL1169" s="137">
        <v>24</v>
      </c>
      <c r="BM1169" s="137">
        <v>264</v>
      </c>
      <c r="BN1169" s="134">
        <v>0.39829536141616129</v>
      </c>
      <c r="BO1169" s="351">
        <v>4860</v>
      </c>
      <c r="BP1169" s="134">
        <v>0.56712014423864943</v>
      </c>
      <c r="BQ1169" s="214">
        <v>346</v>
      </c>
      <c r="BR1169" s="137">
        <v>610</v>
      </c>
      <c r="BS1169" s="138">
        <v>7.9545454545454544E-2</v>
      </c>
      <c r="BT1169" s="351">
        <v>1000</v>
      </c>
      <c r="BU1169" s="214">
        <v>4000</v>
      </c>
      <c r="BV1169" s="214">
        <v>0</v>
      </c>
      <c r="BW1169" s="214">
        <v>0</v>
      </c>
      <c r="BX1169" s="214">
        <v>0</v>
      </c>
      <c r="BY1169" s="214">
        <v>0</v>
      </c>
      <c r="BZ1169" s="134">
        <v>0</v>
      </c>
      <c r="CA1169" s="138">
        <v>1</v>
      </c>
      <c r="CB1169" s="136">
        <v>0.32781511227667598</v>
      </c>
      <c r="CC1169" s="136">
        <v>0.49650043744531935</v>
      </c>
      <c r="CD1169" s="136">
        <v>0.82895888013998253</v>
      </c>
      <c r="CE1169" s="137">
        <v>5675</v>
      </c>
      <c r="CF1169" s="137">
        <v>9475</v>
      </c>
      <c r="CG1169" s="137">
        <v>9475</v>
      </c>
      <c r="CH1169" s="214">
        <v>0</v>
      </c>
      <c r="CI1169" s="139" t="s">
        <v>48</v>
      </c>
      <c r="CJ1169" s="139">
        <v>0</v>
      </c>
      <c r="CK1169" s="139" t="s">
        <v>50</v>
      </c>
      <c r="CL1169" s="139" t="s">
        <v>50</v>
      </c>
      <c r="CM1169" s="139" t="s">
        <v>968</v>
      </c>
      <c r="CN1169" s="139" t="s">
        <v>966</v>
      </c>
      <c r="CO1169" s="139">
        <v>20.1585</v>
      </c>
      <c r="CP1169" s="139">
        <v>92.839416999999997</v>
      </c>
      <c r="CQ1169" s="139" t="s">
        <v>1643</v>
      </c>
      <c r="CR1169" s="449" t="s">
        <v>40</v>
      </c>
      <c r="CS1169" s="449"/>
      <c r="CT1169" s="24"/>
      <c r="CU1169" s="24"/>
      <c r="CV1169" s="24"/>
    </row>
    <row r="1170" spans="1:100" ht="15.75" customHeight="1" x14ac:dyDescent="0.25">
      <c r="A1170" s="643" t="s">
        <v>1388</v>
      </c>
      <c r="B1170" s="132" t="s">
        <v>426</v>
      </c>
      <c r="C1170" s="132" t="s">
        <v>454</v>
      </c>
      <c r="D1170" s="132" t="s">
        <v>455</v>
      </c>
      <c r="E1170" s="132" t="s">
        <v>857</v>
      </c>
      <c r="F1170" s="132">
        <v>150</v>
      </c>
      <c r="G1170" s="214">
        <v>745</v>
      </c>
      <c r="H1170" s="132"/>
      <c r="I1170" s="132" t="s">
        <v>872</v>
      </c>
      <c r="J1170" s="133">
        <v>44104</v>
      </c>
      <c r="K1170" s="132">
        <v>0</v>
      </c>
      <c r="L1170" s="132" t="s">
        <v>282</v>
      </c>
      <c r="M1170" s="134">
        <v>0</v>
      </c>
      <c r="N1170" s="134">
        <v>0</v>
      </c>
      <c r="O1170" s="320">
        <v>0</v>
      </c>
      <c r="P1170" s="326">
        <v>10</v>
      </c>
      <c r="Q1170" s="326">
        <v>0</v>
      </c>
      <c r="R1170" s="315">
        <v>0</v>
      </c>
      <c r="S1170" s="315">
        <v>10</v>
      </c>
      <c r="T1170" s="315"/>
      <c r="U1170" s="315">
        <v>0</v>
      </c>
      <c r="V1170" s="315">
        <v>0</v>
      </c>
      <c r="W1170" s="315">
        <v>0</v>
      </c>
      <c r="X1170" s="315">
        <v>0</v>
      </c>
      <c r="Y1170" s="315">
        <v>0</v>
      </c>
      <c r="Z1170" s="315"/>
      <c r="AA1170" s="336">
        <v>0</v>
      </c>
      <c r="AB1170" s="336">
        <v>0</v>
      </c>
      <c r="AC1170" s="337">
        <v>0</v>
      </c>
      <c r="AD1170" s="337"/>
      <c r="AE1170" s="336">
        <v>0</v>
      </c>
      <c r="AF1170" s="336" t="s">
        <v>332</v>
      </c>
      <c r="AG1170" s="339" t="s">
        <v>332</v>
      </c>
      <c r="AH1170" s="339">
        <v>0</v>
      </c>
      <c r="AI1170" s="336">
        <v>0</v>
      </c>
      <c r="AJ1170" s="336"/>
      <c r="AK1170" s="848">
        <v>0</v>
      </c>
      <c r="AL1170" s="836" t="s">
        <v>284</v>
      </c>
      <c r="AM1170" s="836">
        <v>0</v>
      </c>
      <c r="AN1170" s="848">
        <v>0</v>
      </c>
      <c r="AO1170" s="850">
        <v>1</v>
      </c>
      <c r="AP1170" s="839">
        <v>0</v>
      </c>
      <c r="AQ1170" s="839">
        <v>0</v>
      </c>
      <c r="AR1170" s="839"/>
      <c r="AS1170" s="839"/>
      <c r="AT1170" s="839"/>
      <c r="AU1170" s="839"/>
      <c r="AV1170" s="849"/>
      <c r="AW1170" s="134" t="s">
        <v>3208</v>
      </c>
      <c r="AX1170" s="136" t="s">
        <v>3208</v>
      </c>
      <c r="AY1170" s="137" t="s">
        <v>2576</v>
      </c>
      <c r="AZ1170" s="136">
        <v>1</v>
      </c>
      <c r="BA1170" s="136">
        <v>1</v>
      </c>
      <c r="BB1170" s="136">
        <v>1</v>
      </c>
      <c r="BC1170" s="214">
        <v>745</v>
      </c>
      <c r="BD1170" s="136">
        <v>0</v>
      </c>
      <c r="BE1170" s="214">
        <v>0</v>
      </c>
      <c r="BF1170" s="136">
        <v>1</v>
      </c>
      <c r="BG1170" s="214">
        <v>745</v>
      </c>
      <c r="BH1170" s="214">
        <v>1.49</v>
      </c>
      <c r="BI1170" s="134">
        <v>0</v>
      </c>
      <c r="BJ1170" s="214">
        <v>0</v>
      </c>
      <c r="BK1170" s="137">
        <v>0</v>
      </c>
      <c r="BL1170" s="137">
        <v>1</v>
      </c>
      <c r="BM1170" s="137">
        <v>0</v>
      </c>
      <c r="BN1170" s="134">
        <v>0</v>
      </c>
      <c r="BO1170" s="351">
        <v>0</v>
      </c>
      <c r="BP1170" s="134">
        <v>0.99865771812080528</v>
      </c>
      <c r="BQ1170" s="214">
        <v>124</v>
      </c>
      <c r="BR1170" s="137">
        <v>124</v>
      </c>
      <c r="BS1170" s="138">
        <v>0</v>
      </c>
      <c r="BT1170" s="351" t="s">
        <v>103</v>
      </c>
      <c r="BU1170" s="214">
        <v>500</v>
      </c>
      <c r="BV1170" s="214">
        <v>0</v>
      </c>
      <c r="BW1170" s="214">
        <v>1</v>
      </c>
      <c r="BX1170" s="214">
        <v>0</v>
      </c>
      <c r="BY1170" s="214">
        <v>0</v>
      </c>
      <c r="BZ1170" s="134">
        <v>0</v>
      </c>
      <c r="CA1170" s="138">
        <v>1</v>
      </c>
      <c r="CB1170" s="136">
        <v>0.67114093959731547</v>
      </c>
      <c r="CC1170" s="136">
        <v>0</v>
      </c>
      <c r="CD1170" s="136">
        <v>0</v>
      </c>
      <c r="CE1170" s="137">
        <v>0</v>
      </c>
      <c r="CF1170" s="137">
        <v>0</v>
      </c>
      <c r="CG1170" s="137">
        <v>0</v>
      </c>
      <c r="CH1170" s="214">
        <v>0</v>
      </c>
      <c r="CI1170" s="139">
        <v>0</v>
      </c>
      <c r="CJ1170" s="139">
        <v>0</v>
      </c>
      <c r="CK1170" s="139" t="s">
        <v>969</v>
      </c>
      <c r="CL1170" s="139" t="s">
        <v>969</v>
      </c>
      <c r="CM1170" s="139" t="s">
        <v>969</v>
      </c>
      <c r="CN1170" s="139" t="s">
        <v>454</v>
      </c>
      <c r="CO1170" s="139">
        <v>20.162599563598601</v>
      </c>
      <c r="CP1170" s="139">
        <v>92.834457397460895</v>
      </c>
      <c r="CQ1170" s="139" t="s">
        <v>2081</v>
      </c>
      <c r="CR1170" s="449" t="s">
        <v>40</v>
      </c>
      <c r="CS1170" s="449"/>
      <c r="CT1170" s="24"/>
      <c r="CU1170" s="24"/>
      <c r="CV1170" s="24"/>
    </row>
    <row r="1171" spans="1:100" ht="15.75" customHeight="1" x14ac:dyDescent="0.25">
      <c r="A1171" s="643" t="s">
        <v>1388</v>
      </c>
      <c r="B1171" s="132" t="s">
        <v>453</v>
      </c>
      <c r="C1171" s="132" t="s">
        <v>454</v>
      </c>
      <c r="D1171" s="132" t="s">
        <v>455</v>
      </c>
      <c r="E1171" s="132" t="s">
        <v>462</v>
      </c>
      <c r="F1171" s="132">
        <v>8</v>
      </c>
      <c r="G1171" s="214">
        <v>44</v>
      </c>
      <c r="H1171" s="132"/>
      <c r="I1171" s="132"/>
      <c r="J1171" s="133"/>
      <c r="K1171" s="132"/>
      <c r="L1171" s="132"/>
      <c r="M1171" s="134"/>
      <c r="N1171" s="134"/>
      <c r="O1171" s="320">
        <v>0</v>
      </c>
      <c r="P1171" s="326">
        <v>1</v>
      </c>
      <c r="Q1171" s="326"/>
      <c r="R1171" s="315"/>
      <c r="S1171" s="315"/>
      <c r="T1171" s="315"/>
      <c r="U1171" s="315"/>
      <c r="V1171" s="315"/>
      <c r="W1171" s="315"/>
      <c r="X1171" s="315"/>
      <c r="Y1171" s="315"/>
      <c r="Z1171" s="315"/>
      <c r="AA1171" s="336">
        <v>0</v>
      </c>
      <c r="AB1171" s="336"/>
      <c r="AC1171" s="337"/>
      <c r="AD1171" s="337"/>
      <c r="AE1171" s="336"/>
      <c r="AF1171" s="336" t="s">
        <v>286</v>
      </c>
      <c r="AG1171" s="339" t="s">
        <v>286</v>
      </c>
      <c r="AH1171" s="339"/>
      <c r="AI1171" s="336"/>
      <c r="AJ1171" s="336"/>
      <c r="AK1171" s="848"/>
      <c r="AL1171" s="836"/>
      <c r="AM1171" s="836"/>
      <c r="AN1171" s="848"/>
      <c r="AO1171" s="850"/>
      <c r="AP1171" s="839"/>
      <c r="AQ1171" s="839"/>
      <c r="AR1171" s="839"/>
      <c r="AS1171" s="839"/>
      <c r="AT1171" s="839"/>
      <c r="AU1171" s="839"/>
      <c r="AV1171" s="849"/>
      <c r="AW1171" s="134" t="s">
        <v>3208</v>
      </c>
      <c r="AX1171" s="136" t="s">
        <v>3208</v>
      </c>
      <c r="AY1171" s="137" t="s">
        <v>2576</v>
      </c>
      <c r="AZ1171" s="136">
        <v>1</v>
      </c>
      <c r="BA1171" s="136">
        <v>1</v>
      </c>
      <c r="BB1171" s="136">
        <v>1</v>
      </c>
      <c r="BC1171" s="214">
        <v>44</v>
      </c>
      <c r="BD1171" s="136">
        <v>0</v>
      </c>
      <c r="BE1171" s="214">
        <v>0</v>
      </c>
      <c r="BF1171" s="136">
        <v>1</v>
      </c>
      <c r="BG1171" s="214">
        <v>44</v>
      </c>
      <c r="BH1171" s="214">
        <v>8.7999999999999995E-2</v>
      </c>
      <c r="BI1171" s="134">
        <v>0</v>
      </c>
      <c r="BJ1171" s="214">
        <v>0</v>
      </c>
      <c r="BK1171" s="137">
        <v>0.91200000000000003</v>
      </c>
      <c r="BL1171" s="137">
        <v>1</v>
      </c>
      <c r="BM1171" s="137">
        <v>0</v>
      </c>
      <c r="BN1171" s="134">
        <v>0</v>
      </c>
      <c r="BO1171" s="351">
        <v>0</v>
      </c>
      <c r="BP1171" s="134">
        <v>0.95454545454545459</v>
      </c>
      <c r="BQ1171" s="214">
        <v>7</v>
      </c>
      <c r="BR1171" s="137">
        <v>7</v>
      </c>
      <c r="BS1171" s="138">
        <v>0</v>
      </c>
      <c r="BT1171" s="351" t="s">
        <v>103</v>
      </c>
      <c r="BU1171" s="214">
        <v>0</v>
      </c>
      <c r="BV1171" s="214">
        <v>0</v>
      </c>
      <c r="BW1171" s="214">
        <v>0</v>
      </c>
      <c r="BX1171" s="214">
        <v>0</v>
      </c>
      <c r="BY1171" s="214">
        <v>0</v>
      </c>
      <c r="BZ1171" s="134">
        <v>0</v>
      </c>
      <c r="CA1171" s="138">
        <v>1</v>
      </c>
      <c r="CB1171" s="136">
        <v>0</v>
      </c>
      <c r="CC1171" s="136">
        <v>0</v>
      </c>
      <c r="CD1171" s="136">
        <v>0</v>
      </c>
      <c r="CE1171" s="137">
        <v>0</v>
      </c>
      <c r="CF1171" s="137">
        <v>0</v>
      </c>
      <c r="CG1171" s="137">
        <v>0</v>
      </c>
      <c r="CH1171" s="214">
        <v>0</v>
      </c>
      <c r="CI1171" s="139">
        <v>0</v>
      </c>
      <c r="CJ1171" s="139">
        <v>0</v>
      </c>
      <c r="CK1171" s="139" t="s">
        <v>975</v>
      </c>
      <c r="CL1171" s="139" t="s">
        <v>969</v>
      </c>
      <c r="CM1171" s="139" t="s">
        <v>975</v>
      </c>
      <c r="CN1171" s="139" t="s">
        <v>966</v>
      </c>
      <c r="CO1171" s="139">
        <v>0</v>
      </c>
      <c r="CP1171" s="139">
        <v>0</v>
      </c>
      <c r="CQ1171" s="139">
        <v>0</v>
      </c>
      <c r="CR1171" s="449" t="s">
        <v>40</v>
      </c>
      <c r="CS1171" s="449"/>
      <c r="CT1171" s="24"/>
      <c r="CU1171" s="24"/>
      <c r="CV1171" s="24"/>
    </row>
    <row r="1172" spans="1:100" ht="15.75" customHeight="1" x14ac:dyDescent="0.25">
      <c r="A1172" s="643" t="s">
        <v>1388</v>
      </c>
      <c r="B1172" s="132" t="s">
        <v>460</v>
      </c>
      <c r="C1172" s="132" t="s">
        <v>454</v>
      </c>
      <c r="D1172" s="132" t="s">
        <v>455</v>
      </c>
      <c r="E1172" s="132" t="s">
        <v>583</v>
      </c>
      <c r="F1172" s="132">
        <v>251</v>
      </c>
      <c r="G1172" s="214">
        <v>1820</v>
      </c>
      <c r="H1172" s="132"/>
      <c r="I1172" s="132"/>
      <c r="J1172" s="133"/>
      <c r="K1172" s="132"/>
      <c r="L1172" s="132" t="s">
        <v>282</v>
      </c>
      <c r="M1172" s="134">
        <v>0</v>
      </c>
      <c r="N1172" s="134">
        <v>0</v>
      </c>
      <c r="O1172" s="320">
        <v>0</v>
      </c>
      <c r="P1172" s="326">
        <v>33</v>
      </c>
      <c r="Q1172" s="326">
        <v>0</v>
      </c>
      <c r="R1172" s="315">
        <v>0</v>
      </c>
      <c r="S1172" s="315">
        <v>0</v>
      </c>
      <c r="T1172" s="315"/>
      <c r="U1172" s="315"/>
      <c r="V1172" s="315"/>
      <c r="W1172" s="315"/>
      <c r="X1172" s="315"/>
      <c r="Y1172" s="315"/>
      <c r="Z1172" s="315"/>
      <c r="AA1172" s="336">
        <v>0</v>
      </c>
      <c r="AB1172" s="336">
        <v>0</v>
      </c>
      <c r="AC1172" s="337"/>
      <c r="AD1172" s="337"/>
      <c r="AE1172" s="336">
        <v>0</v>
      </c>
      <c r="AF1172" s="336" t="s">
        <v>286</v>
      </c>
      <c r="AG1172" s="339" t="s">
        <v>286</v>
      </c>
      <c r="AH1172" s="339"/>
      <c r="AI1172" s="336"/>
      <c r="AJ1172" s="336"/>
      <c r="AK1172" s="848">
        <v>0</v>
      </c>
      <c r="AL1172" s="836" t="s">
        <v>284</v>
      </c>
      <c r="AM1172" s="836">
        <v>0</v>
      </c>
      <c r="AN1172" s="848">
        <v>0</v>
      </c>
      <c r="AO1172" s="850">
        <v>1</v>
      </c>
      <c r="AP1172" s="839"/>
      <c r="AQ1172" s="839"/>
      <c r="AR1172" s="839"/>
      <c r="AS1172" s="839"/>
      <c r="AT1172" s="839"/>
      <c r="AU1172" s="839"/>
      <c r="AV1172" s="849"/>
      <c r="AW1172" s="134" t="s">
        <v>3208</v>
      </c>
      <c r="AX1172" s="136" t="s">
        <v>3208</v>
      </c>
      <c r="AY1172" s="137" t="s">
        <v>2576</v>
      </c>
      <c r="AZ1172" s="136">
        <v>1</v>
      </c>
      <c r="BA1172" s="136">
        <v>1</v>
      </c>
      <c r="BB1172" s="136">
        <v>1</v>
      </c>
      <c r="BC1172" s="214">
        <v>1820</v>
      </c>
      <c r="BD1172" s="136">
        <v>0</v>
      </c>
      <c r="BE1172" s="214">
        <v>0</v>
      </c>
      <c r="BF1172" s="136">
        <v>1</v>
      </c>
      <c r="BG1172" s="214">
        <v>1820</v>
      </c>
      <c r="BH1172" s="214">
        <v>3.64</v>
      </c>
      <c r="BI1172" s="134">
        <v>0</v>
      </c>
      <c r="BJ1172" s="214">
        <v>0</v>
      </c>
      <c r="BK1172" s="137">
        <v>0.35999999999999988</v>
      </c>
      <c r="BL1172" s="137">
        <v>4</v>
      </c>
      <c r="BM1172" s="137">
        <v>0</v>
      </c>
      <c r="BN1172" s="134">
        <v>0</v>
      </c>
      <c r="BO1172" s="351">
        <v>0</v>
      </c>
      <c r="BP1172" s="134">
        <v>0.99890109890109902</v>
      </c>
      <c r="BQ1172" s="214">
        <v>303</v>
      </c>
      <c r="BR1172" s="137">
        <v>303</v>
      </c>
      <c r="BS1172" s="138">
        <v>0</v>
      </c>
      <c r="BT1172" s="351" t="s">
        <v>103</v>
      </c>
      <c r="BU1172" s="214">
        <v>500</v>
      </c>
      <c r="BV1172" s="214">
        <v>0</v>
      </c>
      <c r="BW1172" s="214">
        <v>0</v>
      </c>
      <c r="BX1172" s="214">
        <v>0</v>
      </c>
      <c r="BY1172" s="214">
        <v>0</v>
      </c>
      <c r="BZ1172" s="134">
        <v>0</v>
      </c>
      <c r="CA1172" s="138">
        <v>1</v>
      </c>
      <c r="CB1172" s="136">
        <v>0.27472527472527475</v>
      </c>
      <c r="CC1172" s="136">
        <v>0</v>
      </c>
      <c r="CD1172" s="136">
        <v>0</v>
      </c>
      <c r="CE1172" s="137">
        <v>0</v>
      </c>
      <c r="CF1172" s="137">
        <v>0</v>
      </c>
      <c r="CG1172" s="137">
        <v>0</v>
      </c>
      <c r="CH1172" s="214">
        <v>0</v>
      </c>
      <c r="CI1172" s="139">
        <v>0</v>
      </c>
      <c r="CJ1172" s="139">
        <v>0</v>
      </c>
      <c r="CK1172" s="139" t="s">
        <v>969</v>
      </c>
      <c r="CL1172" s="139" t="s">
        <v>969</v>
      </c>
      <c r="CM1172" s="139" t="s">
        <v>969</v>
      </c>
      <c r="CN1172" s="139" t="s">
        <v>966</v>
      </c>
      <c r="CO1172" s="139">
        <v>20.1573600769043</v>
      </c>
      <c r="CP1172" s="139">
        <v>92.838653564453097</v>
      </c>
      <c r="CQ1172" s="139">
        <v>196211</v>
      </c>
      <c r="CR1172" s="449" t="s">
        <v>3209</v>
      </c>
      <c r="CS1172" s="449"/>
      <c r="CT1172" s="24"/>
      <c r="CU1172" s="24"/>
      <c r="CV1172" s="24"/>
    </row>
    <row r="1173" spans="1:100" ht="15.75" customHeight="1" x14ac:dyDescent="0.25">
      <c r="A1173" s="643" t="s">
        <v>1388</v>
      </c>
      <c r="B1173" s="132" t="s">
        <v>426</v>
      </c>
      <c r="C1173" s="132" t="s">
        <v>454</v>
      </c>
      <c r="D1173" s="132" t="s">
        <v>455</v>
      </c>
      <c r="E1173" s="132" t="s">
        <v>579</v>
      </c>
      <c r="F1173" s="132">
        <v>198</v>
      </c>
      <c r="G1173" s="214">
        <v>1131</v>
      </c>
      <c r="H1173" s="132"/>
      <c r="I1173" s="132" t="s">
        <v>872</v>
      </c>
      <c r="J1173" s="133">
        <v>44104</v>
      </c>
      <c r="K1173" s="132">
        <v>0</v>
      </c>
      <c r="L1173" s="132" t="s">
        <v>282</v>
      </c>
      <c r="M1173" s="134">
        <v>0</v>
      </c>
      <c r="N1173" s="134">
        <v>0</v>
      </c>
      <c r="O1173" s="320">
        <v>0</v>
      </c>
      <c r="P1173" s="326">
        <v>18</v>
      </c>
      <c r="Q1173" s="326">
        <v>0</v>
      </c>
      <c r="R1173" s="315">
        <v>0</v>
      </c>
      <c r="S1173" s="315">
        <v>18</v>
      </c>
      <c r="T1173" s="315"/>
      <c r="U1173" s="315">
        <v>0</v>
      </c>
      <c r="V1173" s="315">
        <v>0</v>
      </c>
      <c r="W1173" s="315">
        <v>0</v>
      </c>
      <c r="X1173" s="315">
        <v>0</v>
      </c>
      <c r="Y1173" s="315">
        <v>0</v>
      </c>
      <c r="Z1173" s="315"/>
      <c r="AA1173" s="336">
        <v>0</v>
      </c>
      <c r="AB1173" s="336">
        <v>0</v>
      </c>
      <c r="AC1173" s="337">
        <v>0</v>
      </c>
      <c r="AD1173" s="337"/>
      <c r="AE1173" s="336">
        <v>0</v>
      </c>
      <c r="AF1173" s="336" t="s">
        <v>332</v>
      </c>
      <c r="AG1173" s="339" t="s">
        <v>332</v>
      </c>
      <c r="AH1173" s="339">
        <v>0</v>
      </c>
      <c r="AI1173" s="336">
        <v>0</v>
      </c>
      <c r="AJ1173" s="336"/>
      <c r="AK1173" s="848">
        <v>0</v>
      </c>
      <c r="AL1173" s="836" t="s">
        <v>284</v>
      </c>
      <c r="AM1173" s="836">
        <v>0</v>
      </c>
      <c r="AN1173" s="848">
        <v>0</v>
      </c>
      <c r="AO1173" s="850">
        <v>2</v>
      </c>
      <c r="AP1173" s="839">
        <v>586</v>
      </c>
      <c r="AQ1173" s="839">
        <v>586</v>
      </c>
      <c r="AR1173" s="839"/>
      <c r="AS1173" s="839"/>
      <c r="AT1173" s="839"/>
      <c r="AU1173" s="839"/>
      <c r="AV1173" s="849"/>
      <c r="AW1173" s="134" t="s">
        <v>3208</v>
      </c>
      <c r="AX1173" s="136" t="s">
        <v>3208</v>
      </c>
      <c r="AY1173" s="137" t="s">
        <v>2576</v>
      </c>
      <c r="AZ1173" s="136">
        <v>1</v>
      </c>
      <c r="BA1173" s="136">
        <v>1</v>
      </c>
      <c r="BB1173" s="136">
        <v>1</v>
      </c>
      <c r="BC1173" s="214">
        <v>1131</v>
      </c>
      <c r="BD1173" s="136">
        <v>0</v>
      </c>
      <c r="BE1173" s="214">
        <v>0</v>
      </c>
      <c r="BF1173" s="136">
        <v>1</v>
      </c>
      <c r="BG1173" s="214">
        <v>1131</v>
      </c>
      <c r="BH1173" s="214">
        <v>2.262</v>
      </c>
      <c r="BI1173" s="134">
        <v>0</v>
      </c>
      <c r="BJ1173" s="214">
        <v>0</v>
      </c>
      <c r="BK1173" s="137">
        <v>0</v>
      </c>
      <c r="BL1173" s="137">
        <v>2</v>
      </c>
      <c r="BM1173" s="137">
        <v>0</v>
      </c>
      <c r="BN1173" s="134">
        <v>0</v>
      </c>
      <c r="BO1173" s="351">
        <v>0</v>
      </c>
      <c r="BP1173" s="134">
        <v>1</v>
      </c>
      <c r="BQ1173" s="214">
        <v>189</v>
      </c>
      <c r="BR1173" s="137">
        <v>189</v>
      </c>
      <c r="BS1173" s="138">
        <v>0</v>
      </c>
      <c r="BT1173" s="351" t="s">
        <v>103</v>
      </c>
      <c r="BU1173" s="214">
        <v>1000</v>
      </c>
      <c r="BV1173" s="214">
        <v>1</v>
      </c>
      <c r="BW1173" s="214">
        <v>1</v>
      </c>
      <c r="BX1173" s="214">
        <v>1</v>
      </c>
      <c r="BY1173" s="214">
        <v>1131</v>
      </c>
      <c r="BZ1173" s="134">
        <v>1</v>
      </c>
      <c r="CA1173" s="138">
        <v>0</v>
      </c>
      <c r="CB1173" s="136">
        <v>0.88417329796640143</v>
      </c>
      <c r="CC1173" s="136">
        <v>1</v>
      </c>
      <c r="CD1173" s="136">
        <v>1</v>
      </c>
      <c r="CE1173" s="137">
        <v>2930</v>
      </c>
      <c r="CF1173" s="137">
        <v>2930</v>
      </c>
      <c r="CG1173" s="137">
        <v>2930</v>
      </c>
      <c r="CH1173" s="214">
        <v>0</v>
      </c>
      <c r="CI1173" s="139">
        <v>0</v>
      </c>
      <c r="CJ1173" s="139">
        <v>0</v>
      </c>
      <c r="CK1173" s="139" t="s">
        <v>969</v>
      </c>
      <c r="CL1173" s="139" t="s">
        <v>969</v>
      </c>
      <c r="CM1173" s="139" t="s">
        <v>969</v>
      </c>
      <c r="CN1173" s="139" t="s">
        <v>966</v>
      </c>
      <c r="CO1173" s="139">
        <v>20.148910522460898</v>
      </c>
      <c r="CP1173" s="139">
        <v>92.846160888671903</v>
      </c>
      <c r="CQ1173" s="139" t="s">
        <v>1634</v>
      </c>
      <c r="CR1173" s="449" t="s">
        <v>40</v>
      </c>
      <c r="CS1173" s="449"/>
      <c r="CT1173" s="24"/>
      <c r="CU1173" s="24"/>
      <c r="CV1173" s="24"/>
    </row>
    <row r="1174" spans="1:100" ht="15.75" customHeight="1" x14ac:dyDescent="0.25">
      <c r="A1174" s="643" t="s">
        <v>1388</v>
      </c>
      <c r="B1174" s="132" t="s">
        <v>453</v>
      </c>
      <c r="C1174" s="132" t="s">
        <v>454</v>
      </c>
      <c r="D1174" s="132" t="s">
        <v>455</v>
      </c>
      <c r="E1174" s="132" t="s">
        <v>612</v>
      </c>
      <c r="F1174" s="132">
        <v>17</v>
      </c>
      <c r="G1174" s="214">
        <v>86</v>
      </c>
      <c r="H1174" s="132"/>
      <c r="I1174" s="132"/>
      <c r="J1174" s="133"/>
      <c r="K1174" s="132"/>
      <c r="L1174" s="132"/>
      <c r="M1174" s="134"/>
      <c r="N1174" s="134"/>
      <c r="O1174" s="320">
        <v>0</v>
      </c>
      <c r="P1174" s="326">
        <v>1</v>
      </c>
      <c r="Q1174" s="326"/>
      <c r="R1174" s="315"/>
      <c r="S1174" s="315"/>
      <c r="T1174" s="315"/>
      <c r="U1174" s="315"/>
      <c r="V1174" s="315"/>
      <c r="W1174" s="315"/>
      <c r="X1174" s="315"/>
      <c r="Y1174" s="315"/>
      <c r="Z1174" s="315"/>
      <c r="AA1174" s="336">
        <v>0</v>
      </c>
      <c r="AB1174" s="336"/>
      <c r="AC1174" s="337"/>
      <c r="AD1174" s="337"/>
      <c r="AE1174" s="336"/>
      <c r="AF1174" s="336" t="s">
        <v>286</v>
      </c>
      <c r="AG1174" s="339" t="s">
        <v>286</v>
      </c>
      <c r="AH1174" s="339"/>
      <c r="AI1174" s="336"/>
      <c r="AJ1174" s="336"/>
      <c r="AK1174" s="848"/>
      <c r="AL1174" s="836"/>
      <c r="AM1174" s="836"/>
      <c r="AN1174" s="848"/>
      <c r="AO1174" s="850"/>
      <c r="AP1174" s="839"/>
      <c r="AQ1174" s="839"/>
      <c r="AR1174" s="839"/>
      <c r="AS1174" s="839"/>
      <c r="AT1174" s="839"/>
      <c r="AU1174" s="839"/>
      <c r="AV1174" s="849"/>
      <c r="AW1174" s="134" t="s">
        <v>3208</v>
      </c>
      <c r="AX1174" s="136" t="s">
        <v>3208</v>
      </c>
      <c r="AY1174" s="137" t="s">
        <v>2576</v>
      </c>
      <c r="AZ1174" s="136">
        <v>1</v>
      </c>
      <c r="BA1174" s="136">
        <v>1</v>
      </c>
      <c r="BB1174" s="136">
        <v>1</v>
      </c>
      <c r="BC1174" s="214">
        <v>86</v>
      </c>
      <c r="BD1174" s="136">
        <v>0</v>
      </c>
      <c r="BE1174" s="214">
        <v>0</v>
      </c>
      <c r="BF1174" s="136">
        <v>1</v>
      </c>
      <c r="BG1174" s="214">
        <v>86</v>
      </c>
      <c r="BH1174" s="214">
        <v>0.17199999999999999</v>
      </c>
      <c r="BI1174" s="134">
        <v>0</v>
      </c>
      <c r="BJ1174" s="214">
        <v>0</v>
      </c>
      <c r="BK1174" s="137">
        <v>0.82800000000000007</v>
      </c>
      <c r="BL1174" s="137">
        <v>1</v>
      </c>
      <c r="BM1174" s="137">
        <v>0</v>
      </c>
      <c r="BN1174" s="134">
        <v>0</v>
      </c>
      <c r="BO1174" s="351">
        <v>0</v>
      </c>
      <c r="BP1174" s="134">
        <v>0.97674418604651159</v>
      </c>
      <c r="BQ1174" s="214">
        <v>14</v>
      </c>
      <c r="BR1174" s="137">
        <v>14</v>
      </c>
      <c r="BS1174" s="138">
        <v>0</v>
      </c>
      <c r="BT1174" s="351" t="s">
        <v>103</v>
      </c>
      <c r="BU1174" s="214">
        <v>0</v>
      </c>
      <c r="BV1174" s="214">
        <v>0</v>
      </c>
      <c r="BW1174" s="214">
        <v>0</v>
      </c>
      <c r="BX1174" s="214">
        <v>0</v>
      </c>
      <c r="BY1174" s="214">
        <v>0</v>
      </c>
      <c r="BZ1174" s="134">
        <v>0</v>
      </c>
      <c r="CA1174" s="138">
        <v>1</v>
      </c>
      <c r="CB1174" s="136">
        <v>0</v>
      </c>
      <c r="CC1174" s="136">
        <v>0</v>
      </c>
      <c r="CD1174" s="136">
        <v>0</v>
      </c>
      <c r="CE1174" s="137">
        <v>0</v>
      </c>
      <c r="CF1174" s="137">
        <v>0</v>
      </c>
      <c r="CG1174" s="137">
        <v>0</v>
      </c>
      <c r="CH1174" s="214">
        <v>0</v>
      </c>
      <c r="CI1174" s="139">
        <v>0</v>
      </c>
      <c r="CJ1174" s="139">
        <v>0</v>
      </c>
      <c r="CK1174" s="139" t="s">
        <v>969</v>
      </c>
      <c r="CL1174" s="139" t="s">
        <v>969</v>
      </c>
      <c r="CM1174" s="139" t="s">
        <v>969</v>
      </c>
      <c r="CN1174" s="139" t="s">
        <v>454</v>
      </c>
      <c r="CO1174" s="139">
        <v>20.229290008544901</v>
      </c>
      <c r="CP1174" s="139">
        <v>92.864669799804702</v>
      </c>
      <c r="CQ1174" s="139">
        <v>196167</v>
      </c>
      <c r="CR1174" s="449" t="s">
        <v>40</v>
      </c>
      <c r="CS1174" s="449"/>
      <c r="CT1174" s="24"/>
      <c r="CU1174" s="24"/>
      <c r="CV1174" s="24"/>
    </row>
    <row r="1175" spans="1:100" ht="15.75" customHeight="1" x14ac:dyDescent="0.25">
      <c r="A1175" s="643" t="s">
        <v>1388</v>
      </c>
      <c r="B1175" s="132" t="s">
        <v>527</v>
      </c>
      <c r="C1175" s="132" t="s">
        <v>454</v>
      </c>
      <c r="D1175" s="132" t="s">
        <v>455</v>
      </c>
      <c r="E1175" s="132" t="s">
        <v>588</v>
      </c>
      <c r="F1175" s="132">
        <v>1013</v>
      </c>
      <c r="G1175" s="214">
        <v>5950</v>
      </c>
      <c r="H1175" s="132"/>
      <c r="I1175" s="132" t="s">
        <v>47</v>
      </c>
      <c r="J1175" s="133">
        <v>44104</v>
      </c>
      <c r="K1175" s="132">
        <v>0</v>
      </c>
      <c r="L1175" s="132" t="s">
        <v>282</v>
      </c>
      <c r="M1175" s="134">
        <v>0</v>
      </c>
      <c r="N1175" s="134">
        <v>0</v>
      </c>
      <c r="O1175" s="320">
        <v>0</v>
      </c>
      <c r="P1175" s="326">
        <v>73</v>
      </c>
      <c r="Q1175" s="326"/>
      <c r="R1175" s="315">
        <v>0</v>
      </c>
      <c r="S1175" s="315">
        <v>93</v>
      </c>
      <c r="T1175" s="315"/>
      <c r="U1175" s="315">
        <v>24</v>
      </c>
      <c r="V1175" s="315">
        <v>23</v>
      </c>
      <c r="W1175" s="315">
        <v>26</v>
      </c>
      <c r="X1175" s="315">
        <v>21</v>
      </c>
      <c r="Y1175" s="315">
        <v>4</v>
      </c>
      <c r="Z1175" s="315"/>
      <c r="AA1175" s="336">
        <v>245</v>
      </c>
      <c r="AB1175" s="336">
        <v>127</v>
      </c>
      <c r="AC1175" s="337">
        <v>0</v>
      </c>
      <c r="AD1175" s="337"/>
      <c r="AE1175" s="336">
        <v>372</v>
      </c>
      <c r="AF1175" s="336" t="s">
        <v>283</v>
      </c>
      <c r="AG1175" s="339" t="s">
        <v>1358</v>
      </c>
      <c r="AH1175" s="339">
        <v>0</v>
      </c>
      <c r="AI1175" s="336">
        <v>17</v>
      </c>
      <c r="AJ1175" s="336"/>
      <c r="AK1175" s="848">
        <v>1</v>
      </c>
      <c r="AL1175" s="836" t="s">
        <v>284</v>
      </c>
      <c r="AM1175" s="836">
        <v>1013</v>
      </c>
      <c r="AN1175" s="848">
        <v>0</v>
      </c>
      <c r="AO1175" s="850">
        <v>10</v>
      </c>
      <c r="AP1175" s="839">
        <v>1013</v>
      </c>
      <c r="AQ1175" s="839">
        <v>1013</v>
      </c>
      <c r="AR1175" s="839" t="s">
        <v>282</v>
      </c>
      <c r="AS1175" s="839"/>
      <c r="AT1175" s="839"/>
      <c r="AU1175" s="839"/>
      <c r="AV1175" s="849"/>
      <c r="AW1175" s="134">
        <v>0.95833333333333337</v>
      </c>
      <c r="AX1175" s="136">
        <v>0.80769230769230771</v>
      </c>
      <c r="AY1175" s="137" t="s">
        <v>2577</v>
      </c>
      <c r="AZ1175" s="136">
        <v>1</v>
      </c>
      <c r="BA1175" s="136">
        <v>1</v>
      </c>
      <c r="BB1175" s="136">
        <v>1</v>
      </c>
      <c r="BC1175" s="214">
        <v>5950</v>
      </c>
      <c r="BD1175" s="136">
        <v>0</v>
      </c>
      <c r="BE1175" s="214">
        <v>0</v>
      </c>
      <c r="BF1175" s="136">
        <v>1</v>
      </c>
      <c r="BG1175" s="214">
        <v>5950</v>
      </c>
      <c r="BH1175" s="214">
        <v>11.9</v>
      </c>
      <c r="BI1175" s="134">
        <v>0</v>
      </c>
      <c r="BJ1175" s="214">
        <v>0</v>
      </c>
      <c r="BK1175" s="137">
        <v>9.9999999999999645E-2</v>
      </c>
      <c r="BL1175" s="137">
        <v>12</v>
      </c>
      <c r="BM1175" s="137">
        <v>372</v>
      </c>
      <c r="BN1175" s="134">
        <v>0.82352941176470584</v>
      </c>
      <c r="BO1175" s="351">
        <v>4900</v>
      </c>
      <c r="BP1175" s="134">
        <v>0</v>
      </c>
      <c r="BQ1175" s="214">
        <v>0</v>
      </c>
      <c r="BR1175" s="137">
        <v>298</v>
      </c>
      <c r="BS1175" s="138">
        <v>0.34139784946236557</v>
      </c>
      <c r="BT1175" s="351">
        <v>0</v>
      </c>
      <c r="BU1175" s="214">
        <v>5000</v>
      </c>
      <c r="BV1175" s="214">
        <v>1</v>
      </c>
      <c r="BW1175" s="214">
        <v>1</v>
      </c>
      <c r="BX1175" s="214">
        <v>1</v>
      </c>
      <c r="BY1175" s="214">
        <v>5950</v>
      </c>
      <c r="BZ1175" s="134">
        <v>1</v>
      </c>
      <c r="CA1175" s="138">
        <v>0</v>
      </c>
      <c r="CB1175" s="136">
        <v>0.84033613445378152</v>
      </c>
      <c r="CC1175" s="136">
        <v>1</v>
      </c>
      <c r="CD1175" s="136">
        <v>1</v>
      </c>
      <c r="CE1175" s="137">
        <v>5065</v>
      </c>
      <c r="CF1175" s="137">
        <v>5065</v>
      </c>
      <c r="CG1175" s="137">
        <v>5065</v>
      </c>
      <c r="CH1175" s="214">
        <v>1013</v>
      </c>
      <c r="CI1175" s="139" t="s">
        <v>48</v>
      </c>
      <c r="CJ1175" s="139">
        <v>0</v>
      </c>
      <c r="CK1175" s="139" t="s">
        <v>50</v>
      </c>
      <c r="CL1175" s="139" t="s">
        <v>50</v>
      </c>
      <c r="CM1175" s="139" t="s">
        <v>965</v>
      </c>
      <c r="CN1175" s="139" t="s">
        <v>966</v>
      </c>
      <c r="CO1175" s="139">
        <v>20.179939999999998</v>
      </c>
      <c r="CP1175" s="139">
        <v>92.831879000000001</v>
      </c>
      <c r="CQ1175" s="139" t="s">
        <v>1648</v>
      </c>
      <c r="CR1175" s="449" t="s">
        <v>40</v>
      </c>
      <c r="CS1175" s="449"/>
      <c r="CT1175" s="24"/>
      <c r="CU1175" s="24"/>
      <c r="CV1175" s="24"/>
    </row>
    <row r="1176" spans="1:100" ht="15.75" customHeight="1" x14ac:dyDescent="0.25">
      <c r="A1176" s="643" t="s">
        <v>1388</v>
      </c>
      <c r="B1176" s="132" t="s">
        <v>527</v>
      </c>
      <c r="C1176" s="132" t="s">
        <v>454</v>
      </c>
      <c r="D1176" s="132" t="s">
        <v>455</v>
      </c>
      <c r="E1176" s="132" t="s">
        <v>591</v>
      </c>
      <c r="F1176" s="132">
        <v>299</v>
      </c>
      <c r="G1176" s="214">
        <v>1670</v>
      </c>
      <c r="H1176" s="132"/>
      <c r="I1176" s="132" t="s">
        <v>47</v>
      </c>
      <c r="J1176" s="133">
        <v>44104</v>
      </c>
      <c r="K1176" s="132">
        <v>0</v>
      </c>
      <c r="L1176" s="132" t="s">
        <v>282</v>
      </c>
      <c r="M1176" s="134">
        <v>0</v>
      </c>
      <c r="N1176" s="134">
        <v>0</v>
      </c>
      <c r="O1176" s="320">
        <v>0</v>
      </c>
      <c r="P1176" s="326">
        <v>0</v>
      </c>
      <c r="Q1176" s="326"/>
      <c r="R1176" s="315">
        <v>0</v>
      </c>
      <c r="S1176" s="315">
        <v>79</v>
      </c>
      <c r="T1176" s="315"/>
      <c r="U1176" s="315">
        <v>39</v>
      </c>
      <c r="V1176" s="315">
        <v>35</v>
      </c>
      <c r="W1176" s="315">
        <v>42</v>
      </c>
      <c r="X1176" s="315">
        <v>33</v>
      </c>
      <c r="Y1176" s="315">
        <v>7</v>
      </c>
      <c r="Z1176" s="315"/>
      <c r="AA1176" s="336">
        <v>192</v>
      </c>
      <c r="AB1176" s="336">
        <v>0</v>
      </c>
      <c r="AC1176" s="337">
        <v>0</v>
      </c>
      <c r="AD1176" s="337"/>
      <c r="AE1176" s="336">
        <v>192</v>
      </c>
      <c r="AF1176" s="336" t="s">
        <v>283</v>
      </c>
      <c r="AG1176" s="339" t="s">
        <v>1358</v>
      </c>
      <c r="AH1176" s="339">
        <v>0</v>
      </c>
      <c r="AI1176" s="336">
        <v>11</v>
      </c>
      <c r="AJ1176" s="336"/>
      <c r="AK1176" s="848">
        <v>1</v>
      </c>
      <c r="AL1176" s="836" t="s">
        <v>284</v>
      </c>
      <c r="AM1176" s="836">
        <v>299</v>
      </c>
      <c r="AN1176" s="848">
        <v>0</v>
      </c>
      <c r="AO1176" s="850">
        <v>15</v>
      </c>
      <c r="AP1176" s="839">
        <v>299</v>
      </c>
      <c r="AQ1176" s="839">
        <v>299</v>
      </c>
      <c r="AR1176" s="839" t="s">
        <v>282</v>
      </c>
      <c r="AS1176" s="839"/>
      <c r="AT1176" s="839"/>
      <c r="AU1176" s="839"/>
      <c r="AV1176" s="849"/>
      <c r="AW1176" s="134">
        <v>0.89743589743589747</v>
      </c>
      <c r="AX1176" s="136">
        <v>0.7857142857142857</v>
      </c>
      <c r="AY1176" s="137" t="s">
        <v>2577</v>
      </c>
      <c r="AZ1176" s="136">
        <v>0</v>
      </c>
      <c r="BA1176" s="136">
        <v>0</v>
      </c>
      <c r="BB1176" s="136">
        <v>0</v>
      </c>
      <c r="BC1176" s="214">
        <v>0</v>
      </c>
      <c r="BD1176" s="136">
        <v>0</v>
      </c>
      <c r="BE1176" s="214">
        <v>0</v>
      </c>
      <c r="BF1176" s="136">
        <v>0</v>
      </c>
      <c r="BG1176" s="214">
        <v>0</v>
      </c>
      <c r="BH1176" s="214">
        <v>0</v>
      </c>
      <c r="BI1176" s="134">
        <v>1</v>
      </c>
      <c r="BJ1176" s="214">
        <v>1670</v>
      </c>
      <c r="BK1176" s="137">
        <v>3</v>
      </c>
      <c r="BL1176" s="137">
        <v>3</v>
      </c>
      <c r="BM1176" s="137">
        <v>192</v>
      </c>
      <c r="BN1176" s="134">
        <v>1</v>
      </c>
      <c r="BO1176" s="351">
        <v>1670</v>
      </c>
      <c r="BP1176" s="134">
        <v>0</v>
      </c>
      <c r="BQ1176" s="214">
        <v>0</v>
      </c>
      <c r="BR1176" s="137">
        <v>84</v>
      </c>
      <c r="BS1176" s="138">
        <v>0</v>
      </c>
      <c r="BT1176" s="351">
        <v>0</v>
      </c>
      <c r="BU1176" s="214">
        <v>1670</v>
      </c>
      <c r="BV1176" s="214">
        <v>1</v>
      </c>
      <c r="BW1176" s="214">
        <v>1</v>
      </c>
      <c r="BX1176" s="214">
        <v>1</v>
      </c>
      <c r="BY1176" s="214">
        <v>1670</v>
      </c>
      <c r="BZ1176" s="134">
        <v>1</v>
      </c>
      <c r="CA1176" s="138">
        <v>0</v>
      </c>
      <c r="CB1176" s="136">
        <v>1</v>
      </c>
      <c r="CC1176" s="136">
        <v>1</v>
      </c>
      <c r="CD1176" s="136">
        <v>1</v>
      </c>
      <c r="CE1176" s="137">
        <v>1495</v>
      </c>
      <c r="CF1176" s="137">
        <v>1495</v>
      </c>
      <c r="CG1176" s="137">
        <v>1495</v>
      </c>
      <c r="CH1176" s="214">
        <v>299</v>
      </c>
      <c r="CI1176" s="139" t="s">
        <v>48</v>
      </c>
      <c r="CJ1176" s="139">
        <v>0</v>
      </c>
      <c r="CK1176" s="139" t="s">
        <v>50</v>
      </c>
      <c r="CL1176" s="139" t="s">
        <v>50</v>
      </c>
      <c r="CM1176" s="139" t="s">
        <v>942</v>
      </c>
      <c r="CN1176" s="139" t="s">
        <v>966</v>
      </c>
      <c r="CO1176" s="139">
        <v>20.181742</v>
      </c>
      <c r="CP1176" s="139">
        <v>92.842230000000001</v>
      </c>
      <c r="CQ1176" s="139" t="s">
        <v>1652</v>
      </c>
      <c r="CR1176" s="449" t="s">
        <v>40</v>
      </c>
      <c r="CS1176" s="449"/>
      <c r="CT1176" s="24"/>
      <c r="CU1176" s="24"/>
      <c r="CV1176" s="24"/>
    </row>
    <row r="1177" spans="1:100" ht="15.75" customHeight="1" x14ac:dyDescent="0.25">
      <c r="A1177" s="643" t="s">
        <v>1388</v>
      </c>
      <c r="B1177" s="132" t="s">
        <v>453</v>
      </c>
      <c r="C1177" s="132" t="s">
        <v>454</v>
      </c>
      <c r="D1177" s="132" t="s">
        <v>455</v>
      </c>
      <c r="E1177" s="132" t="s">
        <v>599</v>
      </c>
      <c r="F1177" s="132">
        <v>17</v>
      </c>
      <c r="G1177" s="214">
        <v>74</v>
      </c>
      <c r="H1177" s="132"/>
      <c r="I1177" s="132"/>
      <c r="J1177" s="133"/>
      <c r="K1177" s="132"/>
      <c r="L1177" s="132"/>
      <c r="M1177" s="134"/>
      <c r="N1177" s="134"/>
      <c r="O1177" s="320">
        <v>0</v>
      </c>
      <c r="P1177" s="326">
        <v>2</v>
      </c>
      <c r="Q1177" s="326"/>
      <c r="R1177" s="315"/>
      <c r="S1177" s="315"/>
      <c r="T1177" s="315"/>
      <c r="U1177" s="315"/>
      <c r="V1177" s="315"/>
      <c r="W1177" s="315"/>
      <c r="X1177" s="315"/>
      <c r="Y1177" s="315"/>
      <c r="Z1177" s="315"/>
      <c r="AA1177" s="336">
        <v>0</v>
      </c>
      <c r="AB1177" s="336"/>
      <c r="AC1177" s="337"/>
      <c r="AD1177" s="337"/>
      <c r="AE1177" s="336"/>
      <c r="AF1177" s="336" t="s">
        <v>286</v>
      </c>
      <c r="AG1177" s="339" t="s">
        <v>286</v>
      </c>
      <c r="AH1177" s="339"/>
      <c r="AI1177" s="336"/>
      <c r="AJ1177" s="336"/>
      <c r="AK1177" s="848"/>
      <c r="AL1177" s="836"/>
      <c r="AM1177" s="836"/>
      <c r="AN1177" s="848"/>
      <c r="AO1177" s="850"/>
      <c r="AP1177" s="839"/>
      <c r="AQ1177" s="839"/>
      <c r="AR1177" s="839"/>
      <c r="AS1177" s="839"/>
      <c r="AT1177" s="839"/>
      <c r="AU1177" s="839"/>
      <c r="AV1177" s="849"/>
      <c r="AW1177" s="134" t="s">
        <v>3208</v>
      </c>
      <c r="AX1177" s="136" t="s">
        <v>3208</v>
      </c>
      <c r="AY1177" s="137" t="s">
        <v>2576</v>
      </c>
      <c r="AZ1177" s="136">
        <v>1</v>
      </c>
      <c r="BA1177" s="136">
        <v>1</v>
      </c>
      <c r="BB1177" s="136">
        <v>1</v>
      </c>
      <c r="BC1177" s="214">
        <v>74</v>
      </c>
      <c r="BD1177" s="136">
        <v>0</v>
      </c>
      <c r="BE1177" s="214">
        <v>0</v>
      </c>
      <c r="BF1177" s="136">
        <v>1</v>
      </c>
      <c r="BG1177" s="214">
        <v>74</v>
      </c>
      <c r="BH1177" s="214">
        <v>0.14799999999999999</v>
      </c>
      <c r="BI1177" s="134">
        <v>0</v>
      </c>
      <c r="BJ1177" s="214">
        <v>0</v>
      </c>
      <c r="BK1177" s="137">
        <v>0.85199999999999998</v>
      </c>
      <c r="BL1177" s="137">
        <v>1</v>
      </c>
      <c r="BM1177" s="137">
        <v>0</v>
      </c>
      <c r="BN1177" s="134">
        <v>0</v>
      </c>
      <c r="BO1177" s="351">
        <v>0</v>
      </c>
      <c r="BP1177" s="134">
        <v>0.97297297297297292</v>
      </c>
      <c r="BQ1177" s="214">
        <v>12</v>
      </c>
      <c r="BR1177" s="137">
        <v>12</v>
      </c>
      <c r="BS1177" s="138">
        <v>0</v>
      </c>
      <c r="BT1177" s="351" t="s">
        <v>103</v>
      </c>
      <c r="BU1177" s="214">
        <v>0</v>
      </c>
      <c r="BV1177" s="214">
        <v>0</v>
      </c>
      <c r="BW1177" s="214">
        <v>0</v>
      </c>
      <c r="BX1177" s="214">
        <v>0</v>
      </c>
      <c r="BY1177" s="214">
        <v>0</v>
      </c>
      <c r="BZ1177" s="134">
        <v>0</v>
      </c>
      <c r="CA1177" s="138">
        <v>1</v>
      </c>
      <c r="CB1177" s="136">
        <v>0</v>
      </c>
      <c r="CC1177" s="136">
        <v>0</v>
      </c>
      <c r="CD1177" s="136">
        <v>0</v>
      </c>
      <c r="CE1177" s="137">
        <v>0</v>
      </c>
      <c r="CF1177" s="137">
        <v>0</v>
      </c>
      <c r="CG1177" s="137">
        <v>0</v>
      </c>
      <c r="CH1177" s="214">
        <v>0</v>
      </c>
      <c r="CI1177" s="139">
        <v>0</v>
      </c>
      <c r="CJ1177" s="139">
        <v>0</v>
      </c>
      <c r="CK1177" s="139" t="s">
        <v>975</v>
      </c>
      <c r="CL1177" s="139" t="s">
        <v>969</v>
      </c>
      <c r="CM1177" s="139" t="s">
        <v>975</v>
      </c>
      <c r="CN1177" s="139" t="s">
        <v>966</v>
      </c>
      <c r="CO1177" s="139">
        <v>20.1934604644775</v>
      </c>
      <c r="CP1177" s="139">
        <v>92.867782592773395</v>
      </c>
      <c r="CQ1177" s="139">
        <v>196147</v>
      </c>
      <c r="CR1177" s="449" t="s">
        <v>40</v>
      </c>
      <c r="CS1177" s="449"/>
      <c r="CT1177" s="24"/>
      <c r="CU1177" s="24"/>
      <c r="CV1177" s="24"/>
    </row>
    <row r="1178" spans="1:100" ht="15.75" customHeight="1" x14ac:dyDescent="0.25">
      <c r="A1178" s="643" t="s">
        <v>1388</v>
      </c>
      <c r="B1178" s="132" t="s">
        <v>447</v>
      </c>
      <c r="C1178" s="132" t="s">
        <v>454</v>
      </c>
      <c r="D1178" s="132" t="s">
        <v>455</v>
      </c>
      <c r="E1178" s="132" t="s">
        <v>603</v>
      </c>
      <c r="F1178" s="132">
        <v>80</v>
      </c>
      <c r="G1178" s="214">
        <v>359</v>
      </c>
      <c r="H1178" s="132"/>
      <c r="I1178" s="132" t="s">
        <v>449</v>
      </c>
      <c r="J1178" s="133">
        <v>43356</v>
      </c>
      <c r="K1178" s="132">
        <v>0</v>
      </c>
      <c r="L1178" s="132" t="s">
        <v>282</v>
      </c>
      <c r="M1178" s="134">
        <v>0</v>
      </c>
      <c r="N1178" s="134">
        <v>0</v>
      </c>
      <c r="O1178" s="320">
        <v>7</v>
      </c>
      <c r="P1178" s="326">
        <v>13</v>
      </c>
      <c r="Q1178" s="326">
        <v>0</v>
      </c>
      <c r="R1178" s="315">
        <v>0</v>
      </c>
      <c r="S1178" s="315">
        <v>0</v>
      </c>
      <c r="T1178" s="315"/>
      <c r="U1178" s="315">
        <v>0</v>
      </c>
      <c r="V1178" s="315">
        <v>0</v>
      </c>
      <c r="W1178" s="315">
        <v>0</v>
      </c>
      <c r="X1178" s="315">
        <v>0</v>
      </c>
      <c r="Y1178" s="315">
        <v>0</v>
      </c>
      <c r="Z1178" s="315"/>
      <c r="AA1178" s="336">
        <v>80</v>
      </c>
      <c r="AB1178" s="336">
        <v>0</v>
      </c>
      <c r="AC1178" s="337">
        <v>0</v>
      </c>
      <c r="AD1178" s="337"/>
      <c r="AE1178" s="336">
        <v>0</v>
      </c>
      <c r="AF1178" s="336" t="s">
        <v>286</v>
      </c>
      <c r="AG1178" s="339" t="s">
        <v>286</v>
      </c>
      <c r="AH1178" s="339">
        <v>0</v>
      </c>
      <c r="AI1178" s="336">
        <v>0</v>
      </c>
      <c r="AJ1178" s="336"/>
      <c r="AK1178" s="848">
        <v>0</v>
      </c>
      <c r="AL1178" s="836" t="s">
        <v>284</v>
      </c>
      <c r="AM1178" s="836">
        <v>0</v>
      </c>
      <c r="AN1178" s="848">
        <v>0</v>
      </c>
      <c r="AO1178" s="850">
        <v>1</v>
      </c>
      <c r="AP1178" s="839">
        <v>0</v>
      </c>
      <c r="AQ1178" s="839">
        <v>0</v>
      </c>
      <c r="AR1178" s="839"/>
      <c r="AS1178" s="839"/>
      <c r="AT1178" s="839"/>
      <c r="AU1178" s="839"/>
      <c r="AV1178" s="849"/>
      <c r="AW1178" s="134" t="s">
        <v>3208</v>
      </c>
      <c r="AX1178" s="136" t="s">
        <v>3208</v>
      </c>
      <c r="AY1178" s="137" t="s">
        <v>2576</v>
      </c>
      <c r="AZ1178" s="136">
        <v>1</v>
      </c>
      <c r="BA1178" s="136">
        <v>1</v>
      </c>
      <c r="BB1178" s="136">
        <v>1</v>
      </c>
      <c r="BC1178" s="214">
        <v>359</v>
      </c>
      <c r="BD1178" s="136">
        <v>0</v>
      </c>
      <c r="BE1178" s="214">
        <v>0</v>
      </c>
      <c r="BF1178" s="136">
        <v>1</v>
      </c>
      <c r="BG1178" s="214">
        <v>359</v>
      </c>
      <c r="BH1178" s="214">
        <v>0.71799999999999997</v>
      </c>
      <c r="BI1178" s="134">
        <v>0</v>
      </c>
      <c r="BJ1178" s="214">
        <v>0</v>
      </c>
      <c r="BK1178" s="137">
        <v>0.28200000000000003</v>
      </c>
      <c r="BL1178" s="137">
        <v>1</v>
      </c>
      <c r="BM1178" s="137">
        <v>80</v>
      </c>
      <c r="BN1178" s="134">
        <v>1</v>
      </c>
      <c r="BO1178" s="351">
        <v>359</v>
      </c>
      <c r="BP1178" s="134">
        <v>0</v>
      </c>
      <c r="BQ1178" s="214">
        <v>0</v>
      </c>
      <c r="BR1178" s="137">
        <v>60</v>
      </c>
      <c r="BS1178" s="138">
        <v>0</v>
      </c>
      <c r="BT1178" s="351" t="s">
        <v>103</v>
      </c>
      <c r="BU1178" s="214">
        <v>359</v>
      </c>
      <c r="BV1178" s="214">
        <v>0</v>
      </c>
      <c r="BW1178" s="214">
        <v>1</v>
      </c>
      <c r="BX1178" s="214">
        <v>0</v>
      </c>
      <c r="BY1178" s="214">
        <v>0</v>
      </c>
      <c r="BZ1178" s="134">
        <v>0</v>
      </c>
      <c r="CA1178" s="138">
        <v>1</v>
      </c>
      <c r="CB1178" s="136">
        <v>1</v>
      </c>
      <c r="CC1178" s="136">
        <v>0</v>
      </c>
      <c r="CD1178" s="136">
        <v>0</v>
      </c>
      <c r="CE1178" s="137">
        <v>0</v>
      </c>
      <c r="CF1178" s="137">
        <v>0</v>
      </c>
      <c r="CG1178" s="137">
        <v>0</v>
      </c>
      <c r="CH1178" s="214">
        <v>0</v>
      </c>
      <c r="CI1178" s="139">
        <v>0</v>
      </c>
      <c r="CJ1178" s="139">
        <v>0</v>
      </c>
      <c r="CK1178" s="139" t="s">
        <v>969</v>
      </c>
      <c r="CL1178" s="139" t="s">
        <v>969</v>
      </c>
      <c r="CM1178" s="139" t="s">
        <v>969</v>
      </c>
      <c r="CN1178" s="139" t="s">
        <v>454</v>
      </c>
      <c r="CO1178" s="139">
        <v>20.202400000000001</v>
      </c>
      <c r="CP1178" s="139">
        <v>92.812799999999996</v>
      </c>
      <c r="CQ1178" s="139" t="s">
        <v>1660</v>
      </c>
      <c r="CR1178" s="449" t="s">
        <v>40</v>
      </c>
      <c r="CS1178" s="449"/>
      <c r="CT1178" s="24"/>
      <c r="CU1178" s="24"/>
      <c r="CV1178" s="24"/>
    </row>
    <row r="1179" spans="1:100" ht="15.75" customHeight="1" x14ac:dyDescent="0.25">
      <c r="A1179" s="643" t="s">
        <v>1388</v>
      </c>
      <c r="B1179" s="132" t="s">
        <v>338</v>
      </c>
      <c r="C1179" s="132" t="s">
        <v>866</v>
      </c>
      <c r="D1179" s="132" t="s">
        <v>888</v>
      </c>
      <c r="E1179" s="132" t="s">
        <v>889</v>
      </c>
      <c r="F1179" s="132">
        <v>39</v>
      </c>
      <c r="G1179" s="214">
        <v>196</v>
      </c>
      <c r="H1179" s="132"/>
      <c r="I1179" s="132" t="s">
        <v>886</v>
      </c>
      <c r="J1179" s="133" t="s">
        <v>2477</v>
      </c>
      <c r="K1179" s="132">
        <v>0</v>
      </c>
      <c r="L1179" s="132" t="s">
        <v>48</v>
      </c>
      <c r="M1179" s="134">
        <v>0.71</v>
      </c>
      <c r="N1179" s="134">
        <v>1</v>
      </c>
      <c r="O1179" s="320">
        <v>2</v>
      </c>
      <c r="P1179" s="326"/>
      <c r="Q1179" s="326">
        <v>9000</v>
      </c>
      <c r="R1179" s="315"/>
      <c r="S1179" s="315">
        <v>2</v>
      </c>
      <c r="T1179" s="315"/>
      <c r="U1179" s="315">
        <v>0</v>
      </c>
      <c r="V1179" s="315">
        <v>0</v>
      </c>
      <c r="W1179" s="315">
        <v>0</v>
      </c>
      <c r="X1179" s="315">
        <v>0</v>
      </c>
      <c r="Y1179" s="315">
        <v>0</v>
      </c>
      <c r="Z1179" s="315"/>
      <c r="AA1179" s="336">
        <v>5</v>
      </c>
      <c r="AB1179" s="336">
        <v>3</v>
      </c>
      <c r="AC1179" s="337">
        <v>0</v>
      </c>
      <c r="AD1179" s="337"/>
      <c r="AE1179" s="336">
        <v>8</v>
      </c>
      <c r="AF1179" s="336" t="s">
        <v>283</v>
      </c>
      <c r="AG1179" s="339" t="s">
        <v>332</v>
      </c>
      <c r="AH1179" s="339">
        <v>0</v>
      </c>
      <c r="AI1179" s="336">
        <v>0</v>
      </c>
      <c r="AJ1179" s="336"/>
      <c r="AK1179" s="848">
        <v>1</v>
      </c>
      <c r="AL1179" s="836" t="s">
        <v>376</v>
      </c>
      <c r="AM1179" s="836"/>
      <c r="AN1179" s="848">
        <v>4</v>
      </c>
      <c r="AO1179" s="850">
        <v>2</v>
      </c>
      <c r="AP1179" s="839">
        <v>0</v>
      </c>
      <c r="AQ1179" s="839">
        <v>0</v>
      </c>
      <c r="AR1179" s="839"/>
      <c r="AS1179" s="839"/>
      <c r="AT1179" s="839"/>
      <c r="AU1179" s="839"/>
      <c r="AV1179" s="849"/>
      <c r="AW1179" s="134" t="s">
        <v>3208</v>
      </c>
      <c r="AX1179" s="136" t="s">
        <v>3208</v>
      </c>
      <c r="AY1179" s="137" t="s">
        <v>2576</v>
      </c>
      <c r="AZ1179" s="136">
        <v>1</v>
      </c>
      <c r="BA1179" s="136">
        <v>1</v>
      </c>
      <c r="BB1179" s="136">
        <v>1</v>
      </c>
      <c r="BC1179" s="214">
        <v>196</v>
      </c>
      <c r="BD1179" s="136">
        <v>0</v>
      </c>
      <c r="BE1179" s="214">
        <v>0</v>
      </c>
      <c r="BF1179" s="136">
        <v>1</v>
      </c>
      <c r="BG1179" s="214">
        <v>196</v>
      </c>
      <c r="BH1179" s="214">
        <v>0.39200000000000002</v>
      </c>
      <c r="BI1179" s="134">
        <v>0</v>
      </c>
      <c r="BJ1179" s="214">
        <v>0</v>
      </c>
      <c r="BK1179" s="137">
        <v>0.60799999999999998</v>
      </c>
      <c r="BL1179" s="137">
        <v>1</v>
      </c>
      <c r="BM1179" s="137">
        <v>8</v>
      </c>
      <c r="BN1179" s="134">
        <v>0.51020408163265307</v>
      </c>
      <c r="BO1179" s="351">
        <v>100</v>
      </c>
      <c r="BP1179" s="134">
        <v>0.2040816326530612</v>
      </c>
      <c r="BQ1179" s="214">
        <v>2</v>
      </c>
      <c r="BR1179" s="137">
        <v>10</v>
      </c>
      <c r="BS1179" s="138">
        <v>0.375</v>
      </c>
      <c r="BT1179" s="351">
        <v>0</v>
      </c>
      <c r="BU1179" s="214">
        <v>196</v>
      </c>
      <c r="BV1179" s="214">
        <v>0</v>
      </c>
      <c r="BW1179" s="214">
        <v>1</v>
      </c>
      <c r="BX1179" s="214">
        <v>0</v>
      </c>
      <c r="BY1179" s="214">
        <v>0</v>
      </c>
      <c r="BZ1179" s="134">
        <v>0</v>
      </c>
      <c r="CA1179" s="138">
        <v>1</v>
      </c>
      <c r="CB1179" s="136">
        <v>1</v>
      </c>
      <c r="CC1179" s="136">
        <v>0</v>
      </c>
      <c r="CD1179" s="136">
        <v>0</v>
      </c>
      <c r="CE1179" s="137">
        <v>0</v>
      </c>
      <c r="CF1179" s="137">
        <v>0</v>
      </c>
      <c r="CG1179" s="137">
        <v>0</v>
      </c>
      <c r="CH1179" s="214">
        <v>39</v>
      </c>
      <c r="CI1179" s="139" t="s">
        <v>48</v>
      </c>
      <c r="CJ1179" s="139" t="s">
        <v>287</v>
      </c>
      <c r="CK1179" s="139" t="s">
        <v>50</v>
      </c>
      <c r="CL1179" s="139" t="s">
        <v>50</v>
      </c>
      <c r="CM1179" s="139" t="s">
        <v>50</v>
      </c>
      <c r="CN1179" s="139" t="s">
        <v>51</v>
      </c>
      <c r="CO1179" s="139">
        <v>23.354268999999999</v>
      </c>
      <c r="CP1179" s="139">
        <v>98.218626999999998</v>
      </c>
      <c r="CQ1179" s="139" t="s">
        <v>1886</v>
      </c>
      <c r="CR1179" s="449" t="s">
        <v>40</v>
      </c>
      <c r="CS1179" s="449"/>
      <c r="CT1179" s="24"/>
      <c r="CU1179" s="24"/>
      <c r="CV1179" s="24"/>
    </row>
    <row r="1180" spans="1:100" ht="15.75" customHeight="1" x14ac:dyDescent="0.25">
      <c r="A1180" s="643" t="s">
        <v>1388</v>
      </c>
      <c r="B1180" s="132" t="s">
        <v>460</v>
      </c>
      <c r="C1180" s="132" t="s">
        <v>866</v>
      </c>
      <c r="D1180" s="132" t="s">
        <v>888</v>
      </c>
      <c r="E1180" s="132" t="s">
        <v>913</v>
      </c>
      <c r="F1180" s="132">
        <v>78</v>
      </c>
      <c r="G1180" s="214">
        <v>392</v>
      </c>
      <c r="H1180" s="132"/>
      <c r="I1180" s="132"/>
      <c r="J1180" s="133"/>
      <c r="K1180" s="132"/>
      <c r="L1180" s="132" t="s">
        <v>282</v>
      </c>
      <c r="M1180" s="134">
        <v>0</v>
      </c>
      <c r="N1180" s="134">
        <v>0</v>
      </c>
      <c r="O1180" s="320">
        <v>0</v>
      </c>
      <c r="P1180" s="326">
        <v>0</v>
      </c>
      <c r="Q1180" s="326"/>
      <c r="R1180" s="315"/>
      <c r="S1180" s="315">
        <v>0</v>
      </c>
      <c r="T1180" s="315"/>
      <c r="U1180" s="315"/>
      <c r="V1180" s="315"/>
      <c r="W1180" s="315"/>
      <c r="X1180" s="315"/>
      <c r="Y1180" s="315"/>
      <c r="Z1180" s="315"/>
      <c r="AA1180" s="336">
        <v>0</v>
      </c>
      <c r="AB1180" s="336"/>
      <c r="AC1180" s="337">
        <v>0</v>
      </c>
      <c r="AD1180" s="337"/>
      <c r="AE1180" s="336">
        <v>0</v>
      </c>
      <c r="AF1180" s="336" t="s">
        <v>286</v>
      </c>
      <c r="AG1180" s="339" t="s">
        <v>286</v>
      </c>
      <c r="AH1180" s="339"/>
      <c r="AI1180" s="336"/>
      <c r="AJ1180" s="336"/>
      <c r="AK1180" s="848">
        <v>0</v>
      </c>
      <c r="AL1180" s="836"/>
      <c r="AM1180" s="836">
        <v>1</v>
      </c>
      <c r="AN1180" s="848"/>
      <c r="AO1180" s="850"/>
      <c r="AP1180" s="839"/>
      <c r="AQ1180" s="839"/>
      <c r="AR1180" s="839"/>
      <c r="AS1180" s="839"/>
      <c r="AT1180" s="839"/>
      <c r="AU1180" s="839"/>
      <c r="AV1180" s="849"/>
      <c r="AW1180" s="134" t="s">
        <v>3208</v>
      </c>
      <c r="AX1180" s="136" t="s">
        <v>3208</v>
      </c>
      <c r="AY1180" s="137" t="s">
        <v>2576</v>
      </c>
      <c r="AZ1180" s="136">
        <v>0</v>
      </c>
      <c r="BA1180" s="136">
        <v>0</v>
      </c>
      <c r="BB1180" s="136">
        <v>0</v>
      </c>
      <c r="BC1180" s="214">
        <v>0</v>
      </c>
      <c r="BD1180" s="136">
        <v>0</v>
      </c>
      <c r="BE1180" s="214">
        <v>0</v>
      </c>
      <c r="BF1180" s="136">
        <v>0</v>
      </c>
      <c r="BG1180" s="214">
        <v>0</v>
      </c>
      <c r="BH1180" s="214">
        <v>0</v>
      </c>
      <c r="BI1180" s="134">
        <v>1</v>
      </c>
      <c r="BJ1180" s="214">
        <v>392</v>
      </c>
      <c r="BK1180" s="137">
        <v>1</v>
      </c>
      <c r="BL1180" s="137">
        <v>1</v>
      </c>
      <c r="BM1180" s="137">
        <v>0</v>
      </c>
      <c r="BN1180" s="134">
        <v>0</v>
      </c>
      <c r="BO1180" s="351">
        <v>0</v>
      </c>
      <c r="BP1180" s="134">
        <v>0.99489795918367352</v>
      </c>
      <c r="BQ1180" s="214">
        <v>65</v>
      </c>
      <c r="BR1180" s="137">
        <v>65</v>
      </c>
      <c r="BS1180" s="138">
        <v>0</v>
      </c>
      <c r="BT1180" s="351">
        <v>0</v>
      </c>
      <c r="BU1180" s="214">
        <v>0</v>
      </c>
      <c r="BV1180" s="214">
        <v>0</v>
      </c>
      <c r="BW1180" s="214">
        <v>0</v>
      </c>
      <c r="BX1180" s="214">
        <v>0</v>
      </c>
      <c r="BY1180" s="214">
        <v>0</v>
      </c>
      <c r="BZ1180" s="134">
        <v>0</v>
      </c>
      <c r="CA1180" s="138">
        <v>1</v>
      </c>
      <c r="CB1180" s="136">
        <v>0</v>
      </c>
      <c r="CC1180" s="136">
        <v>0</v>
      </c>
      <c r="CD1180" s="136">
        <v>0</v>
      </c>
      <c r="CE1180" s="137">
        <v>0</v>
      </c>
      <c r="CF1180" s="137">
        <v>0</v>
      </c>
      <c r="CG1180" s="137">
        <v>0</v>
      </c>
      <c r="CH1180" s="214">
        <v>0</v>
      </c>
      <c r="CI1180" s="139">
        <v>0</v>
      </c>
      <c r="CJ1180" s="139" t="s">
        <v>2959</v>
      </c>
      <c r="CK1180" s="139" t="s">
        <v>50</v>
      </c>
      <c r="CL1180" s="139" t="s">
        <v>1139</v>
      </c>
      <c r="CM1180" s="139" t="s">
        <v>929</v>
      </c>
      <c r="CN1180" s="139" t="s">
        <v>949</v>
      </c>
      <c r="CO1180" s="139">
        <v>23.372409999999999</v>
      </c>
      <c r="CP1180" s="139">
        <v>98.352670000000003</v>
      </c>
      <c r="CQ1180" s="139" t="s">
        <v>1887</v>
      </c>
      <c r="CR1180" s="449" t="s">
        <v>3209</v>
      </c>
      <c r="CS1180" s="449"/>
      <c r="CT1180" s="24"/>
      <c r="CU1180" s="24"/>
      <c r="CV1180" s="24"/>
    </row>
    <row r="1181" spans="1:100" ht="15.75" customHeight="1" x14ac:dyDescent="0.25">
      <c r="A1181" s="643" t="s">
        <v>1388</v>
      </c>
      <c r="B1181" s="132" t="s">
        <v>287</v>
      </c>
      <c r="C1181" s="132" t="s">
        <v>866</v>
      </c>
      <c r="D1181" s="132" t="s">
        <v>888</v>
      </c>
      <c r="E1181" s="132" t="s">
        <v>920</v>
      </c>
      <c r="F1181" s="132">
        <v>35</v>
      </c>
      <c r="G1181" s="214">
        <v>173</v>
      </c>
      <c r="H1181" s="132"/>
      <c r="I1181" s="132" t="s">
        <v>447</v>
      </c>
      <c r="J1181" s="133">
        <v>43799</v>
      </c>
      <c r="K1181" s="132">
        <v>0</v>
      </c>
      <c r="L1181" s="132" t="s">
        <v>48</v>
      </c>
      <c r="M1181" s="134">
        <v>0.4</v>
      </c>
      <c r="N1181" s="134">
        <v>0.8</v>
      </c>
      <c r="O1181" s="320">
        <v>1</v>
      </c>
      <c r="P1181" s="326">
        <v>0</v>
      </c>
      <c r="Q1181" s="326"/>
      <c r="R1181" s="315"/>
      <c r="S1181" s="315">
        <v>0</v>
      </c>
      <c r="T1181" s="315"/>
      <c r="U1181" s="315">
        <v>0</v>
      </c>
      <c r="V1181" s="315">
        <v>0</v>
      </c>
      <c r="W1181" s="315">
        <v>0</v>
      </c>
      <c r="X1181" s="315">
        <v>0</v>
      </c>
      <c r="Y1181" s="315">
        <v>0</v>
      </c>
      <c r="Z1181" s="315"/>
      <c r="AA1181" s="336">
        <v>37</v>
      </c>
      <c r="AB1181" s="336">
        <v>0</v>
      </c>
      <c r="AC1181" s="337">
        <v>0</v>
      </c>
      <c r="AD1181" s="337"/>
      <c r="AE1181" s="336">
        <v>0</v>
      </c>
      <c r="AF1181" s="336" t="s">
        <v>286</v>
      </c>
      <c r="AG1181" s="339" t="s">
        <v>286</v>
      </c>
      <c r="AH1181" s="339"/>
      <c r="AI1181" s="336"/>
      <c r="AJ1181" s="336"/>
      <c r="AK1181" s="848"/>
      <c r="AL1181" s="836"/>
      <c r="AM1181" s="836">
        <v>0</v>
      </c>
      <c r="AN1181" s="848"/>
      <c r="AO1181" s="850">
        <v>1</v>
      </c>
      <c r="AP1181" s="839">
        <v>0</v>
      </c>
      <c r="AQ1181" s="839">
        <v>0</v>
      </c>
      <c r="AR1181" s="839"/>
      <c r="AS1181" s="839"/>
      <c r="AT1181" s="839"/>
      <c r="AU1181" s="839"/>
      <c r="AV1181" s="849"/>
      <c r="AW1181" s="134" t="s">
        <v>3208</v>
      </c>
      <c r="AX1181" s="136" t="s">
        <v>3208</v>
      </c>
      <c r="AY1181" s="137" t="s">
        <v>2576</v>
      </c>
      <c r="AZ1181" s="136">
        <v>1</v>
      </c>
      <c r="BA1181" s="136">
        <v>1</v>
      </c>
      <c r="BB1181" s="136">
        <v>1</v>
      </c>
      <c r="BC1181" s="214">
        <v>173</v>
      </c>
      <c r="BD1181" s="136">
        <v>0</v>
      </c>
      <c r="BE1181" s="214">
        <v>0</v>
      </c>
      <c r="BF1181" s="136">
        <v>1</v>
      </c>
      <c r="BG1181" s="214">
        <v>173</v>
      </c>
      <c r="BH1181" s="214">
        <v>0.34599999999999997</v>
      </c>
      <c r="BI1181" s="134">
        <v>0</v>
      </c>
      <c r="BJ1181" s="214">
        <v>0</v>
      </c>
      <c r="BK1181" s="137">
        <v>0.65400000000000003</v>
      </c>
      <c r="BL1181" s="137">
        <v>1</v>
      </c>
      <c r="BM1181" s="137">
        <v>37</v>
      </c>
      <c r="BN1181" s="134">
        <v>1</v>
      </c>
      <c r="BO1181" s="351">
        <v>173</v>
      </c>
      <c r="BP1181" s="134">
        <v>0</v>
      </c>
      <c r="BQ1181" s="214">
        <v>0</v>
      </c>
      <c r="BR1181" s="137">
        <v>9</v>
      </c>
      <c r="BS1181" s="138">
        <v>0</v>
      </c>
      <c r="BT1181" s="351">
        <v>0</v>
      </c>
      <c r="BU1181" s="214">
        <v>173</v>
      </c>
      <c r="BV1181" s="214">
        <v>0</v>
      </c>
      <c r="BW1181" s="214">
        <v>1</v>
      </c>
      <c r="BX1181" s="214">
        <v>0</v>
      </c>
      <c r="BY1181" s="214">
        <v>0</v>
      </c>
      <c r="BZ1181" s="134">
        <v>0</v>
      </c>
      <c r="CA1181" s="138">
        <v>1</v>
      </c>
      <c r="CB1181" s="136">
        <v>1</v>
      </c>
      <c r="CC1181" s="136">
        <v>0</v>
      </c>
      <c r="CD1181" s="136">
        <v>0</v>
      </c>
      <c r="CE1181" s="137">
        <v>0</v>
      </c>
      <c r="CF1181" s="137">
        <v>0</v>
      </c>
      <c r="CG1181" s="137">
        <v>0</v>
      </c>
      <c r="CH1181" s="214">
        <v>0</v>
      </c>
      <c r="CI1181" s="139">
        <v>0</v>
      </c>
      <c r="CJ1181" s="139">
        <v>0</v>
      </c>
      <c r="CK1181" s="139" t="s">
        <v>50</v>
      </c>
      <c r="CL1181" s="139" t="s">
        <v>50</v>
      </c>
      <c r="CM1181" s="139" t="s">
        <v>929</v>
      </c>
      <c r="CN1181" s="139" t="s">
        <v>51</v>
      </c>
      <c r="CO1181" s="139">
        <v>23.353999999999999</v>
      </c>
      <c r="CP1181" s="139">
        <v>98.221000000000004</v>
      </c>
      <c r="CQ1181" s="139" t="s">
        <v>1885</v>
      </c>
      <c r="CR1181" s="449" t="s">
        <v>40</v>
      </c>
      <c r="CS1181" s="449"/>
      <c r="CT1181" s="24"/>
      <c r="CU1181" s="24"/>
      <c r="CV1181" s="24"/>
    </row>
    <row r="1182" spans="1:100" ht="15.75" customHeight="1" x14ac:dyDescent="0.25">
      <c r="A1182" s="643" t="s">
        <v>1388</v>
      </c>
      <c r="B1182" s="132" t="s">
        <v>460</v>
      </c>
      <c r="C1182" s="132" t="s">
        <v>866</v>
      </c>
      <c r="D1182" s="132" t="s">
        <v>911</v>
      </c>
      <c r="E1182" s="132" t="s">
        <v>912</v>
      </c>
      <c r="F1182" s="132">
        <v>37</v>
      </c>
      <c r="G1182" s="214">
        <v>120</v>
      </c>
      <c r="H1182" s="132"/>
      <c r="I1182" s="132"/>
      <c r="J1182" s="133"/>
      <c r="K1182" s="132"/>
      <c r="L1182" s="132" t="s">
        <v>282</v>
      </c>
      <c r="M1182" s="134">
        <v>0</v>
      </c>
      <c r="N1182" s="134">
        <v>0</v>
      </c>
      <c r="O1182" s="320"/>
      <c r="P1182" s="326"/>
      <c r="Q1182" s="326"/>
      <c r="R1182" s="315"/>
      <c r="S1182" s="315"/>
      <c r="T1182" s="315"/>
      <c r="U1182" s="315"/>
      <c r="V1182" s="315"/>
      <c r="W1182" s="315"/>
      <c r="X1182" s="315"/>
      <c r="Y1182" s="315"/>
      <c r="Z1182" s="315"/>
      <c r="AA1182" s="336">
        <v>0</v>
      </c>
      <c r="AB1182" s="336"/>
      <c r="AC1182" s="337"/>
      <c r="AD1182" s="337"/>
      <c r="AE1182" s="336"/>
      <c r="AF1182" s="336" t="s">
        <v>286</v>
      </c>
      <c r="AG1182" s="339" t="s">
        <v>286</v>
      </c>
      <c r="AH1182" s="339"/>
      <c r="AI1182" s="336"/>
      <c r="AJ1182" s="336"/>
      <c r="AK1182" s="848"/>
      <c r="AL1182" s="836"/>
      <c r="AM1182" s="836"/>
      <c r="AN1182" s="848"/>
      <c r="AO1182" s="850"/>
      <c r="AP1182" s="839"/>
      <c r="AQ1182" s="839"/>
      <c r="AR1182" s="839"/>
      <c r="AS1182" s="839"/>
      <c r="AT1182" s="839"/>
      <c r="AU1182" s="839"/>
      <c r="AV1182" s="849"/>
      <c r="AW1182" s="134" t="s">
        <v>3208</v>
      </c>
      <c r="AX1182" s="136" t="s">
        <v>3208</v>
      </c>
      <c r="AY1182" s="137" t="s">
        <v>2576</v>
      </c>
      <c r="AZ1182" s="136">
        <v>0</v>
      </c>
      <c r="BA1182" s="136">
        <v>0</v>
      </c>
      <c r="BB1182" s="136">
        <v>0</v>
      </c>
      <c r="BC1182" s="214">
        <v>0</v>
      </c>
      <c r="BD1182" s="136">
        <v>0</v>
      </c>
      <c r="BE1182" s="214">
        <v>0</v>
      </c>
      <c r="BF1182" s="136">
        <v>0</v>
      </c>
      <c r="BG1182" s="214">
        <v>0</v>
      </c>
      <c r="BH1182" s="214">
        <v>0</v>
      </c>
      <c r="BI1182" s="134">
        <v>1</v>
      </c>
      <c r="BJ1182" s="214">
        <v>120</v>
      </c>
      <c r="BK1182" s="137">
        <v>1</v>
      </c>
      <c r="BL1182" s="137">
        <v>1</v>
      </c>
      <c r="BM1182" s="137">
        <v>0</v>
      </c>
      <c r="BN1182" s="134">
        <v>0</v>
      </c>
      <c r="BO1182" s="351">
        <v>0</v>
      </c>
      <c r="BP1182" s="134">
        <v>1</v>
      </c>
      <c r="BQ1182" s="214">
        <v>6</v>
      </c>
      <c r="BR1182" s="137">
        <v>6</v>
      </c>
      <c r="BS1182" s="138">
        <v>0</v>
      </c>
      <c r="BT1182" s="351">
        <v>0</v>
      </c>
      <c r="BU1182" s="214">
        <v>0</v>
      </c>
      <c r="BV1182" s="214">
        <v>0</v>
      </c>
      <c r="BW1182" s="214">
        <v>0</v>
      </c>
      <c r="BX1182" s="214">
        <v>0</v>
      </c>
      <c r="BY1182" s="214">
        <v>0</v>
      </c>
      <c r="BZ1182" s="134">
        <v>0</v>
      </c>
      <c r="CA1182" s="138">
        <v>1</v>
      </c>
      <c r="CB1182" s="136">
        <v>0</v>
      </c>
      <c r="CC1182" s="136">
        <v>0</v>
      </c>
      <c r="CD1182" s="136">
        <v>0</v>
      </c>
      <c r="CE1182" s="137">
        <v>0</v>
      </c>
      <c r="CF1182" s="137">
        <v>0</v>
      </c>
      <c r="CG1182" s="137">
        <v>0</v>
      </c>
      <c r="CH1182" s="214">
        <v>0</v>
      </c>
      <c r="CI1182" s="139">
        <v>0</v>
      </c>
      <c r="CJ1182" s="139" t="s">
        <v>2959</v>
      </c>
      <c r="CK1182" s="139" t="s">
        <v>50</v>
      </c>
      <c r="CL1182" s="139" t="s">
        <v>50</v>
      </c>
      <c r="CM1182" s="139" t="s">
        <v>946</v>
      </c>
      <c r="CN1182" s="139" t="s">
        <v>51</v>
      </c>
      <c r="CO1182" s="139">
        <v>22.677008000000001</v>
      </c>
      <c r="CP1182" s="139">
        <v>97.314762999999999</v>
      </c>
      <c r="CQ1182" s="139" t="s">
        <v>1877</v>
      </c>
      <c r="CR1182" s="449" t="s">
        <v>3209</v>
      </c>
      <c r="CS1182" s="449"/>
      <c r="CT1182" s="24"/>
      <c r="CU1182" s="24"/>
      <c r="CV1182" s="24"/>
    </row>
    <row r="1183" spans="1:100" ht="15.75" customHeight="1" x14ac:dyDescent="0.25">
      <c r="A1183" s="643" t="s">
        <v>1388</v>
      </c>
      <c r="B1183" s="132" t="s">
        <v>2538</v>
      </c>
      <c r="C1183" s="132" t="s">
        <v>866</v>
      </c>
      <c r="D1183" s="132" t="s">
        <v>870</v>
      </c>
      <c r="E1183" s="132" t="s">
        <v>895</v>
      </c>
      <c r="F1183" s="132">
        <v>86</v>
      </c>
      <c r="G1183" s="214">
        <v>510</v>
      </c>
      <c r="H1183" s="132">
        <v>40</v>
      </c>
      <c r="I1183" s="132" t="s">
        <v>2539</v>
      </c>
      <c r="J1183" s="133" t="s">
        <v>2502</v>
      </c>
      <c r="K1183" s="132">
        <v>0</v>
      </c>
      <c r="L1183" s="132" t="s">
        <v>48</v>
      </c>
      <c r="M1183" s="134">
        <v>0.11</v>
      </c>
      <c r="N1183" s="134">
        <v>0.5</v>
      </c>
      <c r="O1183" s="320">
        <v>0</v>
      </c>
      <c r="P1183" s="326">
        <v>0</v>
      </c>
      <c r="Q1183" s="326">
        <v>21600</v>
      </c>
      <c r="R1183" s="315">
        <v>0</v>
      </c>
      <c r="S1183" s="315">
        <v>8</v>
      </c>
      <c r="T1183" s="315"/>
      <c r="U1183" s="315">
        <v>0</v>
      </c>
      <c r="V1183" s="315">
        <v>0</v>
      </c>
      <c r="W1183" s="315">
        <v>0</v>
      </c>
      <c r="X1183" s="315">
        <v>0</v>
      </c>
      <c r="Y1183" s="315">
        <v>0</v>
      </c>
      <c r="Z1183" s="315"/>
      <c r="AA1183" s="336">
        <v>89</v>
      </c>
      <c r="AB1183" s="336">
        <v>0</v>
      </c>
      <c r="AC1183" s="337">
        <v>0</v>
      </c>
      <c r="AD1183" s="337"/>
      <c r="AE1183" s="336">
        <v>89</v>
      </c>
      <c r="AF1183" s="336" t="s">
        <v>286</v>
      </c>
      <c r="AG1183" s="339" t="s">
        <v>286</v>
      </c>
      <c r="AH1183" s="339">
        <v>0</v>
      </c>
      <c r="AI1183" s="336">
        <v>0</v>
      </c>
      <c r="AJ1183" s="336"/>
      <c r="AK1183" s="848">
        <v>0</v>
      </c>
      <c r="AL1183" s="836"/>
      <c r="AM1183" s="836">
        <v>2</v>
      </c>
      <c r="AN1183" s="848">
        <v>0</v>
      </c>
      <c r="AO1183" s="850">
        <v>0</v>
      </c>
      <c r="AP1183" s="839">
        <v>77</v>
      </c>
      <c r="AQ1183" s="839">
        <v>0</v>
      </c>
      <c r="AR1183" s="839"/>
      <c r="AS1183" s="839"/>
      <c r="AT1183" s="839"/>
      <c r="AU1183" s="839"/>
      <c r="AV1183" s="849"/>
      <c r="AW1183" s="134" t="s">
        <v>3208</v>
      </c>
      <c r="AX1183" s="136" t="s">
        <v>3208</v>
      </c>
      <c r="AY1183" s="137" t="s">
        <v>2576</v>
      </c>
      <c r="AZ1183" s="136">
        <v>1</v>
      </c>
      <c r="BA1183" s="136">
        <v>1</v>
      </c>
      <c r="BB1183" s="136">
        <v>1</v>
      </c>
      <c r="BC1183" s="214">
        <v>510</v>
      </c>
      <c r="BD1183" s="136">
        <v>0</v>
      </c>
      <c r="BE1183" s="214">
        <v>0</v>
      </c>
      <c r="BF1183" s="136">
        <v>1</v>
      </c>
      <c r="BG1183" s="214">
        <v>510</v>
      </c>
      <c r="BH1183" s="214">
        <v>1.02</v>
      </c>
      <c r="BI1183" s="134">
        <v>0</v>
      </c>
      <c r="BJ1183" s="214">
        <v>0</v>
      </c>
      <c r="BK1183" s="137">
        <v>0</v>
      </c>
      <c r="BL1183" s="137">
        <v>1</v>
      </c>
      <c r="BM1183" s="137">
        <v>89</v>
      </c>
      <c r="BN1183" s="134">
        <v>1</v>
      </c>
      <c r="BO1183" s="351">
        <v>510</v>
      </c>
      <c r="BP1183" s="134">
        <v>0</v>
      </c>
      <c r="BQ1183" s="214">
        <v>0</v>
      </c>
      <c r="BR1183" s="137">
        <v>85</v>
      </c>
      <c r="BS1183" s="138">
        <v>0</v>
      </c>
      <c r="BT1183" s="351">
        <v>0</v>
      </c>
      <c r="BU1183" s="214">
        <v>0</v>
      </c>
      <c r="BV1183" s="214">
        <v>0</v>
      </c>
      <c r="BW1183" s="214">
        <v>0</v>
      </c>
      <c r="BX1183" s="214">
        <v>0</v>
      </c>
      <c r="BY1183" s="214">
        <v>0</v>
      </c>
      <c r="BZ1183" s="134">
        <v>0</v>
      </c>
      <c r="CA1183" s="138">
        <v>1</v>
      </c>
      <c r="CB1183" s="136">
        <v>0</v>
      </c>
      <c r="CC1183" s="136">
        <v>0.89534883720930236</v>
      </c>
      <c r="CD1183" s="136">
        <v>0</v>
      </c>
      <c r="CE1183" s="137">
        <v>385</v>
      </c>
      <c r="CF1183" s="137">
        <v>0</v>
      </c>
      <c r="CG1183" s="137">
        <v>385</v>
      </c>
      <c r="CH1183" s="214">
        <v>0</v>
      </c>
      <c r="CI1183" s="139" t="s">
        <v>48</v>
      </c>
      <c r="CJ1183" s="139" t="s">
        <v>287</v>
      </c>
      <c r="CK1183" s="139" t="s">
        <v>50</v>
      </c>
      <c r="CL1183" s="139" t="s">
        <v>1139</v>
      </c>
      <c r="CM1183" s="139" t="s">
        <v>929</v>
      </c>
      <c r="CN1183" s="139" t="s">
        <v>51</v>
      </c>
      <c r="CO1183" s="139">
        <v>23.4008</v>
      </c>
      <c r="CP1183" s="139">
        <v>97.848529999999997</v>
      </c>
      <c r="CQ1183" s="139" t="s">
        <v>1890</v>
      </c>
      <c r="CR1183" s="449" t="s">
        <v>40</v>
      </c>
      <c r="CS1183" s="449"/>
      <c r="CT1183" s="24"/>
      <c r="CU1183" s="24"/>
      <c r="CV1183" s="24"/>
    </row>
    <row r="1184" spans="1:100" ht="15.75" customHeight="1" x14ac:dyDescent="0.25">
      <c r="A1184" s="643" t="s">
        <v>1388</v>
      </c>
      <c r="B1184" s="132" t="s">
        <v>338</v>
      </c>
      <c r="C1184" s="132" t="s">
        <v>866</v>
      </c>
      <c r="D1184" s="132" t="s">
        <v>870</v>
      </c>
      <c r="E1184" s="132" t="s">
        <v>896</v>
      </c>
      <c r="F1184" s="132">
        <v>61</v>
      </c>
      <c r="G1184" s="214">
        <v>292</v>
      </c>
      <c r="H1184" s="132"/>
      <c r="I1184" s="132" t="s">
        <v>886</v>
      </c>
      <c r="J1184" s="133" t="s">
        <v>2477</v>
      </c>
      <c r="K1184" s="132">
        <v>0</v>
      </c>
      <c r="L1184" s="132" t="s">
        <v>48</v>
      </c>
      <c r="M1184" s="134">
        <v>0.7</v>
      </c>
      <c r="N1184" s="134"/>
      <c r="O1184" s="320"/>
      <c r="P1184" s="326">
        <v>2</v>
      </c>
      <c r="Q1184" s="326">
        <v>8100</v>
      </c>
      <c r="R1184" s="315"/>
      <c r="S1184" s="315">
        <v>3</v>
      </c>
      <c r="T1184" s="315"/>
      <c r="U1184" s="315">
        <v>0</v>
      </c>
      <c r="V1184" s="315">
        <v>0</v>
      </c>
      <c r="W1184" s="315">
        <v>0</v>
      </c>
      <c r="X1184" s="315">
        <v>0</v>
      </c>
      <c r="Y1184" s="315">
        <v>0</v>
      </c>
      <c r="Z1184" s="315"/>
      <c r="AA1184" s="336">
        <v>10</v>
      </c>
      <c r="AB1184" s="336">
        <v>0</v>
      </c>
      <c r="AC1184" s="337">
        <v>0</v>
      </c>
      <c r="AD1184" s="337"/>
      <c r="AE1184" s="336">
        <v>10</v>
      </c>
      <c r="AF1184" s="336" t="s">
        <v>283</v>
      </c>
      <c r="AG1184" s="339" t="s">
        <v>283</v>
      </c>
      <c r="AH1184" s="339">
        <v>0</v>
      </c>
      <c r="AI1184" s="336">
        <v>0</v>
      </c>
      <c r="AJ1184" s="336"/>
      <c r="AK1184" s="848">
        <v>0.7</v>
      </c>
      <c r="AL1184" s="836" t="s">
        <v>376</v>
      </c>
      <c r="AM1184" s="836"/>
      <c r="AN1184" s="848">
        <v>2</v>
      </c>
      <c r="AO1184" s="850">
        <v>1</v>
      </c>
      <c r="AP1184" s="839">
        <v>0</v>
      </c>
      <c r="AQ1184" s="839">
        <v>0</v>
      </c>
      <c r="AR1184" s="839"/>
      <c r="AS1184" s="839"/>
      <c r="AT1184" s="839"/>
      <c r="AU1184" s="839"/>
      <c r="AV1184" s="849"/>
      <c r="AW1184" s="134" t="s">
        <v>3208</v>
      </c>
      <c r="AX1184" s="136" t="s">
        <v>3208</v>
      </c>
      <c r="AY1184" s="137" t="s">
        <v>2576</v>
      </c>
      <c r="AZ1184" s="136">
        <v>1</v>
      </c>
      <c r="BA1184" s="136">
        <v>1</v>
      </c>
      <c r="BB1184" s="136">
        <v>1</v>
      </c>
      <c r="BC1184" s="214">
        <v>292</v>
      </c>
      <c r="BD1184" s="136">
        <v>0</v>
      </c>
      <c r="BE1184" s="214">
        <v>0</v>
      </c>
      <c r="BF1184" s="136">
        <v>1</v>
      </c>
      <c r="BG1184" s="214">
        <v>292</v>
      </c>
      <c r="BH1184" s="214">
        <v>0.58399999999999996</v>
      </c>
      <c r="BI1184" s="134">
        <v>0</v>
      </c>
      <c r="BJ1184" s="214">
        <v>0</v>
      </c>
      <c r="BK1184" s="137">
        <v>0.41600000000000004</v>
      </c>
      <c r="BL1184" s="137">
        <v>1</v>
      </c>
      <c r="BM1184" s="137">
        <v>10</v>
      </c>
      <c r="BN1184" s="134">
        <v>0.68493150684931503</v>
      </c>
      <c r="BO1184" s="351">
        <v>200</v>
      </c>
      <c r="BP1184" s="134">
        <v>0.34246575342465752</v>
      </c>
      <c r="BQ1184" s="214">
        <v>5</v>
      </c>
      <c r="BR1184" s="137">
        <v>15</v>
      </c>
      <c r="BS1184" s="138">
        <v>0</v>
      </c>
      <c r="BT1184" s="351">
        <v>0</v>
      </c>
      <c r="BU1184" s="214">
        <v>292</v>
      </c>
      <c r="BV1184" s="214">
        <v>0</v>
      </c>
      <c r="BW1184" s="214">
        <v>1</v>
      </c>
      <c r="BX1184" s="214">
        <v>0</v>
      </c>
      <c r="BY1184" s="214">
        <v>0</v>
      </c>
      <c r="BZ1184" s="134">
        <v>0</v>
      </c>
      <c r="CA1184" s="138">
        <v>1</v>
      </c>
      <c r="CB1184" s="136">
        <v>1</v>
      </c>
      <c r="CC1184" s="136">
        <v>0</v>
      </c>
      <c r="CD1184" s="136">
        <v>0</v>
      </c>
      <c r="CE1184" s="137">
        <v>0</v>
      </c>
      <c r="CF1184" s="137">
        <v>0</v>
      </c>
      <c r="CG1184" s="137">
        <v>0</v>
      </c>
      <c r="CH1184" s="214">
        <v>42.699999999999996</v>
      </c>
      <c r="CI1184" s="139" t="s">
        <v>48</v>
      </c>
      <c r="CJ1184" s="139" t="s">
        <v>287</v>
      </c>
      <c r="CK1184" s="139" t="s">
        <v>50</v>
      </c>
      <c r="CL1184" s="139" t="s">
        <v>50</v>
      </c>
      <c r="CM1184" s="139" t="s">
        <v>50</v>
      </c>
      <c r="CN1184" s="139" t="s">
        <v>51</v>
      </c>
      <c r="CO1184" s="139">
        <v>23.450914000000001</v>
      </c>
      <c r="CP1184" s="139">
        <v>97.926813999999993</v>
      </c>
      <c r="CQ1184" s="139" t="s">
        <v>1892</v>
      </c>
      <c r="CR1184" s="449" t="s">
        <v>40</v>
      </c>
      <c r="CS1184" s="449"/>
      <c r="CT1184" s="24"/>
      <c r="CU1184" s="24"/>
      <c r="CV1184" s="24"/>
    </row>
    <row r="1185" spans="1:100" ht="15.75" customHeight="1" x14ac:dyDescent="0.25">
      <c r="A1185" s="643" t="s">
        <v>1388</v>
      </c>
      <c r="B1185" s="132" t="s">
        <v>2488</v>
      </c>
      <c r="C1185" s="132" t="s">
        <v>866</v>
      </c>
      <c r="D1185" s="132" t="s">
        <v>870</v>
      </c>
      <c r="E1185" s="132" t="s">
        <v>901</v>
      </c>
      <c r="F1185" s="132">
        <v>35</v>
      </c>
      <c r="G1185" s="214">
        <v>141</v>
      </c>
      <c r="H1185" s="132"/>
      <c r="I1185" s="132" t="s">
        <v>2501</v>
      </c>
      <c r="J1185" s="133" t="s">
        <v>2502</v>
      </c>
      <c r="K1185" s="132">
        <v>0</v>
      </c>
      <c r="L1185" s="132" t="s">
        <v>48</v>
      </c>
      <c r="M1185" s="134">
        <v>0.66</v>
      </c>
      <c r="N1185" s="134">
        <v>1</v>
      </c>
      <c r="O1185" s="320">
        <v>0</v>
      </c>
      <c r="P1185" s="326">
        <v>1</v>
      </c>
      <c r="Q1185" s="326">
        <v>4725</v>
      </c>
      <c r="R1185" s="315">
        <v>0</v>
      </c>
      <c r="S1185" s="315">
        <v>7</v>
      </c>
      <c r="T1185" s="315"/>
      <c r="U1185" s="315">
        <v>0</v>
      </c>
      <c r="V1185" s="315">
        <v>0</v>
      </c>
      <c r="W1185" s="315">
        <v>0</v>
      </c>
      <c r="X1185" s="315">
        <v>0</v>
      </c>
      <c r="Y1185" s="315">
        <v>0</v>
      </c>
      <c r="Z1185" s="315"/>
      <c r="AA1185" s="336">
        <v>12</v>
      </c>
      <c r="AB1185" s="336">
        <v>4</v>
      </c>
      <c r="AC1185" s="337">
        <v>0</v>
      </c>
      <c r="AD1185" s="337"/>
      <c r="AE1185" s="336">
        <v>12</v>
      </c>
      <c r="AF1185" s="336" t="s">
        <v>283</v>
      </c>
      <c r="AG1185" s="339" t="s">
        <v>283</v>
      </c>
      <c r="AH1185" s="339">
        <v>0</v>
      </c>
      <c r="AI1185" s="336">
        <v>0</v>
      </c>
      <c r="AJ1185" s="336"/>
      <c r="AK1185" s="848">
        <v>0</v>
      </c>
      <c r="AL1185" s="836"/>
      <c r="AM1185" s="836">
        <v>2</v>
      </c>
      <c r="AN1185" s="848">
        <v>2</v>
      </c>
      <c r="AO1185" s="850">
        <v>1</v>
      </c>
      <c r="AP1185" s="839">
        <v>38</v>
      </c>
      <c r="AQ1185" s="839">
        <v>0</v>
      </c>
      <c r="AR1185" s="839"/>
      <c r="AS1185" s="839"/>
      <c r="AT1185" s="839"/>
      <c r="AU1185" s="839"/>
      <c r="AV1185" s="849"/>
      <c r="AW1185" s="134" t="s">
        <v>3208</v>
      </c>
      <c r="AX1185" s="136" t="s">
        <v>3208</v>
      </c>
      <c r="AY1185" s="137" t="s">
        <v>2576</v>
      </c>
      <c r="AZ1185" s="136">
        <v>1</v>
      </c>
      <c r="BA1185" s="136">
        <v>1</v>
      </c>
      <c r="BB1185" s="136">
        <v>1</v>
      </c>
      <c r="BC1185" s="214">
        <v>141</v>
      </c>
      <c r="BD1185" s="136">
        <v>0</v>
      </c>
      <c r="BE1185" s="214">
        <v>0</v>
      </c>
      <c r="BF1185" s="136">
        <v>1</v>
      </c>
      <c r="BG1185" s="214">
        <v>141</v>
      </c>
      <c r="BH1185" s="214">
        <v>0.28199999999999997</v>
      </c>
      <c r="BI1185" s="134">
        <v>0</v>
      </c>
      <c r="BJ1185" s="214">
        <v>0</v>
      </c>
      <c r="BK1185" s="137">
        <v>0.71799999999999997</v>
      </c>
      <c r="BL1185" s="137">
        <v>1</v>
      </c>
      <c r="BM1185" s="137">
        <v>16</v>
      </c>
      <c r="BN1185" s="134">
        <v>1</v>
      </c>
      <c r="BO1185" s="351">
        <v>141</v>
      </c>
      <c r="BP1185" s="134">
        <v>0</v>
      </c>
      <c r="BQ1185" s="214">
        <v>0</v>
      </c>
      <c r="BR1185" s="137">
        <v>7</v>
      </c>
      <c r="BS1185" s="138">
        <v>0.25</v>
      </c>
      <c r="BT1185" s="351">
        <v>0</v>
      </c>
      <c r="BU1185" s="214">
        <v>141</v>
      </c>
      <c r="BV1185" s="214">
        <v>0</v>
      </c>
      <c r="BW1185" s="214">
        <v>1</v>
      </c>
      <c r="BX1185" s="214">
        <v>1</v>
      </c>
      <c r="BY1185" s="214">
        <v>141</v>
      </c>
      <c r="BZ1185" s="134">
        <v>1</v>
      </c>
      <c r="CA1185" s="138">
        <v>0</v>
      </c>
      <c r="CB1185" s="136">
        <v>1</v>
      </c>
      <c r="CC1185" s="136">
        <v>1</v>
      </c>
      <c r="CD1185" s="136">
        <v>0</v>
      </c>
      <c r="CE1185" s="137">
        <v>190</v>
      </c>
      <c r="CF1185" s="137">
        <v>0</v>
      </c>
      <c r="CG1185" s="137">
        <v>190</v>
      </c>
      <c r="CH1185" s="214">
        <v>0</v>
      </c>
      <c r="CI1185" s="139" t="s">
        <v>48</v>
      </c>
      <c r="CJ1185" s="139" t="s">
        <v>287</v>
      </c>
      <c r="CK1185" s="139" t="s">
        <v>50</v>
      </c>
      <c r="CL1185" s="139" t="s">
        <v>50</v>
      </c>
      <c r="CM1185" s="139" t="s">
        <v>50</v>
      </c>
      <c r="CN1185" s="139" t="s">
        <v>51</v>
      </c>
      <c r="CO1185" s="139">
        <v>23.460349999999998</v>
      </c>
      <c r="CP1185" s="139">
        <v>97.947360000000003</v>
      </c>
      <c r="CQ1185" s="139" t="s">
        <v>1893</v>
      </c>
      <c r="CR1185" s="449" t="s">
        <v>40</v>
      </c>
      <c r="CS1185" s="449"/>
      <c r="CT1185" s="24"/>
      <c r="CU1185" s="24"/>
      <c r="CV1185" s="24"/>
    </row>
    <row r="1186" spans="1:100" ht="15.75" customHeight="1" x14ac:dyDescent="0.25">
      <c r="A1186" s="643" t="s">
        <v>1388</v>
      </c>
      <c r="B1186" s="132" t="s">
        <v>882</v>
      </c>
      <c r="C1186" s="132" t="s">
        <v>866</v>
      </c>
      <c r="D1186" s="132" t="s">
        <v>870</v>
      </c>
      <c r="E1186" s="132" t="s">
        <v>871</v>
      </c>
      <c r="F1186" s="132">
        <v>30</v>
      </c>
      <c r="G1186" s="214">
        <v>138</v>
      </c>
      <c r="H1186" s="132"/>
      <c r="I1186" s="132" t="s">
        <v>2491</v>
      </c>
      <c r="J1186" s="133" t="s">
        <v>2492</v>
      </c>
      <c r="K1186" s="132">
        <v>0</v>
      </c>
      <c r="L1186" s="132" t="s">
        <v>48</v>
      </c>
      <c r="M1186" s="134">
        <v>0.5</v>
      </c>
      <c r="N1186" s="134">
        <v>1</v>
      </c>
      <c r="O1186" s="320">
        <v>1</v>
      </c>
      <c r="P1186" s="326"/>
      <c r="Q1186" s="326">
        <v>6000</v>
      </c>
      <c r="R1186" s="315"/>
      <c r="S1186" s="315">
        <v>1</v>
      </c>
      <c r="T1186" s="315"/>
      <c r="U1186" s="315">
        <v>2</v>
      </c>
      <c r="V1186" s="315">
        <v>0</v>
      </c>
      <c r="W1186" s="315">
        <v>4</v>
      </c>
      <c r="X1186" s="315">
        <v>4</v>
      </c>
      <c r="Y1186" s="315">
        <v>4</v>
      </c>
      <c r="Z1186" s="315"/>
      <c r="AA1186" s="336">
        <v>8</v>
      </c>
      <c r="AB1186" s="336">
        <v>4</v>
      </c>
      <c r="AC1186" s="337">
        <v>2</v>
      </c>
      <c r="AD1186" s="337"/>
      <c r="AE1186" s="336">
        <v>8</v>
      </c>
      <c r="AF1186" s="336" t="s">
        <v>283</v>
      </c>
      <c r="AG1186" s="339" t="s">
        <v>283</v>
      </c>
      <c r="AH1186" s="339">
        <v>2</v>
      </c>
      <c r="AI1186" s="336">
        <v>0</v>
      </c>
      <c r="AJ1186" s="336"/>
      <c r="AK1186" s="848">
        <v>0.7</v>
      </c>
      <c r="AL1186" s="836" t="s">
        <v>284</v>
      </c>
      <c r="AM1186" s="836">
        <v>2</v>
      </c>
      <c r="AN1186" s="848">
        <v>1</v>
      </c>
      <c r="AO1186" s="850">
        <v>2</v>
      </c>
      <c r="AP1186" s="839">
        <v>29</v>
      </c>
      <c r="AQ1186" s="839">
        <v>0</v>
      </c>
      <c r="AR1186" s="839" t="s">
        <v>48</v>
      </c>
      <c r="AS1186" s="839"/>
      <c r="AT1186" s="839"/>
      <c r="AU1186" s="839"/>
      <c r="AV1186" s="849"/>
      <c r="AW1186" s="134">
        <v>0</v>
      </c>
      <c r="AX1186" s="136">
        <v>1</v>
      </c>
      <c r="AY1186" s="137" t="s">
        <v>2577</v>
      </c>
      <c r="AZ1186" s="136">
        <v>1</v>
      </c>
      <c r="BA1186" s="136">
        <v>1</v>
      </c>
      <c r="BB1186" s="136">
        <v>1</v>
      </c>
      <c r="BC1186" s="214">
        <v>138</v>
      </c>
      <c r="BD1186" s="136">
        <v>0</v>
      </c>
      <c r="BE1186" s="214">
        <v>0</v>
      </c>
      <c r="BF1186" s="136">
        <v>1</v>
      </c>
      <c r="BG1186" s="214">
        <v>138</v>
      </c>
      <c r="BH1186" s="214">
        <v>0.27600000000000002</v>
      </c>
      <c r="BI1186" s="134">
        <v>0</v>
      </c>
      <c r="BJ1186" s="214">
        <v>0</v>
      </c>
      <c r="BK1186" s="137">
        <v>0.72399999999999998</v>
      </c>
      <c r="BL1186" s="137">
        <v>1</v>
      </c>
      <c r="BM1186" s="137">
        <v>12</v>
      </c>
      <c r="BN1186" s="134">
        <v>1</v>
      </c>
      <c r="BO1186" s="351">
        <v>138</v>
      </c>
      <c r="BP1186" s="134">
        <v>0</v>
      </c>
      <c r="BQ1186" s="214">
        <v>0</v>
      </c>
      <c r="BR1186" s="137">
        <v>7</v>
      </c>
      <c r="BS1186" s="138">
        <v>0.33333333333333331</v>
      </c>
      <c r="BT1186" s="351">
        <v>40</v>
      </c>
      <c r="BU1186" s="214">
        <v>138</v>
      </c>
      <c r="BV1186" s="214">
        <v>0</v>
      </c>
      <c r="BW1186" s="214">
        <v>1</v>
      </c>
      <c r="BX1186" s="214">
        <v>0</v>
      </c>
      <c r="BY1186" s="214">
        <v>0</v>
      </c>
      <c r="BZ1186" s="134">
        <v>0</v>
      </c>
      <c r="CA1186" s="138">
        <v>1</v>
      </c>
      <c r="CB1186" s="136">
        <v>1</v>
      </c>
      <c r="CC1186" s="136">
        <v>0.96666666666666667</v>
      </c>
      <c r="CD1186" s="136">
        <v>0</v>
      </c>
      <c r="CE1186" s="137">
        <v>145</v>
      </c>
      <c r="CF1186" s="137">
        <v>0</v>
      </c>
      <c r="CG1186" s="137">
        <v>145</v>
      </c>
      <c r="CH1186" s="214">
        <v>21</v>
      </c>
      <c r="CI1186" s="139" t="s">
        <v>48</v>
      </c>
      <c r="CJ1186" s="139" t="s">
        <v>1545</v>
      </c>
      <c r="CK1186" s="139" t="s">
        <v>50</v>
      </c>
      <c r="CL1186" s="139" t="s">
        <v>50</v>
      </c>
      <c r="CM1186" s="139" t="s">
        <v>50</v>
      </c>
      <c r="CN1186" s="139" t="s">
        <v>51</v>
      </c>
      <c r="CO1186" s="139">
        <v>23.460349999999998</v>
      </c>
      <c r="CP1186" s="139">
        <v>97.947360000000003</v>
      </c>
      <c r="CQ1186" s="139" t="s">
        <v>1894</v>
      </c>
      <c r="CR1186" s="449" t="s">
        <v>40</v>
      </c>
      <c r="CS1186" s="449"/>
      <c r="CT1186" s="24"/>
      <c r="CU1186" s="24"/>
      <c r="CV1186" s="24"/>
    </row>
    <row r="1187" spans="1:100" ht="15.75" customHeight="1" x14ac:dyDescent="0.25">
      <c r="A1187" s="643" t="s">
        <v>1388</v>
      </c>
      <c r="B1187" s="132" t="s">
        <v>287</v>
      </c>
      <c r="C1187" s="132" t="s">
        <v>866</v>
      </c>
      <c r="D1187" s="132" t="s">
        <v>870</v>
      </c>
      <c r="E1187" s="132" t="s">
        <v>921</v>
      </c>
      <c r="F1187" s="132">
        <v>36</v>
      </c>
      <c r="G1187" s="214">
        <v>145</v>
      </c>
      <c r="H1187" s="132"/>
      <c r="I1187" s="132" t="s">
        <v>296</v>
      </c>
      <c r="J1187" s="133">
        <v>43131</v>
      </c>
      <c r="K1187" s="132">
        <v>0</v>
      </c>
      <c r="L1187" s="132" t="s">
        <v>48</v>
      </c>
      <c r="M1187" s="134">
        <v>1</v>
      </c>
      <c r="N1187" s="134">
        <v>1</v>
      </c>
      <c r="O1187" s="320">
        <v>0</v>
      </c>
      <c r="P1187" s="326">
        <v>1</v>
      </c>
      <c r="Q1187" s="326"/>
      <c r="R1187" s="315"/>
      <c r="S1187" s="315">
        <v>0</v>
      </c>
      <c r="T1187" s="315"/>
      <c r="U1187" s="315">
        <v>0</v>
      </c>
      <c r="V1187" s="315">
        <v>0</v>
      </c>
      <c r="W1187" s="315">
        <v>0</v>
      </c>
      <c r="X1187" s="315">
        <v>0</v>
      </c>
      <c r="Y1187" s="315">
        <v>0</v>
      </c>
      <c r="Z1187" s="315"/>
      <c r="AA1187" s="336">
        <v>12</v>
      </c>
      <c r="AB1187" s="336">
        <v>0</v>
      </c>
      <c r="AC1187" s="337">
        <v>0</v>
      </c>
      <c r="AD1187" s="337"/>
      <c r="AE1187" s="336">
        <v>0</v>
      </c>
      <c r="AF1187" s="336" t="s">
        <v>283</v>
      </c>
      <c r="AG1187" s="339" t="s">
        <v>283</v>
      </c>
      <c r="AH1187" s="339"/>
      <c r="AI1187" s="336"/>
      <c r="AJ1187" s="336"/>
      <c r="AK1187" s="848">
        <v>1</v>
      </c>
      <c r="AL1187" s="836"/>
      <c r="AM1187" s="836">
        <v>0</v>
      </c>
      <c r="AN1187" s="848">
        <v>2</v>
      </c>
      <c r="AO1187" s="850">
        <v>1</v>
      </c>
      <c r="AP1187" s="839">
        <v>0</v>
      </c>
      <c r="AQ1187" s="839">
        <v>0</v>
      </c>
      <c r="AR1187" s="839"/>
      <c r="AS1187" s="839"/>
      <c r="AT1187" s="839"/>
      <c r="AU1187" s="839"/>
      <c r="AV1187" s="849"/>
      <c r="AW1187" s="134" t="s">
        <v>3208</v>
      </c>
      <c r="AX1187" s="136" t="s">
        <v>3208</v>
      </c>
      <c r="AY1187" s="137" t="s">
        <v>2576</v>
      </c>
      <c r="AZ1187" s="136">
        <v>1</v>
      </c>
      <c r="BA1187" s="136">
        <v>1</v>
      </c>
      <c r="BB1187" s="136">
        <v>1</v>
      </c>
      <c r="BC1187" s="214">
        <v>145</v>
      </c>
      <c r="BD1187" s="136">
        <v>0</v>
      </c>
      <c r="BE1187" s="214">
        <v>0</v>
      </c>
      <c r="BF1187" s="136">
        <v>1</v>
      </c>
      <c r="BG1187" s="214">
        <v>145</v>
      </c>
      <c r="BH1187" s="214">
        <v>0.28999999999999998</v>
      </c>
      <c r="BI1187" s="134">
        <v>0</v>
      </c>
      <c r="BJ1187" s="214">
        <v>0</v>
      </c>
      <c r="BK1187" s="137">
        <v>0.71</v>
      </c>
      <c r="BL1187" s="137">
        <v>1</v>
      </c>
      <c r="BM1187" s="137">
        <v>12</v>
      </c>
      <c r="BN1187" s="134">
        <v>1</v>
      </c>
      <c r="BO1187" s="351">
        <v>145</v>
      </c>
      <c r="BP1187" s="134">
        <v>0</v>
      </c>
      <c r="BQ1187" s="214">
        <v>0</v>
      </c>
      <c r="BR1187" s="137">
        <v>7</v>
      </c>
      <c r="BS1187" s="138">
        <v>0</v>
      </c>
      <c r="BT1187" s="351">
        <v>0</v>
      </c>
      <c r="BU1187" s="214">
        <v>145</v>
      </c>
      <c r="BV1187" s="214">
        <v>0</v>
      </c>
      <c r="BW1187" s="214">
        <v>1</v>
      </c>
      <c r="BX1187" s="214">
        <v>0</v>
      </c>
      <c r="BY1187" s="214">
        <v>0</v>
      </c>
      <c r="BZ1187" s="134">
        <v>0</v>
      </c>
      <c r="CA1187" s="138">
        <v>1</v>
      </c>
      <c r="CB1187" s="136">
        <v>1</v>
      </c>
      <c r="CC1187" s="136">
        <v>0</v>
      </c>
      <c r="CD1187" s="136">
        <v>0</v>
      </c>
      <c r="CE1187" s="137">
        <v>0</v>
      </c>
      <c r="CF1187" s="137">
        <v>0</v>
      </c>
      <c r="CG1187" s="137">
        <v>0</v>
      </c>
      <c r="CH1187" s="214">
        <v>36</v>
      </c>
      <c r="CI1187" s="139">
        <v>0</v>
      </c>
      <c r="CJ1187" s="139">
        <v>0</v>
      </c>
      <c r="CK1187" s="139" t="s">
        <v>1921</v>
      </c>
      <c r="CL1187" s="139" t="s">
        <v>50</v>
      </c>
      <c r="CM1187" s="139" t="s">
        <v>50</v>
      </c>
      <c r="CN1187" s="139" t="s">
        <v>51</v>
      </c>
      <c r="CO1187" s="139">
        <v>0</v>
      </c>
      <c r="CP1187" s="139">
        <v>0</v>
      </c>
      <c r="CQ1187" s="139">
        <v>0</v>
      </c>
      <c r="CR1187" s="449" t="s">
        <v>40</v>
      </c>
      <c r="CS1187" s="449"/>
      <c r="CT1187" s="24"/>
      <c r="CU1187" s="24"/>
      <c r="CV1187" s="24"/>
    </row>
    <row r="1188" spans="1:100" ht="15.75" customHeight="1" x14ac:dyDescent="0.25">
      <c r="A1188" s="643" t="s">
        <v>1388</v>
      </c>
      <c r="B1188" s="132" t="s">
        <v>1402</v>
      </c>
      <c r="C1188" s="132" t="s">
        <v>866</v>
      </c>
      <c r="D1188" s="132" t="s">
        <v>870</v>
      </c>
      <c r="E1188" s="132" t="s">
        <v>2956</v>
      </c>
      <c r="F1188" s="132">
        <v>145</v>
      </c>
      <c r="G1188" s="214">
        <v>721</v>
      </c>
      <c r="H1188" s="132"/>
      <c r="I1188" s="132" t="s">
        <v>2493</v>
      </c>
      <c r="J1188" s="133" t="s">
        <v>2494</v>
      </c>
      <c r="K1188" s="132">
        <v>0</v>
      </c>
      <c r="L1188" s="132" t="s">
        <v>48</v>
      </c>
      <c r="M1188" s="134">
        <v>0.6</v>
      </c>
      <c r="N1188" s="134">
        <v>1</v>
      </c>
      <c r="O1188" s="320">
        <v>1</v>
      </c>
      <c r="P1188" s="326"/>
      <c r="Q1188" s="326">
        <v>7200</v>
      </c>
      <c r="R1188" s="315"/>
      <c r="S1188" s="315">
        <v>2</v>
      </c>
      <c r="T1188" s="315"/>
      <c r="U1188" s="315">
        <v>0</v>
      </c>
      <c r="V1188" s="315">
        <v>0</v>
      </c>
      <c r="W1188" s="315">
        <v>0</v>
      </c>
      <c r="X1188" s="315">
        <v>0</v>
      </c>
      <c r="Y1188" s="315">
        <v>0</v>
      </c>
      <c r="Z1188" s="315"/>
      <c r="AA1188" s="336">
        <v>20</v>
      </c>
      <c r="AB1188" s="336"/>
      <c r="AC1188" s="337"/>
      <c r="AD1188" s="337"/>
      <c r="AE1188" s="336">
        <v>20</v>
      </c>
      <c r="AF1188" s="336" t="s">
        <v>283</v>
      </c>
      <c r="AG1188" s="339" t="s">
        <v>283</v>
      </c>
      <c r="AH1188" s="339"/>
      <c r="AI1188" s="336"/>
      <c r="AJ1188" s="336"/>
      <c r="AK1188" s="848">
        <v>0</v>
      </c>
      <c r="AL1188" s="836" t="s">
        <v>284</v>
      </c>
      <c r="AM1188" s="836">
        <v>1</v>
      </c>
      <c r="AN1188" s="848">
        <v>3</v>
      </c>
      <c r="AO1188" s="850">
        <v>1</v>
      </c>
      <c r="AP1188" s="839">
        <v>0</v>
      </c>
      <c r="AQ1188" s="839">
        <v>0</v>
      </c>
      <c r="AR1188" s="839"/>
      <c r="AS1188" s="839"/>
      <c r="AT1188" s="839"/>
      <c r="AU1188" s="839"/>
      <c r="AV1188" s="849"/>
      <c r="AW1188" s="134" t="s">
        <v>3208</v>
      </c>
      <c r="AX1188" s="136" t="s">
        <v>3208</v>
      </c>
      <c r="AY1188" s="137" t="s">
        <v>2576</v>
      </c>
      <c r="AZ1188" s="136">
        <v>1</v>
      </c>
      <c r="BA1188" s="136">
        <v>1</v>
      </c>
      <c r="BB1188" s="136">
        <v>1</v>
      </c>
      <c r="BC1188" s="214">
        <v>721</v>
      </c>
      <c r="BD1188" s="136">
        <v>0</v>
      </c>
      <c r="BE1188" s="214">
        <v>0</v>
      </c>
      <c r="BF1188" s="136">
        <v>1</v>
      </c>
      <c r="BG1188" s="214">
        <v>721</v>
      </c>
      <c r="BH1188" s="214">
        <v>1.4419999999999999</v>
      </c>
      <c r="BI1188" s="134">
        <v>0</v>
      </c>
      <c r="BJ1188" s="214">
        <v>0</v>
      </c>
      <c r="BK1188" s="137">
        <v>0</v>
      </c>
      <c r="BL1188" s="137">
        <v>1</v>
      </c>
      <c r="BM1188" s="137">
        <v>20</v>
      </c>
      <c r="BN1188" s="134">
        <v>0.55478502080443826</v>
      </c>
      <c r="BO1188" s="351">
        <v>400</v>
      </c>
      <c r="BP1188" s="134">
        <v>0.44382801664355065</v>
      </c>
      <c r="BQ1188" s="214">
        <v>16</v>
      </c>
      <c r="BR1188" s="137">
        <v>36</v>
      </c>
      <c r="BS1188" s="138">
        <v>0</v>
      </c>
      <c r="BT1188" s="351">
        <v>0</v>
      </c>
      <c r="BU1188" s="214">
        <v>500</v>
      </c>
      <c r="BV1188" s="214">
        <v>0</v>
      </c>
      <c r="BW1188" s="214">
        <v>0</v>
      </c>
      <c r="BX1188" s="214">
        <v>0</v>
      </c>
      <c r="BY1188" s="214">
        <v>0</v>
      </c>
      <c r="BZ1188" s="134">
        <v>0</v>
      </c>
      <c r="CA1188" s="138">
        <v>1</v>
      </c>
      <c r="CB1188" s="136">
        <v>0.69348127600554788</v>
      </c>
      <c r="CC1188" s="136">
        <v>0</v>
      </c>
      <c r="CD1188" s="136">
        <v>0</v>
      </c>
      <c r="CE1188" s="137">
        <v>0</v>
      </c>
      <c r="CF1188" s="137">
        <v>0</v>
      </c>
      <c r="CG1188" s="137">
        <v>0</v>
      </c>
      <c r="CH1188" s="214">
        <v>0</v>
      </c>
      <c r="CI1188" s="139" t="s">
        <v>48</v>
      </c>
      <c r="CJ1188" s="139" t="s">
        <v>287</v>
      </c>
      <c r="CK1188" s="139" t="s">
        <v>50</v>
      </c>
      <c r="CL1188" s="139" t="s">
        <v>50</v>
      </c>
      <c r="CM1188" s="139" t="s">
        <v>50</v>
      </c>
      <c r="CN1188" s="139" t="s">
        <v>51</v>
      </c>
      <c r="CO1188" s="139">
        <v>23.591999999999999</v>
      </c>
      <c r="CP1188" s="139">
        <v>97.796999999999997</v>
      </c>
      <c r="CQ1188" s="139" t="s">
        <v>1897</v>
      </c>
      <c r="CR1188" s="449" t="s">
        <v>40</v>
      </c>
      <c r="CS1188" s="449"/>
      <c r="CT1188" s="24"/>
      <c r="CU1188" s="24"/>
      <c r="CV1188" s="24"/>
    </row>
    <row r="1189" spans="1:100" ht="15.75" customHeight="1" x14ac:dyDescent="0.25">
      <c r="A1189" s="643" t="s">
        <v>1388</v>
      </c>
      <c r="B1189" s="132" t="s">
        <v>447</v>
      </c>
      <c r="C1189" s="132" t="s">
        <v>866</v>
      </c>
      <c r="D1189" s="132" t="s">
        <v>870</v>
      </c>
      <c r="E1189" s="132" t="s">
        <v>909</v>
      </c>
      <c r="F1189" s="132">
        <v>20</v>
      </c>
      <c r="G1189" s="214">
        <v>82</v>
      </c>
      <c r="H1189" s="132">
        <v>20</v>
      </c>
      <c r="I1189" s="132" t="s">
        <v>449</v>
      </c>
      <c r="J1189" s="133">
        <v>43421</v>
      </c>
      <c r="K1189" s="132"/>
      <c r="L1189" s="132" t="s">
        <v>48</v>
      </c>
      <c r="M1189" s="134">
        <v>0.56999999999999995</v>
      </c>
      <c r="N1189" s="134">
        <v>0.43</v>
      </c>
      <c r="O1189" s="320">
        <v>0</v>
      </c>
      <c r="P1189" s="326">
        <v>0</v>
      </c>
      <c r="Q1189" s="326">
        <v>7500</v>
      </c>
      <c r="R1189" s="315">
        <v>0</v>
      </c>
      <c r="S1189" s="315">
        <v>0</v>
      </c>
      <c r="T1189" s="315"/>
      <c r="U1189" s="315">
        <v>0</v>
      </c>
      <c r="V1189" s="315">
        <v>0</v>
      </c>
      <c r="W1189" s="315">
        <v>0</v>
      </c>
      <c r="X1189" s="315">
        <v>0</v>
      </c>
      <c r="Y1189" s="315">
        <v>0</v>
      </c>
      <c r="Z1189" s="315"/>
      <c r="AA1189" s="336">
        <v>6</v>
      </c>
      <c r="AB1189" s="336">
        <v>0</v>
      </c>
      <c r="AC1189" s="337">
        <v>0</v>
      </c>
      <c r="AD1189" s="337"/>
      <c r="AE1189" s="336">
        <v>6</v>
      </c>
      <c r="AF1189" s="336" t="s">
        <v>332</v>
      </c>
      <c r="AG1189" s="339" t="s">
        <v>332</v>
      </c>
      <c r="AH1189" s="339">
        <v>0</v>
      </c>
      <c r="AI1189" s="336">
        <v>0</v>
      </c>
      <c r="AJ1189" s="336"/>
      <c r="AK1189" s="848">
        <v>1</v>
      </c>
      <c r="AL1189" s="836" t="s">
        <v>376</v>
      </c>
      <c r="AM1189" s="836">
        <v>0</v>
      </c>
      <c r="AN1189" s="848">
        <v>1</v>
      </c>
      <c r="AO1189" s="850">
        <v>1</v>
      </c>
      <c r="AP1189" s="839">
        <v>20</v>
      </c>
      <c r="AQ1189" s="839">
        <v>0</v>
      </c>
      <c r="AR1189" s="839"/>
      <c r="AS1189" s="839"/>
      <c r="AT1189" s="839"/>
      <c r="AU1189" s="839"/>
      <c r="AV1189" s="849"/>
      <c r="AW1189" s="134" t="s">
        <v>3208</v>
      </c>
      <c r="AX1189" s="136" t="s">
        <v>3208</v>
      </c>
      <c r="AY1189" s="137" t="s">
        <v>2576</v>
      </c>
      <c r="AZ1189" s="136">
        <v>1</v>
      </c>
      <c r="BA1189" s="136">
        <v>1</v>
      </c>
      <c r="BB1189" s="136">
        <v>1</v>
      </c>
      <c r="BC1189" s="214">
        <v>82</v>
      </c>
      <c r="BD1189" s="136">
        <v>0</v>
      </c>
      <c r="BE1189" s="214">
        <v>0</v>
      </c>
      <c r="BF1189" s="136">
        <v>1</v>
      </c>
      <c r="BG1189" s="214">
        <v>82</v>
      </c>
      <c r="BH1189" s="214">
        <v>0.16400000000000001</v>
      </c>
      <c r="BI1189" s="134">
        <v>0</v>
      </c>
      <c r="BJ1189" s="214">
        <v>0</v>
      </c>
      <c r="BK1189" s="137">
        <v>0.83599999999999997</v>
      </c>
      <c r="BL1189" s="137">
        <v>1</v>
      </c>
      <c r="BM1189" s="137">
        <v>6</v>
      </c>
      <c r="BN1189" s="134">
        <v>1</v>
      </c>
      <c r="BO1189" s="351">
        <v>82</v>
      </c>
      <c r="BP1189" s="134">
        <v>0</v>
      </c>
      <c r="BQ1189" s="214">
        <v>0</v>
      </c>
      <c r="BR1189" s="137">
        <v>4</v>
      </c>
      <c r="BS1189" s="138">
        <v>0</v>
      </c>
      <c r="BT1189" s="351">
        <v>0</v>
      </c>
      <c r="BU1189" s="214">
        <v>82</v>
      </c>
      <c r="BV1189" s="214">
        <v>0</v>
      </c>
      <c r="BW1189" s="214">
        <v>1</v>
      </c>
      <c r="BX1189" s="214">
        <v>1</v>
      </c>
      <c r="BY1189" s="214">
        <v>82</v>
      </c>
      <c r="BZ1189" s="134">
        <v>1</v>
      </c>
      <c r="CA1189" s="138">
        <v>0</v>
      </c>
      <c r="CB1189" s="136">
        <v>1</v>
      </c>
      <c r="CC1189" s="136">
        <v>1</v>
      </c>
      <c r="CD1189" s="136">
        <v>0</v>
      </c>
      <c r="CE1189" s="137">
        <v>100</v>
      </c>
      <c r="CF1189" s="137">
        <v>0</v>
      </c>
      <c r="CG1189" s="137">
        <v>100</v>
      </c>
      <c r="CH1189" s="214">
        <v>20</v>
      </c>
      <c r="CI1189" s="139">
        <v>0</v>
      </c>
      <c r="CJ1189" s="139" t="s">
        <v>2959</v>
      </c>
      <c r="CK1189" s="139" t="s">
        <v>50</v>
      </c>
      <c r="CL1189" s="139" t="s">
        <v>50</v>
      </c>
      <c r="CM1189" s="139" t="s">
        <v>946</v>
      </c>
      <c r="CN1189" s="139" t="s">
        <v>51</v>
      </c>
      <c r="CO1189" s="139">
        <v>0</v>
      </c>
      <c r="CP1189" s="139">
        <v>0</v>
      </c>
      <c r="CQ1189" s="139" t="s">
        <v>2094</v>
      </c>
      <c r="CR1189" s="449" t="s">
        <v>40</v>
      </c>
      <c r="CS1189" s="449"/>
      <c r="CT1189" s="24"/>
      <c r="CU1189" s="24"/>
      <c r="CV1189" s="24"/>
    </row>
    <row r="1190" spans="1:100" ht="15.75" customHeight="1" x14ac:dyDescent="0.25">
      <c r="A1190" s="643" t="s">
        <v>1388</v>
      </c>
      <c r="B1190" s="132" t="s">
        <v>338</v>
      </c>
      <c r="C1190" s="132" t="s">
        <v>866</v>
      </c>
      <c r="D1190" s="132" t="s">
        <v>870</v>
      </c>
      <c r="E1190" s="132" t="s">
        <v>2957</v>
      </c>
      <c r="F1190" s="132">
        <v>69</v>
      </c>
      <c r="G1190" s="214">
        <v>305</v>
      </c>
      <c r="H1190" s="132"/>
      <c r="I1190" s="132" t="s">
        <v>886</v>
      </c>
      <c r="J1190" s="133" t="s">
        <v>2477</v>
      </c>
      <c r="K1190" s="132">
        <v>0</v>
      </c>
      <c r="L1190" s="132" t="s">
        <v>48</v>
      </c>
      <c r="M1190" s="134">
        <v>0.6</v>
      </c>
      <c r="N1190" s="134">
        <v>0</v>
      </c>
      <c r="O1190" s="320">
        <v>0</v>
      </c>
      <c r="P1190" s="326">
        <v>0</v>
      </c>
      <c r="Q1190" s="326"/>
      <c r="R1190" s="315"/>
      <c r="S1190" s="315">
        <v>16</v>
      </c>
      <c r="T1190" s="315"/>
      <c r="U1190" s="315">
        <v>0</v>
      </c>
      <c r="V1190" s="315">
        <v>0</v>
      </c>
      <c r="W1190" s="315">
        <v>0</v>
      </c>
      <c r="X1190" s="315">
        <v>0</v>
      </c>
      <c r="Y1190" s="315">
        <v>0</v>
      </c>
      <c r="Z1190" s="315"/>
      <c r="AA1190" s="336">
        <v>75</v>
      </c>
      <c r="AB1190" s="336">
        <v>0</v>
      </c>
      <c r="AC1190" s="337">
        <v>0</v>
      </c>
      <c r="AD1190" s="337"/>
      <c r="AE1190" s="336">
        <v>75</v>
      </c>
      <c r="AF1190" s="336" t="s">
        <v>283</v>
      </c>
      <c r="AG1190" s="339" t="s">
        <v>283</v>
      </c>
      <c r="AH1190" s="339">
        <v>0</v>
      </c>
      <c r="AI1190" s="336">
        <v>0</v>
      </c>
      <c r="AJ1190" s="336"/>
      <c r="AK1190" s="848">
        <v>0.3</v>
      </c>
      <c r="AL1190" s="836" t="s">
        <v>284</v>
      </c>
      <c r="AM1190" s="836">
        <v>4</v>
      </c>
      <c r="AN1190" s="848"/>
      <c r="AO1190" s="850">
        <v>3</v>
      </c>
      <c r="AP1190" s="839">
        <v>0</v>
      </c>
      <c r="AQ1190" s="839">
        <v>0</v>
      </c>
      <c r="AR1190" s="839"/>
      <c r="AS1190" s="839"/>
      <c r="AT1190" s="839"/>
      <c r="AU1190" s="839"/>
      <c r="AV1190" s="849"/>
      <c r="AW1190" s="134" t="s">
        <v>3208</v>
      </c>
      <c r="AX1190" s="136" t="s">
        <v>3208</v>
      </c>
      <c r="AY1190" s="137" t="s">
        <v>2576</v>
      </c>
      <c r="AZ1190" s="136">
        <v>0</v>
      </c>
      <c r="BA1190" s="136">
        <v>0</v>
      </c>
      <c r="BB1190" s="136">
        <v>0</v>
      </c>
      <c r="BC1190" s="214">
        <v>0</v>
      </c>
      <c r="BD1190" s="136">
        <v>0</v>
      </c>
      <c r="BE1190" s="214">
        <v>0</v>
      </c>
      <c r="BF1190" s="136">
        <v>0</v>
      </c>
      <c r="BG1190" s="214">
        <v>0</v>
      </c>
      <c r="BH1190" s="214">
        <v>0</v>
      </c>
      <c r="BI1190" s="134">
        <v>1</v>
      </c>
      <c r="BJ1190" s="214">
        <v>305</v>
      </c>
      <c r="BK1190" s="137">
        <v>1</v>
      </c>
      <c r="BL1190" s="137">
        <v>1</v>
      </c>
      <c r="BM1190" s="137">
        <v>75</v>
      </c>
      <c r="BN1190" s="134">
        <v>1</v>
      </c>
      <c r="BO1190" s="351">
        <v>305</v>
      </c>
      <c r="BP1190" s="134">
        <v>0</v>
      </c>
      <c r="BQ1190" s="214">
        <v>0</v>
      </c>
      <c r="BR1190" s="137">
        <v>51</v>
      </c>
      <c r="BS1190" s="138">
        <v>0</v>
      </c>
      <c r="BT1190" s="351">
        <v>0</v>
      </c>
      <c r="BU1190" s="214">
        <v>305</v>
      </c>
      <c r="BV1190" s="214">
        <v>0</v>
      </c>
      <c r="BW1190" s="214">
        <v>1</v>
      </c>
      <c r="BX1190" s="214">
        <v>0</v>
      </c>
      <c r="BY1190" s="214">
        <v>0</v>
      </c>
      <c r="BZ1190" s="134">
        <v>0</v>
      </c>
      <c r="CA1190" s="138">
        <v>1</v>
      </c>
      <c r="CB1190" s="136">
        <v>1</v>
      </c>
      <c r="CC1190" s="136">
        <v>0</v>
      </c>
      <c r="CD1190" s="136">
        <v>0</v>
      </c>
      <c r="CE1190" s="137">
        <v>0</v>
      </c>
      <c r="CF1190" s="137">
        <v>0</v>
      </c>
      <c r="CG1190" s="137">
        <v>0</v>
      </c>
      <c r="CH1190" s="214">
        <v>20.7</v>
      </c>
      <c r="CI1190" s="139" t="s">
        <v>48</v>
      </c>
      <c r="CJ1190" s="139" t="s">
        <v>287</v>
      </c>
      <c r="CK1190" s="139" t="s">
        <v>50</v>
      </c>
      <c r="CL1190" s="139" t="s">
        <v>1139</v>
      </c>
      <c r="CM1190" s="139" t="s">
        <v>50</v>
      </c>
      <c r="CN1190" s="139" t="s">
        <v>51</v>
      </c>
      <c r="CO1190" s="139">
        <v>23.588920000000002</v>
      </c>
      <c r="CP1190" s="139">
        <v>97.793019999999999</v>
      </c>
      <c r="CQ1190" s="139" t="s">
        <v>1896</v>
      </c>
      <c r="CR1190" s="449" t="s">
        <v>40</v>
      </c>
      <c r="CS1190" s="449"/>
      <c r="CT1190" s="24"/>
      <c r="CU1190" s="24"/>
      <c r="CV1190" s="24"/>
    </row>
    <row r="1191" spans="1:100" ht="15.75" customHeight="1" x14ac:dyDescent="0.25">
      <c r="A1191" s="643" t="s">
        <v>1388</v>
      </c>
      <c r="B1191" s="132" t="s">
        <v>2488</v>
      </c>
      <c r="C1191" s="132" t="s">
        <v>866</v>
      </c>
      <c r="D1191" s="132" t="s">
        <v>870</v>
      </c>
      <c r="E1191" s="132" t="s">
        <v>900</v>
      </c>
      <c r="F1191" s="132">
        <v>39</v>
      </c>
      <c r="G1191" s="214">
        <v>179</v>
      </c>
      <c r="H1191" s="132"/>
      <c r="I1191" s="132" t="s">
        <v>2503</v>
      </c>
      <c r="J1191" s="133" t="s">
        <v>2502</v>
      </c>
      <c r="K1191" s="132">
        <v>0</v>
      </c>
      <c r="L1191" s="132" t="s">
        <v>48</v>
      </c>
      <c r="M1191" s="134">
        <v>0.44</v>
      </c>
      <c r="N1191" s="134">
        <v>1</v>
      </c>
      <c r="O1191" s="320">
        <v>0</v>
      </c>
      <c r="P1191" s="326">
        <v>0</v>
      </c>
      <c r="Q1191" s="326">
        <v>7500</v>
      </c>
      <c r="R1191" s="315">
        <v>0</v>
      </c>
      <c r="S1191" s="315">
        <v>0</v>
      </c>
      <c r="T1191" s="315"/>
      <c r="U1191" s="315">
        <v>0</v>
      </c>
      <c r="V1191" s="315">
        <v>0</v>
      </c>
      <c r="W1191" s="315">
        <v>0</v>
      </c>
      <c r="X1191" s="315">
        <v>0</v>
      </c>
      <c r="Y1191" s="315">
        <v>0</v>
      </c>
      <c r="Z1191" s="315"/>
      <c r="AA1191" s="336">
        <v>20</v>
      </c>
      <c r="AB1191" s="336">
        <v>0</v>
      </c>
      <c r="AC1191" s="337">
        <v>0</v>
      </c>
      <c r="AD1191" s="337"/>
      <c r="AE1191" s="336">
        <v>20</v>
      </c>
      <c r="AF1191" s="336" t="s">
        <v>1358</v>
      </c>
      <c r="AG1191" s="339" t="s">
        <v>1358</v>
      </c>
      <c r="AH1191" s="339">
        <v>0</v>
      </c>
      <c r="AI1191" s="336">
        <v>0</v>
      </c>
      <c r="AJ1191" s="336"/>
      <c r="AK1191" s="848"/>
      <c r="AL1191" s="836" t="s">
        <v>284</v>
      </c>
      <c r="AM1191" s="836"/>
      <c r="AN1191" s="848"/>
      <c r="AO1191" s="850"/>
      <c r="AP1191" s="839">
        <v>0</v>
      </c>
      <c r="AQ1191" s="839">
        <v>0</v>
      </c>
      <c r="AR1191" s="839"/>
      <c r="AS1191" s="839"/>
      <c r="AT1191" s="839"/>
      <c r="AU1191" s="839"/>
      <c r="AV1191" s="849"/>
      <c r="AW1191" s="134" t="s">
        <v>3208</v>
      </c>
      <c r="AX1191" s="136" t="s">
        <v>3208</v>
      </c>
      <c r="AY1191" s="137" t="s">
        <v>2576</v>
      </c>
      <c r="AZ1191" s="136">
        <v>1</v>
      </c>
      <c r="BA1191" s="136">
        <v>1</v>
      </c>
      <c r="BB1191" s="136">
        <v>1</v>
      </c>
      <c r="BC1191" s="214">
        <v>179</v>
      </c>
      <c r="BD1191" s="136">
        <v>0</v>
      </c>
      <c r="BE1191" s="214">
        <v>0</v>
      </c>
      <c r="BF1191" s="136">
        <v>1</v>
      </c>
      <c r="BG1191" s="214">
        <v>179</v>
      </c>
      <c r="BH1191" s="214">
        <v>0.35799999999999998</v>
      </c>
      <c r="BI1191" s="134">
        <v>0</v>
      </c>
      <c r="BJ1191" s="214">
        <v>0</v>
      </c>
      <c r="BK1191" s="137">
        <v>0.64200000000000002</v>
      </c>
      <c r="BL1191" s="137">
        <v>1</v>
      </c>
      <c r="BM1191" s="137">
        <v>20</v>
      </c>
      <c r="BN1191" s="134">
        <v>1</v>
      </c>
      <c r="BO1191" s="351">
        <v>179</v>
      </c>
      <c r="BP1191" s="134">
        <v>0</v>
      </c>
      <c r="BQ1191" s="214">
        <v>0</v>
      </c>
      <c r="BR1191" s="137">
        <v>9</v>
      </c>
      <c r="BS1191" s="138">
        <v>0</v>
      </c>
      <c r="BT1191" s="351">
        <v>0</v>
      </c>
      <c r="BU1191" s="214">
        <v>0</v>
      </c>
      <c r="BV1191" s="214">
        <v>0</v>
      </c>
      <c r="BW1191" s="214">
        <v>0</v>
      </c>
      <c r="BX1191" s="214">
        <v>0</v>
      </c>
      <c r="BY1191" s="214">
        <v>0</v>
      </c>
      <c r="BZ1191" s="134">
        <v>0</v>
      </c>
      <c r="CA1191" s="138">
        <v>1</v>
      </c>
      <c r="CB1191" s="136">
        <v>0</v>
      </c>
      <c r="CC1191" s="136">
        <v>0</v>
      </c>
      <c r="CD1191" s="136">
        <v>0</v>
      </c>
      <c r="CE1191" s="137">
        <v>0</v>
      </c>
      <c r="CF1191" s="137">
        <v>0</v>
      </c>
      <c r="CG1191" s="137">
        <v>0</v>
      </c>
      <c r="CH1191" s="214">
        <v>0</v>
      </c>
      <c r="CI1191" s="139">
        <v>0</v>
      </c>
      <c r="CJ1191" s="139" t="s">
        <v>2959</v>
      </c>
      <c r="CK1191" s="139" t="s">
        <v>50</v>
      </c>
      <c r="CL1191" s="139" t="s">
        <v>50</v>
      </c>
      <c r="CM1191" s="139" t="s">
        <v>946</v>
      </c>
      <c r="CN1191" s="139" t="s">
        <v>51</v>
      </c>
      <c r="CO1191" s="139">
        <v>23.850999999999999</v>
      </c>
      <c r="CP1191" s="139">
        <v>98.337999999999994</v>
      </c>
      <c r="CQ1191" s="139" t="s">
        <v>1914</v>
      </c>
      <c r="CR1191" s="449" t="s">
        <v>40</v>
      </c>
      <c r="CS1191" s="449"/>
      <c r="CT1191" s="24"/>
      <c r="CU1191" s="24"/>
      <c r="CV1191" s="24"/>
    </row>
    <row r="1192" spans="1:100" ht="15.75" customHeight="1" x14ac:dyDescent="0.25">
      <c r="A1192" s="643" t="s">
        <v>1388</v>
      </c>
      <c r="B1192" s="132" t="s">
        <v>879</v>
      </c>
      <c r="C1192" s="132" t="s">
        <v>866</v>
      </c>
      <c r="D1192" s="132" t="s">
        <v>870</v>
      </c>
      <c r="E1192" s="132" t="s">
        <v>880</v>
      </c>
      <c r="F1192" s="132">
        <v>44</v>
      </c>
      <c r="G1192" s="214">
        <v>265</v>
      </c>
      <c r="H1192" s="132"/>
      <c r="I1192" s="132" t="s">
        <v>2495</v>
      </c>
      <c r="J1192" s="133" t="s">
        <v>2496</v>
      </c>
      <c r="K1192" s="132">
        <v>0</v>
      </c>
      <c r="L1192" s="132" t="s">
        <v>48</v>
      </c>
      <c r="M1192" s="134">
        <v>0.6</v>
      </c>
      <c r="N1192" s="134">
        <v>1</v>
      </c>
      <c r="O1192" s="320">
        <v>0</v>
      </c>
      <c r="P1192" s="326"/>
      <c r="Q1192" s="326">
        <v>8100</v>
      </c>
      <c r="R1192" s="315"/>
      <c r="S1192" s="315">
        <v>12</v>
      </c>
      <c r="T1192" s="315"/>
      <c r="U1192" s="315">
        <v>0</v>
      </c>
      <c r="V1192" s="315">
        <v>0</v>
      </c>
      <c r="W1192" s="315">
        <v>0</v>
      </c>
      <c r="X1192" s="315">
        <v>0</v>
      </c>
      <c r="Y1192" s="315">
        <v>0</v>
      </c>
      <c r="Z1192" s="315"/>
      <c r="AA1192" s="336">
        <v>49</v>
      </c>
      <c r="AB1192" s="336">
        <v>0</v>
      </c>
      <c r="AC1192" s="337">
        <v>0</v>
      </c>
      <c r="AD1192" s="337"/>
      <c r="AE1192" s="336">
        <v>49</v>
      </c>
      <c r="AF1192" s="336" t="s">
        <v>283</v>
      </c>
      <c r="AG1192" s="339" t="s">
        <v>332</v>
      </c>
      <c r="AH1192" s="339"/>
      <c r="AI1192" s="336"/>
      <c r="AJ1192" s="336"/>
      <c r="AK1192" s="848">
        <v>0.3</v>
      </c>
      <c r="AL1192" s="836" t="s">
        <v>284</v>
      </c>
      <c r="AM1192" s="836">
        <v>3</v>
      </c>
      <c r="AN1192" s="848">
        <v>2</v>
      </c>
      <c r="AO1192" s="850">
        <v>3</v>
      </c>
      <c r="AP1192" s="839">
        <v>0</v>
      </c>
      <c r="AQ1192" s="839">
        <v>0</v>
      </c>
      <c r="AR1192" s="839"/>
      <c r="AS1192" s="839"/>
      <c r="AT1192" s="839"/>
      <c r="AU1192" s="839"/>
      <c r="AV1192" s="849"/>
      <c r="AW1192" s="134" t="s">
        <v>3208</v>
      </c>
      <c r="AX1192" s="136" t="s">
        <v>3208</v>
      </c>
      <c r="AY1192" s="137" t="s">
        <v>2576</v>
      </c>
      <c r="AZ1192" s="136">
        <v>1</v>
      </c>
      <c r="BA1192" s="136">
        <v>1</v>
      </c>
      <c r="BB1192" s="136">
        <v>1</v>
      </c>
      <c r="BC1192" s="214">
        <v>265</v>
      </c>
      <c r="BD1192" s="136">
        <v>0</v>
      </c>
      <c r="BE1192" s="214">
        <v>0</v>
      </c>
      <c r="BF1192" s="136">
        <v>1</v>
      </c>
      <c r="BG1192" s="214">
        <v>265</v>
      </c>
      <c r="BH1192" s="214">
        <v>0.53</v>
      </c>
      <c r="BI1192" s="134">
        <v>0</v>
      </c>
      <c r="BJ1192" s="214">
        <v>0</v>
      </c>
      <c r="BK1192" s="137">
        <v>0.47</v>
      </c>
      <c r="BL1192" s="137">
        <v>1</v>
      </c>
      <c r="BM1192" s="137">
        <v>49</v>
      </c>
      <c r="BN1192" s="134">
        <v>1</v>
      </c>
      <c r="BO1192" s="351">
        <v>265</v>
      </c>
      <c r="BP1192" s="134">
        <v>0</v>
      </c>
      <c r="BQ1192" s="214">
        <v>0</v>
      </c>
      <c r="BR1192" s="137">
        <v>44</v>
      </c>
      <c r="BS1192" s="138">
        <v>0</v>
      </c>
      <c r="BT1192" s="351">
        <v>0</v>
      </c>
      <c r="BU1192" s="214">
        <v>265</v>
      </c>
      <c r="BV1192" s="214">
        <v>0</v>
      </c>
      <c r="BW1192" s="214">
        <v>1</v>
      </c>
      <c r="BX1192" s="214">
        <v>0</v>
      </c>
      <c r="BY1192" s="214">
        <v>0</v>
      </c>
      <c r="BZ1192" s="134">
        <v>0</v>
      </c>
      <c r="CA1192" s="138">
        <v>1</v>
      </c>
      <c r="CB1192" s="136">
        <v>1</v>
      </c>
      <c r="CC1192" s="136">
        <v>0</v>
      </c>
      <c r="CD1192" s="136">
        <v>0</v>
      </c>
      <c r="CE1192" s="137">
        <v>0</v>
      </c>
      <c r="CF1192" s="137">
        <v>0</v>
      </c>
      <c r="CG1192" s="137">
        <v>0</v>
      </c>
      <c r="CH1192" s="214">
        <v>13.2</v>
      </c>
      <c r="CI1192" s="139" t="s">
        <v>48</v>
      </c>
      <c r="CJ1192" s="139" t="s">
        <v>287</v>
      </c>
      <c r="CK1192" s="139" t="s">
        <v>50</v>
      </c>
      <c r="CL1192" s="139" t="s">
        <v>1139</v>
      </c>
      <c r="CM1192" s="139" t="s">
        <v>50</v>
      </c>
      <c r="CN1192" s="139" t="s">
        <v>51</v>
      </c>
      <c r="CO1192" s="139">
        <v>23.400155999999999</v>
      </c>
      <c r="CP1192" s="139">
        <v>98.220614999999995</v>
      </c>
      <c r="CQ1192" s="139" t="s">
        <v>1889</v>
      </c>
      <c r="CR1192" s="449" t="s">
        <v>40</v>
      </c>
      <c r="CS1192" s="449"/>
      <c r="CT1192" s="24"/>
      <c r="CU1192" s="24"/>
      <c r="CV1192" s="24"/>
    </row>
    <row r="1193" spans="1:100" ht="15.75" customHeight="1" x14ac:dyDescent="0.25">
      <c r="A1193" s="643" t="s">
        <v>1388</v>
      </c>
      <c r="B1193" s="132" t="s">
        <v>2497</v>
      </c>
      <c r="C1193" s="132" t="s">
        <v>866</v>
      </c>
      <c r="D1193" s="132" t="s">
        <v>870</v>
      </c>
      <c r="E1193" s="132" t="s">
        <v>875</v>
      </c>
      <c r="F1193" s="132">
        <v>22</v>
      </c>
      <c r="G1193" s="214">
        <v>111</v>
      </c>
      <c r="H1193" s="132"/>
      <c r="I1193" s="132" t="s">
        <v>2498</v>
      </c>
      <c r="J1193" s="133" t="s">
        <v>2499</v>
      </c>
      <c r="K1193" s="132">
        <v>0</v>
      </c>
      <c r="L1193" s="132" t="s">
        <v>48</v>
      </c>
      <c r="M1193" s="134">
        <v>0.5</v>
      </c>
      <c r="N1193" s="134">
        <v>1</v>
      </c>
      <c r="O1193" s="320">
        <v>0</v>
      </c>
      <c r="P1193" s="326">
        <v>0</v>
      </c>
      <c r="Q1193" s="326">
        <v>5400</v>
      </c>
      <c r="R1193" s="315"/>
      <c r="S1193" s="315">
        <v>6</v>
      </c>
      <c r="T1193" s="315"/>
      <c r="U1193" s="315">
        <v>2</v>
      </c>
      <c r="V1193" s="315"/>
      <c r="W1193" s="315">
        <v>4</v>
      </c>
      <c r="X1193" s="315">
        <v>4</v>
      </c>
      <c r="Y1193" s="315">
        <v>4</v>
      </c>
      <c r="Z1193" s="315"/>
      <c r="AA1193" s="336">
        <v>8</v>
      </c>
      <c r="AB1193" s="336">
        <v>4</v>
      </c>
      <c r="AC1193" s="337">
        <v>0</v>
      </c>
      <c r="AD1193" s="337"/>
      <c r="AE1193" s="336">
        <v>10</v>
      </c>
      <c r="AF1193" s="336" t="s">
        <v>283</v>
      </c>
      <c r="AG1193" s="339" t="s">
        <v>283</v>
      </c>
      <c r="AH1193" s="339">
        <v>0</v>
      </c>
      <c r="AI1193" s="336">
        <v>0</v>
      </c>
      <c r="AJ1193" s="336"/>
      <c r="AK1193" s="848">
        <v>1</v>
      </c>
      <c r="AL1193" s="836" t="s">
        <v>376</v>
      </c>
      <c r="AM1193" s="836">
        <v>0</v>
      </c>
      <c r="AN1193" s="848">
        <v>2</v>
      </c>
      <c r="AO1193" s="850">
        <v>2</v>
      </c>
      <c r="AP1193" s="839">
        <v>21</v>
      </c>
      <c r="AQ1193" s="839">
        <v>0</v>
      </c>
      <c r="AR1193" s="839" t="s">
        <v>48</v>
      </c>
      <c r="AS1193" s="839"/>
      <c r="AT1193" s="839"/>
      <c r="AU1193" s="839"/>
      <c r="AV1193" s="849"/>
      <c r="AW1193" s="134">
        <v>0</v>
      </c>
      <c r="AX1193" s="136">
        <v>1</v>
      </c>
      <c r="AY1193" s="137" t="s">
        <v>2577</v>
      </c>
      <c r="AZ1193" s="136">
        <v>1</v>
      </c>
      <c r="BA1193" s="136">
        <v>1</v>
      </c>
      <c r="BB1193" s="136">
        <v>1</v>
      </c>
      <c r="BC1193" s="214">
        <v>111</v>
      </c>
      <c r="BD1193" s="136">
        <v>0</v>
      </c>
      <c r="BE1193" s="214">
        <v>0</v>
      </c>
      <c r="BF1193" s="136">
        <v>1</v>
      </c>
      <c r="BG1193" s="214">
        <v>111</v>
      </c>
      <c r="BH1193" s="214">
        <v>0.222</v>
      </c>
      <c r="BI1193" s="134">
        <v>0</v>
      </c>
      <c r="BJ1193" s="214">
        <v>0</v>
      </c>
      <c r="BK1193" s="137">
        <v>0.77800000000000002</v>
      </c>
      <c r="BL1193" s="137">
        <v>1</v>
      </c>
      <c r="BM1193" s="137">
        <v>12</v>
      </c>
      <c r="BN1193" s="134">
        <v>1</v>
      </c>
      <c r="BO1193" s="351">
        <v>111</v>
      </c>
      <c r="BP1193" s="134">
        <v>0</v>
      </c>
      <c r="BQ1193" s="214">
        <v>0</v>
      </c>
      <c r="BR1193" s="137">
        <v>6</v>
      </c>
      <c r="BS1193" s="138">
        <v>0.33333333333333331</v>
      </c>
      <c r="BT1193" s="351">
        <v>0</v>
      </c>
      <c r="BU1193" s="214">
        <v>111</v>
      </c>
      <c r="BV1193" s="214">
        <v>0</v>
      </c>
      <c r="BW1193" s="214">
        <v>1</v>
      </c>
      <c r="BX1193" s="214">
        <v>0</v>
      </c>
      <c r="BY1193" s="214">
        <v>0</v>
      </c>
      <c r="BZ1193" s="134">
        <v>0</v>
      </c>
      <c r="CA1193" s="138">
        <v>1</v>
      </c>
      <c r="CB1193" s="136">
        <v>1</v>
      </c>
      <c r="CC1193" s="136">
        <v>0.95454545454545459</v>
      </c>
      <c r="CD1193" s="136">
        <v>0</v>
      </c>
      <c r="CE1193" s="137">
        <v>105</v>
      </c>
      <c r="CF1193" s="137">
        <v>0</v>
      </c>
      <c r="CG1193" s="137">
        <v>105</v>
      </c>
      <c r="CH1193" s="214">
        <v>22</v>
      </c>
      <c r="CI1193" s="139" t="s">
        <v>48</v>
      </c>
      <c r="CJ1193" s="139" t="s">
        <v>1545</v>
      </c>
      <c r="CK1193" s="139" t="s">
        <v>50</v>
      </c>
      <c r="CL1193" s="139" t="s">
        <v>50</v>
      </c>
      <c r="CM1193" s="139" t="s">
        <v>50</v>
      </c>
      <c r="CN1193" s="139" t="s">
        <v>51</v>
      </c>
      <c r="CO1193" s="139">
        <v>23.463000000000001</v>
      </c>
      <c r="CP1193" s="139">
        <v>98.248999999999995</v>
      </c>
      <c r="CQ1193" s="139" t="s">
        <v>1895</v>
      </c>
      <c r="CR1193" s="449" t="s">
        <v>40</v>
      </c>
      <c r="CS1193" s="449"/>
      <c r="CT1193" s="24"/>
      <c r="CU1193" s="24"/>
      <c r="CV1193" s="24"/>
    </row>
    <row r="1194" spans="1:100" ht="15.75" customHeight="1" x14ac:dyDescent="0.25">
      <c r="A1194" s="643" t="s">
        <v>1388</v>
      </c>
      <c r="B1194" s="132" t="s">
        <v>2488</v>
      </c>
      <c r="C1194" s="132" t="s">
        <v>866</v>
      </c>
      <c r="D1194" s="132" t="s">
        <v>870</v>
      </c>
      <c r="E1194" s="132" t="s">
        <v>884</v>
      </c>
      <c r="F1194" s="132">
        <v>63</v>
      </c>
      <c r="G1194" s="214">
        <v>279</v>
      </c>
      <c r="H1194" s="132"/>
      <c r="I1194" s="132" t="s">
        <v>2504</v>
      </c>
      <c r="J1194" s="133" t="s">
        <v>2502</v>
      </c>
      <c r="K1194" s="132">
        <v>0</v>
      </c>
      <c r="L1194" s="132" t="s">
        <v>48</v>
      </c>
      <c r="M1194" s="134">
        <v>0.7</v>
      </c>
      <c r="N1194" s="134">
        <v>1</v>
      </c>
      <c r="O1194" s="320"/>
      <c r="P1194" s="326">
        <v>1</v>
      </c>
      <c r="Q1194" s="326">
        <v>15000</v>
      </c>
      <c r="R1194" s="315"/>
      <c r="S1194" s="315">
        <v>8</v>
      </c>
      <c r="T1194" s="315"/>
      <c r="U1194" s="315">
        <v>0</v>
      </c>
      <c r="V1194" s="315">
        <v>0</v>
      </c>
      <c r="W1194" s="315">
        <v>0</v>
      </c>
      <c r="X1194" s="315">
        <v>0</v>
      </c>
      <c r="Y1194" s="315">
        <v>0</v>
      </c>
      <c r="Z1194" s="315"/>
      <c r="AA1194" s="336">
        <v>14</v>
      </c>
      <c r="AB1194" s="336">
        <v>0</v>
      </c>
      <c r="AC1194" s="337">
        <v>0</v>
      </c>
      <c r="AD1194" s="337"/>
      <c r="AE1194" s="336">
        <v>14</v>
      </c>
      <c r="AF1194" s="336" t="s">
        <v>283</v>
      </c>
      <c r="AG1194" s="339" t="s">
        <v>283</v>
      </c>
      <c r="AH1194" s="339">
        <v>0</v>
      </c>
      <c r="AI1194" s="336">
        <v>0</v>
      </c>
      <c r="AJ1194" s="336"/>
      <c r="AK1194" s="848">
        <v>1</v>
      </c>
      <c r="AL1194" s="836" t="s">
        <v>376</v>
      </c>
      <c r="AM1194" s="836"/>
      <c r="AN1194" s="848">
        <v>2</v>
      </c>
      <c r="AO1194" s="850">
        <v>1</v>
      </c>
      <c r="AP1194" s="839">
        <v>57</v>
      </c>
      <c r="AQ1194" s="839">
        <v>0</v>
      </c>
      <c r="AR1194" s="839"/>
      <c r="AS1194" s="839"/>
      <c r="AT1194" s="839"/>
      <c r="AU1194" s="839"/>
      <c r="AV1194" s="849"/>
      <c r="AW1194" s="134" t="s">
        <v>3208</v>
      </c>
      <c r="AX1194" s="136" t="s">
        <v>3208</v>
      </c>
      <c r="AY1194" s="137" t="s">
        <v>2576</v>
      </c>
      <c r="AZ1194" s="136">
        <v>1</v>
      </c>
      <c r="BA1194" s="136">
        <v>1</v>
      </c>
      <c r="BB1194" s="136">
        <v>1</v>
      </c>
      <c r="BC1194" s="214">
        <v>279</v>
      </c>
      <c r="BD1194" s="136">
        <v>0</v>
      </c>
      <c r="BE1194" s="214">
        <v>0</v>
      </c>
      <c r="BF1194" s="136">
        <v>1</v>
      </c>
      <c r="BG1194" s="214">
        <v>279</v>
      </c>
      <c r="BH1194" s="214">
        <v>0.55800000000000005</v>
      </c>
      <c r="BI1194" s="134">
        <v>0</v>
      </c>
      <c r="BJ1194" s="214">
        <v>0</v>
      </c>
      <c r="BK1194" s="137">
        <v>0.44199999999999995</v>
      </c>
      <c r="BL1194" s="137">
        <v>1</v>
      </c>
      <c r="BM1194" s="137">
        <v>14</v>
      </c>
      <c r="BN1194" s="134">
        <v>1</v>
      </c>
      <c r="BO1194" s="351">
        <v>279</v>
      </c>
      <c r="BP1194" s="134">
        <v>0</v>
      </c>
      <c r="BQ1194" s="214">
        <v>0</v>
      </c>
      <c r="BR1194" s="137">
        <v>14</v>
      </c>
      <c r="BS1194" s="138">
        <v>0</v>
      </c>
      <c r="BT1194" s="351">
        <v>0</v>
      </c>
      <c r="BU1194" s="214">
        <v>279</v>
      </c>
      <c r="BV1194" s="214">
        <v>0</v>
      </c>
      <c r="BW1194" s="214">
        <v>1</v>
      </c>
      <c r="BX1194" s="214">
        <v>0</v>
      </c>
      <c r="BY1194" s="214">
        <v>0</v>
      </c>
      <c r="BZ1194" s="134">
        <v>0</v>
      </c>
      <c r="CA1194" s="138">
        <v>1</v>
      </c>
      <c r="CB1194" s="136">
        <v>1</v>
      </c>
      <c r="CC1194" s="136">
        <v>0.90476190476190477</v>
      </c>
      <c r="CD1194" s="136">
        <v>0</v>
      </c>
      <c r="CE1194" s="137">
        <v>285</v>
      </c>
      <c r="CF1194" s="137">
        <v>0</v>
      </c>
      <c r="CG1194" s="137">
        <v>285</v>
      </c>
      <c r="CH1194" s="214">
        <v>63</v>
      </c>
      <c r="CI1194" s="139" t="s">
        <v>48</v>
      </c>
      <c r="CJ1194" s="139" t="s">
        <v>287</v>
      </c>
      <c r="CK1194" s="139" t="s">
        <v>50</v>
      </c>
      <c r="CL1194" s="139" t="s">
        <v>50</v>
      </c>
      <c r="CM1194" s="139" t="s">
        <v>50</v>
      </c>
      <c r="CN1194" s="139" t="s">
        <v>51</v>
      </c>
      <c r="CO1194" s="139">
        <v>23.694130000000001</v>
      </c>
      <c r="CP1194" s="139">
        <v>97.818979999999996</v>
      </c>
      <c r="CQ1194" s="139" t="s">
        <v>1901</v>
      </c>
      <c r="CR1194" s="449" t="s">
        <v>40</v>
      </c>
      <c r="CS1194" s="449"/>
      <c r="CT1194" s="24"/>
      <c r="CU1194" s="24"/>
      <c r="CV1194" s="24"/>
    </row>
    <row r="1195" spans="1:100" ht="15.75" customHeight="1" x14ac:dyDescent="0.25">
      <c r="A1195" s="643" t="s">
        <v>1388</v>
      </c>
      <c r="B1195" s="132" t="s">
        <v>2488</v>
      </c>
      <c r="C1195" s="132" t="s">
        <v>866</v>
      </c>
      <c r="D1195" s="132" t="s">
        <v>870</v>
      </c>
      <c r="E1195" s="132" t="s">
        <v>2958</v>
      </c>
      <c r="F1195" s="132">
        <v>39</v>
      </c>
      <c r="G1195" s="214">
        <v>146</v>
      </c>
      <c r="H1195" s="132">
        <v>23</v>
      </c>
      <c r="I1195" s="132" t="s">
        <v>2503</v>
      </c>
      <c r="J1195" s="133" t="s">
        <v>2502</v>
      </c>
      <c r="K1195" s="132">
        <v>0</v>
      </c>
      <c r="L1195" s="132" t="s">
        <v>48</v>
      </c>
      <c r="M1195" s="134">
        <v>0.5</v>
      </c>
      <c r="N1195" s="134">
        <v>1</v>
      </c>
      <c r="O1195" s="320"/>
      <c r="P1195" s="326"/>
      <c r="Q1195" s="326">
        <v>2700</v>
      </c>
      <c r="R1195" s="315"/>
      <c r="S1195" s="315">
        <v>3</v>
      </c>
      <c r="T1195" s="315"/>
      <c r="U1195" s="315">
        <v>0</v>
      </c>
      <c r="V1195" s="315">
        <v>0</v>
      </c>
      <c r="W1195" s="315">
        <v>0</v>
      </c>
      <c r="X1195" s="315">
        <v>0</v>
      </c>
      <c r="Y1195" s="315">
        <v>0</v>
      </c>
      <c r="Z1195" s="315" t="s">
        <v>887</v>
      </c>
      <c r="AA1195" s="336">
        <v>5</v>
      </c>
      <c r="AB1195" s="336">
        <v>0</v>
      </c>
      <c r="AC1195" s="337">
        <v>0</v>
      </c>
      <c r="AD1195" s="337"/>
      <c r="AE1195" s="336">
        <v>5</v>
      </c>
      <c r="AF1195" s="336" t="s">
        <v>286</v>
      </c>
      <c r="AG1195" s="339" t="s">
        <v>286</v>
      </c>
      <c r="AH1195" s="339">
        <v>0</v>
      </c>
      <c r="AI1195" s="336">
        <v>0</v>
      </c>
      <c r="AJ1195" s="336"/>
      <c r="AK1195" s="848">
        <v>0</v>
      </c>
      <c r="AL1195" s="836" t="s">
        <v>284</v>
      </c>
      <c r="AM1195" s="836"/>
      <c r="AN1195" s="848">
        <v>0</v>
      </c>
      <c r="AO1195" s="850">
        <v>1</v>
      </c>
      <c r="AP1195" s="839">
        <v>32</v>
      </c>
      <c r="AQ1195" s="839">
        <v>0</v>
      </c>
      <c r="AR1195" s="839"/>
      <c r="AS1195" s="839"/>
      <c r="AT1195" s="839"/>
      <c r="AU1195" s="839"/>
      <c r="AV1195" s="849"/>
      <c r="AW1195" s="134" t="s">
        <v>3208</v>
      </c>
      <c r="AX1195" s="136" t="s">
        <v>3208</v>
      </c>
      <c r="AY1195" s="137" t="s">
        <v>2576</v>
      </c>
      <c r="AZ1195" s="136">
        <v>1</v>
      </c>
      <c r="BA1195" s="136">
        <v>1</v>
      </c>
      <c r="BB1195" s="136">
        <v>1</v>
      </c>
      <c r="BC1195" s="214">
        <v>146</v>
      </c>
      <c r="BD1195" s="136">
        <v>0</v>
      </c>
      <c r="BE1195" s="214">
        <v>0</v>
      </c>
      <c r="BF1195" s="136">
        <v>1</v>
      </c>
      <c r="BG1195" s="214">
        <v>146</v>
      </c>
      <c r="BH1195" s="214">
        <v>0.29199999999999998</v>
      </c>
      <c r="BI1195" s="134">
        <v>0</v>
      </c>
      <c r="BJ1195" s="214">
        <v>0</v>
      </c>
      <c r="BK1195" s="137">
        <v>0.70799999999999996</v>
      </c>
      <c r="BL1195" s="137">
        <v>1</v>
      </c>
      <c r="BM1195" s="137">
        <v>5</v>
      </c>
      <c r="BN1195" s="134">
        <v>0.68493150684931503</v>
      </c>
      <c r="BO1195" s="351">
        <v>100</v>
      </c>
      <c r="BP1195" s="134">
        <v>0.27397260273972601</v>
      </c>
      <c r="BQ1195" s="214">
        <v>2</v>
      </c>
      <c r="BR1195" s="137">
        <v>7</v>
      </c>
      <c r="BS1195" s="138">
        <v>0</v>
      </c>
      <c r="BT1195" s="351">
        <v>0</v>
      </c>
      <c r="BU1195" s="214">
        <v>146</v>
      </c>
      <c r="BV1195" s="214">
        <v>0</v>
      </c>
      <c r="BW1195" s="214">
        <v>1</v>
      </c>
      <c r="BX1195" s="214">
        <v>0</v>
      </c>
      <c r="BY1195" s="214">
        <v>0</v>
      </c>
      <c r="BZ1195" s="134">
        <v>0</v>
      </c>
      <c r="CA1195" s="138">
        <v>1</v>
      </c>
      <c r="CB1195" s="136">
        <v>1</v>
      </c>
      <c r="CC1195" s="136">
        <v>0.82051282051282048</v>
      </c>
      <c r="CD1195" s="136">
        <v>0</v>
      </c>
      <c r="CE1195" s="137">
        <v>160</v>
      </c>
      <c r="CF1195" s="137">
        <v>0</v>
      </c>
      <c r="CG1195" s="137">
        <v>160</v>
      </c>
      <c r="CH1195" s="214">
        <v>0</v>
      </c>
      <c r="CI1195" s="139">
        <v>0</v>
      </c>
      <c r="CJ1195" s="139" t="s">
        <v>1545</v>
      </c>
      <c r="CK1195" s="139" t="s">
        <v>50</v>
      </c>
      <c r="CL1195" s="139" t="s">
        <v>50</v>
      </c>
      <c r="CM1195" s="139" t="s">
        <v>50</v>
      </c>
      <c r="CN1195" s="139" t="s">
        <v>51</v>
      </c>
      <c r="CO1195" s="139">
        <v>23.682887999999998</v>
      </c>
      <c r="CP1195" s="139">
        <v>97.810101000000003</v>
      </c>
      <c r="CQ1195" s="139" t="s">
        <v>1900</v>
      </c>
      <c r="CR1195" s="449" t="s">
        <v>40</v>
      </c>
      <c r="CS1195" s="449"/>
      <c r="CT1195" s="24"/>
      <c r="CU1195" s="24"/>
      <c r="CV1195" s="24"/>
    </row>
    <row r="1196" spans="1:100" ht="15.75" customHeight="1" x14ac:dyDescent="0.25">
      <c r="A1196" s="643" t="s">
        <v>1388</v>
      </c>
      <c r="B1196" s="132" t="s">
        <v>338</v>
      </c>
      <c r="C1196" s="132" t="s">
        <v>866</v>
      </c>
      <c r="D1196" s="132" t="s">
        <v>870</v>
      </c>
      <c r="E1196" s="132" t="s">
        <v>897</v>
      </c>
      <c r="F1196" s="132">
        <v>106</v>
      </c>
      <c r="G1196" s="214">
        <v>635</v>
      </c>
      <c r="H1196" s="132"/>
      <c r="I1196" s="132" t="s">
        <v>886</v>
      </c>
      <c r="J1196" s="133" t="s">
        <v>2477</v>
      </c>
      <c r="K1196" s="132">
        <v>0</v>
      </c>
      <c r="L1196" s="132" t="s">
        <v>48</v>
      </c>
      <c r="M1196" s="134">
        <v>0.5</v>
      </c>
      <c r="N1196" s="134">
        <v>1</v>
      </c>
      <c r="O1196" s="320"/>
      <c r="P1196" s="326">
        <v>1</v>
      </c>
      <c r="Q1196" s="326">
        <v>9600</v>
      </c>
      <c r="R1196" s="315"/>
      <c r="S1196" s="315">
        <v>5</v>
      </c>
      <c r="T1196" s="315"/>
      <c r="U1196" s="315">
        <v>0</v>
      </c>
      <c r="V1196" s="315">
        <v>0</v>
      </c>
      <c r="W1196" s="315">
        <v>0</v>
      </c>
      <c r="X1196" s="315">
        <v>0</v>
      </c>
      <c r="Y1196" s="315">
        <v>0</v>
      </c>
      <c r="Z1196" s="315"/>
      <c r="AA1196" s="336">
        <v>106</v>
      </c>
      <c r="AB1196" s="336">
        <v>0</v>
      </c>
      <c r="AC1196" s="337">
        <v>0</v>
      </c>
      <c r="AD1196" s="337"/>
      <c r="AE1196" s="336">
        <v>106</v>
      </c>
      <c r="AF1196" s="336" t="s">
        <v>283</v>
      </c>
      <c r="AG1196" s="339" t="s">
        <v>332</v>
      </c>
      <c r="AH1196" s="339">
        <v>0</v>
      </c>
      <c r="AI1196" s="336">
        <v>0</v>
      </c>
      <c r="AJ1196" s="336"/>
      <c r="AK1196" s="848">
        <v>0.4</v>
      </c>
      <c r="AL1196" s="836" t="s">
        <v>376</v>
      </c>
      <c r="AM1196" s="836"/>
      <c r="AN1196" s="848"/>
      <c r="AO1196" s="850">
        <v>1</v>
      </c>
      <c r="AP1196" s="839">
        <v>0</v>
      </c>
      <c r="AQ1196" s="839">
        <v>0</v>
      </c>
      <c r="AR1196" s="839"/>
      <c r="AS1196" s="839"/>
      <c r="AT1196" s="839"/>
      <c r="AU1196" s="839"/>
      <c r="AV1196" s="849"/>
      <c r="AW1196" s="134" t="s">
        <v>3208</v>
      </c>
      <c r="AX1196" s="136" t="s">
        <v>3208</v>
      </c>
      <c r="AY1196" s="137" t="s">
        <v>2576</v>
      </c>
      <c r="AZ1196" s="136">
        <v>1</v>
      </c>
      <c r="BA1196" s="136">
        <v>1</v>
      </c>
      <c r="BB1196" s="136">
        <v>1</v>
      </c>
      <c r="BC1196" s="214">
        <v>635</v>
      </c>
      <c r="BD1196" s="136">
        <v>0</v>
      </c>
      <c r="BE1196" s="214">
        <v>0</v>
      </c>
      <c r="BF1196" s="136">
        <v>1</v>
      </c>
      <c r="BG1196" s="214">
        <v>635</v>
      </c>
      <c r="BH1196" s="214">
        <v>1.27</v>
      </c>
      <c r="BI1196" s="134">
        <v>0</v>
      </c>
      <c r="BJ1196" s="214">
        <v>0</v>
      </c>
      <c r="BK1196" s="137">
        <v>0</v>
      </c>
      <c r="BL1196" s="137">
        <v>1</v>
      </c>
      <c r="BM1196" s="137">
        <v>106</v>
      </c>
      <c r="BN1196" s="134">
        <v>1</v>
      </c>
      <c r="BO1196" s="351">
        <v>635</v>
      </c>
      <c r="BP1196" s="134">
        <v>0</v>
      </c>
      <c r="BQ1196" s="214">
        <v>0</v>
      </c>
      <c r="BR1196" s="137">
        <v>106</v>
      </c>
      <c r="BS1196" s="138">
        <v>0</v>
      </c>
      <c r="BT1196" s="351">
        <v>0</v>
      </c>
      <c r="BU1196" s="214">
        <v>500</v>
      </c>
      <c r="BV1196" s="214">
        <v>0</v>
      </c>
      <c r="BW1196" s="214">
        <v>0</v>
      </c>
      <c r="BX1196" s="214">
        <v>0</v>
      </c>
      <c r="BY1196" s="214">
        <v>0</v>
      </c>
      <c r="BZ1196" s="134">
        <v>0</v>
      </c>
      <c r="CA1196" s="138">
        <v>1</v>
      </c>
      <c r="CB1196" s="136">
        <v>0.78740157480314965</v>
      </c>
      <c r="CC1196" s="136">
        <v>0</v>
      </c>
      <c r="CD1196" s="136">
        <v>0</v>
      </c>
      <c r="CE1196" s="137">
        <v>0</v>
      </c>
      <c r="CF1196" s="137">
        <v>0</v>
      </c>
      <c r="CG1196" s="137">
        <v>0</v>
      </c>
      <c r="CH1196" s="214">
        <v>42.400000000000006</v>
      </c>
      <c r="CI1196" s="139">
        <v>0</v>
      </c>
      <c r="CJ1196" s="139" t="s">
        <v>2959</v>
      </c>
      <c r="CK1196" s="139" t="s">
        <v>50</v>
      </c>
      <c r="CL1196" s="139" t="s">
        <v>1139</v>
      </c>
      <c r="CM1196" s="139" t="s">
        <v>946</v>
      </c>
      <c r="CN1196" s="139" t="s">
        <v>51</v>
      </c>
      <c r="CO1196" s="139">
        <v>23.447111</v>
      </c>
      <c r="CP1196" s="139">
        <v>97.868876999999998</v>
      </c>
      <c r="CQ1196" s="139" t="s">
        <v>1891</v>
      </c>
      <c r="CR1196" s="449" t="s">
        <v>40</v>
      </c>
      <c r="CS1196" s="449"/>
      <c r="CT1196" s="24"/>
      <c r="CU1196" s="24"/>
      <c r="CV1196" s="24"/>
    </row>
    <row r="1197" spans="1:100" ht="15.75" customHeight="1" x14ac:dyDescent="0.25">
      <c r="A1197" s="643" t="s">
        <v>1388</v>
      </c>
      <c r="B1197" s="132" t="s">
        <v>460</v>
      </c>
      <c r="C1197" s="132" t="s">
        <v>866</v>
      </c>
      <c r="D1197" s="132" t="s">
        <v>870</v>
      </c>
      <c r="E1197" s="132" t="s">
        <v>917</v>
      </c>
      <c r="F1197" s="132">
        <v>39</v>
      </c>
      <c r="G1197" s="214">
        <v>202</v>
      </c>
      <c r="H1197" s="132"/>
      <c r="I1197" s="132"/>
      <c r="J1197" s="133"/>
      <c r="K1197" s="132"/>
      <c r="L1197" s="132" t="s">
        <v>282</v>
      </c>
      <c r="M1197" s="134">
        <v>0</v>
      </c>
      <c r="N1197" s="134">
        <v>0</v>
      </c>
      <c r="O1197" s="320"/>
      <c r="P1197" s="326"/>
      <c r="Q1197" s="326"/>
      <c r="R1197" s="315"/>
      <c r="S1197" s="315"/>
      <c r="T1197" s="315"/>
      <c r="U1197" s="315"/>
      <c r="V1197" s="315"/>
      <c r="W1197" s="315"/>
      <c r="X1197" s="315"/>
      <c r="Y1197" s="315"/>
      <c r="Z1197" s="315"/>
      <c r="AA1197" s="336">
        <v>0</v>
      </c>
      <c r="AB1197" s="336"/>
      <c r="AC1197" s="337"/>
      <c r="AD1197" s="337"/>
      <c r="AE1197" s="336"/>
      <c r="AF1197" s="336" t="s">
        <v>332</v>
      </c>
      <c r="AG1197" s="339" t="s">
        <v>332</v>
      </c>
      <c r="AH1197" s="339"/>
      <c r="AI1197" s="336"/>
      <c r="AJ1197" s="336"/>
      <c r="AK1197" s="848"/>
      <c r="AL1197" s="836"/>
      <c r="AM1197" s="836"/>
      <c r="AN1197" s="848"/>
      <c r="AO1197" s="850"/>
      <c r="AP1197" s="839"/>
      <c r="AQ1197" s="839"/>
      <c r="AR1197" s="839"/>
      <c r="AS1197" s="839"/>
      <c r="AT1197" s="839"/>
      <c r="AU1197" s="839"/>
      <c r="AV1197" s="849"/>
      <c r="AW1197" s="134" t="s">
        <v>3208</v>
      </c>
      <c r="AX1197" s="136" t="s">
        <v>3208</v>
      </c>
      <c r="AY1197" s="137" t="s">
        <v>2576</v>
      </c>
      <c r="AZ1197" s="136">
        <v>0</v>
      </c>
      <c r="BA1197" s="136">
        <v>0</v>
      </c>
      <c r="BB1197" s="136">
        <v>0</v>
      </c>
      <c r="BC1197" s="214">
        <v>0</v>
      </c>
      <c r="BD1197" s="136">
        <v>0</v>
      </c>
      <c r="BE1197" s="214">
        <v>0</v>
      </c>
      <c r="BF1197" s="136">
        <v>0</v>
      </c>
      <c r="BG1197" s="214">
        <v>0</v>
      </c>
      <c r="BH1197" s="214">
        <v>0</v>
      </c>
      <c r="BI1197" s="134">
        <v>1</v>
      </c>
      <c r="BJ1197" s="214">
        <v>202</v>
      </c>
      <c r="BK1197" s="137">
        <v>1</v>
      </c>
      <c r="BL1197" s="137">
        <v>1</v>
      </c>
      <c r="BM1197" s="137">
        <v>0</v>
      </c>
      <c r="BN1197" s="134">
        <v>0</v>
      </c>
      <c r="BO1197" s="351">
        <v>0</v>
      </c>
      <c r="BP1197" s="134">
        <v>0.99009900990099009</v>
      </c>
      <c r="BQ1197" s="214">
        <v>10</v>
      </c>
      <c r="BR1197" s="137">
        <v>10</v>
      </c>
      <c r="BS1197" s="138">
        <v>0</v>
      </c>
      <c r="BT1197" s="351">
        <v>0</v>
      </c>
      <c r="BU1197" s="214">
        <v>0</v>
      </c>
      <c r="BV1197" s="214">
        <v>0</v>
      </c>
      <c r="BW1197" s="214">
        <v>0</v>
      </c>
      <c r="BX1197" s="214">
        <v>0</v>
      </c>
      <c r="BY1197" s="214">
        <v>0</v>
      </c>
      <c r="BZ1197" s="134">
        <v>0</v>
      </c>
      <c r="CA1197" s="138">
        <v>1</v>
      </c>
      <c r="CB1197" s="136">
        <v>0</v>
      </c>
      <c r="CC1197" s="136">
        <v>0</v>
      </c>
      <c r="CD1197" s="136">
        <v>0</v>
      </c>
      <c r="CE1197" s="137">
        <v>0</v>
      </c>
      <c r="CF1197" s="137">
        <v>0</v>
      </c>
      <c r="CG1197" s="137">
        <v>0</v>
      </c>
      <c r="CH1197" s="214">
        <v>0</v>
      </c>
      <c r="CI1197" s="139">
        <v>0</v>
      </c>
      <c r="CJ1197" s="139" t="s">
        <v>2959</v>
      </c>
      <c r="CK1197" s="139" t="s">
        <v>50</v>
      </c>
      <c r="CL1197" s="139" t="s">
        <v>50</v>
      </c>
      <c r="CM1197" s="139" t="s">
        <v>946</v>
      </c>
      <c r="CN1197" s="139" t="s">
        <v>51</v>
      </c>
      <c r="CO1197" s="139">
        <v>0</v>
      </c>
      <c r="CP1197" s="139">
        <v>0</v>
      </c>
      <c r="CQ1197" s="139" t="s">
        <v>2505</v>
      </c>
      <c r="CR1197" s="449" t="s">
        <v>3209</v>
      </c>
      <c r="CS1197" s="449"/>
      <c r="CT1197" s="24"/>
      <c r="CU1197" s="24"/>
      <c r="CV1197" s="24"/>
    </row>
    <row r="1198" spans="1:100" ht="15.75" customHeight="1" x14ac:dyDescent="0.25">
      <c r="A1198" s="643" t="s">
        <v>1388</v>
      </c>
      <c r="B1198" s="132" t="s">
        <v>338</v>
      </c>
      <c r="C1198" s="132" t="s">
        <v>866</v>
      </c>
      <c r="D1198" s="132" t="s">
        <v>870</v>
      </c>
      <c r="E1198" s="132" t="s">
        <v>893</v>
      </c>
      <c r="F1198" s="132">
        <v>190</v>
      </c>
      <c r="G1198" s="214">
        <v>917</v>
      </c>
      <c r="H1198" s="132"/>
      <c r="I1198" s="132" t="s">
        <v>886</v>
      </c>
      <c r="J1198" s="133" t="s">
        <v>2477</v>
      </c>
      <c r="K1198" s="132">
        <v>0</v>
      </c>
      <c r="L1198" s="132" t="s">
        <v>48</v>
      </c>
      <c r="M1198" s="134">
        <v>0.6</v>
      </c>
      <c r="N1198" s="134"/>
      <c r="O1198" s="320"/>
      <c r="P1198" s="326"/>
      <c r="Q1198" s="326">
        <v>43200</v>
      </c>
      <c r="R1198" s="315"/>
      <c r="S1198" s="315">
        <v>16</v>
      </c>
      <c r="T1198" s="315"/>
      <c r="U1198" s="315">
        <v>0</v>
      </c>
      <c r="V1198" s="315">
        <v>0</v>
      </c>
      <c r="W1198" s="315">
        <v>0</v>
      </c>
      <c r="X1198" s="315">
        <v>0</v>
      </c>
      <c r="Y1198" s="315">
        <v>0</v>
      </c>
      <c r="Z1198" s="315"/>
      <c r="AA1198" s="336">
        <v>127</v>
      </c>
      <c r="AB1198" s="336">
        <v>85</v>
      </c>
      <c r="AC1198" s="337">
        <v>0</v>
      </c>
      <c r="AD1198" s="337"/>
      <c r="AE1198" s="336">
        <v>212</v>
      </c>
      <c r="AF1198" s="336" t="s">
        <v>1358</v>
      </c>
      <c r="AG1198" s="339" t="s">
        <v>332</v>
      </c>
      <c r="AH1198" s="339">
        <v>0</v>
      </c>
      <c r="AI1198" s="336">
        <v>0</v>
      </c>
      <c r="AJ1198" s="336"/>
      <c r="AK1198" s="848">
        <v>0.6</v>
      </c>
      <c r="AL1198" s="836" t="s">
        <v>291</v>
      </c>
      <c r="AM1198" s="836">
        <v>4</v>
      </c>
      <c r="AN1198" s="848"/>
      <c r="AO1198" s="850">
        <v>1</v>
      </c>
      <c r="AP1198" s="839">
        <v>182</v>
      </c>
      <c r="AQ1198" s="839">
        <v>0</v>
      </c>
      <c r="AR1198" s="839"/>
      <c r="AS1198" s="839"/>
      <c r="AT1198" s="839"/>
      <c r="AU1198" s="839"/>
      <c r="AV1198" s="849"/>
      <c r="AW1198" s="134" t="s">
        <v>3208</v>
      </c>
      <c r="AX1198" s="136" t="s">
        <v>3208</v>
      </c>
      <c r="AY1198" s="137" t="s">
        <v>2576</v>
      </c>
      <c r="AZ1198" s="136">
        <v>1</v>
      </c>
      <c r="BA1198" s="136">
        <v>1</v>
      </c>
      <c r="BB1198" s="136">
        <v>1</v>
      </c>
      <c r="BC1198" s="214">
        <v>917</v>
      </c>
      <c r="BD1198" s="136">
        <v>0</v>
      </c>
      <c r="BE1198" s="214">
        <v>0</v>
      </c>
      <c r="BF1198" s="136">
        <v>1</v>
      </c>
      <c r="BG1198" s="214">
        <v>917</v>
      </c>
      <c r="BH1198" s="214">
        <v>1.8340000000000001</v>
      </c>
      <c r="BI1198" s="134">
        <v>0</v>
      </c>
      <c r="BJ1198" s="214">
        <v>0</v>
      </c>
      <c r="BK1198" s="137">
        <v>0.16599999999999993</v>
      </c>
      <c r="BL1198" s="137">
        <v>2</v>
      </c>
      <c r="BM1198" s="137">
        <v>212</v>
      </c>
      <c r="BN1198" s="134">
        <v>0.83097055616139581</v>
      </c>
      <c r="BO1198" s="351">
        <v>762</v>
      </c>
      <c r="BP1198" s="134">
        <v>0</v>
      </c>
      <c r="BQ1198" s="214">
        <v>0</v>
      </c>
      <c r="BR1198" s="137">
        <v>153</v>
      </c>
      <c r="BS1198" s="138">
        <v>0.40094339622641512</v>
      </c>
      <c r="BT1198" s="351">
        <v>0</v>
      </c>
      <c r="BU1198" s="214">
        <v>500</v>
      </c>
      <c r="BV1198" s="214">
        <v>0</v>
      </c>
      <c r="BW1198" s="214">
        <v>0</v>
      </c>
      <c r="BX1198" s="214">
        <v>0</v>
      </c>
      <c r="BY1198" s="214">
        <v>0</v>
      </c>
      <c r="BZ1198" s="134">
        <v>0</v>
      </c>
      <c r="CA1198" s="138">
        <v>1</v>
      </c>
      <c r="CB1198" s="136">
        <v>0.54525627044711011</v>
      </c>
      <c r="CC1198" s="136">
        <v>0.95789473684210524</v>
      </c>
      <c r="CD1198" s="136">
        <v>0</v>
      </c>
      <c r="CE1198" s="137">
        <v>910</v>
      </c>
      <c r="CF1198" s="137">
        <v>0</v>
      </c>
      <c r="CG1198" s="137">
        <v>910</v>
      </c>
      <c r="CH1198" s="214">
        <v>114</v>
      </c>
      <c r="CI1198" s="139" t="s">
        <v>48</v>
      </c>
      <c r="CJ1198" s="139" t="s">
        <v>287</v>
      </c>
      <c r="CK1198" s="139" t="s">
        <v>50</v>
      </c>
      <c r="CL1198" s="139" t="s">
        <v>1139</v>
      </c>
      <c r="CM1198" s="139" t="s">
        <v>50</v>
      </c>
      <c r="CN1198" s="139" t="s">
        <v>51</v>
      </c>
      <c r="CO1198" s="139">
        <v>23.38503</v>
      </c>
      <c r="CP1198" s="139">
        <v>97.837040000000002</v>
      </c>
      <c r="CQ1198" s="139" t="s">
        <v>1888</v>
      </c>
      <c r="CR1198" s="449" t="s">
        <v>40</v>
      </c>
      <c r="CS1198" s="449"/>
      <c r="CT1198" s="24"/>
      <c r="CU1198" s="24"/>
      <c r="CV1198" s="24"/>
    </row>
    <row r="1199" spans="1:100" ht="15.75" customHeight="1" x14ac:dyDescent="0.25">
      <c r="A1199" s="643" t="s">
        <v>1388</v>
      </c>
      <c r="B1199" s="132" t="s">
        <v>460</v>
      </c>
      <c r="C1199" s="132" t="s">
        <v>866</v>
      </c>
      <c r="D1199" s="132" t="s">
        <v>873</v>
      </c>
      <c r="E1199" s="132" t="s">
        <v>915</v>
      </c>
      <c r="F1199" s="132">
        <v>36</v>
      </c>
      <c r="G1199" s="214">
        <v>188</v>
      </c>
      <c r="H1199" s="132"/>
      <c r="I1199" s="132"/>
      <c r="J1199" s="133"/>
      <c r="K1199" s="132"/>
      <c r="L1199" s="132" t="s">
        <v>282</v>
      </c>
      <c r="M1199" s="134">
        <v>0</v>
      </c>
      <c r="N1199" s="134">
        <v>0</v>
      </c>
      <c r="O1199" s="320"/>
      <c r="P1199" s="326"/>
      <c r="Q1199" s="326"/>
      <c r="R1199" s="315"/>
      <c r="S1199" s="315"/>
      <c r="T1199" s="315"/>
      <c r="U1199" s="315"/>
      <c r="V1199" s="315"/>
      <c r="W1199" s="315"/>
      <c r="X1199" s="315"/>
      <c r="Y1199" s="315"/>
      <c r="Z1199" s="315"/>
      <c r="AA1199" s="336">
        <v>0</v>
      </c>
      <c r="AB1199" s="336"/>
      <c r="AC1199" s="337"/>
      <c r="AD1199" s="337"/>
      <c r="AE1199" s="336"/>
      <c r="AF1199" s="336" t="s">
        <v>286</v>
      </c>
      <c r="AG1199" s="339" t="s">
        <v>286</v>
      </c>
      <c r="AH1199" s="339"/>
      <c r="AI1199" s="336"/>
      <c r="AJ1199" s="336"/>
      <c r="AK1199" s="848"/>
      <c r="AL1199" s="836"/>
      <c r="AM1199" s="836"/>
      <c r="AN1199" s="848"/>
      <c r="AO1199" s="850"/>
      <c r="AP1199" s="839"/>
      <c r="AQ1199" s="839"/>
      <c r="AR1199" s="839"/>
      <c r="AS1199" s="839"/>
      <c r="AT1199" s="839"/>
      <c r="AU1199" s="839"/>
      <c r="AV1199" s="849"/>
      <c r="AW1199" s="134" t="s">
        <v>3208</v>
      </c>
      <c r="AX1199" s="136" t="s">
        <v>3208</v>
      </c>
      <c r="AY1199" s="137" t="s">
        <v>2576</v>
      </c>
      <c r="AZ1199" s="136">
        <v>0</v>
      </c>
      <c r="BA1199" s="136">
        <v>0</v>
      </c>
      <c r="BB1199" s="136">
        <v>0</v>
      </c>
      <c r="BC1199" s="214">
        <v>0</v>
      </c>
      <c r="BD1199" s="136">
        <v>0</v>
      </c>
      <c r="BE1199" s="214">
        <v>0</v>
      </c>
      <c r="BF1199" s="136">
        <v>0</v>
      </c>
      <c r="BG1199" s="214">
        <v>0</v>
      </c>
      <c r="BH1199" s="214">
        <v>0</v>
      </c>
      <c r="BI1199" s="134">
        <v>1</v>
      </c>
      <c r="BJ1199" s="214">
        <v>188</v>
      </c>
      <c r="BK1199" s="137">
        <v>1</v>
      </c>
      <c r="BL1199" s="137">
        <v>1</v>
      </c>
      <c r="BM1199" s="137">
        <v>0</v>
      </c>
      <c r="BN1199" s="134">
        <v>0</v>
      </c>
      <c r="BO1199" s="351">
        <v>0</v>
      </c>
      <c r="BP1199" s="134">
        <v>0.95744680851063824</v>
      </c>
      <c r="BQ1199" s="214">
        <v>9</v>
      </c>
      <c r="BR1199" s="137">
        <v>9</v>
      </c>
      <c r="BS1199" s="138">
        <v>0</v>
      </c>
      <c r="BT1199" s="351">
        <v>0</v>
      </c>
      <c r="BU1199" s="214">
        <v>0</v>
      </c>
      <c r="BV1199" s="214">
        <v>0</v>
      </c>
      <c r="BW1199" s="214">
        <v>0</v>
      </c>
      <c r="BX1199" s="214">
        <v>0</v>
      </c>
      <c r="BY1199" s="214">
        <v>0</v>
      </c>
      <c r="BZ1199" s="134">
        <v>0</v>
      </c>
      <c r="CA1199" s="138">
        <v>1</v>
      </c>
      <c r="CB1199" s="136">
        <v>0</v>
      </c>
      <c r="CC1199" s="136">
        <v>0</v>
      </c>
      <c r="CD1199" s="136">
        <v>0</v>
      </c>
      <c r="CE1199" s="137">
        <v>0</v>
      </c>
      <c r="CF1199" s="137">
        <v>0</v>
      </c>
      <c r="CG1199" s="137">
        <v>0</v>
      </c>
      <c r="CH1199" s="214">
        <v>0</v>
      </c>
      <c r="CI1199" s="139">
        <v>0</v>
      </c>
      <c r="CJ1199" s="139" t="s">
        <v>2959</v>
      </c>
      <c r="CK1199" s="139" t="s">
        <v>50</v>
      </c>
      <c r="CL1199" s="139" t="s">
        <v>50</v>
      </c>
      <c r="CM1199" s="139" t="s">
        <v>946</v>
      </c>
      <c r="CN1199" s="139" t="s">
        <v>51</v>
      </c>
      <c r="CO1199" s="139">
        <v>0</v>
      </c>
      <c r="CP1199" s="139">
        <v>0</v>
      </c>
      <c r="CQ1199" s="139" t="s">
        <v>1546</v>
      </c>
      <c r="CR1199" s="449" t="s">
        <v>3209</v>
      </c>
      <c r="CS1199" s="449"/>
      <c r="CT1199" s="24"/>
      <c r="CU1199" s="24"/>
      <c r="CV1199" s="24"/>
    </row>
    <row r="1200" spans="1:100" ht="15.75" customHeight="1" x14ac:dyDescent="0.25">
      <c r="A1200" s="643" t="s">
        <v>1388</v>
      </c>
      <c r="B1200" s="132" t="s">
        <v>2448</v>
      </c>
      <c r="C1200" s="132" t="s">
        <v>866</v>
      </c>
      <c r="D1200" s="132" t="s">
        <v>873</v>
      </c>
      <c r="E1200" s="132" t="s">
        <v>903</v>
      </c>
      <c r="F1200" s="132">
        <v>33</v>
      </c>
      <c r="G1200" s="214">
        <v>143</v>
      </c>
      <c r="H1200" s="132"/>
      <c r="I1200" s="132" t="s">
        <v>886</v>
      </c>
      <c r="J1200" s="133" t="s">
        <v>2477</v>
      </c>
      <c r="K1200" s="132">
        <v>0</v>
      </c>
      <c r="L1200" s="132" t="s">
        <v>48</v>
      </c>
      <c r="M1200" s="134">
        <v>0.5</v>
      </c>
      <c r="N1200" s="134">
        <v>1</v>
      </c>
      <c r="O1200" s="320"/>
      <c r="P1200" s="326">
        <v>1</v>
      </c>
      <c r="Q1200" s="326">
        <v>6750</v>
      </c>
      <c r="R1200" s="315"/>
      <c r="S1200" s="315">
        <v>6</v>
      </c>
      <c r="T1200" s="315"/>
      <c r="U1200" s="315">
        <v>0</v>
      </c>
      <c r="V1200" s="315">
        <v>0</v>
      </c>
      <c r="W1200" s="315">
        <v>0</v>
      </c>
      <c r="X1200" s="315">
        <v>0</v>
      </c>
      <c r="Y1200" s="315">
        <v>0</v>
      </c>
      <c r="Z1200" s="315"/>
      <c r="AA1200" s="336">
        <v>18</v>
      </c>
      <c r="AB1200" s="336">
        <v>0</v>
      </c>
      <c r="AC1200" s="337">
        <v>0</v>
      </c>
      <c r="AD1200" s="337"/>
      <c r="AE1200" s="336">
        <v>18</v>
      </c>
      <c r="AF1200" s="336" t="s">
        <v>283</v>
      </c>
      <c r="AG1200" s="339" t="s">
        <v>283</v>
      </c>
      <c r="AH1200" s="339">
        <v>0</v>
      </c>
      <c r="AI1200" s="336">
        <v>0</v>
      </c>
      <c r="AJ1200" s="336"/>
      <c r="AK1200" s="848">
        <v>0.6</v>
      </c>
      <c r="AL1200" s="836" t="s">
        <v>376</v>
      </c>
      <c r="AM1200" s="836"/>
      <c r="AN1200" s="848">
        <v>5</v>
      </c>
      <c r="AO1200" s="850">
        <v>2</v>
      </c>
      <c r="AP1200" s="839">
        <v>0</v>
      </c>
      <c r="AQ1200" s="839">
        <v>0</v>
      </c>
      <c r="AR1200" s="839"/>
      <c r="AS1200" s="839"/>
      <c r="AT1200" s="839"/>
      <c r="AU1200" s="839"/>
      <c r="AV1200" s="849"/>
      <c r="AW1200" s="134" t="s">
        <v>3208</v>
      </c>
      <c r="AX1200" s="136" t="s">
        <v>3208</v>
      </c>
      <c r="AY1200" s="137" t="s">
        <v>2576</v>
      </c>
      <c r="AZ1200" s="136">
        <v>1</v>
      </c>
      <c r="BA1200" s="136">
        <v>1</v>
      </c>
      <c r="BB1200" s="136">
        <v>1</v>
      </c>
      <c r="BC1200" s="214">
        <v>143</v>
      </c>
      <c r="BD1200" s="136">
        <v>0</v>
      </c>
      <c r="BE1200" s="214">
        <v>0</v>
      </c>
      <c r="BF1200" s="136">
        <v>1</v>
      </c>
      <c r="BG1200" s="214">
        <v>143</v>
      </c>
      <c r="BH1200" s="214">
        <v>0.28599999999999998</v>
      </c>
      <c r="BI1200" s="134">
        <v>0</v>
      </c>
      <c r="BJ1200" s="214">
        <v>0</v>
      </c>
      <c r="BK1200" s="137">
        <v>0.71399999999999997</v>
      </c>
      <c r="BL1200" s="137">
        <v>1</v>
      </c>
      <c r="BM1200" s="137">
        <v>18</v>
      </c>
      <c r="BN1200" s="134">
        <v>1</v>
      </c>
      <c r="BO1200" s="351">
        <v>143</v>
      </c>
      <c r="BP1200" s="134">
        <v>0</v>
      </c>
      <c r="BQ1200" s="214">
        <v>0</v>
      </c>
      <c r="BR1200" s="137">
        <v>7</v>
      </c>
      <c r="BS1200" s="138">
        <v>0</v>
      </c>
      <c r="BT1200" s="351">
        <v>0</v>
      </c>
      <c r="BU1200" s="214">
        <v>143</v>
      </c>
      <c r="BV1200" s="214">
        <v>0</v>
      </c>
      <c r="BW1200" s="214">
        <v>1</v>
      </c>
      <c r="BX1200" s="214">
        <v>0</v>
      </c>
      <c r="BY1200" s="214">
        <v>0</v>
      </c>
      <c r="BZ1200" s="134">
        <v>0</v>
      </c>
      <c r="CA1200" s="138">
        <v>1</v>
      </c>
      <c r="CB1200" s="136">
        <v>1</v>
      </c>
      <c r="CC1200" s="136">
        <v>0</v>
      </c>
      <c r="CD1200" s="136">
        <v>0</v>
      </c>
      <c r="CE1200" s="137">
        <v>0</v>
      </c>
      <c r="CF1200" s="137">
        <v>0</v>
      </c>
      <c r="CG1200" s="137">
        <v>0</v>
      </c>
      <c r="CH1200" s="214">
        <v>19.8</v>
      </c>
      <c r="CI1200" s="139" t="s">
        <v>48</v>
      </c>
      <c r="CJ1200" s="139" t="s">
        <v>287</v>
      </c>
      <c r="CK1200" s="139" t="s">
        <v>50</v>
      </c>
      <c r="CL1200" s="139" t="s">
        <v>50</v>
      </c>
      <c r="CM1200" s="139" t="s">
        <v>50</v>
      </c>
      <c r="CN1200" s="139" t="s">
        <v>51</v>
      </c>
      <c r="CO1200" s="139">
        <v>23.250678000000001</v>
      </c>
      <c r="CP1200" s="139">
        <v>97.124403000000001</v>
      </c>
      <c r="CQ1200" s="139" t="s">
        <v>1884</v>
      </c>
      <c r="CR1200" s="449" t="s">
        <v>40</v>
      </c>
      <c r="CS1200" s="449"/>
      <c r="CT1200" s="24"/>
      <c r="CU1200" s="24"/>
      <c r="CV1200" s="24"/>
    </row>
    <row r="1201" spans="1:100" ht="15.75" customHeight="1" x14ac:dyDescent="0.25">
      <c r="A1201" s="643" t="s">
        <v>1388</v>
      </c>
      <c r="B1201" s="132" t="s">
        <v>43</v>
      </c>
      <c r="C1201" s="132" t="s">
        <v>866</v>
      </c>
      <c r="D1201" s="132" t="s">
        <v>873</v>
      </c>
      <c r="E1201" s="132" t="s">
        <v>874</v>
      </c>
      <c r="F1201" s="132">
        <v>29</v>
      </c>
      <c r="G1201" s="214">
        <v>171</v>
      </c>
      <c r="H1201" s="132"/>
      <c r="I1201" s="132" t="s">
        <v>872</v>
      </c>
      <c r="J1201" s="133">
        <v>43465</v>
      </c>
      <c r="K1201" s="132">
        <v>0</v>
      </c>
      <c r="L1201" s="132" t="s">
        <v>48</v>
      </c>
      <c r="M1201" s="134">
        <v>0.5</v>
      </c>
      <c r="N1201" s="134">
        <v>1</v>
      </c>
      <c r="O1201" s="320">
        <v>0</v>
      </c>
      <c r="P1201" s="326">
        <v>1</v>
      </c>
      <c r="Q1201" s="326">
        <v>7200</v>
      </c>
      <c r="R1201" s="315"/>
      <c r="S1201" s="315">
        <v>2</v>
      </c>
      <c r="T1201" s="315"/>
      <c r="U1201" s="315">
        <v>2</v>
      </c>
      <c r="V1201" s="315"/>
      <c r="W1201" s="315">
        <v>4</v>
      </c>
      <c r="X1201" s="315">
        <v>4</v>
      </c>
      <c r="Y1201" s="315">
        <v>4</v>
      </c>
      <c r="Z1201" s="315"/>
      <c r="AA1201" s="336">
        <v>4</v>
      </c>
      <c r="AB1201" s="336">
        <v>4</v>
      </c>
      <c r="AC1201" s="337">
        <v>4</v>
      </c>
      <c r="AD1201" s="337"/>
      <c r="AE1201" s="336">
        <v>10</v>
      </c>
      <c r="AF1201" s="336" t="s">
        <v>283</v>
      </c>
      <c r="AG1201" s="339" t="s">
        <v>1358</v>
      </c>
      <c r="AH1201" s="339">
        <v>4</v>
      </c>
      <c r="AI1201" s="336">
        <v>0</v>
      </c>
      <c r="AJ1201" s="336"/>
      <c r="AK1201" s="848">
        <v>1</v>
      </c>
      <c r="AL1201" s="836" t="s">
        <v>376</v>
      </c>
      <c r="AM1201" s="836">
        <v>0</v>
      </c>
      <c r="AN1201" s="848">
        <v>2</v>
      </c>
      <c r="AO1201" s="850">
        <v>2</v>
      </c>
      <c r="AP1201" s="839">
        <v>29</v>
      </c>
      <c r="AQ1201" s="839">
        <v>0</v>
      </c>
      <c r="AR1201" s="839" t="s">
        <v>48</v>
      </c>
      <c r="AS1201" s="839"/>
      <c r="AT1201" s="839"/>
      <c r="AU1201" s="839"/>
      <c r="AV1201" s="849"/>
      <c r="AW1201" s="134">
        <v>0</v>
      </c>
      <c r="AX1201" s="136">
        <v>1</v>
      </c>
      <c r="AY1201" s="137" t="s">
        <v>2577</v>
      </c>
      <c r="AZ1201" s="136">
        <v>1</v>
      </c>
      <c r="BA1201" s="136">
        <v>1</v>
      </c>
      <c r="BB1201" s="136">
        <v>1</v>
      </c>
      <c r="BC1201" s="214">
        <v>171</v>
      </c>
      <c r="BD1201" s="136">
        <v>0</v>
      </c>
      <c r="BE1201" s="214">
        <v>0</v>
      </c>
      <c r="BF1201" s="136">
        <v>1</v>
      </c>
      <c r="BG1201" s="214">
        <v>171</v>
      </c>
      <c r="BH1201" s="214">
        <v>0.34200000000000003</v>
      </c>
      <c r="BI1201" s="134">
        <v>0</v>
      </c>
      <c r="BJ1201" s="214">
        <v>0</v>
      </c>
      <c r="BK1201" s="137">
        <v>0.65799999999999992</v>
      </c>
      <c r="BL1201" s="137">
        <v>1</v>
      </c>
      <c r="BM1201" s="137">
        <v>8</v>
      </c>
      <c r="BN1201" s="134">
        <v>0.46783625730994149</v>
      </c>
      <c r="BO1201" s="351">
        <v>80</v>
      </c>
      <c r="BP1201" s="134">
        <v>0.11695906432748537</v>
      </c>
      <c r="BQ1201" s="214">
        <v>1</v>
      </c>
      <c r="BR1201" s="137">
        <v>9</v>
      </c>
      <c r="BS1201" s="138">
        <v>0.5</v>
      </c>
      <c r="BT1201" s="351">
        <v>80</v>
      </c>
      <c r="BU1201" s="214">
        <v>171</v>
      </c>
      <c r="BV1201" s="214">
        <v>0</v>
      </c>
      <c r="BW1201" s="214">
        <v>1</v>
      </c>
      <c r="BX1201" s="214">
        <v>1</v>
      </c>
      <c r="BY1201" s="214">
        <v>171</v>
      </c>
      <c r="BZ1201" s="134">
        <v>1</v>
      </c>
      <c r="CA1201" s="138">
        <v>0</v>
      </c>
      <c r="CB1201" s="136">
        <v>1</v>
      </c>
      <c r="CC1201" s="136">
        <v>1</v>
      </c>
      <c r="CD1201" s="136">
        <v>0</v>
      </c>
      <c r="CE1201" s="137">
        <v>145</v>
      </c>
      <c r="CF1201" s="137">
        <v>0</v>
      </c>
      <c r="CG1201" s="137">
        <v>145</v>
      </c>
      <c r="CH1201" s="214">
        <v>29</v>
      </c>
      <c r="CI1201" s="139" t="s">
        <v>48</v>
      </c>
      <c r="CJ1201" s="139" t="s">
        <v>1545</v>
      </c>
      <c r="CK1201" s="139" t="s">
        <v>50</v>
      </c>
      <c r="CL1201" s="139" t="s">
        <v>50</v>
      </c>
      <c r="CM1201" s="139" t="s">
        <v>50</v>
      </c>
      <c r="CN1201" s="139" t="s">
        <v>51</v>
      </c>
      <c r="CO1201" s="139">
        <v>23.24661</v>
      </c>
      <c r="CP1201" s="139">
        <v>97.116680000000002</v>
      </c>
      <c r="CQ1201" s="139" t="s">
        <v>1883</v>
      </c>
      <c r="CR1201" s="449" t="s">
        <v>40</v>
      </c>
      <c r="CS1201" s="449"/>
      <c r="CT1201" s="24"/>
      <c r="CU1201" s="24"/>
      <c r="CV1201" s="24"/>
    </row>
    <row r="1202" spans="1:100" ht="15.75" customHeight="1" x14ac:dyDescent="0.25">
      <c r="A1202" s="643" t="s">
        <v>1388</v>
      </c>
      <c r="B1202" s="132" t="s">
        <v>460</v>
      </c>
      <c r="C1202" s="132" t="s">
        <v>866</v>
      </c>
      <c r="D1202" s="132" t="s">
        <v>876</v>
      </c>
      <c r="E1202" s="132" t="s">
        <v>910</v>
      </c>
      <c r="F1202" s="132">
        <v>152</v>
      </c>
      <c r="G1202" s="214">
        <v>779</v>
      </c>
      <c r="H1202" s="132"/>
      <c r="I1202" s="132"/>
      <c r="J1202" s="133"/>
      <c r="K1202" s="132"/>
      <c r="L1202" s="132" t="s">
        <v>282</v>
      </c>
      <c r="M1202" s="134">
        <v>0</v>
      </c>
      <c r="N1202" s="134">
        <v>0</v>
      </c>
      <c r="O1202" s="320"/>
      <c r="P1202" s="326"/>
      <c r="Q1202" s="326"/>
      <c r="R1202" s="315"/>
      <c r="S1202" s="315"/>
      <c r="T1202" s="315"/>
      <c r="U1202" s="315"/>
      <c r="V1202" s="315"/>
      <c r="W1202" s="315"/>
      <c r="X1202" s="315"/>
      <c r="Y1202" s="315"/>
      <c r="Z1202" s="315"/>
      <c r="AA1202" s="336">
        <v>0</v>
      </c>
      <c r="AB1202" s="336"/>
      <c r="AC1202" s="337"/>
      <c r="AD1202" s="337"/>
      <c r="AE1202" s="336"/>
      <c r="AF1202" s="336" t="s">
        <v>286</v>
      </c>
      <c r="AG1202" s="339" t="s">
        <v>286</v>
      </c>
      <c r="AH1202" s="339"/>
      <c r="AI1202" s="336"/>
      <c r="AJ1202" s="336"/>
      <c r="AK1202" s="848"/>
      <c r="AL1202" s="836"/>
      <c r="AM1202" s="836"/>
      <c r="AN1202" s="848"/>
      <c r="AO1202" s="850"/>
      <c r="AP1202" s="839"/>
      <c r="AQ1202" s="839"/>
      <c r="AR1202" s="839"/>
      <c r="AS1202" s="839"/>
      <c r="AT1202" s="839"/>
      <c r="AU1202" s="839"/>
      <c r="AV1202" s="849"/>
      <c r="AW1202" s="134" t="s">
        <v>3208</v>
      </c>
      <c r="AX1202" s="136" t="s">
        <v>3208</v>
      </c>
      <c r="AY1202" s="137" t="s">
        <v>2576</v>
      </c>
      <c r="AZ1202" s="136">
        <v>0</v>
      </c>
      <c r="BA1202" s="136">
        <v>0</v>
      </c>
      <c r="BB1202" s="136">
        <v>0</v>
      </c>
      <c r="BC1202" s="214">
        <v>0</v>
      </c>
      <c r="BD1202" s="136">
        <v>0</v>
      </c>
      <c r="BE1202" s="214">
        <v>0</v>
      </c>
      <c r="BF1202" s="136">
        <v>0</v>
      </c>
      <c r="BG1202" s="214">
        <v>0</v>
      </c>
      <c r="BH1202" s="214">
        <v>0</v>
      </c>
      <c r="BI1202" s="134">
        <v>1</v>
      </c>
      <c r="BJ1202" s="214">
        <v>779</v>
      </c>
      <c r="BK1202" s="137">
        <v>2</v>
      </c>
      <c r="BL1202" s="137">
        <v>2</v>
      </c>
      <c r="BM1202" s="137">
        <v>0</v>
      </c>
      <c r="BN1202" s="134">
        <v>0</v>
      </c>
      <c r="BO1202" s="351">
        <v>0</v>
      </c>
      <c r="BP1202" s="134">
        <v>1</v>
      </c>
      <c r="BQ1202" s="214">
        <v>39</v>
      </c>
      <c r="BR1202" s="137">
        <v>39</v>
      </c>
      <c r="BS1202" s="138">
        <v>0</v>
      </c>
      <c r="BT1202" s="351">
        <v>0</v>
      </c>
      <c r="BU1202" s="214">
        <v>0</v>
      </c>
      <c r="BV1202" s="214">
        <v>0</v>
      </c>
      <c r="BW1202" s="214">
        <v>0</v>
      </c>
      <c r="BX1202" s="214">
        <v>0</v>
      </c>
      <c r="BY1202" s="214">
        <v>0</v>
      </c>
      <c r="BZ1202" s="134">
        <v>0</v>
      </c>
      <c r="CA1202" s="138">
        <v>1</v>
      </c>
      <c r="CB1202" s="136">
        <v>0</v>
      </c>
      <c r="CC1202" s="136">
        <v>0</v>
      </c>
      <c r="CD1202" s="136">
        <v>0</v>
      </c>
      <c r="CE1202" s="137">
        <v>0</v>
      </c>
      <c r="CF1202" s="137">
        <v>0</v>
      </c>
      <c r="CG1202" s="137">
        <v>0</v>
      </c>
      <c r="CH1202" s="214">
        <v>0</v>
      </c>
      <c r="CI1202" s="139" t="s">
        <v>48</v>
      </c>
      <c r="CJ1202" s="139" t="s">
        <v>287</v>
      </c>
      <c r="CK1202" s="139" t="s">
        <v>50</v>
      </c>
      <c r="CL1202" s="139" t="s">
        <v>50</v>
      </c>
      <c r="CM1202" s="139" t="s">
        <v>50</v>
      </c>
      <c r="CN1202" s="139" t="s">
        <v>51</v>
      </c>
      <c r="CO1202" s="139">
        <v>24.08738</v>
      </c>
      <c r="CP1202" s="139">
        <v>98.115809999999996</v>
      </c>
      <c r="CQ1202" s="139" t="s">
        <v>2090</v>
      </c>
      <c r="CR1202" s="449" t="s">
        <v>3209</v>
      </c>
      <c r="CS1202" s="449"/>
      <c r="CT1202" s="24"/>
      <c r="CU1202" s="24"/>
      <c r="CV1202" s="24"/>
    </row>
    <row r="1203" spans="1:100" ht="15.75" customHeight="1" x14ac:dyDescent="0.25">
      <c r="A1203" s="643" t="s">
        <v>1388</v>
      </c>
      <c r="B1203" s="132" t="s">
        <v>287</v>
      </c>
      <c r="C1203" s="132" t="s">
        <v>866</v>
      </c>
      <c r="D1203" s="132" t="s">
        <v>876</v>
      </c>
      <c r="E1203" s="132" t="s">
        <v>914</v>
      </c>
      <c r="F1203" s="132">
        <v>154</v>
      </c>
      <c r="G1203" s="214">
        <v>779</v>
      </c>
      <c r="H1203" s="132"/>
      <c r="I1203" s="132" t="s">
        <v>2171</v>
      </c>
      <c r="J1203" s="133">
        <v>43799</v>
      </c>
      <c r="K1203" s="132">
        <v>0</v>
      </c>
      <c r="L1203" s="132" t="s">
        <v>48</v>
      </c>
      <c r="M1203" s="134">
        <v>0.5</v>
      </c>
      <c r="N1203" s="134">
        <v>0.8</v>
      </c>
      <c r="O1203" s="320">
        <v>0</v>
      </c>
      <c r="P1203" s="326">
        <v>1</v>
      </c>
      <c r="Q1203" s="326"/>
      <c r="R1203" s="315"/>
      <c r="S1203" s="315">
        <v>0</v>
      </c>
      <c r="T1203" s="315"/>
      <c r="U1203" s="315">
        <v>0</v>
      </c>
      <c r="V1203" s="315">
        <v>0</v>
      </c>
      <c r="W1203" s="315">
        <v>0</v>
      </c>
      <c r="X1203" s="315">
        <v>0</v>
      </c>
      <c r="Y1203" s="315">
        <v>0</v>
      </c>
      <c r="Z1203" s="315"/>
      <c r="AA1203" s="336">
        <v>60</v>
      </c>
      <c r="AB1203" s="336">
        <v>0</v>
      </c>
      <c r="AC1203" s="337">
        <v>0</v>
      </c>
      <c r="AD1203" s="337"/>
      <c r="AE1203" s="336">
        <v>0</v>
      </c>
      <c r="AF1203" s="336" t="s">
        <v>283</v>
      </c>
      <c r="AG1203" s="339" t="s">
        <v>283</v>
      </c>
      <c r="AH1203" s="339"/>
      <c r="AI1203" s="336"/>
      <c r="AJ1203" s="336"/>
      <c r="AK1203" s="848">
        <v>1</v>
      </c>
      <c r="AL1203" s="836" t="s">
        <v>376</v>
      </c>
      <c r="AM1203" s="836">
        <v>0</v>
      </c>
      <c r="AN1203" s="848">
        <v>11</v>
      </c>
      <c r="AO1203" s="850">
        <v>3</v>
      </c>
      <c r="AP1203" s="839">
        <v>0</v>
      </c>
      <c r="AQ1203" s="839">
        <v>0</v>
      </c>
      <c r="AR1203" s="839"/>
      <c r="AS1203" s="839"/>
      <c r="AT1203" s="839"/>
      <c r="AU1203" s="839"/>
      <c r="AV1203" s="849"/>
      <c r="AW1203" s="134" t="s">
        <v>3208</v>
      </c>
      <c r="AX1203" s="136" t="s">
        <v>3208</v>
      </c>
      <c r="AY1203" s="137" t="s">
        <v>2576</v>
      </c>
      <c r="AZ1203" s="136">
        <v>1</v>
      </c>
      <c r="BA1203" s="136">
        <v>0.3209242618741977</v>
      </c>
      <c r="BB1203" s="136">
        <v>1</v>
      </c>
      <c r="BC1203" s="214">
        <v>779</v>
      </c>
      <c r="BD1203" s="136">
        <v>0</v>
      </c>
      <c r="BE1203" s="214">
        <v>0</v>
      </c>
      <c r="BF1203" s="136">
        <v>1</v>
      </c>
      <c r="BG1203" s="214">
        <v>779</v>
      </c>
      <c r="BH1203" s="214">
        <v>1.5580000000000001</v>
      </c>
      <c r="BI1203" s="134">
        <v>0</v>
      </c>
      <c r="BJ1203" s="214">
        <v>0</v>
      </c>
      <c r="BK1203" s="137">
        <v>0.44199999999999995</v>
      </c>
      <c r="BL1203" s="137">
        <v>2</v>
      </c>
      <c r="BM1203" s="137">
        <v>60</v>
      </c>
      <c r="BN1203" s="134">
        <v>1</v>
      </c>
      <c r="BO1203" s="351">
        <v>779</v>
      </c>
      <c r="BP1203" s="134">
        <v>0</v>
      </c>
      <c r="BQ1203" s="214">
        <v>0</v>
      </c>
      <c r="BR1203" s="137">
        <v>39</v>
      </c>
      <c r="BS1203" s="138">
        <v>0</v>
      </c>
      <c r="BT1203" s="351">
        <v>0</v>
      </c>
      <c r="BU1203" s="214">
        <v>779</v>
      </c>
      <c r="BV1203" s="214">
        <v>0</v>
      </c>
      <c r="BW1203" s="214">
        <v>1</v>
      </c>
      <c r="BX1203" s="214">
        <v>0</v>
      </c>
      <c r="BY1203" s="214">
        <v>0</v>
      </c>
      <c r="BZ1203" s="134">
        <v>0</v>
      </c>
      <c r="CA1203" s="138">
        <v>1</v>
      </c>
      <c r="CB1203" s="136">
        <v>1</v>
      </c>
      <c r="CC1203" s="136">
        <v>0</v>
      </c>
      <c r="CD1203" s="136">
        <v>0</v>
      </c>
      <c r="CE1203" s="137">
        <v>0</v>
      </c>
      <c r="CF1203" s="137">
        <v>0</v>
      </c>
      <c r="CG1203" s="137">
        <v>0</v>
      </c>
      <c r="CH1203" s="214">
        <v>154</v>
      </c>
      <c r="CI1203" s="139">
        <v>0</v>
      </c>
      <c r="CJ1203" s="139">
        <v>0</v>
      </c>
      <c r="CK1203" s="139" t="s">
        <v>50</v>
      </c>
      <c r="CL1203" s="139" t="s">
        <v>50</v>
      </c>
      <c r="CM1203" s="139" t="s">
        <v>929</v>
      </c>
      <c r="CN1203" s="139" t="s">
        <v>51</v>
      </c>
      <c r="CO1203" s="139">
        <v>24.08738</v>
      </c>
      <c r="CP1203" s="139">
        <v>98.115809999999996</v>
      </c>
      <c r="CQ1203" s="139" t="s">
        <v>1928</v>
      </c>
      <c r="CR1203" s="449" t="s">
        <v>40</v>
      </c>
      <c r="CS1203" s="449"/>
      <c r="CT1203" s="24"/>
      <c r="CU1203" s="24"/>
      <c r="CV1203" s="24"/>
    </row>
    <row r="1204" spans="1:100" ht="15.75" customHeight="1" x14ac:dyDescent="0.25">
      <c r="A1204" s="643" t="s">
        <v>1388</v>
      </c>
      <c r="B1204" s="132" t="s">
        <v>287</v>
      </c>
      <c r="C1204" s="132" t="s">
        <v>866</v>
      </c>
      <c r="D1204" s="132" t="s">
        <v>876</v>
      </c>
      <c r="E1204" s="132" t="s">
        <v>922</v>
      </c>
      <c r="F1204" s="132">
        <v>27</v>
      </c>
      <c r="G1204" s="214">
        <v>134</v>
      </c>
      <c r="H1204" s="132"/>
      <c r="I1204" s="132"/>
      <c r="J1204" s="133"/>
      <c r="K1204" s="132"/>
      <c r="L1204" s="132" t="s">
        <v>48</v>
      </c>
      <c r="M1204" s="134" t="s">
        <v>286</v>
      </c>
      <c r="N1204" s="134" t="s">
        <v>286</v>
      </c>
      <c r="O1204" s="320">
        <v>0</v>
      </c>
      <c r="P1204" s="326">
        <v>0</v>
      </c>
      <c r="Q1204" s="326"/>
      <c r="R1204" s="315"/>
      <c r="S1204" s="315">
        <v>0</v>
      </c>
      <c r="T1204" s="315"/>
      <c r="U1204" s="315">
        <v>0</v>
      </c>
      <c r="V1204" s="315">
        <v>0</v>
      </c>
      <c r="W1204" s="315">
        <v>0</v>
      </c>
      <c r="X1204" s="315">
        <v>0</v>
      </c>
      <c r="Y1204" s="315">
        <v>0</v>
      </c>
      <c r="Z1204" s="315"/>
      <c r="AA1204" s="336">
        <v>0</v>
      </c>
      <c r="AB1204" s="336">
        <v>0</v>
      </c>
      <c r="AC1204" s="337">
        <v>0</v>
      </c>
      <c r="AD1204" s="337"/>
      <c r="AE1204" s="336">
        <v>0</v>
      </c>
      <c r="AF1204" s="336" t="s">
        <v>286</v>
      </c>
      <c r="AG1204" s="339" t="s">
        <v>286</v>
      </c>
      <c r="AH1204" s="339"/>
      <c r="AI1204" s="336"/>
      <c r="AJ1204" s="336"/>
      <c r="AK1204" s="848"/>
      <c r="AL1204" s="836"/>
      <c r="AM1204" s="836">
        <v>0</v>
      </c>
      <c r="AN1204" s="848"/>
      <c r="AO1204" s="850"/>
      <c r="AP1204" s="839">
        <v>0</v>
      </c>
      <c r="AQ1204" s="839">
        <v>0</v>
      </c>
      <c r="AR1204" s="839"/>
      <c r="AS1204" s="839"/>
      <c r="AT1204" s="839"/>
      <c r="AU1204" s="839"/>
      <c r="AV1204" s="849"/>
      <c r="AW1204" s="134" t="s">
        <v>3208</v>
      </c>
      <c r="AX1204" s="136" t="s">
        <v>3208</v>
      </c>
      <c r="AY1204" s="137" t="s">
        <v>2576</v>
      </c>
      <c r="AZ1204" s="136">
        <v>0</v>
      </c>
      <c r="BA1204" s="136">
        <v>0</v>
      </c>
      <c r="BB1204" s="136">
        <v>0</v>
      </c>
      <c r="BC1204" s="214">
        <v>0</v>
      </c>
      <c r="BD1204" s="136">
        <v>0</v>
      </c>
      <c r="BE1204" s="214">
        <v>0</v>
      </c>
      <c r="BF1204" s="136">
        <v>0</v>
      </c>
      <c r="BG1204" s="214">
        <v>0</v>
      </c>
      <c r="BH1204" s="214">
        <v>0</v>
      </c>
      <c r="BI1204" s="134">
        <v>1</v>
      </c>
      <c r="BJ1204" s="214">
        <v>134</v>
      </c>
      <c r="BK1204" s="137">
        <v>1</v>
      </c>
      <c r="BL1204" s="137">
        <v>1</v>
      </c>
      <c r="BM1204" s="137">
        <v>0</v>
      </c>
      <c r="BN1204" s="134">
        <v>0</v>
      </c>
      <c r="BO1204" s="351">
        <v>0</v>
      </c>
      <c r="BP1204" s="134">
        <v>1</v>
      </c>
      <c r="BQ1204" s="214">
        <v>7</v>
      </c>
      <c r="BR1204" s="137">
        <v>7</v>
      </c>
      <c r="BS1204" s="138">
        <v>0</v>
      </c>
      <c r="BT1204" s="351">
        <v>0</v>
      </c>
      <c r="BU1204" s="214">
        <v>0</v>
      </c>
      <c r="BV1204" s="214">
        <v>0</v>
      </c>
      <c r="BW1204" s="214">
        <v>0</v>
      </c>
      <c r="BX1204" s="214">
        <v>0</v>
      </c>
      <c r="BY1204" s="214">
        <v>0</v>
      </c>
      <c r="BZ1204" s="134">
        <v>0</v>
      </c>
      <c r="CA1204" s="138">
        <v>1</v>
      </c>
      <c r="CB1204" s="136">
        <v>0</v>
      </c>
      <c r="CC1204" s="136">
        <v>0</v>
      </c>
      <c r="CD1204" s="136">
        <v>0</v>
      </c>
      <c r="CE1204" s="137">
        <v>0</v>
      </c>
      <c r="CF1204" s="137">
        <v>0</v>
      </c>
      <c r="CG1204" s="137">
        <v>0</v>
      </c>
      <c r="CH1204" s="214">
        <v>0</v>
      </c>
      <c r="CI1204" s="139">
        <v>0</v>
      </c>
      <c r="CJ1204" s="139">
        <v>0</v>
      </c>
      <c r="CK1204" s="139" t="s">
        <v>50</v>
      </c>
      <c r="CL1204" s="139" t="s">
        <v>50</v>
      </c>
      <c r="CM1204" s="139" t="s">
        <v>929</v>
      </c>
      <c r="CN1204" s="139" t="s">
        <v>51</v>
      </c>
      <c r="CO1204" s="139">
        <v>0</v>
      </c>
      <c r="CP1204" s="139">
        <v>0</v>
      </c>
      <c r="CQ1204" s="139" t="s">
        <v>1540</v>
      </c>
      <c r="CR1204" s="449" t="s">
        <v>40</v>
      </c>
      <c r="CS1204" s="449"/>
      <c r="CT1204" s="24"/>
      <c r="CU1204" s="24"/>
      <c r="CV1204" s="24"/>
    </row>
    <row r="1205" spans="1:100" ht="15.75" customHeight="1" x14ac:dyDescent="0.25">
      <c r="A1205" s="643" t="s">
        <v>1388</v>
      </c>
      <c r="B1205" s="132" t="s">
        <v>1402</v>
      </c>
      <c r="C1205" s="132" t="s">
        <v>866</v>
      </c>
      <c r="D1205" s="132" t="s">
        <v>876</v>
      </c>
      <c r="E1205" s="132" t="s">
        <v>905</v>
      </c>
      <c r="F1205" s="132">
        <v>51</v>
      </c>
      <c r="G1205" s="214">
        <v>207</v>
      </c>
      <c r="H1205" s="132"/>
      <c r="I1205" s="132" t="s">
        <v>2500</v>
      </c>
      <c r="J1205" s="133" t="s">
        <v>2496</v>
      </c>
      <c r="K1205" s="132">
        <v>0</v>
      </c>
      <c r="L1205" s="132" t="s">
        <v>48</v>
      </c>
      <c r="M1205" s="134">
        <v>0.5</v>
      </c>
      <c r="N1205" s="134">
        <v>1</v>
      </c>
      <c r="O1205" s="320">
        <v>0</v>
      </c>
      <c r="P1205" s="326">
        <v>1</v>
      </c>
      <c r="Q1205" s="326">
        <v>7200</v>
      </c>
      <c r="R1205" s="315"/>
      <c r="S1205" s="315">
        <v>8</v>
      </c>
      <c r="T1205" s="315"/>
      <c r="U1205" s="315">
        <v>0</v>
      </c>
      <c r="V1205" s="315">
        <v>0</v>
      </c>
      <c r="W1205" s="315">
        <v>0</v>
      </c>
      <c r="X1205" s="315">
        <v>0</v>
      </c>
      <c r="Y1205" s="315">
        <v>0</v>
      </c>
      <c r="Z1205" s="315"/>
      <c r="AA1205" s="336">
        <v>12</v>
      </c>
      <c r="AB1205" s="336">
        <v>0</v>
      </c>
      <c r="AC1205" s="337">
        <v>0</v>
      </c>
      <c r="AD1205" s="337"/>
      <c r="AE1205" s="336">
        <v>9</v>
      </c>
      <c r="AF1205" s="336" t="s">
        <v>283</v>
      </c>
      <c r="AG1205" s="339" t="s">
        <v>283</v>
      </c>
      <c r="AH1205" s="339"/>
      <c r="AI1205" s="336"/>
      <c r="AJ1205" s="336"/>
      <c r="AK1205" s="848">
        <v>0.7</v>
      </c>
      <c r="AL1205" s="836" t="s">
        <v>376</v>
      </c>
      <c r="AM1205" s="836">
        <v>0</v>
      </c>
      <c r="AN1205" s="848">
        <v>3</v>
      </c>
      <c r="AO1205" s="850">
        <v>1</v>
      </c>
      <c r="AP1205" s="839">
        <v>0</v>
      </c>
      <c r="AQ1205" s="839">
        <v>0</v>
      </c>
      <c r="AR1205" s="839"/>
      <c r="AS1205" s="839"/>
      <c r="AT1205" s="839"/>
      <c r="AU1205" s="839"/>
      <c r="AV1205" s="849"/>
      <c r="AW1205" s="134" t="s">
        <v>3208</v>
      </c>
      <c r="AX1205" s="136" t="s">
        <v>3208</v>
      </c>
      <c r="AY1205" s="137" t="s">
        <v>2576</v>
      </c>
      <c r="AZ1205" s="136">
        <v>1</v>
      </c>
      <c r="BA1205" s="136">
        <v>1</v>
      </c>
      <c r="BB1205" s="136">
        <v>1</v>
      </c>
      <c r="BC1205" s="214">
        <v>207</v>
      </c>
      <c r="BD1205" s="136">
        <v>0</v>
      </c>
      <c r="BE1205" s="214">
        <v>0</v>
      </c>
      <c r="BF1205" s="136">
        <v>1</v>
      </c>
      <c r="BG1205" s="214">
        <v>207</v>
      </c>
      <c r="BH1205" s="214">
        <v>0.41399999999999998</v>
      </c>
      <c r="BI1205" s="134">
        <v>0</v>
      </c>
      <c r="BJ1205" s="214">
        <v>0</v>
      </c>
      <c r="BK1205" s="137">
        <v>0.58600000000000008</v>
      </c>
      <c r="BL1205" s="137">
        <v>1</v>
      </c>
      <c r="BM1205" s="137">
        <v>12</v>
      </c>
      <c r="BN1205" s="134">
        <v>1</v>
      </c>
      <c r="BO1205" s="351">
        <v>207</v>
      </c>
      <c r="BP1205" s="134">
        <v>0</v>
      </c>
      <c r="BQ1205" s="214">
        <v>0</v>
      </c>
      <c r="BR1205" s="137">
        <v>10</v>
      </c>
      <c r="BS1205" s="138">
        <v>0</v>
      </c>
      <c r="BT1205" s="351">
        <v>0</v>
      </c>
      <c r="BU1205" s="214">
        <v>207</v>
      </c>
      <c r="BV1205" s="214">
        <v>0</v>
      </c>
      <c r="BW1205" s="214">
        <v>1</v>
      </c>
      <c r="BX1205" s="214">
        <v>0</v>
      </c>
      <c r="BY1205" s="214">
        <v>0</v>
      </c>
      <c r="BZ1205" s="134">
        <v>0</v>
      </c>
      <c r="CA1205" s="138">
        <v>1</v>
      </c>
      <c r="CB1205" s="136">
        <v>1</v>
      </c>
      <c r="CC1205" s="136">
        <v>0</v>
      </c>
      <c r="CD1205" s="136">
        <v>0</v>
      </c>
      <c r="CE1205" s="137">
        <v>0</v>
      </c>
      <c r="CF1205" s="137">
        <v>0</v>
      </c>
      <c r="CG1205" s="137">
        <v>0</v>
      </c>
      <c r="CH1205" s="214">
        <v>35.699999999999996</v>
      </c>
      <c r="CI1205" s="139" t="s">
        <v>48</v>
      </c>
      <c r="CJ1205" s="139" t="s">
        <v>287</v>
      </c>
      <c r="CK1205" s="139" t="s">
        <v>50</v>
      </c>
      <c r="CL1205" s="139" t="s">
        <v>50</v>
      </c>
      <c r="CM1205" s="139" t="s">
        <v>50</v>
      </c>
      <c r="CN1205" s="139" t="s">
        <v>51</v>
      </c>
      <c r="CO1205" s="139">
        <v>24.006319999999999</v>
      </c>
      <c r="CP1205" s="139">
        <v>97.909400000000005</v>
      </c>
      <c r="CQ1205" s="139" t="s">
        <v>1924</v>
      </c>
      <c r="CR1205" s="449" t="s">
        <v>40</v>
      </c>
      <c r="CS1205" s="449"/>
      <c r="CT1205" s="24"/>
      <c r="CU1205" s="24"/>
      <c r="CV1205" s="24"/>
    </row>
    <row r="1206" spans="1:100" ht="15.75" customHeight="1" x14ac:dyDescent="0.25">
      <c r="A1206" s="643" t="s">
        <v>1388</v>
      </c>
      <c r="B1206" s="132" t="s">
        <v>43</v>
      </c>
      <c r="C1206" s="132" t="s">
        <v>866</v>
      </c>
      <c r="D1206" s="132" t="s">
        <v>876</v>
      </c>
      <c r="E1206" s="132" t="s">
        <v>877</v>
      </c>
      <c r="F1206" s="132">
        <v>22</v>
      </c>
      <c r="G1206" s="214">
        <v>80</v>
      </c>
      <c r="H1206" s="132"/>
      <c r="I1206" s="132" t="s">
        <v>872</v>
      </c>
      <c r="J1206" s="133">
        <v>43465</v>
      </c>
      <c r="K1206" s="132">
        <v>0</v>
      </c>
      <c r="L1206" s="132" t="s">
        <v>48</v>
      </c>
      <c r="M1206" s="134">
        <v>0.5</v>
      </c>
      <c r="N1206" s="134">
        <v>1</v>
      </c>
      <c r="O1206" s="320">
        <v>1</v>
      </c>
      <c r="P1206" s="326">
        <v>1</v>
      </c>
      <c r="Q1206" s="326">
        <v>7200</v>
      </c>
      <c r="R1206" s="315"/>
      <c r="S1206" s="315">
        <v>4</v>
      </c>
      <c r="T1206" s="315"/>
      <c r="U1206" s="315">
        <v>2</v>
      </c>
      <c r="V1206" s="315"/>
      <c r="W1206" s="315">
        <v>4</v>
      </c>
      <c r="X1206" s="315">
        <v>4</v>
      </c>
      <c r="Y1206" s="315">
        <v>4</v>
      </c>
      <c r="Z1206" s="315"/>
      <c r="AA1206" s="336">
        <v>8</v>
      </c>
      <c r="AB1206" s="336">
        <v>0</v>
      </c>
      <c r="AC1206" s="337">
        <v>0</v>
      </c>
      <c r="AD1206" s="337"/>
      <c r="AE1206" s="336">
        <v>4</v>
      </c>
      <c r="AF1206" s="336" t="s">
        <v>283</v>
      </c>
      <c r="AG1206" s="339" t="s">
        <v>1358</v>
      </c>
      <c r="AH1206" s="339">
        <v>0</v>
      </c>
      <c r="AI1206" s="336">
        <v>1</v>
      </c>
      <c r="AJ1206" s="336"/>
      <c r="AK1206" s="848">
        <v>1</v>
      </c>
      <c r="AL1206" s="836" t="s">
        <v>376</v>
      </c>
      <c r="AM1206" s="836">
        <v>1</v>
      </c>
      <c r="AN1206" s="848">
        <v>0</v>
      </c>
      <c r="AO1206" s="850">
        <v>2</v>
      </c>
      <c r="AP1206" s="839">
        <v>22</v>
      </c>
      <c r="AQ1206" s="839">
        <v>0</v>
      </c>
      <c r="AR1206" s="839" t="s">
        <v>48</v>
      </c>
      <c r="AS1206" s="839"/>
      <c r="AT1206" s="839"/>
      <c r="AU1206" s="839"/>
      <c r="AV1206" s="849"/>
      <c r="AW1206" s="134">
        <v>0</v>
      </c>
      <c r="AX1206" s="136">
        <v>1</v>
      </c>
      <c r="AY1206" s="137" t="s">
        <v>2577</v>
      </c>
      <c r="AZ1206" s="136">
        <v>1</v>
      </c>
      <c r="BA1206" s="136">
        <v>1</v>
      </c>
      <c r="BB1206" s="136">
        <v>1</v>
      </c>
      <c r="BC1206" s="214">
        <v>80</v>
      </c>
      <c r="BD1206" s="136">
        <v>0</v>
      </c>
      <c r="BE1206" s="214">
        <v>0</v>
      </c>
      <c r="BF1206" s="136">
        <v>1</v>
      </c>
      <c r="BG1206" s="214">
        <v>80</v>
      </c>
      <c r="BH1206" s="214">
        <v>0.16</v>
      </c>
      <c r="BI1206" s="134">
        <v>0</v>
      </c>
      <c r="BJ1206" s="214">
        <v>0</v>
      </c>
      <c r="BK1206" s="137">
        <v>0.84</v>
      </c>
      <c r="BL1206" s="137">
        <v>1</v>
      </c>
      <c r="BM1206" s="137">
        <v>8</v>
      </c>
      <c r="BN1206" s="134">
        <v>1</v>
      </c>
      <c r="BO1206" s="351">
        <v>80</v>
      </c>
      <c r="BP1206" s="134">
        <v>0</v>
      </c>
      <c r="BQ1206" s="214">
        <v>0</v>
      </c>
      <c r="BR1206" s="137">
        <v>4</v>
      </c>
      <c r="BS1206" s="138">
        <v>0</v>
      </c>
      <c r="BT1206" s="351">
        <v>0</v>
      </c>
      <c r="BU1206" s="214">
        <v>80</v>
      </c>
      <c r="BV1206" s="214">
        <v>0</v>
      </c>
      <c r="BW1206" s="214">
        <v>1</v>
      </c>
      <c r="BX1206" s="214">
        <v>1</v>
      </c>
      <c r="BY1206" s="214">
        <v>80</v>
      </c>
      <c r="BZ1206" s="134">
        <v>1</v>
      </c>
      <c r="CA1206" s="138">
        <v>0</v>
      </c>
      <c r="CB1206" s="136">
        <v>1</v>
      </c>
      <c r="CC1206" s="136">
        <v>1</v>
      </c>
      <c r="CD1206" s="136">
        <v>0</v>
      </c>
      <c r="CE1206" s="137">
        <v>110</v>
      </c>
      <c r="CF1206" s="137">
        <v>0</v>
      </c>
      <c r="CG1206" s="137">
        <v>110</v>
      </c>
      <c r="CH1206" s="214">
        <v>22</v>
      </c>
      <c r="CI1206" s="139" t="s">
        <v>48</v>
      </c>
      <c r="CJ1206" s="139" t="s">
        <v>1545</v>
      </c>
      <c r="CK1206" s="139" t="s">
        <v>50</v>
      </c>
      <c r="CL1206" s="139" t="s">
        <v>50</v>
      </c>
      <c r="CM1206" s="139" t="s">
        <v>50</v>
      </c>
      <c r="CN1206" s="139" t="s">
        <v>51</v>
      </c>
      <c r="CO1206" s="139">
        <v>24.006789000000001</v>
      </c>
      <c r="CP1206" s="139">
        <v>97.911647000000002</v>
      </c>
      <c r="CQ1206" s="139" t="s">
        <v>1925</v>
      </c>
      <c r="CR1206" s="449" t="s">
        <v>40</v>
      </c>
      <c r="CS1206" s="449"/>
      <c r="CT1206" s="24"/>
      <c r="CU1206" s="24"/>
      <c r="CV1206" s="24"/>
    </row>
    <row r="1207" spans="1:100" ht="15.75" customHeight="1" x14ac:dyDescent="0.25">
      <c r="A1207" s="643" t="s">
        <v>1388</v>
      </c>
      <c r="B1207" s="132" t="s">
        <v>338</v>
      </c>
      <c r="C1207" s="132" t="s">
        <v>866</v>
      </c>
      <c r="D1207" s="132" t="s">
        <v>876</v>
      </c>
      <c r="E1207" s="132" t="s">
        <v>883</v>
      </c>
      <c r="F1207" s="132">
        <v>7</v>
      </c>
      <c r="G1207" s="214">
        <v>44</v>
      </c>
      <c r="H1207" s="132"/>
      <c r="I1207" s="132"/>
      <c r="J1207" s="133"/>
      <c r="K1207" s="132"/>
      <c r="L1207" s="132" t="s">
        <v>286</v>
      </c>
      <c r="M1207" s="134" t="s">
        <v>286</v>
      </c>
      <c r="N1207" s="134" t="s">
        <v>286</v>
      </c>
      <c r="O1207" s="320">
        <v>0</v>
      </c>
      <c r="P1207" s="326">
        <v>0</v>
      </c>
      <c r="Q1207" s="326"/>
      <c r="R1207" s="315"/>
      <c r="S1207" s="315">
        <v>2</v>
      </c>
      <c r="T1207" s="315"/>
      <c r="U1207" s="315"/>
      <c r="V1207" s="315"/>
      <c r="W1207" s="315"/>
      <c r="X1207" s="315"/>
      <c r="Y1207" s="315"/>
      <c r="Z1207" s="315"/>
      <c r="AA1207" s="336">
        <v>9</v>
      </c>
      <c r="AB1207" s="336"/>
      <c r="AC1207" s="337"/>
      <c r="AD1207" s="337"/>
      <c r="AE1207" s="336">
        <v>9</v>
      </c>
      <c r="AF1207" s="336" t="s">
        <v>283</v>
      </c>
      <c r="AG1207" s="339" t="s">
        <v>283</v>
      </c>
      <c r="AH1207" s="339"/>
      <c r="AI1207" s="336"/>
      <c r="AJ1207" s="336"/>
      <c r="AK1207" s="848">
        <v>0</v>
      </c>
      <c r="AL1207" s="836"/>
      <c r="AM1207" s="836">
        <v>0</v>
      </c>
      <c r="AN1207" s="848"/>
      <c r="AO1207" s="850"/>
      <c r="AP1207" s="839"/>
      <c r="AQ1207" s="839"/>
      <c r="AR1207" s="839"/>
      <c r="AS1207" s="839"/>
      <c r="AT1207" s="839"/>
      <c r="AU1207" s="839"/>
      <c r="AV1207" s="849"/>
      <c r="AW1207" s="134" t="s">
        <v>3208</v>
      </c>
      <c r="AX1207" s="136" t="s">
        <v>3208</v>
      </c>
      <c r="AY1207" s="137" t="s">
        <v>2576</v>
      </c>
      <c r="AZ1207" s="136">
        <v>0</v>
      </c>
      <c r="BA1207" s="136">
        <v>0</v>
      </c>
      <c r="BB1207" s="136">
        <v>0</v>
      </c>
      <c r="BC1207" s="214">
        <v>0</v>
      </c>
      <c r="BD1207" s="136">
        <v>0</v>
      </c>
      <c r="BE1207" s="214">
        <v>0</v>
      </c>
      <c r="BF1207" s="136">
        <v>0</v>
      </c>
      <c r="BG1207" s="214">
        <v>0</v>
      </c>
      <c r="BH1207" s="214">
        <v>0</v>
      </c>
      <c r="BI1207" s="134">
        <v>1</v>
      </c>
      <c r="BJ1207" s="214">
        <v>44</v>
      </c>
      <c r="BK1207" s="137">
        <v>1</v>
      </c>
      <c r="BL1207" s="137">
        <v>1</v>
      </c>
      <c r="BM1207" s="137">
        <v>9</v>
      </c>
      <c r="BN1207" s="134">
        <v>1</v>
      </c>
      <c r="BO1207" s="351">
        <v>44</v>
      </c>
      <c r="BP1207" s="134">
        <v>0</v>
      </c>
      <c r="BQ1207" s="214">
        <v>0</v>
      </c>
      <c r="BR1207" s="137">
        <v>2</v>
      </c>
      <c r="BS1207" s="138">
        <v>0</v>
      </c>
      <c r="BT1207" s="351">
        <v>0</v>
      </c>
      <c r="BU1207" s="214">
        <v>0</v>
      </c>
      <c r="BV1207" s="214">
        <v>0</v>
      </c>
      <c r="BW1207" s="214">
        <v>0</v>
      </c>
      <c r="BX1207" s="214">
        <v>0</v>
      </c>
      <c r="BY1207" s="214">
        <v>0</v>
      </c>
      <c r="BZ1207" s="134">
        <v>0</v>
      </c>
      <c r="CA1207" s="138">
        <v>1</v>
      </c>
      <c r="CB1207" s="136">
        <v>0</v>
      </c>
      <c r="CC1207" s="136">
        <v>0</v>
      </c>
      <c r="CD1207" s="136">
        <v>0</v>
      </c>
      <c r="CE1207" s="137">
        <v>0</v>
      </c>
      <c r="CF1207" s="137">
        <v>0</v>
      </c>
      <c r="CG1207" s="137">
        <v>0</v>
      </c>
      <c r="CH1207" s="214">
        <v>0</v>
      </c>
      <c r="CI1207" s="139">
        <v>0</v>
      </c>
      <c r="CJ1207" s="139">
        <v>0</v>
      </c>
      <c r="CK1207" s="139" t="s">
        <v>50</v>
      </c>
      <c r="CL1207" s="139" t="s">
        <v>50</v>
      </c>
      <c r="CM1207" s="139" t="s">
        <v>929</v>
      </c>
      <c r="CN1207" s="139" t="s">
        <v>949</v>
      </c>
      <c r="CO1207" s="139">
        <v>23.933098999999999</v>
      </c>
      <c r="CP1207" s="139">
        <v>98.139397000000002</v>
      </c>
      <c r="CQ1207" s="139" t="s">
        <v>1549</v>
      </c>
      <c r="CR1207" s="449" t="s">
        <v>40</v>
      </c>
      <c r="CS1207" s="449"/>
      <c r="CT1207" s="24"/>
      <c r="CU1207" s="24"/>
      <c r="CV1207" s="24"/>
    </row>
    <row r="1208" spans="1:100" ht="15.75" customHeight="1" x14ac:dyDescent="0.25">
      <c r="A1208" s="643" t="s">
        <v>1388</v>
      </c>
      <c r="B1208" s="132" t="s">
        <v>2488</v>
      </c>
      <c r="C1208" s="132" t="s">
        <v>866</v>
      </c>
      <c r="D1208" s="132" t="s">
        <v>867</v>
      </c>
      <c r="E1208" s="132" t="s">
        <v>916</v>
      </c>
      <c r="F1208" s="132">
        <v>62</v>
      </c>
      <c r="G1208" s="214">
        <v>301</v>
      </c>
      <c r="H1208" s="132"/>
      <c r="I1208" s="132" t="s">
        <v>290</v>
      </c>
      <c r="J1208" s="133">
        <v>43830</v>
      </c>
      <c r="K1208" s="132">
        <v>0</v>
      </c>
      <c r="L1208" s="132" t="s">
        <v>48</v>
      </c>
      <c r="M1208" s="134">
        <v>0.67</v>
      </c>
      <c r="N1208" s="134">
        <v>1</v>
      </c>
      <c r="O1208" s="320">
        <v>0</v>
      </c>
      <c r="P1208" s="326">
        <v>0</v>
      </c>
      <c r="Q1208" s="326">
        <v>0</v>
      </c>
      <c r="R1208" s="315">
        <v>0</v>
      </c>
      <c r="S1208" s="315">
        <v>0</v>
      </c>
      <c r="T1208" s="315"/>
      <c r="U1208" s="315">
        <v>0</v>
      </c>
      <c r="V1208" s="315">
        <v>0</v>
      </c>
      <c r="W1208" s="315">
        <v>0</v>
      </c>
      <c r="X1208" s="315">
        <v>0</v>
      </c>
      <c r="Y1208" s="315">
        <v>0</v>
      </c>
      <c r="Z1208" s="315"/>
      <c r="AA1208" s="336">
        <v>10</v>
      </c>
      <c r="AB1208" s="336">
        <v>0</v>
      </c>
      <c r="AC1208" s="337">
        <v>0</v>
      </c>
      <c r="AD1208" s="337"/>
      <c r="AE1208" s="336">
        <v>10</v>
      </c>
      <c r="AF1208" s="336" t="s">
        <v>283</v>
      </c>
      <c r="AG1208" s="339" t="s">
        <v>332</v>
      </c>
      <c r="AH1208" s="339">
        <v>0</v>
      </c>
      <c r="AI1208" s="336">
        <v>0</v>
      </c>
      <c r="AJ1208" s="336"/>
      <c r="AK1208" s="848">
        <v>0</v>
      </c>
      <c r="AL1208" s="836" t="s">
        <v>376</v>
      </c>
      <c r="AM1208" s="836">
        <v>0</v>
      </c>
      <c r="AN1208" s="848">
        <v>2</v>
      </c>
      <c r="AO1208" s="850">
        <v>1</v>
      </c>
      <c r="AP1208" s="839">
        <v>0</v>
      </c>
      <c r="AQ1208" s="839">
        <v>0</v>
      </c>
      <c r="AR1208" s="839"/>
      <c r="AS1208" s="839"/>
      <c r="AT1208" s="839"/>
      <c r="AU1208" s="839"/>
      <c r="AV1208" s="849"/>
      <c r="AW1208" s="134" t="s">
        <v>3208</v>
      </c>
      <c r="AX1208" s="136" t="s">
        <v>3208</v>
      </c>
      <c r="AY1208" s="137" t="s">
        <v>2576</v>
      </c>
      <c r="AZ1208" s="136">
        <v>0</v>
      </c>
      <c r="BA1208" s="136">
        <v>0</v>
      </c>
      <c r="BB1208" s="136">
        <v>0</v>
      </c>
      <c r="BC1208" s="214">
        <v>0</v>
      </c>
      <c r="BD1208" s="136">
        <v>0</v>
      </c>
      <c r="BE1208" s="214">
        <v>0</v>
      </c>
      <c r="BF1208" s="136">
        <v>0</v>
      </c>
      <c r="BG1208" s="214">
        <v>0</v>
      </c>
      <c r="BH1208" s="214">
        <v>0</v>
      </c>
      <c r="BI1208" s="134">
        <v>1</v>
      </c>
      <c r="BJ1208" s="214">
        <v>301</v>
      </c>
      <c r="BK1208" s="137">
        <v>1</v>
      </c>
      <c r="BL1208" s="137">
        <v>1</v>
      </c>
      <c r="BM1208" s="137">
        <v>10</v>
      </c>
      <c r="BN1208" s="134">
        <v>0.66445182724252494</v>
      </c>
      <c r="BO1208" s="351">
        <v>200</v>
      </c>
      <c r="BP1208" s="134">
        <v>0.33222591362126247</v>
      </c>
      <c r="BQ1208" s="214">
        <v>5</v>
      </c>
      <c r="BR1208" s="137">
        <v>15</v>
      </c>
      <c r="BS1208" s="138">
        <v>0</v>
      </c>
      <c r="BT1208" s="351">
        <v>0</v>
      </c>
      <c r="BU1208" s="214">
        <v>301</v>
      </c>
      <c r="BV1208" s="214">
        <v>0</v>
      </c>
      <c r="BW1208" s="214">
        <v>1</v>
      </c>
      <c r="BX1208" s="214">
        <v>0</v>
      </c>
      <c r="BY1208" s="214">
        <v>0</v>
      </c>
      <c r="BZ1208" s="134">
        <v>0</v>
      </c>
      <c r="CA1208" s="138">
        <v>1</v>
      </c>
      <c r="CB1208" s="136">
        <v>1</v>
      </c>
      <c r="CC1208" s="136">
        <v>0</v>
      </c>
      <c r="CD1208" s="136">
        <v>0</v>
      </c>
      <c r="CE1208" s="137">
        <v>0</v>
      </c>
      <c r="CF1208" s="137">
        <v>0</v>
      </c>
      <c r="CG1208" s="137">
        <v>0</v>
      </c>
      <c r="CH1208" s="214">
        <v>0</v>
      </c>
      <c r="CI1208" s="139">
        <v>0</v>
      </c>
      <c r="CJ1208" s="139" t="s">
        <v>2959</v>
      </c>
      <c r="CK1208" s="139" t="s">
        <v>50</v>
      </c>
      <c r="CL1208" s="139" t="s">
        <v>50</v>
      </c>
      <c r="CM1208" s="139" t="s">
        <v>946</v>
      </c>
      <c r="CN1208" s="139" t="s">
        <v>51</v>
      </c>
      <c r="CO1208" s="139">
        <v>23.611999999999998</v>
      </c>
      <c r="CP1208" s="139">
        <v>97.506</v>
      </c>
      <c r="CQ1208" s="139" t="s">
        <v>1898</v>
      </c>
      <c r="CR1208" s="449" t="s">
        <v>40</v>
      </c>
      <c r="CS1208" s="449"/>
      <c r="CT1208" s="24"/>
      <c r="CU1208" s="24"/>
      <c r="CV1208" s="24"/>
    </row>
    <row r="1209" spans="1:100" ht="15.75" customHeight="1" x14ac:dyDescent="0.25">
      <c r="A1209" s="643" t="s">
        <v>1388</v>
      </c>
      <c r="B1209" s="132" t="s">
        <v>2449</v>
      </c>
      <c r="C1209" s="132" t="s">
        <v>866</v>
      </c>
      <c r="D1209" s="132" t="s">
        <v>867</v>
      </c>
      <c r="E1209" s="132" t="s">
        <v>878</v>
      </c>
      <c r="F1209" s="132">
        <v>74</v>
      </c>
      <c r="G1209" s="214">
        <v>391</v>
      </c>
      <c r="H1209" s="132"/>
      <c r="I1209" s="132" t="s">
        <v>2484</v>
      </c>
      <c r="J1209" s="133" t="s">
        <v>2485</v>
      </c>
      <c r="K1209" s="132">
        <v>0</v>
      </c>
      <c r="L1209" s="132" t="s">
        <v>48</v>
      </c>
      <c r="M1209" s="134">
        <v>0.4</v>
      </c>
      <c r="N1209" s="134">
        <v>0.2</v>
      </c>
      <c r="O1209" s="320">
        <v>0</v>
      </c>
      <c r="P1209" s="326">
        <v>1</v>
      </c>
      <c r="Q1209" s="326">
        <v>14400</v>
      </c>
      <c r="R1209" s="315"/>
      <c r="S1209" s="315">
        <v>4</v>
      </c>
      <c r="T1209" s="315"/>
      <c r="U1209" s="315">
        <v>2</v>
      </c>
      <c r="V1209" s="315"/>
      <c r="W1209" s="315">
        <v>4</v>
      </c>
      <c r="X1209" s="315">
        <v>4</v>
      </c>
      <c r="Y1209" s="315">
        <v>4</v>
      </c>
      <c r="Z1209" s="315"/>
      <c r="AA1209" s="336">
        <v>17</v>
      </c>
      <c r="AB1209" s="336">
        <v>4</v>
      </c>
      <c r="AC1209" s="337">
        <v>0</v>
      </c>
      <c r="AD1209" s="337"/>
      <c r="AE1209" s="336">
        <v>5</v>
      </c>
      <c r="AF1209" s="336" t="s">
        <v>283</v>
      </c>
      <c r="AG1209" s="339" t="s">
        <v>283</v>
      </c>
      <c r="AH1209" s="339"/>
      <c r="AI1209" s="336"/>
      <c r="AJ1209" s="336"/>
      <c r="AK1209" s="848">
        <v>1</v>
      </c>
      <c r="AL1209" s="836" t="s">
        <v>376</v>
      </c>
      <c r="AM1209" s="836"/>
      <c r="AN1209" s="848">
        <v>2</v>
      </c>
      <c r="AO1209" s="850">
        <v>2</v>
      </c>
      <c r="AP1209" s="839">
        <v>74</v>
      </c>
      <c r="AQ1209" s="839"/>
      <c r="AR1209" s="839" t="s">
        <v>48</v>
      </c>
      <c r="AS1209" s="839"/>
      <c r="AT1209" s="839"/>
      <c r="AU1209" s="839"/>
      <c r="AV1209" s="849"/>
      <c r="AW1209" s="134">
        <v>0</v>
      </c>
      <c r="AX1209" s="136">
        <v>1</v>
      </c>
      <c r="AY1209" s="137" t="s">
        <v>2577</v>
      </c>
      <c r="AZ1209" s="136">
        <v>1</v>
      </c>
      <c r="BA1209" s="136">
        <v>1</v>
      </c>
      <c r="BB1209" s="136">
        <v>1</v>
      </c>
      <c r="BC1209" s="214">
        <v>391</v>
      </c>
      <c r="BD1209" s="136">
        <v>0</v>
      </c>
      <c r="BE1209" s="214">
        <v>0</v>
      </c>
      <c r="BF1209" s="136">
        <v>1</v>
      </c>
      <c r="BG1209" s="214">
        <v>391</v>
      </c>
      <c r="BH1209" s="214">
        <v>0.78200000000000003</v>
      </c>
      <c r="BI1209" s="134">
        <v>0</v>
      </c>
      <c r="BJ1209" s="214">
        <v>0</v>
      </c>
      <c r="BK1209" s="137">
        <v>0.21799999999999997</v>
      </c>
      <c r="BL1209" s="137">
        <v>1</v>
      </c>
      <c r="BM1209" s="137">
        <v>21</v>
      </c>
      <c r="BN1209" s="134">
        <v>0.86956521739130432</v>
      </c>
      <c r="BO1209" s="351">
        <v>340</v>
      </c>
      <c r="BP1209" s="134">
        <v>0</v>
      </c>
      <c r="BQ1209" s="214">
        <v>0</v>
      </c>
      <c r="BR1209" s="137">
        <v>20</v>
      </c>
      <c r="BS1209" s="138">
        <v>0.19047619047619047</v>
      </c>
      <c r="BT1209" s="351">
        <v>0</v>
      </c>
      <c r="BU1209" s="214">
        <v>391</v>
      </c>
      <c r="BV1209" s="214">
        <v>0</v>
      </c>
      <c r="BW1209" s="214">
        <v>1</v>
      </c>
      <c r="BX1209" s="214">
        <v>1</v>
      </c>
      <c r="BY1209" s="214">
        <v>391</v>
      </c>
      <c r="BZ1209" s="134">
        <v>1</v>
      </c>
      <c r="CA1209" s="138">
        <v>0</v>
      </c>
      <c r="CB1209" s="136">
        <v>1</v>
      </c>
      <c r="CC1209" s="136">
        <v>1</v>
      </c>
      <c r="CD1209" s="136">
        <v>0</v>
      </c>
      <c r="CE1209" s="137">
        <v>370</v>
      </c>
      <c r="CF1209" s="137">
        <v>0</v>
      </c>
      <c r="CG1209" s="137">
        <v>370</v>
      </c>
      <c r="CH1209" s="214">
        <v>74</v>
      </c>
      <c r="CI1209" s="139" t="s">
        <v>48</v>
      </c>
      <c r="CJ1209" s="139" t="s">
        <v>287</v>
      </c>
      <c r="CK1209" s="139" t="s">
        <v>50</v>
      </c>
      <c r="CL1209" s="139" t="s">
        <v>50</v>
      </c>
      <c r="CM1209" s="139" t="s">
        <v>50</v>
      </c>
      <c r="CN1209" s="139" t="s">
        <v>51</v>
      </c>
      <c r="CO1209" s="139">
        <v>23.821380000000001</v>
      </c>
      <c r="CP1209" s="139">
        <v>97.681970000000007</v>
      </c>
      <c r="CQ1209" s="139" t="s">
        <v>1904</v>
      </c>
      <c r="CR1209" s="449" t="s">
        <v>40</v>
      </c>
      <c r="CS1209" s="449"/>
      <c r="CT1209" s="24"/>
      <c r="CU1209" s="24"/>
      <c r="CV1209" s="24"/>
    </row>
    <row r="1210" spans="1:100" ht="15.75" customHeight="1" x14ac:dyDescent="0.25">
      <c r="A1210" s="643" t="s">
        <v>1388</v>
      </c>
      <c r="B1210" s="132" t="s">
        <v>918</v>
      </c>
      <c r="C1210" s="132" t="s">
        <v>866</v>
      </c>
      <c r="D1210" s="132" t="s">
        <v>867</v>
      </c>
      <c r="E1210" s="132" t="s">
        <v>919</v>
      </c>
      <c r="F1210" s="132">
        <v>69</v>
      </c>
      <c r="G1210" s="214">
        <v>359</v>
      </c>
      <c r="H1210" s="132"/>
      <c r="I1210" s="132" t="s">
        <v>2486</v>
      </c>
      <c r="J1210" s="133" t="s">
        <v>2487</v>
      </c>
      <c r="K1210" s="132">
        <v>0</v>
      </c>
      <c r="L1210" s="132" t="s">
        <v>48</v>
      </c>
      <c r="M1210" s="134">
        <v>0.4</v>
      </c>
      <c r="N1210" s="134">
        <v>0.2</v>
      </c>
      <c r="O1210" s="320">
        <v>0</v>
      </c>
      <c r="P1210" s="326">
        <v>1</v>
      </c>
      <c r="Q1210" s="326">
        <v>29964</v>
      </c>
      <c r="R1210" s="315">
        <v>0</v>
      </c>
      <c r="S1210" s="315">
        <v>0</v>
      </c>
      <c r="T1210" s="315"/>
      <c r="U1210" s="315">
        <v>0</v>
      </c>
      <c r="V1210" s="315">
        <v>0</v>
      </c>
      <c r="W1210" s="315">
        <v>0</v>
      </c>
      <c r="X1210" s="315">
        <v>0</v>
      </c>
      <c r="Y1210" s="315">
        <v>0</v>
      </c>
      <c r="Z1210" s="315"/>
      <c r="AA1210" s="336">
        <v>10</v>
      </c>
      <c r="AB1210" s="336">
        <v>0</v>
      </c>
      <c r="AC1210" s="337">
        <v>0</v>
      </c>
      <c r="AD1210" s="337"/>
      <c r="AE1210" s="336">
        <v>10</v>
      </c>
      <c r="AF1210" s="336" t="s">
        <v>283</v>
      </c>
      <c r="AG1210" s="339" t="s">
        <v>283</v>
      </c>
      <c r="AH1210" s="339"/>
      <c r="AI1210" s="336"/>
      <c r="AJ1210" s="336"/>
      <c r="AK1210" s="848">
        <v>1</v>
      </c>
      <c r="AL1210" s="836" t="s">
        <v>376</v>
      </c>
      <c r="AM1210" s="836">
        <v>0</v>
      </c>
      <c r="AN1210" s="848">
        <v>2</v>
      </c>
      <c r="AO1210" s="850">
        <v>1</v>
      </c>
      <c r="AP1210" s="839">
        <v>100</v>
      </c>
      <c r="AQ1210" s="839">
        <v>0</v>
      </c>
      <c r="AR1210" s="839"/>
      <c r="AS1210" s="839"/>
      <c r="AT1210" s="839"/>
      <c r="AU1210" s="839"/>
      <c r="AV1210" s="849"/>
      <c r="AW1210" s="134" t="s">
        <v>3208</v>
      </c>
      <c r="AX1210" s="136" t="s">
        <v>3208</v>
      </c>
      <c r="AY1210" s="137" t="s">
        <v>2576</v>
      </c>
      <c r="AZ1210" s="136">
        <v>1</v>
      </c>
      <c r="BA1210" s="136">
        <v>1</v>
      </c>
      <c r="BB1210" s="136">
        <v>1</v>
      </c>
      <c r="BC1210" s="214">
        <v>359</v>
      </c>
      <c r="BD1210" s="136">
        <v>0</v>
      </c>
      <c r="BE1210" s="214">
        <v>0</v>
      </c>
      <c r="BF1210" s="136">
        <v>1</v>
      </c>
      <c r="BG1210" s="214">
        <v>359</v>
      </c>
      <c r="BH1210" s="214">
        <v>0.71799999999999997</v>
      </c>
      <c r="BI1210" s="134">
        <v>0</v>
      </c>
      <c r="BJ1210" s="214">
        <v>0</v>
      </c>
      <c r="BK1210" s="137">
        <v>0.28200000000000003</v>
      </c>
      <c r="BL1210" s="137">
        <v>1</v>
      </c>
      <c r="BM1210" s="137">
        <v>10</v>
      </c>
      <c r="BN1210" s="134">
        <v>0.55710306406685239</v>
      </c>
      <c r="BO1210" s="351">
        <v>200</v>
      </c>
      <c r="BP1210" s="134">
        <v>0.44568245125348194</v>
      </c>
      <c r="BQ1210" s="214">
        <v>8</v>
      </c>
      <c r="BR1210" s="137">
        <v>18</v>
      </c>
      <c r="BS1210" s="138">
        <v>0</v>
      </c>
      <c r="BT1210" s="351">
        <v>0</v>
      </c>
      <c r="BU1210" s="214">
        <v>359</v>
      </c>
      <c r="BV1210" s="214">
        <v>0</v>
      </c>
      <c r="BW1210" s="214">
        <v>1</v>
      </c>
      <c r="BX1210" s="214">
        <v>1</v>
      </c>
      <c r="BY1210" s="214">
        <v>359</v>
      </c>
      <c r="BZ1210" s="134">
        <v>1</v>
      </c>
      <c r="CA1210" s="138">
        <v>0</v>
      </c>
      <c r="CB1210" s="136">
        <v>1</v>
      </c>
      <c r="CC1210" s="136">
        <v>1</v>
      </c>
      <c r="CD1210" s="136">
        <v>0</v>
      </c>
      <c r="CE1210" s="137">
        <v>500</v>
      </c>
      <c r="CF1210" s="137">
        <v>0</v>
      </c>
      <c r="CG1210" s="137">
        <v>500</v>
      </c>
      <c r="CH1210" s="214">
        <v>69</v>
      </c>
      <c r="CI1210" s="139" t="s">
        <v>48</v>
      </c>
      <c r="CJ1210" s="139" t="s">
        <v>287</v>
      </c>
      <c r="CK1210" s="139" t="s">
        <v>50</v>
      </c>
      <c r="CL1210" s="139" t="s">
        <v>50</v>
      </c>
      <c r="CM1210" s="139" t="s">
        <v>50</v>
      </c>
      <c r="CN1210" s="139" t="s">
        <v>51</v>
      </c>
      <c r="CO1210" s="139">
        <v>23.828520000000001</v>
      </c>
      <c r="CP1210" s="139">
        <v>97.669557999999995</v>
      </c>
      <c r="CQ1210" s="139" t="s">
        <v>1907</v>
      </c>
      <c r="CR1210" s="449" t="s">
        <v>40</v>
      </c>
      <c r="CS1210" s="449"/>
      <c r="CT1210" s="24"/>
      <c r="CU1210" s="24"/>
      <c r="CV1210" s="24"/>
    </row>
    <row r="1211" spans="1:100" ht="15.75" customHeight="1" x14ac:dyDescent="0.25">
      <c r="A1211" s="643" t="s">
        <v>1388</v>
      </c>
      <c r="B1211" s="132" t="s">
        <v>2521</v>
      </c>
      <c r="C1211" s="132" t="s">
        <v>866</v>
      </c>
      <c r="D1211" s="132" t="s">
        <v>867</v>
      </c>
      <c r="E1211" s="132" t="s">
        <v>906</v>
      </c>
      <c r="F1211" s="132">
        <v>36</v>
      </c>
      <c r="G1211" s="214">
        <v>179</v>
      </c>
      <c r="H1211" s="132"/>
      <c r="I1211" s="132" t="s">
        <v>2522</v>
      </c>
      <c r="J1211" s="133" t="s">
        <v>2523</v>
      </c>
      <c r="K1211" s="132"/>
      <c r="L1211" s="132" t="s">
        <v>48</v>
      </c>
      <c r="M1211" s="134">
        <v>0.56999999999999995</v>
      </c>
      <c r="N1211" s="134">
        <v>0.14000000000000001</v>
      </c>
      <c r="O1211" s="320">
        <v>0</v>
      </c>
      <c r="P1211" s="326">
        <v>2</v>
      </c>
      <c r="Q1211" s="326">
        <v>24000</v>
      </c>
      <c r="R1211" s="315">
        <v>0</v>
      </c>
      <c r="S1211" s="315">
        <v>6</v>
      </c>
      <c r="T1211" s="315"/>
      <c r="U1211" s="315">
        <v>0</v>
      </c>
      <c r="V1211" s="315">
        <v>0</v>
      </c>
      <c r="W1211" s="315">
        <v>0</v>
      </c>
      <c r="X1211" s="315">
        <v>0</v>
      </c>
      <c r="Y1211" s="315">
        <v>0</v>
      </c>
      <c r="Z1211" s="315"/>
      <c r="AA1211" s="336">
        <v>17</v>
      </c>
      <c r="AB1211" s="336">
        <v>0</v>
      </c>
      <c r="AC1211" s="337">
        <v>0</v>
      </c>
      <c r="AD1211" s="337"/>
      <c r="AE1211" s="336">
        <v>17</v>
      </c>
      <c r="AF1211" s="336" t="s">
        <v>332</v>
      </c>
      <c r="AG1211" s="339" t="s">
        <v>283</v>
      </c>
      <c r="AH1211" s="339">
        <v>0</v>
      </c>
      <c r="AI1211" s="336">
        <v>0</v>
      </c>
      <c r="AJ1211" s="336"/>
      <c r="AK1211" s="848">
        <v>1</v>
      </c>
      <c r="AL1211" s="836" t="s">
        <v>376</v>
      </c>
      <c r="AM1211" s="836">
        <v>0</v>
      </c>
      <c r="AN1211" s="848">
        <v>1</v>
      </c>
      <c r="AO1211" s="850">
        <v>2</v>
      </c>
      <c r="AP1211" s="839">
        <v>100</v>
      </c>
      <c r="AQ1211" s="839">
        <v>100</v>
      </c>
      <c r="AR1211" s="839"/>
      <c r="AS1211" s="839"/>
      <c r="AT1211" s="839"/>
      <c r="AU1211" s="839"/>
      <c r="AV1211" s="849"/>
      <c r="AW1211" s="134" t="s">
        <v>3208</v>
      </c>
      <c r="AX1211" s="136" t="s">
        <v>3208</v>
      </c>
      <c r="AY1211" s="137" t="s">
        <v>2576</v>
      </c>
      <c r="AZ1211" s="136">
        <v>1</v>
      </c>
      <c r="BA1211" s="136">
        <v>1</v>
      </c>
      <c r="BB1211" s="136">
        <v>1</v>
      </c>
      <c r="BC1211" s="214">
        <v>179</v>
      </c>
      <c r="BD1211" s="136">
        <v>0</v>
      </c>
      <c r="BE1211" s="214">
        <v>0</v>
      </c>
      <c r="BF1211" s="136">
        <v>1</v>
      </c>
      <c r="BG1211" s="214">
        <v>179</v>
      </c>
      <c r="BH1211" s="214">
        <v>0.35799999999999998</v>
      </c>
      <c r="BI1211" s="134">
        <v>0</v>
      </c>
      <c r="BJ1211" s="214">
        <v>0</v>
      </c>
      <c r="BK1211" s="137">
        <v>0.64200000000000002</v>
      </c>
      <c r="BL1211" s="137">
        <v>1</v>
      </c>
      <c r="BM1211" s="137">
        <v>17</v>
      </c>
      <c r="BN1211" s="134">
        <v>1</v>
      </c>
      <c r="BO1211" s="351">
        <v>179</v>
      </c>
      <c r="BP1211" s="134">
        <v>0</v>
      </c>
      <c r="BQ1211" s="214">
        <v>0</v>
      </c>
      <c r="BR1211" s="137">
        <v>9</v>
      </c>
      <c r="BS1211" s="138">
        <v>0</v>
      </c>
      <c r="BT1211" s="351">
        <v>0</v>
      </c>
      <c r="BU1211" s="214">
        <v>179</v>
      </c>
      <c r="BV1211" s="214">
        <v>1</v>
      </c>
      <c r="BW1211" s="214">
        <v>1</v>
      </c>
      <c r="BX1211" s="214">
        <v>1</v>
      </c>
      <c r="BY1211" s="214">
        <v>179</v>
      </c>
      <c r="BZ1211" s="134">
        <v>1</v>
      </c>
      <c r="CA1211" s="138">
        <v>0</v>
      </c>
      <c r="CB1211" s="136">
        <v>1</v>
      </c>
      <c r="CC1211" s="136">
        <v>1</v>
      </c>
      <c r="CD1211" s="136">
        <v>1</v>
      </c>
      <c r="CE1211" s="137">
        <v>500</v>
      </c>
      <c r="CF1211" s="137">
        <v>500</v>
      </c>
      <c r="CG1211" s="137">
        <v>500</v>
      </c>
      <c r="CH1211" s="214">
        <v>36</v>
      </c>
      <c r="CI1211" s="139" t="s">
        <v>48</v>
      </c>
      <c r="CJ1211" s="139" t="s">
        <v>287</v>
      </c>
      <c r="CK1211" s="139" t="s">
        <v>50</v>
      </c>
      <c r="CL1211" s="139" t="s">
        <v>50</v>
      </c>
      <c r="CM1211" s="139" t="s">
        <v>50</v>
      </c>
      <c r="CN1211" s="139" t="s">
        <v>51</v>
      </c>
      <c r="CO1211" s="139">
        <v>23.841646999999998</v>
      </c>
      <c r="CP1211" s="139">
        <v>97.700940000000003</v>
      </c>
      <c r="CQ1211" s="139" t="s">
        <v>1913</v>
      </c>
      <c r="CR1211" s="449" t="s">
        <v>40</v>
      </c>
      <c r="CS1211" s="449"/>
      <c r="CT1211" s="24"/>
      <c r="CU1211" s="24"/>
      <c r="CV1211" s="24"/>
    </row>
    <row r="1212" spans="1:100" ht="15.75" customHeight="1" x14ac:dyDescent="0.25">
      <c r="A1212" s="643" t="s">
        <v>1388</v>
      </c>
      <c r="B1212" s="132" t="s">
        <v>2449</v>
      </c>
      <c r="C1212" s="132" t="s">
        <v>866</v>
      </c>
      <c r="D1212" s="132" t="s">
        <v>867</v>
      </c>
      <c r="E1212" s="132" t="s">
        <v>868</v>
      </c>
      <c r="F1212" s="132">
        <v>44</v>
      </c>
      <c r="G1212" s="214">
        <v>214</v>
      </c>
      <c r="H1212" s="132">
        <v>115</v>
      </c>
      <c r="I1212" s="132" t="s">
        <v>2484</v>
      </c>
      <c r="J1212" s="133" t="s">
        <v>2485</v>
      </c>
      <c r="K1212" s="132">
        <v>0</v>
      </c>
      <c r="L1212" s="132" t="s">
        <v>48</v>
      </c>
      <c r="M1212" s="134">
        <v>0.4</v>
      </c>
      <c r="N1212" s="134">
        <v>0.4</v>
      </c>
      <c r="O1212" s="320">
        <v>1</v>
      </c>
      <c r="P1212" s="326">
        <v>1</v>
      </c>
      <c r="Q1212" s="326">
        <v>10800</v>
      </c>
      <c r="R1212" s="315"/>
      <c r="S1212" s="315">
        <v>4</v>
      </c>
      <c r="T1212" s="315"/>
      <c r="U1212" s="315">
        <v>2</v>
      </c>
      <c r="V1212" s="315"/>
      <c r="W1212" s="315">
        <v>4</v>
      </c>
      <c r="X1212" s="315">
        <v>4</v>
      </c>
      <c r="Y1212" s="315">
        <v>4</v>
      </c>
      <c r="Z1212" s="315"/>
      <c r="AA1212" s="336">
        <v>16</v>
      </c>
      <c r="AB1212" s="336">
        <v>3</v>
      </c>
      <c r="AC1212" s="337">
        <v>1</v>
      </c>
      <c r="AD1212" s="337"/>
      <c r="AE1212" s="336">
        <v>17</v>
      </c>
      <c r="AF1212" s="336" t="s">
        <v>283</v>
      </c>
      <c r="AG1212" s="339" t="s">
        <v>283</v>
      </c>
      <c r="AH1212" s="339"/>
      <c r="AI1212" s="336"/>
      <c r="AJ1212" s="336"/>
      <c r="AK1212" s="848">
        <v>1</v>
      </c>
      <c r="AL1212" s="836" t="s">
        <v>376</v>
      </c>
      <c r="AM1212" s="836"/>
      <c r="AN1212" s="848">
        <v>2</v>
      </c>
      <c r="AO1212" s="850">
        <v>4</v>
      </c>
      <c r="AP1212" s="839">
        <v>43</v>
      </c>
      <c r="AQ1212" s="839"/>
      <c r="AR1212" s="839" t="s">
        <v>48</v>
      </c>
      <c r="AS1212" s="839"/>
      <c r="AT1212" s="839"/>
      <c r="AU1212" s="839"/>
      <c r="AV1212" s="849"/>
      <c r="AW1212" s="134">
        <v>0</v>
      </c>
      <c r="AX1212" s="136">
        <v>1</v>
      </c>
      <c r="AY1212" s="137" t="s">
        <v>2577</v>
      </c>
      <c r="AZ1212" s="136">
        <v>1</v>
      </c>
      <c r="BA1212" s="136">
        <v>1</v>
      </c>
      <c r="BB1212" s="136">
        <v>1</v>
      </c>
      <c r="BC1212" s="214">
        <v>214</v>
      </c>
      <c r="BD1212" s="136">
        <v>0</v>
      </c>
      <c r="BE1212" s="214">
        <v>0</v>
      </c>
      <c r="BF1212" s="136">
        <v>1</v>
      </c>
      <c r="BG1212" s="214">
        <v>214</v>
      </c>
      <c r="BH1212" s="214">
        <v>0.42799999999999999</v>
      </c>
      <c r="BI1212" s="134">
        <v>0</v>
      </c>
      <c r="BJ1212" s="214">
        <v>0</v>
      </c>
      <c r="BK1212" s="137">
        <v>0.57200000000000006</v>
      </c>
      <c r="BL1212" s="137">
        <v>1</v>
      </c>
      <c r="BM1212" s="137">
        <v>19</v>
      </c>
      <c r="BN1212" s="134">
        <v>1</v>
      </c>
      <c r="BO1212" s="351">
        <v>214</v>
      </c>
      <c r="BP1212" s="134">
        <v>0</v>
      </c>
      <c r="BQ1212" s="214">
        <v>0</v>
      </c>
      <c r="BR1212" s="137">
        <v>11</v>
      </c>
      <c r="BS1212" s="138">
        <v>0.15789473684210525</v>
      </c>
      <c r="BT1212" s="351">
        <v>20</v>
      </c>
      <c r="BU1212" s="214">
        <v>214</v>
      </c>
      <c r="BV1212" s="214">
        <v>0</v>
      </c>
      <c r="BW1212" s="214">
        <v>1</v>
      </c>
      <c r="BX1212" s="214">
        <v>0</v>
      </c>
      <c r="BY1212" s="214">
        <v>0</v>
      </c>
      <c r="BZ1212" s="134">
        <v>0</v>
      </c>
      <c r="CA1212" s="138">
        <v>1</v>
      </c>
      <c r="CB1212" s="136">
        <v>1</v>
      </c>
      <c r="CC1212" s="136">
        <v>0.97727272727272729</v>
      </c>
      <c r="CD1212" s="136">
        <v>0</v>
      </c>
      <c r="CE1212" s="137">
        <v>215</v>
      </c>
      <c r="CF1212" s="137">
        <v>0</v>
      </c>
      <c r="CG1212" s="137">
        <v>215</v>
      </c>
      <c r="CH1212" s="214">
        <v>44</v>
      </c>
      <c r="CI1212" s="139" t="s">
        <v>48</v>
      </c>
      <c r="CJ1212" s="139" t="s">
        <v>1545</v>
      </c>
      <c r="CK1212" s="139" t="s">
        <v>50</v>
      </c>
      <c r="CL1212" s="139" t="s">
        <v>50</v>
      </c>
      <c r="CM1212" s="139" t="s">
        <v>50</v>
      </c>
      <c r="CN1212" s="139" t="s">
        <v>51</v>
      </c>
      <c r="CO1212" s="139">
        <v>23.828150000000001</v>
      </c>
      <c r="CP1212" s="139">
        <v>97.670360000000002</v>
      </c>
      <c r="CQ1212" s="139" t="s">
        <v>1906</v>
      </c>
      <c r="CR1212" s="449" t="s">
        <v>40</v>
      </c>
      <c r="CS1212" s="449"/>
      <c r="CT1212" s="24"/>
      <c r="CU1212" s="24"/>
      <c r="CV1212" s="24"/>
    </row>
    <row r="1213" spans="1:100" ht="15.75" customHeight="1" x14ac:dyDescent="0.25">
      <c r="A1213" s="643" t="s">
        <v>1388</v>
      </c>
      <c r="B1213" s="132" t="s">
        <v>2488</v>
      </c>
      <c r="C1213" s="132" t="s">
        <v>866</v>
      </c>
      <c r="D1213" s="132" t="s">
        <v>867</v>
      </c>
      <c r="E1213" s="132" t="s">
        <v>908</v>
      </c>
      <c r="F1213" s="132">
        <v>121</v>
      </c>
      <c r="G1213" s="214">
        <v>504</v>
      </c>
      <c r="H1213" s="132"/>
      <c r="I1213" s="132" t="s">
        <v>2506</v>
      </c>
      <c r="J1213" s="133" t="s">
        <v>2507</v>
      </c>
      <c r="K1213" s="132">
        <v>0</v>
      </c>
      <c r="L1213" s="132" t="s">
        <v>48</v>
      </c>
      <c r="M1213" s="134">
        <v>0.5</v>
      </c>
      <c r="N1213" s="134">
        <v>1</v>
      </c>
      <c r="O1213" s="320"/>
      <c r="P1213" s="326">
        <v>1</v>
      </c>
      <c r="Q1213" s="326">
        <v>14400</v>
      </c>
      <c r="R1213" s="315"/>
      <c r="S1213" s="315">
        <v>2</v>
      </c>
      <c r="T1213" s="315"/>
      <c r="U1213" s="315">
        <v>0</v>
      </c>
      <c r="V1213" s="315">
        <v>0</v>
      </c>
      <c r="W1213" s="315">
        <v>0</v>
      </c>
      <c r="X1213" s="315">
        <v>0</v>
      </c>
      <c r="Y1213" s="315">
        <v>0</v>
      </c>
      <c r="Z1213" s="315"/>
      <c r="AA1213" s="336">
        <v>13</v>
      </c>
      <c r="AB1213" s="336">
        <v>3</v>
      </c>
      <c r="AC1213" s="337">
        <v>0</v>
      </c>
      <c r="AD1213" s="337"/>
      <c r="AE1213" s="336">
        <v>16</v>
      </c>
      <c r="AF1213" s="336" t="s">
        <v>283</v>
      </c>
      <c r="AG1213" s="339" t="s">
        <v>283</v>
      </c>
      <c r="AH1213" s="339">
        <v>0</v>
      </c>
      <c r="AI1213" s="336">
        <v>0</v>
      </c>
      <c r="AJ1213" s="336"/>
      <c r="AK1213" s="848">
        <v>1</v>
      </c>
      <c r="AL1213" s="836" t="s">
        <v>376</v>
      </c>
      <c r="AM1213" s="836"/>
      <c r="AN1213" s="848">
        <v>4</v>
      </c>
      <c r="AO1213" s="850">
        <v>2</v>
      </c>
      <c r="AP1213" s="839">
        <v>121</v>
      </c>
      <c r="AQ1213" s="839">
        <v>0</v>
      </c>
      <c r="AR1213" s="839"/>
      <c r="AS1213" s="839"/>
      <c r="AT1213" s="839"/>
      <c r="AU1213" s="839"/>
      <c r="AV1213" s="849"/>
      <c r="AW1213" s="134" t="s">
        <v>3208</v>
      </c>
      <c r="AX1213" s="136" t="s">
        <v>3208</v>
      </c>
      <c r="AY1213" s="137" t="s">
        <v>2576</v>
      </c>
      <c r="AZ1213" s="136">
        <v>1</v>
      </c>
      <c r="BA1213" s="136">
        <v>1</v>
      </c>
      <c r="BB1213" s="136">
        <v>1</v>
      </c>
      <c r="BC1213" s="214">
        <v>504</v>
      </c>
      <c r="BD1213" s="136">
        <v>0</v>
      </c>
      <c r="BE1213" s="214">
        <v>0</v>
      </c>
      <c r="BF1213" s="136">
        <v>1</v>
      </c>
      <c r="BG1213" s="214">
        <v>504</v>
      </c>
      <c r="BH1213" s="214">
        <v>1.008</v>
      </c>
      <c r="BI1213" s="134">
        <v>0</v>
      </c>
      <c r="BJ1213" s="214">
        <v>0</v>
      </c>
      <c r="BK1213" s="137">
        <v>0</v>
      </c>
      <c r="BL1213" s="137">
        <v>1</v>
      </c>
      <c r="BM1213" s="137">
        <v>16</v>
      </c>
      <c r="BN1213" s="134">
        <v>0.51587301587301593</v>
      </c>
      <c r="BO1213" s="351">
        <v>260</v>
      </c>
      <c r="BP1213" s="134">
        <v>0.35714285714285715</v>
      </c>
      <c r="BQ1213" s="214">
        <v>9</v>
      </c>
      <c r="BR1213" s="137">
        <v>25</v>
      </c>
      <c r="BS1213" s="138">
        <v>0.1875</v>
      </c>
      <c r="BT1213" s="351">
        <v>0</v>
      </c>
      <c r="BU1213" s="214">
        <v>504</v>
      </c>
      <c r="BV1213" s="214">
        <v>0</v>
      </c>
      <c r="BW1213" s="214">
        <v>1</v>
      </c>
      <c r="BX1213" s="214">
        <v>1</v>
      </c>
      <c r="BY1213" s="214">
        <v>504</v>
      </c>
      <c r="BZ1213" s="134">
        <v>1</v>
      </c>
      <c r="CA1213" s="138">
        <v>0</v>
      </c>
      <c r="CB1213" s="136">
        <v>1</v>
      </c>
      <c r="CC1213" s="136">
        <v>1</v>
      </c>
      <c r="CD1213" s="136">
        <v>0</v>
      </c>
      <c r="CE1213" s="137">
        <v>605</v>
      </c>
      <c r="CF1213" s="137">
        <v>0</v>
      </c>
      <c r="CG1213" s="137">
        <v>605</v>
      </c>
      <c r="CH1213" s="214">
        <v>121</v>
      </c>
      <c r="CI1213" s="139" t="s">
        <v>48</v>
      </c>
      <c r="CJ1213" s="139" t="s">
        <v>287</v>
      </c>
      <c r="CK1213" s="139" t="s">
        <v>50</v>
      </c>
      <c r="CL1213" s="139" t="s">
        <v>50</v>
      </c>
      <c r="CM1213" s="139" t="s">
        <v>50</v>
      </c>
      <c r="CN1213" s="139" t="s">
        <v>51</v>
      </c>
      <c r="CO1213" s="139">
        <v>23.838190000000001</v>
      </c>
      <c r="CP1213" s="139">
        <v>97.709879999999998</v>
      </c>
      <c r="CQ1213" s="139" t="s">
        <v>1912</v>
      </c>
      <c r="CR1213" s="449" t="s">
        <v>40</v>
      </c>
      <c r="CS1213" s="449"/>
      <c r="CT1213" s="24"/>
      <c r="CU1213" s="24"/>
      <c r="CV1213" s="24"/>
    </row>
    <row r="1214" spans="1:100" ht="15.75" customHeight="1" x14ac:dyDescent="0.25">
      <c r="A1214" s="643" t="s">
        <v>1388</v>
      </c>
      <c r="B1214" s="132" t="s">
        <v>2488</v>
      </c>
      <c r="C1214" s="132" t="s">
        <v>866</v>
      </c>
      <c r="D1214" s="132" t="s">
        <v>890</v>
      </c>
      <c r="E1214" s="132" t="s">
        <v>898</v>
      </c>
      <c r="F1214" s="132">
        <v>69</v>
      </c>
      <c r="G1214" s="214">
        <v>282</v>
      </c>
      <c r="H1214" s="132">
        <v>72</v>
      </c>
      <c r="I1214" s="132" t="s">
        <v>2508</v>
      </c>
      <c r="J1214" s="133" t="s">
        <v>2507</v>
      </c>
      <c r="K1214" s="132"/>
      <c r="L1214" s="132" t="s">
        <v>48</v>
      </c>
      <c r="M1214" s="134">
        <v>0.4</v>
      </c>
      <c r="N1214" s="134">
        <v>0.2</v>
      </c>
      <c r="O1214" s="320">
        <v>2</v>
      </c>
      <c r="P1214" s="326"/>
      <c r="Q1214" s="326">
        <v>7500</v>
      </c>
      <c r="R1214" s="315"/>
      <c r="S1214" s="315">
        <v>1</v>
      </c>
      <c r="T1214" s="315"/>
      <c r="U1214" s="315">
        <v>0</v>
      </c>
      <c r="V1214" s="315">
        <v>0</v>
      </c>
      <c r="W1214" s="315">
        <v>0</v>
      </c>
      <c r="X1214" s="315">
        <v>0</v>
      </c>
      <c r="Y1214" s="315">
        <v>0</v>
      </c>
      <c r="Z1214" s="315"/>
      <c r="AA1214" s="336">
        <v>16</v>
      </c>
      <c r="AB1214" s="336">
        <v>0</v>
      </c>
      <c r="AC1214" s="337">
        <v>0</v>
      </c>
      <c r="AD1214" s="337"/>
      <c r="AE1214" s="336">
        <v>16</v>
      </c>
      <c r="AF1214" s="336" t="s">
        <v>283</v>
      </c>
      <c r="AG1214" s="339" t="s">
        <v>283</v>
      </c>
      <c r="AH1214" s="339">
        <v>0</v>
      </c>
      <c r="AI1214" s="336">
        <v>0</v>
      </c>
      <c r="AJ1214" s="336"/>
      <c r="AK1214" s="848">
        <v>1</v>
      </c>
      <c r="AL1214" s="836" t="s">
        <v>376</v>
      </c>
      <c r="AM1214" s="836"/>
      <c r="AN1214" s="848">
        <v>2</v>
      </c>
      <c r="AO1214" s="850">
        <v>1</v>
      </c>
      <c r="AP1214" s="839">
        <v>59</v>
      </c>
      <c r="AQ1214" s="839">
        <v>0</v>
      </c>
      <c r="AR1214" s="839"/>
      <c r="AS1214" s="839"/>
      <c r="AT1214" s="839"/>
      <c r="AU1214" s="839"/>
      <c r="AV1214" s="849"/>
      <c r="AW1214" s="134" t="s">
        <v>3208</v>
      </c>
      <c r="AX1214" s="136" t="s">
        <v>3208</v>
      </c>
      <c r="AY1214" s="137" t="s">
        <v>2576</v>
      </c>
      <c r="AZ1214" s="136">
        <v>1</v>
      </c>
      <c r="BA1214" s="136">
        <v>1</v>
      </c>
      <c r="BB1214" s="136">
        <v>1</v>
      </c>
      <c r="BC1214" s="214">
        <v>282</v>
      </c>
      <c r="BD1214" s="136">
        <v>0</v>
      </c>
      <c r="BE1214" s="214">
        <v>0</v>
      </c>
      <c r="BF1214" s="136">
        <v>1</v>
      </c>
      <c r="BG1214" s="214">
        <v>282</v>
      </c>
      <c r="BH1214" s="214">
        <v>0.56399999999999995</v>
      </c>
      <c r="BI1214" s="134">
        <v>0</v>
      </c>
      <c r="BJ1214" s="214">
        <v>0</v>
      </c>
      <c r="BK1214" s="137">
        <v>0.43600000000000005</v>
      </c>
      <c r="BL1214" s="137">
        <v>1</v>
      </c>
      <c r="BM1214" s="137">
        <v>16</v>
      </c>
      <c r="BN1214" s="134">
        <v>1</v>
      </c>
      <c r="BO1214" s="351">
        <v>282</v>
      </c>
      <c r="BP1214" s="134">
        <v>0</v>
      </c>
      <c r="BQ1214" s="214">
        <v>0</v>
      </c>
      <c r="BR1214" s="137">
        <v>14</v>
      </c>
      <c r="BS1214" s="138">
        <v>0</v>
      </c>
      <c r="BT1214" s="351">
        <v>0</v>
      </c>
      <c r="BU1214" s="214">
        <v>282</v>
      </c>
      <c r="BV1214" s="214">
        <v>0</v>
      </c>
      <c r="BW1214" s="214">
        <v>1</v>
      </c>
      <c r="BX1214" s="214">
        <v>0</v>
      </c>
      <c r="BY1214" s="214">
        <v>0</v>
      </c>
      <c r="BZ1214" s="134">
        <v>0</v>
      </c>
      <c r="CA1214" s="138">
        <v>1</v>
      </c>
      <c r="CB1214" s="136">
        <v>1</v>
      </c>
      <c r="CC1214" s="136">
        <v>0.85507246376811596</v>
      </c>
      <c r="CD1214" s="136">
        <v>0</v>
      </c>
      <c r="CE1214" s="137">
        <v>295</v>
      </c>
      <c r="CF1214" s="137">
        <v>0</v>
      </c>
      <c r="CG1214" s="137">
        <v>295</v>
      </c>
      <c r="CH1214" s="214">
        <v>69</v>
      </c>
      <c r="CI1214" s="139" t="s">
        <v>48</v>
      </c>
      <c r="CJ1214" s="139" t="s">
        <v>1545</v>
      </c>
      <c r="CK1214" s="139" t="s">
        <v>50</v>
      </c>
      <c r="CL1214" s="139" t="s">
        <v>50</v>
      </c>
      <c r="CM1214" s="139" t="s">
        <v>50</v>
      </c>
      <c r="CN1214" s="139" t="s">
        <v>51</v>
      </c>
      <c r="CO1214" s="139">
        <v>23.099304</v>
      </c>
      <c r="CP1214" s="139">
        <v>97.400671000000003</v>
      </c>
      <c r="CQ1214" s="139" t="s">
        <v>1881</v>
      </c>
      <c r="CR1214" s="449" t="s">
        <v>40</v>
      </c>
      <c r="CS1214" s="449"/>
      <c r="CT1214" s="24"/>
      <c r="CU1214" s="24"/>
      <c r="CV1214" s="24"/>
    </row>
    <row r="1215" spans="1:100" ht="15.75" customHeight="1" x14ac:dyDescent="0.25">
      <c r="A1215" s="643" t="s">
        <v>1388</v>
      </c>
      <c r="B1215" s="132" t="s">
        <v>447</v>
      </c>
      <c r="C1215" s="132" t="s">
        <v>866</v>
      </c>
      <c r="D1215" s="132" t="s">
        <v>890</v>
      </c>
      <c r="E1215" s="132" t="s">
        <v>1278</v>
      </c>
      <c r="F1215" s="132">
        <v>58</v>
      </c>
      <c r="G1215" s="214">
        <v>257</v>
      </c>
      <c r="H1215" s="132"/>
      <c r="I1215" s="132" t="s">
        <v>449</v>
      </c>
      <c r="J1215" s="133">
        <v>43421</v>
      </c>
      <c r="K1215" s="132"/>
      <c r="L1215" s="132" t="s">
        <v>48</v>
      </c>
      <c r="M1215" s="134">
        <v>0.28999999999999998</v>
      </c>
      <c r="N1215" s="134">
        <v>0.28999999999999998</v>
      </c>
      <c r="O1215" s="320">
        <v>0</v>
      </c>
      <c r="P1215" s="326">
        <v>1</v>
      </c>
      <c r="Q1215" s="326">
        <v>7500</v>
      </c>
      <c r="R1215" s="315">
        <v>0</v>
      </c>
      <c r="S1215" s="315">
        <v>1</v>
      </c>
      <c r="T1215" s="315"/>
      <c r="U1215" s="315">
        <v>0</v>
      </c>
      <c r="V1215" s="315">
        <v>0</v>
      </c>
      <c r="W1215" s="315">
        <v>0</v>
      </c>
      <c r="X1215" s="315">
        <v>0</v>
      </c>
      <c r="Y1215" s="315">
        <v>0</v>
      </c>
      <c r="Z1215" s="315"/>
      <c r="AA1215" s="336">
        <v>10</v>
      </c>
      <c r="AB1215" s="336">
        <v>0</v>
      </c>
      <c r="AC1215" s="337">
        <v>0</v>
      </c>
      <c r="AD1215" s="337"/>
      <c r="AE1215" s="336">
        <v>10</v>
      </c>
      <c r="AF1215" s="336" t="s">
        <v>283</v>
      </c>
      <c r="AG1215" s="339" t="s">
        <v>332</v>
      </c>
      <c r="AH1215" s="339">
        <v>0</v>
      </c>
      <c r="AI1215" s="336">
        <v>0</v>
      </c>
      <c r="AJ1215" s="336"/>
      <c r="AK1215" s="848">
        <v>0</v>
      </c>
      <c r="AL1215" s="836"/>
      <c r="AM1215" s="836">
        <v>0</v>
      </c>
      <c r="AN1215" s="848">
        <v>1</v>
      </c>
      <c r="AO1215" s="850">
        <v>1</v>
      </c>
      <c r="AP1215" s="839">
        <v>58</v>
      </c>
      <c r="AQ1215" s="839">
        <v>0</v>
      </c>
      <c r="AR1215" s="839"/>
      <c r="AS1215" s="839"/>
      <c r="AT1215" s="839"/>
      <c r="AU1215" s="839"/>
      <c r="AV1215" s="849"/>
      <c r="AW1215" s="134" t="s">
        <v>3208</v>
      </c>
      <c r="AX1215" s="136" t="s">
        <v>3208</v>
      </c>
      <c r="AY1215" s="137" t="s">
        <v>2576</v>
      </c>
      <c r="AZ1215" s="136">
        <v>1</v>
      </c>
      <c r="BA1215" s="136">
        <v>1</v>
      </c>
      <c r="BB1215" s="136">
        <v>1</v>
      </c>
      <c r="BC1215" s="214">
        <v>257</v>
      </c>
      <c r="BD1215" s="136">
        <v>0</v>
      </c>
      <c r="BE1215" s="214">
        <v>0</v>
      </c>
      <c r="BF1215" s="136">
        <v>1</v>
      </c>
      <c r="BG1215" s="214">
        <v>257</v>
      </c>
      <c r="BH1215" s="214">
        <v>0.51400000000000001</v>
      </c>
      <c r="BI1215" s="134">
        <v>0</v>
      </c>
      <c r="BJ1215" s="214">
        <v>0</v>
      </c>
      <c r="BK1215" s="137">
        <v>0.48599999999999999</v>
      </c>
      <c r="BL1215" s="137">
        <v>1</v>
      </c>
      <c r="BM1215" s="137">
        <v>10</v>
      </c>
      <c r="BN1215" s="134">
        <v>0.77821011673151752</v>
      </c>
      <c r="BO1215" s="351">
        <v>200</v>
      </c>
      <c r="BP1215" s="134">
        <v>0.23346303501945526</v>
      </c>
      <c r="BQ1215" s="214">
        <v>3</v>
      </c>
      <c r="BR1215" s="137">
        <v>13</v>
      </c>
      <c r="BS1215" s="138">
        <v>0</v>
      </c>
      <c r="BT1215" s="351">
        <v>0</v>
      </c>
      <c r="BU1215" s="214">
        <v>257</v>
      </c>
      <c r="BV1215" s="214">
        <v>0</v>
      </c>
      <c r="BW1215" s="214">
        <v>1</v>
      </c>
      <c r="BX1215" s="214">
        <v>1</v>
      </c>
      <c r="BY1215" s="214">
        <v>257</v>
      </c>
      <c r="BZ1215" s="134">
        <v>1</v>
      </c>
      <c r="CA1215" s="138">
        <v>0</v>
      </c>
      <c r="CB1215" s="136">
        <v>1</v>
      </c>
      <c r="CC1215" s="136">
        <v>1</v>
      </c>
      <c r="CD1215" s="136">
        <v>0</v>
      </c>
      <c r="CE1215" s="137">
        <v>290</v>
      </c>
      <c r="CF1215" s="137">
        <v>0</v>
      </c>
      <c r="CG1215" s="137">
        <v>290</v>
      </c>
      <c r="CH1215" s="214">
        <v>0</v>
      </c>
      <c r="CI1215" s="139">
        <v>0</v>
      </c>
      <c r="CJ1215" s="139">
        <v>0</v>
      </c>
      <c r="CK1215" s="139" t="s">
        <v>1921</v>
      </c>
      <c r="CL1215" s="139" t="s">
        <v>50</v>
      </c>
      <c r="CM1215" s="139" t="s">
        <v>50</v>
      </c>
      <c r="CN1215" s="139" t="s">
        <v>51</v>
      </c>
      <c r="CO1215" s="139">
        <v>0</v>
      </c>
      <c r="CP1215" s="139">
        <v>0</v>
      </c>
      <c r="CQ1215" s="139">
        <v>0</v>
      </c>
      <c r="CR1215" s="449" t="s">
        <v>40</v>
      </c>
      <c r="CS1215" s="449"/>
      <c r="CT1215" s="24"/>
      <c r="CU1215" s="24"/>
      <c r="CV1215" s="24"/>
    </row>
    <row r="1216" spans="1:100" ht="15.75" customHeight="1" x14ac:dyDescent="0.25">
      <c r="A1216" s="643" t="s">
        <v>1388</v>
      </c>
      <c r="B1216" s="132" t="s">
        <v>338</v>
      </c>
      <c r="C1216" s="132" t="s">
        <v>866</v>
      </c>
      <c r="D1216" s="132" t="s">
        <v>890</v>
      </c>
      <c r="E1216" s="132" t="s">
        <v>899</v>
      </c>
      <c r="F1216" s="132">
        <v>28</v>
      </c>
      <c r="G1216" s="214">
        <v>128</v>
      </c>
      <c r="H1216" s="132"/>
      <c r="I1216" s="132" t="s">
        <v>886</v>
      </c>
      <c r="J1216" s="133" t="s">
        <v>2477</v>
      </c>
      <c r="K1216" s="132">
        <v>0</v>
      </c>
      <c r="L1216" s="132" t="s">
        <v>282</v>
      </c>
      <c r="M1216" s="134">
        <v>0</v>
      </c>
      <c r="N1216" s="134">
        <v>0</v>
      </c>
      <c r="O1216" s="320"/>
      <c r="P1216" s="326">
        <v>1</v>
      </c>
      <c r="Q1216" s="326">
        <v>1800</v>
      </c>
      <c r="R1216" s="315"/>
      <c r="S1216" s="315">
        <v>2</v>
      </c>
      <c r="T1216" s="315"/>
      <c r="U1216" s="315">
        <v>0</v>
      </c>
      <c r="V1216" s="315">
        <v>0</v>
      </c>
      <c r="W1216" s="315">
        <v>0</v>
      </c>
      <c r="X1216" s="315">
        <v>0</v>
      </c>
      <c r="Y1216" s="315">
        <v>0</v>
      </c>
      <c r="Z1216" s="315"/>
      <c r="AA1216" s="336">
        <v>7</v>
      </c>
      <c r="AB1216" s="336">
        <v>0</v>
      </c>
      <c r="AC1216" s="337">
        <v>0</v>
      </c>
      <c r="AD1216" s="337"/>
      <c r="AE1216" s="336">
        <v>5</v>
      </c>
      <c r="AF1216" s="336" t="s">
        <v>283</v>
      </c>
      <c r="AG1216" s="339" t="s">
        <v>283</v>
      </c>
      <c r="AH1216" s="339">
        <v>0</v>
      </c>
      <c r="AI1216" s="336">
        <v>0</v>
      </c>
      <c r="AJ1216" s="336"/>
      <c r="AK1216" s="848">
        <v>0.7</v>
      </c>
      <c r="AL1216" s="836" t="s">
        <v>376</v>
      </c>
      <c r="AM1216" s="836"/>
      <c r="AN1216" s="848">
        <v>2</v>
      </c>
      <c r="AO1216" s="850">
        <v>2</v>
      </c>
      <c r="AP1216" s="839">
        <v>0</v>
      </c>
      <c r="AQ1216" s="839">
        <v>0</v>
      </c>
      <c r="AR1216" s="839"/>
      <c r="AS1216" s="839"/>
      <c r="AT1216" s="839"/>
      <c r="AU1216" s="839"/>
      <c r="AV1216" s="849"/>
      <c r="AW1216" s="134" t="s">
        <v>3208</v>
      </c>
      <c r="AX1216" s="136" t="s">
        <v>3208</v>
      </c>
      <c r="AY1216" s="137" t="s">
        <v>2576</v>
      </c>
      <c r="AZ1216" s="136">
        <v>1</v>
      </c>
      <c r="BA1216" s="136">
        <v>1</v>
      </c>
      <c r="BB1216" s="136">
        <v>1</v>
      </c>
      <c r="BC1216" s="214">
        <v>128</v>
      </c>
      <c r="BD1216" s="136">
        <v>0</v>
      </c>
      <c r="BE1216" s="214">
        <v>0</v>
      </c>
      <c r="BF1216" s="136">
        <v>1</v>
      </c>
      <c r="BG1216" s="214">
        <v>128</v>
      </c>
      <c r="BH1216" s="214">
        <v>0.25600000000000001</v>
      </c>
      <c r="BI1216" s="134">
        <v>0</v>
      </c>
      <c r="BJ1216" s="214">
        <v>0</v>
      </c>
      <c r="BK1216" s="137">
        <v>0.74399999999999999</v>
      </c>
      <c r="BL1216" s="137">
        <v>1</v>
      </c>
      <c r="BM1216" s="137">
        <v>7</v>
      </c>
      <c r="BN1216" s="134">
        <v>1</v>
      </c>
      <c r="BO1216" s="351">
        <v>128</v>
      </c>
      <c r="BP1216" s="134">
        <v>0</v>
      </c>
      <c r="BQ1216" s="214">
        <v>0</v>
      </c>
      <c r="BR1216" s="137">
        <v>6</v>
      </c>
      <c r="BS1216" s="138">
        <v>0</v>
      </c>
      <c r="BT1216" s="351">
        <v>0</v>
      </c>
      <c r="BU1216" s="214">
        <v>128</v>
      </c>
      <c r="BV1216" s="214">
        <v>0</v>
      </c>
      <c r="BW1216" s="214">
        <v>1</v>
      </c>
      <c r="BX1216" s="214">
        <v>0</v>
      </c>
      <c r="BY1216" s="214">
        <v>0</v>
      </c>
      <c r="BZ1216" s="134">
        <v>0</v>
      </c>
      <c r="CA1216" s="138">
        <v>1</v>
      </c>
      <c r="CB1216" s="136">
        <v>1</v>
      </c>
      <c r="CC1216" s="136">
        <v>0</v>
      </c>
      <c r="CD1216" s="136">
        <v>0</v>
      </c>
      <c r="CE1216" s="137">
        <v>0</v>
      </c>
      <c r="CF1216" s="137">
        <v>0</v>
      </c>
      <c r="CG1216" s="137">
        <v>0</v>
      </c>
      <c r="CH1216" s="214">
        <v>19.599999999999998</v>
      </c>
      <c r="CI1216" s="139" t="s">
        <v>48</v>
      </c>
      <c r="CJ1216" s="139" t="s">
        <v>1545</v>
      </c>
      <c r="CK1216" s="139" t="s">
        <v>50</v>
      </c>
      <c r="CL1216" s="139" t="s">
        <v>50</v>
      </c>
      <c r="CM1216" s="139" t="s">
        <v>50</v>
      </c>
      <c r="CN1216" s="139" t="s">
        <v>51</v>
      </c>
      <c r="CO1216" s="139">
        <v>0</v>
      </c>
      <c r="CP1216" s="139">
        <v>0</v>
      </c>
      <c r="CQ1216" s="139" t="s">
        <v>1544</v>
      </c>
      <c r="CR1216" s="449" t="s">
        <v>40</v>
      </c>
      <c r="CS1216" s="449"/>
      <c r="CT1216" s="24"/>
      <c r="CU1216" s="24"/>
      <c r="CV1216" s="24"/>
    </row>
    <row r="1217" spans="1:100" ht="15.75" customHeight="1" x14ac:dyDescent="0.25">
      <c r="A1217" s="643" t="s">
        <v>1388</v>
      </c>
      <c r="B1217" s="132" t="s">
        <v>2524</v>
      </c>
      <c r="C1217" s="132" t="s">
        <v>866</v>
      </c>
      <c r="D1217" s="132" t="s">
        <v>890</v>
      </c>
      <c r="E1217" s="132" t="s">
        <v>902</v>
      </c>
      <c r="F1217" s="132">
        <v>57</v>
      </c>
      <c r="G1217" s="214">
        <v>263</v>
      </c>
      <c r="H1217" s="132"/>
      <c r="I1217" s="132" t="s">
        <v>2525</v>
      </c>
      <c r="J1217" s="133" t="s">
        <v>2526</v>
      </c>
      <c r="K1217" s="132"/>
      <c r="L1217" s="132" t="s">
        <v>48</v>
      </c>
      <c r="M1217" s="134">
        <v>0.8</v>
      </c>
      <c r="N1217" s="134">
        <v>0.5</v>
      </c>
      <c r="O1217" s="320">
        <v>0</v>
      </c>
      <c r="P1217" s="326">
        <v>1</v>
      </c>
      <c r="Q1217" s="326">
        <v>7500</v>
      </c>
      <c r="R1217" s="315">
        <v>0</v>
      </c>
      <c r="S1217" s="315">
        <v>7</v>
      </c>
      <c r="T1217" s="315"/>
      <c r="U1217" s="315">
        <v>0</v>
      </c>
      <c r="V1217" s="315">
        <v>0</v>
      </c>
      <c r="W1217" s="315">
        <v>0</v>
      </c>
      <c r="X1217" s="315">
        <v>0</v>
      </c>
      <c r="Y1217" s="315">
        <v>0</v>
      </c>
      <c r="Z1217" s="315"/>
      <c r="AA1217" s="336">
        <v>16</v>
      </c>
      <c r="AB1217" s="336">
        <v>0</v>
      </c>
      <c r="AC1217" s="337">
        <v>0</v>
      </c>
      <c r="AD1217" s="337"/>
      <c r="AE1217" s="336">
        <v>16</v>
      </c>
      <c r="AF1217" s="336" t="s">
        <v>283</v>
      </c>
      <c r="AG1217" s="339" t="s">
        <v>283</v>
      </c>
      <c r="AH1217" s="339">
        <v>0</v>
      </c>
      <c r="AI1217" s="336">
        <v>0</v>
      </c>
      <c r="AJ1217" s="336"/>
      <c r="AK1217" s="848">
        <v>0.8</v>
      </c>
      <c r="AL1217" s="836" t="s">
        <v>376</v>
      </c>
      <c r="AM1217" s="836">
        <v>0</v>
      </c>
      <c r="AN1217" s="848">
        <v>4</v>
      </c>
      <c r="AO1217" s="850">
        <v>2</v>
      </c>
      <c r="AP1217" s="839">
        <v>48</v>
      </c>
      <c r="AQ1217" s="839">
        <v>0</v>
      </c>
      <c r="AR1217" s="839"/>
      <c r="AS1217" s="839"/>
      <c r="AT1217" s="839"/>
      <c r="AU1217" s="839"/>
      <c r="AV1217" s="849"/>
      <c r="AW1217" s="134" t="s">
        <v>3208</v>
      </c>
      <c r="AX1217" s="136" t="s">
        <v>3208</v>
      </c>
      <c r="AY1217" s="137" t="s">
        <v>2576</v>
      </c>
      <c r="AZ1217" s="136">
        <v>1</v>
      </c>
      <c r="BA1217" s="136">
        <v>1</v>
      </c>
      <c r="BB1217" s="136">
        <v>1</v>
      </c>
      <c r="BC1217" s="214">
        <v>263</v>
      </c>
      <c r="BD1217" s="136">
        <v>0</v>
      </c>
      <c r="BE1217" s="214">
        <v>0</v>
      </c>
      <c r="BF1217" s="136">
        <v>1</v>
      </c>
      <c r="BG1217" s="214">
        <v>263</v>
      </c>
      <c r="BH1217" s="214">
        <v>0.52600000000000002</v>
      </c>
      <c r="BI1217" s="134">
        <v>0</v>
      </c>
      <c r="BJ1217" s="214">
        <v>0</v>
      </c>
      <c r="BK1217" s="137">
        <v>0.47399999999999998</v>
      </c>
      <c r="BL1217" s="137">
        <v>1</v>
      </c>
      <c r="BM1217" s="137">
        <v>16</v>
      </c>
      <c r="BN1217" s="134">
        <v>1</v>
      </c>
      <c r="BO1217" s="351">
        <v>263</v>
      </c>
      <c r="BP1217" s="134">
        <v>0</v>
      </c>
      <c r="BQ1217" s="214">
        <v>0</v>
      </c>
      <c r="BR1217" s="137">
        <v>13</v>
      </c>
      <c r="BS1217" s="138">
        <v>0</v>
      </c>
      <c r="BT1217" s="351">
        <v>0</v>
      </c>
      <c r="BU1217" s="214">
        <v>263</v>
      </c>
      <c r="BV1217" s="214">
        <v>0</v>
      </c>
      <c r="BW1217" s="214">
        <v>1</v>
      </c>
      <c r="BX1217" s="214">
        <v>0</v>
      </c>
      <c r="BY1217" s="214">
        <v>0</v>
      </c>
      <c r="BZ1217" s="134">
        <v>0</v>
      </c>
      <c r="CA1217" s="138">
        <v>1</v>
      </c>
      <c r="CB1217" s="136">
        <v>1</v>
      </c>
      <c r="CC1217" s="136">
        <v>0.84210526315789469</v>
      </c>
      <c r="CD1217" s="136">
        <v>0</v>
      </c>
      <c r="CE1217" s="137">
        <v>240</v>
      </c>
      <c r="CF1217" s="137">
        <v>0</v>
      </c>
      <c r="CG1217" s="137">
        <v>240</v>
      </c>
      <c r="CH1217" s="214">
        <v>45.6</v>
      </c>
      <c r="CI1217" s="139" t="s">
        <v>48</v>
      </c>
      <c r="CJ1217" s="139" t="s">
        <v>287</v>
      </c>
      <c r="CK1217" s="139" t="s">
        <v>50</v>
      </c>
      <c r="CL1217" s="139" t="s">
        <v>50</v>
      </c>
      <c r="CM1217" s="139" t="s">
        <v>50</v>
      </c>
      <c r="CN1217" s="139" t="s">
        <v>51</v>
      </c>
      <c r="CO1217" s="139">
        <v>23.094290000000001</v>
      </c>
      <c r="CP1217" s="139">
        <v>97.404089999999997</v>
      </c>
      <c r="CQ1217" s="139" t="s">
        <v>1880</v>
      </c>
      <c r="CR1217" s="449" t="s">
        <v>40</v>
      </c>
      <c r="CS1217" s="449"/>
      <c r="CT1217" s="24"/>
      <c r="CU1217" s="24"/>
      <c r="CV1217" s="24"/>
    </row>
    <row r="1218" spans="1:100" ht="15.75" customHeight="1" x14ac:dyDescent="0.25">
      <c r="A1218" s="643" t="s">
        <v>1388</v>
      </c>
      <c r="B1218" s="132" t="s">
        <v>338</v>
      </c>
      <c r="C1218" s="132" t="s">
        <v>866</v>
      </c>
      <c r="D1218" s="132" t="s">
        <v>890</v>
      </c>
      <c r="E1218" s="132" t="s">
        <v>891</v>
      </c>
      <c r="F1218" s="132">
        <v>19</v>
      </c>
      <c r="G1218" s="214">
        <v>82</v>
      </c>
      <c r="H1218" s="132"/>
      <c r="I1218" s="132" t="s">
        <v>886</v>
      </c>
      <c r="J1218" s="133" t="s">
        <v>2477</v>
      </c>
      <c r="K1218" s="132"/>
      <c r="L1218" s="132" t="s">
        <v>286</v>
      </c>
      <c r="M1218" s="134" t="s">
        <v>286</v>
      </c>
      <c r="N1218" s="134" t="s">
        <v>286</v>
      </c>
      <c r="O1218" s="320">
        <v>0</v>
      </c>
      <c r="P1218" s="326">
        <v>0</v>
      </c>
      <c r="Q1218" s="326">
        <v>17280</v>
      </c>
      <c r="R1218" s="315">
        <v>1</v>
      </c>
      <c r="S1218" s="315"/>
      <c r="T1218" s="315"/>
      <c r="U1218" s="315">
        <v>0</v>
      </c>
      <c r="V1218" s="315">
        <v>0</v>
      </c>
      <c r="W1218" s="315">
        <v>0</v>
      </c>
      <c r="X1218" s="315">
        <v>0</v>
      </c>
      <c r="Y1218" s="315">
        <v>0</v>
      </c>
      <c r="Z1218" s="315" t="s">
        <v>892</v>
      </c>
      <c r="AA1218" s="336">
        <v>17</v>
      </c>
      <c r="AB1218" s="336">
        <v>0</v>
      </c>
      <c r="AC1218" s="337">
        <v>0</v>
      </c>
      <c r="AD1218" s="337"/>
      <c r="AE1218" s="336">
        <v>17</v>
      </c>
      <c r="AF1218" s="336" t="s">
        <v>332</v>
      </c>
      <c r="AG1218" s="339" t="s">
        <v>332</v>
      </c>
      <c r="AH1218" s="339">
        <v>0</v>
      </c>
      <c r="AI1218" s="336">
        <v>0</v>
      </c>
      <c r="AJ1218" s="336"/>
      <c r="AK1218" s="848">
        <v>0</v>
      </c>
      <c r="AL1218" s="836" t="s">
        <v>284</v>
      </c>
      <c r="AM1218" s="836"/>
      <c r="AN1218" s="848"/>
      <c r="AO1218" s="850">
        <v>1</v>
      </c>
      <c r="AP1218" s="839">
        <v>0</v>
      </c>
      <c r="AQ1218" s="839">
        <v>0</v>
      </c>
      <c r="AR1218" s="839"/>
      <c r="AS1218" s="839"/>
      <c r="AT1218" s="839"/>
      <c r="AU1218" s="839"/>
      <c r="AV1218" s="849"/>
      <c r="AW1218" s="134" t="s">
        <v>3208</v>
      </c>
      <c r="AX1218" s="136" t="s">
        <v>3208</v>
      </c>
      <c r="AY1218" s="137" t="s">
        <v>2576</v>
      </c>
      <c r="AZ1218" s="136">
        <v>1</v>
      </c>
      <c r="BA1218" s="136">
        <v>1</v>
      </c>
      <c r="BB1218" s="136">
        <v>1</v>
      </c>
      <c r="BC1218" s="214">
        <v>82</v>
      </c>
      <c r="BD1218" s="136">
        <v>1</v>
      </c>
      <c r="BE1218" s="214">
        <v>82</v>
      </c>
      <c r="BF1218" s="136">
        <v>1</v>
      </c>
      <c r="BG1218" s="214">
        <v>82</v>
      </c>
      <c r="BH1218" s="214">
        <v>0.16400000000000001</v>
      </c>
      <c r="BI1218" s="134">
        <v>0</v>
      </c>
      <c r="BJ1218" s="214">
        <v>0</v>
      </c>
      <c r="BK1218" s="137">
        <v>0.83599999999999997</v>
      </c>
      <c r="BL1218" s="137">
        <v>1</v>
      </c>
      <c r="BM1218" s="137">
        <v>17</v>
      </c>
      <c r="BN1218" s="134">
        <v>1</v>
      </c>
      <c r="BO1218" s="351">
        <v>82</v>
      </c>
      <c r="BP1218" s="134">
        <v>0</v>
      </c>
      <c r="BQ1218" s="214">
        <v>0</v>
      </c>
      <c r="BR1218" s="137">
        <v>4</v>
      </c>
      <c r="BS1218" s="138">
        <v>0</v>
      </c>
      <c r="BT1218" s="351">
        <v>0</v>
      </c>
      <c r="BU1218" s="214">
        <v>82</v>
      </c>
      <c r="BV1218" s="214">
        <v>0</v>
      </c>
      <c r="BW1218" s="214">
        <v>1</v>
      </c>
      <c r="BX1218" s="214">
        <v>0</v>
      </c>
      <c r="BY1218" s="214">
        <v>0</v>
      </c>
      <c r="BZ1218" s="134">
        <v>0</v>
      </c>
      <c r="CA1218" s="138">
        <v>1</v>
      </c>
      <c r="CB1218" s="136">
        <v>1</v>
      </c>
      <c r="CC1218" s="136">
        <v>0</v>
      </c>
      <c r="CD1218" s="136">
        <v>0</v>
      </c>
      <c r="CE1218" s="137">
        <v>0</v>
      </c>
      <c r="CF1218" s="137">
        <v>0</v>
      </c>
      <c r="CG1218" s="137">
        <v>0</v>
      </c>
      <c r="CH1218" s="214">
        <v>0</v>
      </c>
      <c r="CI1218" s="139">
        <v>0</v>
      </c>
      <c r="CJ1218" s="139" t="s">
        <v>2959</v>
      </c>
      <c r="CK1218" s="139" t="s">
        <v>50</v>
      </c>
      <c r="CL1218" s="139" t="s">
        <v>50</v>
      </c>
      <c r="CM1218" s="139" t="s">
        <v>946</v>
      </c>
      <c r="CN1218" s="139" t="s">
        <v>51</v>
      </c>
      <c r="CO1218" s="139">
        <v>22.765999999999998</v>
      </c>
      <c r="CP1218" s="139">
        <v>97.358999999999995</v>
      </c>
      <c r="CQ1218" s="139" t="s">
        <v>1878</v>
      </c>
      <c r="CR1218" s="449" t="s">
        <v>40</v>
      </c>
      <c r="CS1218" s="449"/>
      <c r="CT1218" s="24"/>
      <c r="CU1218" s="24"/>
      <c r="CV1218" s="24"/>
    </row>
    <row r="1223" spans="1:100" x14ac:dyDescent="0.25">
      <c r="P1223" s="43"/>
      <c r="Q1223" s="43"/>
    </row>
  </sheetData>
  <mergeCells count="7">
    <mergeCell ref="BP4:BR4"/>
    <mergeCell ref="O1:Z1"/>
    <mergeCell ref="AA1:AJ1"/>
    <mergeCell ref="AK1:AV1"/>
    <mergeCell ref="BF4:BG4"/>
    <mergeCell ref="BI4:BJ4"/>
    <mergeCell ref="AW4:AY4"/>
  </mergeCells>
  <conditionalFormatting sqref="BP5">
    <cfRule type="iconSet" priority="113">
      <iconSet reverse="1">
        <cfvo type="percent" val="0"/>
        <cfvo type="percent" val="0" gte="0"/>
        <cfvo type="percent" val="30"/>
      </iconSet>
    </cfRule>
  </conditionalFormatting>
  <conditionalFormatting sqref="CA4:CA5 BU4:BY4">
    <cfRule type="iconSet" priority="112">
      <iconSet reverse="1">
        <cfvo type="percent" val="0"/>
        <cfvo type="percent" val="0" gte="0"/>
        <cfvo type="percent" val="30"/>
      </iconSet>
    </cfRule>
  </conditionalFormatting>
  <conditionalFormatting sqref="BS4:BT4">
    <cfRule type="iconSet" priority="239">
      <iconSet reverse="1">
        <cfvo type="percent" val="0"/>
        <cfvo type="percent" val="0" gte="0"/>
        <cfvo type="percent" val="10"/>
      </iconSet>
    </cfRule>
  </conditionalFormatting>
  <conditionalFormatting sqref="BP3">
    <cfRule type="iconSet" priority="93">
      <iconSet reverse="1">
        <cfvo type="percent" val="0"/>
        <cfvo type="percent" val="0" gte="0"/>
        <cfvo type="percent" val="30"/>
      </iconSet>
    </cfRule>
  </conditionalFormatting>
  <conditionalFormatting sqref="CA3">
    <cfRule type="iconSet" priority="92">
      <iconSet reverse="1">
        <cfvo type="percent" val="0"/>
        <cfvo type="percent" val="0" gte="0"/>
        <cfvo type="percent" val="30"/>
      </iconSet>
    </cfRule>
  </conditionalFormatting>
  <conditionalFormatting sqref="BI5">
    <cfRule type="iconSet" priority="11002">
      <iconSet reverse="1">
        <cfvo type="percent" val="0"/>
        <cfvo type="percent" val="0" gte="0"/>
        <cfvo type="percent" val="30"/>
      </iconSet>
    </cfRule>
  </conditionalFormatting>
  <conditionalFormatting sqref="BI3">
    <cfRule type="iconSet" priority="11005">
      <iconSet reverse="1">
        <cfvo type="percent" val="0"/>
        <cfvo type="percent" val="0" gte="0"/>
        <cfvo type="percent" val="30"/>
      </iconSet>
    </cfRule>
  </conditionalFormatting>
  <conditionalFormatting sqref="BP1051:BP1144 BP448 BP986:BP987 BP991:BP1049 BP425:BP432 BP1164:BP1218 BP984 BP453:BP976 BP978:BP982 BP1146:BP1156">
    <cfRule type="iconSet" priority="11138">
      <iconSet reverse="1">
        <cfvo type="percent" val="0"/>
        <cfvo type="percent" val="0" gte="0"/>
        <cfvo type="percent" val="30"/>
      </iconSet>
    </cfRule>
  </conditionalFormatting>
  <conditionalFormatting sqref="CA1051:CA1144 CA448 CA986:CA987 CA991:CA1049 CA425:CA432 CA1164:CA1218 CA984 CA453:CA976 CA978:CA982 CA1146:CA1156">
    <cfRule type="iconSet" priority="11140">
      <iconSet reverse="1">
        <cfvo type="percent" val="0"/>
        <cfvo type="percent" val="0" gte="0"/>
        <cfvo type="percent" val="30"/>
      </iconSet>
    </cfRule>
  </conditionalFormatting>
  <conditionalFormatting sqref="BI1051:BI1144 BI448 BI986:BI987 BI991:BI1049 BI425:BI432 BI1164:BI1218 BI984 BI453:BI976 BI978:BI982 BI1146:BI1156">
    <cfRule type="iconSet" priority="11142">
      <iconSet reverse="1">
        <cfvo type="percent" val="0"/>
        <cfvo type="percent" val="0" gte="0"/>
        <cfvo type="percent" val="30"/>
      </iconSet>
    </cfRule>
  </conditionalFormatting>
  <conditionalFormatting sqref="BP1050">
    <cfRule type="iconSet" priority="85">
      <iconSet reverse="1">
        <cfvo type="percent" val="0"/>
        <cfvo type="percent" val="0" gte="0"/>
        <cfvo type="percent" val="30"/>
      </iconSet>
    </cfRule>
  </conditionalFormatting>
  <conditionalFormatting sqref="CA1050">
    <cfRule type="iconSet" priority="86">
      <iconSet reverse="1">
        <cfvo type="percent" val="0"/>
        <cfvo type="percent" val="0" gte="0"/>
        <cfvo type="percent" val="30"/>
      </iconSet>
    </cfRule>
  </conditionalFormatting>
  <conditionalFormatting sqref="BI1050">
    <cfRule type="iconSet" priority="87">
      <iconSet reverse="1">
        <cfvo type="percent" val="0"/>
        <cfvo type="percent" val="0" gte="0"/>
        <cfvo type="percent" val="30"/>
      </iconSet>
    </cfRule>
  </conditionalFormatting>
  <conditionalFormatting sqref="BP1157:BP1163">
    <cfRule type="iconSet" priority="72">
      <iconSet reverse="1">
        <cfvo type="percent" val="0"/>
        <cfvo type="percent" val="0" gte="0"/>
        <cfvo type="percent" val="30"/>
      </iconSet>
    </cfRule>
  </conditionalFormatting>
  <conditionalFormatting sqref="CA1157:CA1163">
    <cfRule type="iconSet" priority="73">
      <iconSet reverse="1">
        <cfvo type="percent" val="0"/>
        <cfvo type="percent" val="0" gte="0"/>
        <cfvo type="percent" val="30"/>
      </iconSet>
    </cfRule>
  </conditionalFormatting>
  <conditionalFormatting sqref="BI1157:BI1163">
    <cfRule type="iconSet" priority="74">
      <iconSet reverse="1">
        <cfvo type="percent" val="0"/>
        <cfvo type="percent" val="0" gte="0"/>
        <cfvo type="percent" val="30"/>
      </iconSet>
    </cfRule>
  </conditionalFormatting>
  <conditionalFormatting sqref="BP977">
    <cfRule type="iconSet" priority="68">
      <iconSet reverse="1">
        <cfvo type="percent" val="0"/>
        <cfvo type="percent" val="0" gte="0"/>
        <cfvo type="percent" val="30"/>
      </iconSet>
    </cfRule>
  </conditionalFormatting>
  <conditionalFormatting sqref="CA977">
    <cfRule type="iconSet" priority="69">
      <iconSet reverse="1">
        <cfvo type="percent" val="0"/>
        <cfvo type="percent" val="0" gte="0"/>
        <cfvo type="percent" val="30"/>
      </iconSet>
    </cfRule>
  </conditionalFormatting>
  <conditionalFormatting sqref="BI977">
    <cfRule type="iconSet" priority="70">
      <iconSet reverse="1">
        <cfvo type="percent" val="0"/>
        <cfvo type="percent" val="0" gte="0"/>
        <cfvo type="percent" val="30"/>
      </iconSet>
    </cfRule>
  </conditionalFormatting>
  <conditionalFormatting sqref="BP983">
    <cfRule type="iconSet" priority="57">
      <iconSet reverse="1">
        <cfvo type="percent" val="0"/>
        <cfvo type="percent" val="0" gte="0"/>
        <cfvo type="percent" val="30"/>
      </iconSet>
    </cfRule>
  </conditionalFormatting>
  <conditionalFormatting sqref="CA983">
    <cfRule type="iconSet" priority="58">
      <iconSet reverse="1">
        <cfvo type="percent" val="0"/>
        <cfvo type="percent" val="0" gte="0"/>
        <cfvo type="percent" val="30"/>
      </iconSet>
    </cfRule>
  </conditionalFormatting>
  <conditionalFormatting sqref="BI983">
    <cfRule type="iconSet" priority="59">
      <iconSet reverse="1">
        <cfvo type="percent" val="0"/>
        <cfvo type="percent" val="0" gte="0"/>
        <cfvo type="percent" val="30"/>
      </iconSet>
    </cfRule>
  </conditionalFormatting>
  <conditionalFormatting sqref="BO4">
    <cfRule type="iconSet" priority="54">
      <iconSet reverse="1">
        <cfvo type="percent" val="0"/>
        <cfvo type="percent" val="0" gte="0"/>
        <cfvo type="percent" val="30"/>
      </iconSet>
    </cfRule>
  </conditionalFormatting>
  <conditionalFormatting sqref="BP985">
    <cfRule type="iconSet" priority="11276">
      <iconSet reverse="1">
        <cfvo type="percent" val="0"/>
        <cfvo type="percent" val="0" gte="0"/>
        <cfvo type="percent" val="30"/>
      </iconSet>
    </cfRule>
  </conditionalFormatting>
  <conditionalFormatting sqref="CA985">
    <cfRule type="iconSet" priority="11277">
      <iconSet reverse="1">
        <cfvo type="percent" val="0"/>
        <cfvo type="percent" val="0" gte="0"/>
        <cfvo type="percent" val="30"/>
      </iconSet>
    </cfRule>
  </conditionalFormatting>
  <conditionalFormatting sqref="BI985">
    <cfRule type="iconSet" priority="11278">
      <iconSet reverse="1">
        <cfvo type="percent" val="0"/>
        <cfvo type="percent" val="0" gte="0"/>
        <cfvo type="percent" val="30"/>
      </iconSet>
    </cfRule>
  </conditionalFormatting>
  <conditionalFormatting sqref="CQ988:CQ990">
    <cfRule type="duplicateValues" dxfId="1665" priority="11479"/>
  </conditionalFormatting>
  <conditionalFormatting sqref="E988:E990">
    <cfRule type="duplicateValues" dxfId="1664" priority="50"/>
  </conditionalFormatting>
  <conditionalFormatting sqref="BP1145">
    <cfRule type="iconSet" priority="47">
      <iconSet reverse="1">
        <cfvo type="percent" val="0"/>
        <cfvo type="percent" val="0" gte="0"/>
        <cfvo type="percent" val="30"/>
      </iconSet>
    </cfRule>
  </conditionalFormatting>
  <conditionalFormatting sqref="CA1145">
    <cfRule type="iconSet" priority="48">
      <iconSet reverse="1">
        <cfvo type="percent" val="0"/>
        <cfvo type="percent" val="0" gte="0"/>
        <cfvo type="percent" val="30"/>
      </iconSet>
    </cfRule>
  </conditionalFormatting>
  <conditionalFormatting sqref="BI1145">
    <cfRule type="iconSet" priority="49">
      <iconSet reverse="1">
        <cfvo type="percent" val="0"/>
        <cfvo type="percent" val="0" gte="0"/>
        <cfvo type="percent" val="30"/>
      </iconSet>
    </cfRule>
  </conditionalFormatting>
  <conditionalFormatting sqref="BP433:BP447 BP449:BP452">
    <cfRule type="iconSet" priority="11547">
      <iconSet reverse="1">
        <cfvo type="percent" val="0"/>
        <cfvo type="percent" val="0" gte="0"/>
        <cfvo type="percent" val="30"/>
      </iconSet>
    </cfRule>
  </conditionalFormatting>
  <conditionalFormatting sqref="CA433:CA447 CA449:CA452">
    <cfRule type="iconSet" priority="11550">
      <iconSet reverse="1">
        <cfvo type="percent" val="0"/>
        <cfvo type="percent" val="0" gte="0"/>
        <cfvo type="percent" val="30"/>
      </iconSet>
    </cfRule>
  </conditionalFormatting>
  <conditionalFormatting sqref="BI433:BI447 BI449:BI452">
    <cfRule type="iconSet" priority="11553">
      <iconSet reverse="1">
        <cfvo type="percent" val="0"/>
        <cfvo type="percent" val="0" gte="0"/>
        <cfvo type="percent" val="30"/>
      </iconSet>
    </cfRule>
  </conditionalFormatting>
  <conditionalFormatting sqref="E836:E987 E991:E1144 E433:E440 E1211 E1204:E1209 E1200:E1202 E430 E1193:E1195 E1146:E1191 E442:E451">
    <cfRule type="duplicateValues" dxfId="1663" priority="11558"/>
  </conditionalFormatting>
  <conditionalFormatting sqref="E441">
    <cfRule type="duplicateValues" dxfId="1662" priority="46"/>
  </conditionalFormatting>
  <conditionalFormatting sqref="BP419 BP231:BP323 BP157:BP158 BP162:BP198 BP343:BP399 BP155 BP7:BP147 BP149:BP153 BP325:BP335 BP208:BP229 BP401:BP403">
    <cfRule type="iconSet" priority="30">
      <iconSet reverse="1">
        <cfvo type="percent" val="0"/>
        <cfvo type="percent" val="0" gte="0"/>
        <cfvo type="percent" val="30"/>
      </iconSet>
    </cfRule>
  </conditionalFormatting>
  <conditionalFormatting sqref="CA419 CA231:CA323 CA157:CA158 CA162:CA198 CA343:CA399 CA155 CA7:CA147 CA149:CA153 CA325:CA335 CA208:CA229 CA401:CA403">
    <cfRule type="iconSet" priority="31">
      <iconSet reverse="1">
        <cfvo type="percent" val="0"/>
        <cfvo type="percent" val="0" gte="0"/>
        <cfvo type="percent" val="30"/>
      </iconSet>
    </cfRule>
  </conditionalFormatting>
  <conditionalFormatting sqref="BI419 BI231:BI323 BI157:BI158 BI162:BI198 BI343:BI399 BI155 BI7:BI147 BI149:BI153 BI325:BI335 BI208:BI229 BI401:BI403">
    <cfRule type="iconSet" priority="32">
      <iconSet reverse="1">
        <cfvo type="percent" val="0"/>
        <cfvo type="percent" val="0" gte="0"/>
        <cfvo type="percent" val="30"/>
      </iconSet>
    </cfRule>
  </conditionalFormatting>
  <conditionalFormatting sqref="BP230">
    <cfRule type="iconSet" priority="27">
      <iconSet reverse="1">
        <cfvo type="percent" val="0"/>
        <cfvo type="percent" val="0" gte="0"/>
        <cfvo type="percent" val="30"/>
      </iconSet>
    </cfRule>
  </conditionalFormatting>
  <conditionalFormatting sqref="CA230">
    <cfRule type="iconSet" priority="28">
      <iconSet reverse="1">
        <cfvo type="percent" val="0"/>
        <cfvo type="percent" val="0" gte="0"/>
        <cfvo type="percent" val="30"/>
      </iconSet>
    </cfRule>
  </conditionalFormatting>
  <conditionalFormatting sqref="BI230">
    <cfRule type="iconSet" priority="29">
      <iconSet reverse="1">
        <cfvo type="percent" val="0"/>
        <cfvo type="percent" val="0" gte="0"/>
        <cfvo type="percent" val="30"/>
      </iconSet>
    </cfRule>
  </conditionalFormatting>
  <conditionalFormatting sqref="BP336:BP342">
    <cfRule type="iconSet" priority="24">
      <iconSet reverse="1">
        <cfvo type="percent" val="0"/>
        <cfvo type="percent" val="0" gte="0"/>
        <cfvo type="percent" val="30"/>
      </iconSet>
    </cfRule>
  </conditionalFormatting>
  <conditionalFormatting sqref="CA336:CA342">
    <cfRule type="iconSet" priority="25">
      <iconSet reverse="1">
        <cfvo type="percent" val="0"/>
        <cfvo type="percent" val="0" gte="0"/>
        <cfvo type="percent" val="30"/>
      </iconSet>
    </cfRule>
  </conditionalFormatting>
  <conditionalFormatting sqref="BI336:BI342">
    <cfRule type="iconSet" priority="26">
      <iconSet reverse="1">
        <cfvo type="percent" val="0"/>
        <cfvo type="percent" val="0" gte="0"/>
        <cfvo type="percent" val="30"/>
      </iconSet>
    </cfRule>
  </conditionalFormatting>
  <conditionalFormatting sqref="BP148">
    <cfRule type="iconSet" priority="21">
      <iconSet reverse="1">
        <cfvo type="percent" val="0"/>
        <cfvo type="percent" val="0" gte="0"/>
        <cfvo type="percent" val="30"/>
      </iconSet>
    </cfRule>
  </conditionalFormatting>
  <conditionalFormatting sqref="CA148">
    <cfRule type="iconSet" priority="22">
      <iconSet reverse="1">
        <cfvo type="percent" val="0"/>
        <cfvo type="percent" val="0" gte="0"/>
        <cfvo type="percent" val="30"/>
      </iconSet>
    </cfRule>
  </conditionalFormatting>
  <conditionalFormatting sqref="BI148">
    <cfRule type="iconSet" priority="23">
      <iconSet reverse="1">
        <cfvo type="percent" val="0"/>
        <cfvo type="percent" val="0" gte="0"/>
        <cfvo type="percent" val="30"/>
      </iconSet>
    </cfRule>
  </conditionalFormatting>
  <conditionalFormatting sqref="BP154">
    <cfRule type="iconSet" priority="18">
      <iconSet reverse="1">
        <cfvo type="percent" val="0"/>
        <cfvo type="percent" val="0" gte="0"/>
        <cfvo type="percent" val="30"/>
      </iconSet>
    </cfRule>
  </conditionalFormatting>
  <conditionalFormatting sqref="CA154">
    <cfRule type="iconSet" priority="19">
      <iconSet reverse="1">
        <cfvo type="percent" val="0"/>
        <cfvo type="percent" val="0" gte="0"/>
        <cfvo type="percent" val="30"/>
      </iconSet>
    </cfRule>
  </conditionalFormatting>
  <conditionalFormatting sqref="BI154">
    <cfRule type="iconSet" priority="20">
      <iconSet reverse="1">
        <cfvo type="percent" val="0"/>
        <cfvo type="percent" val="0" gte="0"/>
        <cfvo type="percent" val="30"/>
      </iconSet>
    </cfRule>
  </conditionalFormatting>
  <conditionalFormatting sqref="CM159:CM161">
    <cfRule type="iconSet" priority="33">
      <iconSet reverse="1">
        <cfvo type="percent" val="0"/>
        <cfvo type="percent" val="0" gte="0"/>
        <cfvo type="percent" val="30"/>
      </iconSet>
    </cfRule>
  </conditionalFormatting>
  <conditionalFormatting sqref="BP156">
    <cfRule type="iconSet" priority="34">
      <iconSet reverse="1">
        <cfvo type="percent" val="0"/>
        <cfvo type="percent" val="0" gte="0"/>
        <cfvo type="percent" val="30"/>
      </iconSet>
    </cfRule>
  </conditionalFormatting>
  <conditionalFormatting sqref="CA156">
    <cfRule type="iconSet" priority="35">
      <iconSet reverse="1">
        <cfvo type="percent" val="0"/>
        <cfvo type="percent" val="0" gte="0"/>
        <cfvo type="percent" val="30"/>
      </iconSet>
    </cfRule>
  </conditionalFormatting>
  <conditionalFormatting sqref="BI156">
    <cfRule type="iconSet" priority="36">
      <iconSet reverse="1">
        <cfvo type="percent" val="0"/>
        <cfvo type="percent" val="0" gte="0"/>
        <cfvo type="percent" val="30"/>
      </iconSet>
    </cfRule>
  </conditionalFormatting>
  <conditionalFormatting sqref="CQ159:CQ161">
    <cfRule type="duplicateValues" dxfId="1661" priority="37"/>
  </conditionalFormatting>
  <conditionalFormatting sqref="E159:E161">
    <cfRule type="duplicateValues" dxfId="1660" priority="17"/>
  </conditionalFormatting>
  <conditionalFormatting sqref="BP324">
    <cfRule type="iconSet" priority="14">
      <iconSet reverse="1">
        <cfvo type="percent" val="0"/>
        <cfvo type="percent" val="0" gte="0"/>
        <cfvo type="percent" val="30"/>
      </iconSet>
    </cfRule>
  </conditionalFormatting>
  <conditionalFormatting sqref="CA324">
    <cfRule type="iconSet" priority="15">
      <iconSet reverse="1">
        <cfvo type="percent" val="0"/>
        <cfvo type="percent" val="0" gte="0"/>
        <cfvo type="percent" val="30"/>
      </iconSet>
    </cfRule>
  </conditionalFormatting>
  <conditionalFormatting sqref="BI324">
    <cfRule type="iconSet" priority="16">
      <iconSet reverse="1">
        <cfvo type="percent" val="0"/>
        <cfvo type="percent" val="0" gte="0"/>
        <cfvo type="percent" val="30"/>
      </iconSet>
    </cfRule>
  </conditionalFormatting>
  <conditionalFormatting sqref="BP404:BP418 BP420:BP423">
    <cfRule type="iconSet" priority="38">
      <iconSet reverse="1">
        <cfvo type="percent" val="0"/>
        <cfvo type="percent" val="0" gte="0"/>
        <cfvo type="percent" val="30"/>
      </iconSet>
    </cfRule>
  </conditionalFormatting>
  <conditionalFormatting sqref="CA404:CA418 CA420:CA423">
    <cfRule type="iconSet" priority="39">
      <iconSet reverse="1">
        <cfvo type="percent" val="0"/>
        <cfvo type="percent" val="0" gte="0"/>
        <cfvo type="percent" val="30"/>
      </iconSet>
    </cfRule>
  </conditionalFormatting>
  <conditionalFormatting sqref="BI404:BI418 BI420:BI423">
    <cfRule type="iconSet" priority="40">
      <iconSet reverse="1">
        <cfvo type="percent" val="0"/>
        <cfvo type="percent" val="0" gte="0"/>
        <cfvo type="percent" val="30"/>
      </iconSet>
    </cfRule>
  </conditionalFormatting>
  <conditionalFormatting sqref="E404:E411 E7:E158 E162:E198 E387 E381:E385 E376:E378 E401 E325:E367 E413:E422 E208:E323 E369:E371">
    <cfRule type="duplicateValues" dxfId="1659" priority="41"/>
  </conditionalFormatting>
  <conditionalFormatting sqref="E412">
    <cfRule type="duplicateValues" dxfId="1658" priority="13"/>
  </conditionalFormatting>
  <conditionalFormatting sqref="E379">
    <cfRule type="duplicateValues" dxfId="1657" priority="12"/>
  </conditionalFormatting>
  <conditionalFormatting sqref="BP199:BP207">
    <cfRule type="iconSet" priority="8">
      <iconSet reverse="1">
        <cfvo type="percent" val="0"/>
        <cfvo type="percent" val="0" gte="0"/>
        <cfvo type="percent" val="30"/>
      </iconSet>
    </cfRule>
  </conditionalFormatting>
  <conditionalFormatting sqref="CA199:CA207">
    <cfRule type="iconSet" priority="9">
      <iconSet reverse="1">
        <cfvo type="percent" val="0"/>
        <cfvo type="percent" val="0" gte="0"/>
        <cfvo type="percent" val="30"/>
      </iconSet>
    </cfRule>
  </conditionalFormatting>
  <conditionalFormatting sqref="BI199:BI207">
    <cfRule type="iconSet" priority="10">
      <iconSet reverse="1">
        <cfvo type="percent" val="0"/>
        <cfvo type="percent" val="0" gte="0"/>
        <cfvo type="percent" val="30"/>
      </iconSet>
    </cfRule>
  </conditionalFormatting>
  <conditionalFormatting sqref="E199:E207">
    <cfRule type="duplicateValues" dxfId="1656" priority="11"/>
  </conditionalFormatting>
  <conditionalFormatting sqref="E368">
    <cfRule type="duplicateValues" dxfId="1655" priority="6"/>
  </conditionalFormatting>
  <conditionalFormatting sqref="E400">
    <cfRule type="duplicateValues" dxfId="1654" priority="5"/>
  </conditionalFormatting>
  <conditionalFormatting sqref="CM988:CM990 CM1219:CM1048576 CM400 CK1:CK2">
    <cfRule type="iconSet" priority="11559">
      <iconSet reverse="1">
        <cfvo type="percent" val="0"/>
        <cfvo type="percent" val="0" gte="0"/>
        <cfvo type="percent" val="30"/>
      </iconSet>
    </cfRule>
  </conditionalFormatting>
  <conditionalFormatting sqref="BP424">
    <cfRule type="iconSet" priority="1">
      <iconSet reverse="1">
        <cfvo type="percent" val="0"/>
        <cfvo type="percent" val="0" gte="0"/>
        <cfvo type="percent" val="30"/>
      </iconSet>
    </cfRule>
  </conditionalFormatting>
  <conditionalFormatting sqref="CA424">
    <cfRule type="iconSet" priority="2">
      <iconSet reverse="1">
        <cfvo type="percent" val="0"/>
        <cfvo type="percent" val="0" gte="0"/>
        <cfvo type="percent" val="30"/>
      </iconSet>
    </cfRule>
  </conditionalFormatting>
  <conditionalFormatting sqref="BI424">
    <cfRule type="iconSet" priority="3">
      <iconSet reverse="1">
        <cfvo type="percent" val="0"/>
        <cfvo type="percent" val="0" gte="0"/>
        <cfvo type="percent" val="30"/>
      </iconSet>
    </cfRule>
  </conditionalFormatting>
  <conditionalFormatting sqref="E424">
    <cfRule type="duplicateValues" dxfId="1653" priority="4"/>
  </conditionalFormatting>
  <dataValidations count="16">
    <dataValidation type="list" allowBlank="1" showInputMessage="1" showErrorMessage="1" sqref="AN4:AP4 E4 AG4:AH4 B441 B414 AK156:AL156 B443 B412 AK985:AL985 AK159:AL161 AK988:AL990 AK1219:AL1048576 AK400:AL400 B1219:E1048576">
      <formula1>#REF!</formula1>
    </dataValidation>
    <dataValidation type="whole" operator="greaterThanOrEqual" allowBlank="1" showInputMessage="1" showErrorMessage="1" sqref="AB846 AB850 AC1171:AC1172 U846:W873 W836:W837 AC838:AC842 O836:U837 AH7:AI11 AM836:AO840 O838:W840 AA838:AB840 U841:W842 AE836:AE840 AA1170:AB1170 AA836:AC837 AC846:AC873 H836:H879 K836:K879 AB17 AB21 AC350:AC351 H7:H50 W7:W8 AC9:AC13 O7:U8 AA7:AC8 AM7:AO11 O9:W11 AA9:AB11 U12:W13 AE7:AE11 AA349:AB349 W419 AC17:AC44 K7:K50 V7 U53:W53 U69:W69 U90:W90 U92:W92 U99:W99 U103:W103 U105:W105 U115:W115 U141:W141 U17:W44 U406:V407 U126:W130 U154:W155 W406:W409 AH836:AI840">
      <formula1>0</formula1>
    </dataValidation>
    <dataValidation type="whole" operator="lessThanOrEqual" allowBlank="1" showInputMessage="1" showErrorMessage="1" sqref="V836:V837 X846:X873 X836:X842 X7:X13 X17:X44 V8">
      <formula1>U7</formula1>
    </dataValidation>
    <dataValidation type="decimal" operator="lessThanOrEqual" allowBlank="1" showInputMessage="1" showErrorMessage="1" sqref="N836:N880 M960:N972 M941:N953 M836:M879 M1019:N1020 M1022:N1022 M1035:N1043 M1045:N1045 M1056:N1057 M1063:N1063 M426:N427 M1024:N1026 M912:N929 M131:N143 M112:N124 M94:N100 M190:N191 M193:N193 M215:N223 M225:N225 M236:N237 M243:N243 M396:N397 M195:N197 M81:N81 M83:N92 M7:M50 N7:N51">
      <formula1>1</formula1>
    </dataValidation>
    <dataValidation type="whole" operator="lessThanOrEqual" allowBlank="1" showInputMessage="1" showErrorMessage="1" sqref="AP836:AP842 AP7:AP13">
      <formula1>F7</formula1>
    </dataValidation>
    <dataValidation type="whole" operator="lessThanOrEqual" allowBlank="1" showInputMessage="1" showErrorMessage="1" sqref="AQ836:AQ842 AQ7:AQ13">
      <formula1>F7</formula1>
    </dataValidation>
    <dataValidation operator="greaterThanOrEqual" allowBlank="1" showInputMessage="1" showErrorMessage="1" sqref="Z836:Z842 Z1174:Z1182 Z1026 Z1146:Z1156 Z7:Z13 Z353:Z361 Z197 Z325:Z335"/>
    <dataValidation type="list" allowBlank="1" showInputMessage="1" showErrorMessage="1" sqref="M1176:N1176 M1021:N1021 M355:N355 M192:N192 L7:L1218">
      <formula1>"Yes, No, NA"</formula1>
    </dataValidation>
    <dataValidation type="list" allowBlank="1" showInputMessage="1" showErrorMessage="1" sqref="AD1139:AD1172 AD318:AD351 AD353:AD399 AD1174:AD1218 AD401:AD1137 AD7:AD316">
      <formula1>"Monthly,Quarterly, one time, two times"</formula1>
    </dataValidation>
    <dataValidation type="list" allowBlank="1" showInputMessage="1" showErrorMessage="1" sqref="AD1138 AD1173 AD317 AD352">
      <formula1>"Weekly,Monthly,Quarterly, one time, two times"</formula1>
    </dataValidation>
    <dataValidation operator="lessThanOrEqual" allowBlank="1" showInputMessage="1" showErrorMessage="1" sqref="AS1:AS1048576"/>
    <dataValidation type="list" allowBlank="1" showInputMessage="1" showErrorMessage="1" sqref="E7:E1218">
      <formula1>OFFSET(Township_start,MATCH(D7,Township_list, 0),1, COUNTIF(Township_list,D7),1)</formula1>
    </dataValidation>
    <dataValidation type="list" operator="lessThanOrEqual" allowBlank="1" showInputMessage="1" showErrorMessage="1" sqref="AR7:AR1218">
      <formula1>"Yes, No"</formula1>
    </dataValidation>
    <dataValidation type="list" allowBlank="1" showInputMessage="1" showErrorMessage="1" sqref="D7:D1218">
      <formula1>OFFSET(Statestart_1,MATCH(C7, State_list, 0), 1,COUNTIF(State_list,C7),1)</formula1>
    </dataValidation>
    <dataValidation type="list" allowBlank="1" showInputMessage="1" showErrorMessage="1" sqref="C7:C1218">
      <formula1>"Kachin, Rakhine, Shan (North)"</formula1>
    </dataValidation>
    <dataValidation type="list" allowBlank="1" showInputMessage="1" showErrorMessage="1" sqref="CR7:CR1218">
      <formula1>"Covered, Not_covered"</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2">
        <x14:dataValidation type="list" allowBlank="1" showInputMessage="1" showErrorMessage="1">
          <x14:formula1>
            <xm:f>Lookup!$D$4:$D$37</xm:f>
          </x14:formula1>
          <xm:sqref>D4</xm:sqref>
        </x14:dataValidation>
        <x14:dataValidation type="list" allowBlank="1" showInputMessage="1" showErrorMessage="1">
          <x14:formula1>
            <xm:f>Lookup!$B$4:$B$20</xm:f>
          </x14:formula1>
          <xm:sqref>B4</xm:sqref>
        </x14:dataValidation>
        <x14:dataValidation type="list" allowBlank="1" showInputMessage="1" showErrorMessage="1">
          <x14:formula1>
            <xm:f>Lookup!$C$4:$C$6</xm:f>
          </x14:formula1>
          <xm:sqref>C4</xm:sqref>
        </x14:dataValidation>
        <x14:dataValidation type="list" allowBlank="1" showInputMessage="1" showErrorMessage="1">
          <x14:formula1>
            <xm:f>[2]Lookup!#REF!</xm:f>
          </x14:formula1>
          <xm:sqref>AL3 AF3</xm:sqref>
        </x14:dataValidation>
        <x14:dataValidation type="list" allowBlank="1" showInputMessage="1" showErrorMessage="1">
          <x14:formula1>
            <xm:f>[3]Lookup!#REF!</xm:f>
          </x14:formula1>
          <xm:sqref>C3:D3</xm:sqref>
        </x14:dataValidation>
        <x14:dataValidation type="list" allowBlank="1" showInputMessage="1" showErrorMessage="1">
          <x14:formula1>
            <xm:f>[3]SiteDatabase!#REF!</xm:f>
          </x14:formula1>
          <xm:sqref>E3</xm:sqref>
        </x14:dataValidation>
        <x14:dataValidation type="list" allowBlank="1" showInputMessage="1" showErrorMessage="1">
          <x14:formula1>
            <xm:f>Lookup!$U$4:$U$7</xm:f>
          </x14:formula1>
          <xm:sqref>AF886 AF448:AG448 AF836:AG885 AF887:AG984 AF986:AG987 AF991:AG1144 AF57 AF419:AG419 AF7:AG56 AF58:AG155 AF157:AG158 AF325:AG399 AF401:AG403 AF1146:AG1218 AF424:AG432 AF162:AG323</xm:sqref>
        </x14:dataValidation>
        <x14:dataValidation type="list" allowBlank="1" showInputMessage="1" showErrorMessage="1">
          <x14:formula1>
            <xm:f>Lookup!$X$4:$X$6</xm:f>
          </x14:formula1>
          <xm:sqref>AL986:AL987 AL157:AL158 AL7:AL155 AL991:AL1218 AL401:AL984 AL162:AL399</xm:sqref>
        </x14:dataValidation>
        <x14:dataValidation type="list" allowBlank="1" showInputMessage="1" showErrorMessage="1">
          <x14:formula1>
            <xm:f>Lookup!$B$4:$B$54</xm:f>
          </x14:formula1>
          <xm:sqref>B442 B413 B444:B1218 B7:B411 B415:B440</xm:sqref>
        </x14:dataValidation>
        <x14:dataValidation type="list" errorStyle="information" allowBlank="1" showInputMessage="1" showErrorMessage="1">
          <x14:formula1>
            <xm:f>Lookup!$I$4:$I$52</xm:f>
          </x14:formula1>
          <xm:sqref>I1099:I1141 I278:I320 I7:I274 I1143:I1218 I322:I399 I401:I1095</xm:sqref>
        </x14:dataValidation>
        <x14:dataValidation type="list" errorStyle="information" allowBlank="1" showInputMessage="1" showErrorMessage="1">
          <x14:formula1>
            <xm:f>[1]Lookup!#REF!</xm:f>
          </x14:formula1>
          <xm:sqref>I1096:I1098 I1142 I275:I277 I321</xm:sqref>
        </x14:dataValidation>
        <x14:dataValidation type="list" allowBlank="1" showInputMessage="1" showErrorMessage="1">
          <x14:formula1>
            <xm:f>Lookup!$A$4:$A$24</xm:f>
          </x14:formula1>
          <xm:sqref>A7:A1218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7"/>
  <sheetViews>
    <sheetView zoomScale="112" zoomScaleNormal="112" workbookViewId="0">
      <pane xSplit="1" ySplit="2" topLeftCell="B772" activePane="bottomRight" state="frozen"/>
      <selection activeCell="E391" sqref="E391"/>
      <selection pane="topRight" activeCell="E391" sqref="E391"/>
      <selection pane="bottomLeft" activeCell="E391" sqref="E391"/>
      <selection pane="bottomRight" activeCell="C915" sqref="C915"/>
    </sheetView>
  </sheetViews>
  <sheetFormatPr defaultRowHeight="15.75" x14ac:dyDescent="0.25"/>
  <cols>
    <col min="2" max="2" width="17" style="21" customWidth="1"/>
    <col min="3" max="3" width="37" style="433" bestFit="1" customWidth="1"/>
    <col min="4" max="4" width="16.5" style="64" bestFit="1" customWidth="1"/>
    <col min="5" max="5" width="19.5" style="21" customWidth="1"/>
    <col min="6" max="6" width="13.25" style="21" customWidth="1"/>
    <col min="7" max="7" width="16.375" style="21" customWidth="1"/>
    <col min="8" max="8" width="11.25" style="21" customWidth="1"/>
    <col min="9" max="10" width="7.75" style="21" customWidth="1"/>
    <col min="11" max="11" width="14.875" style="21" customWidth="1"/>
    <col min="12" max="12" width="21.25" style="21" customWidth="1"/>
    <col min="13" max="13" width="19.875" style="21" bestFit="1" customWidth="1"/>
    <col min="14" max="15" width="7.75" style="21" customWidth="1"/>
    <col min="16" max="16" width="18.25" style="21" customWidth="1"/>
    <col min="17" max="17" width="10.5" style="21" customWidth="1"/>
    <col min="18" max="18" width="10.125" style="63" customWidth="1"/>
    <col min="20" max="20" width="12.125" style="541" customWidth="1"/>
    <col min="21" max="21" width="55" style="65" customWidth="1"/>
    <col min="22" max="22" width="16.625" style="21" customWidth="1"/>
    <col min="23" max="23" width="9" style="448"/>
    <col min="24" max="16384" width="9" style="21"/>
  </cols>
  <sheetData>
    <row r="1" spans="1:23" ht="21.75" customHeight="1" x14ac:dyDescent="0.2">
      <c r="A1" s="21"/>
      <c r="C1" s="21"/>
      <c r="D1" s="21"/>
      <c r="O1" s="894"/>
      <c r="R1" s="21"/>
      <c r="S1" s="21"/>
      <c r="T1" s="895"/>
      <c r="U1" s="200"/>
      <c r="V1" s="448"/>
      <c r="W1" s="21"/>
    </row>
    <row r="2" spans="1:23" ht="21.75" customHeight="1" x14ac:dyDescent="0.2">
      <c r="A2" s="21" t="s">
        <v>26</v>
      </c>
      <c r="B2" s="21" t="s">
        <v>27</v>
      </c>
      <c r="C2" s="203" t="s">
        <v>28</v>
      </c>
      <c r="D2" s="21" t="s">
        <v>2174</v>
      </c>
      <c r="E2" s="21" t="s">
        <v>39</v>
      </c>
      <c r="F2" s="21" t="s">
        <v>2175</v>
      </c>
      <c r="G2" s="21" t="s">
        <v>2176</v>
      </c>
      <c r="H2" s="21" t="s">
        <v>33</v>
      </c>
      <c r="I2" s="21" t="s">
        <v>34</v>
      </c>
      <c r="J2" s="21" t="s">
        <v>280</v>
      </c>
      <c r="K2" s="21" t="s">
        <v>281</v>
      </c>
      <c r="L2" s="21" t="s">
        <v>923</v>
      </c>
      <c r="M2" s="21" t="s">
        <v>36</v>
      </c>
      <c r="N2" s="21" t="s">
        <v>37</v>
      </c>
      <c r="O2" s="21" t="s">
        <v>38</v>
      </c>
      <c r="P2" s="21" t="s">
        <v>924</v>
      </c>
      <c r="Q2" s="21" t="s">
        <v>925</v>
      </c>
      <c r="R2" s="199" t="s">
        <v>2433</v>
      </c>
      <c r="S2" s="200" t="s">
        <v>2434</v>
      </c>
      <c r="T2" s="541" t="s">
        <v>926</v>
      </c>
      <c r="U2" s="65" t="s">
        <v>41</v>
      </c>
      <c r="V2" s="21" t="s">
        <v>927</v>
      </c>
      <c r="W2" s="21" t="s">
        <v>3180</v>
      </c>
    </row>
    <row r="3" spans="1:23" s="203" customFormat="1" ht="17.25" hidden="1" customHeight="1" x14ac:dyDescent="0.2">
      <c r="A3" s="203" t="s">
        <v>44</v>
      </c>
      <c r="B3" s="203" t="s">
        <v>341</v>
      </c>
      <c r="C3" s="203" t="s">
        <v>1258</v>
      </c>
      <c r="D3" s="203" t="s">
        <v>2177</v>
      </c>
      <c r="J3" s="203" t="s">
        <v>1921</v>
      </c>
      <c r="K3" s="203" t="s">
        <v>50</v>
      </c>
      <c r="L3" s="203" t="s">
        <v>1259</v>
      </c>
      <c r="M3" s="203" t="s">
        <v>51</v>
      </c>
      <c r="P3" s="203" t="s">
        <v>930</v>
      </c>
      <c r="R3" s="425"/>
      <c r="S3" s="426"/>
      <c r="T3" s="542" t="s">
        <v>935</v>
      </c>
      <c r="U3" s="427"/>
      <c r="V3" s="203" t="s">
        <v>1258</v>
      </c>
    </row>
    <row r="4" spans="1:23" s="203" customFormat="1" ht="17.25" hidden="1" customHeight="1" x14ac:dyDescent="0.2">
      <c r="A4" s="203" t="s">
        <v>44</v>
      </c>
      <c r="B4" s="203" t="s">
        <v>341</v>
      </c>
      <c r="C4" s="203" t="s">
        <v>427</v>
      </c>
      <c r="D4" s="203" t="s">
        <v>2949</v>
      </c>
      <c r="E4" s="203" t="s">
        <v>1954</v>
      </c>
      <c r="F4" s="203" t="s">
        <v>2307</v>
      </c>
      <c r="G4" s="203" t="s">
        <v>2307</v>
      </c>
      <c r="H4" s="203" t="s">
        <v>48</v>
      </c>
      <c r="I4" s="203" t="s">
        <v>49</v>
      </c>
      <c r="J4" s="203" t="s">
        <v>50</v>
      </c>
      <c r="K4" s="203" t="s">
        <v>50</v>
      </c>
      <c r="L4" s="203" t="s">
        <v>50</v>
      </c>
      <c r="M4" s="203" t="s">
        <v>51</v>
      </c>
      <c r="N4" s="203">
        <v>24.260719999999999</v>
      </c>
      <c r="O4" s="203">
        <v>97.238829999999993</v>
      </c>
      <c r="P4" s="203" t="s">
        <v>930</v>
      </c>
      <c r="Q4" s="203" t="s">
        <v>951</v>
      </c>
      <c r="R4" s="425">
        <v>236</v>
      </c>
      <c r="S4" s="425">
        <v>1171</v>
      </c>
      <c r="T4" s="542" t="s">
        <v>935</v>
      </c>
      <c r="U4" s="427"/>
      <c r="V4" s="203" t="s">
        <v>427</v>
      </c>
      <c r="W4" s="203" t="s">
        <v>2960</v>
      </c>
    </row>
    <row r="5" spans="1:23" s="203" customFormat="1" ht="17.25" hidden="1" customHeight="1" x14ac:dyDescent="0.2">
      <c r="A5" s="203" t="s">
        <v>44</v>
      </c>
      <c r="B5" s="203" t="s">
        <v>341</v>
      </c>
      <c r="C5" s="203" t="s">
        <v>342</v>
      </c>
      <c r="D5" s="203" t="s">
        <v>2949</v>
      </c>
      <c r="E5" s="203" t="s">
        <v>1953</v>
      </c>
      <c r="F5" s="203" t="s">
        <v>2306</v>
      </c>
      <c r="G5" s="203" t="s">
        <v>2306</v>
      </c>
      <c r="H5" s="203" t="s">
        <v>48</v>
      </c>
      <c r="I5" s="203" t="s">
        <v>287</v>
      </c>
      <c r="J5" s="203" t="s">
        <v>50</v>
      </c>
      <c r="K5" s="203" t="s">
        <v>50</v>
      </c>
      <c r="L5" s="203" t="s">
        <v>50</v>
      </c>
      <c r="M5" s="203" t="s">
        <v>51</v>
      </c>
      <c r="N5" s="203">
        <v>24.260466999999998</v>
      </c>
      <c r="O5" s="203">
        <v>97.252650000000003</v>
      </c>
      <c r="P5" s="203" t="s">
        <v>930</v>
      </c>
      <c r="Q5" s="203" t="s">
        <v>951</v>
      </c>
      <c r="R5" s="425">
        <v>12</v>
      </c>
      <c r="S5" s="425">
        <v>52</v>
      </c>
      <c r="T5" s="542" t="s">
        <v>935</v>
      </c>
      <c r="U5" s="427"/>
      <c r="V5" s="203" t="s">
        <v>342</v>
      </c>
      <c r="W5" s="203" t="s">
        <v>2961</v>
      </c>
    </row>
    <row r="6" spans="1:23" s="203" customFormat="1" ht="17.25" hidden="1" customHeight="1" x14ac:dyDescent="0.2">
      <c r="A6" s="203" t="s">
        <v>44</v>
      </c>
      <c r="B6" s="203" t="s">
        <v>341</v>
      </c>
      <c r="C6" s="203" t="s">
        <v>1266</v>
      </c>
      <c r="D6" s="203" t="s">
        <v>2177</v>
      </c>
      <c r="J6" s="203" t="s">
        <v>969</v>
      </c>
      <c r="K6" s="203" t="s">
        <v>969</v>
      </c>
      <c r="L6" s="203" t="s">
        <v>969</v>
      </c>
      <c r="M6" s="203" t="s">
        <v>51</v>
      </c>
      <c r="P6" s="203" t="s">
        <v>970</v>
      </c>
      <c r="R6" s="425"/>
      <c r="S6" s="426"/>
      <c r="T6" s="542" t="s">
        <v>935</v>
      </c>
      <c r="U6" s="427"/>
      <c r="V6" s="203" t="s">
        <v>935</v>
      </c>
    </row>
    <row r="7" spans="1:23" s="203" customFormat="1" ht="17.25" hidden="1" customHeight="1" x14ac:dyDescent="0.2">
      <c r="A7" s="203" t="s">
        <v>44</v>
      </c>
      <c r="B7" s="203" t="s">
        <v>341</v>
      </c>
      <c r="C7" s="203" t="s">
        <v>1180</v>
      </c>
      <c r="D7" s="203" t="s">
        <v>2949</v>
      </c>
      <c r="E7" s="203" t="s">
        <v>1957</v>
      </c>
      <c r="I7" s="203" t="s">
        <v>2959</v>
      </c>
      <c r="J7" s="203" t="s">
        <v>50</v>
      </c>
      <c r="K7" s="203" t="s">
        <v>50</v>
      </c>
      <c r="L7" s="203" t="s">
        <v>942</v>
      </c>
      <c r="M7" s="203" t="s">
        <v>51</v>
      </c>
      <c r="N7" s="203">
        <v>24.263786</v>
      </c>
      <c r="O7" s="203">
        <v>97.228835000000004</v>
      </c>
      <c r="P7" s="203" t="s">
        <v>943</v>
      </c>
      <c r="Q7" s="203" t="s">
        <v>931</v>
      </c>
      <c r="R7" s="425">
        <v>190</v>
      </c>
      <c r="S7" s="425">
        <v>928</v>
      </c>
      <c r="T7" s="542" t="s">
        <v>935</v>
      </c>
      <c r="U7" s="427" t="s">
        <v>1181</v>
      </c>
      <c r="V7" s="203" t="s">
        <v>942</v>
      </c>
      <c r="W7" s="203" t="s">
        <v>2962</v>
      </c>
    </row>
    <row r="8" spans="1:23" s="203" customFormat="1" ht="17.25" hidden="1" customHeight="1" x14ac:dyDescent="0.2">
      <c r="A8" s="203" t="s">
        <v>44</v>
      </c>
      <c r="B8" s="203" t="s">
        <v>341</v>
      </c>
      <c r="C8" s="203" t="s">
        <v>938</v>
      </c>
      <c r="D8" s="203" t="s">
        <v>2178</v>
      </c>
      <c r="E8" s="203" t="s">
        <v>1537</v>
      </c>
      <c r="F8" s="203">
        <v>0</v>
      </c>
      <c r="G8" s="203">
        <v>0</v>
      </c>
      <c r="I8" s="203">
        <v>0</v>
      </c>
      <c r="J8" s="203" t="s">
        <v>50</v>
      </c>
      <c r="K8" s="203" t="s">
        <v>50</v>
      </c>
      <c r="L8" s="203" t="s">
        <v>929</v>
      </c>
      <c r="M8" s="203" t="s">
        <v>51</v>
      </c>
      <c r="P8" s="203" t="s">
        <v>930</v>
      </c>
      <c r="R8" s="425"/>
      <c r="S8" s="426"/>
      <c r="T8" s="542" t="s">
        <v>935</v>
      </c>
      <c r="U8" s="427"/>
      <c r="V8" s="203" t="s">
        <v>938</v>
      </c>
      <c r="W8" s="203" t="s">
        <v>2963</v>
      </c>
    </row>
    <row r="9" spans="1:23" s="203" customFormat="1" ht="17.25" hidden="1" customHeight="1" x14ac:dyDescent="0.2">
      <c r="A9" s="203" t="s">
        <v>44</v>
      </c>
      <c r="B9" s="203" t="s">
        <v>341</v>
      </c>
      <c r="C9" s="203" t="s">
        <v>344</v>
      </c>
      <c r="D9" s="203" t="s">
        <v>2949</v>
      </c>
      <c r="E9" s="203" t="s">
        <v>1945</v>
      </c>
      <c r="F9" s="203" t="s">
        <v>2304</v>
      </c>
      <c r="G9" s="203" t="s">
        <v>2305</v>
      </c>
      <c r="H9" s="203" t="s">
        <v>48</v>
      </c>
      <c r="I9" s="203" t="s">
        <v>287</v>
      </c>
      <c r="J9" s="203" t="s">
        <v>50</v>
      </c>
      <c r="K9" s="203" t="s">
        <v>50</v>
      </c>
      <c r="L9" s="203" t="s">
        <v>50</v>
      </c>
      <c r="M9" s="203" t="s">
        <v>51</v>
      </c>
      <c r="N9" s="203">
        <v>24.24766</v>
      </c>
      <c r="O9" s="203">
        <v>97.236919999999998</v>
      </c>
      <c r="P9" s="203" t="s">
        <v>930</v>
      </c>
      <c r="Q9" s="203" t="s">
        <v>951</v>
      </c>
      <c r="R9" s="425">
        <v>41</v>
      </c>
      <c r="S9" s="425">
        <v>230</v>
      </c>
      <c r="T9" s="542" t="s">
        <v>935</v>
      </c>
      <c r="U9" s="427"/>
      <c r="V9" s="203" t="s">
        <v>344</v>
      </c>
      <c r="W9" s="203" t="s">
        <v>2964</v>
      </c>
    </row>
    <row r="10" spans="1:23" s="203" customFormat="1" ht="17.25" hidden="1" customHeight="1" x14ac:dyDescent="0.2">
      <c r="A10" s="203" t="s">
        <v>44</v>
      </c>
      <c r="B10" s="203" t="s">
        <v>341</v>
      </c>
      <c r="C10" s="203" t="s">
        <v>1179</v>
      </c>
      <c r="D10" s="203" t="s">
        <v>2178</v>
      </c>
      <c r="E10" s="203" t="s">
        <v>1955</v>
      </c>
      <c r="F10" s="203">
        <v>0</v>
      </c>
      <c r="G10" s="203">
        <v>0</v>
      </c>
      <c r="I10" s="203">
        <v>0</v>
      </c>
      <c r="J10" s="203" t="s">
        <v>50</v>
      </c>
      <c r="K10" s="203" t="s">
        <v>50</v>
      </c>
      <c r="L10" s="203" t="s">
        <v>929</v>
      </c>
      <c r="M10" s="203" t="s">
        <v>51</v>
      </c>
      <c r="N10" s="203">
        <v>24.262418020999998</v>
      </c>
      <c r="O10" s="203">
        <v>97.221556500999995</v>
      </c>
      <c r="P10" s="203" t="s">
        <v>930</v>
      </c>
      <c r="R10" s="425"/>
      <c r="S10" s="426"/>
      <c r="T10" s="542" t="s">
        <v>935</v>
      </c>
      <c r="U10" s="427"/>
      <c r="V10" s="203" t="s">
        <v>1179</v>
      </c>
      <c r="W10" s="203" t="s">
        <v>2965</v>
      </c>
    </row>
    <row r="11" spans="1:23" s="203" customFormat="1" ht="17.25" hidden="1" customHeight="1" x14ac:dyDescent="0.2">
      <c r="A11" s="203" t="s">
        <v>44</v>
      </c>
      <c r="B11" s="203" t="s">
        <v>341</v>
      </c>
      <c r="C11" s="203" t="s">
        <v>346</v>
      </c>
      <c r="D11" s="203" t="s">
        <v>2949</v>
      </c>
      <c r="E11" s="203" t="s">
        <v>1956</v>
      </c>
      <c r="F11" s="203" t="s">
        <v>2307</v>
      </c>
      <c r="G11" s="203" t="s">
        <v>2307</v>
      </c>
      <c r="H11" s="203" t="s">
        <v>48</v>
      </c>
      <c r="I11" s="203" t="s">
        <v>389</v>
      </c>
      <c r="J11" s="203" t="s">
        <v>50</v>
      </c>
      <c r="K11" s="203" t="s">
        <v>50</v>
      </c>
      <c r="L11" s="203" t="s">
        <v>50</v>
      </c>
      <c r="M11" s="203" t="s">
        <v>51</v>
      </c>
      <c r="N11" s="203">
        <v>24.2631743589744</v>
      </c>
      <c r="O11" s="203">
        <v>97.240183461538507</v>
      </c>
      <c r="P11" s="203" t="s">
        <v>930</v>
      </c>
      <c r="Q11" s="203" t="s">
        <v>951</v>
      </c>
      <c r="R11" s="425">
        <v>129</v>
      </c>
      <c r="S11" s="425">
        <v>746</v>
      </c>
      <c r="T11" s="542" t="s">
        <v>935</v>
      </c>
      <c r="U11" s="427"/>
      <c r="V11" s="203" t="s">
        <v>346</v>
      </c>
      <c r="W11" s="203" t="s">
        <v>2966</v>
      </c>
    </row>
    <row r="12" spans="1:23" s="203" customFormat="1" ht="17.25" hidden="1" customHeight="1" x14ac:dyDescent="0.2">
      <c r="A12" s="426" t="s">
        <v>44</v>
      </c>
      <c r="B12" s="203" t="s">
        <v>341</v>
      </c>
      <c r="C12" s="430" t="s">
        <v>2798</v>
      </c>
      <c r="D12" s="432"/>
      <c r="J12" s="203" t="s">
        <v>1921</v>
      </c>
      <c r="K12" s="203" t="s">
        <v>50</v>
      </c>
      <c r="L12" s="203" t="s">
        <v>1259</v>
      </c>
      <c r="M12" s="203" t="s">
        <v>51</v>
      </c>
      <c r="P12" s="203" t="s">
        <v>2714</v>
      </c>
      <c r="R12" s="434"/>
      <c r="S12" s="426"/>
      <c r="T12" s="542">
        <v>43298</v>
      </c>
      <c r="U12" s="427"/>
    </row>
    <row r="13" spans="1:23" s="203" customFormat="1" ht="17.25" hidden="1" customHeight="1" x14ac:dyDescent="0.2">
      <c r="A13" s="203" t="s">
        <v>44</v>
      </c>
      <c r="B13" s="203" t="s">
        <v>341</v>
      </c>
      <c r="C13" s="203" t="s">
        <v>347</v>
      </c>
      <c r="D13" s="203" t="s">
        <v>2949</v>
      </c>
      <c r="E13" s="203" t="s">
        <v>1951</v>
      </c>
      <c r="F13" s="203" t="s">
        <v>2304</v>
      </c>
      <c r="G13" s="203" t="s">
        <v>2305</v>
      </c>
      <c r="H13" s="203" t="s">
        <v>48</v>
      </c>
      <c r="I13" s="203" t="s">
        <v>389</v>
      </c>
      <c r="J13" s="203" t="s">
        <v>50</v>
      </c>
      <c r="K13" s="203" t="s">
        <v>50</v>
      </c>
      <c r="L13" s="203" t="s">
        <v>50</v>
      </c>
      <c r="M13" s="203" t="s">
        <v>51</v>
      </c>
      <c r="N13" s="203">
        <v>24.253067000000001</v>
      </c>
      <c r="O13" s="203">
        <v>97.234200000000001</v>
      </c>
      <c r="P13" s="203" t="s">
        <v>930</v>
      </c>
      <c r="Q13" s="203" t="s">
        <v>951</v>
      </c>
      <c r="R13" s="425">
        <v>13</v>
      </c>
      <c r="S13" s="425">
        <v>57</v>
      </c>
      <c r="T13" s="542" t="s">
        <v>935</v>
      </c>
      <c r="U13" s="427"/>
      <c r="V13" s="203" t="s">
        <v>347</v>
      </c>
      <c r="W13" s="203" t="s">
        <v>2967</v>
      </c>
    </row>
    <row r="14" spans="1:23" s="203" customFormat="1" ht="17.25" hidden="1" customHeight="1" x14ac:dyDescent="0.2">
      <c r="A14" s="203" t="s">
        <v>44</v>
      </c>
      <c r="B14" s="203" t="s">
        <v>341</v>
      </c>
      <c r="C14" s="203" t="s">
        <v>349</v>
      </c>
      <c r="D14" s="203" t="s">
        <v>2949</v>
      </c>
      <c r="E14" s="203" t="s">
        <v>1961</v>
      </c>
      <c r="F14" s="203" t="s">
        <v>2311</v>
      </c>
      <c r="G14" s="203" t="s">
        <v>2311</v>
      </c>
      <c r="H14" s="203" t="s">
        <v>48</v>
      </c>
      <c r="I14" s="203" t="s">
        <v>49</v>
      </c>
      <c r="J14" s="203" t="s">
        <v>50</v>
      </c>
      <c r="K14" s="203" t="s">
        <v>50</v>
      </c>
      <c r="L14" s="203" t="s">
        <v>50</v>
      </c>
      <c r="M14" s="203" t="s">
        <v>51</v>
      </c>
      <c r="N14" s="203">
        <v>24.32638</v>
      </c>
      <c r="O14" s="203">
        <v>97.315860000000001</v>
      </c>
      <c r="P14" s="203" t="s">
        <v>930</v>
      </c>
      <c r="Q14" s="203" t="s">
        <v>951</v>
      </c>
      <c r="R14" s="425">
        <v>15</v>
      </c>
      <c r="S14" s="425">
        <v>68</v>
      </c>
      <c r="T14" s="542" t="s">
        <v>935</v>
      </c>
      <c r="U14" s="427"/>
      <c r="V14" s="203" t="s">
        <v>349</v>
      </c>
      <c r="W14" s="203" t="s">
        <v>2968</v>
      </c>
    </row>
    <row r="15" spans="1:23" s="203" customFormat="1" ht="17.25" hidden="1" customHeight="1" x14ac:dyDescent="0.2">
      <c r="A15" s="203" t="s">
        <v>44</v>
      </c>
      <c r="B15" s="203" t="s">
        <v>341</v>
      </c>
      <c r="C15" s="203" t="s">
        <v>429</v>
      </c>
      <c r="D15" s="203" t="s">
        <v>2949</v>
      </c>
      <c r="E15" s="203" t="s">
        <v>1942</v>
      </c>
      <c r="F15" s="203" t="s">
        <v>2301</v>
      </c>
      <c r="G15" s="203" t="s">
        <v>2302</v>
      </c>
      <c r="H15" s="203" t="s">
        <v>48</v>
      </c>
      <c r="I15" s="203" t="s">
        <v>287</v>
      </c>
      <c r="J15" s="203" t="s">
        <v>50</v>
      </c>
      <c r="K15" s="203" t="s">
        <v>50</v>
      </c>
      <c r="L15" s="203" t="s">
        <v>50</v>
      </c>
      <c r="M15" s="203" t="s">
        <v>51</v>
      </c>
      <c r="N15" s="203">
        <v>24.222349999999999</v>
      </c>
      <c r="O15" s="203">
        <v>97.252650000000003</v>
      </c>
      <c r="P15" s="203" t="s">
        <v>930</v>
      </c>
      <c r="Q15" s="203" t="s">
        <v>951</v>
      </c>
      <c r="R15" s="425">
        <v>145</v>
      </c>
      <c r="S15" s="425">
        <v>765</v>
      </c>
      <c r="T15" s="542" t="s">
        <v>935</v>
      </c>
      <c r="U15" s="427"/>
      <c r="V15" s="203" t="s">
        <v>429</v>
      </c>
      <c r="W15" s="203" t="s">
        <v>2969</v>
      </c>
    </row>
    <row r="16" spans="1:23" s="203" customFormat="1" ht="17.25" hidden="1" customHeight="1" x14ac:dyDescent="0.2">
      <c r="A16" s="203" t="s">
        <v>44</v>
      </c>
      <c r="B16" s="203" t="s">
        <v>341</v>
      </c>
      <c r="C16" s="203" t="s">
        <v>430</v>
      </c>
      <c r="D16" s="203" t="s">
        <v>2949</v>
      </c>
      <c r="E16" s="203" t="s">
        <v>1958</v>
      </c>
      <c r="F16" s="203" t="s">
        <v>2304</v>
      </c>
      <c r="G16" s="203" t="s">
        <v>2308</v>
      </c>
      <c r="H16" s="203" t="s">
        <v>48</v>
      </c>
      <c r="I16" s="203" t="s">
        <v>287</v>
      </c>
      <c r="J16" s="203" t="s">
        <v>50</v>
      </c>
      <c r="K16" s="203" t="s">
        <v>50</v>
      </c>
      <c r="L16" s="203" t="s">
        <v>50</v>
      </c>
      <c r="M16" s="203" t="s">
        <v>51</v>
      </c>
      <c r="N16" s="203">
        <v>24.268292826086999</v>
      </c>
      <c r="O16" s="203">
        <v>97.229116811594196</v>
      </c>
      <c r="P16" s="203" t="s">
        <v>930</v>
      </c>
      <c r="Q16" s="203" t="s">
        <v>951</v>
      </c>
      <c r="R16" s="425">
        <v>641</v>
      </c>
      <c r="S16" s="425">
        <v>4010</v>
      </c>
      <c r="T16" s="542" t="s">
        <v>935</v>
      </c>
      <c r="U16" s="427"/>
      <c r="V16" s="203" t="s">
        <v>430</v>
      </c>
      <c r="W16" s="203" t="s">
        <v>2970</v>
      </c>
    </row>
    <row r="17" spans="1:23" s="203" customFormat="1" ht="17.25" hidden="1" customHeight="1" x14ac:dyDescent="0.2">
      <c r="A17" s="430" t="s">
        <v>44</v>
      </c>
      <c r="B17" s="429" t="s">
        <v>341</v>
      </c>
      <c r="C17" s="436" t="s">
        <v>2169</v>
      </c>
      <c r="D17" s="203" t="s">
        <v>2177</v>
      </c>
      <c r="E17" s="294"/>
      <c r="F17" s="294"/>
      <c r="G17" s="294"/>
      <c r="H17" s="294" t="s">
        <v>282</v>
      </c>
      <c r="I17" s="294"/>
      <c r="J17" s="294" t="s">
        <v>1921</v>
      </c>
      <c r="K17" s="203" t="s">
        <v>50</v>
      </c>
      <c r="L17" s="203" t="s">
        <v>50</v>
      </c>
      <c r="M17" s="203" t="s">
        <v>51</v>
      </c>
      <c r="N17" s="294"/>
      <c r="O17" s="294"/>
      <c r="P17" s="203" t="s">
        <v>930</v>
      </c>
      <c r="Q17" s="294"/>
      <c r="R17" s="435"/>
      <c r="S17" s="430"/>
      <c r="T17" s="543">
        <v>43245</v>
      </c>
      <c r="U17" s="431"/>
      <c r="V17" s="294"/>
    </row>
    <row r="18" spans="1:23" s="203" customFormat="1" ht="17.25" hidden="1" customHeight="1" x14ac:dyDescent="0.2">
      <c r="A18" s="203" t="s">
        <v>44</v>
      </c>
      <c r="B18" s="203" t="s">
        <v>341</v>
      </c>
      <c r="C18" s="203" t="s">
        <v>1182</v>
      </c>
      <c r="D18" s="203" t="s">
        <v>2664</v>
      </c>
      <c r="E18" s="428" t="s">
        <v>1960</v>
      </c>
      <c r="F18" s="203" t="s">
        <v>2304</v>
      </c>
      <c r="G18" s="203" t="s">
        <v>2384</v>
      </c>
      <c r="H18" s="203" t="s">
        <v>48</v>
      </c>
      <c r="I18" s="203" t="s">
        <v>389</v>
      </c>
      <c r="J18" s="203" t="s">
        <v>50</v>
      </c>
      <c r="K18" s="203" t="s">
        <v>50</v>
      </c>
      <c r="L18" s="203" t="s">
        <v>929</v>
      </c>
      <c r="M18" s="203" t="s">
        <v>51</v>
      </c>
      <c r="N18" s="203">
        <v>24.29138</v>
      </c>
      <c r="O18" s="203">
        <v>97.227789999999999</v>
      </c>
      <c r="P18" s="203" t="s">
        <v>930</v>
      </c>
      <c r="Q18" s="203" t="s">
        <v>931</v>
      </c>
      <c r="R18" s="425"/>
      <c r="S18" s="426"/>
      <c r="T18" s="542">
        <v>43276</v>
      </c>
      <c r="U18" s="427" t="s">
        <v>2665</v>
      </c>
      <c r="V18" s="203" t="s">
        <v>1182</v>
      </c>
      <c r="W18" s="203" t="s">
        <v>2971</v>
      </c>
    </row>
    <row r="19" spans="1:23" s="203" customFormat="1" ht="17.25" hidden="1" customHeight="1" x14ac:dyDescent="0.2">
      <c r="A19" s="203" t="s">
        <v>44</v>
      </c>
      <c r="B19" s="203" t="s">
        <v>341</v>
      </c>
      <c r="C19" s="203" t="s">
        <v>962</v>
      </c>
      <c r="D19" s="203" t="s">
        <v>2178</v>
      </c>
      <c r="E19" s="294" t="s">
        <v>1557</v>
      </c>
      <c r="F19" s="203">
        <v>0</v>
      </c>
      <c r="G19" s="203">
        <v>0</v>
      </c>
      <c r="I19" s="203">
        <v>0</v>
      </c>
      <c r="J19" s="203" t="s">
        <v>50</v>
      </c>
      <c r="K19" s="203" t="s">
        <v>50</v>
      </c>
      <c r="L19" s="203" t="s">
        <v>929</v>
      </c>
      <c r="M19" s="203" t="s">
        <v>51</v>
      </c>
      <c r="P19" s="203" t="s">
        <v>930</v>
      </c>
      <c r="R19" s="425"/>
      <c r="S19" s="426"/>
      <c r="T19" s="542" t="s">
        <v>935</v>
      </c>
      <c r="U19" s="427"/>
      <c r="V19" s="203" t="s">
        <v>962</v>
      </c>
      <c r="W19" s="203" t="s">
        <v>2972</v>
      </c>
    </row>
    <row r="20" spans="1:23" s="203" customFormat="1" ht="17.25" hidden="1" customHeight="1" x14ac:dyDescent="0.2">
      <c r="A20" s="203" t="s">
        <v>44</v>
      </c>
      <c r="B20" s="203" t="s">
        <v>341</v>
      </c>
      <c r="C20" s="203" t="s">
        <v>350</v>
      </c>
      <c r="D20" s="203" t="s">
        <v>2949</v>
      </c>
      <c r="E20" s="294" t="s">
        <v>1946</v>
      </c>
      <c r="F20" s="203" t="s">
        <v>2301</v>
      </c>
      <c r="G20" s="203" t="s">
        <v>2301</v>
      </c>
      <c r="H20" s="203" t="s">
        <v>48</v>
      </c>
      <c r="I20" s="203" t="s">
        <v>389</v>
      </c>
      <c r="J20" s="203" t="s">
        <v>50</v>
      </c>
      <c r="K20" s="203" t="s">
        <v>50</v>
      </c>
      <c r="L20" s="203" t="s">
        <v>50</v>
      </c>
      <c r="M20" s="203" t="s">
        <v>51</v>
      </c>
      <c r="N20" s="203">
        <v>24.24953</v>
      </c>
      <c r="O20" s="203">
        <v>97.240639999999999</v>
      </c>
      <c r="P20" s="203" t="s">
        <v>930</v>
      </c>
      <c r="Q20" s="203" t="s">
        <v>951</v>
      </c>
      <c r="R20" s="425">
        <v>13</v>
      </c>
      <c r="S20" s="425">
        <v>73</v>
      </c>
      <c r="T20" s="542" t="s">
        <v>935</v>
      </c>
      <c r="U20" s="427"/>
      <c r="V20" s="203" t="s">
        <v>350</v>
      </c>
      <c r="W20" s="203" t="s">
        <v>2973</v>
      </c>
    </row>
    <row r="21" spans="1:23" s="203" customFormat="1" ht="17.25" hidden="1" customHeight="1" x14ac:dyDescent="0.2">
      <c r="A21" s="203" t="s">
        <v>44</v>
      </c>
      <c r="B21" s="203" t="s">
        <v>292</v>
      </c>
      <c r="C21" s="203" t="s">
        <v>1270</v>
      </c>
      <c r="D21" s="203" t="s">
        <v>2177</v>
      </c>
      <c r="J21" s="203" t="s">
        <v>50</v>
      </c>
      <c r="K21" s="203" t="s">
        <v>50</v>
      </c>
      <c r="L21" s="203" t="s">
        <v>1271</v>
      </c>
      <c r="M21" s="203" t="s">
        <v>51</v>
      </c>
      <c r="P21" s="203" t="s">
        <v>930</v>
      </c>
      <c r="R21" s="425"/>
      <c r="S21" s="426"/>
      <c r="T21" s="542" t="s">
        <v>935</v>
      </c>
      <c r="U21" s="427"/>
      <c r="V21" s="203" t="s">
        <v>1270</v>
      </c>
    </row>
    <row r="22" spans="1:23" s="203" customFormat="1" ht="17.25" hidden="1" customHeight="1" x14ac:dyDescent="0.2">
      <c r="A22" s="203" t="s">
        <v>44</v>
      </c>
      <c r="B22" s="203" t="s">
        <v>292</v>
      </c>
      <c r="C22" s="203" t="s">
        <v>392</v>
      </c>
      <c r="D22" s="203" t="s">
        <v>2949</v>
      </c>
      <c r="E22" s="203" t="s">
        <v>2066</v>
      </c>
      <c r="F22" s="203" t="s">
        <v>2365</v>
      </c>
      <c r="G22" s="203" t="s">
        <v>2366</v>
      </c>
      <c r="H22" s="203" t="s">
        <v>48</v>
      </c>
      <c r="I22" s="203" t="s">
        <v>389</v>
      </c>
      <c r="J22" s="203" t="s">
        <v>50</v>
      </c>
      <c r="K22" s="203" t="s">
        <v>50</v>
      </c>
      <c r="L22" s="203" t="s">
        <v>50</v>
      </c>
      <c r="M22" s="203" t="s">
        <v>51</v>
      </c>
      <c r="N22" s="203">
        <v>25.889410000000002</v>
      </c>
      <c r="O22" s="203">
        <v>98.131550000000004</v>
      </c>
      <c r="P22" s="203" t="s">
        <v>930</v>
      </c>
      <c r="Q22" s="203" t="s">
        <v>951</v>
      </c>
      <c r="R22" s="425">
        <v>158</v>
      </c>
      <c r="S22" s="425">
        <v>798</v>
      </c>
      <c r="T22" s="542" t="s">
        <v>935</v>
      </c>
      <c r="U22" s="427"/>
      <c r="V22" s="203" t="s">
        <v>392</v>
      </c>
      <c r="W22" s="203" t="s">
        <v>2974</v>
      </c>
    </row>
    <row r="23" spans="1:23" s="203" customFormat="1" ht="17.25" hidden="1" customHeight="1" x14ac:dyDescent="0.2">
      <c r="A23" s="203" t="s">
        <v>44</v>
      </c>
      <c r="B23" s="203" t="s">
        <v>292</v>
      </c>
      <c r="C23" s="203" t="s">
        <v>939</v>
      </c>
      <c r="D23" s="203" t="s">
        <v>2178</v>
      </c>
      <c r="E23" s="203" t="s">
        <v>1538</v>
      </c>
      <c r="F23" s="203">
        <v>0</v>
      </c>
      <c r="G23" s="203">
        <v>0</v>
      </c>
      <c r="H23" s="203" t="s">
        <v>48</v>
      </c>
      <c r="I23" s="203" t="s">
        <v>1539</v>
      </c>
      <c r="J23" s="203" t="s">
        <v>50</v>
      </c>
      <c r="K23" s="203" t="s">
        <v>50</v>
      </c>
      <c r="L23" s="203" t="s">
        <v>929</v>
      </c>
      <c r="M23" s="203" t="s">
        <v>51</v>
      </c>
      <c r="P23" s="203" t="s">
        <v>930</v>
      </c>
      <c r="R23" s="425"/>
      <c r="S23" s="426"/>
      <c r="T23" s="542" t="s">
        <v>935</v>
      </c>
      <c r="U23" s="427"/>
      <c r="V23" s="203" t="s">
        <v>939</v>
      </c>
      <c r="W23" s="203" t="s">
        <v>2975</v>
      </c>
    </row>
    <row r="24" spans="1:23" s="203" customFormat="1" ht="17.25" hidden="1" customHeight="1" x14ac:dyDescent="0.2">
      <c r="A24" s="203" t="s">
        <v>44</v>
      </c>
      <c r="B24" s="203" t="s">
        <v>292</v>
      </c>
      <c r="C24" s="203" t="s">
        <v>293</v>
      </c>
      <c r="D24" s="203" t="s">
        <v>2949</v>
      </c>
      <c r="E24" s="203" t="s">
        <v>2062</v>
      </c>
      <c r="F24" s="203" t="s">
        <v>2362</v>
      </c>
      <c r="G24" s="203" t="s">
        <v>2363</v>
      </c>
      <c r="H24" s="203" t="s">
        <v>48</v>
      </c>
      <c r="I24" s="203" t="s">
        <v>287</v>
      </c>
      <c r="J24" s="203" t="s">
        <v>50</v>
      </c>
      <c r="K24" s="203" t="s">
        <v>50</v>
      </c>
      <c r="L24" s="203" t="s">
        <v>50</v>
      </c>
      <c r="M24" s="203" t="s">
        <v>949</v>
      </c>
      <c r="N24" s="203">
        <v>25.754110000000001</v>
      </c>
      <c r="O24" s="203">
        <v>98.475719999999995</v>
      </c>
      <c r="P24" s="203" t="s">
        <v>930</v>
      </c>
      <c r="Q24" s="203" t="s">
        <v>951</v>
      </c>
      <c r="R24" s="425">
        <v>160</v>
      </c>
      <c r="S24" s="425">
        <v>830</v>
      </c>
      <c r="T24" s="542" t="s">
        <v>935</v>
      </c>
      <c r="U24" s="427"/>
      <c r="V24" s="203" t="s">
        <v>293</v>
      </c>
      <c r="W24" s="203" t="s">
        <v>2976</v>
      </c>
    </row>
    <row r="25" spans="1:23" s="203" customFormat="1" ht="17.25" hidden="1" customHeight="1" x14ac:dyDescent="0.2">
      <c r="A25" s="203" t="s">
        <v>44</v>
      </c>
      <c r="B25" s="203" t="s">
        <v>292</v>
      </c>
      <c r="C25" s="203" t="s">
        <v>1234</v>
      </c>
      <c r="D25" s="203" t="s">
        <v>2178</v>
      </c>
      <c r="E25" s="203" t="s">
        <v>2060</v>
      </c>
      <c r="F25" s="203" t="s">
        <v>2243</v>
      </c>
      <c r="G25" s="203" t="s">
        <v>2244</v>
      </c>
      <c r="I25" s="203">
        <v>0</v>
      </c>
      <c r="J25" s="203" t="s">
        <v>50</v>
      </c>
      <c r="K25" s="203" t="s">
        <v>50</v>
      </c>
      <c r="L25" s="203" t="s">
        <v>929</v>
      </c>
      <c r="M25" s="203" t="s">
        <v>51</v>
      </c>
      <c r="N25" s="203">
        <v>25.708763000000001</v>
      </c>
      <c r="O25" s="203">
        <v>98.354146999999998</v>
      </c>
      <c r="P25" s="203" t="s">
        <v>943</v>
      </c>
      <c r="Q25" s="203" t="s">
        <v>931</v>
      </c>
      <c r="R25" s="425"/>
      <c r="S25" s="426"/>
      <c r="T25" s="542">
        <v>42983</v>
      </c>
      <c r="U25" s="427" t="s">
        <v>1235</v>
      </c>
      <c r="V25" s="203" t="s">
        <v>1234</v>
      </c>
      <c r="W25" s="203" t="s">
        <v>2977</v>
      </c>
    </row>
    <row r="26" spans="1:23" s="203" customFormat="1" ht="17.25" hidden="1" customHeight="1" x14ac:dyDescent="0.2">
      <c r="A26" s="203" t="s">
        <v>44</v>
      </c>
      <c r="B26" s="203" t="s">
        <v>292</v>
      </c>
      <c r="C26" s="203" t="s">
        <v>395</v>
      </c>
      <c r="D26" s="203" t="s">
        <v>2949</v>
      </c>
      <c r="E26" s="203" t="s">
        <v>2065</v>
      </c>
      <c r="F26" s="203" t="s">
        <v>2207</v>
      </c>
      <c r="G26" s="203" t="s">
        <v>2364</v>
      </c>
      <c r="H26" s="203" t="s">
        <v>48</v>
      </c>
      <c r="I26" s="203" t="s">
        <v>389</v>
      </c>
      <c r="J26" s="203" t="s">
        <v>50</v>
      </c>
      <c r="K26" s="203" t="s">
        <v>50</v>
      </c>
      <c r="L26" s="203" t="s">
        <v>50</v>
      </c>
      <c r="M26" s="203" t="s">
        <v>51</v>
      </c>
      <c r="N26" s="203">
        <v>25.887339999999998</v>
      </c>
      <c r="O26" s="203">
        <v>98.129990000000006</v>
      </c>
      <c r="P26" s="203" t="s">
        <v>930</v>
      </c>
      <c r="Q26" s="203" t="s">
        <v>951</v>
      </c>
      <c r="R26" s="425">
        <v>203</v>
      </c>
      <c r="S26" s="425">
        <v>838</v>
      </c>
      <c r="T26" s="542" t="s">
        <v>935</v>
      </c>
      <c r="U26" s="427"/>
      <c r="V26" s="203" t="s">
        <v>395</v>
      </c>
      <c r="W26" s="203" t="s">
        <v>2978</v>
      </c>
    </row>
    <row r="27" spans="1:23" s="203" customFormat="1" ht="17.25" hidden="1" customHeight="1" x14ac:dyDescent="0.2">
      <c r="A27" s="203" t="s">
        <v>44</v>
      </c>
      <c r="B27" s="203" t="s">
        <v>292</v>
      </c>
      <c r="C27" s="203" t="s">
        <v>371</v>
      </c>
      <c r="D27" s="203" t="s">
        <v>2949</v>
      </c>
      <c r="E27" s="203" t="s">
        <v>2043</v>
      </c>
      <c r="F27" s="203" t="s">
        <v>2357</v>
      </c>
      <c r="G27" s="203" t="s">
        <v>2227</v>
      </c>
      <c r="H27" s="203" t="s">
        <v>48</v>
      </c>
      <c r="I27" s="203" t="s">
        <v>1539</v>
      </c>
      <c r="J27" s="203" t="s">
        <v>50</v>
      </c>
      <c r="K27" s="203" t="s">
        <v>50</v>
      </c>
      <c r="L27" s="203" t="s">
        <v>50</v>
      </c>
      <c r="M27" s="203" t="s">
        <v>51</v>
      </c>
      <c r="N27" s="203">
        <v>25.60867</v>
      </c>
      <c r="O27" s="203">
        <v>98.377780000000001</v>
      </c>
      <c r="P27" s="203" t="s">
        <v>930</v>
      </c>
      <c r="Q27" s="203" t="s">
        <v>951</v>
      </c>
      <c r="R27" s="425">
        <v>57</v>
      </c>
      <c r="S27" s="425">
        <v>273</v>
      </c>
      <c r="T27" s="542" t="s">
        <v>935</v>
      </c>
      <c r="U27" s="427"/>
      <c r="V27" s="203" t="s">
        <v>371</v>
      </c>
      <c r="W27" s="203" t="s">
        <v>2979</v>
      </c>
    </row>
    <row r="28" spans="1:23" s="203" customFormat="1" ht="17.25" hidden="1" customHeight="1" x14ac:dyDescent="0.2">
      <c r="A28" s="203" t="s">
        <v>44</v>
      </c>
      <c r="B28" s="203" t="s">
        <v>292</v>
      </c>
      <c r="C28" s="203" t="s">
        <v>374</v>
      </c>
      <c r="D28" s="203" t="s">
        <v>2949</v>
      </c>
      <c r="E28" s="203" t="s">
        <v>2053</v>
      </c>
      <c r="F28" s="203" t="s">
        <v>2244</v>
      </c>
      <c r="G28" s="203" t="s">
        <v>374</v>
      </c>
      <c r="H28" s="203" t="s">
        <v>48</v>
      </c>
      <c r="I28" s="203" t="s">
        <v>1539</v>
      </c>
      <c r="J28" s="203" t="s">
        <v>50</v>
      </c>
      <c r="K28" s="203" t="s">
        <v>50</v>
      </c>
      <c r="L28" s="203" t="s">
        <v>50</v>
      </c>
      <c r="M28" s="203" t="s">
        <v>51</v>
      </c>
      <c r="N28" s="203">
        <v>25.645959999999999</v>
      </c>
      <c r="O28" s="203">
        <v>98.356260000000006</v>
      </c>
      <c r="P28" s="203" t="s">
        <v>930</v>
      </c>
      <c r="Q28" s="203" t="s">
        <v>951</v>
      </c>
      <c r="R28" s="425">
        <v>28</v>
      </c>
      <c r="S28" s="425">
        <v>165</v>
      </c>
      <c r="T28" s="542" t="s">
        <v>935</v>
      </c>
      <c r="U28" s="427"/>
      <c r="V28" s="203" t="s">
        <v>1229</v>
      </c>
      <c r="W28" s="203" t="s">
        <v>2980</v>
      </c>
    </row>
    <row r="29" spans="1:23" s="203" customFormat="1" ht="17.25" hidden="1" customHeight="1" x14ac:dyDescent="0.2">
      <c r="A29" s="203" t="s">
        <v>44</v>
      </c>
      <c r="B29" s="203" t="s">
        <v>294</v>
      </c>
      <c r="C29" s="203" t="s">
        <v>1230</v>
      </c>
      <c r="D29" s="203" t="s">
        <v>2178</v>
      </c>
      <c r="E29" s="203" t="s">
        <v>2056</v>
      </c>
      <c r="F29" s="203" t="s">
        <v>2241</v>
      </c>
      <c r="G29" s="203" t="s">
        <v>2241</v>
      </c>
      <c r="H29" s="203" t="s">
        <v>48</v>
      </c>
      <c r="I29" s="203" t="s">
        <v>287</v>
      </c>
      <c r="J29" s="203" t="s">
        <v>50</v>
      </c>
      <c r="K29" s="203" t="s">
        <v>50</v>
      </c>
      <c r="L29" s="203" t="s">
        <v>929</v>
      </c>
      <c r="M29" s="203" t="s">
        <v>51</v>
      </c>
      <c r="N29" s="203">
        <v>25.656130000000001</v>
      </c>
      <c r="O29" s="203">
        <v>96.355270000000004</v>
      </c>
      <c r="P29" s="203" t="s">
        <v>930</v>
      </c>
      <c r="Q29" s="203" t="s">
        <v>951</v>
      </c>
      <c r="R29" s="425"/>
      <c r="S29" s="426"/>
      <c r="T29" s="542">
        <v>42983</v>
      </c>
      <c r="U29" s="427" t="s">
        <v>1231</v>
      </c>
      <c r="V29" s="203" t="s">
        <v>1230</v>
      </c>
      <c r="W29" s="203" t="s">
        <v>2981</v>
      </c>
    </row>
    <row r="30" spans="1:23" s="203" customFormat="1" ht="17.25" hidden="1" customHeight="1" x14ac:dyDescent="0.2">
      <c r="A30" s="203" t="s">
        <v>44</v>
      </c>
      <c r="B30" s="203" t="s">
        <v>294</v>
      </c>
      <c r="C30" s="203" t="s">
        <v>377</v>
      </c>
      <c r="D30" s="203" t="s">
        <v>2949</v>
      </c>
      <c r="E30" s="203" t="s">
        <v>2055</v>
      </c>
      <c r="F30" s="203" t="s">
        <v>2241</v>
      </c>
      <c r="G30" s="203" t="s">
        <v>2241</v>
      </c>
      <c r="H30" s="203" t="s">
        <v>48</v>
      </c>
      <c r="I30" s="203" t="s">
        <v>1539</v>
      </c>
      <c r="J30" s="203" t="s">
        <v>50</v>
      </c>
      <c r="K30" s="203" t="s">
        <v>50</v>
      </c>
      <c r="L30" s="203" t="s">
        <v>50</v>
      </c>
      <c r="M30" s="203" t="s">
        <v>51</v>
      </c>
      <c r="N30" s="203">
        <v>25.656009999999998</v>
      </c>
      <c r="O30" s="203">
        <v>96.361609999999999</v>
      </c>
      <c r="P30" s="203" t="s">
        <v>930</v>
      </c>
      <c r="Q30" s="203" t="s">
        <v>951</v>
      </c>
      <c r="R30" s="425">
        <v>68</v>
      </c>
      <c r="S30" s="425">
        <v>335</v>
      </c>
      <c r="T30" s="542" t="s">
        <v>935</v>
      </c>
      <c r="U30" s="427"/>
      <c r="V30" s="203" t="s">
        <v>377</v>
      </c>
      <c r="W30" s="203" t="s">
        <v>2982</v>
      </c>
    </row>
    <row r="31" spans="1:23" s="203" customFormat="1" ht="17.25" hidden="1" customHeight="1" x14ac:dyDescent="0.2">
      <c r="A31" s="203" t="s">
        <v>44</v>
      </c>
      <c r="B31" s="203" t="s">
        <v>294</v>
      </c>
      <c r="C31" s="203" t="s">
        <v>1240</v>
      </c>
      <c r="D31" s="203" t="s">
        <v>2178</v>
      </c>
      <c r="E31" s="203" t="s">
        <v>2067</v>
      </c>
      <c r="F31" s="203" t="s">
        <v>2248</v>
      </c>
      <c r="G31" s="203" t="s">
        <v>2249</v>
      </c>
      <c r="I31" s="203">
        <v>0</v>
      </c>
      <c r="J31" s="203" t="s">
        <v>50</v>
      </c>
      <c r="K31" s="203" t="s">
        <v>50</v>
      </c>
      <c r="L31" s="203" t="s">
        <v>929</v>
      </c>
      <c r="M31" s="203" t="s">
        <v>51</v>
      </c>
      <c r="N31" s="203">
        <v>25.920006000000001</v>
      </c>
      <c r="O31" s="203">
        <v>96.662092000000001</v>
      </c>
      <c r="P31" s="203" t="s">
        <v>930</v>
      </c>
      <c r="Q31" s="203" t="s">
        <v>931</v>
      </c>
      <c r="R31" s="425"/>
      <c r="S31" s="426"/>
      <c r="T31" s="542"/>
      <c r="U31" s="427"/>
      <c r="W31" s="203" t="s">
        <v>2983</v>
      </c>
    </row>
    <row r="32" spans="1:23" s="203" customFormat="1" ht="17.25" hidden="1" customHeight="1" x14ac:dyDescent="0.2">
      <c r="A32" s="203" t="s">
        <v>44</v>
      </c>
      <c r="B32" s="203" t="s">
        <v>294</v>
      </c>
      <c r="C32" s="203" t="s">
        <v>396</v>
      </c>
      <c r="D32" s="203" t="s">
        <v>2949</v>
      </c>
      <c r="E32" s="203" t="s">
        <v>2051</v>
      </c>
      <c r="F32" s="203" t="s">
        <v>2241</v>
      </c>
      <c r="G32" s="203" t="s">
        <v>2241</v>
      </c>
      <c r="H32" s="203" t="s">
        <v>48</v>
      </c>
      <c r="I32" s="203" t="s">
        <v>389</v>
      </c>
      <c r="J32" s="203" t="s">
        <v>50</v>
      </c>
      <c r="K32" s="203" t="s">
        <v>50</v>
      </c>
      <c r="L32" s="203" t="s">
        <v>50</v>
      </c>
      <c r="M32" s="203" t="s">
        <v>51</v>
      </c>
      <c r="N32" s="203">
        <v>25.635300000000001</v>
      </c>
      <c r="O32" s="203">
        <v>96.345569999999995</v>
      </c>
      <c r="P32" s="203" t="s">
        <v>930</v>
      </c>
      <c r="Q32" s="203" t="s">
        <v>951</v>
      </c>
      <c r="R32" s="425">
        <v>70</v>
      </c>
      <c r="S32" s="425">
        <v>375</v>
      </c>
      <c r="T32" s="542" t="s">
        <v>935</v>
      </c>
      <c r="U32" s="427"/>
      <c r="V32" s="203" t="s">
        <v>396</v>
      </c>
      <c r="W32" s="203" t="s">
        <v>2984</v>
      </c>
    </row>
    <row r="33" spans="1:23" s="203" customFormat="1" ht="17.25" hidden="1" customHeight="1" x14ac:dyDescent="0.2">
      <c r="A33" s="203" t="s">
        <v>44</v>
      </c>
      <c r="B33" s="203" t="s">
        <v>294</v>
      </c>
      <c r="C33" s="203" t="s">
        <v>397</v>
      </c>
      <c r="D33" s="203" t="s">
        <v>2949</v>
      </c>
      <c r="E33" s="203" t="s">
        <v>2048</v>
      </c>
      <c r="F33" s="203" t="s">
        <v>2358</v>
      </c>
      <c r="G33" s="203" t="s">
        <v>2359</v>
      </c>
      <c r="H33" s="203" t="s">
        <v>48</v>
      </c>
      <c r="I33" s="203" t="s">
        <v>389</v>
      </c>
      <c r="J33" s="203" t="s">
        <v>50</v>
      </c>
      <c r="K33" s="203" t="s">
        <v>50</v>
      </c>
      <c r="L33" s="203" t="s">
        <v>50</v>
      </c>
      <c r="M33" s="203" t="s">
        <v>51</v>
      </c>
      <c r="N33" s="203">
        <v>25.616509000000001</v>
      </c>
      <c r="O33" s="203">
        <v>96.317350000000005</v>
      </c>
      <c r="P33" s="203" t="s">
        <v>930</v>
      </c>
      <c r="Q33" s="203" t="s">
        <v>951</v>
      </c>
      <c r="R33" s="425">
        <v>14</v>
      </c>
      <c r="S33" s="425">
        <v>83</v>
      </c>
      <c r="T33" s="542" t="s">
        <v>935</v>
      </c>
      <c r="U33" s="427"/>
      <c r="V33" s="203" t="s">
        <v>397</v>
      </c>
      <c r="W33" s="203" t="s">
        <v>2985</v>
      </c>
    </row>
    <row r="34" spans="1:23" s="203" customFormat="1" ht="17.25" hidden="1" customHeight="1" x14ac:dyDescent="0.2">
      <c r="A34" s="203" t="s">
        <v>44</v>
      </c>
      <c r="B34" s="203" t="s">
        <v>294</v>
      </c>
      <c r="C34" s="203" t="s">
        <v>398</v>
      </c>
      <c r="D34" s="203" t="s">
        <v>2949</v>
      </c>
      <c r="E34" s="203" t="s">
        <v>2054</v>
      </c>
      <c r="F34" s="203" t="s">
        <v>2241</v>
      </c>
      <c r="G34" s="203" t="s">
        <v>2361</v>
      </c>
      <c r="H34" s="203" t="s">
        <v>48</v>
      </c>
      <c r="I34" s="203" t="s">
        <v>287</v>
      </c>
      <c r="J34" s="203" t="s">
        <v>50</v>
      </c>
      <c r="K34" s="203" t="s">
        <v>50</v>
      </c>
      <c r="L34" s="203" t="s">
        <v>50</v>
      </c>
      <c r="M34" s="203" t="s">
        <v>51</v>
      </c>
      <c r="N34" s="203">
        <v>25.647649999999999</v>
      </c>
      <c r="O34" s="203">
        <v>96.346469999999997</v>
      </c>
      <c r="P34" s="203" t="s">
        <v>930</v>
      </c>
      <c r="Q34" s="203" t="s">
        <v>951</v>
      </c>
      <c r="R34" s="425">
        <v>36</v>
      </c>
      <c r="S34" s="425">
        <v>227</v>
      </c>
      <c r="T34" s="542" t="s">
        <v>935</v>
      </c>
      <c r="U34" s="427"/>
      <c r="V34" s="203" t="s">
        <v>398</v>
      </c>
      <c r="W34" s="203" t="s">
        <v>2986</v>
      </c>
    </row>
    <row r="35" spans="1:23" s="203" customFormat="1" ht="17.25" hidden="1" customHeight="1" x14ac:dyDescent="0.2">
      <c r="A35" s="203" t="s">
        <v>44</v>
      </c>
      <c r="B35" s="203" t="s">
        <v>294</v>
      </c>
      <c r="C35" s="203" t="s">
        <v>1236</v>
      </c>
      <c r="D35" s="203" t="s">
        <v>2178</v>
      </c>
      <c r="E35" s="203" t="s">
        <v>2061</v>
      </c>
      <c r="F35" s="203" t="s">
        <v>2245</v>
      </c>
      <c r="G35" s="203" t="s">
        <v>2246</v>
      </c>
      <c r="H35" s="203" t="s">
        <v>48</v>
      </c>
      <c r="I35" s="203" t="s">
        <v>389</v>
      </c>
      <c r="J35" s="203" t="s">
        <v>50</v>
      </c>
      <c r="K35" s="203" t="s">
        <v>50</v>
      </c>
      <c r="L35" s="203" t="s">
        <v>929</v>
      </c>
      <c r="M35" s="203" t="s">
        <v>51</v>
      </c>
      <c r="N35" s="203">
        <v>25.728653000000001</v>
      </c>
      <c r="O35" s="203">
        <v>96.673805000000002</v>
      </c>
      <c r="P35" s="203" t="s">
        <v>930</v>
      </c>
      <c r="R35" s="425"/>
      <c r="S35" s="426"/>
      <c r="T35" s="542" t="s">
        <v>935</v>
      </c>
      <c r="U35" s="427"/>
      <c r="V35" s="203" t="s">
        <v>1236</v>
      </c>
      <c r="W35" s="203" t="s">
        <v>2987</v>
      </c>
    </row>
    <row r="36" spans="1:23" s="203" customFormat="1" ht="17.25" hidden="1" customHeight="1" x14ac:dyDescent="0.2">
      <c r="A36" s="203" t="s">
        <v>44</v>
      </c>
      <c r="B36" s="203" t="s">
        <v>294</v>
      </c>
      <c r="C36" s="203" t="s">
        <v>1233</v>
      </c>
      <c r="D36" s="203" t="s">
        <v>2178</v>
      </c>
      <c r="E36" s="203" t="s">
        <v>2059</v>
      </c>
      <c r="F36" s="203" t="s">
        <v>2241</v>
      </c>
      <c r="G36" s="203" t="s">
        <v>2242</v>
      </c>
      <c r="I36" s="203">
        <v>0</v>
      </c>
      <c r="J36" s="203" t="s">
        <v>50</v>
      </c>
      <c r="K36" s="203" t="s">
        <v>50</v>
      </c>
      <c r="L36" s="203" t="s">
        <v>929</v>
      </c>
      <c r="M36" s="203" t="s">
        <v>51</v>
      </c>
      <c r="N36" s="203">
        <v>25.668469999999999</v>
      </c>
      <c r="O36" s="203">
        <v>96.353070000000002</v>
      </c>
      <c r="P36" s="203" t="s">
        <v>930</v>
      </c>
      <c r="R36" s="425"/>
      <c r="S36" s="426"/>
      <c r="T36" s="542" t="s">
        <v>935</v>
      </c>
      <c r="U36" s="427"/>
      <c r="V36" s="203" t="s">
        <v>1233</v>
      </c>
      <c r="W36" s="203" t="s">
        <v>2988</v>
      </c>
    </row>
    <row r="37" spans="1:23" s="203" customFormat="1" ht="17.25" hidden="1" customHeight="1" x14ac:dyDescent="0.2">
      <c r="A37" s="203" t="s">
        <v>44</v>
      </c>
      <c r="B37" s="203" t="s">
        <v>294</v>
      </c>
      <c r="C37" s="203" t="s">
        <v>400</v>
      </c>
      <c r="D37" s="203" t="s">
        <v>2949</v>
      </c>
      <c r="E37" s="203" t="s">
        <v>2041</v>
      </c>
      <c r="F37" s="203" t="s">
        <v>2194</v>
      </c>
      <c r="G37" s="203" t="s">
        <v>2194</v>
      </c>
      <c r="H37" s="203" t="s">
        <v>48</v>
      </c>
      <c r="I37" s="203" t="s">
        <v>2959</v>
      </c>
      <c r="J37" s="203" t="s">
        <v>50</v>
      </c>
      <c r="K37" s="203" t="s">
        <v>50</v>
      </c>
      <c r="L37" s="203" t="s">
        <v>946</v>
      </c>
      <c r="M37" s="203" t="s">
        <v>51</v>
      </c>
      <c r="N37" s="203">
        <v>25.582065</v>
      </c>
      <c r="O37" s="203">
        <v>96.283377000000002</v>
      </c>
      <c r="P37" s="203" t="s">
        <v>930</v>
      </c>
      <c r="Q37" s="203" t="s">
        <v>951</v>
      </c>
      <c r="R37" s="425">
        <v>6</v>
      </c>
      <c r="S37" s="425">
        <v>31</v>
      </c>
      <c r="T37" s="542" t="s">
        <v>935</v>
      </c>
      <c r="U37" s="427"/>
      <c r="V37" s="203" t="s">
        <v>400</v>
      </c>
      <c r="W37" s="203" t="s">
        <v>2989</v>
      </c>
    </row>
    <row r="38" spans="1:23" s="203" customFormat="1" ht="17.25" hidden="1" customHeight="1" x14ac:dyDescent="0.2">
      <c r="A38" s="203" t="s">
        <v>44</v>
      </c>
      <c r="B38" s="203" t="s">
        <v>294</v>
      </c>
      <c r="C38" s="203" t="s">
        <v>402</v>
      </c>
      <c r="D38" s="203" t="s">
        <v>2949</v>
      </c>
      <c r="E38" s="203" t="s">
        <v>2052</v>
      </c>
      <c r="F38" s="203" t="s">
        <v>2241</v>
      </c>
      <c r="G38" s="203" t="s">
        <v>2360</v>
      </c>
      <c r="H38" s="203" t="s">
        <v>48</v>
      </c>
      <c r="I38" s="203" t="s">
        <v>389</v>
      </c>
      <c r="J38" s="203" t="s">
        <v>50</v>
      </c>
      <c r="K38" s="203" t="s">
        <v>50</v>
      </c>
      <c r="L38" s="203" t="s">
        <v>50</v>
      </c>
      <c r="M38" s="203" t="s">
        <v>51</v>
      </c>
      <c r="N38" s="203">
        <v>25.637309999999999</v>
      </c>
      <c r="O38" s="203">
        <v>96.35257</v>
      </c>
      <c r="P38" s="203" t="s">
        <v>930</v>
      </c>
      <c r="Q38" s="203" t="s">
        <v>951</v>
      </c>
      <c r="R38" s="425">
        <v>70</v>
      </c>
      <c r="S38" s="425">
        <v>376</v>
      </c>
      <c r="T38" s="542" t="s">
        <v>935</v>
      </c>
      <c r="U38" s="427"/>
      <c r="V38" s="203" t="s">
        <v>402</v>
      </c>
      <c r="W38" s="203" t="s">
        <v>2990</v>
      </c>
    </row>
    <row r="39" spans="1:23" s="203" customFormat="1" ht="17.25" hidden="1" customHeight="1" x14ac:dyDescent="0.2">
      <c r="A39" s="203" t="s">
        <v>44</v>
      </c>
      <c r="B39" s="203" t="s">
        <v>294</v>
      </c>
      <c r="C39" s="203" t="s">
        <v>295</v>
      </c>
      <c r="D39" s="203" t="s">
        <v>2949</v>
      </c>
      <c r="E39" s="203" t="s">
        <v>2036</v>
      </c>
      <c r="F39" s="203" t="s">
        <v>2353</v>
      </c>
      <c r="G39" s="203" t="s">
        <v>2354</v>
      </c>
      <c r="H39" s="203" t="s">
        <v>48</v>
      </c>
      <c r="I39" s="203" t="s">
        <v>287</v>
      </c>
      <c r="J39" s="203" t="s">
        <v>50</v>
      </c>
      <c r="K39" s="203" t="s">
        <v>50</v>
      </c>
      <c r="L39" s="203" t="s">
        <v>50</v>
      </c>
      <c r="M39" s="203" t="s">
        <v>51</v>
      </c>
      <c r="N39" s="203">
        <v>25.51352</v>
      </c>
      <c r="O39" s="203">
        <v>96.705960000000005</v>
      </c>
      <c r="P39" s="203" t="s">
        <v>930</v>
      </c>
      <c r="Q39" s="203" t="s">
        <v>951</v>
      </c>
      <c r="R39" s="425">
        <v>34</v>
      </c>
      <c r="S39" s="425">
        <v>146</v>
      </c>
      <c r="T39" s="542" t="s">
        <v>935</v>
      </c>
      <c r="U39" s="427"/>
      <c r="V39" s="203" t="s">
        <v>295</v>
      </c>
      <c r="W39" s="203" t="s">
        <v>2991</v>
      </c>
    </row>
    <row r="40" spans="1:23" s="203" customFormat="1" ht="17.25" hidden="1" customHeight="1" x14ac:dyDescent="0.2">
      <c r="A40" s="203" t="s">
        <v>44</v>
      </c>
      <c r="B40" s="203" t="s">
        <v>294</v>
      </c>
      <c r="C40" s="203" t="s">
        <v>403</v>
      </c>
      <c r="D40" s="203" t="s">
        <v>2949</v>
      </c>
      <c r="E40" s="203" t="s">
        <v>2047</v>
      </c>
      <c r="F40" s="203" t="s">
        <v>2358</v>
      </c>
      <c r="G40" s="203" t="s">
        <v>2359</v>
      </c>
      <c r="H40" s="203" t="s">
        <v>48</v>
      </c>
      <c r="I40" s="203" t="s">
        <v>2959</v>
      </c>
      <c r="J40" s="203" t="s">
        <v>50</v>
      </c>
      <c r="K40" s="203" t="s">
        <v>50</v>
      </c>
      <c r="L40" s="203" t="s">
        <v>946</v>
      </c>
      <c r="M40" s="203" t="s">
        <v>51</v>
      </c>
      <c r="N40" s="203">
        <v>25.615960999999999</v>
      </c>
      <c r="O40" s="203">
        <v>96.316564</v>
      </c>
      <c r="P40" s="203" t="s">
        <v>930</v>
      </c>
      <c r="Q40" s="203" t="s">
        <v>951</v>
      </c>
      <c r="R40" s="425">
        <v>2</v>
      </c>
      <c r="S40" s="425">
        <v>14</v>
      </c>
      <c r="T40" s="542" t="s">
        <v>935</v>
      </c>
      <c r="U40" s="427"/>
      <c r="V40" s="203" t="s">
        <v>403</v>
      </c>
      <c r="W40" s="203" t="s">
        <v>2992</v>
      </c>
    </row>
    <row r="41" spans="1:23" s="203" customFormat="1" ht="17.25" hidden="1" customHeight="1" x14ac:dyDescent="0.2">
      <c r="A41" s="203" t="s">
        <v>44</v>
      </c>
      <c r="B41" s="203" t="s">
        <v>294</v>
      </c>
      <c r="C41" s="203" t="s">
        <v>404</v>
      </c>
      <c r="D41" s="203" t="s">
        <v>2949</v>
      </c>
      <c r="E41" s="203" t="s">
        <v>2044</v>
      </c>
      <c r="F41" s="203" t="s">
        <v>2356</v>
      </c>
      <c r="G41" s="203" t="s">
        <v>2356</v>
      </c>
      <c r="H41" s="203" t="s">
        <v>48</v>
      </c>
      <c r="I41" s="203" t="s">
        <v>287</v>
      </c>
      <c r="J41" s="203" t="s">
        <v>50</v>
      </c>
      <c r="K41" s="203" t="s">
        <v>50</v>
      </c>
      <c r="L41" s="203" t="s">
        <v>50</v>
      </c>
      <c r="M41" s="203" t="s">
        <v>51</v>
      </c>
      <c r="N41" s="203">
        <v>25.611160000000002</v>
      </c>
      <c r="O41" s="203">
        <v>96.312790000000007</v>
      </c>
      <c r="P41" s="203" t="s">
        <v>930</v>
      </c>
      <c r="Q41" s="203" t="s">
        <v>951</v>
      </c>
      <c r="R41" s="425">
        <v>104</v>
      </c>
      <c r="S41" s="425">
        <v>510</v>
      </c>
      <c r="T41" s="542" t="s">
        <v>935</v>
      </c>
      <c r="U41" s="427"/>
      <c r="V41" s="203" t="s">
        <v>404</v>
      </c>
      <c r="W41" s="203" t="s">
        <v>2993</v>
      </c>
    </row>
    <row r="42" spans="1:23" s="203" customFormat="1" ht="17.25" hidden="1" customHeight="1" x14ac:dyDescent="0.2">
      <c r="A42" s="430" t="s">
        <v>44</v>
      </c>
      <c r="B42" s="429" t="s">
        <v>294</v>
      </c>
      <c r="C42" s="294" t="s">
        <v>2652</v>
      </c>
      <c r="D42" s="432" t="s">
        <v>2177</v>
      </c>
      <c r="J42" s="203" t="s">
        <v>1921</v>
      </c>
      <c r="K42" s="203" t="s">
        <v>50</v>
      </c>
      <c r="L42" s="203" t="s">
        <v>50</v>
      </c>
      <c r="M42" s="203" t="s">
        <v>51</v>
      </c>
      <c r="P42" s="203" t="s">
        <v>930</v>
      </c>
      <c r="Q42" s="203" t="s">
        <v>2653</v>
      </c>
      <c r="R42" s="434"/>
      <c r="S42" s="426"/>
      <c r="T42" s="542">
        <v>43270</v>
      </c>
      <c r="U42" s="427"/>
    </row>
    <row r="43" spans="1:23" s="203" customFormat="1" ht="17.25" hidden="1" customHeight="1" x14ac:dyDescent="0.2">
      <c r="A43" s="430" t="s">
        <v>44</v>
      </c>
      <c r="B43" s="429" t="s">
        <v>294</v>
      </c>
      <c r="C43" s="294" t="s">
        <v>2686</v>
      </c>
      <c r="D43" s="203" t="s">
        <v>2949</v>
      </c>
      <c r="E43" s="294" t="s">
        <v>2687</v>
      </c>
      <c r="F43" s="294"/>
      <c r="G43" s="294"/>
      <c r="H43" s="294"/>
      <c r="I43" s="294" t="s">
        <v>2959</v>
      </c>
      <c r="J43" s="203" t="s">
        <v>50</v>
      </c>
      <c r="K43" s="203" t="s">
        <v>50</v>
      </c>
      <c r="L43" s="294" t="s">
        <v>946</v>
      </c>
      <c r="M43" s="203" t="s">
        <v>51</v>
      </c>
      <c r="N43" s="294"/>
      <c r="O43" s="294"/>
      <c r="P43" s="294" t="s">
        <v>930</v>
      </c>
      <c r="Q43" s="203" t="s">
        <v>2653</v>
      </c>
      <c r="R43" s="425">
        <v>13</v>
      </c>
      <c r="S43" s="425">
        <v>56</v>
      </c>
      <c r="T43" s="542">
        <v>43276</v>
      </c>
      <c r="U43" s="431" t="s">
        <v>2721</v>
      </c>
      <c r="V43" s="294"/>
      <c r="W43" s="203" t="s">
        <v>2994</v>
      </c>
    </row>
    <row r="44" spans="1:23" s="203" customFormat="1" ht="17.25" hidden="1" customHeight="1" x14ac:dyDescent="0.2">
      <c r="A44" s="203" t="s">
        <v>44</v>
      </c>
      <c r="B44" s="203" t="s">
        <v>294</v>
      </c>
      <c r="C44" s="203" t="s">
        <v>1237</v>
      </c>
      <c r="D44" s="203" t="s">
        <v>2178</v>
      </c>
      <c r="E44" s="203" t="s">
        <v>2063</v>
      </c>
      <c r="F44" s="203" t="s">
        <v>2241</v>
      </c>
      <c r="G44" s="203" t="s">
        <v>2247</v>
      </c>
      <c r="H44" s="203" t="s">
        <v>48</v>
      </c>
      <c r="I44" s="203" t="s">
        <v>287</v>
      </c>
      <c r="J44" s="203" t="s">
        <v>50</v>
      </c>
      <c r="K44" s="203" t="s">
        <v>50</v>
      </c>
      <c r="L44" s="203" t="s">
        <v>929</v>
      </c>
      <c r="M44" s="203" t="s">
        <v>51</v>
      </c>
      <c r="N44" s="203">
        <v>25.806999999999999</v>
      </c>
      <c r="O44" s="203">
        <v>96.637</v>
      </c>
      <c r="P44" s="203" t="s">
        <v>930</v>
      </c>
      <c r="Q44" s="203" t="s">
        <v>951</v>
      </c>
      <c r="R44" s="425"/>
      <c r="S44" s="426"/>
      <c r="T44" s="542">
        <v>42983</v>
      </c>
      <c r="U44" s="427" t="s">
        <v>1231</v>
      </c>
      <c r="V44" s="203" t="s">
        <v>1237</v>
      </c>
      <c r="W44" s="203" t="s">
        <v>2995</v>
      </c>
    </row>
    <row r="45" spans="1:23" s="203" customFormat="1" ht="17.25" hidden="1" customHeight="1" x14ac:dyDescent="0.2">
      <c r="A45" s="430" t="s">
        <v>44</v>
      </c>
      <c r="B45" s="429" t="s">
        <v>294</v>
      </c>
      <c r="C45" s="294" t="s">
        <v>2684</v>
      </c>
      <c r="D45" s="203" t="s">
        <v>2949</v>
      </c>
      <c r="E45" s="294" t="s">
        <v>2685</v>
      </c>
      <c r="F45" s="294"/>
      <c r="G45" s="294"/>
      <c r="H45" s="294"/>
      <c r="I45" s="294" t="s">
        <v>2959</v>
      </c>
      <c r="J45" s="203" t="s">
        <v>50</v>
      </c>
      <c r="K45" s="203" t="s">
        <v>50</v>
      </c>
      <c r="L45" s="294" t="s">
        <v>946</v>
      </c>
      <c r="M45" s="203" t="s">
        <v>51</v>
      </c>
      <c r="N45" s="294"/>
      <c r="O45" s="294"/>
      <c r="P45" s="294" t="s">
        <v>930</v>
      </c>
      <c r="Q45" s="203" t="s">
        <v>2653</v>
      </c>
      <c r="R45" s="425">
        <v>40</v>
      </c>
      <c r="S45" s="425">
        <v>176</v>
      </c>
      <c r="T45" s="542">
        <v>43276</v>
      </c>
      <c r="U45" s="431" t="s">
        <v>2721</v>
      </c>
      <c r="V45" s="294"/>
      <c r="W45" s="203" t="s">
        <v>2996</v>
      </c>
    </row>
    <row r="46" spans="1:23" s="203" customFormat="1" ht="17.25" hidden="1" customHeight="1" x14ac:dyDescent="0.2">
      <c r="A46" s="430" t="s">
        <v>44</v>
      </c>
      <c r="B46" s="429" t="s">
        <v>294</v>
      </c>
      <c r="C46" s="294" t="s">
        <v>2654</v>
      </c>
      <c r="D46" s="432"/>
      <c r="J46" s="203" t="s">
        <v>1921</v>
      </c>
      <c r="K46" s="203" t="s">
        <v>50</v>
      </c>
      <c r="L46" s="203" t="s">
        <v>50</v>
      </c>
      <c r="M46" s="203" t="s">
        <v>51</v>
      </c>
      <c r="P46" s="203" t="s">
        <v>930</v>
      </c>
      <c r="Q46" s="203" t="s">
        <v>2653</v>
      </c>
      <c r="R46" s="434"/>
      <c r="S46" s="426"/>
      <c r="T46" s="542">
        <v>43270</v>
      </c>
      <c r="U46" s="427"/>
    </row>
    <row r="47" spans="1:23" s="203" customFormat="1" ht="17.25" hidden="1" customHeight="1" x14ac:dyDescent="0.2">
      <c r="A47" s="203" t="s">
        <v>44</v>
      </c>
      <c r="B47" s="203" t="s">
        <v>294</v>
      </c>
      <c r="C47" s="203" t="s">
        <v>390</v>
      </c>
      <c r="D47" s="203" t="s">
        <v>2949</v>
      </c>
      <c r="E47" s="203" t="s">
        <v>2093</v>
      </c>
      <c r="F47" s="203" t="s">
        <v>2241</v>
      </c>
      <c r="G47" s="203" t="s">
        <v>2370</v>
      </c>
      <c r="H47" s="203" t="s">
        <v>48</v>
      </c>
      <c r="I47" s="203" t="s">
        <v>287</v>
      </c>
      <c r="J47" s="203" t="s">
        <v>50</v>
      </c>
      <c r="K47" s="203" t="s">
        <v>50</v>
      </c>
      <c r="L47" s="203" t="s">
        <v>1259</v>
      </c>
      <c r="M47" s="203" t="s">
        <v>51</v>
      </c>
      <c r="P47" s="21" t="s">
        <v>2716</v>
      </c>
      <c r="Q47" s="203" t="s">
        <v>1097</v>
      </c>
      <c r="R47" s="425">
        <v>144</v>
      </c>
      <c r="S47" s="425">
        <v>663</v>
      </c>
      <c r="T47" s="542">
        <v>42983</v>
      </c>
      <c r="U47" s="427" t="s">
        <v>1277</v>
      </c>
      <c r="W47" s="203" t="s">
        <v>2997</v>
      </c>
    </row>
    <row r="48" spans="1:23" s="203" customFormat="1" ht="17.25" hidden="1" customHeight="1" x14ac:dyDescent="0.2">
      <c r="A48" s="203" t="s">
        <v>44</v>
      </c>
      <c r="B48" s="203" t="s">
        <v>294</v>
      </c>
      <c r="C48" s="203" t="s">
        <v>405</v>
      </c>
      <c r="D48" s="203" t="s">
        <v>2949</v>
      </c>
      <c r="E48" s="203" t="s">
        <v>2038</v>
      </c>
      <c r="F48" s="203" t="s">
        <v>2194</v>
      </c>
      <c r="G48" s="203" t="s">
        <v>2195</v>
      </c>
      <c r="H48" s="203" t="s">
        <v>48</v>
      </c>
      <c r="I48" s="203" t="s">
        <v>389</v>
      </c>
      <c r="J48" s="203" t="s">
        <v>50</v>
      </c>
      <c r="K48" s="203" t="s">
        <v>50</v>
      </c>
      <c r="L48" s="203" t="s">
        <v>50</v>
      </c>
      <c r="M48" s="203" t="s">
        <v>51</v>
      </c>
      <c r="N48" s="203">
        <v>25.566510000000001</v>
      </c>
      <c r="O48" s="203">
        <v>96.269199999999998</v>
      </c>
      <c r="P48" s="203" t="s">
        <v>930</v>
      </c>
      <c r="Q48" s="203" t="s">
        <v>951</v>
      </c>
      <c r="R48" s="425">
        <v>18</v>
      </c>
      <c r="S48" s="425">
        <v>102</v>
      </c>
      <c r="T48" s="542" t="s">
        <v>935</v>
      </c>
      <c r="U48" s="427"/>
      <c r="V48" s="203" t="s">
        <v>405</v>
      </c>
      <c r="W48" s="203" t="s">
        <v>2998</v>
      </c>
    </row>
    <row r="49" spans="1:23" s="203" customFormat="1" ht="17.25" hidden="1" customHeight="1" x14ac:dyDescent="0.2">
      <c r="A49" s="203" t="s">
        <v>44</v>
      </c>
      <c r="B49" s="203" t="s">
        <v>294</v>
      </c>
      <c r="C49" s="203" t="s">
        <v>406</v>
      </c>
      <c r="D49" s="203" t="s">
        <v>2949</v>
      </c>
      <c r="E49" s="203" t="s">
        <v>2050</v>
      </c>
      <c r="F49" s="203" t="s">
        <v>2358</v>
      </c>
      <c r="G49" s="203" t="s">
        <v>2359</v>
      </c>
      <c r="H49" s="203" t="s">
        <v>48</v>
      </c>
      <c r="I49" s="203" t="s">
        <v>389</v>
      </c>
      <c r="J49" s="203" t="s">
        <v>50</v>
      </c>
      <c r="K49" s="203" t="s">
        <v>50</v>
      </c>
      <c r="L49" s="203" t="s">
        <v>50</v>
      </c>
      <c r="M49" s="203" t="s">
        <v>51</v>
      </c>
      <c r="N49" s="203">
        <v>25.61842</v>
      </c>
      <c r="O49" s="203">
        <v>96.316400000000002</v>
      </c>
      <c r="P49" s="203" t="s">
        <v>930</v>
      </c>
      <c r="Q49" s="203" t="s">
        <v>951</v>
      </c>
      <c r="R49" s="425">
        <v>12</v>
      </c>
      <c r="S49" s="425">
        <v>60</v>
      </c>
      <c r="T49" s="542" t="s">
        <v>935</v>
      </c>
      <c r="U49" s="427"/>
      <c r="V49" s="203" t="s">
        <v>406</v>
      </c>
      <c r="W49" s="203" t="s">
        <v>2999</v>
      </c>
    </row>
    <row r="50" spans="1:23" s="203" customFormat="1" ht="17.25" hidden="1" customHeight="1" x14ac:dyDescent="0.2">
      <c r="A50" s="426" t="s">
        <v>44</v>
      </c>
      <c r="B50" s="429" t="s">
        <v>294</v>
      </c>
      <c r="C50" s="430" t="s">
        <v>2794</v>
      </c>
      <c r="D50" s="432"/>
      <c r="J50" s="203" t="s">
        <v>1921</v>
      </c>
      <c r="K50" s="294" t="s">
        <v>50</v>
      </c>
      <c r="L50" s="294" t="s">
        <v>946</v>
      </c>
      <c r="P50" s="203" t="s">
        <v>930</v>
      </c>
      <c r="R50" s="434"/>
      <c r="S50" s="426"/>
      <c r="T50" s="542">
        <v>43297</v>
      </c>
      <c r="U50" s="427"/>
    </row>
    <row r="51" spans="1:23" s="203" customFormat="1" ht="17.25" hidden="1" customHeight="1" x14ac:dyDescent="0.2">
      <c r="A51" s="203" t="s">
        <v>44</v>
      </c>
      <c r="B51" s="203" t="s">
        <v>294</v>
      </c>
      <c r="C51" s="203" t="s">
        <v>407</v>
      </c>
      <c r="D51" s="203" t="s">
        <v>2949</v>
      </c>
      <c r="E51" s="203" t="s">
        <v>2046</v>
      </c>
      <c r="F51" s="203" t="s">
        <v>2358</v>
      </c>
      <c r="G51" s="203" t="s">
        <v>2359</v>
      </c>
      <c r="H51" s="203" t="s">
        <v>48</v>
      </c>
      <c r="I51" s="203" t="s">
        <v>2959</v>
      </c>
      <c r="J51" s="203" t="s">
        <v>50</v>
      </c>
      <c r="K51" s="203" t="s">
        <v>50</v>
      </c>
      <c r="L51" s="203" t="s">
        <v>946</v>
      </c>
      <c r="M51" s="203" t="s">
        <v>51</v>
      </c>
      <c r="N51" s="203">
        <v>25.6145</v>
      </c>
      <c r="O51" s="203">
        <v>96.319829999999996</v>
      </c>
      <c r="P51" s="203" t="s">
        <v>930</v>
      </c>
      <c r="Q51" s="203" t="s">
        <v>951</v>
      </c>
      <c r="R51" s="425">
        <v>4</v>
      </c>
      <c r="S51" s="425">
        <v>15</v>
      </c>
      <c r="T51" s="542" t="s">
        <v>935</v>
      </c>
      <c r="U51" s="427"/>
      <c r="V51" s="203" t="s">
        <v>407</v>
      </c>
      <c r="W51" s="203" t="s">
        <v>3000</v>
      </c>
    </row>
    <row r="52" spans="1:23" s="203" customFormat="1" ht="17.25" hidden="1" customHeight="1" x14ac:dyDescent="0.2">
      <c r="A52" s="203" t="s">
        <v>44</v>
      </c>
      <c r="B52" s="203" t="s">
        <v>294</v>
      </c>
      <c r="C52" s="203" t="s">
        <v>1232</v>
      </c>
      <c r="D52" s="203" t="s">
        <v>2178</v>
      </c>
      <c r="E52" s="203" t="s">
        <v>2057</v>
      </c>
      <c r="F52" s="203" t="s">
        <v>2241</v>
      </c>
      <c r="G52" s="203" t="s">
        <v>2241</v>
      </c>
      <c r="I52" s="203">
        <v>0</v>
      </c>
      <c r="J52" s="203" t="s">
        <v>50</v>
      </c>
      <c r="K52" s="203" t="s">
        <v>50</v>
      </c>
      <c r="L52" s="203" t="s">
        <v>929</v>
      </c>
      <c r="M52" s="203" t="s">
        <v>51</v>
      </c>
      <c r="N52" s="203">
        <v>25.658670000000001</v>
      </c>
      <c r="O52" s="203">
        <v>96.354159999999993</v>
      </c>
      <c r="P52" s="203" t="s">
        <v>930</v>
      </c>
      <c r="R52" s="425"/>
      <c r="S52" s="426"/>
      <c r="T52" s="542" t="s">
        <v>935</v>
      </c>
      <c r="U52" s="427"/>
      <c r="V52" s="203" t="s">
        <v>1232</v>
      </c>
      <c r="W52" s="203" t="s">
        <v>3001</v>
      </c>
    </row>
    <row r="53" spans="1:23" s="203" customFormat="1" ht="17.25" hidden="1" customHeight="1" x14ac:dyDescent="0.2">
      <c r="A53" s="203" t="s">
        <v>44</v>
      </c>
      <c r="B53" s="203" t="s">
        <v>294</v>
      </c>
      <c r="C53" s="203" t="s">
        <v>336</v>
      </c>
      <c r="D53" s="203" t="s">
        <v>2949</v>
      </c>
      <c r="E53" s="203" t="s">
        <v>2068</v>
      </c>
      <c r="F53" s="203" t="s">
        <v>2248</v>
      </c>
      <c r="G53" s="203" t="s">
        <v>2249</v>
      </c>
      <c r="H53" s="203" t="s">
        <v>48</v>
      </c>
      <c r="I53" s="203" t="s">
        <v>1539</v>
      </c>
      <c r="J53" s="203" t="s">
        <v>50</v>
      </c>
      <c r="K53" s="203" t="s">
        <v>50</v>
      </c>
      <c r="L53" s="203" t="s">
        <v>50</v>
      </c>
      <c r="M53" s="203" t="s">
        <v>51</v>
      </c>
      <c r="N53" s="203">
        <v>25.920006000000001</v>
      </c>
      <c r="O53" s="203">
        <v>96.662092000000001</v>
      </c>
      <c r="P53" s="203" t="s">
        <v>930</v>
      </c>
      <c r="Q53" s="203" t="s">
        <v>931</v>
      </c>
      <c r="R53" s="425">
        <v>21</v>
      </c>
      <c r="S53" s="425">
        <v>92</v>
      </c>
      <c r="T53" s="542"/>
      <c r="U53" s="427"/>
      <c r="W53" s="203" t="s">
        <v>3002</v>
      </c>
    </row>
    <row r="54" spans="1:23" s="203" customFormat="1" ht="17.25" hidden="1" customHeight="1" x14ac:dyDescent="0.2">
      <c r="A54" s="203" t="s">
        <v>44</v>
      </c>
      <c r="B54" s="203" t="s">
        <v>294</v>
      </c>
      <c r="C54" s="203" t="s">
        <v>408</v>
      </c>
      <c r="D54" s="203" t="s">
        <v>2949</v>
      </c>
      <c r="E54" s="203" t="s">
        <v>2049</v>
      </c>
      <c r="F54" s="203" t="s">
        <v>2356</v>
      </c>
      <c r="G54" s="203" t="s">
        <v>2356</v>
      </c>
      <c r="H54" s="203" t="s">
        <v>48</v>
      </c>
      <c r="I54" s="203" t="s">
        <v>2959</v>
      </c>
      <c r="J54" s="203" t="s">
        <v>50</v>
      </c>
      <c r="K54" s="203" t="s">
        <v>50</v>
      </c>
      <c r="L54" s="203" t="s">
        <v>946</v>
      </c>
      <c r="M54" s="203" t="s">
        <v>51</v>
      </c>
      <c r="N54" s="203">
        <v>25.617998</v>
      </c>
      <c r="O54" s="203">
        <v>96.339590000000001</v>
      </c>
      <c r="P54" s="203" t="s">
        <v>930</v>
      </c>
      <c r="Q54" s="203" t="s">
        <v>951</v>
      </c>
      <c r="R54" s="425">
        <v>11</v>
      </c>
      <c r="S54" s="425">
        <v>43</v>
      </c>
      <c r="T54" s="542" t="s">
        <v>935</v>
      </c>
      <c r="U54" s="427"/>
      <c r="V54" s="203" t="s">
        <v>408</v>
      </c>
      <c r="W54" s="203" t="s">
        <v>3003</v>
      </c>
    </row>
    <row r="55" spans="1:23" s="203" customFormat="1" ht="17.25" hidden="1" customHeight="1" x14ac:dyDescent="0.2">
      <c r="A55" s="203" t="s">
        <v>44</v>
      </c>
      <c r="B55" s="203" t="s">
        <v>294</v>
      </c>
      <c r="C55" s="203" t="s">
        <v>378</v>
      </c>
      <c r="D55" s="203" t="s">
        <v>2949</v>
      </c>
      <c r="E55" s="203" t="s">
        <v>2045</v>
      </c>
      <c r="F55" s="203" t="s">
        <v>2356</v>
      </c>
      <c r="G55" s="203" t="s">
        <v>2356</v>
      </c>
      <c r="H55" s="203" t="s">
        <v>48</v>
      </c>
      <c r="I55" s="203" t="s">
        <v>1539</v>
      </c>
      <c r="J55" s="203" t="s">
        <v>50</v>
      </c>
      <c r="K55" s="203" t="s">
        <v>50</v>
      </c>
      <c r="L55" s="203" t="s">
        <v>50</v>
      </c>
      <c r="M55" s="203" t="s">
        <v>51</v>
      </c>
      <c r="N55" s="203">
        <v>25.613894999999999</v>
      </c>
      <c r="O55" s="203">
        <v>96.341352999999998</v>
      </c>
      <c r="P55" s="203" t="s">
        <v>930</v>
      </c>
      <c r="Q55" s="203" t="s">
        <v>951</v>
      </c>
      <c r="R55" s="425">
        <v>50</v>
      </c>
      <c r="S55" s="425">
        <v>237</v>
      </c>
      <c r="T55" s="542" t="s">
        <v>935</v>
      </c>
      <c r="U55" s="427"/>
      <c r="V55" s="203" t="s">
        <v>378</v>
      </c>
      <c r="W55" s="203" t="s">
        <v>3004</v>
      </c>
    </row>
    <row r="56" spans="1:23" s="203" customFormat="1" ht="17.25" hidden="1" customHeight="1" x14ac:dyDescent="0.2">
      <c r="A56" s="203" t="s">
        <v>44</v>
      </c>
      <c r="B56" s="203" t="s">
        <v>294</v>
      </c>
      <c r="C56" s="203" t="s">
        <v>409</v>
      </c>
      <c r="D56" s="203" t="s">
        <v>2949</v>
      </c>
      <c r="E56" s="203" t="s">
        <v>2037</v>
      </c>
      <c r="F56" s="203" t="s">
        <v>2194</v>
      </c>
      <c r="G56" s="203" t="s">
        <v>2195</v>
      </c>
      <c r="H56" s="203" t="s">
        <v>48</v>
      </c>
      <c r="I56" s="203" t="s">
        <v>2959</v>
      </c>
      <c r="J56" s="203" t="s">
        <v>50</v>
      </c>
      <c r="K56" s="203" t="s">
        <v>50</v>
      </c>
      <c r="L56" s="203" t="s">
        <v>946</v>
      </c>
      <c r="M56" s="203" t="s">
        <v>51</v>
      </c>
      <c r="N56" s="203">
        <v>25.56551</v>
      </c>
      <c r="O56" s="203">
        <v>96.279200000000003</v>
      </c>
      <c r="P56" s="203" t="s">
        <v>930</v>
      </c>
      <c r="Q56" s="203" t="s">
        <v>951</v>
      </c>
      <c r="R56" s="425">
        <v>10</v>
      </c>
      <c r="S56" s="425">
        <v>38</v>
      </c>
      <c r="T56" s="542" t="s">
        <v>935</v>
      </c>
      <c r="U56" s="427"/>
      <c r="V56" s="203" t="s">
        <v>409</v>
      </c>
      <c r="W56" s="203" t="s">
        <v>3005</v>
      </c>
    </row>
    <row r="57" spans="1:23" s="203" customFormat="1" ht="17.25" hidden="1" customHeight="1" x14ac:dyDescent="0.2">
      <c r="A57" s="203" t="s">
        <v>44</v>
      </c>
      <c r="B57" s="203" t="s">
        <v>294</v>
      </c>
      <c r="C57" s="203" t="s">
        <v>410</v>
      </c>
      <c r="D57" s="203" t="s">
        <v>2178</v>
      </c>
      <c r="E57" s="203" t="s">
        <v>2058</v>
      </c>
      <c r="F57" s="203" t="s">
        <v>2194</v>
      </c>
      <c r="G57" s="203" t="s">
        <v>2195</v>
      </c>
      <c r="H57" s="203" t="s">
        <v>48</v>
      </c>
      <c r="I57" s="203" t="s">
        <v>287</v>
      </c>
      <c r="J57" s="203" t="s">
        <v>50</v>
      </c>
      <c r="K57" s="203" t="s">
        <v>50</v>
      </c>
      <c r="L57" s="203" t="s">
        <v>929</v>
      </c>
      <c r="M57" s="203" t="s">
        <v>51</v>
      </c>
      <c r="N57" s="203">
        <v>25.668399999999998</v>
      </c>
      <c r="O57" s="203">
        <v>96.353030000000004</v>
      </c>
      <c r="P57" s="203" t="s">
        <v>930</v>
      </c>
      <c r="Q57" s="203" t="s">
        <v>951</v>
      </c>
      <c r="R57" s="425"/>
      <c r="S57" s="426"/>
      <c r="T57" s="542" t="s">
        <v>935</v>
      </c>
      <c r="U57" s="427"/>
      <c r="V57" s="203" t="s">
        <v>410</v>
      </c>
      <c r="W57" s="203" t="s">
        <v>3006</v>
      </c>
    </row>
    <row r="58" spans="1:23" s="203" customFormat="1" ht="17.25" hidden="1" customHeight="1" x14ac:dyDescent="0.2">
      <c r="A58" s="203" t="s">
        <v>44</v>
      </c>
      <c r="B58" s="203" t="s">
        <v>294</v>
      </c>
      <c r="C58" s="203" t="s">
        <v>334</v>
      </c>
      <c r="D58" s="203" t="s">
        <v>2949</v>
      </c>
      <c r="E58" s="203" t="s">
        <v>2069</v>
      </c>
      <c r="F58" s="203" t="s">
        <v>2248</v>
      </c>
      <c r="G58" s="203" t="s">
        <v>2249</v>
      </c>
      <c r="H58" s="203" t="s">
        <v>48</v>
      </c>
      <c r="I58" s="203" t="s">
        <v>287</v>
      </c>
      <c r="J58" s="203" t="s">
        <v>50</v>
      </c>
      <c r="K58" s="203" t="s">
        <v>50</v>
      </c>
      <c r="L58" s="203" t="s">
        <v>50</v>
      </c>
      <c r="M58" s="203" t="s">
        <v>51</v>
      </c>
      <c r="N58" s="203">
        <v>25.920006000000001</v>
      </c>
      <c r="O58" s="203">
        <v>96.662092000000001</v>
      </c>
      <c r="P58" s="203" t="s">
        <v>930</v>
      </c>
      <c r="Q58" s="203" t="s">
        <v>931</v>
      </c>
      <c r="R58" s="425">
        <v>29</v>
      </c>
      <c r="S58" s="425">
        <v>118</v>
      </c>
      <c r="T58" s="542"/>
      <c r="U58" s="427"/>
      <c r="W58" s="203" t="s">
        <v>3007</v>
      </c>
    </row>
    <row r="59" spans="1:23" s="203" customFormat="1" ht="17.25" hidden="1" customHeight="1" x14ac:dyDescent="0.2">
      <c r="A59" s="203" t="s">
        <v>44</v>
      </c>
      <c r="B59" s="203" t="s">
        <v>294</v>
      </c>
      <c r="C59" s="203" t="s">
        <v>335</v>
      </c>
      <c r="D59" s="203" t="s">
        <v>2949</v>
      </c>
      <c r="E59" s="203" t="s">
        <v>2070</v>
      </c>
      <c r="F59" s="203" t="s">
        <v>2248</v>
      </c>
      <c r="G59" s="203" t="s">
        <v>2249</v>
      </c>
      <c r="H59" s="203" t="s">
        <v>48</v>
      </c>
      <c r="I59" s="203" t="s">
        <v>2959</v>
      </c>
      <c r="J59" s="203" t="s">
        <v>50</v>
      </c>
      <c r="K59" s="203" t="s">
        <v>50</v>
      </c>
      <c r="L59" s="203" t="s">
        <v>946</v>
      </c>
      <c r="M59" s="203" t="s">
        <v>51</v>
      </c>
      <c r="N59" s="203">
        <v>25.920006000000001</v>
      </c>
      <c r="O59" s="203">
        <v>96.662092000000001</v>
      </c>
      <c r="P59" s="203" t="s">
        <v>930</v>
      </c>
      <c r="Q59" s="203" t="s">
        <v>931</v>
      </c>
      <c r="R59" s="425">
        <v>4</v>
      </c>
      <c r="S59" s="425">
        <v>11</v>
      </c>
      <c r="T59" s="542"/>
      <c r="U59" s="427"/>
      <c r="W59" s="203" t="s">
        <v>3008</v>
      </c>
    </row>
    <row r="60" spans="1:23" s="203" customFormat="1" ht="17.25" hidden="1" customHeight="1" x14ac:dyDescent="0.2">
      <c r="A60" s="203" t="s">
        <v>44</v>
      </c>
      <c r="B60" s="203" t="s">
        <v>294</v>
      </c>
      <c r="C60" s="203" t="s">
        <v>337</v>
      </c>
      <c r="D60" s="203" t="s">
        <v>2177</v>
      </c>
      <c r="J60" s="203" t="s">
        <v>1921</v>
      </c>
      <c r="K60" s="203" t="s">
        <v>50</v>
      </c>
      <c r="L60" s="203" t="s">
        <v>50</v>
      </c>
      <c r="M60" s="203" t="s">
        <v>51</v>
      </c>
      <c r="P60" s="203" t="s">
        <v>930</v>
      </c>
      <c r="Q60" s="203" t="s">
        <v>931</v>
      </c>
      <c r="R60" s="425"/>
      <c r="S60" s="426"/>
      <c r="T60" s="542">
        <v>42824</v>
      </c>
      <c r="U60" s="427"/>
    </row>
    <row r="61" spans="1:23" s="203" customFormat="1" ht="17.25" hidden="1" customHeight="1" x14ac:dyDescent="0.2">
      <c r="A61" s="203" t="s">
        <v>44</v>
      </c>
      <c r="B61" s="203" t="s">
        <v>294</v>
      </c>
      <c r="C61" s="203" t="s">
        <v>1241</v>
      </c>
      <c r="D61" s="203" t="s">
        <v>2178</v>
      </c>
      <c r="E61" s="203" t="s">
        <v>2071</v>
      </c>
      <c r="F61" s="203" t="s">
        <v>2248</v>
      </c>
      <c r="G61" s="203" t="s">
        <v>2249</v>
      </c>
      <c r="I61" s="203">
        <v>0</v>
      </c>
      <c r="J61" s="203" t="s">
        <v>50</v>
      </c>
      <c r="K61" s="203" t="s">
        <v>50</v>
      </c>
      <c r="L61" s="203" t="s">
        <v>929</v>
      </c>
      <c r="M61" s="203" t="s">
        <v>51</v>
      </c>
      <c r="N61" s="203">
        <v>25.920006000000001</v>
      </c>
      <c r="O61" s="203">
        <v>96.662092000000001</v>
      </c>
      <c r="P61" s="203" t="s">
        <v>930</v>
      </c>
      <c r="Q61" s="203" t="s">
        <v>931</v>
      </c>
      <c r="R61" s="425"/>
      <c r="S61" s="426"/>
      <c r="T61" s="542"/>
      <c r="U61" s="427"/>
      <c r="W61" s="203" t="s">
        <v>2983</v>
      </c>
    </row>
    <row r="62" spans="1:23" s="203" customFormat="1" ht="17.25" hidden="1" customHeight="1" x14ac:dyDescent="0.2">
      <c r="A62" s="203" t="s">
        <v>44</v>
      </c>
      <c r="B62" s="203" t="s">
        <v>294</v>
      </c>
      <c r="C62" s="203" t="s">
        <v>1238</v>
      </c>
      <c r="D62" s="203" t="s">
        <v>2178</v>
      </c>
      <c r="E62" s="294" t="s">
        <v>2064</v>
      </c>
      <c r="F62" s="203" t="s">
        <v>2248</v>
      </c>
      <c r="G62" s="203" t="s">
        <v>2248</v>
      </c>
      <c r="I62" s="203">
        <v>0</v>
      </c>
      <c r="J62" s="203" t="s">
        <v>50</v>
      </c>
      <c r="K62" s="203" t="s">
        <v>50</v>
      </c>
      <c r="L62" s="203" t="s">
        <v>929</v>
      </c>
      <c r="M62" s="203" t="s">
        <v>51</v>
      </c>
      <c r="N62" s="203">
        <v>25.806999999999999</v>
      </c>
      <c r="O62" s="203">
        <v>96.637</v>
      </c>
      <c r="P62" s="203" t="s">
        <v>930</v>
      </c>
      <c r="Q62" s="203" t="s">
        <v>931</v>
      </c>
      <c r="R62" s="425"/>
      <c r="S62" s="426"/>
      <c r="T62" s="542">
        <v>42983</v>
      </c>
      <c r="U62" s="427" t="s">
        <v>1239</v>
      </c>
      <c r="W62" s="203" t="s">
        <v>3009</v>
      </c>
    </row>
    <row r="63" spans="1:23" s="203" customFormat="1" ht="17.25" hidden="1" customHeight="1" x14ac:dyDescent="0.2">
      <c r="A63" s="203" t="s">
        <v>44</v>
      </c>
      <c r="B63" s="203" t="s">
        <v>294</v>
      </c>
      <c r="C63" s="203" t="s">
        <v>1228</v>
      </c>
      <c r="D63" s="203" t="s">
        <v>2178</v>
      </c>
      <c r="E63" s="203" t="s">
        <v>2040</v>
      </c>
      <c r="F63" s="203" t="s">
        <v>2194</v>
      </c>
      <c r="G63" s="203" t="s">
        <v>2194</v>
      </c>
      <c r="H63" s="203" t="s">
        <v>48</v>
      </c>
      <c r="I63" s="203" t="s">
        <v>1539</v>
      </c>
      <c r="J63" s="203" t="s">
        <v>50</v>
      </c>
      <c r="K63" s="203" t="s">
        <v>50</v>
      </c>
      <c r="L63" s="203" t="s">
        <v>929</v>
      </c>
      <c r="M63" s="203" t="s">
        <v>51</v>
      </c>
      <c r="N63" s="203">
        <v>25.57921</v>
      </c>
      <c r="O63" s="203">
        <v>96.288250000000005</v>
      </c>
      <c r="P63" s="203" t="s">
        <v>930</v>
      </c>
      <c r="R63" s="425"/>
      <c r="S63" s="426"/>
      <c r="T63" s="542" t="s">
        <v>935</v>
      </c>
      <c r="U63" s="427"/>
      <c r="V63" s="203" t="s">
        <v>1228</v>
      </c>
      <c r="W63" s="203" t="s">
        <v>3010</v>
      </c>
    </row>
    <row r="64" spans="1:23" s="203" customFormat="1" ht="17.25" hidden="1" customHeight="1" x14ac:dyDescent="0.2">
      <c r="A64" s="203" t="s">
        <v>44</v>
      </c>
      <c r="B64" s="203" t="s">
        <v>294</v>
      </c>
      <c r="C64" s="203" t="s">
        <v>411</v>
      </c>
      <c r="D64" s="203" t="s">
        <v>2949</v>
      </c>
      <c r="E64" s="203" t="s">
        <v>2039</v>
      </c>
      <c r="F64" s="203" t="s">
        <v>2194</v>
      </c>
      <c r="G64" s="203" t="s">
        <v>2355</v>
      </c>
      <c r="H64" s="203" t="s">
        <v>48</v>
      </c>
      <c r="I64" s="203" t="s">
        <v>287</v>
      </c>
      <c r="J64" s="203" t="s">
        <v>50</v>
      </c>
      <c r="K64" s="203" t="s">
        <v>50</v>
      </c>
      <c r="L64" s="203" t="s">
        <v>50</v>
      </c>
      <c r="M64" s="203" t="s">
        <v>51</v>
      </c>
      <c r="N64" s="203">
        <v>25.577559999999998</v>
      </c>
      <c r="O64" s="203">
        <v>96.286680000000004</v>
      </c>
      <c r="P64" s="203" t="s">
        <v>930</v>
      </c>
      <c r="Q64" s="203" t="s">
        <v>951</v>
      </c>
      <c r="R64" s="425">
        <v>32</v>
      </c>
      <c r="S64" s="425">
        <v>173</v>
      </c>
      <c r="T64" s="542" t="s">
        <v>935</v>
      </c>
      <c r="U64" s="427"/>
      <c r="V64" s="203" t="s">
        <v>411</v>
      </c>
      <c r="W64" s="203" t="s">
        <v>3011</v>
      </c>
    </row>
    <row r="65" spans="1:23" s="203" customFormat="1" ht="17.25" hidden="1" customHeight="1" x14ac:dyDescent="0.2">
      <c r="A65" s="203" t="s">
        <v>44</v>
      </c>
      <c r="B65" s="203" t="s">
        <v>294</v>
      </c>
      <c r="C65" s="203" t="s">
        <v>412</v>
      </c>
      <c r="D65" s="203" t="s">
        <v>2949</v>
      </c>
      <c r="E65" s="203" t="s">
        <v>2042</v>
      </c>
      <c r="F65" s="203" t="s">
        <v>2356</v>
      </c>
      <c r="G65" s="203" t="s">
        <v>2356</v>
      </c>
      <c r="H65" s="203" t="s">
        <v>48</v>
      </c>
      <c r="I65" s="203" t="s">
        <v>287</v>
      </c>
      <c r="J65" s="203" t="s">
        <v>50</v>
      </c>
      <c r="K65" s="203" t="s">
        <v>50</v>
      </c>
      <c r="L65" s="203" t="s">
        <v>50</v>
      </c>
      <c r="M65" s="203" t="s">
        <v>51</v>
      </c>
      <c r="N65" s="203">
        <v>25.599250000000001</v>
      </c>
      <c r="O65" s="203">
        <v>96.306910999999999</v>
      </c>
      <c r="P65" s="203" t="s">
        <v>930</v>
      </c>
      <c r="Q65" s="203" t="s">
        <v>951</v>
      </c>
      <c r="R65" s="425">
        <v>16</v>
      </c>
      <c r="S65" s="425">
        <v>68</v>
      </c>
      <c r="T65" s="542" t="s">
        <v>935</v>
      </c>
      <c r="U65" s="427"/>
      <c r="V65" s="203" t="s">
        <v>412</v>
      </c>
      <c r="W65" s="203" t="s">
        <v>3012</v>
      </c>
    </row>
    <row r="66" spans="1:23" s="203" customFormat="1" ht="17.25" hidden="1" customHeight="1" x14ac:dyDescent="0.2">
      <c r="A66" s="203" t="s">
        <v>44</v>
      </c>
      <c r="B66" s="203" t="s">
        <v>945</v>
      </c>
      <c r="C66" s="203" t="s">
        <v>944</v>
      </c>
      <c r="D66" s="203" t="s">
        <v>2178</v>
      </c>
      <c r="E66" s="203" t="s">
        <v>1543</v>
      </c>
      <c r="F66" s="203">
        <v>0</v>
      </c>
      <c r="G66" s="203">
        <v>0</v>
      </c>
      <c r="I66" s="203">
        <v>0</v>
      </c>
      <c r="J66" s="203" t="s">
        <v>50</v>
      </c>
      <c r="K66" s="203" t="s">
        <v>50</v>
      </c>
      <c r="L66" s="203" t="s">
        <v>929</v>
      </c>
      <c r="M66" s="203" t="s">
        <v>51</v>
      </c>
      <c r="P66" s="203" t="s">
        <v>930</v>
      </c>
      <c r="R66" s="425"/>
      <c r="S66" s="426"/>
      <c r="T66" s="542" t="s">
        <v>935</v>
      </c>
      <c r="U66" s="427"/>
      <c r="V66" s="203" t="s">
        <v>944</v>
      </c>
      <c r="W66" s="203" t="s">
        <v>3013</v>
      </c>
    </row>
    <row r="67" spans="1:23" s="203" customFormat="1" ht="17.25" hidden="1" customHeight="1" x14ac:dyDescent="0.2">
      <c r="A67" s="203" t="s">
        <v>44</v>
      </c>
      <c r="B67" s="203" t="s">
        <v>1245</v>
      </c>
      <c r="C67" s="203" t="s">
        <v>1244</v>
      </c>
      <c r="D67" s="203" t="s">
        <v>2178</v>
      </c>
      <c r="E67" s="294" t="s">
        <v>2075</v>
      </c>
      <c r="F67" s="203" t="s">
        <v>2250</v>
      </c>
      <c r="G67" s="203" t="s">
        <v>1244</v>
      </c>
      <c r="I67" s="203">
        <v>0</v>
      </c>
      <c r="J67" s="203" t="s">
        <v>50</v>
      </c>
      <c r="K67" s="203" t="s">
        <v>50</v>
      </c>
      <c r="L67" s="203" t="s">
        <v>929</v>
      </c>
      <c r="M67" s="203" t="s">
        <v>51</v>
      </c>
      <c r="N67" s="203">
        <v>26.890058</v>
      </c>
      <c r="O67" s="203">
        <v>98.144502500000002</v>
      </c>
      <c r="P67" s="203" t="s">
        <v>930</v>
      </c>
      <c r="R67" s="425"/>
      <c r="S67" s="426"/>
      <c r="T67" s="542" t="s">
        <v>935</v>
      </c>
      <c r="U67" s="427"/>
      <c r="V67" s="203" t="s">
        <v>1244</v>
      </c>
      <c r="W67" s="203" t="s">
        <v>3014</v>
      </c>
    </row>
    <row r="68" spans="1:23" s="203" customFormat="1" ht="17.25" hidden="1" customHeight="1" x14ac:dyDescent="0.2">
      <c r="A68" s="203" t="s">
        <v>44</v>
      </c>
      <c r="B68" s="203" t="s">
        <v>1250</v>
      </c>
      <c r="C68" s="203" t="s">
        <v>1249</v>
      </c>
      <c r="D68" s="203" t="s">
        <v>2178</v>
      </c>
      <c r="E68" s="203" t="s">
        <v>2078</v>
      </c>
      <c r="F68" s="203">
        <v>0</v>
      </c>
      <c r="G68" s="203">
        <v>0</v>
      </c>
      <c r="I68" s="203">
        <v>0</v>
      </c>
      <c r="J68" s="203" t="s">
        <v>50</v>
      </c>
      <c r="K68" s="203" t="s">
        <v>50</v>
      </c>
      <c r="L68" s="203" t="s">
        <v>929</v>
      </c>
      <c r="M68" s="203" t="s">
        <v>51</v>
      </c>
      <c r="N68" s="203">
        <v>27.274059999999999</v>
      </c>
      <c r="O68" s="203">
        <v>97.586470000000006</v>
      </c>
      <c r="P68" s="203" t="s">
        <v>930</v>
      </c>
      <c r="R68" s="425"/>
      <c r="S68" s="426"/>
      <c r="T68" s="542" t="s">
        <v>935</v>
      </c>
      <c r="U68" s="427"/>
      <c r="V68" s="203" t="s">
        <v>1251</v>
      </c>
      <c r="W68" s="203" t="s">
        <v>3015</v>
      </c>
    </row>
    <row r="69" spans="1:23" s="203" customFormat="1" ht="17.25" hidden="1" customHeight="1" x14ac:dyDescent="0.25">
      <c r="A69" s="294" t="s">
        <v>44</v>
      </c>
      <c r="B69" s="294" t="s">
        <v>1524</v>
      </c>
      <c r="C69" s="294" t="s">
        <v>2405</v>
      </c>
      <c r="D69" s="432" t="s">
        <v>2397</v>
      </c>
      <c r="E69" s="433"/>
      <c r="F69" s="433"/>
      <c r="G69" s="433"/>
      <c r="H69" s="433"/>
      <c r="I69" s="433"/>
      <c r="J69" s="203" t="s">
        <v>1921</v>
      </c>
      <c r="K69" s="433"/>
      <c r="L69" s="433"/>
      <c r="P69" s="203" t="s">
        <v>930</v>
      </c>
      <c r="R69" s="434"/>
      <c r="S69" s="426"/>
      <c r="T69" s="542"/>
      <c r="U69" s="427"/>
    </row>
    <row r="70" spans="1:23" s="203" customFormat="1" ht="17.25" hidden="1" customHeight="1" x14ac:dyDescent="0.25">
      <c r="A70" s="294" t="s">
        <v>44</v>
      </c>
      <c r="B70" s="294" t="s">
        <v>1524</v>
      </c>
      <c r="C70" s="294" t="s">
        <v>1525</v>
      </c>
      <c r="D70" s="432" t="s">
        <v>2397</v>
      </c>
      <c r="E70" s="433"/>
      <c r="F70" s="433"/>
      <c r="G70" s="433"/>
      <c r="H70" s="433"/>
      <c r="I70" s="433"/>
      <c r="J70" s="203" t="s">
        <v>1921</v>
      </c>
      <c r="K70" s="433"/>
      <c r="L70" s="433"/>
      <c r="M70" s="294"/>
      <c r="N70" s="294"/>
      <c r="O70" s="294"/>
      <c r="P70" s="203" t="s">
        <v>930</v>
      </c>
      <c r="Q70" s="294"/>
      <c r="R70" s="435"/>
      <c r="S70" s="430"/>
      <c r="T70" s="543"/>
      <c r="U70" s="431"/>
      <c r="V70" s="294"/>
    </row>
    <row r="71" spans="1:23" s="203" customFormat="1" ht="17.25" hidden="1" customHeight="1" x14ac:dyDescent="0.2">
      <c r="A71" s="203" t="s">
        <v>44</v>
      </c>
      <c r="B71" s="203" t="s">
        <v>45</v>
      </c>
      <c r="C71" s="203" t="s">
        <v>934</v>
      </c>
      <c r="D71" s="203" t="s">
        <v>2178</v>
      </c>
      <c r="E71" s="203" t="s">
        <v>1534</v>
      </c>
      <c r="F71" s="203">
        <v>0</v>
      </c>
      <c r="G71" s="203">
        <v>0</v>
      </c>
      <c r="I71" s="203">
        <v>0</v>
      </c>
      <c r="J71" s="203" t="s">
        <v>50</v>
      </c>
      <c r="K71" s="203" t="s">
        <v>50</v>
      </c>
      <c r="L71" s="203" t="s">
        <v>929</v>
      </c>
      <c r="M71" s="203" t="s">
        <v>51</v>
      </c>
      <c r="P71" s="203" t="s">
        <v>930</v>
      </c>
      <c r="R71" s="425"/>
      <c r="S71" s="426"/>
      <c r="T71" s="542" t="s">
        <v>935</v>
      </c>
      <c r="U71" s="427"/>
      <c r="V71" s="203" t="s">
        <v>934</v>
      </c>
      <c r="W71" s="203" t="s">
        <v>3016</v>
      </c>
    </row>
    <row r="72" spans="1:23" s="203" customFormat="1" ht="17.25" hidden="1" customHeight="1" x14ac:dyDescent="0.2">
      <c r="A72" s="203" t="s">
        <v>44</v>
      </c>
      <c r="B72" s="203" t="s">
        <v>45</v>
      </c>
      <c r="C72" s="203" t="s">
        <v>936</v>
      </c>
      <c r="D72" s="203" t="s">
        <v>2178</v>
      </c>
      <c r="E72" s="203" t="s">
        <v>1535</v>
      </c>
      <c r="F72" s="203">
        <v>0</v>
      </c>
      <c r="G72" s="203">
        <v>0</v>
      </c>
      <c r="I72" s="203">
        <v>0</v>
      </c>
      <c r="J72" s="203" t="s">
        <v>50</v>
      </c>
      <c r="K72" s="203" t="s">
        <v>50</v>
      </c>
      <c r="L72" s="203" t="s">
        <v>929</v>
      </c>
      <c r="M72" s="203" t="s">
        <v>51</v>
      </c>
      <c r="P72" s="203" t="s">
        <v>930</v>
      </c>
      <c r="R72" s="425"/>
      <c r="S72" s="426"/>
      <c r="T72" s="542" t="s">
        <v>935</v>
      </c>
      <c r="U72" s="427"/>
      <c r="V72" s="203" t="s">
        <v>936</v>
      </c>
      <c r="W72" s="203" t="s">
        <v>3017</v>
      </c>
    </row>
    <row r="73" spans="1:23" s="203" customFormat="1" ht="17.25" hidden="1" customHeight="1" x14ac:dyDescent="0.2">
      <c r="A73" s="203" t="s">
        <v>44</v>
      </c>
      <c r="B73" s="203" t="s">
        <v>45</v>
      </c>
      <c r="C73" s="203" t="s">
        <v>937</v>
      </c>
      <c r="D73" s="203" t="s">
        <v>2178</v>
      </c>
      <c r="E73" s="203" t="s">
        <v>1536</v>
      </c>
      <c r="F73" s="203">
        <v>0</v>
      </c>
      <c r="G73" s="203">
        <v>0</v>
      </c>
      <c r="I73" s="203">
        <v>0</v>
      </c>
      <c r="J73" s="203" t="s">
        <v>50</v>
      </c>
      <c r="K73" s="203" t="s">
        <v>50</v>
      </c>
      <c r="L73" s="203" t="s">
        <v>929</v>
      </c>
      <c r="M73" s="203" t="s">
        <v>51</v>
      </c>
      <c r="P73" s="203" t="s">
        <v>930</v>
      </c>
      <c r="R73" s="425"/>
      <c r="S73" s="426"/>
      <c r="T73" s="542" t="s">
        <v>935</v>
      </c>
      <c r="U73" s="427"/>
      <c r="V73" s="203" t="s">
        <v>937</v>
      </c>
      <c r="W73" s="203" t="s">
        <v>3016</v>
      </c>
    </row>
    <row r="74" spans="1:23" s="203" customFormat="1" ht="17.25" hidden="1" customHeight="1" x14ac:dyDescent="0.2">
      <c r="A74" s="203" t="s">
        <v>44</v>
      </c>
      <c r="B74" s="203" t="s">
        <v>45</v>
      </c>
      <c r="C74" s="203" t="s">
        <v>2443</v>
      </c>
      <c r="D74" s="203" t="s">
        <v>2949</v>
      </c>
      <c r="E74" s="203" t="s">
        <v>1923</v>
      </c>
      <c r="F74" s="203" t="s">
        <v>2218</v>
      </c>
      <c r="G74" s="203" t="s">
        <v>2218</v>
      </c>
      <c r="H74" s="203" t="s">
        <v>48</v>
      </c>
      <c r="I74" s="203" t="s">
        <v>49</v>
      </c>
      <c r="J74" s="203" t="s">
        <v>50</v>
      </c>
      <c r="K74" s="203" t="s">
        <v>50</v>
      </c>
      <c r="L74" s="203" t="s">
        <v>50</v>
      </c>
      <c r="M74" s="203" t="s">
        <v>949</v>
      </c>
      <c r="N74" s="203">
        <v>24.002433</v>
      </c>
      <c r="O74" s="203">
        <v>97.609832999999995</v>
      </c>
      <c r="P74" s="203" t="s">
        <v>930</v>
      </c>
      <c r="Q74" s="203" t="s">
        <v>931</v>
      </c>
      <c r="R74" s="425">
        <v>362</v>
      </c>
      <c r="S74" s="425">
        <v>1718</v>
      </c>
      <c r="T74" s="542"/>
      <c r="U74" s="427"/>
      <c r="W74" s="203" t="s">
        <v>3018</v>
      </c>
    </row>
    <row r="75" spans="1:23" s="203" customFormat="1" ht="17.25" hidden="1" customHeight="1" x14ac:dyDescent="0.2">
      <c r="A75" s="203" t="s">
        <v>44</v>
      </c>
      <c r="B75" s="203" t="s">
        <v>45</v>
      </c>
      <c r="C75" s="203" t="s">
        <v>2406</v>
      </c>
      <c r="D75" s="203" t="s">
        <v>2177</v>
      </c>
      <c r="J75" s="203" t="s">
        <v>1921</v>
      </c>
      <c r="K75" s="203" t="s">
        <v>50</v>
      </c>
      <c r="L75" s="203" t="s">
        <v>1259</v>
      </c>
      <c r="M75" s="203" t="s">
        <v>949</v>
      </c>
      <c r="P75" s="203" t="s">
        <v>930</v>
      </c>
      <c r="R75" s="425"/>
      <c r="S75" s="426"/>
      <c r="T75" s="542" t="s">
        <v>935</v>
      </c>
      <c r="U75" s="427"/>
      <c r="V75" s="203" t="s">
        <v>1268</v>
      </c>
    </row>
    <row r="76" spans="1:23" s="203" customFormat="1" ht="17.25" hidden="1" customHeight="1" x14ac:dyDescent="0.2">
      <c r="A76" s="203" t="s">
        <v>44</v>
      </c>
      <c r="B76" s="203" t="s">
        <v>45</v>
      </c>
      <c r="C76" s="203" t="s">
        <v>2489</v>
      </c>
      <c r="D76" s="203" t="s">
        <v>2178</v>
      </c>
      <c r="E76" s="203" t="s">
        <v>1922</v>
      </c>
      <c r="F76" s="203" t="s">
        <v>2218</v>
      </c>
      <c r="G76" s="203" t="s">
        <v>2218</v>
      </c>
      <c r="H76" s="203" t="s">
        <v>48</v>
      </c>
      <c r="I76" s="203" t="s">
        <v>49</v>
      </c>
      <c r="J76" s="203" t="s">
        <v>50</v>
      </c>
      <c r="K76" s="203" t="s">
        <v>50</v>
      </c>
      <c r="L76" s="203" t="s">
        <v>929</v>
      </c>
      <c r="M76" s="203" t="s">
        <v>949</v>
      </c>
      <c r="N76" s="203">
        <v>24.000250000000001</v>
      </c>
      <c r="O76" s="203">
        <v>97.608249999999998</v>
      </c>
      <c r="P76" s="203" t="s">
        <v>930</v>
      </c>
      <c r="R76" s="425"/>
      <c r="S76" s="426"/>
      <c r="T76" s="542" t="s">
        <v>935</v>
      </c>
      <c r="U76" s="427"/>
      <c r="V76" s="203" t="s">
        <v>1160</v>
      </c>
      <c r="W76" s="203" t="s">
        <v>3019</v>
      </c>
    </row>
    <row r="77" spans="1:23" s="203" customFormat="1" ht="17.25" hidden="1" customHeight="1" x14ac:dyDescent="0.2">
      <c r="A77" s="203" t="s">
        <v>44</v>
      </c>
      <c r="B77" s="203" t="s">
        <v>45</v>
      </c>
      <c r="C77" s="203" t="s">
        <v>1154</v>
      </c>
      <c r="D77" s="203" t="s">
        <v>2178</v>
      </c>
      <c r="E77" s="203" t="s">
        <v>1915</v>
      </c>
      <c r="F77" s="203" t="s">
        <v>2212</v>
      </c>
      <c r="G77" s="203">
        <v>0</v>
      </c>
      <c r="H77" s="203" t="s">
        <v>48</v>
      </c>
      <c r="I77" s="203" t="s">
        <v>49</v>
      </c>
      <c r="J77" s="203" t="s">
        <v>50</v>
      </c>
      <c r="K77" s="203" t="s">
        <v>50</v>
      </c>
      <c r="L77" s="203" t="s">
        <v>929</v>
      </c>
      <c r="M77" s="203" t="s">
        <v>949</v>
      </c>
      <c r="N77" s="203">
        <v>23.867713999999999</v>
      </c>
      <c r="O77" s="203">
        <v>97.601243999999994</v>
      </c>
      <c r="P77" s="203" t="s">
        <v>930</v>
      </c>
      <c r="R77" s="425"/>
      <c r="S77" s="426"/>
      <c r="T77" s="542" t="s">
        <v>935</v>
      </c>
      <c r="U77" s="427"/>
      <c r="V77" s="203" t="s">
        <v>1154</v>
      </c>
      <c r="W77" s="203" t="s">
        <v>3020</v>
      </c>
    </row>
    <row r="78" spans="1:23" s="203" customFormat="1" ht="17.25" hidden="1" customHeight="1" x14ac:dyDescent="0.2">
      <c r="A78" s="203" t="s">
        <v>44</v>
      </c>
      <c r="B78" s="203" t="s">
        <v>45</v>
      </c>
      <c r="C78" s="203" t="s">
        <v>444</v>
      </c>
      <c r="D78" s="203" t="s">
        <v>2949</v>
      </c>
      <c r="E78" s="203" t="s">
        <v>1927</v>
      </c>
      <c r="H78" s="203" t="s">
        <v>48</v>
      </c>
      <c r="I78" s="203" t="s">
        <v>49</v>
      </c>
      <c r="J78" s="203" t="s">
        <v>50</v>
      </c>
      <c r="K78" s="203" t="s">
        <v>50</v>
      </c>
      <c r="L78" s="203" t="s">
        <v>50</v>
      </c>
      <c r="M78" s="203" t="s">
        <v>949</v>
      </c>
      <c r="N78" s="203">
        <v>24.056132999999999</v>
      </c>
      <c r="O78" s="203">
        <v>97.625617000000005</v>
      </c>
      <c r="P78" s="203" t="s">
        <v>930</v>
      </c>
      <c r="Q78" s="203" t="s">
        <v>931</v>
      </c>
      <c r="R78" s="425">
        <v>544</v>
      </c>
      <c r="S78" s="425">
        <v>2424</v>
      </c>
      <c r="T78" s="542"/>
      <c r="U78" s="427"/>
      <c r="W78" s="203" t="s">
        <v>3021</v>
      </c>
    </row>
    <row r="79" spans="1:23" s="203" customFormat="1" ht="17.25" hidden="1" customHeight="1" x14ac:dyDescent="0.2">
      <c r="A79" s="203" t="s">
        <v>44</v>
      </c>
      <c r="B79" s="203" t="s">
        <v>45</v>
      </c>
      <c r="C79" s="203" t="s">
        <v>1155</v>
      </c>
      <c r="D79" s="203" t="s">
        <v>2178</v>
      </c>
      <c r="E79" s="203" t="s">
        <v>1916</v>
      </c>
      <c r="F79" s="203" t="s">
        <v>2213</v>
      </c>
      <c r="G79" s="203">
        <v>0</v>
      </c>
      <c r="H79" s="203" t="s">
        <v>48</v>
      </c>
      <c r="I79" s="203" t="s">
        <v>49</v>
      </c>
      <c r="J79" s="203" t="s">
        <v>50</v>
      </c>
      <c r="K79" s="203" t="s">
        <v>50</v>
      </c>
      <c r="L79" s="203" t="s">
        <v>929</v>
      </c>
      <c r="M79" s="203" t="s">
        <v>949</v>
      </c>
      <c r="N79" s="203">
        <v>23.9055</v>
      </c>
      <c r="O79" s="203">
        <v>97.585667000000001</v>
      </c>
      <c r="P79" s="203" t="s">
        <v>930</v>
      </c>
      <c r="R79" s="425"/>
      <c r="S79" s="426"/>
      <c r="T79" s="542" t="s">
        <v>935</v>
      </c>
      <c r="U79" s="427"/>
      <c r="V79" s="203" t="s">
        <v>1155</v>
      </c>
      <c r="W79" s="203" t="s">
        <v>3022</v>
      </c>
    </row>
    <row r="80" spans="1:23" s="203" customFormat="1" ht="17.25" hidden="1" customHeight="1" x14ac:dyDescent="0.2">
      <c r="A80" s="203" t="s">
        <v>44</v>
      </c>
      <c r="B80" s="203" t="s">
        <v>45</v>
      </c>
      <c r="C80" s="203" t="s">
        <v>329</v>
      </c>
      <c r="D80" s="203" t="s">
        <v>2949</v>
      </c>
      <c r="E80" s="203" t="s">
        <v>1918</v>
      </c>
      <c r="F80" s="203" t="s">
        <v>329</v>
      </c>
      <c r="G80" s="203" t="s">
        <v>329</v>
      </c>
      <c r="H80" s="203" t="s">
        <v>48</v>
      </c>
      <c r="I80" s="203" t="s">
        <v>287</v>
      </c>
      <c r="J80" s="203" t="s">
        <v>50</v>
      </c>
      <c r="K80" s="203" t="s">
        <v>50</v>
      </c>
      <c r="L80" s="203" t="s">
        <v>50</v>
      </c>
      <c r="M80" s="203" t="s">
        <v>51</v>
      </c>
      <c r="N80" s="203">
        <v>23.972453000000002</v>
      </c>
      <c r="O80" s="203">
        <v>97.225881000000001</v>
      </c>
      <c r="P80" s="203" t="s">
        <v>930</v>
      </c>
      <c r="Q80" s="203" t="s">
        <v>951</v>
      </c>
      <c r="R80" s="425">
        <v>433</v>
      </c>
      <c r="S80" s="425">
        <v>2154</v>
      </c>
      <c r="T80" s="542" t="s">
        <v>935</v>
      </c>
      <c r="U80" s="427"/>
      <c r="V80" s="203" t="s">
        <v>329</v>
      </c>
      <c r="W80" s="203" t="s">
        <v>3023</v>
      </c>
    </row>
    <row r="81" spans="1:23" s="203" customFormat="1" ht="17.25" hidden="1" customHeight="1" x14ac:dyDescent="0.2">
      <c r="A81" s="203" t="s">
        <v>44</v>
      </c>
      <c r="B81" s="203" t="s">
        <v>45</v>
      </c>
      <c r="C81" s="203" t="s">
        <v>46</v>
      </c>
      <c r="D81" s="203" t="s">
        <v>2949</v>
      </c>
      <c r="E81" s="203" t="s">
        <v>1919</v>
      </c>
      <c r="F81" s="203" t="s">
        <v>329</v>
      </c>
      <c r="G81" s="203" t="s">
        <v>329</v>
      </c>
      <c r="H81" s="203" t="s">
        <v>48</v>
      </c>
      <c r="I81" s="203" t="s">
        <v>49</v>
      </c>
      <c r="J81" s="203" t="s">
        <v>50</v>
      </c>
      <c r="K81" s="203" t="s">
        <v>50</v>
      </c>
      <c r="L81" s="203" t="s">
        <v>50</v>
      </c>
      <c r="M81" s="203" t="s">
        <v>51</v>
      </c>
      <c r="N81" s="203">
        <v>23.976571</v>
      </c>
      <c r="O81" s="203">
        <v>97.227057000000002</v>
      </c>
      <c r="P81" s="203" t="s">
        <v>930</v>
      </c>
      <c r="Q81" s="203" t="s">
        <v>951</v>
      </c>
      <c r="R81" s="425">
        <v>169</v>
      </c>
      <c r="S81" s="425">
        <v>802</v>
      </c>
      <c r="T81" s="542" t="s">
        <v>935</v>
      </c>
      <c r="U81" s="427"/>
      <c r="V81" s="203" t="s">
        <v>46</v>
      </c>
      <c r="W81" s="203" t="s">
        <v>3024</v>
      </c>
    </row>
    <row r="82" spans="1:23" s="203" customFormat="1" ht="17.25" hidden="1" customHeight="1" x14ac:dyDescent="0.2">
      <c r="A82" s="203" t="s">
        <v>44</v>
      </c>
      <c r="B82" s="203" t="s">
        <v>45</v>
      </c>
      <c r="C82" s="203" t="s">
        <v>1158</v>
      </c>
      <c r="D82" s="203" t="s">
        <v>2177</v>
      </c>
      <c r="J82" s="203" t="s">
        <v>1921</v>
      </c>
      <c r="K82" s="203" t="s">
        <v>50</v>
      </c>
      <c r="L82" s="203" t="s">
        <v>50</v>
      </c>
      <c r="M82" s="203" t="s">
        <v>51</v>
      </c>
      <c r="N82" s="203">
        <v>23.989049999999999</v>
      </c>
      <c r="O82" s="203">
        <v>97.225311000000005</v>
      </c>
      <c r="P82" s="203" t="s">
        <v>930</v>
      </c>
      <c r="Q82" s="203" t="s">
        <v>931</v>
      </c>
      <c r="R82" s="425"/>
      <c r="S82" s="426"/>
      <c r="T82" s="542">
        <v>42849</v>
      </c>
      <c r="U82" s="427" t="s">
        <v>1159</v>
      </c>
    </row>
    <row r="83" spans="1:23" s="203" customFormat="1" ht="17.25" hidden="1" customHeight="1" x14ac:dyDescent="0.2">
      <c r="A83" s="203" t="s">
        <v>44</v>
      </c>
      <c r="B83" s="203" t="s">
        <v>45</v>
      </c>
      <c r="C83" s="203" t="s">
        <v>1169</v>
      </c>
      <c r="D83" s="203" t="s">
        <v>2178</v>
      </c>
      <c r="E83" s="203" t="s">
        <v>1932</v>
      </c>
      <c r="F83" s="203" t="s">
        <v>2219</v>
      </c>
      <c r="G83" s="203" t="s">
        <v>2220</v>
      </c>
      <c r="I83" s="203">
        <v>0</v>
      </c>
      <c r="J83" s="203" t="s">
        <v>50</v>
      </c>
      <c r="K83" s="203" t="s">
        <v>50</v>
      </c>
      <c r="L83" s="203" t="s">
        <v>929</v>
      </c>
      <c r="M83" s="203" t="s">
        <v>51</v>
      </c>
      <c r="N83" s="203">
        <v>24.181640000000002</v>
      </c>
      <c r="O83" s="203">
        <v>97.710989999999995</v>
      </c>
      <c r="P83" s="203" t="s">
        <v>930</v>
      </c>
      <c r="Q83" s="203" t="s">
        <v>951</v>
      </c>
      <c r="R83" s="425"/>
      <c r="S83" s="426"/>
      <c r="T83" s="542" t="s">
        <v>935</v>
      </c>
      <c r="U83" s="427" t="s">
        <v>1170</v>
      </c>
      <c r="V83" s="203" t="s">
        <v>1169</v>
      </c>
      <c r="W83" s="203" t="s">
        <v>3025</v>
      </c>
    </row>
    <row r="84" spans="1:23" s="203" customFormat="1" ht="17.25" hidden="1" customHeight="1" x14ac:dyDescent="0.2">
      <c r="A84" s="203" t="s">
        <v>44</v>
      </c>
      <c r="B84" s="203" t="s">
        <v>45</v>
      </c>
      <c r="C84" s="203" t="s">
        <v>1171</v>
      </c>
      <c r="D84" s="203" t="s">
        <v>2178</v>
      </c>
      <c r="E84" s="203" t="s">
        <v>1933</v>
      </c>
      <c r="F84" s="203" t="s">
        <v>2219</v>
      </c>
      <c r="G84" s="203" t="s">
        <v>2220</v>
      </c>
      <c r="I84" s="203">
        <v>0</v>
      </c>
      <c r="J84" s="203" t="s">
        <v>50</v>
      </c>
      <c r="K84" s="203" t="s">
        <v>50</v>
      </c>
      <c r="L84" s="203" t="s">
        <v>929</v>
      </c>
      <c r="M84" s="203" t="s">
        <v>51</v>
      </c>
      <c r="N84" s="203">
        <v>24.181640000000002</v>
      </c>
      <c r="O84" s="203">
        <v>97.710989999999995</v>
      </c>
      <c r="P84" s="203" t="s">
        <v>930</v>
      </c>
      <c r="R84" s="425"/>
      <c r="S84" s="426"/>
      <c r="T84" s="542" t="s">
        <v>935</v>
      </c>
      <c r="U84" s="427"/>
      <c r="V84" s="203" t="s">
        <v>1171</v>
      </c>
      <c r="W84" s="203" t="s">
        <v>3025</v>
      </c>
    </row>
    <row r="85" spans="1:23" s="203" customFormat="1" ht="17.25" hidden="1" customHeight="1" x14ac:dyDescent="0.2">
      <c r="A85" s="203" t="s">
        <v>44</v>
      </c>
      <c r="B85" s="203" t="s">
        <v>45</v>
      </c>
      <c r="C85" s="203" t="s">
        <v>448</v>
      </c>
      <c r="D85" s="203" t="s">
        <v>2949</v>
      </c>
      <c r="E85" s="203" t="s">
        <v>1909</v>
      </c>
      <c r="F85" s="203" t="s">
        <v>2199</v>
      </c>
      <c r="G85" s="203" t="s">
        <v>2199</v>
      </c>
      <c r="H85" s="203" t="s">
        <v>48</v>
      </c>
      <c r="I85" s="203" t="s">
        <v>287</v>
      </c>
      <c r="J85" s="203" t="s">
        <v>50</v>
      </c>
      <c r="K85" s="203" t="s">
        <v>50</v>
      </c>
      <c r="L85" s="203" t="s">
        <v>50</v>
      </c>
      <c r="M85" s="203" t="s">
        <v>51</v>
      </c>
      <c r="N85" s="203">
        <v>23.83013</v>
      </c>
      <c r="O85" s="203">
        <v>97.589979999999997</v>
      </c>
      <c r="P85" s="203" t="s">
        <v>930</v>
      </c>
      <c r="Q85" s="203" t="s">
        <v>951</v>
      </c>
      <c r="R85" s="425">
        <v>127</v>
      </c>
      <c r="S85" s="425">
        <v>649</v>
      </c>
      <c r="T85" s="542" t="s">
        <v>935</v>
      </c>
      <c r="U85" s="427"/>
      <c r="V85" s="203" t="s">
        <v>448</v>
      </c>
      <c r="W85" s="203" t="s">
        <v>3026</v>
      </c>
    </row>
    <row r="86" spans="1:23" s="203" customFormat="1" ht="17.25" hidden="1" customHeight="1" x14ac:dyDescent="0.2">
      <c r="A86" s="203" t="s">
        <v>44</v>
      </c>
      <c r="B86" s="203" t="s">
        <v>45</v>
      </c>
      <c r="C86" s="203" t="s">
        <v>1286</v>
      </c>
      <c r="D86" s="203" t="s">
        <v>2177</v>
      </c>
      <c r="J86" s="203" t="s">
        <v>50</v>
      </c>
      <c r="K86" s="203" t="s">
        <v>50</v>
      </c>
      <c r="L86" s="203" t="s">
        <v>929</v>
      </c>
      <c r="M86" s="203" t="s">
        <v>51</v>
      </c>
      <c r="P86" s="203" t="s">
        <v>930</v>
      </c>
      <c r="R86" s="425"/>
      <c r="S86" s="426"/>
      <c r="T86" s="542"/>
      <c r="U86" s="427"/>
    </row>
    <row r="87" spans="1:23" s="203" customFormat="1" ht="17.25" hidden="1" customHeight="1" x14ac:dyDescent="0.2">
      <c r="A87" s="203" t="s">
        <v>44</v>
      </c>
      <c r="B87" s="203" t="s">
        <v>45</v>
      </c>
      <c r="C87" s="203" t="s">
        <v>450</v>
      </c>
      <c r="D87" s="203" t="s">
        <v>2949</v>
      </c>
      <c r="E87" s="203" t="s">
        <v>1908</v>
      </c>
      <c r="F87" s="203" t="s">
        <v>2199</v>
      </c>
      <c r="G87" s="203" t="s">
        <v>2199</v>
      </c>
      <c r="H87" s="203" t="s">
        <v>48</v>
      </c>
      <c r="I87" s="203" t="s">
        <v>287</v>
      </c>
      <c r="J87" s="203" t="s">
        <v>50</v>
      </c>
      <c r="K87" s="203" t="s">
        <v>50</v>
      </c>
      <c r="L87" s="203" t="s">
        <v>50</v>
      </c>
      <c r="M87" s="203" t="s">
        <v>51</v>
      </c>
      <c r="N87" s="203">
        <v>23.829599000000002</v>
      </c>
      <c r="O87" s="203">
        <v>97.590767</v>
      </c>
      <c r="P87" s="203" t="s">
        <v>930</v>
      </c>
      <c r="Q87" s="203" t="s">
        <v>951</v>
      </c>
      <c r="R87" s="425">
        <v>155</v>
      </c>
      <c r="S87" s="425">
        <v>681</v>
      </c>
      <c r="T87" s="542" t="s">
        <v>935</v>
      </c>
      <c r="U87" s="427"/>
      <c r="V87" s="203" t="s">
        <v>1149</v>
      </c>
      <c r="W87" s="203" t="s">
        <v>3027</v>
      </c>
    </row>
    <row r="88" spans="1:23" s="203" customFormat="1" ht="17.25" hidden="1" customHeight="1" x14ac:dyDescent="0.2">
      <c r="A88" s="203" t="s">
        <v>44</v>
      </c>
      <c r="B88" s="203" t="s">
        <v>45</v>
      </c>
      <c r="C88" s="203" t="s">
        <v>451</v>
      </c>
      <c r="D88" s="203" t="s">
        <v>2949</v>
      </c>
      <c r="E88" s="203" t="s">
        <v>1911</v>
      </c>
      <c r="F88" s="203" t="s">
        <v>2199</v>
      </c>
      <c r="G88" s="203" t="s">
        <v>2199</v>
      </c>
      <c r="H88" s="203" t="s">
        <v>48</v>
      </c>
      <c r="I88" s="203" t="s">
        <v>49</v>
      </c>
      <c r="J88" s="203" t="s">
        <v>50</v>
      </c>
      <c r="K88" s="203" t="s">
        <v>50</v>
      </c>
      <c r="L88" s="203" t="s">
        <v>50</v>
      </c>
      <c r="M88" s="203" t="s">
        <v>51</v>
      </c>
      <c r="N88" s="203">
        <v>23.835319999999999</v>
      </c>
      <c r="O88" s="203">
        <v>97.578490000000002</v>
      </c>
      <c r="P88" s="203" t="s">
        <v>930</v>
      </c>
      <c r="Q88" s="203" t="s">
        <v>951</v>
      </c>
      <c r="R88" s="425">
        <v>444</v>
      </c>
      <c r="S88" s="425">
        <v>2314</v>
      </c>
      <c r="T88" s="542" t="s">
        <v>935</v>
      </c>
      <c r="U88" s="427"/>
      <c r="V88" s="203" t="s">
        <v>451</v>
      </c>
      <c r="W88" s="203" t="s">
        <v>3028</v>
      </c>
    </row>
    <row r="89" spans="1:23" s="203" customFormat="1" ht="17.25" hidden="1" customHeight="1" x14ac:dyDescent="0.2">
      <c r="A89" s="203" t="s">
        <v>44</v>
      </c>
      <c r="B89" s="203" t="s">
        <v>45</v>
      </c>
      <c r="C89" s="203" t="s">
        <v>452</v>
      </c>
      <c r="D89" s="203" t="s">
        <v>2949</v>
      </c>
      <c r="E89" s="203" t="s">
        <v>1910</v>
      </c>
      <c r="F89" s="203" t="s">
        <v>2199</v>
      </c>
      <c r="G89" s="203" t="s">
        <v>2199</v>
      </c>
      <c r="H89" s="203" t="s">
        <v>48</v>
      </c>
      <c r="I89" s="203" t="s">
        <v>49</v>
      </c>
      <c r="J89" s="203" t="s">
        <v>50</v>
      </c>
      <c r="K89" s="203" t="s">
        <v>50</v>
      </c>
      <c r="L89" s="203" t="s">
        <v>50</v>
      </c>
      <c r="M89" s="203" t="s">
        <v>51</v>
      </c>
      <c r="N89" s="203">
        <v>23.833477999999999</v>
      </c>
      <c r="O89" s="203">
        <v>97.578367</v>
      </c>
      <c r="P89" s="203" t="s">
        <v>930</v>
      </c>
      <c r="Q89" s="203" t="s">
        <v>951</v>
      </c>
      <c r="R89" s="425">
        <v>156</v>
      </c>
      <c r="S89" s="425">
        <v>712</v>
      </c>
      <c r="T89" s="542" t="s">
        <v>935</v>
      </c>
      <c r="U89" s="427"/>
      <c r="V89" s="203" t="s">
        <v>1150</v>
      </c>
      <c r="W89" s="203" t="s">
        <v>3029</v>
      </c>
    </row>
    <row r="90" spans="1:23" s="203" customFormat="1" ht="17.25" hidden="1" customHeight="1" x14ac:dyDescent="0.2">
      <c r="A90" s="203" t="s">
        <v>44</v>
      </c>
      <c r="B90" s="203" t="s">
        <v>45</v>
      </c>
      <c r="C90" s="203" t="s">
        <v>1287</v>
      </c>
      <c r="D90" s="203" t="s">
        <v>2177</v>
      </c>
      <c r="J90" s="203" t="s">
        <v>1921</v>
      </c>
      <c r="K90" s="203" t="s">
        <v>50</v>
      </c>
      <c r="L90" s="203" t="s">
        <v>1271</v>
      </c>
      <c r="M90" s="203" t="s">
        <v>51</v>
      </c>
      <c r="P90" s="203" t="s">
        <v>930</v>
      </c>
      <c r="Q90" s="203" t="s">
        <v>951</v>
      </c>
      <c r="R90" s="425"/>
      <c r="S90" s="426"/>
      <c r="T90" s="542" t="s">
        <v>935</v>
      </c>
      <c r="U90" s="427" t="s">
        <v>1267</v>
      </c>
      <c r="V90" s="203" t="s">
        <v>1287</v>
      </c>
    </row>
    <row r="91" spans="1:23" s="203" customFormat="1" ht="17.25" hidden="1" customHeight="1" x14ac:dyDescent="0.2">
      <c r="A91" s="203" t="s">
        <v>44</v>
      </c>
      <c r="B91" s="203" t="s">
        <v>45</v>
      </c>
      <c r="C91" s="203" t="s">
        <v>1148</v>
      </c>
      <c r="D91" s="203" t="s">
        <v>2949</v>
      </c>
      <c r="E91" s="203" t="s">
        <v>1905</v>
      </c>
      <c r="F91" s="203" t="s">
        <v>2199</v>
      </c>
      <c r="G91" s="203" t="s">
        <v>2199</v>
      </c>
      <c r="I91" s="203" t="s">
        <v>2959</v>
      </c>
      <c r="J91" s="203" t="s">
        <v>50</v>
      </c>
      <c r="K91" s="203" t="s">
        <v>50</v>
      </c>
      <c r="L91" s="203" t="s">
        <v>942</v>
      </c>
      <c r="M91" s="203" t="s">
        <v>51</v>
      </c>
      <c r="N91" s="203">
        <v>23.827870999999998</v>
      </c>
      <c r="O91" s="203">
        <v>97.588291999999996</v>
      </c>
      <c r="P91" s="203" t="s">
        <v>943</v>
      </c>
      <c r="Q91" s="203" t="s">
        <v>931</v>
      </c>
      <c r="R91" s="425">
        <v>175</v>
      </c>
      <c r="S91" s="425">
        <v>834</v>
      </c>
      <c r="T91" s="542" t="s">
        <v>935</v>
      </c>
      <c r="U91" s="427"/>
      <c r="V91" s="203" t="s">
        <v>1148</v>
      </c>
      <c r="W91" s="203" t="s">
        <v>3030</v>
      </c>
    </row>
    <row r="92" spans="1:23" s="203" customFormat="1" ht="17.25" hidden="1" customHeight="1" x14ac:dyDescent="0.2">
      <c r="A92" s="203" t="s">
        <v>44</v>
      </c>
      <c r="B92" s="203" t="s">
        <v>45</v>
      </c>
      <c r="C92" s="203" t="s">
        <v>339</v>
      </c>
      <c r="D92" s="203" t="s">
        <v>2949</v>
      </c>
      <c r="E92" s="203" t="s">
        <v>1931</v>
      </c>
      <c r="F92" s="203" t="s">
        <v>2294</v>
      </c>
      <c r="G92" s="203" t="s">
        <v>2295</v>
      </c>
      <c r="H92" s="203" t="s">
        <v>48</v>
      </c>
      <c r="I92" s="203" t="s">
        <v>287</v>
      </c>
      <c r="J92" s="203" t="s">
        <v>50</v>
      </c>
      <c r="K92" s="203" t="s">
        <v>50</v>
      </c>
      <c r="L92" s="203" t="s">
        <v>50</v>
      </c>
      <c r="M92" s="203" t="s">
        <v>51</v>
      </c>
      <c r="N92" s="203">
        <v>24.129059999999999</v>
      </c>
      <c r="O92" s="203">
        <v>97.291820000000001</v>
      </c>
      <c r="P92" s="203" t="s">
        <v>930</v>
      </c>
      <c r="Q92" s="203" t="s">
        <v>951</v>
      </c>
      <c r="R92" s="425">
        <v>185</v>
      </c>
      <c r="S92" s="425">
        <v>830</v>
      </c>
      <c r="T92" s="542" t="s">
        <v>935</v>
      </c>
      <c r="U92" s="427"/>
      <c r="V92" s="203" t="s">
        <v>339</v>
      </c>
      <c r="W92" s="203" t="s">
        <v>3031</v>
      </c>
    </row>
    <row r="93" spans="1:23" s="203" customFormat="1" ht="17.25" hidden="1" customHeight="1" x14ac:dyDescent="0.2">
      <c r="A93" s="203" t="s">
        <v>44</v>
      </c>
      <c r="B93" s="203" t="s">
        <v>45</v>
      </c>
      <c r="C93" s="203" t="s">
        <v>1166</v>
      </c>
      <c r="D93" s="203" t="s">
        <v>2949</v>
      </c>
      <c r="E93" s="203" t="s">
        <v>1930</v>
      </c>
      <c r="I93" s="203" t="s">
        <v>2959</v>
      </c>
      <c r="J93" s="203" t="s">
        <v>50</v>
      </c>
      <c r="K93" s="203" t="s">
        <v>50</v>
      </c>
      <c r="L93" s="203" t="s">
        <v>942</v>
      </c>
      <c r="M93" s="203" t="s">
        <v>51</v>
      </c>
      <c r="N93" s="203">
        <v>24.118618999999999</v>
      </c>
      <c r="O93" s="203">
        <v>97.298055000000005</v>
      </c>
      <c r="P93" s="203" t="s">
        <v>943</v>
      </c>
      <c r="Q93" s="203" t="s">
        <v>931</v>
      </c>
      <c r="R93" s="425">
        <v>80</v>
      </c>
      <c r="S93" s="425">
        <v>290</v>
      </c>
      <c r="T93" s="542" t="s">
        <v>935</v>
      </c>
      <c r="U93" s="427" t="s">
        <v>1167</v>
      </c>
      <c r="V93" s="203" t="s">
        <v>1168</v>
      </c>
      <c r="W93" s="203" t="s">
        <v>3032</v>
      </c>
    </row>
    <row r="94" spans="1:23" s="203" customFormat="1" ht="17.25" hidden="1" customHeight="1" x14ac:dyDescent="0.2">
      <c r="A94" s="203" t="s">
        <v>44</v>
      </c>
      <c r="B94" s="203" t="s">
        <v>45</v>
      </c>
      <c r="C94" s="203" t="s">
        <v>1172</v>
      </c>
      <c r="D94" s="203" t="s">
        <v>2178</v>
      </c>
      <c r="E94" s="203" t="s">
        <v>1940</v>
      </c>
      <c r="F94" s="203" t="s">
        <v>2221</v>
      </c>
      <c r="G94" s="203">
        <v>0</v>
      </c>
      <c r="I94" s="203">
        <v>0</v>
      </c>
      <c r="J94" s="203" t="s">
        <v>50</v>
      </c>
      <c r="K94" s="203" t="s">
        <v>50</v>
      </c>
      <c r="L94" s="203" t="s">
        <v>929</v>
      </c>
      <c r="M94" s="203" t="s">
        <v>949</v>
      </c>
      <c r="N94" s="203">
        <v>24.20645</v>
      </c>
      <c r="O94" s="203">
        <v>96.808850000000007</v>
      </c>
      <c r="P94" s="203" t="s">
        <v>930</v>
      </c>
      <c r="R94" s="425"/>
      <c r="S94" s="426"/>
      <c r="T94" s="542" t="s">
        <v>935</v>
      </c>
      <c r="U94" s="427"/>
      <c r="V94" s="203" t="s">
        <v>1172</v>
      </c>
      <c r="W94" s="203" t="s">
        <v>2965</v>
      </c>
    </row>
    <row r="95" spans="1:23" s="203" customFormat="1" ht="17.25" hidden="1" customHeight="1" x14ac:dyDescent="0.2">
      <c r="A95" s="203" t="s">
        <v>44</v>
      </c>
      <c r="B95" s="203" t="s">
        <v>45</v>
      </c>
      <c r="C95" s="203" t="s">
        <v>948</v>
      </c>
      <c r="D95" s="203" t="s">
        <v>2178</v>
      </c>
      <c r="E95" s="203" t="s">
        <v>1547</v>
      </c>
      <c r="F95" s="203" t="s">
        <v>2199</v>
      </c>
      <c r="G95" s="203">
        <v>0</v>
      </c>
      <c r="I95" s="203">
        <v>0</v>
      </c>
      <c r="J95" s="203" t="s">
        <v>50</v>
      </c>
      <c r="K95" s="203" t="s">
        <v>50</v>
      </c>
      <c r="L95" s="203" t="s">
        <v>929</v>
      </c>
      <c r="M95" s="203" t="s">
        <v>949</v>
      </c>
      <c r="P95" s="203" t="s">
        <v>930</v>
      </c>
      <c r="R95" s="425"/>
      <c r="S95" s="426"/>
      <c r="T95" s="542" t="s">
        <v>935</v>
      </c>
      <c r="U95" s="427"/>
      <c r="V95" s="203" t="s">
        <v>948</v>
      </c>
      <c r="W95" s="203" t="s">
        <v>3033</v>
      </c>
    </row>
    <row r="96" spans="1:23" s="203" customFormat="1" ht="17.25" hidden="1" customHeight="1" x14ac:dyDescent="0.2">
      <c r="A96" s="203" t="s">
        <v>44</v>
      </c>
      <c r="B96" s="203" t="s">
        <v>45</v>
      </c>
      <c r="C96" s="203" t="s">
        <v>1146</v>
      </c>
      <c r="D96" s="203" t="s">
        <v>2178</v>
      </c>
      <c r="E96" s="203" t="s">
        <v>1902</v>
      </c>
      <c r="F96" s="203" t="s">
        <v>2201</v>
      </c>
      <c r="G96" s="203">
        <v>0</v>
      </c>
      <c r="I96" s="203">
        <v>0</v>
      </c>
      <c r="J96" s="203" t="s">
        <v>50</v>
      </c>
      <c r="K96" s="203" t="s">
        <v>50</v>
      </c>
      <c r="L96" s="203" t="s">
        <v>929</v>
      </c>
      <c r="M96" s="203" t="s">
        <v>949</v>
      </c>
      <c r="N96" s="203">
        <v>23.75817</v>
      </c>
      <c r="O96" s="203">
        <v>97.132339999999999</v>
      </c>
      <c r="P96" s="203" t="s">
        <v>930</v>
      </c>
      <c r="R96" s="425"/>
      <c r="S96" s="426"/>
      <c r="T96" s="542" t="s">
        <v>935</v>
      </c>
      <c r="U96" s="427"/>
      <c r="V96" s="203" t="s">
        <v>1146</v>
      </c>
      <c r="W96" s="203" t="s">
        <v>2965</v>
      </c>
    </row>
    <row r="97" spans="1:23" s="203" customFormat="1" ht="17.25" hidden="1" customHeight="1" x14ac:dyDescent="0.2">
      <c r="A97" s="203" t="s">
        <v>44</v>
      </c>
      <c r="B97" s="203" t="s">
        <v>45</v>
      </c>
      <c r="C97" s="203" t="s">
        <v>952</v>
      </c>
      <c r="D97" s="203" t="s">
        <v>2178</v>
      </c>
      <c r="E97" s="203" t="s">
        <v>1550</v>
      </c>
      <c r="F97" s="203" t="s">
        <v>2201</v>
      </c>
      <c r="G97" s="203">
        <v>0</v>
      </c>
      <c r="I97" s="203">
        <v>0</v>
      </c>
      <c r="J97" s="203" t="s">
        <v>50</v>
      </c>
      <c r="K97" s="203" t="s">
        <v>50</v>
      </c>
      <c r="L97" s="203" t="s">
        <v>929</v>
      </c>
      <c r="M97" s="203" t="s">
        <v>949</v>
      </c>
      <c r="P97" s="203" t="s">
        <v>930</v>
      </c>
      <c r="R97" s="425"/>
      <c r="S97" s="426"/>
      <c r="T97" s="542" t="s">
        <v>935</v>
      </c>
      <c r="U97" s="427"/>
      <c r="V97" s="203" t="s">
        <v>952</v>
      </c>
      <c r="W97" s="203" t="s">
        <v>2965</v>
      </c>
    </row>
    <row r="98" spans="1:23" s="203" customFormat="1" ht="17.25" hidden="1" customHeight="1" x14ac:dyDescent="0.2">
      <c r="A98" s="203" t="s">
        <v>44</v>
      </c>
      <c r="B98" s="203" t="s">
        <v>45</v>
      </c>
      <c r="C98" s="203" t="s">
        <v>1147</v>
      </c>
      <c r="D98" s="203" t="s">
        <v>2178</v>
      </c>
      <c r="E98" s="203" t="s">
        <v>1903</v>
      </c>
      <c r="F98" s="203" t="s">
        <v>2201</v>
      </c>
      <c r="G98" s="203">
        <v>0</v>
      </c>
      <c r="I98" s="203">
        <v>0</v>
      </c>
      <c r="J98" s="203" t="s">
        <v>50</v>
      </c>
      <c r="K98" s="203" t="s">
        <v>50</v>
      </c>
      <c r="L98" s="203" t="s">
        <v>929</v>
      </c>
      <c r="M98" s="203" t="s">
        <v>949</v>
      </c>
      <c r="N98" s="203">
        <v>23.75817</v>
      </c>
      <c r="O98" s="203">
        <v>97.132339999999999</v>
      </c>
      <c r="P98" s="203" t="s">
        <v>930</v>
      </c>
      <c r="R98" s="425"/>
      <c r="S98" s="426"/>
      <c r="T98" s="542" t="s">
        <v>935</v>
      </c>
      <c r="U98" s="427"/>
      <c r="V98" s="203" t="s">
        <v>1147</v>
      </c>
      <c r="W98" s="203" t="s">
        <v>3034</v>
      </c>
    </row>
    <row r="99" spans="1:23" s="203" customFormat="1" ht="17.25" hidden="1" customHeight="1" x14ac:dyDescent="0.2">
      <c r="A99" s="203" t="s">
        <v>44</v>
      </c>
      <c r="B99" s="203" t="s">
        <v>45</v>
      </c>
      <c r="C99" s="203" t="s">
        <v>960</v>
      </c>
      <c r="D99" s="203" t="s">
        <v>2178</v>
      </c>
      <c r="E99" s="203" t="s">
        <v>1555</v>
      </c>
      <c r="F99" s="203">
        <v>0</v>
      </c>
      <c r="G99" s="203">
        <v>0</v>
      </c>
      <c r="I99" s="203">
        <v>0</v>
      </c>
      <c r="J99" s="203" t="s">
        <v>50</v>
      </c>
      <c r="K99" s="203" t="s">
        <v>50</v>
      </c>
      <c r="L99" s="203" t="s">
        <v>929</v>
      </c>
      <c r="M99" s="203" t="s">
        <v>51</v>
      </c>
      <c r="P99" s="203" t="s">
        <v>930</v>
      </c>
      <c r="R99" s="425"/>
      <c r="S99" s="426"/>
      <c r="T99" s="542" t="s">
        <v>935</v>
      </c>
      <c r="U99" s="427"/>
      <c r="V99" s="203" t="s">
        <v>935</v>
      </c>
      <c r="W99" s="203" t="s">
        <v>3035</v>
      </c>
    </row>
    <row r="100" spans="1:23" s="203" customFormat="1" ht="17.25" hidden="1" customHeight="1" x14ac:dyDescent="0.2">
      <c r="A100" s="203" t="s">
        <v>44</v>
      </c>
      <c r="B100" s="203" t="s">
        <v>45</v>
      </c>
      <c r="C100" s="203" t="s">
        <v>285</v>
      </c>
      <c r="D100" s="203" t="s">
        <v>2177</v>
      </c>
      <c r="J100" s="203" t="s">
        <v>1921</v>
      </c>
      <c r="K100" s="203" t="s">
        <v>50</v>
      </c>
      <c r="L100" s="203" t="s">
        <v>50</v>
      </c>
      <c r="M100" s="203" t="s">
        <v>51</v>
      </c>
      <c r="P100" s="203" t="s">
        <v>930</v>
      </c>
      <c r="Q100" s="203" t="s">
        <v>951</v>
      </c>
      <c r="R100" s="425"/>
      <c r="S100" s="426"/>
      <c r="T100" s="542">
        <v>42747</v>
      </c>
      <c r="U100" s="427" t="s">
        <v>1267</v>
      </c>
    </row>
    <row r="101" spans="1:23" s="203" customFormat="1" ht="17.25" hidden="1" customHeight="1" x14ac:dyDescent="0.2">
      <c r="A101" s="430" t="s">
        <v>44</v>
      </c>
      <c r="B101" s="429" t="s">
        <v>298</v>
      </c>
      <c r="C101" s="294" t="s">
        <v>2669</v>
      </c>
      <c r="D101" s="203" t="s">
        <v>2949</v>
      </c>
      <c r="E101" s="203" t="s">
        <v>2675</v>
      </c>
      <c r="I101" s="203" t="s">
        <v>2959</v>
      </c>
      <c r="J101" s="203" t="s">
        <v>50</v>
      </c>
      <c r="K101" s="203" t="s">
        <v>50</v>
      </c>
      <c r="L101" s="203" t="s">
        <v>946</v>
      </c>
      <c r="M101" s="203" t="s">
        <v>51</v>
      </c>
      <c r="P101" s="294" t="s">
        <v>930</v>
      </c>
      <c r="Q101" s="203" t="s">
        <v>2653</v>
      </c>
      <c r="R101" s="425">
        <v>34</v>
      </c>
      <c r="S101" s="425">
        <v>116</v>
      </c>
      <c r="T101" s="542">
        <v>43276</v>
      </c>
      <c r="U101" s="427" t="s">
        <v>2720</v>
      </c>
      <c r="W101" s="203" t="s">
        <v>3036</v>
      </c>
    </row>
    <row r="102" spans="1:23" s="203" customFormat="1" ht="17.25" hidden="1" customHeight="1" x14ac:dyDescent="0.2">
      <c r="A102" s="203" t="s">
        <v>44</v>
      </c>
      <c r="B102" s="203" t="s">
        <v>298</v>
      </c>
      <c r="C102" s="203" t="s">
        <v>299</v>
      </c>
      <c r="D102" s="203" t="s">
        <v>2949</v>
      </c>
      <c r="E102" s="203" t="s">
        <v>1995</v>
      </c>
      <c r="F102" s="203" t="s">
        <v>2254</v>
      </c>
      <c r="G102" s="203" t="s">
        <v>2329</v>
      </c>
      <c r="H102" s="203" t="s">
        <v>48</v>
      </c>
      <c r="I102" s="203" t="s">
        <v>287</v>
      </c>
      <c r="J102" s="203" t="s">
        <v>50</v>
      </c>
      <c r="K102" s="203" t="s">
        <v>50</v>
      </c>
      <c r="L102" s="203" t="s">
        <v>50</v>
      </c>
      <c r="M102" s="203" t="s">
        <v>51</v>
      </c>
      <c r="N102" s="203">
        <v>25.305669999999999</v>
      </c>
      <c r="O102" s="203">
        <v>96.922619999999995</v>
      </c>
      <c r="P102" s="203" t="s">
        <v>930</v>
      </c>
      <c r="Q102" s="203" t="s">
        <v>951</v>
      </c>
      <c r="R102" s="425">
        <v>13</v>
      </c>
      <c r="S102" s="425">
        <v>70</v>
      </c>
      <c r="T102" s="542" t="s">
        <v>935</v>
      </c>
      <c r="U102" s="427"/>
      <c r="V102" s="203" t="s">
        <v>299</v>
      </c>
      <c r="W102" s="203" t="s">
        <v>3037</v>
      </c>
    </row>
    <row r="103" spans="1:23" s="203" customFormat="1" ht="17.25" hidden="1" customHeight="1" x14ac:dyDescent="0.2">
      <c r="A103" s="430" t="s">
        <v>44</v>
      </c>
      <c r="B103" s="429" t="s">
        <v>298</v>
      </c>
      <c r="C103" s="430" t="s">
        <v>2717</v>
      </c>
      <c r="D103" s="432"/>
      <c r="J103" s="203" t="s">
        <v>1921</v>
      </c>
      <c r="K103" s="294" t="s">
        <v>50</v>
      </c>
      <c r="L103" s="294" t="s">
        <v>946</v>
      </c>
      <c r="P103" s="203" t="s">
        <v>2716</v>
      </c>
      <c r="Q103" s="203" t="s">
        <v>2653</v>
      </c>
      <c r="R103" s="434">
        <v>79</v>
      </c>
      <c r="S103" s="426">
        <v>419</v>
      </c>
      <c r="T103" s="542">
        <v>43285</v>
      </c>
      <c r="U103" s="427" t="s">
        <v>2722</v>
      </c>
    </row>
    <row r="104" spans="1:23" s="203" customFormat="1" ht="17.25" hidden="1" customHeight="1" x14ac:dyDescent="0.2">
      <c r="A104" s="430" t="s">
        <v>44</v>
      </c>
      <c r="B104" s="429" t="s">
        <v>298</v>
      </c>
      <c r="C104" s="294" t="s">
        <v>2668</v>
      </c>
      <c r="D104" s="203" t="s">
        <v>2949</v>
      </c>
      <c r="E104" s="203" t="s">
        <v>2673</v>
      </c>
      <c r="I104" s="203" t="s">
        <v>2959</v>
      </c>
      <c r="J104" s="203" t="s">
        <v>50</v>
      </c>
      <c r="K104" s="203" t="s">
        <v>50</v>
      </c>
      <c r="L104" s="203" t="s">
        <v>946</v>
      </c>
      <c r="M104" s="203" t="s">
        <v>51</v>
      </c>
      <c r="N104" s="203">
        <v>97.013800000000003</v>
      </c>
      <c r="O104" s="203">
        <v>25.383465999999999</v>
      </c>
      <c r="P104" s="294" t="s">
        <v>930</v>
      </c>
      <c r="Q104" s="203" t="s">
        <v>2653</v>
      </c>
      <c r="R104" s="425">
        <v>79</v>
      </c>
      <c r="S104" s="425">
        <v>320</v>
      </c>
      <c r="T104" s="542">
        <v>43276</v>
      </c>
      <c r="U104" s="427" t="s">
        <v>3181</v>
      </c>
      <c r="W104" s="203" t="s">
        <v>3036</v>
      </c>
    </row>
    <row r="105" spans="1:23" s="203" customFormat="1" ht="17.25" hidden="1" customHeight="1" x14ac:dyDescent="0.2">
      <c r="A105" s="430" t="s">
        <v>44</v>
      </c>
      <c r="B105" s="429" t="s">
        <v>298</v>
      </c>
      <c r="C105" s="294" t="s">
        <v>2656</v>
      </c>
      <c r="D105" s="432"/>
      <c r="J105" s="203" t="s">
        <v>1921</v>
      </c>
      <c r="K105" s="203" t="s">
        <v>50</v>
      </c>
      <c r="L105" s="203" t="s">
        <v>50</v>
      </c>
      <c r="M105" s="203" t="s">
        <v>51</v>
      </c>
      <c r="P105" s="203" t="s">
        <v>930</v>
      </c>
      <c r="Q105" s="203" t="s">
        <v>2653</v>
      </c>
      <c r="R105" s="434"/>
      <c r="S105" s="426"/>
      <c r="T105" s="542">
        <v>43270</v>
      </c>
      <c r="U105" s="427"/>
    </row>
    <row r="106" spans="1:23" s="203" customFormat="1" ht="17.25" hidden="1" customHeight="1" x14ac:dyDescent="0.2">
      <c r="A106" s="430" t="s">
        <v>44</v>
      </c>
      <c r="B106" s="429" t="s">
        <v>298</v>
      </c>
      <c r="C106" s="294" t="s">
        <v>2655</v>
      </c>
      <c r="D106" s="432"/>
      <c r="J106" s="203" t="s">
        <v>1921</v>
      </c>
      <c r="K106" s="203" t="s">
        <v>50</v>
      </c>
      <c r="L106" s="203" t="s">
        <v>50</v>
      </c>
      <c r="M106" s="203" t="s">
        <v>51</v>
      </c>
      <c r="P106" s="203" t="s">
        <v>930</v>
      </c>
      <c r="Q106" s="203" t="s">
        <v>2653</v>
      </c>
      <c r="R106" s="434"/>
      <c r="S106" s="426"/>
      <c r="T106" s="542">
        <v>43270</v>
      </c>
      <c r="U106" s="427"/>
    </row>
    <row r="107" spans="1:23" s="203" customFormat="1" ht="17.25" hidden="1" customHeight="1" x14ac:dyDescent="0.2">
      <c r="A107" s="203" t="s">
        <v>44</v>
      </c>
      <c r="B107" s="203" t="s">
        <v>298</v>
      </c>
      <c r="C107" s="203" t="s">
        <v>2953</v>
      </c>
      <c r="D107" s="203" t="s">
        <v>2949</v>
      </c>
      <c r="E107" s="203" t="s">
        <v>1991</v>
      </c>
      <c r="H107" s="203" t="s">
        <v>48</v>
      </c>
      <c r="I107" s="203" t="s">
        <v>287</v>
      </c>
      <c r="J107" s="203" t="s">
        <v>50</v>
      </c>
      <c r="K107" s="203" t="s">
        <v>50</v>
      </c>
      <c r="L107" s="203" t="s">
        <v>50</v>
      </c>
      <c r="M107" s="203" t="s">
        <v>51</v>
      </c>
      <c r="N107" s="203">
        <v>25.296579999999999</v>
      </c>
      <c r="O107" s="203">
        <v>96.942279999999997</v>
      </c>
      <c r="P107" s="203" t="s">
        <v>930</v>
      </c>
      <c r="Q107" s="203" t="s">
        <v>951</v>
      </c>
      <c r="R107" s="425">
        <v>16</v>
      </c>
      <c r="S107" s="425">
        <v>79</v>
      </c>
      <c r="T107" s="542" t="s">
        <v>935</v>
      </c>
      <c r="U107" s="427"/>
      <c r="V107" s="203" t="s">
        <v>300</v>
      </c>
      <c r="W107" s="203" t="s">
        <v>3037</v>
      </c>
    </row>
    <row r="108" spans="1:23" s="203" customFormat="1" ht="17.25" hidden="1" customHeight="1" x14ac:dyDescent="0.2">
      <c r="A108" s="203" t="s">
        <v>44</v>
      </c>
      <c r="B108" s="203" t="s">
        <v>298</v>
      </c>
      <c r="C108" s="203" t="s">
        <v>387</v>
      </c>
      <c r="D108" s="203" t="s">
        <v>2255</v>
      </c>
      <c r="E108" s="203" t="s">
        <v>1992</v>
      </c>
      <c r="F108" s="203" t="s">
        <v>2326</v>
      </c>
      <c r="G108" s="203" t="s">
        <v>2327</v>
      </c>
      <c r="I108" s="203">
        <v>0</v>
      </c>
      <c r="J108" s="203" t="s">
        <v>50</v>
      </c>
      <c r="K108" s="203" t="s">
        <v>50</v>
      </c>
      <c r="L108" s="203" t="s">
        <v>929</v>
      </c>
      <c r="M108" s="203" t="s">
        <v>51</v>
      </c>
      <c r="N108" s="203">
        <v>25.299679999999999</v>
      </c>
      <c r="O108" s="203">
        <v>96.942279999999997</v>
      </c>
      <c r="P108" s="203" t="s">
        <v>930</v>
      </c>
      <c r="Q108" s="203" t="s">
        <v>951</v>
      </c>
      <c r="R108" s="425"/>
      <c r="S108" s="426"/>
      <c r="T108" s="542">
        <v>42836</v>
      </c>
      <c r="U108" s="427" t="s">
        <v>1214</v>
      </c>
      <c r="V108" s="203" t="s">
        <v>387</v>
      </c>
      <c r="W108" s="203" t="s">
        <v>3038</v>
      </c>
    </row>
    <row r="109" spans="1:23" s="203" customFormat="1" ht="17.25" hidden="1" customHeight="1" x14ac:dyDescent="0.2">
      <c r="A109" s="430" t="s">
        <v>44</v>
      </c>
      <c r="B109" s="429" t="s">
        <v>298</v>
      </c>
      <c r="C109" s="294" t="s">
        <v>2667</v>
      </c>
      <c r="D109" s="203" t="s">
        <v>2949</v>
      </c>
      <c r="E109" s="203" t="s">
        <v>2672</v>
      </c>
      <c r="I109" s="203" t="s">
        <v>2959</v>
      </c>
      <c r="J109" s="203" t="s">
        <v>50</v>
      </c>
      <c r="K109" s="203" t="s">
        <v>50</v>
      </c>
      <c r="L109" s="203" t="s">
        <v>946</v>
      </c>
      <c r="M109" s="203" t="s">
        <v>51</v>
      </c>
      <c r="N109" s="203">
        <v>97.010629910000006</v>
      </c>
      <c r="O109" s="203">
        <v>25.370330525559201</v>
      </c>
      <c r="P109" s="294" t="s">
        <v>930</v>
      </c>
      <c r="Q109" s="203" t="s">
        <v>2653</v>
      </c>
      <c r="R109" s="425">
        <v>45</v>
      </c>
      <c r="S109" s="425">
        <v>232</v>
      </c>
      <c r="T109" s="542">
        <v>43276</v>
      </c>
      <c r="U109" s="431" t="s">
        <v>2721</v>
      </c>
      <c r="W109" s="203" t="s">
        <v>3036</v>
      </c>
    </row>
    <row r="110" spans="1:23" s="203" customFormat="1" ht="17.25" hidden="1" customHeight="1" x14ac:dyDescent="0.2">
      <c r="A110" s="426" t="s">
        <v>44</v>
      </c>
      <c r="B110" s="429" t="s">
        <v>298</v>
      </c>
      <c r="C110" s="430" t="s">
        <v>2799</v>
      </c>
      <c r="D110" s="432"/>
      <c r="J110" s="203" t="s">
        <v>1921</v>
      </c>
      <c r="K110" s="203" t="s">
        <v>50</v>
      </c>
      <c r="L110" s="203" t="s">
        <v>946</v>
      </c>
      <c r="M110" s="203" t="s">
        <v>51</v>
      </c>
      <c r="P110" s="294" t="s">
        <v>2714</v>
      </c>
      <c r="R110" s="434"/>
      <c r="S110" s="426"/>
      <c r="T110" s="542">
        <v>43298</v>
      </c>
      <c r="U110" s="427"/>
    </row>
    <row r="111" spans="1:23" s="203" customFormat="1" ht="17.25" hidden="1" customHeight="1" x14ac:dyDescent="0.2">
      <c r="A111" s="203" t="s">
        <v>44</v>
      </c>
      <c r="B111" s="203" t="s">
        <v>298</v>
      </c>
      <c r="C111" s="203" t="s">
        <v>1294</v>
      </c>
      <c r="D111" s="203" t="s">
        <v>2178</v>
      </c>
      <c r="E111" s="203" t="s">
        <v>2682</v>
      </c>
      <c r="F111" s="203" t="s">
        <v>2254</v>
      </c>
      <c r="G111" s="203" t="s">
        <v>1294</v>
      </c>
      <c r="I111" s="203">
        <v>0</v>
      </c>
      <c r="J111" s="203" t="s">
        <v>50</v>
      </c>
      <c r="K111" s="203" t="s">
        <v>50</v>
      </c>
      <c r="L111" s="203" t="s">
        <v>929</v>
      </c>
      <c r="M111" s="203" t="s">
        <v>51</v>
      </c>
      <c r="P111" s="203" t="s">
        <v>930</v>
      </c>
      <c r="Q111" s="203" t="s">
        <v>1097</v>
      </c>
      <c r="R111" s="425"/>
      <c r="S111" s="426"/>
      <c r="T111" s="542"/>
      <c r="U111" s="427" t="s">
        <v>1295</v>
      </c>
      <c r="W111" s="203" t="s">
        <v>3039</v>
      </c>
    </row>
    <row r="112" spans="1:23" s="203" customFormat="1" ht="17.25" hidden="1" customHeight="1" x14ac:dyDescent="0.2">
      <c r="A112" s="430" t="s">
        <v>44</v>
      </c>
      <c r="B112" s="429" t="s">
        <v>298</v>
      </c>
      <c r="C112" s="294" t="s">
        <v>2952</v>
      </c>
      <c r="D112" s="203" t="s">
        <v>2949</v>
      </c>
      <c r="E112" s="203" t="s">
        <v>2674</v>
      </c>
      <c r="I112" s="203" t="s">
        <v>287</v>
      </c>
      <c r="J112" s="203" t="s">
        <v>50</v>
      </c>
      <c r="K112" s="203" t="s">
        <v>50</v>
      </c>
      <c r="L112" s="203" t="s">
        <v>50</v>
      </c>
      <c r="M112" s="203" t="s">
        <v>51</v>
      </c>
      <c r="N112" s="203">
        <v>97.104997409999996</v>
      </c>
      <c r="O112" s="203">
        <v>25.379014999999999</v>
      </c>
      <c r="P112" s="294" t="s">
        <v>930</v>
      </c>
      <c r="Q112" s="203" t="s">
        <v>2653</v>
      </c>
      <c r="R112" s="425">
        <v>111</v>
      </c>
      <c r="S112" s="425">
        <v>484</v>
      </c>
      <c r="T112" s="542">
        <v>43276</v>
      </c>
      <c r="U112" s="431" t="s">
        <v>2721</v>
      </c>
      <c r="W112" s="203" t="s">
        <v>3040</v>
      </c>
    </row>
    <row r="113" spans="1:23" s="203" customFormat="1" ht="17.25" hidden="1" customHeight="1" x14ac:dyDescent="0.2">
      <c r="A113" s="203" t="s">
        <v>44</v>
      </c>
      <c r="B113" s="203" t="s">
        <v>298</v>
      </c>
      <c r="C113" s="203" t="s">
        <v>301</v>
      </c>
      <c r="D113" s="203" t="s">
        <v>2949</v>
      </c>
      <c r="E113" s="203" t="s">
        <v>1993</v>
      </c>
      <c r="F113" s="203" t="s">
        <v>2254</v>
      </c>
      <c r="G113" s="203" t="s">
        <v>2328</v>
      </c>
      <c r="H113" s="203" t="s">
        <v>48</v>
      </c>
      <c r="I113" s="203" t="s">
        <v>287</v>
      </c>
      <c r="J113" s="203" t="s">
        <v>50</v>
      </c>
      <c r="K113" s="203" t="s">
        <v>50</v>
      </c>
      <c r="L113" s="203" t="s">
        <v>50</v>
      </c>
      <c r="M113" s="203" t="s">
        <v>51</v>
      </c>
      <c r="N113" s="203">
        <v>25.30442</v>
      </c>
      <c r="O113" s="203">
        <v>96.948740000000001</v>
      </c>
      <c r="P113" s="203" t="s">
        <v>930</v>
      </c>
      <c r="Q113" s="203" t="s">
        <v>951</v>
      </c>
      <c r="R113" s="425">
        <v>10</v>
      </c>
      <c r="S113" s="425">
        <v>42</v>
      </c>
      <c r="T113" s="542" t="s">
        <v>935</v>
      </c>
      <c r="U113" s="427"/>
      <c r="V113" s="203" t="s">
        <v>301</v>
      </c>
      <c r="W113" s="203" t="s">
        <v>3041</v>
      </c>
    </row>
    <row r="114" spans="1:23" s="203" customFormat="1" ht="17.25" hidden="1" customHeight="1" x14ac:dyDescent="0.2">
      <c r="A114" s="203" t="s">
        <v>44</v>
      </c>
      <c r="B114" s="203" t="s">
        <v>298</v>
      </c>
      <c r="C114" s="203" t="s">
        <v>1211</v>
      </c>
      <c r="D114" s="203" t="s">
        <v>2178</v>
      </c>
      <c r="E114" s="203" t="s">
        <v>1988</v>
      </c>
      <c r="F114" s="203" t="s">
        <v>2236</v>
      </c>
      <c r="G114" s="203" t="s">
        <v>2236</v>
      </c>
      <c r="I114" s="203">
        <v>0</v>
      </c>
      <c r="J114" s="203" t="s">
        <v>50</v>
      </c>
      <c r="K114" s="203" t="s">
        <v>50</v>
      </c>
      <c r="L114" s="203" t="s">
        <v>929</v>
      </c>
      <c r="M114" s="203" t="s">
        <v>51</v>
      </c>
      <c r="N114" s="203">
        <v>25.225000000000001</v>
      </c>
      <c r="O114" s="203">
        <v>96.793999999999997</v>
      </c>
      <c r="P114" s="203" t="s">
        <v>943</v>
      </c>
      <c r="Q114" s="203" t="s">
        <v>951</v>
      </c>
      <c r="R114" s="425"/>
      <c r="S114" s="426"/>
      <c r="T114" s="542">
        <v>42983</v>
      </c>
      <c r="U114" s="427" t="s">
        <v>1212</v>
      </c>
      <c r="V114" s="203" t="s">
        <v>1213</v>
      </c>
      <c r="W114" s="203" t="s">
        <v>3042</v>
      </c>
    </row>
    <row r="115" spans="1:23" s="203" customFormat="1" ht="17.25" hidden="1" customHeight="1" x14ac:dyDescent="0.2">
      <c r="A115" s="203" t="s">
        <v>44</v>
      </c>
      <c r="B115" s="203" t="s">
        <v>298</v>
      </c>
      <c r="C115" s="203" t="s">
        <v>302</v>
      </c>
      <c r="D115" s="203" t="s">
        <v>2949</v>
      </c>
      <c r="E115" s="203" t="s">
        <v>1989</v>
      </c>
      <c r="F115" s="203" t="s">
        <v>2236</v>
      </c>
      <c r="G115" s="203" t="s">
        <v>2236</v>
      </c>
      <c r="H115" s="203" t="s">
        <v>48</v>
      </c>
      <c r="I115" s="203" t="s">
        <v>287</v>
      </c>
      <c r="J115" s="203" t="s">
        <v>50</v>
      </c>
      <c r="K115" s="203" t="s">
        <v>50</v>
      </c>
      <c r="L115" s="203" t="s">
        <v>50</v>
      </c>
      <c r="M115" s="203" t="s">
        <v>51</v>
      </c>
      <c r="N115" s="203">
        <v>25.225000000000001</v>
      </c>
      <c r="O115" s="203">
        <v>96.793999999999997</v>
      </c>
      <c r="P115" s="203" t="s">
        <v>930</v>
      </c>
      <c r="Q115" s="203" t="s">
        <v>951</v>
      </c>
      <c r="R115" s="425">
        <v>27</v>
      </c>
      <c r="S115" s="425">
        <v>135</v>
      </c>
      <c r="T115" s="542" t="s">
        <v>935</v>
      </c>
      <c r="U115" s="427"/>
      <c r="V115" s="203" t="s">
        <v>302</v>
      </c>
      <c r="W115" s="203" t="s">
        <v>3043</v>
      </c>
    </row>
    <row r="116" spans="1:23" s="203" customFormat="1" ht="17.25" hidden="1" customHeight="1" x14ac:dyDescent="0.2">
      <c r="A116" s="203" t="s">
        <v>44</v>
      </c>
      <c r="B116" s="203" t="s">
        <v>303</v>
      </c>
      <c r="C116" s="203" t="s">
        <v>1205</v>
      </c>
      <c r="D116" s="203" t="s">
        <v>2949</v>
      </c>
      <c r="E116" s="203" t="s">
        <v>1981</v>
      </c>
      <c r="F116" s="203" t="s">
        <v>2387</v>
      </c>
      <c r="G116" s="203" t="s">
        <v>2388</v>
      </c>
      <c r="I116" s="203" t="s">
        <v>2959</v>
      </c>
      <c r="J116" s="203" t="s">
        <v>50</v>
      </c>
      <c r="K116" s="203" t="s">
        <v>50</v>
      </c>
      <c r="L116" s="203" t="s">
        <v>942</v>
      </c>
      <c r="M116" s="203" t="s">
        <v>51</v>
      </c>
      <c r="N116" s="203">
        <v>24.996279999999999</v>
      </c>
      <c r="O116" s="203">
        <v>96.52534</v>
      </c>
      <c r="P116" s="203" t="s">
        <v>943</v>
      </c>
      <c r="Q116" s="203" t="s">
        <v>931</v>
      </c>
      <c r="R116" s="425">
        <v>27</v>
      </c>
      <c r="S116" s="425">
        <v>121</v>
      </c>
      <c r="T116" s="542" t="s">
        <v>935</v>
      </c>
      <c r="U116" s="427" t="s">
        <v>1202</v>
      </c>
      <c r="V116" s="203" t="s">
        <v>1205</v>
      </c>
      <c r="W116" s="203" t="s">
        <v>3044</v>
      </c>
    </row>
    <row r="117" spans="1:23" s="203" customFormat="1" ht="17.25" hidden="1" customHeight="1" x14ac:dyDescent="0.2">
      <c r="A117" s="203" t="s">
        <v>44</v>
      </c>
      <c r="B117" s="203" t="s">
        <v>303</v>
      </c>
      <c r="C117" s="203" t="s">
        <v>1201</v>
      </c>
      <c r="D117" s="203" t="s">
        <v>2949</v>
      </c>
      <c r="E117" s="203" t="s">
        <v>1978</v>
      </c>
      <c r="F117" s="203" t="s">
        <v>2318</v>
      </c>
      <c r="G117" s="203">
        <v>0</v>
      </c>
      <c r="I117" s="203" t="s">
        <v>2959</v>
      </c>
      <c r="J117" s="203" t="s">
        <v>50</v>
      </c>
      <c r="K117" s="203" t="s">
        <v>50</v>
      </c>
      <c r="L117" s="203" t="s">
        <v>942</v>
      </c>
      <c r="M117" s="203" t="s">
        <v>51</v>
      </c>
      <c r="N117" s="203">
        <v>24.764959999999999</v>
      </c>
      <c r="O117" s="203">
        <v>96.366919999999993</v>
      </c>
      <c r="P117" s="203" t="s">
        <v>943</v>
      </c>
      <c r="Q117" s="203" t="s">
        <v>931</v>
      </c>
      <c r="R117" s="425">
        <v>14</v>
      </c>
      <c r="S117" s="425">
        <v>63</v>
      </c>
      <c r="T117" s="542" t="s">
        <v>935</v>
      </c>
      <c r="U117" s="427" t="s">
        <v>1202</v>
      </c>
      <c r="V117" s="203" t="s">
        <v>1201</v>
      </c>
      <c r="W117" s="203" t="s">
        <v>3045</v>
      </c>
    </row>
    <row r="118" spans="1:23" s="203" customFormat="1" ht="17.25" hidden="1" customHeight="1" x14ac:dyDescent="0.2">
      <c r="A118" s="203" t="s">
        <v>44</v>
      </c>
      <c r="B118" s="203" t="s">
        <v>303</v>
      </c>
      <c r="C118" s="203" t="s">
        <v>303</v>
      </c>
      <c r="D118" s="203" t="s">
        <v>2177</v>
      </c>
      <c r="J118" s="203" t="s">
        <v>969</v>
      </c>
      <c r="K118" s="203" t="s">
        <v>969</v>
      </c>
      <c r="L118" s="203" t="s">
        <v>969</v>
      </c>
      <c r="M118" s="203" t="s">
        <v>935</v>
      </c>
      <c r="P118" s="203" t="s">
        <v>970</v>
      </c>
      <c r="R118" s="425"/>
      <c r="S118" s="426"/>
      <c r="T118" s="542" t="s">
        <v>935</v>
      </c>
      <c r="U118" s="427"/>
      <c r="V118" s="203" t="s">
        <v>303</v>
      </c>
    </row>
    <row r="119" spans="1:23" s="203" customFormat="1" ht="17.25" hidden="1" customHeight="1" x14ac:dyDescent="0.2">
      <c r="A119" s="203" t="s">
        <v>44</v>
      </c>
      <c r="B119" s="203" t="s">
        <v>303</v>
      </c>
      <c r="C119" s="203" t="s">
        <v>1206</v>
      </c>
      <c r="D119" s="203" t="s">
        <v>2178</v>
      </c>
      <c r="E119" s="203" t="s">
        <v>1982</v>
      </c>
      <c r="F119" s="203" t="s">
        <v>2233</v>
      </c>
      <c r="G119" s="203" t="s">
        <v>2233</v>
      </c>
      <c r="H119" s="203" t="s">
        <v>48</v>
      </c>
      <c r="I119" s="203" t="s">
        <v>287</v>
      </c>
      <c r="J119" s="203" t="s">
        <v>50</v>
      </c>
      <c r="K119" s="203" t="s">
        <v>50</v>
      </c>
      <c r="L119" s="203" t="s">
        <v>929</v>
      </c>
      <c r="M119" s="203" t="s">
        <v>51</v>
      </c>
      <c r="N119" s="203">
        <v>24.998349999999999</v>
      </c>
      <c r="O119" s="203">
        <v>96.364949999999993</v>
      </c>
      <c r="P119" s="203" t="s">
        <v>930</v>
      </c>
      <c r="R119" s="425"/>
      <c r="S119" s="426"/>
      <c r="T119" s="542" t="s">
        <v>935</v>
      </c>
      <c r="U119" s="427"/>
      <c r="V119" s="203" t="s">
        <v>1206</v>
      </c>
      <c r="W119" s="203" t="s">
        <v>3046</v>
      </c>
    </row>
    <row r="120" spans="1:23" s="203" customFormat="1" ht="17.25" hidden="1" customHeight="1" x14ac:dyDescent="0.2">
      <c r="A120" s="203" t="s">
        <v>44</v>
      </c>
      <c r="B120" s="203" t="s">
        <v>303</v>
      </c>
      <c r="C120" s="203" t="s">
        <v>304</v>
      </c>
      <c r="D120" s="203" t="s">
        <v>2949</v>
      </c>
      <c r="E120" s="203" t="s">
        <v>1983</v>
      </c>
      <c r="H120" s="203" t="s">
        <v>48</v>
      </c>
      <c r="I120" s="203" t="s">
        <v>287</v>
      </c>
      <c r="J120" s="203" t="s">
        <v>50</v>
      </c>
      <c r="K120" s="203" t="s">
        <v>50</v>
      </c>
      <c r="L120" s="203" t="s">
        <v>50</v>
      </c>
      <c r="M120" s="203" t="s">
        <v>51</v>
      </c>
      <c r="N120" s="203">
        <v>24.998349999999999</v>
      </c>
      <c r="O120" s="203">
        <v>96.364949999999993</v>
      </c>
      <c r="P120" s="203" t="s">
        <v>930</v>
      </c>
      <c r="Q120" s="203" t="s">
        <v>951</v>
      </c>
      <c r="R120" s="425">
        <v>33</v>
      </c>
      <c r="S120" s="425">
        <v>160</v>
      </c>
      <c r="T120" s="542" t="s">
        <v>935</v>
      </c>
      <c r="U120" s="427"/>
      <c r="V120" s="203" t="s">
        <v>1207</v>
      </c>
      <c r="W120" s="203" t="s">
        <v>3047</v>
      </c>
    </row>
    <row r="121" spans="1:23" s="203" customFormat="1" ht="17.25" hidden="1" customHeight="1" x14ac:dyDescent="0.2">
      <c r="A121" s="203" t="s">
        <v>44</v>
      </c>
      <c r="B121" s="203" t="s">
        <v>303</v>
      </c>
      <c r="C121" s="203" t="s">
        <v>386</v>
      </c>
      <c r="D121" s="203" t="s">
        <v>2949</v>
      </c>
      <c r="E121" s="203" t="s">
        <v>1977</v>
      </c>
      <c r="F121" s="203" t="s">
        <v>2318</v>
      </c>
      <c r="G121" s="203" t="s">
        <v>2319</v>
      </c>
      <c r="H121" s="203" t="s">
        <v>48</v>
      </c>
      <c r="I121" s="203" t="s">
        <v>1539</v>
      </c>
      <c r="J121" s="203" t="s">
        <v>50</v>
      </c>
      <c r="K121" s="203" t="s">
        <v>50</v>
      </c>
      <c r="L121" s="203" t="s">
        <v>50</v>
      </c>
      <c r="M121" s="203" t="s">
        <v>51</v>
      </c>
      <c r="N121" s="203">
        <v>24.764800000000001</v>
      </c>
      <c r="O121" s="203">
        <v>96.367059999999995</v>
      </c>
      <c r="P121" s="203" t="s">
        <v>930</v>
      </c>
      <c r="Q121" s="203" t="s">
        <v>951</v>
      </c>
      <c r="R121" s="425">
        <v>11</v>
      </c>
      <c r="S121" s="425">
        <v>55</v>
      </c>
      <c r="T121" s="542" t="s">
        <v>935</v>
      </c>
      <c r="U121" s="427"/>
      <c r="V121" s="203" t="s">
        <v>386</v>
      </c>
      <c r="W121" s="203" t="s">
        <v>3048</v>
      </c>
    </row>
    <row r="122" spans="1:23" s="203" customFormat="1" ht="17.25" hidden="1" customHeight="1" x14ac:dyDescent="0.2">
      <c r="A122" s="426" t="s">
        <v>44</v>
      </c>
      <c r="B122" s="429" t="s">
        <v>2801</v>
      </c>
      <c r="C122" s="430" t="s">
        <v>2806</v>
      </c>
      <c r="D122" s="432"/>
      <c r="J122" s="203" t="s">
        <v>1921</v>
      </c>
      <c r="K122" s="294" t="s">
        <v>50</v>
      </c>
      <c r="L122" s="294" t="s">
        <v>946</v>
      </c>
      <c r="P122" s="203" t="s">
        <v>930</v>
      </c>
      <c r="R122" s="434"/>
      <c r="S122" s="426"/>
      <c r="T122" s="542">
        <v>43298</v>
      </c>
      <c r="U122" s="427"/>
    </row>
    <row r="123" spans="1:23" s="203" customFormat="1" ht="17.25" hidden="1" customHeight="1" x14ac:dyDescent="0.2">
      <c r="A123" s="203" t="s">
        <v>44</v>
      </c>
      <c r="B123" s="203" t="s">
        <v>351</v>
      </c>
      <c r="C123" s="203" t="s">
        <v>352</v>
      </c>
      <c r="D123" s="203" t="s">
        <v>2177</v>
      </c>
      <c r="J123" s="203" t="s">
        <v>1921</v>
      </c>
      <c r="K123" s="203" t="s">
        <v>50</v>
      </c>
      <c r="L123" s="203" t="s">
        <v>50</v>
      </c>
      <c r="M123" s="203" t="s">
        <v>51</v>
      </c>
      <c r="P123" s="203" t="s">
        <v>930</v>
      </c>
      <c r="Q123" s="203" t="s">
        <v>951</v>
      </c>
      <c r="R123" s="425"/>
      <c r="S123" s="426"/>
      <c r="T123" s="542" t="s">
        <v>935</v>
      </c>
      <c r="U123" s="427" t="s">
        <v>1262</v>
      </c>
      <c r="V123" s="203" t="s">
        <v>352</v>
      </c>
    </row>
    <row r="124" spans="1:23" s="203" customFormat="1" ht="17.25" hidden="1" customHeight="1" x14ac:dyDescent="0.2">
      <c r="A124" s="203" t="s">
        <v>44</v>
      </c>
      <c r="B124" s="203" t="s">
        <v>351</v>
      </c>
      <c r="C124" s="203" t="s">
        <v>1192</v>
      </c>
      <c r="D124" s="203" t="s">
        <v>2178</v>
      </c>
      <c r="E124" s="203" t="s">
        <v>1969</v>
      </c>
      <c r="F124" s="203" t="s">
        <v>2226</v>
      </c>
      <c r="G124" s="203" t="s">
        <v>2227</v>
      </c>
      <c r="I124" s="203">
        <v>0</v>
      </c>
      <c r="J124" s="203" t="s">
        <v>50</v>
      </c>
      <c r="K124" s="203" t="s">
        <v>50</v>
      </c>
      <c r="L124" s="203" t="s">
        <v>929</v>
      </c>
      <c r="M124" s="203" t="s">
        <v>51</v>
      </c>
      <c r="N124" s="203">
        <v>24.613976000000001</v>
      </c>
      <c r="O124" s="203">
        <v>97.461271999999994</v>
      </c>
      <c r="P124" s="203" t="s">
        <v>930</v>
      </c>
      <c r="Q124" s="203" t="s">
        <v>931</v>
      </c>
      <c r="R124" s="425"/>
      <c r="S124" s="426"/>
      <c r="T124" s="542">
        <v>42983</v>
      </c>
      <c r="U124" s="427" t="s">
        <v>1193</v>
      </c>
      <c r="V124" s="203" t="s">
        <v>1192</v>
      </c>
      <c r="W124" s="203" t="s">
        <v>3049</v>
      </c>
    </row>
    <row r="125" spans="1:23" s="203" customFormat="1" ht="17.25" hidden="1" customHeight="1" x14ac:dyDescent="0.2">
      <c r="A125" s="203" t="s">
        <v>44</v>
      </c>
      <c r="B125" s="203" t="s">
        <v>351</v>
      </c>
      <c r="C125" s="203" t="s">
        <v>379</v>
      </c>
      <c r="D125" s="203" t="s">
        <v>2949</v>
      </c>
      <c r="E125" s="203" t="s">
        <v>1967</v>
      </c>
      <c r="F125" s="203" t="s">
        <v>2314</v>
      </c>
      <c r="G125" s="203" t="s">
        <v>2315</v>
      </c>
      <c r="H125" s="203" t="s">
        <v>48</v>
      </c>
      <c r="I125" s="203" t="s">
        <v>1539</v>
      </c>
      <c r="J125" s="203" t="s">
        <v>50</v>
      </c>
      <c r="K125" s="203" t="s">
        <v>50</v>
      </c>
      <c r="L125" s="203" t="s">
        <v>50</v>
      </c>
      <c r="M125" s="203" t="s">
        <v>949</v>
      </c>
      <c r="N125" s="203">
        <v>24.461033</v>
      </c>
      <c r="O125" s="203">
        <v>97.537099999999995</v>
      </c>
      <c r="P125" s="203" t="s">
        <v>930</v>
      </c>
      <c r="Q125" s="203" t="s">
        <v>951</v>
      </c>
      <c r="R125" s="425">
        <v>88</v>
      </c>
      <c r="S125" s="425">
        <v>338</v>
      </c>
      <c r="T125" s="542" t="s">
        <v>935</v>
      </c>
      <c r="U125" s="427"/>
      <c r="V125" s="203" t="s">
        <v>379</v>
      </c>
      <c r="W125" s="203" t="s">
        <v>3050</v>
      </c>
    </row>
    <row r="126" spans="1:23" s="203" customFormat="1" ht="17.25" hidden="1" customHeight="1" x14ac:dyDescent="0.2">
      <c r="A126" s="203" t="s">
        <v>44</v>
      </c>
      <c r="B126" s="203" t="s">
        <v>351</v>
      </c>
      <c r="C126" s="203" t="s">
        <v>363</v>
      </c>
      <c r="D126" s="203" t="s">
        <v>2949</v>
      </c>
      <c r="E126" s="203" t="s">
        <v>1971</v>
      </c>
      <c r="F126" s="203" t="s">
        <v>2316</v>
      </c>
      <c r="G126" s="203" t="s">
        <v>2317</v>
      </c>
      <c r="H126" s="203" t="s">
        <v>48</v>
      </c>
      <c r="I126" s="203" t="s">
        <v>1539</v>
      </c>
      <c r="J126" s="203" t="s">
        <v>50</v>
      </c>
      <c r="K126" s="203" t="s">
        <v>50</v>
      </c>
      <c r="L126" s="203" t="s">
        <v>50</v>
      </c>
      <c r="M126" s="203" t="s">
        <v>949</v>
      </c>
      <c r="N126" s="203">
        <v>24.661905999999998</v>
      </c>
      <c r="O126" s="203">
        <v>97.573126000000002</v>
      </c>
      <c r="P126" s="21" t="s">
        <v>2716</v>
      </c>
      <c r="Q126" s="203" t="s">
        <v>951</v>
      </c>
      <c r="R126" s="425">
        <v>719</v>
      </c>
      <c r="S126" s="425">
        <v>3641</v>
      </c>
      <c r="T126" s="542" t="s">
        <v>935</v>
      </c>
      <c r="U126" s="427"/>
      <c r="V126" s="203" t="s">
        <v>363</v>
      </c>
      <c r="W126" s="203" t="s">
        <v>3051</v>
      </c>
    </row>
    <row r="127" spans="1:23" s="203" customFormat="1" ht="17.25" hidden="1" customHeight="1" x14ac:dyDescent="0.2">
      <c r="A127" s="203" t="s">
        <v>44</v>
      </c>
      <c r="B127" s="203" t="s">
        <v>351</v>
      </c>
      <c r="C127" s="203" t="s">
        <v>440</v>
      </c>
      <c r="D127" s="203" t="s">
        <v>2949</v>
      </c>
      <c r="E127" s="203" t="s">
        <v>1972</v>
      </c>
      <c r="F127" s="203" t="s">
        <v>2316</v>
      </c>
      <c r="G127" s="203" t="s">
        <v>2317</v>
      </c>
      <c r="H127" s="203" t="s">
        <v>48</v>
      </c>
      <c r="I127" s="203" t="s">
        <v>1539</v>
      </c>
      <c r="J127" s="203" t="s">
        <v>50</v>
      </c>
      <c r="K127" s="203" t="s">
        <v>50</v>
      </c>
      <c r="L127" s="203" t="s">
        <v>50</v>
      </c>
      <c r="M127" s="203" t="s">
        <v>949</v>
      </c>
      <c r="N127" s="203">
        <v>24.688338999999999</v>
      </c>
      <c r="O127" s="203">
        <v>97.568331999999998</v>
      </c>
      <c r="P127" s="21" t="s">
        <v>2716</v>
      </c>
      <c r="Q127" s="203" t="s">
        <v>951</v>
      </c>
      <c r="R127" s="425">
        <v>1492</v>
      </c>
      <c r="S127" s="425">
        <v>8514</v>
      </c>
      <c r="T127" s="542" t="s">
        <v>935</v>
      </c>
      <c r="U127" s="427"/>
      <c r="V127" s="203" t="s">
        <v>440</v>
      </c>
      <c r="W127" s="203" t="s">
        <v>3052</v>
      </c>
    </row>
    <row r="128" spans="1:23" s="203" customFormat="1" ht="17.25" hidden="1" customHeight="1" x14ac:dyDescent="0.2">
      <c r="A128" s="203" t="s">
        <v>44</v>
      </c>
      <c r="B128" s="203" t="s">
        <v>351</v>
      </c>
      <c r="C128" s="203" t="s">
        <v>353</v>
      </c>
      <c r="D128" s="203" t="s">
        <v>2177</v>
      </c>
      <c r="J128" s="203" t="s">
        <v>1921</v>
      </c>
      <c r="K128" s="203" t="s">
        <v>50</v>
      </c>
      <c r="L128" s="203" t="s">
        <v>50</v>
      </c>
      <c r="M128" s="203" t="s">
        <v>51</v>
      </c>
      <c r="P128" s="203" t="s">
        <v>930</v>
      </c>
      <c r="Q128" s="203" t="s">
        <v>951</v>
      </c>
      <c r="R128" s="425"/>
      <c r="S128" s="426"/>
      <c r="T128" s="542" t="s">
        <v>935</v>
      </c>
      <c r="U128" s="427" t="s">
        <v>1262</v>
      </c>
      <c r="V128" s="203" t="s">
        <v>353</v>
      </c>
    </row>
    <row r="129" spans="1:23" s="203" customFormat="1" ht="17.25" hidden="1" customHeight="1" x14ac:dyDescent="0.2">
      <c r="A129" s="203" t="s">
        <v>44</v>
      </c>
      <c r="B129" s="203" t="s">
        <v>351</v>
      </c>
      <c r="C129" s="203" t="s">
        <v>355</v>
      </c>
      <c r="D129" s="203" t="s">
        <v>2177</v>
      </c>
      <c r="J129" s="203" t="s">
        <v>1921</v>
      </c>
      <c r="K129" s="203" t="s">
        <v>50</v>
      </c>
      <c r="L129" s="203" t="s">
        <v>50</v>
      </c>
      <c r="M129" s="203" t="s">
        <v>51</v>
      </c>
      <c r="P129" s="203" t="s">
        <v>930</v>
      </c>
      <c r="Q129" s="203" t="s">
        <v>951</v>
      </c>
      <c r="R129" s="425"/>
      <c r="S129" s="426"/>
      <c r="T129" s="542" t="s">
        <v>935</v>
      </c>
      <c r="U129" s="427" t="s">
        <v>1262</v>
      </c>
      <c r="V129" s="203" t="s">
        <v>355</v>
      </c>
    </row>
    <row r="130" spans="1:23" s="203" customFormat="1" ht="17.25" hidden="1" customHeight="1" x14ac:dyDescent="0.2">
      <c r="A130" s="203" t="s">
        <v>44</v>
      </c>
      <c r="B130" s="203" t="s">
        <v>351</v>
      </c>
      <c r="C130" s="203" t="s">
        <v>1183</v>
      </c>
      <c r="D130" s="203" t="s">
        <v>2949</v>
      </c>
      <c r="E130" s="203" t="s">
        <v>1962</v>
      </c>
      <c r="F130" s="203" t="s">
        <v>2385</v>
      </c>
      <c r="G130" s="203" t="s">
        <v>2386</v>
      </c>
      <c r="I130" s="203" t="s">
        <v>2959</v>
      </c>
      <c r="J130" s="203" t="s">
        <v>50</v>
      </c>
      <c r="K130" s="203" t="s">
        <v>50</v>
      </c>
      <c r="L130" s="203" t="s">
        <v>942</v>
      </c>
      <c r="M130" s="203" t="s">
        <v>51</v>
      </c>
      <c r="N130" s="203">
        <v>24.377054000000001</v>
      </c>
      <c r="O130" s="203">
        <v>97.343406999999999</v>
      </c>
      <c r="P130" s="203" t="s">
        <v>943</v>
      </c>
      <c r="Q130" s="203" t="s">
        <v>931</v>
      </c>
      <c r="R130" s="425">
        <v>3</v>
      </c>
      <c r="S130" s="425">
        <v>18</v>
      </c>
      <c r="T130" s="542" t="s">
        <v>935</v>
      </c>
      <c r="U130" s="427" t="s">
        <v>1184</v>
      </c>
      <c r="V130" s="203" t="s">
        <v>1183</v>
      </c>
      <c r="W130" s="203" t="s">
        <v>3053</v>
      </c>
    </row>
    <row r="131" spans="1:23" s="203" customFormat="1" ht="17.25" hidden="1" customHeight="1" x14ac:dyDescent="0.2">
      <c r="A131" s="203" t="s">
        <v>44</v>
      </c>
      <c r="B131" s="203" t="s">
        <v>351</v>
      </c>
      <c r="C131" s="203" t="s">
        <v>439</v>
      </c>
      <c r="D131" s="203" t="s">
        <v>2177</v>
      </c>
      <c r="J131" s="203" t="s">
        <v>1921</v>
      </c>
      <c r="K131" s="203" t="s">
        <v>50</v>
      </c>
      <c r="L131" s="203" t="s">
        <v>1271</v>
      </c>
      <c r="M131" s="203" t="s">
        <v>949</v>
      </c>
      <c r="P131" s="203" t="s">
        <v>930</v>
      </c>
      <c r="Q131" s="203" t="s">
        <v>931</v>
      </c>
      <c r="R131" s="425"/>
      <c r="S131" s="426"/>
      <c r="T131" s="542">
        <v>42849</v>
      </c>
      <c r="U131" s="427"/>
    </row>
    <row r="132" spans="1:23" s="203" customFormat="1" ht="17.25" hidden="1" customHeight="1" x14ac:dyDescent="0.2">
      <c r="A132" s="203" t="s">
        <v>44</v>
      </c>
      <c r="B132" s="203" t="s">
        <v>351</v>
      </c>
      <c r="C132" s="203" t="s">
        <v>431</v>
      </c>
      <c r="D132" s="203" t="s">
        <v>2949</v>
      </c>
      <c r="E132" s="203" t="s">
        <v>1937</v>
      </c>
      <c r="F132" s="203" t="s">
        <v>2297</v>
      </c>
      <c r="G132" s="203" t="s">
        <v>2299</v>
      </c>
      <c r="H132" s="203" t="s">
        <v>48</v>
      </c>
      <c r="I132" s="203" t="s">
        <v>287</v>
      </c>
      <c r="J132" s="203" t="s">
        <v>50</v>
      </c>
      <c r="K132" s="203" t="s">
        <v>50</v>
      </c>
      <c r="L132" s="203" t="s">
        <v>50</v>
      </c>
      <c r="M132" s="203" t="s">
        <v>51</v>
      </c>
      <c r="N132" s="203">
        <v>24.200972</v>
      </c>
      <c r="O132" s="203">
        <v>97.718582999999995</v>
      </c>
      <c r="P132" s="203" t="s">
        <v>930</v>
      </c>
      <c r="Q132" s="203" t="s">
        <v>951</v>
      </c>
      <c r="R132" s="425">
        <v>41</v>
      </c>
      <c r="S132" s="425">
        <v>241</v>
      </c>
      <c r="T132" s="542" t="s">
        <v>935</v>
      </c>
      <c r="U132" s="427"/>
      <c r="V132" s="203" t="s">
        <v>431</v>
      </c>
      <c r="W132" s="203" t="s">
        <v>3054</v>
      </c>
    </row>
    <row r="133" spans="1:23" s="203" customFormat="1" ht="17.25" hidden="1" customHeight="1" x14ac:dyDescent="0.2">
      <c r="A133" s="203" t="s">
        <v>44</v>
      </c>
      <c r="B133" s="203" t="s">
        <v>351</v>
      </c>
      <c r="C133" s="203" t="s">
        <v>432</v>
      </c>
      <c r="D133" s="203" t="s">
        <v>2949</v>
      </c>
      <c r="E133" s="203" t="s">
        <v>1938</v>
      </c>
      <c r="F133" s="203" t="s">
        <v>2297</v>
      </c>
      <c r="G133" s="203" t="s">
        <v>2299</v>
      </c>
      <c r="H133" s="203" t="s">
        <v>48</v>
      </c>
      <c r="I133" s="203" t="s">
        <v>49</v>
      </c>
      <c r="J133" s="203" t="s">
        <v>50</v>
      </c>
      <c r="K133" s="203" t="s">
        <v>50</v>
      </c>
      <c r="L133" s="203" t="s">
        <v>50</v>
      </c>
      <c r="M133" s="203" t="s">
        <v>51</v>
      </c>
      <c r="N133" s="203">
        <v>24.205417000000001</v>
      </c>
      <c r="O133" s="203">
        <v>97.724566999999993</v>
      </c>
      <c r="P133" s="203" t="s">
        <v>930</v>
      </c>
      <c r="Q133" s="203" t="s">
        <v>951</v>
      </c>
      <c r="R133" s="425">
        <v>129</v>
      </c>
      <c r="S133" s="425">
        <v>641</v>
      </c>
      <c r="T133" s="542" t="s">
        <v>935</v>
      </c>
      <c r="U133" s="427"/>
      <c r="V133" s="203" t="s">
        <v>432</v>
      </c>
      <c r="W133" s="203" t="s">
        <v>3055</v>
      </c>
    </row>
    <row r="134" spans="1:23" s="203" customFormat="1" ht="17.25" hidden="1" customHeight="1" x14ac:dyDescent="0.2">
      <c r="A134" s="203" t="s">
        <v>44</v>
      </c>
      <c r="B134" s="203" t="s">
        <v>351</v>
      </c>
      <c r="C134" s="203" t="s">
        <v>1279</v>
      </c>
      <c r="D134" s="203" t="s">
        <v>2177</v>
      </c>
      <c r="J134" s="203" t="s">
        <v>50</v>
      </c>
      <c r="K134" s="203" t="s">
        <v>50</v>
      </c>
      <c r="L134" s="203" t="s">
        <v>1259</v>
      </c>
      <c r="M134" s="203" t="s">
        <v>51</v>
      </c>
      <c r="P134" s="203" t="s">
        <v>930</v>
      </c>
      <c r="R134" s="425"/>
      <c r="S134" s="426"/>
      <c r="T134" s="542" t="s">
        <v>935</v>
      </c>
      <c r="U134" s="427"/>
      <c r="V134" s="203" t="s">
        <v>1280</v>
      </c>
    </row>
    <row r="135" spans="1:23" s="203" customFormat="1" ht="17.25" hidden="1" customHeight="1" x14ac:dyDescent="0.2">
      <c r="A135" s="203" t="s">
        <v>44</v>
      </c>
      <c r="B135" s="203" t="s">
        <v>351</v>
      </c>
      <c r="C135" s="203" t="s">
        <v>1281</v>
      </c>
      <c r="D135" s="203" t="s">
        <v>2177</v>
      </c>
      <c r="J135" s="203" t="s">
        <v>50</v>
      </c>
      <c r="K135" s="203" t="s">
        <v>50</v>
      </c>
      <c r="L135" s="203" t="s">
        <v>1259</v>
      </c>
      <c r="M135" s="203" t="s">
        <v>51</v>
      </c>
      <c r="P135" s="203" t="s">
        <v>930</v>
      </c>
      <c r="R135" s="425"/>
      <c r="S135" s="426"/>
      <c r="T135" s="542" t="s">
        <v>935</v>
      </c>
      <c r="U135" s="427"/>
      <c r="V135" s="203" t="s">
        <v>1282</v>
      </c>
    </row>
    <row r="136" spans="1:23" s="203" customFormat="1" ht="17.25" hidden="1" customHeight="1" x14ac:dyDescent="0.2">
      <c r="A136" s="203" t="s">
        <v>44</v>
      </c>
      <c r="B136" s="203" t="s">
        <v>351</v>
      </c>
      <c r="C136" s="203" t="s">
        <v>1283</v>
      </c>
      <c r="D136" s="203" t="s">
        <v>2177</v>
      </c>
      <c r="J136" s="203" t="s">
        <v>50</v>
      </c>
      <c r="K136" s="203" t="s">
        <v>50</v>
      </c>
      <c r="L136" s="203" t="s">
        <v>1259</v>
      </c>
      <c r="M136" s="203" t="s">
        <v>51</v>
      </c>
      <c r="P136" s="203" t="s">
        <v>930</v>
      </c>
      <c r="R136" s="425"/>
      <c r="S136" s="426"/>
      <c r="T136" s="542" t="s">
        <v>935</v>
      </c>
      <c r="U136" s="427"/>
      <c r="V136" s="203" t="s">
        <v>1284</v>
      </c>
    </row>
    <row r="137" spans="1:23" s="203" customFormat="1" ht="17.25" hidden="1" customHeight="1" x14ac:dyDescent="0.2">
      <c r="A137" s="203" t="s">
        <v>44</v>
      </c>
      <c r="B137" s="203" t="s">
        <v>351</v>
      </c>
      <c r="C137" s="203" t="s">
        <v>433</v>
      </c>
      <c r="D137" s="203" t="s">
        <v>2949</v>
      </c>
      <c r="E137" s="203" t="s">
        <v>1936</v>
      </c>
      <c r="F137" s="203" t="s">
        <v>2297</v>
      </c>
      <c r="G137" s="203" t="s">
        <v>2298</v>
      </c>
      <c r="H137" s="203" t="s">
        <v>48</v>
      </c>
      <c r="I137" s="203" t="s">
        <v>287</v>
      </c>
      <c r="J137" s="203" t="s">
        <v>50</v>
      </c>
      <c r="K137" s="203" t="s">
        <v>50</v>
      </c>
      <c r="L137" s="203" t="s">
        <v>50</v>
      </c>
      <c r="M137" s="203" t="s">
        <v>51</v>
      </c>
      <c r="N137" s="203">
        <v>24.200433</v>
      </c>
      <c r="O137" s="203">
        <v>97.717133000000004</v>
      </c>
      <c r="P137" s="203" t="s">
        <v>930</v>
      </c>
      <c r="Q137" s="203" t="s">
        <v>951</v>
      </c>
      <c r="R137" s="425">
        <v>204</v>
      </c>
      <c r="S137" s="425">
        <v>1146</v>
      </c>
      <c r="T137" s="542" t="s">
        <v>935</v>
      </c>
      <c r="U137" s="427"/>
      <c r="V137" s="203" t="s">
        <v>433</v>
      </c>
      <c r="W137" s="203" t="s">
        <v>3056</v>
      </c>
    </row>
    <row r="138" spans="1:23" s="203" customFormat="1" ht="17.25" hidden="1" customHeight="1" x14ac:dyDescent="0.2">
      <c r="A138" s="203" t="s">
        <v>44</v>
      </c>
      <c r="B138" s="203" t="s">
        <v>351</v>
      </c>
      <c r="C138" s="203" t="s">
        <v>1285</v>
      </c>
      <c r="D138" s="203" t="s">
        <v>2177</v>
      </c>
      <c r="J138" s="203" t="s">
        <v>1271</v>
      </c>
      <c r="K138" s="203" t="s">
        <v>50</v>
      </c>
      <c r="L138" s="203" t="s">
        <v>929</v>
      </c>
      <c r="M138" s="203" t="s">
        <v>51</v>
      </c>
      <c r="P138" s="203" t="s">
        <v>930</v>
      </c>
      <c r="R138" s="425"/>
      <c r="S138" s="426"/>
      <c r="T138" s="542" t="s">
        <v>935</v>
      </c>
      <c r="U138" s="427"/>
      <c r="V138" s="203" t="s">
        <v>1285</v>
      </c>
    </row>
    <row r="139" spans="1:23" s="203" customFormat="1" ht="17.25" hidden="1" customHeight="1" x14ac:dyDescent="0.2">
      <c r="A139" s="203" t="s">
        <v>44</v>
      </c>
      <c r="B139" s="203" t="s">
        <v>351</v>
      </c>
      <c r="C139" s="203" t="s">
        <v>438</v>
      </c>
      <c r="D139" s="203" t="s">
        <v>2177</v>
      </c>
      <c r="J139" s="203" t="s">
        <v>1921</v>
      </c>
      <c r="K139" s="203" t="s">
        <v>50</v>
      </c>
      <c r="L139" s="203" t="s">
        <v>1271</v>
      </c>
      <c r="M139" s="203" t="s">
        <v>51</v>
      </c>
      <c r="P139" s="203" t="s">
        <v>930</v>
      </c>
      <c r="Q139" s="203" t="s">
        <v>931</v>
      </c>
      <c r="R139" s="425"/>
      <c r="S139" s="426"/>
      <c r="T139" s="542">
        <v>42849</v>
      </c>
      <c r="U139" s="427"/>
    </row>
    <row r="140" spans="1:23" s="203" customFormat="1" ht="17.25" hidden="1" customHeight="1" x14ac:dyDescent="0.2">
      <c r="A140" s="203" t="s">
        <v>44</v>
      </c>
      <c r="B140" s="203" t="s">
        <v>351</v>
      </c>
      <c r="C140" s="203" t="s">
        <v>1189</v>
      </c>
      <c r="D140" s="203" t="s">
        <v>2178</v>
      </c>
      <c r="E140" s="203" t="s">
        <v>1966</v>
      </c>
      <c r="F140" s="203" t="s">
        <v>2224</v>
      </c>
      <c r="G140" s="203" t="s">
        <v>2224</v>
      </c>
      <c r="I140" s="203">
        <v>0</v>
      </c>
      <c r="J140" s="203" t="s">
        <v>50</v>
      </c>
      <c r="K140" s="203" t="s">
        <v>50</v>
      </c>
      <c r="L140" s="203" t="s">
        <v>929</v>
      </c>
      <c r="M140" s="203" t="s">
        <v>51</v>
      </c>
      <c r="N140" s="203">
        <v>24.441697000000001</v>
      </c>
      <c r="O140" s="203">
        <v>97.409474000000003</v>
      </c>
      <c r="P140" s="203" t="s">
        <v>943</v>
      </c>
      <c r="Q140" s="203" t="s">
        <v>931</v>
      </c>
      <c r="R140" s="425"/>
      <c r="S140" s="426"/>
      <c r="T140" s="542">
        <v>42983</v>
      </c>
      <c r="U140" s="427" t="s">
        <v>1190</v>
      </c>
      <c r="V140" s="203" t="s">
        <v>1189</v>
      </c>
      <c r="W140" s="203" t="s">
        <v>3057</v>
      </c>
    </row>
    <row r="141" spans="1:23" s="203" customFormat="1" ht="17.25" hidden="1" customHeight="1" x14ac:dyDescent="0.2">
      <c r="A141" s="203" t="s">
        <v>44</v>
      </c>
      <c r="B141" s="203" t="s">
        <v>351</v>
      </c>
      <c r="C141" s="203" t="s">
        <v>356</v>
      </c>
      <c r="D141" s="203" t="s">
        <v>2949</v>
      </c>
      <c r="E141" s="203" t="s">
        <v>1944</v>
      </c>
      <c r="F141" s="203" t="s">
        <v>2303</v>
      </c>
      <c r="G141" s="203" t="s">
        <v>2303</v>
      </c>
      <c r="H141" s="203" t="s">
        <v>48</v>
      </c>
      <c r="I141" s="203" t="s">
        <v>49</v>
      </c>
      <c r="J141" s="203" t="s">
        <v>50</v>
      </c>
      <c r="K141" s="203" t="s">
        <v>50</v>
      </c>
      <c r="L141" s="203" t="s">
        <v>50</v>
      </c>
      <c r="M141" s="203" t="s">
        <v>51</v>
      </c>
      <c r="N141" s="203">
        <v>24.245100000000001</v>
      </c>
      <c r="O141" s="203">
        <v>97.325019999999995</v>
      </c>
      <c r="P141" s="203" t="s">
        <v>930</v>
      </c>
      <c r="Q141" s="203" t="s">
        <v>951</v>
      </c>
      <c r="R141" s="425">
        <v>304</v>
      </c>
      <c r="S141" s="425">
        <v>1389</v>
      </c>
      <c r="T141" s="542" t="s">
        <v>935</v>
      </c>
      <c r="U141" s="427"/>
      <c r="V141" s="203" t="s">
        <v>356</v>
      </c>
      <c r="W141" s="203" t="s">
        <v>3058</v>
      </c>
    </row>
    <row r="142" spans="1:23" s="203" customFormat="1" ht="17.25" hidden="1" customHeight="1" x14ac:dyDescent="0.2">
      <c r="A142" s="203" t="s">
        <v>44</v>
      </c>
      <c r="B142" s="203" t="s">
        <v>351</v>
      </c>
      <c r="C142" s="203" t="s">
        <v>437</v>
      </c>
      <c r="D142" s="203" t="s">
        <v>2177</v>
      </c>
      <c r="J142" s="203" t="s">
        <v>1921</v>
      </c>
      <c r="K142" s="203" t="s">
        <v>50</v>
      </c>
      <c r="L142" s="203" t="s">
        <v>50</v>
      </c>
      <c r="M142" s="203" t="s">
        <v>51</v>
      </c>
      <c r="P142" s="203" t="s">
        <v>930</v>
      </c>
      <c r="Q142" s="203" t="s">
        <v>951</v>
      </c>
      <c r="R142" s="425"/>
      <c r="S142" s="426"/>
      <c r="T142" s="542" t="s">
        <v>935</v>
      </c>
      <c r="U142" s="427" t="s">
        <v>1262</v>
      </c>
      <c r="V142" s="203" t="s">
        <v>437</v>
      </c>
    </row>
    <row r="143" spans="1:23" s="203" customFormat="1" ht="17.25" hidden="1" customHeight="1" x14ac:dyDescent="0.2">
      <c r="A143" s="203" t="s">
        <v>44</v>
      </c>
      <c r="B143" s="203" t="s">
        <v>351</v>
      </c>
      <c r="C143" s="203" t="s">
        <v>1187</v>
      </c>
      <c r="D143" s="203" t="s">
        <v>2178</v>
      </c>
      <c r="E143" s="203" t="s">
        <v>1965</v>
      </c>
      <c r="F143" s="203" t="s">
        <v>2223</v>
      </c>
      <c r="G143" s="203" t="s">
        <v>2223</v>
      </c>
      <c r="I143" s="203">
        <v>0</v>
      </c>
      <c r="J143" s="203" t="s">
        <v>50</v>
      </c>
      <c r="K143" s="203" t="s">
        <v>50</v>
      </c>
      <c r="L143" s="203" t="s">
        <v>929</v>
      </c>
      <c r="M143" s="203" t="s">
        <v>51</v>
      </c>
      <c r="N143" s="203">
        <v>24.410008999999999</v>
      </c>
      <c r="O143" s="203">
        <v>97.321659999999994</v>
      </c>
      <c r="P143" s="203" t="s">
        <v>943</v>
      </c>
      <c r="Q143" s="203" t="s">
        <v>931</v>
      </c>
      <c r="R143" s="425"/>
      <c r="S143" s="426"/>
      <c r="T143" s="542">
        <v>42983</v>
      </c>
      <c r="U143" s="427" t="s">
        <v>1188</v>
      </c>
      <c r="V143" s="203" t="s">
        <v>1187</v>
      </c>
      <c r="W143" s="203" t="s">
        <v>3059</v>
      </c>
    </row>
    <row r="144" spans="1:23" s="203" customFormat="1" ht="17.25" hidden="1" customHeight="1" x14ac:dyDescent="0.2">
      <c r="A144" s="203" t="s">
        <v>44</v>
      </c>
      <c r="B144" s="203" t="s">
        <v>351</v>
      </c>
      <c r="C144" s="203" t="s">
        <v>1199</v>
      </c>
      <c r="D144" s="203" t="s">
        <v>2178</v>
      </c>
      <c r="E144" s="203" t="s">
        <v>1976</v>
      </c>
      <c r="F144" s="203" t="s">
        <v>2231</v>
      </c>
      <c r="G144" s="203" t="s">
        <v>2232</v>
      </c>
      <c r="I144" s="203">
        <v>0</v>
      </c>
      <c r="J144" s="203" t="s">
        <v>50</v>
      </c>
      <c r="K144" s="203" t="s">
        <v>50</v>
      </c>
      <c r="L144" s="203" t="s">
        <v>929</v>
      </c>
      <c r="M144" s="203" t="s">
        <v>51</v>
      </c>
      <c r="N144" s="203">
        <v>24.759551999999999</v>
      </c>
      <c r="O144" s="203">
        <v>97.276591999999994</v>
      </c>
      <c r="P144" s="203" t="s">
        <v>943</v>
      </c>
      <c r="Q144" s="203" t="s">
        <v>931</v>
      </c>
      <c r="R144" s="425"/>
      <c r="S144" s="426"/>
      <c r="T144" s="542">
        <v>42983</v>
      </c>
      <c r="U144" s="427" t="s">
        <v>1200</v>
      </c>
      <c r="V144" s="203" t="s">
        <v>1199</v>
      </c>
      <c r="W144" s="203" t="s">
        <v>3060</v>
      </c>
    </row>
    <row r="145" spans="1:23" s="203" customFormat="1" ht="17.25" hidden="1" customHeight="1" x14ac:dyDescent="0.2">
      <c r="A145" s="203" t="s">
        <v>44</v>
      </c>
      <c r="B145" s="203" t="s">
        <v>351</v>
      </c>
      <c r="C145" s="203" t="s">
        <v>357</v>
      </c>
      <c r="D145" s="203" t="s">
        <v>2178</v>
      </c>
      <c r="E145" s="203" t="s">
        <v>1950</v>
      </c>
      <c r="F145" s="203" t="s">
        <v>2192</v>
      </c>
      <c r="G145" s="203" t="s">
        <v>2193</v>
      </c>
      <c r="I145" s="203">
        <v>0</v>
      </c>
      <c r="J145" s="203" t="s">
        <v>50</v>
      </c>
      <c r="K145" s="203" t="s">
        <v>50</v>
      </c>
      <c r="L145" s="203" t="s">
        <v>929</v>
      </c>
      <c r="M145" s="203" t="s">
        <v>51</v>
      </c>
      <c r="N145" s="203">
        <v>24.251860000000001</v>
      </c>
      <c r="O145" s="203">
        <v>97.346940000000004</v>
      </c>
      <c r="P145" s="203" t="s">
        <v>930</v>
      </c>
      <c r="Q145" s="203" t="s">
        <v>951</v>
      </c>
      <c r="R145" s="425"/>
      <c r="S145" s="426"/>
      <c r="T145" s="542" t="s">
        <v>935</v>
      </c>
      <c r="U145" s="427" t="s">
        <v>1170</v>
      </c>
      <c r="V145" s="203" t="s">
        <v>357</v>
      </c>
      <c r="W145" s="203" t="s">
        <v>3061</v>
      </c>
    </row>
    <row r="146" spans="1:23" s="203" customFormat="1" ht="17.25" hidden="1" customHeight="1" x14ac:dyDescent="0.2">
      <c r="A146" s="203" t="s">
        <v>44</v>
      </c>
      <c r="B146" s="203" t="s">
        <v>351</v>
      </c>
      <c r="C146" s="203" t="s">
        <v>359</v>
      </c>
      <c r="D146" s="203" t="s">
        <v>2949</v>
      </c>
      <c r="E146" s="203" t="s">
        <v>1947</v>
      </c>
      <c r="F146" s="203" t="s">
        <v>2192</v>
      </c>
      <c r="G146" s="203" t="s">
        <v>2193</v>
      </c>
      <c r="H146" s="203" t="s">
        <v>48</v>
      </c>
      <c r="I146" s="203" t="s">
        <v>287</v>
      </c>
      <c r="J146" s="203" t="s">
        <v>50</v>
      </c>
      <c r="K146" s="203" t="s">
        <v>50</v>
      </c>
      <c r="L146" s="203" t="s">
        <v>50</v>
      </c>
      <c r="M146" s="203" t="s">
        <v>51</v>
      </c>
      <c r="N146" s="203">
        <v>24.250689999999999</v>
      </c>
      <c r="O146" s="203">
        <v>97.344359999999995</v>
      </c>
      <c r="P146" s="203" t="s">
        <v>930</v>
      </c>
      <c r="Q146" s="203" t="s">
        <v>951</v>
      </c>
      <c r="R146" s="425">
        <v>453</v>
      </c>
      <c r="S146" s="425">
        <v>2054</v>
      </c>
      <c r="T146" s="542" t="s">
        <v>935</v>
      </c>
      <c r="U146" s="427"/>
      <c r="V146" s="203" t="s">
        <v>359</v>
      </c>
      <c r="W146" s="203" t="s">
        <v>3062</v>
      </c>
    </row>
    <row r="147" spans="1:23" s="203" customFormat="1" ht="17.25" hidden="1" customHeight="1" x14ac:dyDescent="0.2">
      <c r="A147" s="203" t="s">
        <v>44</v>
      </c>
      <c r="B147" s="203" t="s">
        <v>351</v>
      </c>
      <c r="C147" s="203" t="s">
        <v>1177</v>
      </c>
      <c r="D147" s="203" t="s">
        <v>2178</v>
      </c>
      <c r="E147" s="203" t="s">
        <v>1949</v>
      </c>
      <c r="F147" s="203" t="s">
        <v>2192</v>
      </c>
      <c r="G147" s="203" t="s">
        <v>2222</v>
      </c>
      <c r="H147" s="203" t="s">
        <v>48</v>
      </c>
      <c r="I147" s="203" t="s">
        <v>49</v>
      </c>
      <c r="J147" s="203" t="s">
        <v>50</v>
      </c>
      <c r="K147" s="203" t="s">
        <v>50</v>
      </c>
      <c r="L147" s="203" t="s">
        <v>929</v>
      </c>
      <c r="M147" s="203" t="s">
        <v>51</v>
      </c>
      <c r="N147" s="203">
        <v>24.25177</v>
      </c>
      <c r="O147" s="203">
        <v>97.346950000000007</v>
      </c>
      <c r="P147" s="203" t="s">
        <v>930</v>
      </c>
      <c r="R147" s="425"/>
      <c r="S147" s="426"/>
      <c r="T147" s="542" t="s">
        <v>935</v>
      </c>
      <c r="U147" s="427"/>
      <c r="V147" s="203" t="s">
        <v>1177</v>
      </c>
      <c r="W147" s="203" t="s">
        <v>3063</v>
      </c>
    </row>
    <row r="148" spans="1:23" s="203" customFormat="1" ht="17.25" hidden="1" customHeight="1" x14ac:dyDescent="0.2">
      <c r="A148" s="430" t="s">
        <v>44</v>
      </c>
      <c r="B148" s="429" t="s">
        <v>351</v>
      </c>
      <c r="C148" s="294" t="s">
        <v>2657</v>
      </c>
      <c r="D148" s="432"/>
      <c r="J148" s="203" t="s">
        <v>1921</v>
      </c>
      <c r="K148" s="203" t="s">
        <v>50</v>
      </c>
      <c r="L148" s="203" t="s">
        <v>50</v>
      </c>
      <c r="M148" s="203" t="s">
        <v>51</v>
      </c>
      <c r="P148" s="203" t="s">
        <v>930</v>
      </c>
      <c r="Q148" s="203" t="s">
        <v>2653</v>
      </c>
      <c r="R148" s="434"/>
      <c r="S148" s="426"/>
      <c r="T148" s="542">
        <v>43270</v>
      </c>
      <c r="U148" s="427"/>
    </row>
    <row r="149" spans="1:23" s="203" customFormat="1" ht="17.25" hidden="1" customHeight="1" x14ac:dyDescent="0.2">
      <c r="A149" s="203" t="s">
        <v>44</v>
      </c>
      <c r="B149" s="203" t="s">
        <v>351</v>
      </c>
      <c r="C149" s="203" t="s">
        <v>1175</v>
      </c>
      <c r="D149" s="203" t="s">
        <v>2949</v>
      </c>
      <c r="E149" s="203" t="s">
        <v>1948</v>
      </c>
      <c r="I149" s="203" t="s">
        <v>2959</v>
      </c>
      <c r="J149" s="203" t="s">
        <v>50</v>
      </c>
      <c r="K149" s="203" t="s">
        <v>50</v>
      </c>
      <c r="L149" s="203" t="s">
        <v>942</v>
      </c>
      <c r="M149" s="203" t="s">
        <v>51</v>
      </c>
      <c r="N149" s="203">
        <v>24.251232000000002</v>
      </c>
      <c r="O149" s="203">
        <v>97.348405</v>
      </c>
      <c r="P149" s="203" t="s">
        <v>943</v>
      </c>
      <c r="Q149" s="203" t="s">
        <v>931</v>
      </c>
      <c r="R149" s="425">
        <v>223</v>
      </c>
      <c r="S149" s="425">
        <v>1067</v>
      </c>
      <c r="T149" s="542" t="s">
        <v>935</v>
      </c>
      <c r="U149" s="427" t="s">
        <v>1167</v>
      </c>
      <c r="V149" s="203" t="s">
        <v>1176</v>
      </c>
      <c r="W149" s="203" t="s">
        <v>3064</v>
      </c>
    </row>
    <row r="150" spans="1:23" s="203" customFormat="1" ht="17.25" hidden="1" customHeight="1" x14ac:dyDescent="0.2">
      <c r="A150" s="203" t="s">
        <v>44</v>
      </c>
      <c r="B150" s="203" t="s">
        <v>351</v>
      </c>
      <c r="C150" s="203" t="s">
        <v>1185</v>
      </c>
      <c r="D150" s="203" t="s">
        <v>2949</v>
      </c>
      <c r="E150" s="203" t="s">
        <v>1964</v>
      </c>
      <c r="F150" s="203" t="s">
        <v>2385</v>
      </c>
      <c r="G150" s="203" t="s">
        <v>2385</v>
      </c>
      <c r="I150" s="203" t="s">
        <v>2959</v>
      </c>
      <c r="J150" s="203" t="s">
        <v>50</v>
      </c>
      <c r="K150" s="203" t="s">
        <v>50</v>
      </c>
      <c r="L150" s="203" t="s">
        <v>942</v>
      </c>
      <c r="M150" s="203" t="s">
        <v>51</v>
      </c>
      <c r="N150" s="203">
        <v>24.404876999999999</v>
      </c>
      <c r="O150" s="203">
        <v>97.407787999999996</v>
      </c>
      <c r="P150" s="203" t="s">
        <v>943</v>
      </c>
      <c r="Q150" s="203" t="s">
        <v>931</v>
      </c>
      <c r="R150" s="425">
        <v>47</v>
      </c>
      <c r="S150" s="425">
        <v>153</v>
      </c>
      <c r="T150" s="542" t="s">
        <v>935</v>
      </c>
      <c r="U150" s="427" t="s">
        <v>1186</v>
      </c>
      <c r="V150" s="203" t="s">
        <v>1185</v>
      </c>
      <c r="W150" s="203" t="s">
        <v>3065</v>
      </c>
    </row>
    <row r="151" spans="1:23" s="203" customFormat="1" ht="17.25" hidden="1" customHeight="1" x14ac:dyDescent="0.2">
      <c r="A151" s="203" t="s">
        <v>44</v>
      </c>
      <c r="B151" s="203" t="s">
        <v>351</v>
      </c>
      <c r="C151" s="203" t="s">
        <v>445</v>
      </c>
      <c r="D151" s="203" t="s">
        <v>2949</v>
      </c>
      <c r="E151" s="203" t="s">
        <v>1963</v>
      </c>
      <c r="F151" s="203" t="s">
        <v>2312</v>
      </c>
      <c r="G151" s="203" t="s">
        <v>2313</v>
      </c>
      <c r="H151" s="203" t="s">
        <v>48</v>
      </c>
      <c r="I151" s="203" t="s">
        <v>49</v>
      </c>
      <c r="J151" s="203" t="s">
        <v>50</v>
      </c>
      <c r="K151" s="203" t="s">
        <v>50</v>
      </c>
      <c r="L151" s="203" t="s">
        <v>50</v>
      </c>
      <c r="M151" s="203" t="s">
        <v>949</v>
      </c>
      <c r="N151" s="203">
        <v>24.378167000000001</v>
      </c>
      <c r="O151" s="203">
        <v>97.669366999999994</v>
      </c>
      <c r="P151" s="203" t="s">
        <v>930</v>
      </c>
      <c r="Q151" s="203" t="s">
        <v>931</v>
      </c>
      <c r="R151" s="425">
        <v>355</v>
      </c>
      <c r="S151" s="425">
        <v>1550</v>
      </c>
      <c r="T151" s="542" t="s">
        <v>935</v>
      </c>
      <c r="U151" s="427"/>
      <c r="V151" s="203" t="s">
        <v>445</v>
      </c>
      <c r="W151" s="203" t="s">
        <v>3066</v>
      </c>
    </row>
    <row r="152" spans="1:23" s="203" customFormat="1" ht="17.25" hidden="1" customHeight="1" x14ac:dyDescent="0.2">
      <c r="A152" s="203" t="s">
        <v>44</v>
      </c>
      <c r="B152" s="203" t="s">
        <v>351</v>
      </c>
      <c r="C152" s="203" t="s">
        <v>1178</v>
      </c>
      <c r="D152" s="203" t="s">
        <v>2178</v>
      </c>
      <c r="E152" s="203" t="s">
        <v>1952</v>
      </c>
      <c r="F152" s="203" t="s">
        <v>2192</v>
      </c>
      <c r="G152" s="203" t="s">
        <v>2193</v>
      </c>
      <c r="H152" s="203" t="s">
        <v>48</v>
      </c>
      <c r="I152" s="203" t="s">
        <v>389</v>
      </c>
      <c r="J152" s="203" t="s">
        <v>50</v>
      </c>
      <c r="K152" s="203" t="s">
        <v>50</v>
      </c>
      <c r="L152" s="203" t="s">
        <v>929</v>
      </c>
      <c r="M152" s="203" t="s">
        <v>51</v>
      </c>
      <c r="N152" s="203">
        <v>24.253769999999999</v>
      </c>
      <c r="O152" s="203">
        <v>97.347740000000002</v>
      </c>
      <c r="P152" s="203" t="s">
        <v>930</v>
      </c>
      <c r="R152" s="425"/>
      <c r="S152" s="426"/>
      <c r="T152" s="542" t="s">
        <v>935</v>
      </c>
      <c r="U152" s="427"/>
      <c r="V152" s="203" t="s">
        <v>1178</v>
      </c>
      <c r="W152" s="203" t="s">
        <v>3067</v>
      </c>
    </row>
    <row r="153" spans="1:23" s="203" customFormat="1" ht="17.25" hidden="1" customHeight="1" x14ac:dyDescent="0.2">
      <c r="A153" s="203" t="s">
        <v>44</v>
      </c>
      <c r="B153" s="203" t="s">
        <v>351</v>
      </c>
      <c r="C153" s="203" t="s">
        <v>434</v>
      </c>
      <c r="D153" s="203" t="s">
        <v>2949</v>
      </c>
      <c r="E153" s="203" t="s">
        <v>1939</v>
      </c>
      <c r="F153" s="203" t="s">
        <v>2297</v>
      </c>
      <c r="G153" s="203" t="s">
        <v>2298</v>
      </c>
      <c r="H153" s="203" t="s">
        <v>48</v>
      </c>
      <c r="I153" s="203" t="s">
        <v>287</v>
      </c>
      <c r="J153" s="203" t="s">
        <v>50</v>
      </c>
      <c r="K153" s="203" t="s">
        <v>50</v>
      </c>
      <c r="L153" s="203" t="s">
        <v>50</v>
      </c>
      <c r="M153" s="203" t="s">
        <v>51</v>
      </c>
      <c r="N153" s="203">
        <v>24.205417000000001</v>
      </c>
      <c r="O153" s="203">
        <v>97.724483000000006</v>
      </c>
      <c r="P153" s="203" t="s">
        <v>930</v>
      </c>
      <c r="Q153" s="203" t="s">
        <v>951</v>
      </c>
      <c r="R153" s="425">
        <v>48</v>
      </c>
      <c r="S153" s="425">
        <v>293</v>
      </c>
      <c r="T153" s="542" t="s">
        <v>935</v>
      </c>
      <c r="U153" s="427"/>
      <c r="V153" s="203" t="s">
        <v>434</v>
      </c>
      <c r="W153" s="203" t="s">
        <v>3068</v>
      </c>
    </row>
    <row r="154" spans="1:23" s="203" customFormat="1" ht="17.25" hidden="1" customHeight="1" x14ac:dyDescent="0.2">
      <c r="A154" s="203" t="s">
        <v>44</v>
      </c>
      <c r="B154" s="203" t="s">
        <v>351</v>
      </c>
      <c r="C154" s="203" t="s">
        <v>446</v>
      </c>
      <c r="D154" s="203" t="s">
        <v>2949</v>
      </c>
      <c r="E154" s="203" t="s">
        <v>1959</v>
      </c>
      <c r="F154" s="203" t="s">
        <v>2309</v>
      </c>
      <c r="G154" s="203" t="s">
        <v>2310</v>
      </c>
      <c r="H154" s="203" t="s">
        <v>48</v>
      </c>
      <c r="I154" s="203" t="s">
        <v>49</v>
      </c>
      <c r="J154" s="203" t="s">
        <v>50</v>
      </c>
      <c r="K154" s="203" t="s">
        <v>50</v>
      </c>
      <c r="L154" s="203" t="s">
        <v>50</v>
      </c>
      <c r="M154" s="203" t="s">
        <v>949</v>
      </c>
      <c r="N154" s="203">
        <v>24.2744</v>
      </c>
      <c r="O154" s="203">
        <v>97.752667000000002</v>
      </c>
      <c r="P154" s="203" t="s">
        <v>930</v>
      </c>
      <c r="Q154" s="203" t="s">
        <v>931</v>
      </c>
      <c r="R154" s="425">
        <v>632</v>
      </c>
      <c r="S154" s="425">
        <v>3551</v>
      </c>
      <c r="T154" s="542" t="s">
        <v>935</v>
      </c>
      <c r="U154" s="427"/>
      <c r="V154" s="203" t="s">
        <v>446</v>
      </c>
      <c r="W154" s="203" t="s">
        <v>3069</v>
      </c>
    </row>
    <row r="155" spans="1:23" s="203" customFormat="1" ht="17.25" hidden="1" customHeight="1" x14ac:dyDescent="0.2">
      <c r="A155" s="203" t="s">
        <v>44</v>
      </c>
      <c r="B155" s="203" t="s">
        <v>351</v>
      </c>
      <c r="C155" s="203" t="s">
        <v>1300</v>
      </c>
      <c r="D155" s="203" t="s">
        <v>2177</v>
      </c>
      <c r="J155" s="203" t="s">
        <v>50</v>
      </c>
      <c r="K155" s="203" t="s">
        <v>50</v>
      </c>
      <c r="L155" s="203" t="s">
        <v>1259</v>
      </c>
      <c r="M155" s="203" t="s">
        <v>949</v>
      </c>
      <c r="P155" s="203" t="s">
        <v>930</v>
      </c>
      <c r="R155" s="425"/>
      <c r="S155" s="426"/>
      <c r="T155" s="542" t="s">
        <v>935</v>
      </c>
      <c r="U155" s="427"/>
      <c r="V155" s="203" t="s">
        <v>1300</v>
      </c>
    </row>
    <row r="156" spans="1:23" s="203" customFormat="1" ht="17.25" hidden="1" customHeight="1" x14ac:dyDescent="0.2">
      <c r="A156" s="203" t="s">
        <v>44</v>
      </c>
      <c r="B156" s="203" t="s">
        <v>351</v>
      </c>
      <c r="C156" s="203" t="s">
        <v>1301</v>
      </c>
      <c r="D156" s="203" t="s">
        <v>2177</v>
      </c>
      <c r="J156" s="203" t="s">
        <v>50</v>
      </c>
      <c r="K156" s="203" t="s">
        <v>50</v>
      </c>
      <c r="L156" s="203" t="s">
        <v>1259</v>
      </c>
      <c r="M156" s="203" t="s">
        <v>949</v>
      </c>
      <c r="P156" s="203" t="s">
        <v>930</v>
      </c>
      <c r="R156" s="425"/>
      <c r="S156" s="426"/>
      <c r="T156" s="542" t="s">
        <v>935</v>
      </c>
      <c r="U156" s="427"/>
      <c r="V156" s="203" t="s">
        <v>1301</v>
      </c>
    </row>
    <row r="157" spans="1:23" s="203" customFormat="1" ht="17.25" hidden="1" customHeight="1" x14ac:dyDescent="0.2">
      <c r="A157" s="203" t="s">
        <v>44</v>
      </c>
      <c r="B157" s="203" t="s">
        <v>351</v>
      </c>
      <c r="C157" s="203" t="s">
        <v>1302</v>
      </c>
      <c r="D157" s="203" t="s">
        <v>2177</v>
      </c>
      <c r="J157" s="203" t="s">
        <v>1271</v>
      </c>
      <c r="K157" s="203" t="s">
        <v>50</v>
      </c>
      <c r="L157" s="203" t="s">
        <v>929</v>
      </c>
      <c r="M157" s="203" t="s">
        <v>949</v>
      </c>
      <c r="P157" s="203" t="s">
        <v>930</v>
      </c>
      <c r="R157" s="425"/>
      <c r="S157" s="426"/>
      <c r="T157" s="542" t="s">
        <v>935</v>
      </c>
      <c r="U157" s="427"/>
      <c r="V157" s="203" t="s">
        <v>1302</v>
      </c>
    </row>
    <row r="158" spans="1:23" s="203" customFormat="1" ht="17.25" hidden="1" customHeight="1" x14ac:dyDescent="0.2">
      <c r="A158" s="294" t="s">
        <v>44</v>
      </c>
      <c r="B158" s="294" t="s">
        <v>351</v>
      </c>
      <c r="C158" s="294" t="s">
        <v>1303</v>
      </c>
      <c r="D158" s="294" t="s">
        <v>2177</v>
      </c>
      <c r="E158" s="294"/>
      <c r="F158" s="294"/>
      <c r="G158" s="294"/>
      <c r="H158" s="294"/>
      <c r="I158" s="294"/>
      <c r="J158" s="294" t="s">
        <v>1271</v>
      </c>
      <c r="K158" s="294" t="s">
        <v>50</v>
      </c>
      <c r="L158" s="294" t="s">
        <v>929</v>
      </c>
      <c r="M158" s="294" t="s">
        <v>949</v>
      </c>
      <c r="N158" s="294"/>
      <c r="O158" s="294"/>
      <c r="P158" s="203" t="s">
        <v>930</v>
      </c>
      <c r="Q158" s="294"/>
      <c r="R158" s="429"/>
      <c r="S158" s="430"/>
      <c r="T158" s="543" t="s">
        <v>935</v>
      </c>
      <c r="U158" s="431"/>
      <c r="V158" s="294" t="s">
        <v>1303</v>
      </c>
    </row>
    <row r="159" spans="1:23" s="203" customFormat="1" ht="17.25" hidden="1" customHeight="1" x14ac:dyDescent="0.2">
      <c r="A159" s="203" t="s">
        <v>44</v>
      </c>
      <c r="B159" s="203" t="s">
        <v>351</v>
      </c>
      <c r="C159" s="203" t="s">
        <v>1304</v>
      </c>
      <c r="D159" s="203" t="s">
        <v>2177</v>
      </c>
      <c r="J159" s="203" t="s">
        <v>969</v>
      </c>
      <c r="K159" s="203" t="s">
        <v>969</v>
      </c>
      <c r="L159" s="203" t="s">
        <v>969</v>
      </c>
      <c r="M159" s="203" t="s">
        <v>949</v>
      </c>
      <c r="P159" s="203" t="s">
        <v>970</v>
      </c>
      <c r="R159" s="425"/>
      <c r="S159" s="426"/>
      <c r="T159" s="542" t="s">
        <v>935</v>
      </c>
      <c r="U159" s="427"/>
      <c r="V159" s="203" t="s">
        <v>1304</v>
      </c>
    </row>
    <row r="160" spans="1:23" s="203" customFormat="1" ht="17.25" hidden="1" customHeight="1" x14ac:dyDescent="0.2">
      <c r="A160" s="203" t="s">
        <v>44</v>
      </c>
      <c r="B160" s="203" t="s">
        <v>351</v>
      </c>
      <c r="C160" s="203" t="s">
        <v>1305</v>
      </c>
      <c r="D160" s="203" t="s">
        <v>2177</v>
      </c>
      <c r="J160" s="203" t="s">
        <v>1271</v>
      </c>
      <c r="K160" s="203" t="s">
        <v>50</v>
      </c>
      <c r="L160" s="203" t="s">
        <v>929</v>
      </c>
      <c r="M160" s="203" t="s">
        <v>949</v>
      </c>
      <c r="P160" s="203" t="s">
        <v>930</v>
      </c>
      <c r="R160" s="425"/>
      <c r="S160" s="426"/>
      <c r="T160" s="542" t="s">
        <v>935</v>
      </c>
      <c r="U160" s="427"/>
      <c r="V160" s="203" t="s">
        <v>1305</v>
      </c>
    </row>
    <row r="161" spans="1:23" s="203" customFormat="1" ht="17.25" hidden="1" customHeight="1" x14ac:dyDescent="0.2">
      <c r="A161" s="203" t="s">
        <v>44</v>
      </c>
      <c r="B161" s="203" t="s">
        <v>351</v>
      </c>
      <c r="C161" s="203" t="s">
        <v>1194</v>
      </c>
      <c r="D161" s="203" t="s">
        <v>2178</v>
      </c>
      <c r="E161" s="203" t="s">
        <v>1970</v>
      </c>
      <c r="F161" s="203" t="s">
        <v>2228</v>
      </c>
      <c r="G161" s="203" t="s">
        <v>2229</v>
      </c>
      <c r="I161" s="203">
        <v>0</v>
      </c>
      <c r="J161" s="203" t="s">
        <v>50</v>
      </c>
      <c r="K161" s="203" t="s">
        <v>50</v>
      </c>
      <c r="L161" s="203" t="s">
        <v>929</v>
      </c>
      <c r="M161" s="203" t="s">
        <v>51</v>
      </c>
      <c r="N161" s="203">
        <v>24.630859999999998</v>
      </c>
      <c r="O161" s="203">
        <v>97.429860000000005</v>
      </c>
      <c r="P161" s="203" t="s">
        <v>943</v>
      </c>
      <c r="Q161" s="203" t="s">
        <v>931</v>
      </c>
      <c r="R161" s="425"/>
      <c r="S161" s="426"/>
      <c r="T161" s="542">
        <v>42983</v>
      </c>
      <c r="U161" s="427" t="s">
        <v>1195</v>
      </c>
      <c r="V161" s="203" t="s">
        <v>1194</v>
      </c>
      <c r="W161" s="203" t="s">
        <v>3070</v>
      </c>
    </row>
    <row r="162" spans="1:23" s="203" customFormat="1" ht="17.25" hidden="1" customHeight="1" x14ac:dyDescent="0.2">
      <c r="A162" s="203" t="s">
        <v>44</v>
      </c>
      <c r="B162" s="203" t="s">
        <v>351</v>
      </c>
      <c r="C162" s="203" t="s">
        <v>436</v>
      </c>
      <c r="D162" s="203" t="s">
        <v>2949</v>
      </c>
      <c r="E162" s="203" t="s">
        <v>1941</v>
      </c>
      <c r="F162" s="203" t="s">
        <v>2297</v>
      </c>
      <c r="G162" s="203" t="s">
        <v>2300</v>
      </c>
      <c r="H162" s="203" t="s">
        <v>48</v>
      </c>
      <c r="I162" s="203" t="s">
        <v>287</v>
      </c>
      <c r="J162" s="203" t="s">
        <v>50</v>
      </c>
      <c r="K162" s="203" t="s">
        <v>50</v>
      </c>
      <c r="L162" s="203" t="s">
        <v>50</v>
      </c>
      <c r="M162" s="203" t="s">
        <v>51</v>
      </c>
      <c r="N162" s="203">
        <v>24.207332999999998</v>
      </c>
      <c r="O162" s="203">
        <v>97.710864000000001</v>
      </c>
      <c r="P162" s="203" t="s">
        <v>930</v>
      </c>
      <c r="Q162" s="203" t="s">
        <v>951</v>
      </c>
      <c r="R162" s="425">
        <v>43</v>
      </c>
      <c r="S162" s="425">
        <v>269</v>
      </c>
      <c r="T162" s="542" t="s">
        <v>935</v>
      </c>
      <c r="U162" s="427"/>
      <c r="V162" s="203" t="s">
        <v>436</v>
      </c>
      <c r="W162" s="203" t="s">
        <v>3062</v>
      </c>
    </row>
    <row r="163" spans="1:23" s="203" customFormat="1" ht="17.25" hidden="1" customHeight="1" x14ac:dyDescent="0.2">
      <c r="A163" s="203" t="s">
        <v>44</v>
      </c>
      <c r="B163" s="203" t="s">
        <v>351</v>
      </c>
      <c r="C163" s="203" t="s">
        <v>1191</v>
      </c>
      <c r="D163" s="203" t="s">
        <v>2178</v>
      </c>
      <c r="E163" s="203" t="s">
        <v>1968</v>
      </c>
      <c r="F163" s="203" t="s">
        <v>2225</v>
      </c>
      <c r="G163" s="203" t="s">
        <v>2225</v>
      </c>
      <c r="I163" s="203">
        <v>0</v>
      </c>
      <c r="J163" s="203" t="s">
        <v>50</v>
      </c>
      <c r="K163" s="203" t="s">
        <v>50</v>
      </c>
      <c r="L163" s="203" t="s">
        <v>929</v>
      </c>
      <c r="M163" s="203" t="s">
        <v>51</v>
      </c>
      <c r="N163" s="203">
        <v>24.492493</v>
      </c>
      <c r="O163" s="203">
        <v>97.416826999999998</v>
      </c>
      <c r="P163" s="203" t="s">
        <v>943</v>
      </c>
      <c r="Q163" s="203" t="s">
        <v>931</v>
      </c>
      <c r="R163" s="425"/>
      <c r="S163" s="426"/>
      <c r="T163" s="542">
        <v>42983</v>
      </c>
      <c r="U163" s="427" t="s">
        <v>1188</v>
      </c>
      <c r="V163" s="203" t="s">
        <v>1191</v>
      </c>
      <c r="W163" s="203" t="s">
        <v>3071</v>
      </c>
    </row>
    <row r="164" spans="1:23" s="203" customFormat="1" ht="17.25" hidden="1" customHeight="1" x14ac:dyDescent="0.2">
      <c r="A164" s="203" t="s">
        <v>44</v>
      </c>
      <c r="B164" s="203" t="s">
        <v>305</v>
      </c>
      <c r="C164" s="203" t="s">
        <v>1260</v>
      </c>
      <c r="D164" s="203" t="s">
        <v>2178</v>
      </c>
      <c r="E164" s="203" t="s">
        <v>2681</v>
      </c>
      <c r="F164" s="203" t="s">
        <v>2238</v>
      </c>
      <c r="G164" s="203" t="s">
        <v>2253</v>
      </c>
      <c r="I164" s="203" t="s">
        <v>2959</v>
      </c>
      <c r="J164" s="203" t="s">
        <v>50</v>
      </c>
      <c r="K164" s="203" t="s">
        <v>50</v>
      </c>
      <c r="L164" s="203" t="s">
        <v>929</v>
      </c>
      <c r="M164" s="203" t="s">
        <v>51</v>
      </c>
      <c r="P164" s="203" t="s">
        <v>930</v>
      </c>
      <c r="Q164" s="203" t="s">
        <v>1097</v>
      </c>
      <c r="R164" s="425"/>
      <c r="S164" s="426"/>
      <c r="T164" s="542"/>
      <c r="U164" s="427" t="s">
        <v>1261</v>
      </c>
      <c r="W164" s="203" t="s">
        <v>3072</v>
      </c>
    </row>
    <row r="165" spans="1:23" s="203" customFormat="1" ht="17.25" hidden="1" customHeight="1" x14ac:dyDescent="0.2">
      <c r="A165" s="426" t="s">
        <v>44</v>
      </c>
      <c r="B165" s="429" t="s">
        <v>305</v>
      </c>
      <c r="C165" s="430" t="s">
        <v>2803</v>
      </c>
      <c r="D165" s="432"/>
      <c r="J165" s="203" t="s">
        <v>1921</v>
      </c>
      <c r="K165" s="294" t="s">
        <v>50</v>
      </c>
      <c r="L165" s="294" t="s">
        <v>946</v>
      </c>
      <c r="P165" s="203" t="s">
        <v>930</v>
      </c>
      <c r="R165" s="434"/>
      <c r="S165" s="426"/>
      <c r="T165" s="542">
        <v>43298</v>
      </c>
      <c r="U165" s="427"/>
    </row>
    <row r="166" spans="1:23" s="203" customFormat="1" ht="17.25" hidden="1" customHeight="1" x14ac:dyDescent="0.2">
      <c r="A166" s="203" t="s">
        <v>44</v>
      </c>
      <c r="B166" s="203" t="s">
        <v>305</v>
      </c>
      <c r="C166" s="203" t="s">
        <v>306</v>
      </c>
      <c r="D166" s="203" t="s">
        <v>2949</v>
      </c>
      <c r="E166" s="203" t="s">
        <v>2014</v>
      </c>
      <c r="F166" s="203" t="s">
        <v>2238</v>
      </c>
      <c r="G166" s="203" t="s">
        <v>2340</v>
      </c>
      <c r="H166" s="203" t="s">
        <v>48</v>
      </c>
      <c r="I166" s="203" t="s">
        <v>287</v>
      </c>
      <c r="J166" s="203" t="s">
        <v>50</v>
      </c>
      <c r="K166" s="203" t="s">
        <v>50</v>
      </c>
      <c r="L166" s="203" t="s">
        <v>50</v>
      </c>
      <c r="M166" s="203" t="s">
        <v>51</v>
      </c>
      <c r="N166" s="203">
        <v>25.3959740909091</v>
      </c>
      <c r="O166" s="203">
        <v>97.382997575757599</v>
      </c>
      <c r="P166" s="203" t="s">
        <v>930</v>
      </c>
      <c r="Q166" s="203" t="s">
        <v>951</v>
      </c>
      <c r="R166" s="425">
        <v>42</v>
      </c>
      <c r="S166" s="425">
        <v>184</v>
      </c>
      <c r="T166" s="542">
        <v>42983</v>
      </c>
      <c r="U166" s="427" t="s">
        <v>1223</v>
      </c>
      <c r="V166" s="203" t="s">
        <v>1224</v>
      </c>
      <c r="W166" s="203" t="s">
        <v>3073</v>
      </c>
    </row>
    <row r="167" spans="1:23" s="203" customFormat="1" ht="17.25" hidden="1" customHeight="1" x14ac:dyDescent="0.2">
      <c r="A167" s="203" t="s">
        <v>44</v>
      </c>
      <c r="B167" s="203" t="s">
        <v>305</v>
      </c>
      <c r="C167" s="203" t="s">
        <v>1226</v>
      </c>
      <c r="D167" s="203" t="s">
        <v>2177</v>
      </c>
      <c r="E167" s="203" t="s">
        <v>2016</v>
      </c>
      <c r="J167" s="203" t="s">
        <v>50</v>
      </c>
      <c r="K167" s="203" t="s">
        <v>50</v>
      </c>
      <c r="L167" s="203" t="s">
        <v>929</v>
      </c>
      <c r="M167" s="203" t="s">
        <v>51</v>
      </c>
      <c r="N167" s="203">
        <v>25.4002701851852</v>
      </c>
      <c r="O167" s="203">
        <v>97.384729629629604</v>
      </c>
      <c r="P167" s="203" t="s">
        <v>930</v>
      </c>
      <c r="Q167" s="203" t="s">
        <v>951</v>
      </c>
      <c r="R167" s="425"/>
      <c r="S167" s="426"/>
      <c r="T167" s="542" t="s">
        <v>935</v>
      </c>
      <c r="U167" s="427" t="s">
        <v>1223</v>
      </c>
      <c r="V167" s="203" t="s">
        <v>1226</v>
      </c>
    </row>
    <row r="168" spans="1:23" s="203" customFormat="1" ht="17.25" hidden="1" customHeight="1" x14ac:dyDescent="0.2">
      <c r="A168" s="203" t="s">
        <v>44</v>
      </c>
      <c r="B168" s="203" t="s">
        <v>305</v>
      </c>
      <c r="C168" s="203" t="s">
        <v>1224</v>
      </c>
      <c r="D168" s="203" t="s">
        <v>2177</v>
      </c>
      <c r="J168" s="203" t="s">
        <v>50</v>
      </c>
      <c r="K168" s="203" t="s">
        <v>50</v>
      </c>
      <c r="L168" s="203" t="s">
        <v>929</v>
      </c>
      <c r="M168" s="203" t="s">
        <v>51</v>
      </c>
      <c r="N168" s="203">
        <v>25.3959740909091</v>
      </c>
      <c r="O168" s="203">
        <v>97.382997575757599</v>
      </c>
      <c r="P168" s="203" t="s">
        <v>930</v>
      </c>
      <c r="Q168" s="203" t="s">
        <v>951</v>
      </c>
      <c r="R168" s="425"/>
      <c r="S168" s="426"/>
      <c r="T168" s="542" t="s">
        <v>935</v>
      </c>
      <c r="U168" s="427"/>
      <c r="V168" s="203" t="s">
        <v>1224</v>
      </c>
    </row>
    <row r="169" spans="1:23" s="203" customFormat="1" ht="17.25" hidden="1" customHeight="1" x14ac:dyDescent="0.2">
      <c r="A169" s="203" t="s">
        <v>44</v>
      </c>
      <c r="B169" s="203" t="s">
        <v>305</v>
      </c>
      <c r="C169" s="203" t="s">
        <v>1225</v>
      </c>
      <c r="D169" s="203" t="s">
        <v>2177</v>
      </c>
      <c r="E169" s="203" t="s">
        <v>2015</v>
      </c>
      <c r="J169" s="203" t="s">
        <v>50</v>
      </c>
      <c r="K169" s="203" t="s">
        <v>50</v>
      </c>
      <c r="L169" s="203" t="s">
        <v>929</v>
      </c>
      <c r="M169" s="203" t="s">
        <v>51</v>
      </c>
      <c r="N169" s="203">
        <v>25.396492500000001</v>
      </c>
      <c r="O169" s="203">
        <v>97.381325000000004</v>
      </c>
      <c r="P169" s="203" t="s">
        <v>930</v>
      </c>
      <c r="Q169" s="203" t="s">
        <v>951</v>
      </c>
      <c r="R169" s="425"/>
      <c r="S169" s="426"/>
      <c r="T169" s="542" t="s">
        <v>935</v>
      </c>
      <c r="U169" s="427" t="s">
        <v>1223</v>
      </c>
      <c r="V169" s="203" t="s">
        <v>1225</v>
      </c>
    </row>
    <row r="170" spans="1:23" s="203" customFormat="1" ht="17.25" hidden="1" customHeight="1" x14ac:dyDescent="0.2">
      <c r="A170" s="203" t="s">
        <v>44</v>
      </c>
      <c r="B170" s="203" t="s">
        <v>305</v>
      </c>
      <c r="C170" s="203" t="s">
        <v>307</v>
      </c>
      <c r="D170" s="203" t="s">
        <v>2949</v>
      </c>
      <c r="E170" s="203" t="s">
        <v>2018</v>
      </c>
      <c r="F170" s="203" t="s">
        <v>2238</v>
      </c>
      <c r="G170" s="203" t="s">
        <v>2341</v>
      </c>
      <c r="H170" s="203" t="s">
        <v>48</v>
      </c>
      <c r="I170" s="203" t="s">
        <v>287</v>
      </c>
      <c r="J170" s="203" t="s">
        <v>50</v>
      </c>
      <c r="K170" s="203" t="s">
        <v>50</v>
      </c>
      <c r="L170" s="203" t="s">
        <v>50</v>
      </c>
      <c r="M170" s="203" t="s">
        <v>51</v>
      </c>
      <c r="N170" s="203">
        <v>25.403476999999999</v>
      </c>
      <c r="O170" s="203">
        <v>97.373361000000003</v>
      </c>
      <c r="P170" s="203" t="s">
        <v>930</v>
      </c>
      <c r="Q170" s="203" t="s">
        <v>951</v>
      </c>
      <c r="R170" s="425">
        <v>199</v>
      </c>
      <c r="S170" s="425">
        <v>1118</v>
      </c>
      <c r="T170" s="542" t="s">
        <v>935</v>
      </c>
      <c r="U170" s="427"/>
      <c r="V170" s="203" t="s">
        <v>307</v>
      </c>
      <c r="W170" s="203" t="s">
        <v>3074</v>
      </c>
    </row>
    <row r="171" spans="1:23" s="203" customFormat="1" ht="17.25" hidden="1" customHeight="1" x14ac:dyDescent="0.2">
      <c r="A171" s="203" t="s">
        <v>44</v>
      </c>
      <c r="B171" s="203" t="s">
        <v>305</v>
      </c>
      <c r="C171" s="203" t="s">
        <v>380</v>
      </c>
      <c r="D171" s="203" t="s">
        <v>2949</v>
      </c>
      <c r="E171" s="203" t="s">
        <v>2017</v>
      </c>
      <c r="F171" s="203" t="s">
        <v>2238</v>
      </c>
      <c r="G171" s="203" t="s">
        <v>2341</v>
      </c>
      <c r="H171" s="203" t="s">
        <v>48</v>
      </c>
      <c r="I171" s="203" t="s">
        <v>1539</v>
      </c>
      <c r="J171" s="203" t="s">
        <v>50</v>
      </c>
      <c r="K171" s="203" t="s">
        <v>50</v>
      </c>
      <c r="L171" s="203" t="s">
        <v>50</v>
      </c>
      <c r="M171" s="203" t="s">
        <v>51</v>
      </c>
      <c r="N171" s="203">
        <v>25.401061110000001</v>
      </c>
      <c r="O171" s="203">
        <v>97.379594999999995</v>
      </c>
      <c r="P171" s="203" t="s">
        <v>930</v>
      </c>
      <c r="Q171" s="203" t="s">
        <v>951</v>
      </c>
      <c r="R171" s="425">
        <v>117</v>
      </c>
      <c r="S171" s="425">
        <v>576</v>
      </c>
      <c r="T171" s="542" t="s">
        <v>935</v>
      </c>
      <c r="U171" s="427"/>
      <c r="V171" s="203" t="s">
        <v>380</v>
      </c>
      <c r="W171" s="203" t="s">
        <v>3075</v>
      </c>
    </row>
    <row r="172" spans="1:23" s="203" customFormat="1" ht="17.25" hidden="1" customHeight="1" x14ac:dyDescent="0.2">
      <c r="A172" s="430" t="s">
        <v>44</v>
      </c>
      <c r="B172" s="429" t="s">
        <v>305</v>
      </c>
      <c r="C172" s="294" t="s">
        <v>2943</v>
      </c>
      <c r="D172" s="203" t="s">
        <v>2949</v>
      </c>
      <c r="E172" s="203" t="s">
        <v>2678</v>
      </c>
      <c r="I172" s="203" t="s">
        <v>287</v>
      </c>
      <c r="J172" s="203" t="s">
        <v>50</v>
      </c>
      <c r="K172" s="203" t="s">
        <v>50</v>
      </c>
      <c r="L172" s="203" t="s">
        <v>50</v>
      </c>
      <c r="M172" s="203" t="s">
        <v>51</v>
      </c>
      <c r="P172" s="294" t="s">
        <v>930</v>
      </c>
      <c r="Q172" s="203" t="s">
        <v>2653</v>
      </c>
      <c r="R172" s="425">
        <v>141</v>
      </c>
      <c r="S172" s="425">
        <v>597</v>
      </c>
      <c r="T172" s="542">
        <v>43276</v>
      </c>
      <c r="U172" s="427" t="s">
        <v>2721</v>
      </c>
      <c r="W172" s="203" t="s">
        <v>3076</v>
      </c>
    </row>
    <row r="173" spans="1:23" s="203" customFormat="1" ht="17.25" hidden="1" customHeight="1" x14ac:dyDescent="0.2">
      <c r="A173" s="430" t="s">
        <v>44</v>
      </c>
      <c r="B173" s="429" t="s">
        <v>305</v>
      </c>
      <c r="C173" s="294" t="s">
        <v>2660</v>
      </c>
      <c r="D173" s="432"/>
      <c r="J173" s="203" t="s">
        <v>1921</v>
      </c>
      <c r="K173" s="203" t="s">
        <v>50</v>
      </c>
      <c r="L173" s="203" t="s">
        <v>50</v>
      </c>
      <c r="M173" s="203" t="s">
        <v>51</v>
      </c>
      <c r="P173" s="203" t="s">
        <v>930</v>
      </c>
      <c r="Q173" s="203" t="s">
        <v>2653</v>
      </c>
      <c r="R173" s="434"/>
      <c r="S173" s="426"/>
      <c r="T173" s="542">
        <v>43270</v>
      </c>
      <c r="U173" s="427"/>
    </row>
    <row r="174" spans="1:23" s="203" customFormat="1" ht="17.25" hidden="1" customHeight="1" x14ac:dyDescent="0.2">
      <c r="A174" s="203" t="s">
        <v>44</v>
      </c>
      <c r="B174" s="203" t="s">
        <v>305</v>
      </c>
      <c r="C174" s="203" t="s">
        <v>1274</v>
      </c>
      <c r="D174" s="203" t="s">
        <v>2949</v>
      </c>
      <c r="E174" s="203" t="s">
        <v>2666</v>
      </c>
      <c r="F174" s="203" t="s">
        <v>2238</v>
      </c>
      <c r="G174" s="203" t="s">
        <v>2394</v>
      </c>
      <c r="I174" s="203" t="s">
        <v>2959</v>
      </c>
      <c r="J174" s="203" t="s">
        <v>50</v>
      </c>
      <c r="K174" s="203" t="s">
        <v>50</v>
      </c>
      <c r="L174" s="203" t="s">
        <v>946</v>
      </c>
      <c r="M174" s="203" t="s">
        <v>51</v>
      </c>
      <c r="P174" s="203" t="s">
        <v>930</v>
      </c>
      <c r="Q174" s="203" t="s">
        <v>1097</v>
      </c>
      <c r="R174" s="425">
        <v>14</v>
      </c>
      <c r="S174" s="425">
        <v>38</v>
      </c>
      <c r="T174" s="542">
        <v>42983</v>
      </c>
      <c r="U174" s="427" t="s">
        <v>1275</v>
      </c>
      <c r="W174" s="203" t="s">
        <v>3077</v>
      </c>
    </row>
    <row r="175" spans="1:23" s="203" customFormat="1" ht="17.25" hidden="1" customHeight="1" x14ac:dyDescent="0.2">
      <c r="A175" s="203" t="s">
        <v>44</v>
      </c>
      <c r="B175" s="203" t="s">
        <v>305</v>
      </c>
      <c r="C175" s="203" t="s">
        <v>308</v>
      </c>
      <c r="D175" s="203" t="s">
        <v>2949</v>
      </c>
      <c r="E175" s="203" t="s">
        <v>2009</v>
      </c>
      <c r="F175" s="203" t="s">
        <v>2238</v>
      </c>
      <c r="G175" s="203" t="s">
        <v>2338</v>
      </c>
      <c r="H175" s="203" t="s">
        <v>48</v>
      </c>
      <c r="I175" s="203" t="s">
        <v>287</v>
      </c>
      <c r="J175" s="203" t="s">
        <v>50</v>
      </c>
      <c r="K175" s="203" t="s">
        <v>50</v>
      </c>
      <c r="L175" s="203" t="s">
        <v>50</v>
      </c>
      <c r="M175" s="203" t="s">
        <v>51</v>
      </c>
      <c r="N175" s="203">
        <v>25.3660036111111</v>
      </c>
      <c r="O175" s="203">
        <v>97.405202777777802</v>
      </c>
      <c r="P175" s="203" t="s">
        <v>930</v>
      </c>
      <c r="Q175" s="203" t="s">
        <v>951</v>
      </c>
      <c r="R175" s="425">
        <v>45</v>
      </c>
      <c r="S175" s="425">
        <v>209</v>
      </c>
      <c r="T175" s="542" t="s">
        <v>935</v>
      </c>
      <c r="U175" s="427"/>
      <c r="V175" s="203" t="s">
        <v>308</v>
      </c>
      <c r="W175" s="203" t="s">
        <v>3078</v>
      </c>
    </row>
    <row r="176" spans="1:23" s="203" customFormat="1" ht="17.25" hidden="1" customHeight="1" x14ac:dyDescent="0.2">
      <c r="A176" s="430" t="s">
        <v>44</v>
      </c>
      <c r="B176" s="429" t="s">
        <v>305</v>
      </c>
      <c r="C176" s="430" t="s">
        <v>941</v>
      </c>
      <c r="D176" s="203" t="s">
        <v>2949</v>
      </c>
      <c r="E176" s="823" t="s">
        <v>1542</v>
      </c>
      <c r="I176" s="203" t="s">
        <v>2959</v>
      </c>
      <c r="J176" s="203" t="s">
        <v>50</v>
      </c>
      <c r="K176" s="203" t="s">
        <v>50</v>
      </c>
      <c r="L176" s="203" t="s">
        <v>942</v>
      </c>
      <c r="M176" s="203" t="s">
        <v>51</v>
      </c>
      <c r="P176" s="203" t="s">
        <v>930</v>
      </c>
      <c r="Q176" s="203" t="s">
        <v>2946</v>
      </c>
      <c r="R176" s="434">
        <v>375</v>
      </c>
      <c r="S176" s="426">
        <v>1691</v>
      </c>
      <c r="T176" s="542">
        <v>43360</v>
      </c>
      <c r="U176" s="427" t="s">
        <v>2948</v>
      </c>
      <c r="W176" s="203" t="s">
        <v>2948</v>
      </c>
    </row>
    <row r="177" spans="1:23" s="203" customFormat="1" ht="17.25" hidden="1" customHeight="1" x14ac:dyDescent="0.2">
      <c r="A177" s="426" t="s">
        <v>44</v>
      </c>
      <c r="B177" s="429" t="s">
        <v>305</v>
      </c>
      <c r="C177" s="430" t="s">
        <v>2807</v>
      </c>
      <c r="D177" s="432"/>
      <c r="J177" s="203" t="s">
        <v>1921</v>
      </c>
      <c r="K177" s="294" t="s">
        <v>50</v>
      </c>
      <c r="L177" s="294" t="s">
        <v>946</v>
      </c>
      <c r="P177" s="203" t="s">
        <v>930</v>
      </c>
      <c r="R177" s="434"/>
      <c r="S177" s="426"/>
      <c r="T177" s="542">
        <v>43298</v>
      </c>
      <c r="U177" s="427"/>
    </row>
    <row r="178" spans="1:23" s="203" customFormat="1" ht="17.25" hidden="1" customHeight="1" x14ac:dyDescent="0.2">
      <c r="A178" s="203" t="s">
        <v>44</v>
      </c>
      <c r="B178" s="203" t="s">
        <v>305</v>
      </c>
      <c r="C178" s="203" t="s">
        <v>309</v>
      </c>
      <c r="D178" s="203" t="s">
        <v>2949</v>
      </c>
      <c r="E178" s="203" t="s">
        <v>2008</v>
      </c>
      <c r="F178" s="203" t="s">
        <v>2238</v>
      </c>
      <c r="G178" s="203" t="s">
        <v>2332</v>
      </c>
      <c r="H178" s="203" t="s">
        <v>48</v>
      </c>
      <c r="I178" s="203" t="s">
        <v>287</v>
      </c>
      <c r="J178" s="203" t="s">
        <v>50</v>
      </c>
      <c r="K178" s="203" t="s">
        <v>50</v>
      </c>
      <c r="L178" s="203" t="s">
        <v>50</v>
      </c>
      <c r="M178" s="203" t="s">
        <v>51</v>
      </c>
      <c r="N178" s="203">
        <v>25.362420757575801</v>
      </c>
      <c r="O178" s="203">
        <v>97.409035000000003</v>
      </c>
      <c r="P178" s="203" t="s">
        <v>930</v>
      </c>
      <c r="Q178" s="203" t="s">
        <v>951</v>
      </c>
      <c r="R178" s="425">
        <v>105</v>
      </c>
      <c r="S178" s="425">
        <v>559</v>
      </c>
      <c r="T178" s="542" t="s">
        <v>935</v>
      </c>
      <c r="U178" s="427"/>
      <c r="V178" s="203" t="s">
        <v>309</v>
      </c>
      <c r="W178" s="203" t="s">
        <v>3079</v>
      </c>
    </row>
    <row r="179" spans="1:23" s="203" customFormat="1" ht="17.25" hidden="1" customHeight="1" x14ac:dyDescent="0.2">
      <c r="A179" s="203" t="s">
        <v>44</v>
      </c>
      <c r="B179" s="203" t="s">
        <v>305</v>
      </c>
      <c r="C179" s="203" t="s">
        <v>310</v>
      </c>
      <c r="D179" s="203" t="s">
        <v>2949</v>
      </c>
      <c r="E179" s="203" t="s">
        <v>2000</v>
      </c>
      <c r="F179" s="203" t="s">
        <v>2238</v>
      </c>
      <c r="G179" s="203" t="s">
        <v>2332</v>
      </c>
      <c r="H179" s="203" t="s">
        <v>48</v>
      </c>
      <c r="I179" s="203" t="s">
        <v>287</v>
      </c>
      <c r="J179" s="203" t="s">
        <v>50</v>
      </c>
      <c r="K179" s="203" t="s">
        <v>50</v>
      </c>
      <c r="L179" s="203" t="s">
        <v>50</v>
      </c>
      <c r="M179" s="203" t="s">
        <v>51</v>
      </c>
      <c r="N179" s="203">
        <v>25.3510167948718</v>
      </c>
      <c r="O179" s="203">
        <v>97.403402307692303</v>
      </c>
      <c r="P179" s="203" t="s">
        <v>930</v>
      </c>
      <c r="Q179" s="203" t="s">
        <v>951</v>
      </c>
      <c r="R179" s="425">
        <v>138</v>
      </c>
      <c r="S179" s="425">
        <v>703</v>
      </c>
      <c r="T179" s="542" t="s">
        <v>935</v>
      </c>
      <c r="U179" s="427"/>
      <c r="V179" s="203" t="s">
        <v>310</v>
      </c>
      <c r="W179" s="203" t="s">
        <v>3080</v>
      </c>
    </row>
    <row r="180" spans="1:23" s="203" customFormat="1" ht="17.25" hidden="1" customHeight="1" x14ac:dyDescent="0.2">
      <c r="A180" s="203" t="s">
        <v>44</v>
      </c>
      <c r="B180" s="203" t="s">
        <v>305</v>
      </c>
      <c r="C180" s="203" t="s">
        <v>311</v>
      </c>
      <c r="D180" s="203" t="s">
        <v>2949</v>
      </c>
      <c r="E180" s="203" t="s">
        <v>2007</v>
      </c>
      <c r="F180" s="203" t="s">
        <v>2238</v>
      </c>
      <c r="G180" s="203" t="s">
        <v>2337</v>
      </c>
      <c r="H180" s="203" t="s">
        <v>48</v>
      </c>
      <c r="I180" s="203" t="s">
        <v>287</v>
      </c>
      <c r="J180" s="203" t="s">
        <v>50</v>
      </c>
      <c r="K180" s="203" t="s">
        <v>50</v>
      </c>
      <c r="L180" s="203" t="s">
        <v>50</v>
      </c>
      <c r="M180" s="203" t="s">
        <v>51</v>
      </c>
      <c r="N180" s="203">
        <v>25.360463124999999</v>
      </c>
      <c r="O180" s="203">
        <v>97.4113064583333</v>
      </c>
      <c r="P180" s="21" t="s">
        <v>2716</v>
      </c>
      <c r="Q180" s="203" t="s">
        <v>951</v>
      </c>
      <c r="R180" s="425">
        <v>61</v>
      </c>
      <c r="S180" s="425">
        <v>304</v>
      </c>
      <c r="T180" s="542" t="s">
        <v>935</v>
      </c>
      <c r="U180" s="427"/>
      <c r="V180" s="203" t="s">
        <v>311</v>
      </c>
      <c r="W180" s="203" t="s">
        <v>3081</v>
      </c>
    </row>
    <row r="181" spans="1:23" s="203" customFormat="1" ht="17.25" hidden="1" customHeight="1" x14ac:dyDescent="0.2">
      <c r="A181" s="203" t="s">
        <v>44</v>
      </c>
      <c r="B181" s="203" t="s">
        <v>305</v>
      </c>
      <c r="C181" s="203" t="s">
        <v>312</v>
      </c>
      <c r="D181" s="203" t="s">
        <v>2949</v>
      </c>
      <c r="E181" s="203" t="s">
        <v>2033</v>
      </c>
      <c r="F181" s="203" t="s">
        <v>2238</v>
      </c>
      <c r="G181" s="203" t="s">
        <v>2349</v>
      </c>
      <c r="H181" s="203" t="s">
        <v>48</v>
      </c>
      <c r="I181" s="203" t="s">
        <v>287</v>
      </c>
      <c r="J181" s="203" t="s">
        <v>50</v>
      </c>
      <c r="K181" s="203" t="s">
        <v>50</v>
      </c>
      <c r="L181" s="203" t="s">
        <v>50</v>
      </c>
      <c r="M181" s="203" t="s">
        <v>51</v>
      </c>
      <c r="N181" s="203">
        <v>25.428910999999999</v>
      </c>
      <c r="O181" s="203">
        <v>97.418694000000002</v>
      </c>
      <c r="P181" s="203" t="s">
        <v>930</v>
      </c>
      <c r="Q181" s="203" t="s">
        <v>951</v>
      </c>
      <c r="R181" s="425">
        <v>103</v>
      </c>
      <c r="S181" s="425">
        <v>586</v>
      </c>
      <c r="T181" s="542" t="s">
        <v>935</v>
      </c>
      <c r="U181" s="427"/>
      <c r="V181" s="203" t="s">
        <v>312</v>
      </c>
      <c r="W181" s="203" t="s">
        <v>3082</v>
      </c>
    </row>
    <row r="182" spans="1:23" s="203" customFormat="1" ht="17.25" hidden="1" customHeight="1" x14ac:dyDescent="0.2">
      <c r="A182" s="203" t="s">
        <v>44</v>
      </c>
      <c r="B182" s="203" t="s">
        <v>305</v>
      </c>
      <c r="C182" s="203" t="s">
        <v>413</v>
      </c>
      <c r="D182" s="203" t="s">
        <v>2949</v>
      </c>
      <c r="E182" s="203" t="s">
        <v>2011</v>
      </c>
      <c r="F182" s="203" t="s">
        <v>2339</v>
      </c>
      <c r="G182" s="203" t="s">
        <v>2339</v>
      </c>
      <c r="H182" s="203" t="s">
        <v>48</v>
      </c>
      <c r="I182" s="203" t="s">
        <v>389</v>
      </c>
      <c r="J182" s="203" t="s">
        <v>50</v>
      </c>
      <c r="K182" s="203" t="s">
        <v>50</v>
      </c>
      <c r="L182" s="203" t="s">
        <v>50</v>
      </c>
      <c r="M182" s="203" t="s">
        <v>51</v>
      </c>
      <c r="N182" s="203">
        <v>25.374343974359</v>
      </c>
      <c r="O182" s="203">
        <v>97.2843958974359</v>
      </c>
      <c r="P182" s="203" t="s">
        <v>930</v>
      </c>
      <c r="Q182" s="203" t="s">
        <v>951</v>
      </c>
      <c r="R182" s="425">
        <v>22</v>
      </c>
      <c r="S182" s="425">
        <v>92</v>
      </c>
      <c r="T182" s="542" t="s">
        <v>935</v>
      </c>
      <c r="U182" s="427"/>
      <c r="V182" s="203" t="s">
        <v>413</v>
      </c>
      <c r="W182" s="203" t="s">
        <v>3083</v>
      </c>
    </row>
    <row r="183" spans="1:23" s="203" customFormat="1" ht="17.25" hidden="1" customHeight="1" x14ac:dyDescent="0.2">
      <c r="A183" s="203" t="s">
        <v>44</v>
      </c>
      <c r="B183" s="203" t="s">
        <v>305</v>
      </c>
      <c r="C183" s="203" t="s">
        <v>414</v>
      </c>
      <c r="D183" s="203" t="s">
        <v>2949</v>
      </c>
      <c r="E183" s="203" t="s">
        <v>2010</v>
      </c>
      <c r="F183" s="203" t="s">
        <v>2339</v>
      </c>
      <c r="G183" s="203" t="s">
        <v>2339</v>
      </c>
      <c r="H183" s="203" t="s">
        <v>48</v>
      </c>
      <c r="I183" s="203" t="s">
        <v>389</v>
      </c>
      <c r="J183" s="203" t="s">
        <v>50</v>
      </c>
      <c r="K183" s="203" t="s">
        <v>50</v>
      </c>
      <c r="L183" s="203" t="s">
        <v>50</v>
      </c>
      <c r="M183" s="203" t="s">
        <v>51</v>
      </c>
      <c r="N183" s="203">
        <v>25.371049444444399</v>
      </c>
      <c r="O183" s="203">
        <v>97.290952037037002</v>
      </c>
      <c r="P183" s="203" t="s">
        <v>930</v>
      </c>
      <c r="Q183" s="203" t="s">
        <v>951</v>
      </c>
      <c r="R183" s="425">
        <v>21</v>
      </c>
      <c r="S183" s="425">
        <v>131</v>
      </c>
      <c r="T183" s="542" t="s">
        <v>935</v>
      </c>
      <c r="U183" s="427"/>
      <c r="V183" s="203" t="s">
        <v>414</v>
      </c>
      <c r="W183" s="203" t="s">
        <v>3084</v>
      </c>
    </row>
    <row r="184" spans="1:23" s="203" customFormat="1" ht="17.25" hidden="1" customHeight="1" x14ac:dyDescent="0.2">
      <c r="A184" s="203" t="s">
        <v>44</v>
      </c>
      <c r="B184" s="203" t="s">
        <v>305</v>
      </c>
      <c r="C184" s="203" t="s">
        <v>1221</v>
      </c>
      <c r="D184" s="203" t="s">
        <v>2178</v>
      </c>
      <c r="E184" s="203" t="s">
        <v>2013</v>
      </c>
      <c r="F184" s="203" t="s">
        <v>2238</v>
      </c>
      <c r="G184" s="203" t="s">
        <v>2240</v>
      </c>
      <c r="H184" s="203" t="s">
        <v>48</v>
      </c>
      <c r="I184" s="203" t="s">
        <v>389</v>
      </c>
      <c r="J184" s="203" t="s">
        <v>50</v>
      </c>
      <c r="K184" s="203" t="s">
        <v>50</v>
      </c>
      <c r="L184" s="203" t="s">
        <v>929</v>
      </c>
      <c r="M184" s="203" t="s">
        <v>51</v>
      </c>
      <c r="N184" s="203">
        <v>25.387862999999999</v>
      </c>
      <c r="O184" s="203">
        <v>97.376671999999999</v>
      </c>
      <c r="P184" s="203" t="s">
        <v>930</v>
      </c>
      <c r="R184" s="425"/>
      <c r="S184" s="426"/>
      <c r="T184" s="542" t="s">
        <v>935</v>
      </c>
      <c r="U184" s="427"/>
      <c r="V184" s="203" t="s">
        <v>1221</v>
      </c>
      <c r="W184" s="203" t="s">
        <v>3085</v>
      </c>
    </row>
    <row r="185" spans="1:23" s="203" customFormat="1" ht="17.25" hidden="1" customHeight="1" x14ac:dyDescent="0.2">
      <c r="A185" s="203" t="s">
        <v>44</v>
      </c>
      <c r="B185" s="203" t="s">
        <v>305</v>
      </c>
      <c r="C185" s="203" t="s">
        <v>381</v>
      </c>
      <c r="D185" s="203" t="s">
        <v>2949</v>
      </c>
      <c r="E185" s="203" t="s">
        <v>2022</v>
      </c>
      <c r="F185" s="203" t="s">
        <v>2344</v>
      </c>
      <c r="G185" s="203" t="s">
        <v>2344</v>
      </c>
      <c r="H185" s="203" t="s">
        <v>48</v>
      </c>
      <c r="I185" s="203" t="s">
        <v>1539</v>
      </c>
      <c r="J185" s="203" t="s">
        <v>50</v>
      </c>
      <c r="K185" s="203" t="s">
        <v>50</v>
      </c>
      <c r="L185" s="203" t="s">
        <v>50</v>
      </c>
      <c r="M185" s="203" t="s">
        <v>51</v>
      </c>
      <c r="N185" s="203">
        <v>25.410569299999999</v>
      </c>
      <c r="O185" s="203">
        <v>97.359320179999997</v>
      </c>
      <c r="P185" s="203" t="s">
        <v>930</v>
      </c>
      <c r="Q185" s="203" t="s">
        <v>951</v>
      </c>
      <c r="R185" s="425">
        <v>59</v>
      </c>
      <c r="S185" s="425">
        <v>309</v>
      </c>
      <c r="T185" s="542" t="s">
        <v>935</v>
      </c>
      <c r="U185" s="427"/>
      <c r="V185" s="203" t="s">
        <v>381</v>
      </c>
      <c r="W185" s="203" t="s">
        <v>3086</v>
      </c>
    </row>
    <row r="186" spans="1:23" s="203" customFormat="1" ht="17.25" hidden="1" customHeight="1" x14ac:dyDescent="0.2">
      <c r="A186" s="203" t="s">
        <v>44</v>
      </c>
      <c r="B186" s="203" t="s">
        <v>305</v>
      </c>
      <c r="C186" s="203" t="s">
        <v>313</v>
      </c>
      <c r="D186" s="203" t="s">
        <v>2949</v>
      </c>
      <c r="E186" s="203" t="s">
        <v>2029</v>
      </c>
      <c r="F186" s="203" t="s">
        <v>2238</v>
      </c>
      <c r="G186" s="203" t="s">
        <v>2348</v>
      </c>
      <c r="H186" s="203" t="s">
        <v>48</v>
      </c>
      <c r="I186" s="203" t="s">
        <v>287</v>
      </c>
      <c r="J186" s="203" t="s">
        <v>50</v>
      </c>
      <c r="K186" s="203" t="s">
        <v>50</v>
      </c>
      <c r="L186" s="203" t="s">
        <v>50</v>
      </c>
      <c r="M186" s="203" t="s">
        <v>51</v>
      </c>
      <c r="N186" s="203">
        <v>25.422194000000001</v>
      </c>
      <c r="O186" s="203">
        <v>97.394547000000003</v>
      </c>
      <c r="P186" s="203" t="s">
        <v>930</v>
      </c>
      <c r="Q186" s="203" t="s">
        <v>951</v>
      </c>
      <c r="R186" s="425">
        <v>68</v>
      </c>
      <c r="S186" s="425">
        <v>298</v>
      </c>
      <c r="T186" s="542" t="s">
        <v>935</v>
      </c>
      <c r="U186" s="427"/>
      <c r="V186" s="203" t="s">
        <v>313</v>
      </c>
      <c r="W186" s="203" t="s">
        <v>3087</v>
      </c>
    </row>
    <row r="187" spans="1:23" s="203" customFormat="1" ht="17.25" hidden="1" customHeight="1" x14ac:dyDescent="0.2">
      <c r="A187" s="203" t="s">
        <v>44</v>
      </c>
      <c r="B187" s="203" t="s">
        <v>305</v>
      </c>
      <c r="C187" s="203" t="s">
        <v>382</v>
      </c>
      <c r="D187" s="203" t="s">
        <v>2949</v>
      </c>
      <c r="E187" s="203" t="s">
        <v>2035</v>
      </c>
      <c r="F187" s="203" t="s">
        <v>2351</v>
      </c>
      <c r="G187" s="203" t="s">
        <v>2352</v>
      </c>
      <c r="H187" s="203" t="s">
        <v>48</v>
      </c>
      <c r="I187" s="203" t="s">
        <v>1539</v>
      </c>
      <c r="J187" s="203" t="s">
        <v>50</v>
      </c>
      <c r="K187" s="203" t="s">
        <v>50</v>
      </c>
      <c r="L187" s="203" t="s">
        <v>50</v>
      </c>
      <c r="M187" s="203" t="s">
        <v>51</v>
      </c>
      <c r="N187" s="203">
        <v>25.493819999999999</v>
      </c>
      <c r="O187" s="203">
        <v>97.4345</v>
      </c>
      <c r="P187" s="203" t="s">
        <v>930</v>
      </c>
      <c r="Q187" s="203" t="s">
        <v>951</v>
      </c>
      <c r="R187" s="425">
        <v>138</v>
      </c>
      <c r="S187" s="425">
        <v>800</v>
      </c>
      <c r="T187" s="542" t="s">
        <v>935</v>
      </c>
      <c r="U187" s="427"/>
      <c r="V187" s="203" t="s">
        <v>382</v>
      </c>
      <c r="W187" s="203" t="s">
        <v>3088</v>
      </c>
    </row>
    <row r="188" spans="1:23" s="203" customFormat="1" ht="17.25" hidden="1" customHeight="1" x14ac:dyDescent="0.2">
      <c r="A188" s="430" t="s">
        <v>44</v>
      </c>
      <c r="B188" s="429" t="s">
        <v>305</v>
      </c>
      <c r="C188" s="430" t="s">
        <v>2944</v>
      </c>
      <c r="D188" s="203" t="s">
        <v>2949</v>
      </c>
      <c r="E188" s="203" t="s">
        <v>2945</v>
      </c>
      <c r="I188" s="203" t="s">
        <v>2959</v>
      </c>
      <c r="J188" s="203" t="s">
        <v>50</v>
      </c>
      <c r="K188" s="294" t="s">
        <v>50</v>
      </c>
      <c r="L188" s="203" t="s">
        <v>946</v>
      </c>
      <c r="M188" s="203" t="s">
        <v>51</v>
      </c>
      <c r="N188" s="822">
        <v>25.493819999999999</v>
      </c>
      <c r="O188" s="822">
        <v>97.4345</v>
      </c>
      <c r="P188" s="294" t="s">
        <v>930</v>
      </c>
      <c r="Q188" s="203" t="s">
        <v>2946</v>
      </c>
      <c r="R188" s="425">
        <v>46</v>
      </c>
      <c r="S188" s="425">
        <v>185</v>
      </c>
      <c r="T188" s="542">
        <v>43360</v>
      </c>
      <c r="U188" s="427" t="s">
        <v>2947</v>
      </c>
      <c r="W188" s="203" t="s">
        <v>2947</v>
      </c>
    </row>
    <row r="189" spans="1:23" s="203" customFormat="1" ht="17.25" hidden="1" customHeight="1" x14ac:dyDescent="0.2">
      <c r="A189" s="203" t="s">
        <v>44</v>
      </c>
      <c r="B189" s="203" t="s">
        <v>305</v>
      </c>
      <c r="C189" s="203" t="s">
        <v>314</v>
      </c>
      <c r="D189" s="203" t="s">
        <v>2949</v>
      </c>
      <c r="E189" s="203" t="s">
        <v>2024</v>
      </c>
      <c r="F189" s="203" t="s">
        <v>2238</v>
      </c>
      <c r="G189" s="203" t="s">
        <v>2345</v>
      </c>
      <c r="H189" s="203" t="s">
        <v>48</v>
      </c>
      <c r="I189" s="203" t="s">
        <v>287</v>
      </c>
      <c r="J189" s="203" t="s">
        <v>50</v>
      </c>
      <c r="K189" s="203" t="s">
        <v>50</v>
      </c>
      <c r="L189" s="203" t="s">
        <v>50</v>
      </c>
      <c r="M189" s="203" t="s">
        <v>51</v>
      </c>
      <c r="N189" s="203">
        <v>25.412313000000001</v>
      </c>
      <c r="O189" s="203">
        <v>97.399628000000007</v>
      </c>
      <c r="P189" s="203" t="s">
        <v>930</v>
      </c>
      <c r="Q189" s="203" t="s">
        <v>951</v>
      </c>
      <c r="R189" s="425">
        <v>120</v>
      </c>
      <c r="S189" s="425">
        <v>582</v>
      </c>
      <c r="T189" s="542" t="s">
        <v>935</v>
      </c>
      <c r="U189" s="427"/>
      <c r="V189" s="203" t="s">
        <v>314</v>
      </c>
      <c r="W189" s="203" t="s">
        <v>3089</v>
      </c>
    </row>
    <row r="190" spans="1:23" s="203" customFormat="1" ht="17.25" hidden="1" customHeight="1" x14ac:dyDescent="0.2">
      <c r="A190" s="203" t="s">
        <v>44</v>
      </c>
      <c r="B190" s="203" t="s">
        <v>305</v>
      </c>
      <c r="C190" s="203" t="s">
        <v>415</v>
      </c>
      <c r="D190" s="203" t="s">
        <v>2949</v>
      </c>
      <c r="E190" s="203" t="s">
        <v>2031</v>
      </c>
      <c r="F190" s="203" t="s">
        <v>2238</v>
      </c>
      <c r="G190" s="203" t="s">
        <v>2345</v>
      </c>
      <c r="H190" s="203" t="s">
        <v>48</v>
      </c>
      <c r="I190" s="203" t="s">
        <v>389</v>
      </c>
      <c r="J190" s="203" t="s">
        <v>50</v>
      </c>
      <c r="K190" s="203" t="s">
        <v>50</v>
      </c>
      <c r="L190" s="203" t="s">
        <v>50</v>
      </c>
      <c r="M190" s="203" t="s">
        <v>51</v>
      </c>
      <c r="N190" s="203">
        <v>25.423817</v>
      </c>
      <c r="O190" s="203">
        <v>97.418004999999994</v>
      </c>
      <c r="P190" s="203" t="s">
        <v>930</v>
      </c>
      <c r="Q190" s="203" t="s">
        <v>951</v>
      </c>
      <c r="R190" s="425">
        <v>23</v>
      </c>
      <c r="S190" s="425">
        <v>113</v>
      </c>
      <c r="T190" s="542" t="s">
        <v>935</v>
      </c>
      <c r="U190" s="427"/>
      <c r="V190" s="203" t="s">
        <v>415</v>
      </c>
      <c r="W190" s="203" t="s">
        <v>3090</v>
      </c>
    </row>
    <row r="191" spans="1:23" s="203" customFormat="1" ht="17.25" hidden="1" customHeight="1" x14ac:dyDescent="0.2">
      <c r="A191" s="203" t="s">
        <v>44</v>
      </c>
      <c r="B191" s="203" t="s">
        <v>305</v>
      </c>
      <c r="C191" s="203" t="s">
        <v>315</v>
      </c>
      <c r="D191" s="203" t="s">
        <v>2949</v>
      </c>
      <c r="E191" s="203" t="s">
        <v>2034</v>
      </c>
      <c r="F191" s="203" t="s">
        <v>2238</v>
      </c>
      <c r="G191" s="203" t="s">
        <v>2350</v>
      </c>
      <c r="H191" s="203" t="s">
        <v>48</v>
      </c>
      <c r="I191" s="203" t="s">
        <v>287</v>
      </c>
      <c r="J191" s="203" t="s">
        <v>50</v>
      </c>
      <c r="K191" s="203" t="s">
        <v>50</v>
      </c>
      <c r="L191" s="203" t="s">
        <v>50</v>
      </c>
      <c r="M191" s="203" t="s">
        <v>51</v>
      </c>
      <c r="N191" s="203">
        <v>25.440928</v>
      </c>
      <c r="O191" s="203">
        <v>97.419403000000003</v>
      </c>
      <c r="P191" s="203" t="s">
        <v>930</v>
      </c>
      <c r="Q191" s="203" t="s">
        <v>951</v>
      </c>
      <c r="R191" s="425">
        <v>91</v>
      </c>
      <c r="S191" s="425">
        <v>511</v>
      </c>
      <c r="T191" s="542" t="s">
        <v>935</v>
      </c>
      <c r="U191" s="427"/>
      <c r="V191" s="203" t="s">
        <v>315</v>
      </c>
      <c r="W191" s="203" t="s">
        <v>3091</v>
      </c>
    </row>
    <row r="192" spans="1:23" s="203" customFormat="1" ht="17.25" hidden="1" customHeight="1" x14ac:dyDescent="0.2">
      <c r="A192" s="430" t="s">
        <v>44</v>
      </c>
      <c r="B192" s="429" t="s">
        <v>305</v>
      </c>
      <c r="C192" s="294" t="s">
        <v>2670</v>
      </c>
      <c r="D192" s="203" t="s">
        <v>2949</v>
      </c>
      <c r="E192" s="203" t="s">
        <v>2677</v>
      </c>
      <c r="I192" s="203" t="s">
        <v>2959</v>
      </c>
      <c r="J192" s="203" t="s">
        <v>50</v>
      </c>
      <c r="K192" s="203" t="s">
        <v>50</v>
      </c>
      <c r="L192" s="203" t="s">
        <v>946</v>
      </c>
      <c r="M192" s="203" t="s">
        <v>51</v>
      </c>
      <c r="N192" s="203">
        <v>97.49136</v>
      </c>
      <c r="O192" s="203">
        <v>25.717300000000002</v>
      </c>
      <c r="P192" s="294" t="s">
        <v>930</v>
      </c>
      <c r="Q192" s="203" t="s">
        <v>2653</v>
      </c>
      <c r="R192" s="425">
        <v>229</v>
      </c>
      <c r="S192" s="425">
        <v>1247</v>
      </c>
      <c r="T192" s="542">
        <v>43276</v>
      </c>
      <c r="U192" s="427" t="s">
        <v>2720</v>
      </c>
      <c r="W192" s="203" t="s">
        <v>3092</v>
      </c>
    </row>
    <row r="193" spans="1:23" s="203" customFormat="1" ht="17.25" hidden="1" customHeight="1" x14ac:dyDescent="0.2">
      <c r="A193" s="203" t="s">
        <v>44</v>
      </c>
      <c r="B193" s="203" t="s">
        <v>305</v>
      </c>
      <c r="C193" s="203" t="s">
        <v>1316</v>
      </c>
      <c r="D193" s="203" t="s">
        <v>2177</v>
      </c>
      <c r="J193" s="203" t="s">
        <v>50</v>
      </c>
      <c r="K193" s="203" t="s">
        <v>50</v>
      </c>
      <c r="L193" s="203" t="s">
        <v>1259</v>
      </c>
      <c r="M193" s="203" t="s">
        <v>51</v>
      </c>
      <c r="P193" s="203" t="s">
        <v>930</v>
      </c>
      <c r="R193" s="425"/>
      <c r="S193" s="426"/>
      <c r="T193" s="542" t="s">
        <v>935</v>
      </c>
      <c r="U193" s="427"/>
      <c r="V193" s="203" t="s">
        <v>1316</v>
      </c>
    </row>
    <row r="194" spans="1:23" s="203" customFormat="1" ht="17.25" hidden="1" customHeight="1" x14ac:dyDescent="0.2">
      <c r="A194" s="203" t="s">
        <v>44</v>
      </c>
      <c r="B194" s="203" t="s">
        <v>305</v>
      </c>
      <c r="C194" s="203" t="s">
        <v>316</v>
      </c>
      <c r="D194" s="203" t="s">
        <v>2949</v>
      </c>
      <c r="E194" s="203" t="s">
        <v>2025</v>
      </c>
      <c r="F194" s="203" t="s">
        <v>2238</v>
      </c>
      <c r="G194" s="203" t="s">
        <v>2342</v>
      </c>
      <c r="H194" s="203" t="s">
        <v>48</v>
      </c>
      <c r="I194" s="203" t="s">
        <v>287</v>
      </c>
      <c r="J194" s="203" t="s">
        <v>50</v>
      </c>
      <c r="K194" s="203" t="s">
        <v>50</v>
      </c>
      <c r="L194" s="203" t="s">
        <v>50</v>
      </c>
      <c r="M194" s="203" t="s">
        <v>51</v>
      </c>
      <c r="N194" s="203">
        <v>25.415482000000001</v>
      </c>
      <c r="O194" s="203">
        <v>97.386718999999999</v>
      </c>
      <c r="P194" s="203" t="s">
        <v>930</v>
      </c>
      <c r="Q194" s="203" t="s">
        <v>951</v>
      </c>
      <c r="R194" s="425">
        <v>75</v>
      </c>
      <c r="S194" s="425">
        <v>415</v>
      </c>
      <c r="T194" s="542" t="s">
        <v>935</v>
      </c>
      <c r="U194" s="427"/>
      <c r="V194" s="203" t="s">
        <v>316</v>
      </c>
      <c r="W194" s="203" t="s">
        <v>3093</v>
      </c>
    </row>
    <row r="195" spans="1:23" s="203" customFormat="1" ht="17.25" hidden="1" customHeight="1" x14ac:dyDescent="0.2">
      <c r="A195" s="203" t="s">
        <v>44</v>
      </c>
      <c r="B195" s="203" t="s">
        <v>305</v>
      </c>
      <c r="C195" s="203" t="s">
        <v>416</v>
      </c>
      <c r="D195" s="203" t="s">
        <v>2949</v>
      </c>
      <c r="E195" s="203" t="s">
        <v>2030</v>
      </c>
      <c r="F195" s="203" t="s">
        <v>2238</v>
      </c>
      <c r="G195" s="203" t="s">
        <v>2342</v>
      </c>
      <c r="H195" s="203" t="s">
        <v>48</v>
      </c>
      <c r="I195" s="203" t="s">
        <v>389</v>
      </c>
      <c r="J195" s="203" t="s">
        <v>50</v>
      </c>
      <c r="K195" s="203" t="s">
        <v>50</v>
      </c>
      <c r="L195" s="203" t="s">
        <v>50</v>
      </c>
      <c r="M195" s="203" t="s">
        <v>51</v>
      </c>
      <c r="N195" s="203">
        <v>25.423209</v>
      </c>
      <c r="O195" s="203">
        <v>97.379987</v>
      </c>
      <c r="P195" s="203" t="s">
        <v>930</v>
      </c>
      <c r="Q195" s="203" t="s">
        <v>951</v>
      </c>
      <c r="R195" s="425">
        <v>57</v>
      </c>
      <c r="S195" s="425">
        <v>274</v>
      </c>
      <c r="T195" s="542" t="s">
        <v>935</v>
      </c>
      <c r="U195" s="427"/>
      <c r="V195" s="203" t="s">
        <v>1227</v>
      </c>
      <c r="W195" s="203" t="s">
        <v>3094</v>
      </c>
    </row>
    <row r="196" spans="1:23" s="203" customFormat="1" ht="17.25" hidden="1" customHeight="1" x14ac:dyDescent="0.2">
      <c r="A196" s="203" t="s">
        <v>44</v>
      </c>
      <c r="B196" s="203" t="s">
        <v>305</v>
      </c>
      <c r="C196" s="203" t="s">
        <v>417</v>
      </c>
      <c r="D196" s="203" t="s">
        <v>2949</v>
      </c>
      <c r="E196" s="203" t="s">
        <v>2027</v>
      </c>
      <c r="F196" s="203" t="s">
        <v>2238</v>
      </c>
      <c r="G196" s="203" t="s">
        <v>2342</v>
      </c>
      <c r="H196" s="203" t="s">
        <v>48</v>
      </c>
      <c r="I196" s="203" t="s">
        <v>2959</v>
      </c>
      <c r="J196" s="203" t="s">
        <v>50</v>
      </c>
      <c r="K196" s="203" t="s">
        <v>50</v>
      </c>
      <c r="L196" s="203" t="s">
        <v>946</v>
      </c>
      <c r="M196" s="203" t="s">
        <v>51</v>
      </c>
      <c r="N196" s="203">
        <v>25.417733999999999</v>
      </c>
      <c r="O196" s="203">
        <v>97.389778000000007</v>
      </c>
      <c r="P196" s="203" t="s">
        <v>930</v>
      </c>
      <c r="Q196" s="203" t="s">
        <v>951</v>
      </c>
      <c r="R196" s="425">
        <v>16</v>
      </c>
      <c r="S196" s="425">
        <v>77</v>
      </c>
      <c r="T196" s="542" t="s">
        <v>935</v>
      </c>
      <c r="U196" s="427"/>
      <c r="V196" s="203" t="s">
        <v>417</v>
      </c>
      <c r="W196" s="203" t="s">
        <v>3095</v>
      </c>
    </row>
    <row r="197" spans="1:23" s="203" customFormat="1" ht="17.25" hidden="1" customHeight="1" x14ac:dyDescent="0.2">
      <c r="A197" s="203" t="s">
        <v>44</v>
      </c>
      <c r="B197" s="203" t="s">
        <v>305</v>
      </c>
      <c r="C197" s="203" t="s">
        <v>317</v>
      </c>
      <c r="D197" s="203" t="s">
        <v>2949</v>
      </c>
      <c r="E197" s="203" t="s">
        <v>2020</v>
      </c>
      <c r="F197" s="203" t="s">
        <v>2238</v>
      </c>
      <c r="G197" s="203" t="s">
        <v>2342</v>
      </c>
      <c r="H197" s="203" t="s">
        <v>48</v>
      </c>
      <c r="I197" s="203" t="s">
        <v>287</v>
      </c>
      <c r="J197" s="203" t="s">
        <v>50</v>
      </c>
      <c r="K197" s="203" t="s">
        <v>50</v>
      </c>
      <c r="L197" s="203" t="s">
        <v>50</v>
      </c>
      <c r="M197" s="203" t="s">
        <v>51</v>
      </c>
      <c r="N197" s="203">
        <v>25.404752999999999</v>
      </c>
      <c r="O197" s="203">
        <v>97.377662999999998</v>
      </c>
      <c r="P197" s="203" t="s">
        <v>930</v>
      </c>
      <c r="Q197" s="203" t="s">
        <v>951</v>
      </c>
      <c r="R197" s="425">
        <v>32</v>
      </c>
      <c r="S197" s="425">
        <v>174</v>
      </c>
      <c r="T197" s="542" t="s">
        <v>935</v>
      </c>
      <c r="U197" s="427"/>
      <c r="V197" s="203" t="s">
        <v>317</v>
      </c>
      <c r="W197" s="203" t="s">
        <v>3096</v>
      </c>
    </row>
    <row r="198" spans="1:23" s="203" customFormat="1" ht="17.25" hidden="1" customHeight="1" x14ac:dyDescent="0.2">
      <c r="A198" s="203" t="s">
        <v>44</v>
      </c>
      <c r="B198" s="203" t="s">
        <v>305</v>
      </c>
      <c r="C198" s="203" t="s">
        <v>318</v>
      </c>
      <c r="D198" s="203" t="s">
        <v>2949</v>
      </c>
      <c r="E198" s="203" t="s">
        <v>2019</v>
      </c>
      <c r="F198" s="203" t="s">
        <v>2238</v>
      </c>
      <c r="G198" s="203" t="s">
        <v>2342</v>
      </c>
      <c r="H198" s="203" t="s">
        <v>48</v>
      </c>
      <c r="I198" s="203" t="s">
        <v>287</v>
      </c>
      <c r="J198" s="203" t="s">
        <v>50</v>
      </c>
      <c r="K198" s="203" t="s">
        <v>50</v>
      </c>
      <c r="L198" s="203" t="s">
        <v>50</v>
      </c>
      <c r="M198" s="203" t="s">
        <v>51</v>
      </c>
      <c r="N198" s="203">
        <v>25.404015000000001</v>
      </c>
      <c r="O198" s="203">
        <v>97.382192000000003</v>
      </c>
      <c r="P198" s="203" t="s">
        <v>930</v>
      </c>
      <c r="Q198" s="203" t="s">
        <v>951</v>
      </c>
      <c r="R198" s="425">
        <v>46</v>
      </c>
      <c r="S198" s="425">
        <v>241</v>
      </c>
      <c r="T198" s="542" t="s">
        <v>935</v>
      </c>
      <c r="U198" s="427"/>
      <c r="V198" s="203" t="s">
        <v>318</v>
      </c>
      <c r="W198" s="203" t="s">
        <v>3097</v>
      </c>
    </row>
    <row r="199" spans="1:23" s="203" customFormat="1" ht="17.25" hidden="1" customHeight="1" x14ac:dyDescent="0.2">
      <c r="A199" s="430" t="s">
        <v>44</v>
      </c>
      <c r="B199" s="429" t="s">
        <v>305</v>
      </c>
      <c r="C199" s="294" t="s">
        <v>2658</v>
      </c>
      <c r="D199" s="432"/>
      <c r="J199" s="203" t="s">
        <v>1921</v>
      </c>
      <c r="K199" s="203" t="s">
        <v>50</v>
      </c>
      <c r="L199" s="203" t="s">
        <v>50</v>
      </c>
      <c r="M199" s="203" t="s">
        <v>51</v>
      </c>
      <c r="P199" s="203" t="s">
        <v>930</v>
      </c>
      <c r="Q199" s="203" t="s">
        <v>2653</v>
      </c>
      <c r="R199" s="434"/>
      <c r="S199" s="426"/>
      <c r="T199" s="542">
        <v>43270</v>
      </c>
      <c r="U199" s="427"/>
    </row>
    <row r="200" spans="1:23" s="203" customFormat="1" ht="17.25" hidden="1" customHeight="1" x14ac:dyDescent="0.2">
      <c r="A200" s="430" t="s">
        <v>44</v>
      </c>
      <c r="B200" s="429" t="s">
        <v>305</v>
      </c>
      <c r="C200" s="294" t="s">
        <v>2671</v>
      </c>
      <c r="D200" s="203" t="s">
        <v>2949</v>
      </c>
      <c r="E200" s="294" t="s">
        <v>2679</v>
      </c>
      <c r="F200" s="294"/>
      <c r="G200" s="294"/>
      <c r="H200" s="294"/>
      <c r="I200" s="294" t="s">
        <v>2959</v>
      </c>
      <c r="J200" s="203" t="s">
        <v>50</v>
      </c>
      <c r="K200" s="203" t="s">
        <v>50</v>
      </c>
      <c r="L200" s="294" t="s">
        <v>946</v>
      </c>
      <c r="M200" s="203" t="s">
        <v>51</v>
      </c>
      <c r="N200" s="294"/>
      <c r="O200" s="294"/>
      <c r="P200" s="21" t="s">
        <v>930</v>
      </c>
      <c r="Q200" s="203" t="s">
        <v>2653</v>
      </c>
      <c r="R200" s="425">
        <v>8</v>
      </c>
      <c r="S200" s="425">
        <v>32</v>
      </c>
      <c r="T200" s="542">
        <v>43276</v>
      </c>
      <c r="U200" s="431" t="s">
        <v>2721</v>
      </c>
      <c r="V200" s="294"/>
      <c r="W200" s="203" t="s">
        <v>2994</v>
      </c>
    </row>
    <row r="201" spans="1:23" s="203" customFormat="1" ht="17.25" hidden="1" customHeight="1" x14ac:dyDescent="0.2">
      <c r="A201" s="430" t="s">
        <v>44</v>
      </c>
      <c r="B201" s="429" t="s">
        <v>305</v>
      </c>
      <c r="C201" s="294" t="s">
        <v>2954</v>
      </c>
      <c r="D201" s="203" t="s">
        <v>2949</v>
      </c>
      <c r="E201" s="203" t="s">
        <v>2676</v>
      </c>
      <c r="I201" s="203" t="s">
        <v>287</v>
      </c>
      <c r="J201" s="203" t="s">
        <v>50</v>
      </c>
      <c r="K201" s="203" t="s">
        <v>50</v>
      </c>
      <c r="L201" s="203" t="s">
        <v>50</v>
      </c>
      <c r="M201" s="203" t="s">
        <v>51</v>
      </c>
      <c r="N201" s="203">
        <v>97.431079999999994</v>
      </c>
      <c r="O201" s="203">
        <v>25.480989999999998</v>
      </c>
      <c r="P201" s="294" t="s">
        <v>930</v>
      </c>
      <c r="Q201" s="203" t="s">
        <v>2653</v>
      </c>
      <c r="R201" s="425">
        <v>211</v>
      </c>
      <c r="S201" s="425">
        <v>951</v>
      </c>
      <c r="T201" s="542">
        <v>43276</v>
      </c>
      <c r="U201" s="427" t="s">
        <v>2720</v>
      </c>
      <c r="W201" s="203" t="s">
        <v>3098</v>
      </c>
    </row>
    <row r="202" spans="1:23" s="203" customFormat="1" ht="17.25" hidden="1" customHeight="1" x14ac:dyDescent="0.2">
      <c r="A202" s="430" t="s">
        <v>44</v>
      </c>
      <c r="B202" s="429" t="s">
        <v>305</v>
      </c>
      <c r="C202" s="294" t="s">
        <v>2659</v>
      </c>
      <c r="D202" s="432"/>
      <c r="J202" s="203" t="s">
        <v>1921</v>
      </c>
      <c r="K202" s="203" t="s">
        <v>50</v>
      </c>
      <c r="L202" s="203" t="s">
        <v>50</v>
      </c>
      <c r="M202" s="203" t="s">
        <v>51</v>
      </c>
      <c r="P202" s="203" t="s">
        <v>930</v>
      </c>
      <c r="Q202" s="203" t="s">
        <v>2653</v>
      </c>
      <c r="R202" s="434"/>
      <c r="S202" s="426"/>
      <c r="T202" s="542">
        <v>43270</v>
      </c>
      <c r="U202" s="427"/>
    </row>
    <row r="203" spans="1:23" s="203" customFormat="1" ht="17.25" hidden="1" customHeight="1" x14ac:dyDescent="0.2">
      <c r="A203" s="203" t="s">
        <v>44</v>
      </c>
      <c r="B203" s="203" t="s">
        <v>305</v>
      </c>
      <c r="C203" s="203" t="s">
        <v>1219</v>
      </c>
      <c r="D203" s="203" t="s">
        <v>2178</v>
      </c>
      <c r="E203" s="203" t="s">
        <v>2012</v>
      </c>
      <c r="F203" s="203" t="s">
        <v>2238</v>
      </c>
      <c r="G203" s="203" t="s">
        <v>2239</v>
      </c>
      <c r="H203" s="203" t="s">
        <v>48</v>
      </c>
      <c r="I203" s="203" t="s">
        <v>389</v>
      </c>
      <c r="J203" s="203" t="s">
        <v>50</v>
      </c>
      <c r="K203" s="203" t="s">
        <v>50</v>
      </c>
      <c r="L203" s="203" t="s">
        <v>929</v>
      </c>
      <c r="M203" s="203" t="s">
        <v>51</v>
      </c>
      <c r="N203" s="203">
        <v>25.377038166666701</v>
      </c>
      <c r="O203" s="203">
        <v>97.403878500000005</v>
      </c>
      <c r="P203" s="203" t="s">
        <v>930</v>
      </c>
      <c r="Q203" s="203" t="s">
        <v>951</v>
      </c>
      <c r="R203" s="425"/>
      <c r="S203" s="426"/>
      <c r="T203" s="542">
        <v>42983</v>
      </c>
      <c r="U203" s="427" t="s">
        <v>1220</v>
      </c>
      <c r="V203" s="203" t="s">
        <v>1219</v>
      </c>
      <c r="W203" s="203" t="s">
        <v>3099</v>
      </c>
    </row>
    <row r="204" spans="1:23" s="203" customFormat="1" ht="17.25" hidden="1" customHeight="1" x14ac:dyDescent="0.2">
      <c r="A204" s="203" t="s">
        <v>44</v>
      </c>
      <c r="B204" s="203" t="s">
        <v>319</v>
      </c>
      <c r="C204" s="203" t="s">
        <v>1272</v>
      </c>
      <c r="D204" s="203" t="s">
        <v>2177</v>
      </c>
      <c r="J204" s="203" t="s">
        <v>50</v>
      </c>
      <c r="K204" s="203" t="s">
        <v>50</v>
      </c>
      <c r="L204" s="203" t="s">
        <v>1259</v>
      </c>
      <c r="M204" s="203" t="s">
        <v>51</v>
      </c>
      <c r="P204" s="203" t="s">
        <v>930</v>
      </c>
      <c r="R204" s="425"/>
      <c r="S204" s="426"/>
      <c r="T204" s="542" t="s">
        <v>935</v>
      </c>
      <c r="U204" s="427"/>
      <c r="V204" s="203" t="s">
        <v>1272</v>
      </c>
    </row>
    <row r="205" spans="1:23" s="203" customFormat="1" ht="17.25" hidden="1" customHeight="1" x14ac:dyDescent="0.2">
      <c r="A205" s="203" t="s">
        <v>44</v>
      </c>
      <c r="B205" s="203" t="s">
        <v>319</v>
      </c>
      <c r="C205" s="203" t="s">
        <v>1246</v>
      </c>
      <c r="D205" s="203" t="s">
        <v>2949</v>
      </c>
      <c r="E205" s="203" t="s">
        <v>2076</v>
      </c>
      <c r="F205" s="203" t="s">
        <v>2251</v>
      </c>
      <c r="G205" s="203" t="s">
        <v>2392</v>
      </c>
      <c r="I205" s="203" t="s">
        <v>2959</v>
      </c>
      <c r="J205" s="203" t="s">
        <v>50</v>
      </c>
      <c r="K205" s="203" t="s">
        <v>50</v>
      </c>
      <c r="L205" s="203" t="s">
        <v>942</v>
      </c>
      <c r="M205" s="203" t="s">
        <v>51</v>
      </c>
      <c r="N205" s="203">
        <v>27.248964999999998</v>
      </c>
      <c r="O205" s="203">
        <v>97.561105999999995</v>
      </c>
      <c r="P205" s="203" t="s">
        <v>943</v>
      </c>
      <c r="Q205" s="203" t="s">
        <v>931</v>
      </c>
      <c r="R205" s="425">
        <v>10</v>
      </c>
      <c r="S205" s="425">
        <v>56</v>
      </c>
      <c r="T205" s="542"/>
      <c r="U205" s="427" t="s">
        <v>1247</v>
      </c>
      <c r="W205" s="203" t="s">
        <v>3100</v>
      </c>
    </row>
    <row r="206" spans="1:23" s="203" customFormat="1" ht="17.25" hidden="1" customHeight="1" x14ac:dyDescent="0.2">
      <c r="A206" s="203" t="s">
        <v>44</v>
      </c>
      <c r="B206" s="203" t="s">
        <v>319</v>
      </c>
      <c r="C206" s="203" t="s">
        <v>320</v>
      </c>
      <c r="D206" s="203" t="s">
        <v>2949</v>
      </c>
      <c r="E206" s="203" t="s">
        <v>2080</v>
      </c>
      <c r="F206" s="203" t="s">
        <v>2367</v>
      </c>
      <c r="G206" s="203" t="s">
        <v>2368</v>
      </c>
      <c r="H206" s="203" t="s">
        <v>48</v>
      </c>
      <c r="I206" s="203" t="s">
        <v>287</v>
      </c>
      <c r="J206" s="203" t="s">
        <v>50</v>
      </c>
      <c r="K206" s="203" t="s">
        <v>50</v>
      </c>
      <c r="L206" s="203" t="s">
        <v>50</v>
      </c>
      <c r="M206" s="203" t="s">
        <v>51</v>
      </c>
      <c r="N206" s="203">
        <v>27.337499999999999</v>
      </c>
      <c r="O206" s="203">
        <v>97.416121000000004</v>
      </c>
      <c r="P206" s="203" t="s">
        <v>930</v>
      </c>
      <c r="Q206" s="203" t="s">
        <v>951</v>
      </c>
      <c r="R206" s="425">
        <v>61</v>
      </c>
      <c r="S206" s="425">
        <v>281</v>
      </c>
      <c r="T206" s="542" t="s">
        <v>935</v>
      </c>
      <c r="U206" s="427"/>
      <c r="V206" s="203" t="s">
        <v>1254</v>
      </c>
      <c r="W206" s="203" t="s">
        <v>3101</v>
      </c>
    </row>
    <row r="207" spans="1:23" s="203" customFormat="1" ht="17.25" hidden="1" customHeight="1" x14ac:dyDescent="0.2">
      <c r="A207" s="203" t="s">
        <v>44</v>
      </c>
      <c r="B207" s="203" t="s">
        <v>319</v>
      </c>
      <c r="C207" s="203" t="s">
        <v>1248</v>
      </c>
      <c r="D207" s="203" t="s">
        <v>2178</v>
      </c>
      <c r="E207" s="203" t="s">
        <v>2077</v>
      </c>
      <c r="F207" s="203" t="s">
        <v>2251</v>
      </c>
      <c r="G207" s="203" t="s">
        <v>2252</v>
      </c>
      <c r="I207" s="203">
        <v>0</v>
      </c>
      <c r="J207" s="203" t="s">
        <v>50</v>
      </c>
      <c r="K207" s="203" t="s">
        <v>50</v>
      </c>
      <c r="L207" s="203" t="s">
        <v>929</v>
      </c>
      <c r="M207" s="203" t="s">
        <v>51</v>
      </c>
      <c r="N207" s="203">
        <v>27.270199999999999</v>
      </c>
      <c r="O207" s="203">
        <v>97.58184</v>
      </c>
      <c r="P207" s="203" t="s">
        <v>930</v>
      </c>
      <c r="R207" s="425"/>
      <c r="S207" s="426"/>
      <c r="T207" s="542" t="s">
        <v>935</v>
      </c>
      <c r="U207" s="427"/>
      <c r="V207" s="203" t="s">
        <v>1248</v>
      </c>
      <c r="W207" s="203" t="s">
        <v>3102</v>
      </c>
    </row>
    <row r="208" spans="1:23" s="203" customFormat="1" ht="17.25" hidden="1" customHeight="1" x14ac:dyDescent="0.2">
      <c r="A208" s="203" t="s">
        <v>44</v>
      </c>
      <c r="B208" s="203" t="s">
        <v>319</v>
      </c>
      <c r="C208" s="203" t="s">
        <v>1297</v>
      </c>
      <c r="D208" s="203" t="s">
        <v>2177</v>
      </c>
      <c r="J208" s="203" t="s">
        <v>50</v>
      </c>
      <c r="K208" s="203" t="s">
        <v>50</v>
      </c>
      <c r="L208" s="203" t="s">
        <v>1259</v>
      </c>
      <c r="M208" s="203" t="s">
        <v>51</v>
      </c>
      <c r="P208" s="203" t="s">
        <v>930</v>
      </c>
      <c r="R208" s="425"/>
      <c r="S208" s="426"/>
      <c r="T208" s="542" t="s">
        <v>935</v>
      </c>
      <c r="U208" s="427"/>
      <c r="V208" s="203" t="s">
        <v>1297</v>
      </c>
    </row>
    <row r="209" spans="1:23" s="203" customFormat="1" ht="17.25" hidden="1" customHeight="1" x14ac:dyDescent="0.2">
      <c r="A209" s="203" t="s">
        <v>44</v>
      </c>
      <c r="B209" s="203" t="s">
        <v>319</v>
      </c>
      <c r="C209" s="203" t="s">
        <v>1252</v>
      </c>
      <c r="D209" s="203" t="s">
        <v>2949</v>
      </c>
      <c r="E209" s="203" t="s">
        <v>2079</v>
      </c>
      <c r="F209" s="203" t="s">
        <v>2367</v>
      </c>
      <c r="G209" s="203" t="s">
        <v>2393</v>
      </c>
      <c r="I209" s="203" t="s">
        <v>2959</v>
      </c>
      <c r="J209" s="203" t="s">
        <v>50</v>
      </c>
      <c r="K209" s="203" t="s">
        <v>50</v>
      </c>
      <c r="L209" s="203" t="s">
        <v>942</v>
      </c>
      <c r="M209" s="203" t="s">
        <v>51</v>
      </c>
      <c r="N209" s="203">
        <v>27.311699999999998</v>
      </c>
      <c r="O209" s="203">
        <v>97.415289999999999</v>
      </c>
      <c r="P209" s="203" t="s">
        <v>943</v>
      </c>
      <c r="Q209" s="203" t="s">
        <v>931</v>
      </c>
      <c r="R209" s="425">
        <v>14</v>
      </c>
      <c r="S209" s="425">
        <v>75</v>
      </c>
      <c r="T209" s="542" t="s">
        <v>935</v>
      </c>
      <c r="U209" s="427" t="s">
        <v>1253</v>
      </c>
      <c r="V209" s="203" t="s">
        <v>1252</v>
      </c>
      <c r="W209" s="203" t="s">
        <v>3103</v>
      </c>
    </row>
    <row r="210" spans="1:23" s="203" customFormat="1" ht="17.25" hidden="1" customHeight="1" x14ac:dyDescent="0.2">
      <c r="A210" s="426" t="s">
        <v>44</v>
      </c>
      <c r="B210" s="429" t="s">
        <v>360</v>
      </c>
      <c r="C210" s="430" t="s">
        <v>2805</v>
      </c>
      <c r="D210" s="432"/>
      <c r="J210" s="203" t="s">
        <v>1921</v>
      </c>
      <c r="K210" s="294" t="s">
        <v>50</v>
      </c>
      <c r="L210" s="294" t="s">
        <v>946</v>
      </c>
      <c r="P210" s="203" t="s">
        <v>930</v>
      </c>
      <c r="R210" s="434"/>
      <c r="S210" s="426"/>
      <c r="T210" s="542">
        <v>43298</v>
      </c>
      <c r="U210" s="427"/>
    </row>
    <row r="211" spans="1:23" s="203" customFormat="1" ht="17.25" hidden="1" customHeight="1" x14ac:dyDescent="0.2">
      <c r="A211" s="426" t="s">
        <v>44</v>
      </c>
      <c r="B211" s="429" t="s">
        <v>360</v>
      </c>
      <c r="C211" s="707" t="s">
        <v>2790</v>
      </c>
      <c r="D211" s="432"/>
      <c r="J211" s="203" t="s">
        <v>1921</v>
      </c>
      <c r="K211" s="294" t="s">
        <v>50</v>
      </c>
      <c r="L211" s="294" t="s">
        <v>946</v>
      </c>
      <c r="P211" s="203" t="s">
        <v>930</v>
      </c>
      <c r="R211" s="434"/>
      <c r="S211" s="426"/>
      <c r="T211" s="542">
        <v>43297</v>
      </c>
      <c r="U211" s="427"/>
    </row>
    <row r="212" spans="1:23" s="203" customFormat="1" ht="17.25" hidden="1" customHeight="1" x14ac:dyDescent="0.2">
      <c r="A212" s="203" t="s">
        <v>44</v>
      </c>
      <c r="B212" s="203" t="s">
        <v>360</v>
      </c>
      <c r="C212" s="203" t="s">
        <v>361</v>
      </c>
      <c r="D212" s="203" t="s">
        <v>2949</v>
      </c>
      <c r="E212" s="203" t="s">
        <v>1934</v>
      </c>
      <c r="F212" s="203" t="s">
        <v>2296</v>
      </c>
      <c r="G212" s="203" t="s">
        <v>2296</v>
      </c>
      <c r="H212" s="203" t="s">
        <v>48</v>
      </c>
      <c r="I212" s="203" t="s">
        <v>287</v>
      </c>
      <c r="J212" s="203" t="s">
        <v>50</v>
      </c>
      <c r="K212" s="203" t="s">
        <v>50</v>
      </c>
      <c r="L212" s="203" t="s">
        <v>50</v>
      </c>
      <c r="M212" s="203" t="s">
        <v>51</v>
      </c>
      <c r="N212" s="203">
        <v>24.200361000000001</v>
      </c>
      <c r="O212" s="203">
        <v>96.807353000000006</v>
      </c>
      <c r="P212" s="203" t="s">
        <v>930</v>
      </c>
      <c r="Q212" s="203" t="s">
        <v>951</v>
      </c>
      <c r="R212" s="425">
        <v>91</v>
      </c>
      <c r="S212" s="425">
        <v>344</v>
      </c>
      <c r="T212" s="542" t="s">
        <v>935</v>
      </c>
      <c r="U212" s="427"/>
      <c r="V212" s="203" t="s">
        <v>361</v>
      </c>
      <c r="W212" s="203" t="s">
        <v>3104</v>
      </c>
    </row>
    <row r="213" spans="1:23" s="203" customFormat="1" ht="17.25" hidden="1" customHeight="1" x14ac:dyDescent="0.2">
      <c r="A213" s="203" t="s">
        <v>44</v>
      </c>
      <c r="B213" s="203" t="s">
        <v>360</v>
      </c>
      <c r="C213" s="203" t="s">
        <v>362</v>
      </c>
      <c r="D213" s="203" t="s">
        <v>2949</v>
      </c>
      <c r="E213" s="203" t="s">
        <v>1935</v>
      </c>
      <c r="F213" s="203" t="s">
        <v>2296</v>
      </c>
      <c r="G213" s="203" t="s">
        <v>2296</v>
      </c>
      <c r="H213" s="203" t="s">
        <v>48</v>
      </c>
      <c r="I213" s="203" t="s">
        <v>49</v>
      </c>
      <c r="J213" s="203" t="s">
        <v>50</v>
      </c>
      <c r="K213" s="203" t="s">
        <v>50</v>
      </c>
      <c r="L213" s="203" t="s">
        <v>50</v>
      </c>
      <c r="M213" s="203" t="s">
        <v>51</v>
      </c>
      <c r="N213" s="203">
        <v>24.200367</v>
      </c>
      <c r="O213" s="203">
        <v>96.807353000000006</v>
      </c>
      <c r="P213" s="203" t="s">
        <v>930</v>
      </c>
      <c r="Q213" s="203" t="s">
        <v>951</v>
      </c>
      <c r="R213" s="425">
        <v>47</v>
      </c>
      <c r="S213" s="425">
        <v>197</v>
      </c>
      <c r="T213" s="542" t="s">
        <v>935</v>
      </c>
      <c r="U213" s="427"/>
      <c r="V213" s="203" t="s">
        <v>362</v>
      </c>
      <c r="W213" s="203" t="s">
        <v>3105</v>
      </c>
    </row>
    <row r="214" spans="1:23" s="203" customFormat="1" ht="17.25" hidden="1" customHeight="1" x14ac:dyDescent="0.2">
      <c r="A214" s="203" t="s">
        <v>44</v>
      </c>
      <c r="B214" s="203" t="s">
        <v>360</v>
      </c>
      <c r="C214" s="203" t="s">
        <v>1310</v>
      </c>
      <c r="D214" s="203" t="s">
        <v>2177</v>
      </c>
      <c r="J214" s="203" t="s">
        <v>1259</v>
      </c>
      <c r="K214" s="203" t="s">
        <v>50</v>
      </c>
      <c r="L214" s="203" t="s">
        <v>929</v>
      </c>
      <c r="M214" s="203" t="s">
        <v>51</v>
      </c>
      <c r="P214" s="203" t="s">
        <v>930</v>
      </c>
      <c r="R214" s="425"/>
      <c r="S214" s="426"/>
      <c r="T214" s="542" t="s">
        <v>935</v>
      </c>
      <c r="U214" s="427"/>
      <c r="V214" s="203" t="s">
        <v>1310</v>
      </c>
    </row>
    <row r="215" spans="1:23" s="203" customFormat="1" ht="17.25" hidden="1" customHeight="1" x14ac:dyDescent="0.2">
      <c r="A215" s="203" t="s">
        <v>44</v>
      </c>
      <c r="B215" s="203" t="s">
        <v>360</v>
      </c>
      <c r="C215" s="203" t="s">
        <v>1173</v>
      </c>
      <c r="D215" s="203" t="s">
        <v>2177</v>
      </c>
      <c r="E215" s="203" t="s">
        <v>1943</v>
      </c>
      <c r="I215" s="203">
        <v>0</v>
      </c>
      <c r="J215" s="203" t="s">
        <v>50</v>
      </c>
      <c r="K215" s="203" t="s">
        <v>50</v>
      </c>
      <c r="L215" s="203" t="s">
        <v>929</v>
      </c>
      <c r="M215" s="203" t="s">
        <v>51</v>
      </c>
      <c r="N215" s="203">
        <v>24.224830999999998</v>
      </c>
      <c r="O215" s="203">
        <v>96.793177</v>
      </c>
      <c r="P215" s="203" t="s">
        <v>930</v>
      </c>
      <c r="Q215" s="203" t="s">
        <v>931</v>
      </c>
      <c r="R215" s="425"/>
      <c r="S215" s="426"/>
      <c r="T215" s="542">
        <v>42983</v>
      </c>
      <c r="U215" s="427" t="s">
        <v>1174</v>
      </c>
      <c r="W215" s="203" t="s">
        <v>3106</v>
      </c>
    </row>
    <row r="216" spans="1:23" s="203" customFormat="1" ht="17.25" hidden="1" customHeight="1" x14ac:dyDescent="0.2">
      <c r="A216" s="426" t="s">
        <v>44</v>
      </c>
      <c r="B216" s="429" t="s">
        <v>360</v>
      </c>
      <c r="C216" s="430" t="s">
        <v>2804</v>
      </c>
      <c r="D216" s="432"/>
      <c r="J216" s="203" t="s">
        <v>1921</v>
      </c>
      <c r="K216" s="294" t="s">
        <v>50</v>
      </c>
      <c r="L216" s="294" t="s">
        <v>946</v>
      </c>
      <c r="P216" s="203" t="s">
        <v>930</v>
      </c>
      <c r="R216" s="434"/>
      <c r="S216" s="426"/>
      <c r="T216" s="542">
        <v>43298</v>
      </c>
      <c r="U216" s="427"/>
    </row>
    <row r="217" spans="1:23" s="203" customFormat="1" ht="17.25" hidden="1" customHeight="1" x14ac:dyDescent="0.2">
      <c r="A217" s="426" t="s">
        <v>44</v>
      </c>
      <c r="B217" s="429" t="s">
        <v>360</v>
      </c>
      <c r="C217" s="430" t="s">
        <v>2802</v>
      </c>
      <c r="D217" s="432"/>
      <c r="J217" s="203" t="s">
        <v>1921</v>
      </c>
      <c r="K217" s="294" t="s">
        <v>50</v>
      </c>
      <c r="L217" s="294" t="s">
        <v>946</v>
      </c>
      <c r="P217" s="203" t="s">
        <v>930</v>
      </c>
      <c r="R217" s="434"/>
      <c r="S217" s="426"/>
      <c r="T217" s="542">
        <v>43298</v>
      </c>
      <c r="U217" s="427"/>
    </row>
    <row r="218" spans="1:23" s="203" customFormat="1" ht="17.25" hidden="1" customHeight="1" x14ac:dyDescent="0.2">
      <c r="A218" s="203" t="s">
        <v>44</v>
      </c>
      <c r="B218" s="203" t="s">
        <v>330</v>
      </c>
      <c r="C218" s="203" t="s">
        <v>331</v>
      </c>
      <c r="D218" s="203" t="s">
        <v>2949</v>
      </c>
      <c r="E218" s="203" t="s">
        <v>2074</v>
      </c>
      <c r="F218" s="203">
        <v>0</v>
      </c>
      <c r="G218" s="203">
        <v>0</v>
      </c>
      <c r="H218" s="203" t="s">
        <v>48</v>
      </c>
      <c r="I218" s="203" t="s">
        <v>287</v>
      </c>
      <c r="J218" s="203" t="s">
        <v>50</v>
      </c>
      <c r="K218" s="203" t="s">
        <v>50</v>
      </c>
      <c r="L218" s="203" t="s">
        <v>50</v>
      </c>
      <c r="M218" s="203" t="s">
        <v>949</v>
      </c>
      <c r="N218" s="203">
        <v>26.569633</v>
      </c>
      <c r="O218" s="203">
        <v>97.745480999999998</v>
      </c>
      <c r="P218" s="21" t="s">
        <v>2716</v>
      </c>
      <c r="Q218" s="203" t="s">
        <v>931</v>
      </c>
      <c r="R218" s="425">
        <v>123</v>
      </c>
      <c r="S218" s="425">
        <v>637</v>
      </c>
      <c r="T218" s="542" t="s">
        <v>935</v>
      </c>
      <c r="U218" s="427"/>
      <c r="V218" s="203" t="s">
        <v>1243</v>
      </c>
      <c r="W218" s="203" t="s">
        <v>3107</v>
      </c>
    </row>
    <row r="219" spans="1:23" s="203" customFormat="1" ht="17.25" hidden="1" customHeight="1" x14ac:dyDescent="0.2">
      <c r="A219" s="203" t="s">
        <v>44</v>
      </c>
      <c r="B219" s="203" t="s">
        <v>330</v>
      </c>
      <c r="C219" s="203" t="s">
        <v>1296</v>
      </c>
      <c r="D219" s="203" t="s">
        <v>2177</v>
      </c>
      <c r="J219" s="203" t="s">
        <v>50</v>
      </c>
      <c r="K219" s="203" t="s">
        <v>50</v>
      </c>
      <c r="L219" s="203" t="s">
        <v>1259</v>
      </c>
      <c r="M219" s="203" t="s">
        <v>51</v>
      </c>
      <c r="P219" s="203" t="s">
        <v>930</v>
      </c>
      <c r="R219" s="425"/>
      <c r="S219" s="426"/>
      <c r="T219" s="542" t="s">
        <v>935</v>
      </c>
      <c r="U219" s="427"/>
      <c r="V219" s="203" t="s">
        <v>1296</v>
      </c>
    </row>
    <row r="220" spans="1:23" s="203" customFormat="1" ht="17.25" hidden="1" customHeight="1" x14ac:dyDescent="0.2">
      <c r="A220" s="203" t="s">
        <v>44</v>
      </c>
      <c r="B220" s="203" t="s">
        <v>330</v>
      </c>
      <c r="C220" s="203" t="s">
        <v>333</v>
      </c>
      <c r="D220" s="203" t="s">
        <v>2949</v>
      </c>
      <c r="E220" s="203" t="s">
        <v>2073</v>
      </c>
      <c r="F220" s="203">
        <v>0</v>
      </c>
      <c r="G220" s="203">
        <v>0</v>
      </c>
      <c r="H220" s="203" t="s">
        <v>48</v>
      </c>
      <c r="I220" s="203" t="s">
        <v>287</v>
      </c>
      <c r="J220" s="203" t="s">
        <v>50</v>
      </c>
      <c r="K220" s="203" t="s">
        <v>50</v>
      </c>
      <c r="L220" s="203" t="s">
        <v>50</v>
      </c>
      <c r="M220" s="203" t="s">
        <v>949</v>
      </c>
      <c r="N220" s="203">
        <v>26.548506</v>
      </c>
      <c r="O220" s="203">
        <v>97.75609</v>
      </c>
      <c r="P220" s="21" t="s">
        <v>2716</v>
      </c>
      <c r="Q220" s="203" t="s">
        <v>931</v>
      </c>
      <c r="R220" s="425">
        <v>63</v>
      </c>
      <c r="S220" s="425">
        <v>332</v>
      </c>
      <c r="T220" s="542">
        <v>42788</v>
      </c>
      <c r="U220" s="427"/>
      <c r="W220" s="203" t="s">
        <v>3108</v>
      </c>
    </row>
    <row r="221" spans="1:23" s="203" customFormat="1" ht="17.25" hidden="1" customHeight="1" x14ac:dyDescent="0.2">
      <c r="A221" s="203" t="s">
        <v>44</v>
      </c>
      <c r="B221" s="203" t="s">
        <v>330</v>
      </c>
      <c r="C221" s="203" t="s">
        <v>330</v>
      </c>
      <c r="D221" s="203" t="s">
        <v>2949</v>
      </c>
      <c r="E221" s="203" t="s">
        <v>2072</v>
      </c>
      <c r="F221" s="203" t="s">
        <v>2391</v>
      </c>
      <c r="G221" s="203">
        <v>0</v>
      </c>
      <c r="I221" s="203" t="s">
        <v>2959</v>
      </c>
      <c r="J221" s="203" t="s">
        <v>50</v>
      </c>
      <c r="K221" s="203" t="s">
        <v>50</v>
      </c>
      <c r="L221" s="203" t="s">
        <v>946</v>
      </c>
      <c r="M221" s="203" t="s">
        <v>51</v>
      </c>
      <c r="N221" s="203">
        <v>26.541930000000001</v>
      </c>
      <c r="O221" s="203">
        <v>97.568836000000005</v>
      </c>
      <c r="P221" s="203" t="s">
        <v>930</v>
      </c>
      <c r="Q221" s="203" t="s">
        <v>931</v>
      </c>
      <c r="R221" s="425">
        <v>5</v>
      </c>
      <c r="S221" s="425">
        <v>32</v>
      </c>
      <c r="T221" s="542" t="s">
        <v>935</v>
      </c>
      <c r="U221" s="427" t="s">
        <v>1242</v>
      </c>
      <c r="V221" s="203" t="s">
        <v>330</v>
      </c>
    </row>
    <row r="222" spans="1:23" s="203" customFormat="1" ht="17.25" hidden="1" customHeight="1" x14ac:dyDescent="0.2">
      <c r="A222" s="294" t="s">
        <v>44</v>
      </c>
      <c r="B222" s="294" t="s">
        <v>330</v>
      </c>
      <c r="C222" s="294" t="s">
        <v>1324</v>
      </c>
      <c r="D222" s="203" t="s">
        <v>2177</v>
      </c>
      <c r="E222" s="294"/>
      <c r="H222" s="294"/>
      <c r="I222" s="294"/>
      <c r="J222" s="294" t="s">
        <v>1921</v>
      </c>
      <c r="K222" s="294" t="s">
        <v>50</v>
      </c>
      <c r="L222" s="294" t="s">
        <v>929</v>
      </c>
      <c r="M222" s="294" t="s">
        <v>51</v>
      </c>
      <c r="N222" s="294"/>
      <c r="O222" s="294"/>
      <c r="P222" s="203" t="s">
        <v>930</v>
      </c>
      <c r="Q222" s="294" t="s">
        <v>931</v>
      </c>
      <c r="R222" s="429"/>
      <c r="S222" s="430"/>
      <c r="T222" s="543">
        <v>42788</v>
      </c>
      <c r="U222" s="431"/>
    </row>
    <row r="223" spans="1:23" s="203" customFormat="1" ht="17.25" hidden="1" customHeight="1" x14ac:dyDescent="0.2">
      <c r="A223" s="430" t="s">
        <v>44</v>
      </c>
      <c r="B223" s="429" t="s">
        <v>1311</v>
      </c>
      <c r="C223" s="430" t="s">
        <v>2718</v>
      </c>
      <c r="D223" s="447"/>
      <c r="E223" s="294"/>
      <c r="F223" s="294"/>
      <c r="G223" s="294"/>
      <c r="H223" s="294"/>
      <c r="I223" s="294"/>
      <c r="J223" s="294" t="s">
        <v>1921</v>
      </c>
      <c r="K223" s="294" t="s">
        <v>50</v>
      </c>
      <c r="L223" s="294" t="s">
        <v>946</v>
      </c>
      <c r="M223" s="294"/>
      <c r="N223" s="294"/>
      <c r="O223" s="294"/>
      <c r="P223" s="294" t="s">
        <v>2716</v>
      </c>
      <c r="Q223" s="294" t="s">
        <v>2653</v>
      </c>
      <c r="R223" s="435">
        <v>110</v>
      </c>
      <c r="S223" s="430">
        <v>566</v>
      </c>
      <c r="T223" s="543">
        <v>43285</v>
      </c>
      <c r="U223" s="431" t="s">
        <v>2723</v>
      </c>
      <c r="V223" s="294"/>
    </row>
    <row r="224" spans="1:23" s="203" customFormat="1" ht="17.25" hidden="1" customHeight="1" x14ac:dyDescent="0.2">
      <c r="A224" s="430" t="s">
        <v>44</v>
      </c>
      <c r="B224" s="429" t="s">
        <v>1311</v>
      </c>
      <c r="C224" s="430" t="s">
        <v>2719</v>
      </c>
      <c r="D224" s="432"/>
      <c r="J224" s="203" t="s">
        <v>1921</v>
      </c>
      <c r="K224" s="294" t="s">
        <v>50</v>
      </c>
      <c r="L224" s="294" t="s">
        <v>946</v>
      </c>
      <c r="P224" s="203" t="s">
        <v>2716</v>
      </c>
      <c r="Q224" s="203" t="s">
        <v>2653</v>
      </c>
      <c r="R224" s="434">
        <v>72</v>
      </c>
      <c r="S224" s="426">
        <v>228</v>
      </c>
      <c r="T224" s="542">
        <v>43285</v>
      </c>
      <c r="U224" s="431" t="s">
        <v>2723</v>
      </c>
    </row>
    <row r="225" spans="1:23" s="203" customFormat="1" ht="17.25" hidden="1" customHeight="1" x14ac:dyDescent="0.2">
      <c r="A225" s="203" t="s">
        <v>44</v>
      </c>
      <c r="B225" s="203" t="s">
        <v>1311</v>
      </c>
      <c r="C225" s="203" t="s">
        <v>2690</v>
      </c>
      <c r="D225" s="203" t="s">
        <v>2949</v>
      </c>
      <c r="E225" s="203" t="s">
        <v>2098</v>
      </c>
      <c r="F225" s="203" t="s">
        <v>1311</v>
      </c>
      <c r="G225" s="203">
        <v>0</v>
      </c>
      <c r="I225" s="203" t="s">
        <v>2959</v>
      </c>
      <c r="J225" s="203" t="s">
        <v>50</v>
      </c>
      <c r="K225" s="203" t="s">
        <v>50</v>
      </c>
      <c r="L225" s="203" t="s">
        <v>946</v>
      </c>
      <c r="M225" s="203" t="s">
        <v>51</v>
      </c>
      <c r="P225" s="203" t="s">
        <v>930</v>
      </c>
      <c r="Q225" s="203" t="s">
        <v>1097</v>
      </c>
      <c r="R225" s="425">
        <v>42</v>
      </c>
      <c r="S225" s="425">
        <v>190</v>
      </c>
      <c r="T225" s="542">
        <v>42983</v>
      </c>
      <c r="U225" s="427" t="s">
        <v>1312</v>
      </c>
    </row>
    <row r="226" spans="1:23" s="203" customFormat="1" ht="17.25" hidden="1" customHeight="1" x14ac:dyDescent="0.2">
      <c r="A226" s="203" t="s">
        <v>44</v>
      </c>
      <c r="B226" s="203" t="s">
        <v>1311</v>
      </c>
      <c r="C226" s="203" t="s">
        <v>1313</v>
      </c>
      <c r="D226" s="203" t="s">
        <v>2949</v>
      </c>
      <c r="E226" s="203" t="s">
        <v>2099</v>
      </c>
      <c r="F226" s="203" t="s">
        <v>1311</v>
      </c>
      <c r="G226" s="203">
        <v>0</v>
      </c>
      <c r="I226" s="203" t="s">
        <v>2959</v>
      </c>
      <c r="J226" s="203" t="s">
        <v>50</v>
      </c>
      <c r="K226" s="203" t="s">
        <v>50</v>
      </c>
      <c r="L226" s="203" t="s">
        <v>946</v>
      </c>
      <c r="M226" s="203" t="s">
        <v>51</v>
      </c>
      <c r="P226" s="203" t="s">
        <v>930</v>
      </c>
      <c r="Q226" s="203" t="s">
        <v>1097</v>
      </c>
      <c r="R226" s="425">
        <v>34</v>
      </c>
      <c r="S226" s="425">
        <v>143</v>
      </c>
      <c r="T226" s="542">
        <v>42983</v>
      </c>
      <c r="U226" s="427" t="s">
        <v>1312</v>
      </c>
      <c r="W226" s="203" t="s">
        <v>3109</v>
      </c>
    </row>
    <row r="227" spans="1:23" s="203" customFormat="1" ht="17.25" hidden="1" customHeight="1" x14ac:dyDescent="0.2">
      <c r="A227" s="203" t="s">
        <v>44</v>
      </c>
      <c r="B227" s="203" t="s">
        <v>1311</v>
      </c>
      <c r="C227" s="203" t="s">
        <v>2955</v>
      </c>
      <c r="D227" s="203" t="s">
        <v>2949</v>
      </c>
      <c r="E227" s="203" t="s">
        <v>2100</v>
      </c>
      <c r="F227" s="203" t="s">
        <v>1311</v>
      </c>
      <c r="G227" s="203">
        <v>0</v>
      </c>
      <c r="I227" s="203" t="s">
        <v>2959</v>
      </c>
      <c r="J227" s="203" t="s">
        <v>50</v>
      </c>
      <c r="K227" s="203" t="s">
        <v>50</v>
      </c>
      <c r="L227" s="203" t="s">
        <v>50</v>
      </c>
      <c r="M227" s="203" t="s">
        <v>51</v>
      </c>
      <c r="P227" s="203" t="s">
        <v>930</v>
      </c>
      <c r="Q227" s="203" t="s">
        <v>1097</v>
      </c>
      <c r="R227" s="425">
        <v>101</v>
      </c>
      <c r="S227" s="425">
        <v>380</v>
      </c>
      <c r="T227" s="542">
        <v>42983</v>
      </c>
      <c r="U227" s="427" t="s">
        <v>1314</v>
      </c>
      <c r="W227" s="203" t="s">
        <v>3110</v>
      </c>
    </row>
    <row r="228" spans="1:23" s="203" customFormat="1" ht="17.25" hidden="1" customHeight="1" x14ac:dyDescent="0.2">
      <c r="A228" s="203" t="s">
        <v>44</v>
      </c>
      <c r="B228" s="203" t="s">
        <v>1311</v>
      </c>
      <c r="C228" s="203" t="s">
        <v>1315</v>
      </c>
      <c r="D228" s="203" t="s">
        <v>2949</v>
      </c>
      <c r="E228" s="203" t="s">
        <v>2101</v>
      </c>
      <c r="F228" s="203" t="s">
        <v>1311</v>
      </c>
      <c r="G228" s="203">
        <v>0</v>
      </c>
      <c r="I228" s="203" t="s">
        <v>2959</v>
      </c>
      <c r="J228" s="203" t="s">
        <v>50</v>
      </c>
      <c r="K228" s="203" t="s">
        <v>50</v>
      </c>
      <c r="L228" s="203" t="s">
        <v>946</v>
      </c>
      <c r="M228" s="203" t="s">
        <v>51</v>
      </c>
      <c r="P228" s="203" t="s">
        <v>930</v>
      </c>
      <c r="Q228" s="203" t="s">
        <v>1097</v>
      </c>
      <c r="R228" s="425">
        <v>139</v>
      </c>
      <c r="S228" s="425">
        <v>572</v>
      </c>
      <c r="T228" s="542">
        <v>42983</v>
      </c>
      <c r="U228" s="427" t="s">
        <v>1314</v>
      </c>
      <c r="W228" s="203" t="s">
        <v>3111</v>
      </c>
    </row>
    <row r="229" spans="1:23" s="203" customFormat="1" ht="17.25" hidden="1" customHeight="1" x14ac:dyDescent="0.2">
      <c r="A229" s="430" t="s">
        <v>44</v>
      </c>
      <c r="B229" s="429" t="s">
        <v>1311</v>
      </c>
      <c r="C229" s="294" t="s">
        <v>2662</v>
      </c>
      <c r="D229" s="432"/>
      <c r="J229" s="203" t="s">
        <v>1921</v>
      </c>
      <c r="K229" s="203" t="s">
        <v>50</v>
      </c>
      <c r="L229" s="203" t="s">
        <v>50</v>
      </c>
      <c r="M229" s="203" t="s">
        <v>51</v>
      </c>
      <c r="P229" s="203" t="s">
        <v>930</v>
      </c>
      <c r="Q229" s="203" t="s">
        <v>2653</v>
      </c>
      <c r="R229" s="434"/>
      <c r="S229" s="426"/>
      <c r="T229" s="542">
        <v>43270</v>
      </c>
      <c r="U229" s="427"/>
    </row>
    <row r="230" spans="1:23" s="203" customFormat="1" ht="17.25" hidden="1" customHeight="1" x14ac:dyDescent="0.2">
      <c r="A230" s="203" t="s">
        <v>44</v>
      </c>
      <c r="B230" s="203" t="s">
        <v>288</v>
      </c>
      <c r="C230" s="203" t="s">
        <v>383</v>
      </c>
      <c r="D230" s="203" t="s">
        <v>2949</v>
      </c>
      <c r="E230" s="203" t="s">
        <v>1987</v>
      </c>
      <c r="F230" s="203" t="s">
        <v>2325</v>
      </c>
      <c r="G230" s="203" t="s">
        <v>2323</v>
      </c>
      <c r="H230" s="203" t="s">
        <v>48</v>
      </c>
      <c r="I230" s="203" t="s">
        <v>1539</v>
      </c>
      <c r="J230" s="203" t="s">
        <v>50</v>
      </c>
      <c r="K230" s="203" t="s">
        <v>50</v>
      </c>
      <c r="L230" s="203" t="s">
        <v>50</v>
      </c>
      <c r="M230" s="203" t="s">
        <v>949</v>
      </c>
      <c r="N230" s="203">
        <v>25.220278</v>
      </c>
      <c r="O230" s="203">
        <v>97.915833000000006</v>
      </c>
      <c r="P230" s="203" t="s">
        <v>930</v>
      </c>
      <c r="Q230" s="203" t="s">
        <v>951</v>
      </c>
      <c r="R230" s="425">
        <v>125</v>
      </c>
      <c r="S230" s="425">
        <v>486</v>
      </c>
      <c r="T230" s="542" t="s">
        <v>935</v>
      </c>
      <c r="U230" s="427"/>
      <c r="V230" s="203" t="s">
        <v>383</v>
      </c>
      <c r="W230" s="203" t="s">
        <v>3112</v>
      </c>
    </row>
    <row r="231" spans="1:23" s="203" customFormat="1" ht="17.25" hidden="1" customHeight="1" x14ac:dyDescent="0.2">
      <c r="A231" s="203" t="s">
        <v>44</v>
      </c>
      <c r="B231" s="203" t="s">
        <v>288</v>
      </c>
      <c r="C231" s="203" t="s">
        <v>365</v>
      </c>
      <c r="D231" s="203" t="s">
        <v>2177</v>
      </c>
      <c r="J231" s="203" t="s">
        <v>1921</v>
      </c>
      <c r="K231" s="203" t="s">
        <v>50</v>
      </c>
      <c r="L231" s="203" t="s">
        <v>1198</v>
      </c>
      <c r="M231" s="203" t="s">
        <v>949</v>
      </c>
      <c r="P231" s="203" t="s">
        <v>930</v>
      </c>
      <c r="Q231" s="203" t="s">
        <v>951</v>
      </c>
      <c r="R231" s="425"/>
      <c r="S231" s="426"/>
      <c r="T231" s="542" t="s">
        <v>935</v>
      </c>
      <c r="U231" s="427" t="s">
        <v>1267</v>
      </c>
      <c r="V231" s="203" t="s">
        <v>365</v>
      </c>
    </row>
    <row r="232" spans="1:23" s="203" customFormat="1" ht="17.25" hidden="1" customHeight="1" x14ac:dyDescent="0.2">
      <c r="A232" s="203" t="s">
        <v>44</v>
      </c>
      <c r="B232" s="203" t="s">
        <v>288</v>
      </c>
      <c r="C232" s="203" t="s">
        <v>366</v>
      </c>
      <c r="D232" s="203" t="s">
        <v>2177</v>
      </c>
      <c r="J232" s="203" t="s">
        <v>1921</v>
      </c>
      <c r="K232" s="203" t="s">
        <v>50</v>
      </c>
      <c r="L232" s="203" t="s">
        <v>1198</v>
      </c>
      <c r="M232" s="203" t="s">
        <v>949</v>
      </c>
      <c r="P232" s="203" t="s">
        <v>930</v>
      </c>
      <c r="Q232" s="203" t="s">
        <v>951</v>
      </c>
      <c r="R232" s="425"/>
      <c r="S232" s="426"/>
      <c r="T232" s="542" t="s">
        <v>935</v>
      </c>
      <c r="U232" s="427" t="s">
        <v>1267</v>
      </c>
      <c r="V232" s="203" t="s">
        <v>366</v>
      </c>
    </row>
    <row r="233" spans="1:23" s="203" customFormat="1" ht="17.25" hidden="1" customHeight="1" x14ac:dyDescent="0.2">
      <c r="A233" s="203" t="s">
        <v>44</v>
      </c>
      <c r="B233" s="203" t="s">
        <v>288</v>
      </c>
      <c r="C233" s="203" t="s">
        <v>1215</v>
      </c>
      <c r="D233" s="203" t="s">
        <v>2949</v>
      </c>
      <c r="E233" s="203" t="s">
        <v>1994</v>
      </c>
      <c r="F233" s="203" t="s">
        <v>2389</v>
      </c>
      <c r="G233" s="203" t="s">
        <v>2390</v>
      </c>
      <c r="I233" s="203" t="s">
        <v>2959</v>
      </c>
      <c r="J233" s="203" t="s">
        <v>50</v>
      </c>
      <c r="K233" s="203" t="s">
        <v>50</v>
      </c>
      <c r="L233" s="203" t="s">
        <v>946</v>
      </c>
      <c r="M233" s="203" t="s">
        <v>51</v>
      </c>
      <c r="N233" s="203">
        <v>25.305008999999998</v>
      </c>
      <c r="O233" s="203">
        <v>97.430321000000006</v>
      </c>
      <c r="P233" s="203" t="s">
        <v>930</v>
      </c>
      <c r="Q233" s="203" t="s">
        <v>973</v>
      </c>
      <c r="R233" s="425">
        <v>62</v>
      </c>
      <c r="S233" s="425">
        <v>410</v>
      </c>
      <c r="T233" s="542">
        <v>42916</v>
      </c>
      <c r="U233" s="427" t="s">
        <v>1216</v>
      </c>
      <c r="W233" s="203" t="s">
        <v>3113</v>
      </c>
    </row>
    <row r="234" spans="1:23" s="203" customFormat="1" ht="17.25" hidden="1" customHeight="1" x14ac:dyDescent="0.2">
      <c r="A234" s="203" t="s">
        <v>44</v>
      </c>
      <c r="B234" s="203" t="s">
        <v>288</v>
      </c>
      <c r="C234" s="203" t="s">
        <v>418</v>
      </c>
      <c r="D234" s="203" t="s">
        <v>2949</v>
      </c>
      <c r="E234" s="203" t="s">
        <v>1996</v>
      </c>
      <c r="F234" s="203" t="s">
        <v>2330</v>
      </c>
      <c r="G234" s="203" t="s">
        <v>2330</v>
      </c>
      <c r="H234" s="203" t="s">
        <v>48</v>
      </c>
      <c r="I234" s="203" t="s">
        <v>389</v>
      </c>
      <c r="J234" s="203" t="s">
        <v>50</v>
      </c>
      <c r="K234" s="203" t="s">
        <v>50</v>
      </c>
      <c r="L234" s="203" t="s">
        <v>50</v>
      </c>
      <c r="M234" s="203" t="s">
        <v>51</v>
      </c>
      <c r="N234" s="203">
        <v>25.321710740740698</v>
      </c>
      <c r="O234" s="203">
        <v>97.404195925926004</v>
      </c>
      <c r="P234" s="203" t="s">
        <v>930</v>
      </c>
      <c r="Q234" s="203" t="s">
        <v>951</v>
      </c>
      <c r="R234" s="425">
        <v>92</v>
      </c>
      <c r="S234" s="425">
        <v>447</v>
      </c>
      <c r="T234" s="542" t="s">
        <v>935</v>
      </c>
      <c r="U234" s="427"/>
      <c r="V234" s="203" t="s">
        <v>418</v>
      </c>
      <c r="W234" s="203" t="s">
        <v>3114</v>
      </c>
    </row>
    <row r="235" spans="1:23" s="203" customFormat="1" ht="17.25" hidden="1" customHeight="1" x14ac:dyDescent="0.2">
      <c r="A235" s="203" t="s">
        <v>44</v>
      </c>
      <c r="B235" s="203" t="s">
        <v>288</v>
      </c>
      <c r="C235" s="203" t="s">
        <v>321</v>
      </c>
      <c r="D235" s="203" t="s">
        <v>2949</v>
      </c>
      <c r="E235" s="203" t="s">
        <v>1986</v>
      </c>
      <c r="F235" s="203" t="s">
        <v>2323</v>
      </c>
      <c r="G235" s="203" t="s">
        <v>2324</v>
      </c>
      <c r="H235" s="203" t="s">
        <v>48</v>
      </c>
      <c r="I235" s="203" t="s">
        <v>287</v>
      </c>
      <c r="J235" s="203" t="s">
        <v>50</v>
      </c>
      <c r="K235" s="203" t="s">
        <v>50</v>
      </c>
      <c r="L235" s="203" t="s">
        <v>50</v>
      </c>
      <c r="M235" s="203" t="s">
        <v>949</v>
      </c>
      <c r="N235" s="203">
        <v>25.200333000000001</v>
      </c>
      <c r="O235" s="203">
        <v>97.807182999999995</v>
      </c>
      <c r="P235" s="203" t="s">
        <v>930</v>
      </c>
      <c r="Q235" s="203" t="s">
        <v>951</v>
      </c>
      <c r="R235" s="425">
        <v>154</v>
      </c>
      <c r="S235" s="425">
        <v>919</v>
      </c>
      <c r="T235" s="542" t="s">
        <v>935</v>
      </c>
      <c r="U235" s="427"/>
      <c r="V235" s="203" t="s">
        <v>321</v>
      </c>
      <c r="W235" s="203" t="s">
        <v>3115</v>
      </c>
    </row>
    <row r="236" spans="1:23" s="203" customFormat="1" ht="17.25" hidden="1" customHeight="1" x14ac:dyDescent="0.2">
      <c r="A236" s="203" t="s">
        <v>44</v>
      </c>
      <c r="B236" s="203" t="s">
        <v>288</v>
      </c>
      <c r="C236" s="203" t="s">
        <v>370</v>
      </c>
      <c r="D236" s="203" t="s">
        <v>2949</v>
      </c>
      <c r="E236" s="203" t="s">
        <v>1974</v>
      </c>
      <c r="F236" s="203" t="s">
        <v>2230</v>
      </c>
      <c r="G236" s="203">
        <v>0</v>
      </c>
      <c r="I236" s="203" t="s">
        <v>2959</v>
      </c>
      <c r="J236" s="203" t="s">
        <v>50</v>
      </c>
      <c r="K236" s="203" t="s">
        <v>50</v>
      </c>
      <c r="L236" s="203" t="s">
        <v>1198</v>
      </c>
      <c r="M236" s="203" t="s">
        <v>949</v>
      </c>
      <c r="N236" s="203">
        <v>24.752471</v>
      </c>
      <c r="O236" s="203">
        <v>97.541793999999996</v>
      </c>
      <c r="P236" s="203" t="s">
        <v>930</v>
      </c>
      <c r="Q236" s="203" t="s">
        <v>931</v>
      </c>
      <c r="R236" s="425">
        <v>0</v>
      </c>
      <c r="S236" s="425">
        <v>872</v>
      </c>
      <c r="T236" s="542" t="s">
        <v>935</v>
      </c>
      <c r="U236" s="427"/>
      <c r="V236" s="203" t="s">
        <v>370</v>
      </c>
      <c r="W236" s="203" t="s">
        <v>3116</v>
      </c>
    </row>
    <row r="237" spans="1:23" s="203" customFormat="1" ht="17.25" hidden="1" customHeight="1" x14ac:dyDescent="0.2">
      <c r="A237" s="203" t="s">
        <v>44</v>
      </c>
      <c r="B237" s="203" t="s">
        <v>288</v>
      </c>
      <c r="C237" s="203" t="s">
        <v>1196</v>
      </c>
      <c r="D237" s="203" t="s">
        <v>2178</v>
      </c>
      <c r="E237" s="203" t="s">
        <v>1973</v>
      </c>
      <c r="F237" s="203" t="s">
        <v>2230</v>
      </c>
      <c r="G237" s="203" t="s">
        <v>2230</v>
      </c>
      <c r="H237" s="203" t="s">
        <v>48</v>
      </c>
      <c r="I237" s="203" t="s">
        <v>1539</v>
      </c>
      <c r="J237" s="203" t="s">
        <v>50</v>
      </c>
      <c r="K237" s="203" t="s">
        <v>50</v>
      </c>
      <c r="L237" s="203" t="s">
        <v>929</v>
      </c>
      <c r="M237" s="203" t="s">
        <v>949</v>
      </c>
      <c r="N237" s="203">
        <v>24.747212999999999</v>
      </c>
      <c r="O237" s="203">
        <v>97.551507000000001</v>
      </c>
      <c r="P237" s="203" t="s">
        <v>930</v>
      </c>
      <c r="R237" s="425"/>
      <c r="S237" s="426"/>
      <c r="T237" s="542" t="s">
        <v>935</v>
      </c>
      <c r="U237" s="427"/>
      <c r="V237" s="203" t="s">
        <v>1197</v>
      </c>
      <c r="W237" s="203" t="s">
        <v>3117</v>
      </c>
    </row>
    <row r="238" spans="1:23" s="203" customFormat="1" ht="17.25" hidden="1" customHeight="1" x14ac:dyDescent="0.2">
      <c r="A238" s="203" t="s">
        <v>44</v>
      </c>
      <c r="B238" s="203" t="s">
        <v>288</v>
      </c>
      <c r="C238" s="203" t="s">
        <v>1210</v>
      </c>
      <c r="D238" s="203" t="s">
        <v>2177</v>
      </c>
      <c r="E238" s="203" t="s">
        <v>1985</v>
      </c>
      <c r="J238" s="203" t="s">
        <v>50</v>
      </c>
      <c r="K238" s="203" t="s">
        <v>50</v>
      </c>
      <c r="L238" s="203" t="s">
        <v>929</v>
      </c>
      <c r="M238" s="203" t="s">
        <v>949</v>
      </c>
      <c r="N238" s="203">
        <v>25.108011999999999</v>
      </c>
      <c r="O238" s="203">
        <v>97.718008999999995</v>
      </c>
      <c r="P238" s="203" t="s">
        <v>930</v>
      </c>
      <c r="R238" s="425"/>
      <c r="S238" s="426"/>
      <c r="T238" s="542" t="s">
        <v>935</v>
      </c>
      <c r="U238" s="427"/>
      <c r="V238" s="203" t="s">
        <v>1210</v>
      </c>
    </row>
    <row r="239" spans="1:23" s="203" customFormat="1" ht="17.25" hidden="1" customHeight="1" x14ac:dyDescent="0.2">
      <c r="A239" s="203" t="s">
        <v>44</v>
      </c>
      <c r="B239" s="203" t="s">
        <v>288</v>
      </c>
      <c r="C239" s="203" t="s">
        <v>322</v>
      </c>
      <c r="D239" s="203" t="s">
        <v>2949</v>
      </c>
      <c r="E239" s="203" t="s">
        <v>2006</v>
      </c>
      <c r="F239" s="203" t="s">
        <v>2335</v>
      </c>
      <c r="G239" s="203" t="s">
        <v>2336</v>
      </c>
      <c r="H239" s="203" t="s">
        <v>48</v>
      </c>
      <c r="I239" s="203" t="s">
        <v>287</v>
      </c>
      <c r="J239" s="203" t="s">
        <v>50</v>
      </c>
      <c r="K239" s="203" t="s">
        <v>50</v>
      </c>
      <c r="L239" s="203" t="s">
        <v>50</v>
      </c>
      <c r="M239" s="203" t="s">
        <v>51</v>
      </c>
      <c r="N239" s="203">
        <v>25.356632000000001</v>
      </c>
      <c r="O239" s="203">
        <v>97.451965000000001</v>
      </c>
      <c r="P239" s="203" t="s">
        <v>930</v>
      </c>
      <c r="Q239" s="203" t="s">
        <v>951</v>
      </c>
      <c r="R239" s="425">
        <v>30</v>
      </c>
      <c r="S239" s="425">
        <v>176</v>
      </c>
      <c r="T239" s="542" t="s">
        <v>935</v>
      </c>
      <c r="U239" s="427"/>
      <c r="V239" s="203" t="s">
        <v>322</v>
      </c>
      <c r="W239" s="203" t="s">
        <v>3118</v>
      </c>
    </row>
    <row r="240" spans="1:23" s="203" customFormat="1" ht="17.25" hidden="1" customHeight="1" x14ac:dyDescent="0.2">
      <c r="A240" s="203" t="s">
        <v>44</v>
      </c>
      <c r="B240" s="203" t="s">
        <v>288</v>
      </c>
      <c r="C240" s="203" t="s">
        <v>323</v>
      </c>
      <c r="D240" s="203" t="s">
        <v>2949</v>
      </c>
      <c r="E240" s="203" t="s">
        <v>1980</v>
      </c>
      <c r="F240" s="203" t="s">
        <v>2320</v>
      </c>
      <c r="G240" s="203" t="s">
        <v>2322</v>
      </c>
      <c r="H240" s="203" t="s">
        <v>48</v>
      </c>
      <c r="I240" s="203" t="s">
        <v>1539</v>
      </c>
      <c r="J240" s="203" t="s">
        <v>50</v>
      </c>
      <c r="K240" s="203" t="s">
        <v>1139</v>
      </c>
      <c r="L240" s="203" t="s">
        <v>50</v>
      </c>
      <c r="M240" s="203" t="s">
        <v>949</v>
      </c>
      <c r="N240" s="203">
        <v>24.980250000000002</v>
      </c>
      <c r="O240" s="203">
        <v>97.715230000000005</v>
      </c>
      <c r="P240" s="21" t="s">
        <v>2716</v>
      </c>
      <c r="Q240" s="203" t="s">
        <v>951</v>
      </c>
      <c r="R240" s="425">
        <v>414</v>
      </c>
      <c r="S240" s="425">
        <v>1551</v>
      </c>
      <c r="T240" s="542" t="s">
        <v>935</v>
      </c>
      <c r="U240" s="427" t="s">
        <v>1203</v>
      </c>
      <c r="V240" s="203" t="s">
        <v>323</v>
      </c>
      <c r="W240" s="203" t="s">
        <v>3119</v>
      </c>
    </row>
    <row r="241" spans="1:23" s="203" customFormat="1" ht="17.25" hidden="1" customHeight="1" x14ac:dyDescent="0.2">
      <c r="A241" s="203" t="s">
        <v>44</v>
      </c>
      <c r="B241" s="203" t="s">
        <v>288</v>
      </c>
      <c r="C241" s="203" t="s">
        <v>419</v>
      </c>
      <c r="D241" s="203" t="s">
        <v>2949</v>
      </c>
      <c r="E241" s="203" t="s">
        <v>2032</v>
      </c>
      <c r="F241" s="203" t="s">
        <v>2343</v>
      </c>
      <c r="G241" s="203" t="s">
        <v>2343</v>
      </c>
      <c r="H241" s="203" t="s">
        <v>48</v>
      </c>
      <c r="I241" s="203" t="s">
        <v>389</v>
      </c>
      <c r="J241" s="203" t="s">
        <v>50</v>
      </c>
      <c r="K241" s="203" t="s">
        <v>50</v>
      </c>
      <c r="L241" s="203" t="s">
        <v>50</v>
      </c>
      <c r="M241" s="203" t="s">
        <v>51</v>
      </c>
      <c r="N241" s="203">
        <v>25.424529444444399</v>
      </c>
      <c r="O241" s="203">
        <v>97.433419259259296</v>
      </c>
      <c r="P241" s="203" t="s">
        <v>930</v>
      </c>
      <c r="Q241" s="203" t="s">
        <v>951</v>
      </c>
      <c r="R241" s="425">
        <v>347</v>
      </c>
      <c r="S241" s="425">
        <v>2039</v>
      </c>
      <c r="T241" s="542" t="s">
        <v>935</v>
      </c>
      <c r="U241" s="427"/>
      <c r="V241" s="203" t="s">
        <v>419</v>
      </c>
      <c r="W241" s="203" t="s">
        <v>3120</v>
      </c>
    </row>
    <row r="242" spans="1:23" s="203" customFormat="1" ht="17.25" hidden="1" customHeight="1" x14ac:dyDescent="0.2">
      <c r="A242" s="203" t="s">
        <v>44</v>
      </c>
      <c r="B242" s="203" t="s">
        <v>288</v>
      </c>
      <c r="C242" s="203" t="s">
        <v>384</v>
      </c>
      <c r="D242" s="203" t="s">
        <v>2949</v>
      </c>
      <c r="E242" s="203" t="s">
        <v>2026</v>
      </c>
      <c r="F242" s="203" t="s">
        <v>2343</v>
      </c>
      <c r="G242" s="203" t="s">
        <v>2343</v>
      </c>
      <c r="H242" s="203" t="s">
        <v>48</v>
      </c>
      <c r="I242" s="203" t="s">
        <v>1539</v>
      </c>
      <c r="J242" s="203" t="s">
        <v>50</v>
      </c>
      <c r="K242" s="203" t="s">
        <v>50</v>
      </c>
      <c r="L242" s="203" t="s">
        <v>50</v>
      </c>
      <c r="M242" s="203" t="s">
        <v>51</v>
      </c>
      <c r="N242" s="203">
        <v>25.415667500000001</v>
      </c>
      <c r="O242" s="203">
        <v>97.437782499999997</v>
      </c>
      <c r="P242" s="203" t="s">
        <v>930</v>
      </c>
      <c r="Q242" s="203" t="s">
        <v>951</v>
      </c>
      <c r="R242" s="425">
        <v>335</v>
      </c>
      <c r="S242" s="425">
        <v>1774</v>
      </c>
      <c r="T242" s="542" t="s">
        <v>935</v>
      </c>
      <c r="U242" s="427"/>
      <c r="V242" s="203" t="s">
        <v>384</v>
      </c>
      <c r="W242" s="203" t="s">
        <v>3121</v>
      </c>
    </row>
    <row r="243" spans="1:23" s="203" customFormat="1" ht="17.25" hidden="1" customHeight="1" x14ac:dyDescent="0.2">
      <c r="A243" s="203" t="s">
        <v>44</v>
      </c>
      <c r="B243" s="203" t="s">
        <v>288</v>
      </c>
      <c r="C243" s="203" t="s">
        <v>324</v>
      </c>
      <c r="D243" s="203" t="s">
        <v>2949</v>
      </c>
      <c r="E243" s="203" t="s">
        <v>2023</v>
      </c>
      <c r="F243" s="203" t="s">
        <v>2343</v>
      </c>
      <c r="G243" s="203" t="s">
        <v>2343</v>
      </c>
      <c r="H243" s="203" t="s">
        <v>48</v>
      </c>
      <c r="I243" s="203" t="s">
        <v>287</v>
      </c>
      <c r="J243" s="203" t="s">
        <v>50</v>
      </c>
      <c r="K243" s="203" t="s">
        <v>50</v>
      </c>
      <c r="L243" s="203" t="s">
        <v>50</v>
      </c>
      <c r="M243" s="203" t="s">
        <v>51</v>
      </c>
      <c r="N243" s="203">
        <v>25.4118005797101</v>
      </c>
      <c r="O243" s="203">
        <v>97.434855869565197</v>
      </c>
      <c r="P243" s="203" t="s">
        <v>930</v>
      </c>
      <c r="Q243" s="203" t="s">
        <v>951</v>
      </c>
      <c r="R243" s="425">
        <v>512</v>
      </c>
      <c r="S243" s="425">
        <v>2710</v>
      </c>
      <c r="T243" s="542" t="s">
        <v>935</v>
      </c>
      <c r="U243" s="427"/>
      <c r="V243" s="203" t="s">
        <v>324</v>
      </c>
      <c r="W243" s="203" t="s">
        <v>3122</v>
      </c>
    </row>
    <row r="244" spans="1:23" s="203" customFormat="1" ht="17.25" hidden="1" customHeight="1" x14ac:dyDescent="0.2">
      <c r="A244" s="203" t="s">
        <v>44</v>
      </c>
      <c r="B244" s="203" t="s">
        <v>288</v>
      </c>
      <c r="C244" s="203" t="s">
        <v>325</v>
      </c>
      <c r="D244" s="203" t="s">
        <v>2949</v>
      </c>
      <c r="E244" s="203" t="s">
        <v>2021</v>
      </c>
      <c r="F244" s="203" t="s">
        <v>2343</v>
      </c>
      <c r="G244" s="203" t="s">
        <v>2343</v>
      </c>
      <c r="H244" s="203" t="s">
        <v>48</v>
      </c>
      <c r="I244" s="203" t="s">
        <v>287</v>
      </c>
      <c r="J244" s="203" t="s">
        <v>50</v>
      </c>
      <c r="K244" s="203" t="s">
        <v>50</v>
      </c>
      <c r="L244" s="203" t="s">
        <v>50</v>
      </c>
      <c r="M244" s="203" t="s">
        <v>51</v>
      </c>
      <c r="N244" s="203">
        <v>25.409612685185198</v>
      </c>
      <c r="O244" s="203">
        <v>97.426536944444507</v>
      </c>
      <c r="P244" s="203" t="s">
        <v>930</v>
      </c>
      <c r="Q244" s="203" t="s">
        <v>951</v>
      </c>
      <c r="R244" s="425">
        <v>49</v>
      </c>
      <c r="S244" s="425">
        <v>217</v>
      </c>
      <c r="T244" s="542" t="s">
        <v>935</v>
      </c>
      <c r="U244" s="427"/>
      <c r="V244" s="203" t="s">
        <v>325</v>
      </c>
      <c r="W244" s="203" t="s">
        <v>3123</v>
      </c>
    </row>
    <row r="245" spans="1:23" s="203" customFormat="1" ht="17.25" hidden="1" customHeight="1" x14ac:dyDescent="0.2">
      <c r="A245" s="203" t="s">
        <v>44</v>
      </c>
      <c r="B245" s="203" t="s">
        <v>288</v>
      </c>
      <c r="C245" s="203" t="s">
        <v>420</v>
      </c>
      <c r="D245" s="203" t="s">
        <v>2949</v>
      </c>
      <c r="E245" s="203" t="s">
        <v>2003</v>
      </c>
      <c r="F245" s="203" t="s">
        <v>2333</v>
      </c>
      <c r="G245" s="203" t="s">
        <v>2334</v>
      </c>
      <c r="H245" s="203" t="s">
        <v>48</v>
      </c>
      <c r="I245" s="203" t="s">
        <v>389</v>
      </c>
      <c r="J245" s="203" t="s">
        <v>50</v>
      </c>
      <c r="K245" s="203" t="s">
        <v>50</v>
      </c>
      <c r="L245" s="203" t="s">
        <v>50</v>
      </c>
      <c r="M245" s="203" t="s">
        <v>51</v>
      </c>
      <c r="N245" s="203">
        <v>25.351965</v>
      </c>
      <c r="O245" s="203">
        <v>97.345039</v>
      </c>
      <c r="P245" s="203" t="s">
        <v>930</v>
      </c>
      <c r="Q245" s="203" t="s">
        <v>951</v>
      </c>
      <c r="R245" s="425">
        <v>20</v>
      </c>
      <c r="S245" s="425">
        <v>86</v>
      </c>
      <c r="T245" s="542" t="s">
        <v>935</v>
      </c>
      <c r="U245" s="427"/>
      <c r="V245" s="203" t="s">
        <v>420</v>
      </c>
      <c r="W245" s="203" t="s">
        <v>3124</v>
      </c>
    </row>
    <row r="246" spans="1:23" s="203" customFormat="1" ht="17.25" hidden="1" customHeight="1" x14ac:dyDescent="0.2">
      <c r="A246" s="203" t="s">
        <v>44</v>
      </c>
      <c r="B246" s="203" t="s">
        <v>288</v>
      </c>
      <c r="C246" s="203" t="s">
        <v>326</v>
      </c>
      <c r="D246" s="203" t="s">
        <v>2949</v>
      </c>
      <c r="E246" s="203" t="s">
        <v>1979</v>
      </c>
      <c r="F246" s="203" t="s">
        <v>2320</v>
      </c>
      <c r="G246" s="203" t="s">
        <v>2321</v>
      </c>
      <c r="H246" s="203" t="s">
        <v>48</v>
      </c>
      <c r="I246" s="203" t="s">
        <v>287</v>
      </c>
      <c r="J246" s="203" t="s">
        <v>50</v>
      </c>
      <c r="K246" s="203" t="s">
        <v>1139</v>
      </c>
      <c r="L246" s="203" t="s">
        <v>50</v>
      </c>
      <c r="M246" s="203" t="s">
        <v>949</v>
      </c>
      <c r="N246" s="203">
        <v>24.831944</v>
      </c>
      <c r="O246" s="203">
        <v>97.751389000000003</v>
      </c>
      <c r="P246" s="203" t="s">
        <v>930</v>
      </c>
      <c r="Q246" s="203" t="s">
        <v>951</v>
      </c>
      <c r="R246" s="425">
        <v>163</v>
      </c>
      <c r="S246" s="425">
        <v>909</v>
      </c>
      <c r="T246" s="542" t="s">
        <v>935</v>
      </c>
      <c r="U246" s="427" t="s">
        <v>1203</v>
      </c>
      <c r="V246" s="203" t="s">
        <v>1204</v>
      </c>
      <c r="W246" s="203" t="s">
        <v>3125</v>
      </c>
    </row>
    <row r="247" spans="1:23" s="203" customFormat="1" ht="17.25" hidden="1" customHeight="1" x14ac:dyDescent="0.2">
      <c r="A247" s="203" t="s">
        <v>44</v>
      </c>
      <c r="B247" s="203" t="s">
        <v>288</v>
      </c>
      <c r="C247" s="203" t="s">
        <v>385</v>
      </c>
      <c r="D247" s="203" t="s">
        <v>2949</v>
      </c>
      <c r="E247" s="203" t="s">
        <v>1990</v>
      </c>
      <c r="F247" s="203" t="s">
        <v>2323</v>
      </c>
      <c r="G247" s="203" t="s">
        <v>2323</v>
      </c>
      <c r="H247" s="203" t="s">
        <v>48</v>
      </c>
      <c r="I247" s="203" t="s">
        <v>1539</v>
      </c>
      <c r="J247" s="203" t="s">
        <v>50</v>
      </c>
      <c r="K247" s="203" t="s">
        <v>50</v>
      </c>
      <c r="L247" s="203" t="s">
        <v>50</v>
      </c>
      <c r="M247" s="203" t="s">
        <v>949</v>
      </c>
      <c r="N247" s="203">
        <v>25.265277999999999</v>
      </c>
      <c r="O247" s="203">
        <v>97.990555999999998</v>
      </c>
      <c r="P247" s="203" t="s">
        <v>930</v>
      </c>
      <c r="Q247" s="203" t="s">
        <v>951</v>
      </c>
      <c r="R247" s="425">
        <v>82</v>
      </c>
      <c r="S247" s="425">
        <v>518</v>
      </c>
      <c r="T247" s="542" t="s">
        <v>935</v>
      </c>
      <c r="U247" s="427"/>
      <c r="V247" s="203" t="s">
        <v>385</v>
      </c>
      <c r="W247" s="203" t="s">
        <v>3126</v>
      </c>
    </row>
    <row r="248" spans="1:23" s="203" customFormat="1" ht="17.25" hidden="1" customHeight="1" x14ac:dyDescent="0.2">
      <c r="A248" s="203" t="s">
        <v>44</v>
      </c>
      <c r="B248" s="203" t="s">
        <v>288</v>
      </c>
      <c r="C248" s="203" t="s">
        <v>421</v>
      </c>
      <c r="D248" s="203" t="s">
        <v>2949</v>
      </c>
      <c r="E248" s="203" t="s">
        <v>2004</v>
      </c>
      <c r="F248" s="203" t="s">
        <v>2237</v>
      </c>
      <c r="G248" s="203" t="s">
        <v>2227</v>
      </c>
      <c r="H248" s="203" t="s">
        <v>48</v>
      </c>
      <c r="I248" s="203" t="s">
        <v>389</v>
      </c>
      <c r="J248" s="203" t="s">
        <v>50</v>
      </c>
      <c r="K248" s="203" t="s">
        <v>50</v>
      </c>
      <c r="L248" s="203" t="s">
        <v>50</v>
      </c>
      <c r="M248" s="203" t="s">
        <v>51</v>
      </c>
      <c r="N248" s="203">
        <v>25.3540362037037</v>
      </c>
      <c r="O248" s="203">
        <v>97.441166388888902</v>
      </c>
      <c r="P248" s="203" t="s">
        <v>930</v>
      </c>
      <c r="Q248" s="203" t="s">
        <v>951</v>
      </c>
      <c r="R248" s="425">
        <v>122</v>
      </c>
      <c r="S248" s="425">
        <v>510</v>
      </c>
      <c r="T248" s="542" t="s">
        <v>935</v>
      </c>
      <c r="U248" s="427"/>
      <c r="V248" s="203" t="s">
        <v>421</v>
      </c>
      <c r="W248" s="203" t="s">
        <v>3127</v>
      </c>
    </row>
    <row r="249" spans="1:23" s="203" customFormat="1" ht="17.25" hidden="1" customHeight="1" x14ac:dyDescent="0.2">
      <c r="A249" s="203" t="s">
        <v>44</v>
      </c>
      <c r="B249" s="203" t="s">
        <v>288</v>
      </c>
      <c r="C249" s="203" t="s">
        <v>327</v>
      </c>
      <c r="D249" s="203" t="s">
        <v>2949</v>
      </c>
      <c r="E249" s="203" t="s">
        <v>2002</v>
      </c>
      <c r="F249" s="203" t="s">
        <v>2237</v>
      </c>
      <c r="G249" s="203" t="s">
        <v>2227</v>
      </c>
      <c r="H249" s="203" t="s">
        <v>48</v>
      </c>
      <c r="I249" s="203" t="s">
        <v>287</v>
      </c>
      <c r="J249" s="203" t="s">
        <v>50</v>
      </c>
      <c r="K249" s="203" t="s">
        <v>50</v>
      </c>
      <c r="L249" s="203" t="s">
        <v>50</v>
      </c>
      <c r="M249" s="203" t="s">
        <v>51</v>
      </c>
      <c r="N249" s="203">
        <v>25.351724999999998</v>
      </c>
      <c r="O249" s="203">
        <v>97.438432380952406</v>
      </c>
      <c r="P249" s="203" t="s">
        <v>930</v>
      </c>
      <c r="Q249" s="203" t="s">
        <v>951</v>
      </c>
      <c r="R249" s="425">
        <v>66</v>
      </c>
      <c r="S249" s="425">
        <v>338</v>
      </c>
      <c r="T249" s="542" t="s">
        <v>935</v>
      </c>
      <c r="U249" s="427"/>
      <c r="V249" s="203" t="s">
        <v>327</v>
      </c>
      <c r="W249" s="203" t="s">
        <v>3128</v>
      </c>
    </row>
    <row r="250" spans="1:23" s="203" customFormat="1" ht="17.25" hidden="1" customHeight="1" x14ac:dyDescent="0.2">
      <c r="A250" s="203" t="s">
        <v>44</v>
      </c>
      <c r="B250" s="203" t="s">
        <v>288</v>
      </c>
      <c r="C250" s="203" t="s">
        <v>422</v>
      </c>
      <c r="D250" s="203" t="s">
        <v>2949</v>
      </c>
      <c r="E250" s="203" t="s">
        <v>1998</v>
      </c>
      <c r="F250" s="203" t="s">
        <v>2237</v>
      </c>
      <c r="G250" s="203" t="s">
        <v>2285</v>
      </c>
      <c r="H250" s="203" t="s">
        <v>48</v>
      </c>
      <c r="I250" s="203" t="s">
        <v>389</v>
      </c>
      <c r="J250" s="203" t="s">
        <v>50</v>
      </c>
      <c r="K250" s="203" t="s">
        <v>50</v>
      </c>
      <c r="L250" s="203" t="s">
        <v>50</v>
      </c>
      <c r="M250" s="203" t="s">
        <v>51</v>
      </c>
      <c r="N250" s="203">
        <v>25.345918166666699</v>
      </c>
      <c r="O250" s="203">
        <v>97.437472666666693</v>
      </c>
      <c r="P250" s="203" t="s">
        <v>930</v>
      </c>
      <c r="Q250" s="203" t="s">
        <v>951</v>
      </c>
      <c r="R250" s="425">
        <v>35</v>
      </c>
      <c r="S250" s="425">
        <v>183</v>
      </c>
      <c r="T250" s="542" t="s">
        <v>935</v>
      </c>
      <c r="U250" s="427"/>
      <c r="V250" s="203" t="s">
        <v>422</v>
      </c>
      <c r="W250" s="203" t="s">
        <v>3084</v>
      </c>
    </row>
    <row r="251" spans="1:23" s="203" customFormat="1" ht="17.25" hidden="1" customHeight="1" x14ac:dyDescent="0.2">
      <c r="A251" s="203" t="s">
        <v>44</v>
      </c>
      <c r="B251" s="203" t="s">
        <v>288</v>
      </c>
      <c r="C251" s="203" t="s">
        <v>423</v>
      </c>
      <c r="D251" s="203" t="s">
        <v>2950</v>
      </c>
      <c r="E251" s="203" t="s">
        <v>1999</v>
      </c>
      <c r="F251" s="203" t="s">
        <v>2237</v>
      </c>
      <c r="G251" s="203" t="s">
        <v>2331</v>
      </c>
      <c r="H251" s="203" t="s">
        <v>48</v>
      </c>
      <c r="I251" s="203" t="s">
        <v>389</v>
      </c>
      <c r="J251" s="203" t="s">
        <v>50</v>
      </c>
      <c r="K251" s="203" t="s">
        <v>50</v>
      </c>
      <c r="L251" s="203" t="s">
        <v>929</v>
      </c>
      <c r="M251" s="203" t="s">
        <v>51</v>
      </c>
      <c r="N251" s="203">
        <v>25.350809000000002</v>
      </c>
      <c r="O251" s="203">
        <v>97.432495000000003</v>
      </c>
      <c r="P251" s="203" t="s">
        <v>930</v>
      </c>
      <c r="Q251" s="203" t="s">
        <v>951</v>
      </c>
      <c r="R251" s="425"/>
      <c r="S251" s="425"/>
      <c r="T251" s="542" t="s">
        <v>935</v>
      </c>
      <c r="U251" s="427"/>
      <c r="V251" s="203" t="s">
        <v>423</v>
      </c>
      <c r="W251" s="203" t="s">
        <v>3129</v>
      </c>
    </row>
    <row r="252" spans="1:23" s="203" customFormat="1" ht="17.25" hidden="1" customHeight="1" x14ac:dyDescent="0.2">
      <c r="A252" s="430" t="s">
        <v>44</v>
      </c>
      <c r="B252" s="429" t="s">
        <v>288</v>
      </c>
      <c r="C252" s="294" t="s">
        <v>1222</v>
      </c>
      <c r="D252" s="203" t="s">
        <v>2949</v>
      </c>
      <c r="E252" s="294" t="s">
        <v>2683</v>
      </c>
      <c r="F252" s="203" t="s">
        <v>1222</v>
      </c>
      <c r="G252" s="203" t="s">
        <v>1222</v>
      </c>
      <c r="H252" s="294"/>
      <c r="I252" s="294" t="s">
        <v>2959</v>
      </c>
      <c r="J252" s="203" t="s">
        <v>50</v>
      </c>
      <c r="K252" s="203" t="s">
        <v>50</v>
      </c>
      <c r="L252" s="294" t="s">
        <v>946</v>
      </c>
      <c r="M252" s="203" t="s">
        <v>51</v>
      </c>
      <c r="N252" s="294"/>
      <c r="O252" s="294"/>
      <c r="P252" s="294" t="s">
        <v>2714</v>
      </c>
      <c r="Q252" s="203" t="s">
        <v>2653</v>
      </c>
      <c r="R252" s="425">
        <v>80</v>
      </c>
      <c r="S252" s="425">
        <v>449</v>
      </c>
      <c r="T252" s="542">
        <v>43276</v>
      </c>
      <c r="U252" s="431"/>
      <c r="V252" s="294"/>
      <c r="W252" s="203" t="s">
        <v>3130</v>
      </c>
    </row>
    <row r="253" spans="1:23" s="203" customFormat="1" ht="17.25" hidden="1" customHeight="1" x14ac:dyDescent="0.2">
      <c r="A253" s="203" t="s">
        <v>44</v>
      </c>
      <c r="B253" s="203" t="s">
        <v>288</v>
      </c>
      <c r="C253" s="203" t="s">
        <v>289</v>
      </c>
      <c r="D253" s="203" t="s">
        <v>2949</v>
      </c>
      <c r="E253" s="203" t="s">
        <v>2096</v>
      </c>
      <c r="F253" s="203" t="s">
        <v>2320</v>
      </c>
      <c r="G253" s="203" t="s">
        <v>2321</v>
      </c>
      <c r="H253" s="203" t="s">
        <v>48</v>
      </c>
      <c r="I253" s="203" t="s">
        <v>287</v>
      </c>
      <c r="J253" s="203" t="s">
        <v>50</v>
      </c>
      <c r="K253" s="203" t="s">
        <v>50</v>
      </c>
      <c r="L253" s="203" t="s">
        <v>50</v>
      </c>
      <c r="M253" s="203" t="s">
        <v>949</v>
      </c>
      <c r="P253" s="21" t="s">
        <v>2716</v>
      </c>
      <c r="Q253" s="203" t="s">
        <v>973</v>
      </c>
      <c r="R253" s="425">
        <v>413</v>
      </c>
      <c r="S253" s="425">
        <v>1913</v>
      </c>
      <c r="T253" s="542">
        <v>42916</v>
      </c>
      <c r="U253" s="427" t="s">
        <v>1308</v>
      </c>
      <c r="W253" s="203" t="s">
        <v>3131</v>
      </c>
    </row>
    <row r="254" spans="1:23" s="203" customFormat="1" ht="17.25" hidden="1" customHeight="1" x14ac:dyDescent="0.2">
      <c r="A254" s="203" t="s">
        <v>44</v>
      </c>
      <c r="B254" s="203" t="s">
        <v>288</v>
      </c>
      <c r="C254" s="203" t="s">
        <v>328</v>
      </c>
      <c r="D254" s="203" t="s">
        <v>2949</v>
      </c>
      <c r="E254" s="203" t="s">
        <v>2028</v>
      </c>
      <c r="F254" s="203" t="s">
        <v>2346</v>
      </c>
      <c r="G254" s="203" t="s">
        <v>2347</v>
      </c>
      <c r="H254" s="203" t="s">
        <v>48</v>
      </c>
      <c r="I254" s="203" t="s">
        <v>287</v>
      </c>
      <c r="J254" s="203" t="s">
        <v>50</v>
      </c>
      <c r="K254" s="203" t="s">
        <v>50</v>
      </c>
      <c r="L254" s="203" t="s">
        <v>50</v>
      </c>
      <c r="M254" s="203" t="s">
        <v>51</v>
      </c>
      <c r="N254" s="203">
        <v>25.418084</v>
      </c>
      <c r="O254" s="203">
        <v>98.025662999999994</v>
      </c>
      <c r="P254" s="203" t="s">
        <v>930</v>
      </c>
      <c r="Q254" s="203" t="s">
        <v>951</v>
      </c>
      <c r="R254" s="425">
        <v>181</v>
      </c>
      <c r="S254" s="425">
        <v>1001</v>
      </c>
      <c r="T254" s="542" t="s">
        <v>935</v>
      </c>
      <c r="U254" s="427"/>
      <c r="V254" s="203" t="s">
        <v>328</v>
      </c>
      <c r="W254" s="203" t="s">
        <v>3132</v>
      </c>
    </row>
    <row r="255" spans="1:23" s="203" customFormat="1" ht="17.25" hidden="1" customHeight="1" x14ac:dyDescent="0.2">
      <c r="A255" s="203" t="s">
        <v>44</v>
      </c>
      <c r="B255" s="203" t="s">
        <v>288</v>
      </c>
      <c r="C255" s="203" t="s">
        <v>424</v>
      </c>
      <c r="D255" s="203" t="s">
        <v>2949</v>
      </c>
      <c r="E255" s="203" t="s">
        <v>1997</v>
      </c>
      <c r="F255" s="203" t="s">
        <v>2237</v>
      </c>
      <c r="G255" s="203" t="s">
        <v>2331</v>
      </c>
      <c r="H255" s="203" t="s">
        <v>48</v>
      </c>
      <c r="I255" s="203" t="s">
        <v>389</v>
      </c>
      <c r="J255" s="203" t="s">
        <v>50</v>
      </c>
      <c r="K255" s="203" t="s">
        <v>50</v>
      </c>
      <c r="L255" s="203" t="s">
        <v>50</v>
      </c>
      <c r="M255" s="203" t="s">
        <v>51</v>
      </c>
      <c r="N255" s="203">
        <v>25.333683333333301</v>
      </c>
      <c r="O255" s="203">
        <v>97.428251153846105</v>
      </c>
      <c r="P255" s="203" t="s">
        <v>930</v>
      </c>
      <c r="Q255" s="203" t="s">
        <v>951</v>
      </c>
      <c r="R255" s="425">
        <v>45</v>
      </c>
      <c r="S255" s="425">
        <v>187</v>
      </c>
      <c r="T255" s="542" t="s">
        <v>935</v>
      </c>
      <c r="U255" s="427"/>
      <c r="V255" s="203" t="s">
        <v>424</v>
      </c>
      <c r="W255" s="203" t="s">
        <v>3133</v>
      </c>
    </row>
    <row r="256" spans="1:23" s="203" customFormat="1" ht="17.25" hidden="1" customHeight="1" x14ac:dyDescent="0.2">
      <c r="A256" s="430" t="s">
        <v>44</v>
      </c>
      <c r="B256" s="429" t="s">
        <v>288</v>
      </c>
      <c r="C256" s="294" t="s">
        <v>2951</v>
      </c>
      <c r="D256" s="203" t="s">
        <v>2949</v>
      </c>
      <c r="E256" s="294" t="s">
        <v>2680</v>
      </c>
      <c r="F256" s="294"/>
      <c r="G256" s="294"/>
      <c r="H256" s="294"/>
      <c r="I256" s="294" t="s">
        <v>287</v>
      </c>
      <c r="J256" s="203" t="s">
        <v>50</v>
      </c>
      <c r="K256" s="203" t="s">
        <v>50</v>
      </c>
      <c r="L256" s="203" t="s">
        <v>50</v>
      </c>
      <c r="M256" s="203" t="s">
        <v>51</v>
      </c>
      <c r="N256" s="294"/>
      <c r="O256" s="294"/>
      <c r="P256" s="294" t="s">
        <v>930</v>
      </c>
      <c r="Q256" s="203" t="s">
        <v>2653</v>
      </c>
      <c r="R256" s="425">
        <v>79</v>
      </c>
      <c r="S256" s="425">
        <v>345</v>
      </c>
      <c r="T256" s="542">
        <v>43276</v>
      </c>
      <c r="U256" s="431" t="s">
        <v>2721</v>
      </c>
      <c r="V256" s="294"/>
      <c r="W256" s="203" t="s">
        <v>3134</v>
      </c>
    </row>
    <row r="257" spans="1:23" s="203" customFormat="1" ht="17.25" hidden="1" customHeight="1" x14ac:dyDescent="0.2">
      <c r="A257" s="203" t="s">
        <v>44</v>
      </c>
      <c r="B257" s="203" t="s">
        <v>288</v>
      </c>
      <c r="C257" s="203" t="s">
        <v>425</v>
      </c>
      <c r="D257" s="203" t="s">
        <v>2949</v>
      </c>
      <c r="E257" s="203" t="s">
        <v>2001</v>
      </c>
      <c r="F257" s="203" t="s">
        <v>2237</v>
      </c>
      <c r="G257" s="203" t="s">
        <v>2285</v>
      </c>
      <c r="H257" s="203" t="s">
        <v>48</v>
      </c>
      <c r="I257" s="203" t="s">
        <v>389</v>
      </c>
      <c r="J257" s="203" t="s">
        <v>50</v>
      </c>
      <c r="K257" s="203" t="s">
        <v>50</v>
      </c>
      <c r="L257" s="203" t="s">
        <v>50</v>
      </c>
      <c r="M257" s="203" t="s">
        <v>51</v>
      </c>
      <c r="N257" s="203">
        <v>25.351250396825399</v>
      </c>
      <c r="O257" s="203">
        <v>97.444283730158702</v>
      </c>
      <c r="P257" s="203" t="s">
        <v>930</v>
      </c>
      <c r="Q257" s="203" t="s">
        <v>951</v>
      </c>
      <c r="R257" s="425">
        <v>66</v>
      </c>
      <c r="S257" s="425">
        <v>274</v>
      </c>
      <c r="T257" s="542" t="s">
        <v>935</v>
      </c>
      <c r="U257" s="427"/>
      <c r="V257" s="203" t="s">
        <v>425</v>
      </c>
      <c r="W257" s="203" t="s">
        <v>3133</v>
      </c>
    </row>
    <row r="258" spans="1:23" s="203" customFormat="1" ht="17.25" hidden="1" customHeight="1" x14ac:dyDescent="0.2">
      <c r="A258" s="203" t="s">
        <v>44</v>
      </c>
      <c r="B258" s="203" t="s">
        <v>288</v>
      </c>
      <c r="C258" s="203" t="s">
        <v>1217</v>
      </c>
      <c r="D258" s="203" t="s">
        <v>2178</v>
      </c>
      <c r="E258" s="203" t="s">
        <v>2005</v>
      </c>
      <c r="F258" s="203" t="s">
        <v>2237</v>
      </c>
      <c r="G258" s="203" t="s">
        <v>2227</v>
      </c>
      <c r="H258" s="203" t="s">
        <v>48</v>
      </c>
      <c r="I258" s="203" t="s">
        <v>287</v>
      </c>
      <c r="J258" s="203" t="s">
        <v>50</v>
      </c>
      <c r="K258" s="203" t="s">
        <v>50</v>
      </c>
      <c r="L258" s="203" t="s">
        <v>929</v>
      </c>
      <c r="M258" s="203" t="s">
        <v>51</v>
      </c>
      <c r="N258" s="203">
        <v>25.355841999999999</v>
      </c>
      <c r="O258" s="203">
        <v>97.438259000000002</v>
      </c>
      <c r="P258" s="203" t="s">
        <v>930</v>
      </c>
      <c r="Q258" s="203" t="s">
        <v>951</v>
      </c>
      <c r="R258" s="425"/>
      <c r="S258" s="426"/>
      <c r="T258" s="542" t="s">
        <v>935</v>
      </c>
      <c r="U258" s="427" t="s">
        <v>1218</v>
      </c>
      <c r="V258" s="203" t="s">
        <v>1217</v>
      </c>
      <c r="W258" s="203" t="s">
        <v>3135</v>
      </c>
    </row>
    <row r="259" spans="1:23" s="203" customFormat="1" ht="17.25" hidden="1" customHeight="1" x14ac:dyDescent="0.2">
      <c r="A259" s="430" t="s">
        <v>44</v>
      </c>
      <c r="B259" s="429" t="s">
        <v>288</v>
      </c>
      <c r="C259" s="294" t="s">
        <v>2663</v>
      </c>
      <c r="D259" s="447"/>
      <c r="E259" s="294"/>
      <c r="F259" s="294"/>
      <c r="G259" s="294"/>
      <c r="H259" s="294"/>
      <c r="I259" s="294"/>
      <c r="J259" s="203" t="s">
        <v>1921</v>
      </c>
      <c r="K259" s="203" t="s">
        <v>50</v>
      </c>
      <c r="L259" s="203" t="s">
        <v>50</v>
      </c>
      <c r="M259" s="203" t="s">
        <v>51</v>
      </c>
      <c r="N259" s="294"/>
      <c r="O259" s="294"/>
      <c r="P259" s="203" t="s">
        <v>930</v>
      </c>
      <c r="Q259" s="203" t="s">
        <v>2653</v>
      </c>
      <c r="R259" s="435"/>
      <c r="S259" s="430"/>
      <c r="T259" s="542">
        <v>43270</v>
      </c>
      <c r="U259" s="431"/>
      <c r="V259" s="294"/>
    </row>
    <row r="260" spans="1:23" s="203" customFormat="1" ht="17.25" hidden="1" customHeight="1" x14ac:dyDescent="0.2">
      <c r="A260" s="203" t="s">
        <v>44</v>
      </c>
      <c r="B260" s="203" t="s">
        <v>288</v>
      </c>
      <c r="C260" s="203" t="s">
        <v>367</v>
      </c>
      <c r="D260" s="203" t="s">
        <v>2949</v>
      </c>
      <c r="E260" s="203" t="s">
        <v>1975</v>
      </c>
      <c r="F260" s="203" t="s">
        <v>2230</v>
      </c>
      <c r="G260" s="203" t="s">
        <v>2230</v>
      </c>
      <c r="H260" s="203" t="s">
        <v>48</v>
      </c>
      <c r="I260" s="203" t="s">
        <v>1539</v>
      </c>
      <c r="J260" s="203" t="s">
        <v>50</v>
      </c>
      <c r="K260" s="203" t="s">
        <v>50</v>
      </c>
      <c r="L260" s="203" t="s">
        <v>50</v>
      </c>
      <c r="M260" s="203" t="s">
        <v>949</v>
      </c>
      <c r="N260" s="203">
        <v>24.755253</v>
      </c>
      <c r="O260" s="203">
        <v>97.546893999999995</v>
      </c>
      <c r="P260" s="203" t="s">
        <v>930</v>
      </c>
      <c r="Q260" s="203" t="s">
        <v>951</v>
      </c>
      <c r="R260" s="425">
        <v>1417</v>
      </c>
      <c r="S260" s="425">
        <v>7074</v>
      </c>
      <c r="T260" s="542" t="s">
        <v>935</v>
      </c>
      <c r="U260" s="427"/>
      <c r="V260" s="203" t="s">
        <v>367</v>
      </c>
      <c r="W260" s="203" t="s">
        <v>3136</v>
      </c>
    </row>
    <row r="261" spans="1:23" s="203" customFormat="1" ht="17.25" hidden="1" customHeight="1" x14ac:dyDescent="0.2">
      <c r="A261" s="203" t="s">
        <v>44</v>
      </c>
      <c r="B261" s="203" t="s">
        <v>288</v>
      </c>
      <c r="C261" s="203" t="s">
        <v>369</v>
      </c>
      <c r="D261" s="203" t="s">
        <v>2177</v>
      </c>
      <c r="J261" s="203" t="s">
        <v>1921</v>
      </c>
      <c r="K261" s="203" t="s">
        <v>50</v>
      </c>
      <c r="L261" s="203" t="s">
        <v>1323</v>
      </c>
      <c r="M261" s="203" t="s">
        <v>949</v>
      </c>
      <c r="P261" s="203" t="s">
        <v>930</v>
      </c>
      <c r="Q261" s="203" t="s">
        <v>951</v>
      </c>
      <c r="R261" s="425"/>
      <c r="S261" s="426"/>
      <c r="T261" s="542"/>
      <c r="U261" s="427" t="s">
        <v>1267</v>
      </c>
    </row>
    <row r="262" spans="1:23" s="203" customFormat="1" ht="17.25" hidden="1" customHeight="1" x14ac:dyDescent="0.2">
      <c r="A262" s="203" t="s">
        <v>44</v>
      </c>
      <c r="B262" s="203" t="s">
        <v>288</v>
      </c>
      <c r="C262" s="203" t="s">
        <v>368</v>
      </c>
      <c r="D262" s="203" t="s">
        <v>2177</v>
      </c>
      <c r="J262" s="203" t="s">
        <v>1921</v>
      </c>
      <c r="K262" s="203" t="s">
        <v>50</v>
      </c>
      <c r="L262" s="203" t="s">
        <v>942</v>
      </c>
      <c r="M262" s="203" t="s">
        <v>949</v>
      </c>
      <c r="P262" s="203" t="s">
        <v>943</v>
      </c>
      <c r="Q262" s="203" t="s">
        <v>951</v>
      </c>
      <c r="R262" s="425"/>
      <c r="S262" s="426"/>
      <c r="T262" s="542" t="s">
        <v>935</v>
      </c>
      <c r="U262" s="427" t="s">
        <v>1267</v>
      </c>
      <c r="V262" s="203" t="s">
        <v>935</v>
      </c>
    </row>
    <row r="263" spans="1:23" s="203" customFormat="1" ht="17.25" hidden="1" customHeight="1" x14ac:dyDescent="0.2">
      <c r="A263" s="203" t="s">
        <v>44</v>
      </c>
      <c r="B263" s="203" t="s">
        <v>288</v>
      </c>
      <c r="C263" s="203" t="s">
        <v>1208</v>
      </c>
      <c r="D263" s="203" t="s">
        <v>2178</v>
      </c>
      <c r="E263" s="203" t="s">
        <v>1984</v>
      </c>
      <c r="F263" s="203" t="s">
        <v>2234</v>
      </c>
      <c r="G263" s="203" t="s">
        <v>2235</v>
      </c>
      <c r="H263" s="203" t="s">
        <v>48</v>
      </c>
      <c r="I263" s="203" t="s">
        <v>287</v>
      </c>
      <c r="J263" s="203" t="s">
        <v>50</v>
      </c>
      <c r="K263" s="203" t="s">
        <v>50</v>
      </c>
      <c r="L263" s="203" t="s">
        <v>929</v>
      </c>
      <c r="M263" s="203" t="s">
        <v>949</v>
      </c>
      <c r="N263" s="203">
        <v>25.106670000000001</v>
      </c>
      <c r="O263" s="203">
        <v>97.756789999999995</v>
      </c>
      <c r="P263" s="203" t="s">
        <v>930</v>
      </c>
      <c r="Q263" s="203" t="s">
        <v>951</v>
      </c>
      <c r="R263" s="425"/>
      <c r="S263" s="426"/>
      <c r="T263" s="542" t="s">
        <v>935</v>
      </c>
      <c r="U263" s="427" t="s">
        <v>1203</v>
      </c>
      <c r="V263" s="203" t="s">
        <v>1209</v>
      </c>
      <c r="W263" s="203" t="s">
        <v>3137</v>
      </c>
    </row>
    <row r="264" spans="1:23" s="203" customFormat="1" ht="17.25" hidden="1" customHeight="1" x14ac:dyDescent="0.2">
      <c r="A264" s="203" t="s">
        <v>454</v>
      </c>
      <c r="B264" s="203" t="s">
        <v>486</v>
      </c>
      <c r="C264" s="203" t="s">
        <v>545</v>
      </c>
      <c r="D264" s="203" t="s">
        <v>2177</v>
      </c>
      <c r="E264" s="203" t="s">
        <v>1584</v>
      </c>
      <c r="J264" s="203" t="s">
        <v>975</v>
      </c>
      <c r="K264" s="203" t="s">
        <v>969</v>
      </c>
      <c r="L264" s="203" t="s">
        <v>975</v>
      </c>
      <c r="M264" s="203" t="s">
        <v>978</v>
      </c>
      <c r="N264" s="203">
        <v>19.726810455322301</v>
      </c>
      <c r="O264" s="203">
        <v>94.0286865234375</v>
      </c>
      <c r="P264" s="203" t="s">
        <v>1094</v>
      </c>
      <c r="Q264" s="203" t="s">
        <v>951</v>
      </c>
      <c r="R264" s="425"/>
      <c r="S264" s="426"/>
      <c r="T264" s="542" t="s">
        <v>976</v>
      </c>
      <c r="U264" s="427"/>
      <c r="V264" s="203" t="s">
        <v>545</v>
      </c>
    </row>
    <row r="265" spans="1:23" s="203" customFormat="1" ht="17.25" hidden="1" customHeight="1" x14ac:dyDescent="0.2">
      <c r="A265" s="203" t="s">
        <v>454</v>
      </c>
      <c r="B265" s="203" t="s">
        <v>486</v>
      </c>
      <c r="C265" s="203" t="s">
        <v>557</v>
      </c>
      <c r="D265" s="203" t="s">
        <v>2177</v>
      </c>
      <c r="E265" s="203" t="s">
        <v>1597</v>
      </c>
      <c r="J265" s="203" t="s">
        <v>975</v>
      </c>
      <c r="K265" s="203" t="s">
        <v>969</v>
      </c>
      <c r="L265" s="203" t="s">
        <v>975</v>
      </c>
      <c r="M265" s="203" t="s">
        <v>454</v>
      </c>
      <c r="N265" s="203">
        <v>19.9947109222412</v>
      </c>
      <c r="O265" s="203">
        <v>93.836921691894503</v>
      </c>
      <c r="P265" s="203" t="s">
        <v>1094</v>
      </c>
      <c r="Q265" s="203" t="s">
        <v>951</v>
      </c>
      <c r="R265" s="425"/>
      <c r="S265" s="426"/>
      <c r="T265" s="542" t="s">
        <v>976</v>
      </c>
      <c r="U265" s="427"/>
      <c r="V265" s="203" t="s">
        <v>557</v>
      </c>
    </row>
    <row r="266" spans="1:23" s="203" customFormat="1" ht="17.25" hidden="1" customHeight="1" x14ac:dyDescent="0.2">
      <c r="A266" s="203" t="s">
        <v>454</v>
      </c>
      <c r="B266" s="203" t="s">
        <v>486</v>
      </c>
      <c r="C266" s="203" t="s">
        <v>552</v>
      </c>
      <c r="D266" s="203" t="s">
        <v>2177</v>
      </c>
      <c r="E266" s="203" t="s">
        <v>1592</v>
      </c>
      <c r="J266" s="203" t="s">
        <v>975</v>
      </c>
      <c r="K266" s="203" t="s">
        <v>969</v>
      </c>
      <c r="L266" s="203" t="s">
        <v>975</v>
      </c>
      <c r="M266" s="203" t="s">
        <v>454</v>
      </c>
      <c r="N266" s="203">
        <v>19.985679626464801</v>
      </c>
      <c r="O266" s="203">
        <v>93.843322753906307</v>
      </c>
      <c r="P266" s="203" t="s">
        <v>1094</v>
      </c>
      <c r="Q266" s="203" t="s">
        <v>951</v>
      </c>
      <c r="R266" s="425"/>
      <c r="S266" s="426"/>
      <c r="T266" s="542" t="s">
        <v>976</v>
      </c>
      <c r="U266" s="427"/>
      <c r="V266" s="203" t="s">
        <v>552</v>
      </c>
    </row>
    <row r="267" spans="1:23" s="203" customFormat="1" ht="17.25" hidden="1" customHeight="1" x14ac:dyDescent="0.2">
      <c r="A267" s="203" t="s">
        <v>454</v>
      </c>
      <c r="B267" s="203" t="s">
        <v>486</v>
      </c>
      <c r="C267" s="203" t="s">
        <v>554</v>
      </c>
      <c r="D267" s="203" t="s">
        <v>2177</v>
      </c>
      <c r="E267" s="203" t="s">
        <v>1594</v>
      </c>
      <c r="J267" s="203" t="s">
        <v>975</v>
      </c>
      <c r="K267" s="203" t="s">
        <v>969</v>
      </c>
      <c r="L267" s="203" t="s">
        <v>975</v>
      </c>
      <c r="M267" s="203" t="s">
        <v>454</v>
      </c>
      <c r="N267" s="203">
        <v>19.988689422607401</v>
      </c>
      <c r="O267" s="203">
        <v>93.842460632324205</v>
      </c>
      <c r="P267" s="203" t="s">
        <v>1094</v>
      </c>
      <c r="Q267" s="203" t="s">
        <v>951</v>
      </c>
      <c r="R267" s="425"/>
      <c r="S267" s="426"/>
      <c r="T267" s="542" t="s">
        <v>976</v>
      </c>
      <c r="U267" s="427"/>
      <c r="V267" s="203" t="s">
        <v>554</v>
      </c>
    </row>
    <row r="268" spans="1:23" s="203" customFormat="1" ht="17.25" hidden="1" customHeight="1" x14ac:dyDescent="0.2">
      <c r="A268" s="203" t="s">
        <v>454</v>
      </c>
      <c r="B268" s="203" t="s">
        <v>486</v>
      </c>
      <c r="C268" s="203" t="s">
        <v>534</v>
      </c>
      <c r="D268" s="203" t="s">
        <v>2177</v>
      </c>
      <c r="E268" s="203" t="s">
        <v>1573</v>
      </c>
      <c r="J268" s="203" t="s">
        <v>975</v>
      </c>
      <c r="K268" s="203" t="s">
        <v>969</v>
      </c>
      <c r="L268" s="203" t="s">
        <v>975</v>
      </c>
      <c r="M268" s="203" t="s">
        <v>454</v>
      </c>
      <c r="N268" s="203">
        <v>19.610979080200199</v>
      </c>
      <c r="O268" s="203">
        <v>93.9847412109375</v>
      </c>
      <c r="P268" s="203" t="s">
        <v>1094</v>
      </c>
      <c r="Q268" s="203" t="s">
        <v>951</v>
      </c>
      <c r="R268" s="425"/>
      <c r="S268" s="426"/>
      <c r="T268" s="542" t="s">
        <v>976</v>
      </c>
      <c r="U268" s="427"/>
      <c r="V268" s="203" t="s">
        <v>534</v>
      </c>
    </row>
    <row r="269" spans="1:23" s="203" customFormat="1" ht="17.25" hidden="1" customHeight="1" x14ac:dyDescent="0.2">
      <c r="A269" s="203" t="s">
        <v>454</v>
      </c>
      <c r="B269" s="203" t="s">
        <v>486</v>
      </c>
      <c r="C269" s="203" t="s">
        <v>543</v>
      </c>
      <c r="D269" s="203" t="s">
        <v>2177</v>
      </c>
      <c r="E269" s="203" t="s">
        <v>1582</v>
      </c>
      <c r="J269" s="203" t="s">
        <v>975</v>
      </c>
      <c r="K269" s="203" t="s">
        <v>969</v>
      </c>
      <c r="L269" s="203" t="s">
        <v>975</v>
      </c>
      <c r="M269" s="203" t="s">
        <v>454</v>
      </c>
      <c r="N269" s="203">
        <v>19.721389770507798</v>
      </c>
      <c r="O269" s="203">
        <v>94.019851684570298</v>
      </c>
      <c r="P269" s="203" t="s">
        <v>1094</v>
      </c>
      <c r="Q269" s="203" t="s">
        <v>951</v>
      </c>
      <c r="R269" s="425"/>
      <c r="S269" s="426"/>
      <c r="T269" s="542" t="s">
        <v>976</v>
      </c>
      <c r="U269" s="427"/>
      <c r="V269" s="203" t="s">
        <v>543</v>
      </c>
    </row>
    <row r="270" spans="1:23" s="203" customFormat="1" ht="17.25" hidden="1" customHeight="1" x14ac:dyDescent="0.2">
      <c r="A270" s="203" t="s">
        <v>454</v>
      </c>
      <c r="B270" s="203" t="s">
        <v>486</v>
      </c>
      <c r="C270" s="203" t="s">
        <v>558</v>
      </c>
      <c r="D270" s="203" t="s">
        <v>2177</v>
      </c>
      <c r="E270" s="203" t="s">
        <v>1598</v>
      </c>
      <c r="J270" s="203" t="s">
        <v>975</v>
      </c>
      <c r="K270" s="203" t="s">
        <v>969</v>
      </c>
      <c r="L270" s="203" t="s">
        <v>975</v>
      </c>
      <c r="M270" s="203" t="s">
        <v>454</v>
      </c>
      <c r="N270" s="203">
        <v>20.0087699890137</v>
      </c>
      <c r="O270" s="203">
        <v>93.816879272460895</v>
      </c>
      <c r="P270" s="203" t="s">
        <v>1094</v>
      </c>
      <c r="Q270" s="203" t="s">
        <v>951</v>
      </c>
      <c r="R270" s="425"/>
      <c r="S270" s="426"/>
      <c r="T270" s="542" t="s">
        <v>976</v>
      </c>
      <c r="U270" s="427"/>
      <c r="V270" s="203" t="s">
        <v>558</v>
      </c>
    </row>
    <row r="271" spans="1:23" s="203" customFormat="1" ht="17.25" hidden="1" customHeight="1" x14ac:dyDescent="0.2">
      <c r="A271" s="203" t="s">
        <v>454</v>
      </c>
      <c r="B271" s="203" t="s">
        <v>486</v>
      </c>
      <c r="C271" s="203" t="s">
        <v>550</v>
      </c>
      <c r="D271" s="203" t="s">
        <v>2177</v>
      </c>
      <c r="E271" s="203" t="s">
        <v>1590</v>
      </c>
      <c r="J271" s="203" t="s">
        <v>975</v>
      </c>
      <c r="K271" s="203" t="s">
        <v>969</v>
      </c>
      <c r="L271" s="203" t="s">
        <v>975</v>
      </c>
      <c r="M271" s="203" t="s">
        <v>982</v>
      </c>
      <c r="N271" s="203">
        <v>19.955690383911101</v>
      </c>
      <c r="O271" s="203">
        <v>93.801551818847699</v>
      </c>
      <c r="P271" s="203" t="s">
        <v>1094</v>
      </c>
      <c r="Q271" s="203" t="s">
        <v>951</v>
      </c>
      <c r="R271" s="425"/>
      <c r="S271" s="426"/>
      <c r="T271" s="542" t="s">
        <v>976</v>
      </c>
      <c r="U271" s="427"/>
      <c r="V271" s="203" t="s">
        <v>983</v>
      </c>
    </row>
    <row r="272" spans="1:23" s="203" customFormat="1" ht="17.25" hidden="1" customHeight="1" x14ac:dyDescent="0.2">
      <c r="A272" s="203" t="s">
        <v>454</v>
      </c>
      <c r="B272" s="203" t="s">
        <v>486</v>
      </c>
      <c r="C272" s="203" t="s">
        <v>542</v>
      </c>
      <c r="D272" s="203" t="s">
        <v>2177</v>
      </c>
      <c r="E272" s="203" t="s">
        <v>1581</v>
      </c>
      <c r="J272" s="203" t="s">
        <v>975</v>
      </c>
      <c r="K272" s="203" t="s">
        <v>969</v>
      </c>
      <c r="L272" s="203" t="s">
        <v>975</v>
      </c>
      <c r="M272" s="203" t="s">
        <v>978</v>
      </c>
      <c r="N272" s="203">
        <v>19.7062797546387</v>
      </c>
      <c r="O272" s="203">
        <v>94.016433715820298</v>
      </c>
      <c r="P272" s="203" t="s">
        <v>1094</v>
      </c>
      <c r="Q272" s="203" t="s">
        <v>951</v>
      </c>
      <c r="R272" s="425"/>
      <c r="S272" s="426"/>
      <c r="T272" s="542" t="s">
        <v>976</v>
      </c>
      <c r="U272" s="427"/>
      <c r="V272" s="203" t="s">
        <v>542</v>
      </c>
    </row>
    <row r="273" spans="1:22" s="203" customFormat="1" ht="17.25" hidden="1" customHeight="1" x14ac:dyDescent="0.2">
      <c r="A273" s="203" t="s">
        <v>454</v>
      </c>
      <c r="B273" s="203" t="s">
        <v>486</v>
      </c>
      <c r="C273" s="203" t="s">
        <v>537</v>
      </c>
      <c r="D273" s="203" t="s">
        <v>2177</v>
      </c>
      <c r="E273" s="203" t="s">
        <v>1576</v>
      </c>
      <c r="J273" s="203" t="s">
        <v>975</v>
      </c>
      <c r="K273" s="203" t="s">
        <v>969</v>
      </c>
      <c r="L273" s="203" t="s">
        <v>975</v>
      </c>
      <c r="M273" s="203" t="s">
        <v>978</v>
      </c>
      <c r="N273" s="203">
        <v>19.619289398193398</v>
      </c>
      <c r="O273" s="203">
        <v>93.959686279296903</v>
      </c>
      <c r="P273" s="203" t="s">
        <v>1094</v>
      </c>
      <c r="Q273" s="203" t="s">
        <v>951</v>
      </c>
      <c r="R273" s="425"/>
      <c r="S273" s="426"/>
      <c r="T273" s="542" t="s">
        <v>976</v>
      </c>
      <c r="U273" s="427"/>
      <c r="V273" s="203" t="s">
        <v>537</v>
      </c>
    </row>
    <row r="274" spans="1:22" s="203" customFormat="1" ht="17.25" hidden="1" customHeight="1" x14ac:dyDescent="0.2">
      <c r="A274" s="203" t="s">
        <v>454</v>
      </c>
      <c r="B274" s="203" t="s">
        <v>486</v>
      </c>
      <c r="C274" s="203" t="s">
        <v>532</v>
      </c>
      <c r="D274" s="203" t="s">
        <v>2177</v>
      </c>
      <c r="E274" s="203" t="s">
        <v>1572</v>
      </c>
      <c r="J274" s="203" t="s">
        <v>975</v>
      </c>
      <c r="K274" s="203" t="s">
        <v>969</v>
      </c>
      <c r="L274" s="203" t="s">
        <v>975</v>
      </c>
      <c r="M274" s="203" t="s">
        <v>454</v>
      </c>
      <c r="N274" s="203">
        <v>19.484790802001999</v>
      </c>
      <c r="O274" s="203">
        <v>94.007926940917997</v>
      </c>
      <c r="P274" s="203" t="s">
        <v>1094</v>
      </c>
      <c r="Q274" s="203" t="s">
        <v>951</v>
      </c>
      <c r="R274" s="425"/>
      <c r="S274" s="426"/>
      <c r="T274" s="542" t="s">
        <v>976</v>
      </c>
      <c r="U274" s="427"/>
      <c r="V274" s="203" t="s">
        <v>532</v>
      </c>
    </row>
    <row r="275" spans="1:22" s="203" customFormat="1" ht="17.25" hidden="1" customHeight="1" x14ac:dyDescent="0.2">
      <c r="A275" s="203" t="s">
        <v>454</v>
      </c>
      <c r="B275" s="203" t="s">
        <v>486</v>
      </c>
      <c r="C275" s="203" t="s">
        <v>487</v>
      </c>
      <c r="D275" s="203" t="s">
        <v>2177</v>
      </c>
      <c r="J275" s="203" t="s">
        <v>975</v>
      </c>
      <c r="K275" s="203" t="s">
        <v>969</v>
      </c>
      <c r="L275" s="203" t="s">
        <v>975</v>
      </c>
      <c r="M275" s="203" t="s">
        <v>982</v>
      </c>
      <c r="P275" s="203" t="s">
        <v>1094</v>
      </c>
      <c r="Q275" s="203" t="s">
        <v>951</v>
      </c>
      <c r="R275" s="425"/>
      <c r="S275" s="426"/>
      <c r="T275" s="542" t="s">
        <v>976</v>
      </c>
      <c r="U275" s="427"/>
      <c r="V275" s="203" t="s">
        <v>487</v>
      </c>
    </row>
    <row r="276" spans="1:22" s="203" customFormat="1" ht="17.25" hidden="1" customHeight="1" x14ac:dyDescent="0.2">
      <c r="A276" s="203" t="s">
        <v>454</v>
      </c>
      <c r="B276" s="203" t="s">
        <v>486</v>
      </c>
      <c r="C276" s="203" t="s">
        <v>555</v>
      </c>
      <c r="D276" s="203" t="s">
        <v>2177</v>
      </c>
      <c r="E276" s="203" t="s">
        <v>1595</v>
      </c>
      <c r="J276" s="203" t="s">
        <v>975</v>
      </c>
      <c r="K276" s="203" t="s">
        <v>969</v>
      </c>
      <c r="L276" s="203" t="s">
        <v>975</v>
      </c>
      <c r="M276" s="203" t="s">
        <v>454</v>
      </c>
      <c r="N276" s="203">
        <v>19.989589691162099</v>
      </c>
      <c r="O276" s="203">
        <v>93.823867797851605</v>
      </c>
      <c r="P276" s="203" t="s">
        <v>1094</v>
      </c>
      <c r="Q276" s="203" t="s">
        <v>951</v>
      </c>
      <c r="R276" s="425"/>
      <c r="S276" s="426"/>
      <c r="T276" s="542" t="s">
        <v>976</v>
      </c>
      <c r="U276" s="427"/>
      <c r="V276" s="203" t="s">
        <v>985</v>
      </c>
    </row>
    <row r="277" spans="1:22" s="203" customFormat="1" ht="17.25" hidden="1" customHeight="1" x14ac:dyDescent="0.2">
      <c r="A277" s="203" t="s">
        <v>454</v>
      </c>
      <c r="B277" s="203" t="s">
        <v>486</v>
      </c>
      <c r="C277" s="203" t="s">
        <v>544</v>
      </c>
      <c r="D277" s="203" t="s">
        <v>2177</v>
      </c>
      <c r="E277" s="203" t="s">
        <v>1583</v>
      </c>
      <c r="J277" s="203" t="s">
        <v>975</v>
      </c>
      <c r="K277" s="203" t="s">
        <v>969</v>
      </c>
      <c r="L277" s="203" t="s">
        <v>975</v>
      </c>
      <c r="M277" s="203" t="s">
        <v>454</v>
      </c>
      <c r="N277" s="203">
        <v>19.725629806518601</v>
      </c>
      <c r="O277" s="203">
        <v>94.031059265136705</v>
      </c>
      <c r="P277" s="203" t="s">
        <v>1094</v>
      </c>
      <c r="Q277" s="203" t="s">
        <v>951</v>
      </c>
      <c r="R277" s="425"/>
      <c r="S277" s="426"/>
      <c r="T277" s="542" t="s">
        <v>976</v>
      </c>
      <c r="U277" s="427"/>
      <c r="V277" s="203" t="s">
        <v>979</v>
      </c>
    </row>
    <row r="278" spans="1:22" s="203" customFormat="1" ht="17.25" hidden="1" customHeight="1" x14ac:dyDescent="0.2">
      <c r="A278" s="203" t="s">
        <v>454</v>
      </c>
      <c r="B278" s="203" t="s">
        <v>486</v>
      </c>
      <c r="C278" s="203" t="s">
        <v>533</v>
      </c>
      <c r="D278" s="203" t="s">
        <v>2177</v>
      </c>
      <c r="E278" s="203">
        <v>199195</v>
      </c>
      <c r="J278" s="203" t="s">
        <v>975</v>
      </c>
      <c r="K278" s="203" t="s">
        <v>969</v>
      </c>
      <c r="L278" s="203" t="s">
        <v>975</v>
      </c>
      <c r="M278" s="203" t="s">
        <v>454</v>
      </c>
      <c r="N278" s="203">
        <v>19.591590881347699</v>
      </c>
      <c r="O278" s="203">
        <v>93.808258056640597</v>
      </c>
      <c r="P278" s="203" t="s">
        <v>1094</v>
      </c>
      <c r="Q278" s="203" t="s">
        <v>951</v>
      </c>
      <c r="R278" s="425"/>
      <c r="S278" s="426"/>
      <c r="T278" s="542">
        <v>42745</v>
      </c>
      <c r="U278" s="427"/>
    </row>
    <row r="279" spans="1:22" s="203" customFormat="1" ht="17.25" hidden="1" customHeight="1" x14ac:dyDescent="0.2">
      <c r="A279" s="203" t="s">
        <v>454</v>
      </c>
      <c r="B279" s="203" t="s">
        <v>486</v>
      </c>
      <c r="C279" s="203" t="s">
        <v>539</v>
      </c>
      <c r="D279" s="203" t="s">
        <v>2177</v>
      </c>
      <c r="E279" s="203" t="s">
        <v>1578</v>
      </c>
      <c r="J279" s="203" t="s">
        <v>975</v>
      </c>
      <c r="K279" s="203" t="s">
        <v>969</v>
      </c>
      <c r="L279" s="203" t="s">
        <v>975</v>
      </c>
      <c r="M279" s="203" t="s">
        <v>978</v>
      </c>
      <c r="N279" s="203">
        <v>19.639009475708001</v>
      </c>
      <c r="O279" s="203">
        <v>94.036079406738295</v>
      </c>
      <c r="P279" s="203" t="s">
        <v>1094</v>
      </c>
      <c r="Q279" s="203" t="s">
        <v>951</v>
      </c>
      <c r="R279" s="425"/>
      <c r="S279" s="426"/>
      <c r="T279" s="542" t="s">
        <v>976</v>
      </c>
      <c r="U279" s="427"/>
      <c r="V279" s="203" t="s">
        <v>539</v>
      </c>
    </row>
    <row r="280" spans="1:22" s="203" customFormat="1" ht="17.25" hidden="1" customHeight="1" x14ac:dyDescent="0.2">
      <c r="A280" s="203" t="s">
        <v>454</v>
      </c>
      <c r="B280" s="203" t="s">
        <v>486</v>
      </c>
      <c r="C280" s="203" t="s">
        <v>546</v>
      </c>
      <c r="D280" s="203" t="s">
        <v>2177</v>
      </c>
      <c r="E280" s="203" t="s">
        <v>1585</v>
      </c>
      <c r="J280" s="203" t="s">
        <v>975</v>
      </c>
      <c r="K280" s="203" t="s">
        <v>969</v>
      </c>
      <c r="L280" s="203" t="s">
        <v>975</v>
      </c>
      <c r="M280" s="203" t="s">
        <v>454</v>
      </c>
      <c r="N280" s="203">
        <v>19.738719940185501</v>
      </c>
      <c r="O280" s="203">
        <v>94.035491943359403</v>
      </c>
      <c r="P280" s="203" t="s">
        <v>1094</v>
      </c>
      <c r="Q280" s="203" t="s">
        <v>951</v>
      </c>
      <c r="R280" s="425"/>
      <c r="S280" s="426"/>
      <c r="T280" s="542" t="s">
        <v>976</v>
      </c>
      <c r="U280" s="427"/>
      <c r="V280" s="203" t="s">
        <v>546</v>
      </c>
    </row>
    <row r="281" spans="1:22" s="203" customFormat="1" ht="17.25" hidden="1" customHeight="1" x14ac:dyDescent="0.2">
      <c r="A281" s="203" t="s">
        <v>454</v>
      </c>
      <c r="B281" s="203" t="s">
        <v>486</v>
      </c>
      <c r="C281" s="203" t="s">
        <v>540</v>
      </c>
      <c r="D281" s="203" t="s">
        <v>2177</v>
      </c>
      <c r="E281" s="203" t="s">
        <v>1579</v>
      </c>
      <c r="J281" s="203" t="s">
        <v>975</v>
      </c>
      <c r="K281" s="203" t="s">
        <v>969</v>
      </c>
      <c r="L281" s="203" t="s">
        <v>975</v>
      </c>
      <c r="M281" s="203" t="s">
        <v>454</v>
      </c>
      <c r="N281" s="203">
        <v>19.646549224853501</v>
      </c>
      <c r="O281" s="203">
        <v>94.004188537597699</v>
      </c>
      <c r="P281" s="203" t="s">
        <v>1094</v>
      </c>
      <c r="Q281" s="203" t="s">
        <v>951</v>
      </c>
      <c r="R281" s="425"/>
      <c r="S281" s="426"/>
      <c r="T281" s="542" t="s">
        <v>976</v>
      </c>
      <c r="U281" s="427"/>
      <c r="V281" s="203" t="s">
        <v>540</v>
      </c>
    </row>
    <row r="282" spans="1:22" s="203" customFormat="1" ht="17.25" hidden="1" customHeight="1" x14ac:dyDescent="0.2">
      <c r="A282" s="203" t="s">
        <v>454</v>
      </c>
      <c r="B282" s="203" t="s">
        <v>486</v>
      </c>
      <c r="C282" s="203" t="s">
        <v>556</v>
      </c>
      <c r="D282" s="203" t="s">
        <v>2177</v>
      </c>
      <c r="E282" s="203" t="s">
        <v>1596</v>
      </c>
      <c r="J282" s="203" t="s">
        <v>975</v>
      </c>
      <c r="K282" s="203" t="s">
        <v>969</v>
      </c>
      <c r="L282" s="203" t="s">
        <v>975</v>
      </c>
      <c r="M282" s="203" t="s">
        <v>978</v>
      </c>
      <c r="N282" s="203">
        <v>19.991359710693398</v>
      </c>
      <c r="O282" s="203">
        <v>93.834663391113295</v>
      </c>
      <c r="P282" s="203" t="s">
        <v>1094</v>
      </c>
      <c r="Q282" s="203" t="s">
        <v>951</v>
      </c>
      <c r="R282" s="425"/>
      <c r="S282" s="426"/>
      <c r="T282" s="542" t="s">
        <v>976</v>
      </c>
      <c r="U282" s="427"/>
      <c r="V282" s="203" t="s">
        <v>556</v>
      </c>
    </row>
    <row r="283" spans="1:22" s="203" customFormat="1" ht="17.25" hidden="1" customHeight="1" x14ac:dyDescent="0.2">
      <c r="A283" s="203" t="s">
        <v>454</v>
      </c>
      <c r="B283" s="203" t="s">
        <v>486</v>
      </c>
      <c r="C283" s="203" t="s">
        <v>547</v>
      </c>
      <c r="D283" s="203" t="s">
        <v>2177</v>
      </c>
      <c r="E283" s="203" t="s">
        <v>1586</v>
      </c>
      <c r="J283" s="203" t="s">
        <v>975</v>
      </c>
      <c r="K283" s="203" t="s">
        <v>969</v>
      </c>
      <c r="L283" s="203" t="s">
        <v>975</v>
      </c>
      <c r="M283" s="203" t="s">
        <v>454</v>
      </c>
      <c r="N283" s="203">
        <v>19.9044303894043</v>
      </c>
      <c r="O283" s="203">
        <v>93.792778015136705</v>
      </c>
      <c r="P283" s="203" t="s">
        <v>1094</v>
      </c>
      <c r="Q283" s="203" t="s">
        <v>951</v>
      </c>
      <c r="R283" s="425"/>
      <c r="S283" s="426"/>
      <c r="T283" s="542" t="s">
        <v>976</v>
      </c>
      <c r="U283" s="427"/>
      <c r="V283" s="203" t="s">
        <v>547</v>
      </c>
    </row>
    <row r="284" spans="1:22" s="203" customFormat="1" ht="17.25" hidden="1" customHeight="1" x14ac:dyDescent="0.2">
      <c r="A284" s="203" t="s">
        <v>454</v>
      </c>
      <c r="B284" s="203" t="s">
        <v>486</v>
      </c>
      <c r="C284" s="203" t="s">
        <v>549</v>
      </c>
      <c r="D284" s="203" t="s">
        <v>2177</v>
      </c>
      <c r="E284" s="203" t="s">
        <v>1588</v>
      </c>
      <c r="J284" s="203" t="s">
        <v>975</v>
      </c>
      <c r="K284" s="203" t="s">
        <v>969</v>
      </c>
      <c r="L284" s="203" t="s">
        <v>975</v>
      </c>
      <c r="M284" s="203" t="s">
        <v>978</v>
      </c>
      <c r="N284" s="203">
        <v>19.930080413818398</v>
      </c>
      <c r="O284" s="203">
        <v>93.787002563476605</v>
      </c>
      <c r="P284" s="203" t="s">
        <v>1094</v>
      </c>
      <c r="Q284" s="203" t="s">
        <v>951</v>
      </c>
      <c r="R284" s="425"/>
      <c r="S284" s="426"/>
      <c r="T284" s="542" t="s">
        <v>976</v>
      </c>
      <c r="U284" s="427"/>
      <c r="V284" s="203" t="s">
        <v>549</v>
      </c>
    </row>
    <row r="285" spans="1:22" s="203" customFormat="1" ht="17.25" hidden="1" customHeight="1" x14ac:dyDescent="0.2">
      <c r="A285" s="203" t="s">
        <v>454</v>
      </c>
      <c r="B285" s="203" t="s">
        <v>486</v>
      </c>
      <c r="C285" s="203" t="s">
        <v>535</v>
      </c>
      <c r="D285" s="203" t="s">
        <v>2177</v>
      </c>
      <c r="E285" s="203" t="s">
        <v>1574</v>
      </c>
      <c r="J285" s="203" t="s">
        <v>975</v>
      </c>
      <c r="K285" s="203" t="s">
        <v>969</v>
      </c>
      <c r="L285" s="203" t="s">
        <v>975</v>
      </c>
      <c r="M285" s="203" t="s">
        <v>454</v>
      </c>
      <c r="N285" s="203">
        <v>19.611209869384801</v>
      </c>
      <c r="O285" s="203">
        <v>93.995933532714801</v>
      </c>
      <c r="P285" s="203" t="s">
        <v>1094</v>
      </c>
      <c r="Q285" s="203" t="s">
        <v>951</v>
      </c>
      <c r="R285" s="425"/>
      <c r="S285" s="426"/>
      <c r="T285" s="542" t="s">
        <v>976</v>
      </c>
      <c r="U285" s="427"/>
      <c r="V285" s="203" t="s">
        <v>977</v>
      </c>
    </row>
    <row r="286" spans="1:22" s="203" customFormat="1" ht="17.25" hidden="1" customHeight="1" x14ac:dyDescent="0.2">
      <c r="A286" s="203" t="s">
        <v>454</v>
      </c>
      <c r="B286" s="203" t="s">
        <v>486</v>
      </c>
      <c r="C286" s="203" t="s">
        <v>541</v>
      </c>
      <c r="D286" s="203" t="s">
        <v>2177</v>
      </c>
      <c r="E286" s="203" t="s">
        <v>1580</v>
      </c>
      <c r="J286" s="203" t="s">
        <v>975</v>
      </c>
      <c r="K286" s="203" t="s">
        <v>969</v>
      </c>
      <c r="L286" s="203" t="s">
        <v>975</v>
      </c>
      <c r="M286" s="203" t="s">
        <v>978</v>
      </c>
      <c r="N286" s="203">
        <v>19.686580657958999</v>
      </c>
      <c r="O286" s="203">
        <v>94.048843383789105</v>
      </c>
      <c r="P286" s="203" t="s">
        <v>1094</v>
      </c>
      <c r="Q286" s="203" t="s">
        <v>951</v>
      </c>
      <c r="R286" s="425"/>
      <c r="S286" s="426"/>
      <c r="T286" s="542" t="s">
        <v>976</v>
      </c>
      <c r="U286" s="427"/>
      <c r="V286" s="203" t="s">
        <v>541</v>
      </c>
    </row>
    <row r="287" spans="1:22" s="203" customFormat="1" ht="17.25" hidden="1" customHeight="1" x14ac:dyDescent="0.2">
      <c r="A287" s="203" t="s">
        <v>454</v>
      </c>
      <c r="B287" s="203" t="s">
        <v>486</v>
      </c>
      <c r="C287" s="203" t="s">
        <v>538</v>
      </c>
      <c r="D287" s="203" t="s">
        <v>2177</v>
      </c>
      <c r="E287" s="294" t="s">
        <v>1577</v>
      </c>
      <c r="J287" s="203" t="s">
        <v>975</v>
      </c>
      <c r="K287" s="203" t="s">
        <v>969</v>
      </c>
      <c r="L287" s="203" t="s">
        <v>975</v>
      </c>
      <c r="M287" s="203" t="s">
        <v>454</v>
      </c>
      <c r="N287" s="203">
        <v>19.627199172973601</v>
      </c>
      <c r="O287" s="203">
        <v>93.962989807128906</v>
      </c>
      <c r="P287" s="203" t="s">
        <v>1094</v>
      </c>
      <c r="Q287" s="203" t="s">
        <v>951</v>
      </c>
      <c r="R287" s="425"/>
      <c r="S287" s="426"/>
      <c r="T287" s="542" t="s">
        <v>976</v>
      </c>
      <c r="U287" s="427"/>
      <c r="V287" s="203" t="s">
        <v>538</v>
      </c>
    </row>
    <row r="288" spans="1:22" s="203" customFormat="1" ht="17.25" hidden="1" customHeight="1" x14ac:dyDescent="0.2">
      <c r="A288" s="203" t="s">
        <v>454</v>
      </c>
      <c r="B288" s="203" t="s">
        <v>486</v>
      </c>
      <c r="C288" s="203" t="s">
        <v>536</v>
      </c>
      <c r="D288" s="203" t="s">
        <v>2177</v>
      </c>
      <c r="E288" s="203" t="s">
        <v>1575</v>
      </c>
      <c r="J288" s="203" t="s">
        <v>975</v>
      </c>
      <c r="K288" s="203" t="s">
        <v>969</v>
      </c>
      <c r="L288" s="203" t="s">
        <v>975</v>
      </c>
      <c r="M288" s="203" t="s">
        <v>454</v>
      </c>
      <c r="N288" s="203">
        <v>19.615800857543899</v>
      </c>
      <c r="O288" s="203">
        <v>94.000473022460895</v>
      </c>
      <c r="P288" s="203" t="s">
        <v>1094</v>
      </c>
      <c r="Q288" s="203" t="s">
        <v>951</v>
      </c>
      <c r="R288" s="425"/>
      <c r="S288" s="426"/>
      <c r="T288" s="542" t="s">
        <v>976</v>
      </c>
      <c r="U288" s="427"/>
      <c r="V288" s="203" t="s">
        <v>536</v>
      </c>
    </row>
    <row r="289" spans="1:22" s="203" customFormat="1" ht="17.25" hidden="1" customHeight="1" x14ac:dyDescent="0.2">
      <c r="A289" s="203" t="s">
        <v>454</v>
      </c>
      <c r="B289" s="203" t="s">
        <v>486</v>
      </c>
      <c r="C289" s="203" t="s">
        <v>553</v>
      </c>
      <c r="D289" s="203" t="s">
        <v>2177</v>
      </c>
      <c r="E289" s="203" t="s">
        <v>1593</v>
      </c>
      <c r="J289" s="203" t="s">
        <v>975</v>
      </c>
      <c r="K289" s="203" t="s">
        <v>969</v>
      </c>
      <c r="L289" s="203" t="s">
        <v>975</v>
      </c>
      <c r="M289" s="203" t="s">
        <v>978</v>
      </c>
      <c r="N289" s="203">
        <v>19.988599777221701</v>
      </c>
      <c r="O289" s="203">
        <v>93.803939819335895</v>
      </c>
      <c r="P289" s="203" t="s">
        <v>1094</v>
      </c>
      <c r="Q289" s="203" t="s">
        <v>951</v>
      </c>
      <c r="R289" s="425"/>
      <c r="S289" s="426"/>
      <c r="T289" s="542" t="s">
        <v>976</v>
      </c>
      <c r="U289" s="427"/>
      <c r="V289" s="203" t="s">
        <v>984</v>
      </c>
    </row>
    <row r="290" spans="1:22" s="203" customFormat="1" ht="17.25" hidden="1" customHeight="1" x14ac:dyDescent="0.2">
      <c r="A290" s="203" t="s">
        <v>454</v>
      </c>
      <c r="B290" s="203" t="s">
        <v>486</v>
      </c>
      <c r="C290" s="203" t="s">
        <v>551</v>
      </c>
      <c r="D290" s="203" t="s">
        <v>2177</v>
      </c>
      <c r="E290" s="203" t="s">
        <v>1591</v>
      </c>
      <c r="J290" s="203" t="s">
        <v>975</v>
      </c>
      <c r="K290" s="203" t="s">
        <v>969</v>
      </c>
      <c r="L290" s="203" t="s">
        <v>975</v>
      </c>
      <c r="M290" s="203" t="s">
        <v>978</v>
      </c>
      <c r="N290" s="438">
        <v>19.962713241577099</v>
      </c>
      <c r="O290" s="438">
        <v>93.885574340820298</v>
      </c>
      <c r="P290" s="203" t="s">
        <v>1094</v>
      </c>
      <c r="Q290" s="203" t="s">
        <v>951</v>
      </c>
      <c r="R290" s="425"/>
      <c r="S290" s="426"/>
      <c r="T290" s="542" t="s">
        <v>976</v>
      </c>
      <c r="U290" s="427"/>
      <c r="V290" s="203" t="s">
        <v>551</v>
      </c>
    </row>
    <row r="291" spans="1:22" s="203" customFormat="1" ht="17.25" hidden="1" customHeight="1" x14ac:dyDescent="0.2">
      <c r="A291" s="203" t="s">
        <v>454</v>
      </c>
      <c r="B291" s="203" t="s">
        <v>486</v>
      </c>
      <c r="C291" s="203" t="s">
        <v>548</v>
      </c>
      <c r="D291" s="203" t="s">
        <v>2177</v>
      </c>
      <c r="E291" s="203" t="s">
        <v>1587</v>
      </c>
      <c r="J291" s="203" t="s">
        <v>975</v>
      </c>
      <c r="K291" s="203" t="s">
        <v>969</v>
      </c>
      <c r="L291" s="203" t="s">
        <v>975</v>
      </c>
      <c r="M291" s="203" t="s">
        <v>454</v>
      </c>
      <c r="N291" s="203">
        <v>19.925739288330099</v>
      </c>
      <c r="O291" s="203">
        <v>93.792991638183594</v>
      </c>
      <c r="P291" s="203" t="s">
        <v>1094</v>
      </c>
      <c r="Q291" s="203" t="s">
        <v>951</v>
      </c>
      <c r="R291" s="425"/>
      <c r="S291" s="426"/>
      <c r="T291" s="542" t="s">
        <v>976</v>
      </c>
      <c r="U291" s="427"/>
      <c r="V291" s="203" t="s">
        <v>980</v>
      </c>
    </row>
    <row r="292" spans="1:22" s="203" customFormat="1" ht="17.25" hidden="1" customHeight="1" x14ac:dyDescent="0.2">
      <c r="A292" s="203" t="s">
        <v>454</v>
      </c>
      <c r="B292" s="203" t="s">
        <v>480</v>
      </c>
      <c r="C292" s="203" t="s">
        <v>793</v>
      </c>
      <c r="D292" s="203" t="s">
        <v>2177</v>
      </c>
      <c r="E292" s="203" t="s">
        <v>1834</v>
      </c>
      <c r="J292" s="203" t="s">
        <v>969</v>
      </c>
      <c r="K292" s="203" t="s">
        <v>969</v>
      </c>
      <c r="L292" s="203" t="s">
        <v>969</v>
      </c>
      <c r="M292" s="203" t="s">
        <v>966</v>
      </c>
      <c r="N292" s="203">
        <v>20.825700759887699</v>
      </c>
      <c r="O292" s="203">
        <v>92.542686462402301</v>
      </c>
      <c r="P292" s="203" t="s">
        <v>970</v>
      </c>
      <c r="Q292" s="203" t="s">
        <v>951</v>
      </c>
      <c r="R292" s="425"/>
      <c r="S292" s="426"/>
      <c r="T292" s="542" t="s">
        <v>935</v>
      </c>
      <c r="U292" s="427"/>
      <c r="V292" s="203" t="s">
        <v>793</v>
      </c>
    </row>
    <row r="293" spans="1:22" s="203" customFormat="1" ht="17.25" hidden="1" customHeight="1" x14ac:dyDescent="0.2">
      <c r="A293" s="203" t="s">
        <v>454</v>
      </c>
      <c r="B293" s="203" t="s">
        <v>480</v>
      </c>
      <c r="C293" s="203" t="s">
        <v>706</v>
      </c>
      <c r="D293" s="203" t="s">
        <v>2177</v>
      </c>
      <c r="E293" s="203" t="s">
        <v>1757</v>
      </c>
      <c r="J293" s="203" t="s">
        <v>969</v>
      </c>
      <c r="K293" s="203" t="s">
        <v>969</v>
      </c>
      <c r="L293" s="203" t="s">
        <v>969</v>
      </c>
      <c r="M293" s="203" t="s">
        <v>966</v>
      </c>
      <c r="N293" s="203">
        <v>20.6868190765381</v>
      </c>
      <c r="O293" s="203">
        <v>92.578559875488295</v>
      </c>
      <c r="P293" s="203" t="s">
        <v>970</v>
      </c>
      <c r="Q293" s="203" t="s">
        <v>951</v>
      </c>
      <c r="R293" s="425"/>
      <c r="S293" s="426"/>
      <c r="T293" s="542" t="s">
        <v>935</v>
      </c>
      <c r="U293" s="427"/>
      <c r="V293" s="203" t="s">
        <v>706</v>
      </c>
    </row>
    <row r="294" spans="1:22" s="203" customFormat="1" ht="17.25" hidden="1" customHeight="1" x14ac:dyDescent="0.2">
      <c r="A294" s="203" t="s">
        <v>454</v>
      </c>
      <c r="B294" s="203" t="s">
        <v>480</v>
      </c>
      <c r="C294" s="203" t="s">
        <v>828</v>
      </c>
      <c r="D294" s="203" t="s">
        <v>2177</v>
      </c>
      <c r="E294" s="203" t="s">
        <v>1859</v>
      </c>
      <c r="J294" s="203" t="s">
        <v>969</v>
      </c>
      <c r="K294" s="203" t="s">
        <v>969</v>
      </c>
      <c r="L294" s="203" t="s">
        <v>969</v>
      </c>
      <c r="M294" s="203" t="s">
        <v>966</v>
      </c>
      <c r="N294" s="203">
        <v>20.9616508483887</v>
      </c>
      <c r="O294" s="203">
        <v>92.502937316894503</v>
      </c>
      <c r="P294" s="203" t="s">
        <v>970</v>
      </c>
      <c r="Q294" s="203" t="s">
        <v>951</v>
      </c>
      <c r="R294" s="425"/>
      <c r="S294" s="426"/>
      <c r="T294" s="542" t="s">
        <v>935</v>
      </c>
      <c r="U294" s="427"/>
      <c r="V294" s="203" t="s">
        <v>828</v>
      </c>
    </row>
    <row r="295" spans="1:22" s="203" customFormat="1" ht="17.25" hidden="1" customHeight="1" x14ac:dyDescent="0.2">
      <c r="A295" s="203" t="s">
        <v>454</v>
      </c>
      <c r="B295" s="203" t="s">
        <v>480</v>
      </c>
      <c r="C295" s="203" t="s">
        <v>745</v>
      </c>
      <c r="D295" s="203" t="s">
        <v>2177</v>
      </c>
      <c r="E295" s="203" t="s">
        <v>1794</v>
      </c>
      <c r="J295" s="203" t="s">
        <v>969</v>
      </c>
      <c r="K295" s="203" t="s">
        <v>969</v>
      </c>
      <c r="L295" s="203" t="s">
        <v>969</v>
      </c>
      <c r="M295" s="203" t="s">
        <v>1060</v>
      </c>
      <c r="N295" s="203">
        <v>20.742059707641602</v>
      </c>
      <c r="O295" s="203">
        <v>92.630676269531307</v>
      </c>
      <c r="P295" s="203" t="s">
        <v>970</v>
      </c>
      <c r="Q295" s="203" t="s">
        <v>951</v>
      </c>
      <c r="R295" s="425"/>
      <c r="S295" s="426"/>
      <c r="T295" s="542" t="s">
        <v>935</v>
      </c>
      <c r="U295" s="427"/>
      <c r="V295" s="203" t="s">
        <v>745</v>
      </c>
    </row>
    <row r="296" spans="1:22" s="203" customFormat="1" ht="17.25" hidden="1" customHeight="1" x14ac:dyDescent="0.2">
      <c r="A296" s="203" t="s">
        <v>454</v>
      </c>
      <c r="B296" s="203" t="s">
        <v>480</v>
      </c>
      <c r="C296" s="203" t="s">
        <v>767</v>
      </c>
      <c r="D296" s="203" t="s">
        <v>2177</v>
      </c>
      <c r="E296" s="203" t="s">
        <v>1813</v>
      </c>
      <c r="J296" s="203" t="s">
        <v>969</v>
      </c>
      <c r="K296" s="203" t="s">
        <v>969</v>
      </c>
      <c r="L296" s="203" t="s">
        <v>969</v>
      </c>
      <c r="M296" s="203" t="s">
        <v>966</v>
      </c>
      <c r="N296" s="203">
        <v>20.7923908233643</v>
      </c>
      <c r="O296" s="203">
        <v>92.587081909179702</v>
      </c>
      <c r="P296" s="203" t="s">
        <v>970</v>
      </c>
      <c r="Q296" s="203" t="s">
        <v>951</v>
      </c>
      <c r="R296" s="425"/>
      <c r="S296" s="426"/>
      <c r="T296" s="542" t="s">
        <v>935</v>
      </c>
      <c r="U296" s="427"/>
      <c r="V296" s="203" t="s">
        <v>767</v>
      </c>
    </row>
    <row r="297" spans="1:22" s="203" customFormat="1" ht="17.25" hidden="1" customHeight="1" x14ac:dyDescent="0.2">
      <c r="A297" s="203" t="s">
        <v>454</v>
      </c>
      <c r="B297" s="203" t="s">
        <v>480</v>
      </c>
      <c r="C297" s="203" t="s">
        <v>815</v>
      </c>
      <c r="D297" s="203" t="s">
        <v>2177</v>
      </c>
      <c r="E297" s="203" t="s">
        <v>1848</v>
      </c>
      <c r="J297" s="203" t="s">
        <v>969</v>
      </c>
      <c r="K297" s="203" t="s">
        <v>969</v>
      </c>
      <c r="L297" s="203" t="s">
        <v>969</v>
      </c>
      <c r="M297" s="203" t="s">
        <v>966</v>
      </c>
      <c r="N297" s="203">
        <v>20.891330718994102</v>
      </c>
      <c r="O297" s="203">
        <v>92.491966247558594</v>
      </c>
      <c r="P297" s="203" t="s">
        <v>970</v>
      </c>
      <c r="Q297" s="203" t="s">
        <v>951</v>
      </c>
      <c r="R297" s="425"/>
      <c r="S297" s="426"/>
      <c r="T297" s="542" t="s">
        <v>935</v>
      </c>
      <c r="U297" s="427"/>
      <c r="V297" s="203" t="s">
        <v>815</v>
      </c>
    </row>
    <row r="298" spans="1:22" s="203" customFormat="1" ht="17.25" hidden="1" customHeight="1" x14ac:dyDescent="0.2">
      <c r="A298" s="203" t="s">
        <v>454</v>
      </c>
      <c r="B298" s="203" t="s">
        <v>480</v>
      </c>
      <c r="C298" s="203" t="s">
        <v>783</v>
      </c>
      <c r="D298" s="203" t="s">
        <v>2177</v>
      </c>
      <c r="E298" s="203" t="s">
        <v>1824</v>
      </c>
      <c r="J298" s="203" t="s">
        <v>969</v>
      </c>
      <c r="K298" s="203" t="s">
        <v>969</v>
      </c>
      <c r="L298" s="203" t="s">
        <v>969</v>
      </c>
      <c r="M298" s="203" t="s">
        <v>454</v>
      </c>
      <c r="N298" s="203">
        <v>20.818290710449201</v>
      </c>
      <c r="O298" s="203">
        <v>92.594978332519503</v>
      </c>
      <c r="P298" s="203" t="s">
        <v>970</v>
      </c>
      <c r="Q298" s="203" t="s">
        <v>951</v>
      </c>
      <c r="R298" s="425"/>
      <c r="S298" s="426"/>
      <c r="T298" s="542" t="s">
        <v>935</v>
      </c>
      <c r="U298" s="427"/>
      <c r="V298" s="203" t="s">
        <v>1111</v>
      </c>
    </row>
    <row r="299" spans="1:22" s="203" customFormat="1" ht="17.25" hidden="1" customHeight="1" x14ac:dyDescent="0.2">
      <c r="A299" s="203" t="s">
        <v>454</v>
      </c>
      <c r="B299" s="203" t="s">
        <v>480</v>
      </c>
      <c r="C299" s="203" t="s">
        <v>481</v>
      </c>
      <c r="D299" s="203" t="s">
        <v>2177</v>
      </c>
      <c r="J299" s="203" t="s">
        <v>975</v>
      </c>
      <c r="K299" s="203" t="s">
        <v>969</v>
      </c>
      <c r="L299" s="203" t="s">
        <v>975</v>
      </c>
      <c r="M299" s="203" t="s">
        <v>966</v>
      </c>
      <c r="P299" s="203" t="s">
        <v>1094</v>
      </c>
      <c r="Q299" s="203" t="s">
        <v>973</v>
      </c>
      <c r="R299" s="425"/>
      <c r="S299" s="426"/>
      <c r="T299" s="542">
        <v>42926</v>
      </c>
      <c r="U299" s="427" t="s">
        <v>1104</v>
      </c>
    </row>
    <row r="300" spans="1:22" s="203" customFormat="1" ht="17.25" hidden="1" customHeight="1" x14ac:dyDescent="0.2">
      <c r="A300" s="203" t="s">
        <v>454</v>
      </c>
      <c r="B300" s="203" t="s">
        <v>480</v>
      </c>
      <c r="C300" s="203" t="s">
        <v>704</v>
      </c>
      <c r="D300" s="203" t="s">
        <v>2177</v>
      </c>
      <c r="E300" s="203" t="s">
        <v>1756</v>
      </c>
      <c r="J300" s="203" t="s">
        <v>969</v>
      </c>
      <c r="K300" s="203" t="s">
        <v>969</v>
      </c>
      <c r="L300" s="203" t="s">
        <v>969</v>
      </c>
      <c r="M300" s="203" t="s">
        <v>454</v>
      </c>
      <c r="N300" s="438">
        <v>20.6856899261475</v>
      </c>
      <c r="O300" s="438">
        <v>92.572860717773395</v>
      </c>
      <c r="P300" s="203" t="s">
        <v>970</v>
      </c>
      <c r="Q300" s="203" t="s">
        <v>951</v>
      </c>
      <c r="R300" s="425"/>
      <c r="S300" s="426"/>
      <c r="T300" s="542" t="s">
        <v>935</v>
      </c>
      <c r="U300" s="427"/>
      <c r="V300" s="203" t="s">
        <v>704</v>
      </c>
    </row>
    <row r="301" spans="1:22" s="203" customFormat="1" ht="17.25" hidden="1" customHeight="1" x14ac:dyDescent="0.2">
      <c r="A301" s="203" t="s">
        <v>454</v>
      </c>
      <c r="B301" s="203" t="s">
        <v>480</v>
      </c>
      <c r="C301" s="203" t="s">
        <v>733</v>
      </c>
      <c r="D301" s="203" t="s">
        <v>2177</v>
      </c>
      <c r="E301" s="203" t="s">
        <v>1784</v>
      </c>
      <c r="J301" s="203" t="s">
        <v>969</v>
      </c>
      <c r="K301" s="203" t="s">
        <v>969</v>
      </c>
      <c r="L301" s="203" t="s">
        <v>969</v>
      </c>
      <c r="M301" s="203" t="s">
        <v>966</v>
      </c>
      <c r="N301" s="203">
        <v>20.721019744873001</v>
      </c>
      <c r="O301" s="203">
        <v>92.626197814941406</v>
      </c>
      <c r="P301" s="203" t="s">
        <v>970</v>
      </c>
      <c r="Q301" s="203" t="s">
        <v>951</v>
      </c>
      <c r="R301" s="425"/>
      <c r="S301" s="426"/>
      <c r="T301" s="542" t="s">
        <v>935</v>
      </c>
      <c r="U301" s="427"/>
      <c r="V301" s="203" t="s">
        <v>733</v>
      </c>
    </row>
    <row r="302" spans="1:22" s="203" customFormat="1" ht="17.25" hidden="1" customHeight="1" x14ac:dyDescent="0.2">
      <c r="A302" s="203" t="s">
        <v>454</v>
      </c>
      <c r="B302" s="203" t="s">
        <v>480</v>
      </c>
      <c r="C302" s="203" t="s">
        <v>755</v>
      </c>
      <c r="D302" s="203" t="s">
        <v>2177</v>
      </c>
      <c r="E302" s="203" t="s">
        <v>1804</v>
      </c>
      <c r="J302" s="203" t="s">
        <v>969</v>
      </c>
      <c r="K302" s="203" t="s">
        <v>969</v>
      </c>
      <c r="L302" s="203" t="s">
        <v>969</v>
      </c>
      <c r="M302" s="203" t="s">
        <v>966</v>
      </c>
      <c r="N302" s="438">
        <v>20.775840759277301</v>
      </c>
      <c r="O302" s="438">
        <v>92.613082885742202</v>
      </c>
      <c r="P302" s="203" t="s">
        <v>970</v>
      </c>
      <c r="Q302" s="203" t="s">
        <v>951</v>
      </c>
      <c r="R302" s="425"/>
      <c r="S302" s="426"/>
      <c r="T302" s="542" t="s">
        <v>935</v>
      </c>
      <c r="U302" s="427"/>
      <c r="V302" s="203" t="s">
        <v>755</v>
      </c>
    </row>
    <row r="303" spans="1:22" s="203" customFormat="1" ht="17.25" hidden="1" customHeight="1" x14ac:dyDescent="0.2">
      <c r="A303" s="203" t="s">
        <v>454</v>
      </c>
      <c r="B303" s="203" t="s">
        <v>480</v>
      </c>
      <c r="C303" s="203" t="s">
        <v>747</v>
      </c>
      <c r="D303" s="203" t="s">
        <v>2177</v>
      </c>
      <c r="E303" s="203" t="s">
        <v>1796</v>
      </c>
      <c r="J303" s="203" t="s">
        <v>969</v>
      </c>
      <c r="K303" s="203" t="s">
        <v>969</v>
      </c>
      <c r="L303" s="203" t="s">
        <v>969</v>
      </c>
      <c r="M303" s="203" t="s">
        <v>966</v>
      </c>
      <c r="N303" s="203">
        <v>20.753370285034201</v>
      </c>
      <c r="O303" s="203">
        <v>92.545188903808594</v>
      </c>
      <c r="P303" s="203" t="s">
        <v>970</v>
      </c>
      <c r="Q303" s="203" t="s">
        <v>951</v>
      </c>
      <c r="R303" s="425"/>
      <c r="S303" s="426"/>
      <c r="T303" s="542" t="s">
        <v>935</v>
      </c>
      <c r="U303" s="427"/>
      <c r="V303" s="203" t="s">
        <v>747</v>
      </c>
    </row>
    <row r="304" spans="1:22" s="203" customFormat="1" ht="17.25" hidden="1" customHeight="1" x14ac:dyDescent="0.2">
      <c r="A304" s="203" t="s">
        <v>454</v>
      </c>
      <c r="B304" s="203" t="s">
        <v>480</v>
      </c>
      <c r="C304" s="203" t="s">
        <v>716</v>
      </c>
      <c r="D304" s="203" t="s">
        <v>2177</v>
      </c>
      <c r="E304" s="203" t="s">
        <v>1766</v>
      </c>
      <c r="J304" s="203" t="s">
        <v>969</v>
      </c>
      <c r="K304" s="203" t="s">
        <v>969</v>
      </c>
      <c r="L304" s="203" t="s">
        <v>969</v>
      </c>
      <c r="M304" s="203" t="s">
        <v>966</v>
      </c>
      <c r="N304" s="203">
        <v>20.703790664672901</v>
      </c>
      <c r="O304" s="203">
        <v>92.628463745117202</v>
      </c>
      <c r="P304" s="203" t="s">
        <v>970</v>
      </c>
      <c r="Q304" s="203" t="s">
        <v>951</v>
      </c>
      <c r="R304" s="425"/>
      <c r="S304" s="426"/>
      <c r="T304" s="542" t="s">
        <v>935</v>
      </c>
      <c r="U304" s="427"/>
      <c r="V304" s="203" t="s">
        <v>716</v>
      </c>
    </row>
    <row r="305" spans="1:22" s="203" customFormat="1" ht="17.25" hidden="1" customHeight="1" x14ac:dyDescent="0.2">
      <c r="A305" s="203" t="s">
        <v>454</v>
      </c>
      <c r="B305" s="203" t="s">
        <v>480</v>
      </c>
      <c r="C305" s="203" t="s">
        <v>717</v>
      </c>
      <c r="D305" s="203" t="s">
        <v>2177</v>
      </c>
      <c r="E305" s="203" t="s">
        <v>1767</v>
      </c>
      <c r="J305" s="203" t="s">
        <v>969</v>
      </c>
      <c r="K305" s="203" t="s">
        <v>969</v>
      </c>
      <c r="L305" s="203" t="s">
        <v>969</v>
      </c>
      <c r="M305" s="203" t="s">
        <v>454</v>
      </c>
      <c r="N305" s="203">
        <v>20.703920364379901</v>
      </c>
      <c r="O305" s="203">
        <v>92.631500244140597</v>
      </c>
      <c r="P305" s="203" t="s">
        <v>970</v>
      </c>
      <c r="Q305" s="203" t="s">
        <v>951</v>
      </c>
      <c r="R305" s="425"/>
      <c r="S305" s="426"/>
      <c r="T305" s="542" t="s">
        <v>935</v>
      </c>
      <c r="U305" s="427"/>
      <c r="V305" s="203" t="s">
        <v>717</v>
      </c>
    </row>
    <row r="306" spans="1:22" s="203" customFormat="1" ht="17.25" hidden="1" customHeight="1" x14ac:dyDescent="0.2">
      <c r="A306" s="203" t="s">
        <v>454</v>
      </c>
      <c r="B306" s="203" t="s">
        <v>480</v>
      </c>
      <c r="C306" s="203" t="s">
        <v>695</v>
      </c>
      <c r="D306" s="203" t="s">
        <v>2177</v>
      </c>
      <c r="E306" s="203" t="s">
        <v>1750</v>
      </c>
      <c r="J306" s="203" t="s">
        <v>969</v>
      </c>
      <c r="K306" s="203" t="s">
        <v>969</v>
      </c>
      <c r="L306" s="203" t="s">
        <v>969</v>
      </c>
      <c r="M306" s="203" t="s">
        <v>966</v>
      </c>
      <c r="N306" s="203">
        <v>20.673639297485401</v>
      </c>
      <c r="O306" s="203">
        <v>92.596298217773395</v>
      </c>
      <c r="P306" s="203" t="s">
        <v>970</v>
      </c>
      <c r="Q306" s="203" t="s">
        <v>951</v>
      </c>
      <c r="R306" s="425"/>
      <c r="S306" s="426"/>
      <c r="T306" s="542" t="s">
        <v>935</v>
      </c>
      <c r="U306" s="427"/>
      <c r="V306" s="203" t="s">
        <v>695</v>
      </c>
    </row>
    <row r="307" spans="1:22" s="203" customFormat="1" ht="17.25" hidden="1" customHeight="1" x14ac:dyDescent="0.2">
      <c r="A307" s="203" t="s">
        <v>454</v>
      </c>
      <c r="B307" s="203" t="s">
        <v>480</v>
      </c>
      <c r="C307" s="203" t="s">
        <v>1273</v>
      </c>
      <c r="D307" s="203" t="s">
        <v>2177</v>
      </c>
      <c r="E307" s="203">
        <v>198232</v>
      </c>
      <c r="J307" s="203" t="s">
        <v>969</v>
      </c>
      <c r="K307" s="203" t="s">
        <v>969</v>
      </c>
      <c r="L307" s="203" t="s">
        <v>969</v>
      </c>
      <c r="M307" s="203" t="s">
        <v>454</v>
      </c>
      <c r="P307" s="203" t="s">
        <v>970</v>
      </c>
      <c r="Q307" s="203" t="s">
        <v>973</v>
      </c>
      <c r="R307" s="425"/>
      <c r="S307" s="426"/>
      <c r="T307" s="542">
        <v>42926</v>
      </c>
      <c r="U307" s="427" t="s">
        <v>974</v>
      </c>
    </row>
    <row r="308" spans="1:22" s="203" customFormat="1" ht="17.25" hidden="1" customHeight="1" x14ac:dyDescent="0.2">
      <c r="A308" s="203" t="s">
        <v>454</v>
      </c>
      <c r="B308" s="203" t="s">
        <v>480</v>
      </c>
      <c r="C308" s="203" t="s">
        <v>831</v>
      </c>
      <c r="D308" s="203" t="s">
        <v>2177</v>
      </c>
      <c r="E308" s="203" t="s">
        <v>1861</v>
      </c>
      <c r="J308" s="203" t="s">
        <v>969</v>
      </c>
      <c r="K308" s="203" t="s">
        <v>969</v>
      </c>
      <c r="L308" s="203" t="s">
        <v>969</v>
      </c>
      <c r="M308" s="203" t="s">
        <v>1122</v>
      </c>
      <c r="N308" s="203">
        <v>20.977460861206101</v>
      </c>
      <c r="O308" s="203">
        <v>92.484466552734403</v>
      </c>
      <c r="P308" s="203" t="s">
        <v>970</v>
      </c>
      <c r="Q308" s="203" t="s">
        <v>951</v>
      </c>
      <c r="R308" s="425"/>
      <c r="S308" s="426"/>
      <c r="T308" s="542" t="s">
        <v>935</v>
      </c>
      <c r="U308" s="427"/>
      <c r="V308" s="203" t="s">
        <v>831</v>
      </c>
    </row>
    <row r="309" spans="1:22" s="203" customFormat="1" ht="17.25" hidden="1" customHeight="1" x14ac:dyDescent="0.2">
      <c r="A309" s="203" t="s">
        <v>454</v>
      </c>
      <c r="B309" s="203" t="s">
        <v>480</v>
      </c>
      <c r="C309" s="203" t="s">
        <v>830</v>
      </c>
      <c r="D309" s="203" t="s">
        <v>2177</v>
      </c>
      <c r="E309" s="203" t="s">
        <v>1860</v>
      </c>
      <c r="J309" s="203" t="s">
        <v>969</v>
      </c>
      <c r="K309" s="203" t="s">
        <v>969</v>
      </c>
      <c r="L309" s="203" t="s">
        <v>969</v>
      </c>
      <c r="M309" s="203" t="s">
        <v>966</v>
      </c>
      <c r="N309" s="203">
        <v>20.974870681762699</v>
      </c>
      <c r="O309" s="203">
        <v>92.483711242675795</v>
      </c>
      <c r="P309" s="203" t="s">
        <v>970</v>
      </c>
      <c r="Q309" s="203" t="s">
        <v>951</v>
      </c>
      <c r="R309" s="425"/>
      <c r="S309" s="426"/>
      <c r="T309" s="542" t="s">
        <v>935</v>
      </c>
      <c r="U309" s="427"/>
      <c r="V309" s="203" t="s">
        <v>830</v>
      </c>
    </row>
    <row r="310" spans="1:22" s="203" customFormat="1" ht="17.25" hidden="1" customHeight="1" x14ac:dyDescent="0.2">
      <c r="A310" s="203" t="s">
        <v>454</v>
      </c>
      <c r="B310" s="203" t="s">
        <v>480</v>
      </c>
      <c r="C310" s="203" t="s">
        <v>800</v>
      </c>
      <c r="D310" s="203" t="s">
        <v>2177</v>
      </c>
      <c r="E310" s="203">
        <v>198313</v>
      </c>
      <c r="J310" s="203" t="s">
        <v>969</v>
      </c>
      <c r="K310" s="203" t="s">
        <v>969</v>
      </c>
      <c r="L310" s="203" t="s">
        <v>969</v>
      </c>
      <c r="M310" s="203" t="s">
        <v>454</v>
      </c>
      <c r="N310" s="203">
        <v>20.8490600585938</v>
      </c>
      <c r="O310" s="203">
        <v>92.497413635253906</v>
      </c>
      <c r="P310" s="203" t="s">
        <v>970</v>
      </c>
      <c r="Q310" s="203" t="s">
        <v>973</v>
      </c>
      <c r="R310" s="425"/>
      <c r="S310" s="426"/>
      <c r="T310" s="542">
        <v>42926</v>
      </c>
      <c r="U310" s="427" t="s">
        <v>1104</v>
      </c>
    </row>
    <row r="311" spans="1:22" s="203" customFormat="1" ht="17.25" hidden="1" customHeight="1" x14ac:dyDescent="0.2">
      <c r="A311" s="203" t="s">
        <v>454</v>
      </c>
      <c r="B311" s="203" t="s">
        <v>480</v>
      </c>
      <c r="C311" s="203" t="s">
        <v>806</v>
      </c>
      <c r="D311" s="203" t="s">
        <v>2177</v>
      </c>
      <c r="E311" s="203" t="s">
        <v>1841</v>
      </c>
      <c r="J311" s="203" t="s">
        <v>969</v>
      </c>
      <c r="K311" s="203" t="s">
        <v>969</v>
      </c>
      <c r="L311" s="203" t="s">
        <v>969</v>
      </c>
      <c r="M311" s="203" t="s">
        <v>966</v>
      </c>
      <c r="N311" s="203">
        <v>20.876710891723601</v>
      </c>
      <c r="O311" s="203">
        <v>92.537406921386705</v>
      </c>
      <c r="P311" s="203" t="s">
        <v>970</v>
      </c>
      <c r="Q311" s="203" t="s">
        <v>951</v>
      </c>
      <c r="R311" s="425"/>
      <c r="S311" s="426"/>
      <c r="T311" s="542" t="s">
        <v>935</v>
      </c>
      <c r="U311" s="427"/>
      <c r="V311" s="203" t="s">
        <v>806</v>
      </c>
    </row>
    <row r="312" spans="1:22" s="203" customFormat="1" ht="17.25" hidden="1" customHeight="1" x14ac:dyDescent="0.2">
      <c r="A312" s="203" t="s">
        <v>454</v>
      </c>
      <c r="B312" s="203" t="s">
        <v>480</v>
      </c>
      <c r="C312" s="203" t="s">
        <v>707</v>
      </c>
      <c r="D312" s="203" t="s">
        <v>2177</v>
      </c>
      <c r="E312" s="203" t="s">
        <v>1758</v>
      </c>
      <c r="J312" s="203" t="s">
        <v>969</v>
      </c>
      <c r="K312" s="203" t="s">
        <v>969</v>
      </c>
      <c r="L312" s="203" t="s">
        <v>969</v>
      </c>
      <c r="M312" s="203" t="s">
        <v>966</v>
      </c>
      <c r="N312" s="203">
        <v>20.6876106262207</v>
      </c>
      <c r="O312" s="203">
        <v>92.617988586425795</v>
      </c>
      <c r="P312" s="203" t="s">
        <v>970</v>
      </c>
      <c r="Q312" s="203" t="s">
        <v>951</v>
      </c>
      <c r="R312" s="425"/>
      <c r="S312" s="426"/>
      <c r="T312" s="542" t="s">
        <v>935</v>
      </c>
      <c r="U312" s="427"/>
      <c r="V312" s="203" t="s">
        <v>707</v>
      </c>
    </row>
    <row r="313" spans="1:22" s="203" customFormat="1" ht="17.25" hidden="1" customHeight="1" x14ac:dyDescent="0.2">
      <c r="A313" s="203" t="s">
        <v>454</v>
      </c>
      <c r="B313" s="203" t="s">
        <v>480</v>
      </c>
      <c r="C313" s="203" t="s">
        <v>826</v>
      </c>
      <c r="D313" s="203" t="s">
        <v>2177</v>
      </c>
      <c r="E313" s="203" t="s">
        <v>1857</v>
      </c>
      <c r="J313" s="203" t="s">
        <v>969</v>
      </c>
      <c r="K313" s="203" t="s">
        <v>969</v>
      </c>
      <c r="L313" s="203" t="s">
        <v>969</v>
      </c>
      <c r="M313" s="203" t="s">
        <v>966</v>
      </c>
      <c r="N313" s="203">
        <v>20.9363498687744</v>
      </c>
      <c r="O313" s="203">
        <v>92.468246459960895</v>
      </c>
      <c r="P313" s="203" t="s">
        <v>970</v>
      </c>
      <c r="Q313" s="203" t="s">
        <v>951</v>
      </c>
      <c r="R313" s="425"/>
      <c r="S313" s="426"/>
      <c r="T313" s="542" t="s">
        <v>935</v>
      </c>
      <c r="U313" s="427"/>
      <c r="V313" s="203" t="s">
        <v>826</v>
      </c>
    </row>
    <row r="314" spans="1:22" s="203" customFormat="1" ht="17.25" hidden="1" customHeight="1" x14ac:dyDescent="0.2">
      <c r="A314" s="203" t="s">
        <v>454</v>
      </c>
      <c r="B314" s="203" t="s">
        <v>480</v>
      </c>
      <c r="C314" s="203" t="s">
        <v>775</v>
      </c>
      <c r="D314" s="203" t="s">
        <v>2178</v>
      </c>
      <c r="E314" s="203">
        <v>198336</v>
      </c>
      <c r="F314" s="203" t="s">
        <v>2187</v>
      </c>
      <c r="G314" s="203" t="s">
        <v>2188</v>
      </c>
      <c r="J314" s="203" t="s">
        <v>969</v>
      </c>
      <c r="K314" s="203" t="s">
        <v>969</v>
      </c>
      <c r="L314" s="203" t="s">
        <v>969</v>
      </c>
      <c r="M314" s="203" t="s">
        <v>454</v>
      </c>
      <c r="N314" s="203">
        <v>20.805580139160199</v>
      </c>
      <c r="O314" s="203">
        <v>92.549842834472699</v>
      </c>
      <c r="P314" s="203" t="s">
        <v>970</v>
      </c>
      <c r="Q314" s="203" t="s">
        <v>973</v>
      </c>
      <c r="R314" s="425"/>
      <c r="S314" s="426"/>
      <c r="T314" s="542">
        <v>42926</v>
      </c>
      <c r="U314" s="427" t="s">
        <v>974</v>
      </c>
    </row>
    <row r="315" spans="1:22" s="203" customFormat="1" ht="17.25" hidden="1" customHeight="1" x14ac:dyDescent="0.2">
      <c r="A315" s="203" t="s">
        <v>454</v>
      </c>
      <c r="B315" s="203" t="s">
        <v>480</v>
      </c>
      <c r="C315" s="203" t="s">
        <v>786</v>
      </c>
      <c r="D315" s="203" t="s">
        <v>2177</v>
      </c>
      <c r="E315" s="203" t="s">
        <v>1827</v>
      </c>
      <c r="J315" s="203" t="s">
        <v>969</v>
      </c>
      <c r="K315" s="203" t="s">
        <v>969</v>
      </c>
      <c r="L315" s="203" t="s">
        <v>969</v>
      </c>
      <c r="M315" s="203" t="s">
        <v>966</v>
      </c>
      <c r="N315" s="203">
        <v>20.821479797363299</v>
      </c>
      <c r="O315" s="203">
        <v>92.603950500488295</v>
      </c>
      <c r="P315" s="203" t="s">
        <v>970</v>
      </c>
      <c r="Q315" s="203" t="s">
        <v>951</v>
      </c>
      <c r="R315" s="425"/>
      <c r="S315" s="426"/>
      <c r="T315" s="542" t="s">
        <v>935</v>
      </c>
      <c r="U315" s="427"/>
      <c r="V315" s="203" t="s">
        <v>786</v>
      </c>
    </row>
    <row r="316" spans="1:22" s="203" customFormat="1" ht="17.25" hidden="1" customHeight="1" x14ac:dyDescent="0.2">
      <c r="A316" s="203" t="s">
        <v>454</v>
      </c>
      <c r="B316" s="203" t="s">
        <v>480</v>
      </c>
      <c r="C316" s="203" t="s">
        <v>779</v>
      </c>
      <c r="D316" s="203" t="s">
        <v>2177</v>
      </c>
      <c r="E316" s="203" t="s">
        <v>1822</v>
      </c>
      <c r="J316" s="203" t="s">
        <v>969</v>
      </c>
      <c r="K316" s="203" t="s">
        <v>969</v>
      </c>
      <c r="L316" s="203" t="s">
        <v>969</v>
      </c>
      <c r="M316" s="203" t="s">
        <v>966</v>
      </c>
      <c r="N316" s="203">
        <v>20.8060302734375</v>
      </c>
      <c r="O316" s="203">
        <v>92.601951599121094</v>
      </c>
      <c r="P316" s="203" t="s">
        <v>970</v>
      </c>
      <c r="Q316" s="203" t="s">
        <v>951</v>
      </c>
      <c r="R316" s="425"/>
      <c r="S316" s="426"/>
      <c r="T316" s="542" t="s">
        <v>935</v>
      </c>
      <c r="U316" s="427"/>
      <c r="V316" s="203" t="s">
        <v>779</v>
      </c>
    </row>
    <row r="317" spans="1:22" s="203" customFormat="1" ht="17.25" hidden="1" customHeight="1" x14ac:dyDescent="0.2">
      <c r="A317" s="203" t="s">
        <v>454</v>
      </c>
      <c r="B317" s="203" t="s">
        <v>480</v>
      </c>
      <c r="C317" s="203" t="s">
        <v>770</v>
      </c>
      <c r="D317" s="203" t="s">
        <v>2177</v>
      </c>
      <c r="E317" s="203" t="s">
        <v>1816</v>
      </c>
      <c r="J317" s="203" t="s">
        <v>969</v>
      </c>
      <c r="K317" s="203" t="s">
        <v>969</v>
      </c>
      <c r="L317" s="203" t="s">
        <v>969</v>
      </c>
      <c r="M317" s="203" t="s">
        <v>454</v>
      </c>
      <c r="N317" s="203">
        <v>20.802820205688501</v>
      </c>
      <c r="O317" s="203">
        <v>92.599418640136705</v>
      </c>
      <c r="P317" s="203" t="s">
        <v>970</v>
      </c>
      <c r="Q317" s="203" t="s">
        <v>951</v>
      </c>
      <c r="R317" s="425"/>
      <c r="S317" s="426"/>
      <c r="T317" s="542" t="s">
        <v>935</v>
      </c>
      <c r="U317" s="427"/>
      <c r="V317" s="203" t="s">
        <v>770</v>
      </c>
    </row>
    <row r="318" spans="1:22" s="203" customFormat="1" ht="17.25" hidden="1" customHeight="1" x14ac:dyDescent="0.2">
      <c r="A318" s="203" t="s">
        <v>454</v>
      </c>
      <c r="B318" s="203" t="s">
        <v>480</v>
      </c>
      <c r="C318" s="203" t="s">
        <v>746</v>
      </c>
      <c r="D318" s="203" t="s">
        <v>2177</v>
      </c>
      <c r="E318" s="203" t="s">
        <v>1795</v>
      </c>
      <c r="J318" s="203" t="s">
        <v>969</v>
      </c>
      <c r="K318" s="203" t="s">
        <v>969</v>
      </c>
      <c r="L318" s="203" t="s">
        <v>969</v>
      </c>
      <c r="M318" s="203" t="s">
        <v>454</v>
      </c>
      <c r="N318" s="203">
        <v>20.7494297027588</v>
      </c>
      <c r="O318" s="203">
        <v>92.528648376464801</v>
      </c>
      <c r="P318" s="203" t="s">
        <v>970</v>
      </c>
      <c r="Q318" s="203" t="s">
        <v>951</v>
      </c>
      <c r="R318" s="425"/>
      <c r="S318" s="426"/>
      <c r="T318" s="542" t="s">
        <v>935</v>
      </c>
      <c r="U318" s="427"/>
      <c r="V318" s="203" t="s">
        <v>746</v>
      </c>
    </row>
    <row r="319" spans="1:22" s="203" customFormat="1" ht="17.25" hidden="1" customHeight="1" x14ac:dyDescent="0.2">
      <c r="A319" s="203" t="s">
        <v>454</v>
      </c>
      <c r="B319" s="203" t="s">
        <v>480</v>
      </c>
      <c r="C319" s="203" t="s">
        <v>753</v>
      </c>
      <c r="D319" s="203" t="s">
        <v>2177</v>
      </c>
      <c r="E319" s="203" t="s">
        <v>1802</v>
      </c>
      <c r="J319" s="203" t="s">
        <v>969</v>
      </c>
      <c r="K319" s="203" t="s">
        <v>969</v>
      </c>
      <c r="L319" s="203" t="s">
        <v>969</v>
      </c>
      <c r="M319" s="203" t="s">
        <v>454</v>
      </c>
      <c r="N319" s="203">
        <v>20.769779205322301</v>
      </c>
      <c r="O319" s="203">
        <v>92.604240417480497</v>
      </c>
      <c r="P319" s="203" t="s">
        <v>970</v>
      </c>
      <c r="Q319" s="203" t="s">
        <v>951</v>
      </c>
      <c r="R319" s="425"/>
      <c r="S319" s="426"/>
      <c r="T319" s="542" t="s">
        <v>935</v>
      </c>
      <c r="U319" s="427"/>
      <c r="V319" s="203" t="s">
        <v>753</v>
      </c>
    </row>
    <row r="320" spans="1:22" s="203" customFormat="1" ht="17.25" hidden="1" customHeight="1" x14ac:dyDescent="0.2">
      <c r="A320" s="203" t="s">
        <v>454</v>
      </c>
      <c r="B320" s="203" t="s">
        <v>480</v>
      </c>
      <c r="C320" s="203" t="s">
        <v>816</v>
      </c>
      <c r="D320" s="203" t="s">
        <v>2177</v>
      </c>
      <c r="E320" s="203" t="s">
        <v>1849</v>
      </c>
      <c r="J320" s="203" t="s">
        <v>969</v>
      </c>
      <c r="K320" s="203" t="s">
        <v>969</v>
      </c>
      <c r="L320" s="203" t="s">
        <v>969</v>
      </c>
      <c r="M320" s="203" t="s">
        <v>966</v>
      </c>
      <c r="N320" s="203">
        <v>20.892290115356399</v>
      </c>
      <c r="O320" s="203">
        <v>92.550079345703097</v>
      </c>
      <c r="P320" s="203" t="s">
        <v>970</v>
      </c>
      <c r="Q320" s="203" t="s">
        <v>951</v>
      </c>
      <c r="R320" s="425"/>
      <c r="S320" s="426"/>
      <c r="T320" s="542" t="s">
        <v>935</v>
      </c>
      <c r="U320" s="427"/>
      <c r="V320" s="203" t="s">
        <v>816</v>
      </c>
    </row>
    <row r="321" spans="1:22" s="203" customFormat="1" ht="17.25" hidden="1" customHeight="1" x14ac:dyDescent="0.2">
      <c r="A321" s="203" t="s">
        <v>454</v>
      </c>
      <c r="B321" s="203" t="s">
        <v>480</v>
      </c>
      <c r="C321" s="203" t="s">
        <v>817</v>
      </c>
      <c r="D321" s="203" t="s">
        <v>2177</v>
      </c>
      <c r="E321" s="203" t="s">
        <v>1849</v>
      </c>
      <c r="J321" s="203" t="s">
        <v>969</v>
      </c>
      <c r="K321" s="203" t="s">
        <v>969</v>
      </c>
      <c r="L321" s="203" t="s">
        <v>969</v>
      </c>
      <c r="M321" s="203" t="s">
        <v>454</v>
      </c>
      <c r="N321" s="203">
        <v>20.892290115356399</v>
      </c>
      <c r="O321" s="203">
        <v>92.550079345703097</v>
      </c>
      <c r="P321" s="203" t="s">
        <v>970</v>
      </c>
      <c r="Q321" s="203" t="s">
        <v>951</v>
      </c>
      <c r="R321" s="425"/>
      <c r="S321" s="426"/>
      <c r="T321" s="542" t="s">
        <v>935</v>
      </c>
      <c r="U321" s="427"/>
      <c r="V321" s="203" t="s">
        <v>817</v>
      </c>
    </row>
    <row r="322" spans="1:22" s="203" customFormat="1" ht="17.25" hidden="1" customHeight="1" x14ac:dyDescent="0.2">
      <c r="A322" s="203" t="s">
        <v>454</v>
      </c>
      <c r="B322" s="203" t="s">
        <v>480</v>
      </c>
      <c r="C322" s="203" t="s">
        <v>845</v>
      </c>
      <c r="D322" s="203" t="s">
        <v>2177</v>
      </c>
      <c r="E322" s="203">
        <v>198196</v>
      </c>
      <c r="J322" s="203" t="s">
        <v>969</v>
      </c>
      <c r="K322" s="203" t="s">
        <v>969</v>
      </c>
      <c r="L322" s="203" t="s">
        <v>969</v>
      </c>
      <c r="M322" s="203" t="s">
        <v>454</v>
      </c>
      <c r="N322" s="203">
        <v>21.025630950927699</v>
      </c>
      <c r="O322" s="203">
        <v>92.524818420410199</v>
      </c>
      <c r="P322" s="203" t="s">
        <v>970</v>
      </c>
      <c r="Q322" s="203" t="s">
        <v>973</v>
      </c>
      <c r="R322" s="425"/>
      <c r="S322" s="426"/>
      <c r="T322" s="542">
        <v>42926</v>
      </c>
      <c r="U322" s="427" t="s">
        <v>974</v>
      </c>
    </row>
    <row r="323" spans="1:22" s="203" customFormat="1" ht="17.25" hidden="1" customHeight="1" x14ac:dyDescent="0.2">
      <c r="A323" s="203" t="s">
        <v>454</v>
      </c>
      <c r="B323" s="203" t="s">
        <v>480</v>
      </c>
      <c r="C323" s="203" t="s">
        <v>808</v>
      </c>
      <c r="D323" s="203" t="s">
        <v>2177</v>
      </c>
      <c r="E323" s="203" t="s">
        <v>1843</v>
      </c>
      <c r="J323" s="203" t="s">
        <v>969</v>
      </c>
      <c r="K323" s="203" t="s">
        <v>969</v>
      </c>
      <c r="L323" s="203" t="s">
        <v>969</v>
      </c>
      <c r="M323" s="203" t="s">
        <v>966</v>
      </c>
      <c r="N323" s="203">
        <v>20.883680343627901</v>
      </c>
      <c r="O323" s="203">
        <v>92.569938659667997</v>
      </c>
      <c r="P323" s="203" t="s">
        <v>970</v>
      </c>
      <c r="Q323" s="203" t="s">
        <v>951</v>
      </c>
      <c r="R323" s="425"/>
      <c r="S323" s="426"/>
      <c r="T323" s="542" t="s">
        <v>935</v>
      </c>
      <c r="U323" s="427"/>
      <c r="V323" s="203" t="s">
        <v>1117</v>
      </c>
    </row>
    <row r="324" spans="1:22" s="203" customFormat="1" ht="17.25" hidden="1" customHeight="1" x14ac:dyDescent="0.2">
      <c r="A324" s="203" t="s">
        <v>454</v>
      </c>
      <c r="B324" s="203" t="s">
        <v>480</v>
      </c>
      <c r="C324" s="203" t="s">
        <v>809</v>
      </c>
      <c r="D324" s="203" t="s">
        <v>2177</v>
      </c>
      <c r="E324" s="203" t="s">
        <v>1843</v>
      </c>
      <c r="J324" s="203" t="s">
        <v>969</v>
      </c>
      <c r="K324" s="203" t="s">
        <v>969</v>
      </c>
      <c r="L324" s="203" t="s">
        <v>969</v>
      </c>
      <c r="M324" s="203" t="s">
        <v>966</v>
      </c>
      <c r="N324" s="203">
        <v>20.883680343627901</v>
      </c>
      <c r="O324" s="203">
        <v>92.569938659667997</v>
      </c>
      <c r="P324" s="203" t="s">
        <v>970</v>
      </c>
      <c r="Q324" s="203" t="s">
        <v>951</v>
      </c>
      <c r="R324" s="425"/>
      <c r="S324" s="426"/>
      <c r="T324" s="542">
        <v>42745</v>
      </c>
      <c r="U324" s="427"/>
    </row>
    <row r="325" spans="1:22" s="203" customFormat="1" ht="17.25" hidden="1" customHeight="1" x14ac:dyDescent="0.2">
      <c r="A325" s="203" t="s">
        <v>454</v>
      </c>
      <c r="B325" s="203" t="s">
        <v>480</v>
      </c>
      <c r="C325" s="203" t="s">
        <v>852</v>
      </c>
      <c r="D325" s="203" t="s">
        <v>2177</v>
      </c>
      <c r="E325" s="203">
        <v>198146</v>
      </c>
      <c r="J325" s="203" t="s">
        <v>975</v>
      </c>
      <c r="K325" s="203" t="s">
        <v>969</v>
      </c>
      <c r="L325" s="203" t="s">
        <v>975</v>
      </c>
      <c r="M325" s="203" t="s">
        <v>966</v>
      </c>
      <c r="N325" s="203">
        <v>21.098579406738299</v>
      </c>
      <c r="O325" s="203">
        <v>92.445549011230497</v>
      </c>
      <c r="P325" s="203" t="s">
        <v>1094</v>
      </c>
      <c r="Q325" s="203" t="s">
        <v>973</v>
      </c>
      <c r="R325" s="425"/>
      <c r="S325" s="426"/>
      <c r="T325" s="542">
        <v>42926</v>
      </c>
      <c r="U325" s="427" t="s">
        <v>1104</v>
      </c>
    </row>
    <row r="326" spans="1:22" s="203" customFormat="1" ht="17.25" hidden="1" customHeight="1" x14ac:dyDescent="0.2">
      <c r="A326" s="203" t="s">
        <v>454</v>
      </c>
      <c r="B326" s="203" t="s">
        <v>480</v>
      </c>
      <c r="C326" s="203" t="s">
        <v>697</v>
      </c>
      <c r="D326" s="203" t="s">
        <v>2177</v>
      </c>
      <c r="E326" s="203" t="s">
        <v>1752</v>
      </c>
      <c r="J326" s="203" t="s">
        <v>969</v>
      </c>
      <c r="K326" s="203" t="s">
        <v>969</v>
      </c>
      <c r="L326" s="203" t="s">
        <v>969</v>
      </c>
      <c r="M326" s="203" t="s">
        <v>966</v>
      </c>
      <c r="N326" s="203">
        <v>20.676519393920898</v>
      </c>
      <c r="O326" s="203">
        <v>92.591667175292997</v>
      </c>
      <c r="P326" s="203" t="s">
        <v>970</v>
      </c>
      <c r="Q326" s="203" t="s">
        <v>951</v>
      </c>
      <c r="R326" s="425"/>
      <c r="S326" s="426"/>
      <c r="T326" s="542" t="s">
        <v>935</v>
      </c>
      <c r="U326" s="427"/>
      <c r="V326" s="203" t="s">
        <v>697</v>
      </c>
    </row>
    <row r="327" spans="1:22" s="203" customFormat="1" ht="17.25" hidden="1" customHeight="1" x14ac:dyDescent="0.2">
      <c r="A327" s="203" t="s">
        <v>454</v>
      </c>
      <c r="B327" s="203" t="s">
        <v>480</v>
      </c>
      <c r="C327" s="203" t="s">
        <v>827</v>
      </c>
      <c r="D327" s="203" t="s">
        <v>2177</v>
      </c>
      <c r="E327" s="203" t="s">
        <v>1858</v>
      </c>
      <c r="J327" s="203" t="s">
        <v>969</v>
      </c>
      <c r="K327" s="203" t="s">
        <v>969</v>
      </c>
      <c r="L327" s="203" t="s">
        <v>969</v>
      </c>
      <c r="M327" s="203" t="s">
        <v>1122</v>
      </c>
      <c r="N327" s="203">
        <v>20.94580078125</v>
      </c>
      <c r="O327" s="203">
        <v>92.471672058105497</v>
      </c>
      <c r="P327" s="203" t="s">
        <v>970</v>
      </c>
      <c r="Q327" s="203" t="s">
        <v>951</v>
      </c>
      <c r="R327" s="425"/>
      <c r="S327" s="426"/>
      <c r="T327" s="542" t="s">
        <v>935</v>
      </c>
      <c r="U327" s="427"/>
      <c r="V327" s="203" t="s">
        <v>827</v>
      </c>
    </row>
    <row r="328" spans="1:22" s="203" customFormat="1" ht="17.25" hidden="1" customHeight="1" x14ac:dyDescent="0.2">
      <c r="A328" s="203" t="s">
        <v>454</v>
      </c>
      <c r="B328" s="203" t="s">
        <v>480</v>
      </c>
      <c r="C328" s="203" t="s">
        <v>784</v>
      </c>
      <c r="D328" s="203" t="s">
        <v>2177</v>
      </c>
      <c r="E328" s="203" t="s">
        <v>1825</v>
      </c>
      <c r="J328" s="203" t="s">
        <v>969</v>
      </c>
      <c r="K328" s="203" t="s">
        <v>969</v>
      </c>
      <c r="L328" s="203" t="s">
        <v>969</v>
      </c>
      <c r="M328" s="203" t="s">
        <v>454</v>
      </c>
      <c r="N328" s="203">
        <v>20.818910598754901</v>
      </c>
      <c r="O328" s="203">
        <v>92.541358947753906</v>
      </c>
      <c r="P328" s="203" t="s">
        <v>970</v>
      </c>
      <c r="Q328" s="203" t="s">
        <v>951</v>
      </c>
      <c r="R328" s="425"/>
      <c r="S328" s="426"/>
      <c r="T328" s="542" t="s">
        <v>935</v>
      </c>
      <c r="U328" s="427"/>
      <c r="V328" s="203" t="s">
        <v>784</v>
      </c>
    </row>
    <row r="329" spans="1:22" s="203" customFormat="1" ht="17.25" hidden="1" customHeight="1" x14ac:dyDescent="0.2">
      <c r="A329" s="203" t="s">
        <v>454</v>
      </c>
      <c r="B329" s="203" t="s">
        <v>480</v>
      </c>
      <c r="C329" s="203" t="s">
        <v>819</v>
      </c>
      <c r="D329" s="203" t="s">
        <v>2177</v>
      </c>
      <c r="E329" s="203" t="s">
        <v>1851</v>
      </c>
      <c r="J329" s="203" t="s">
        <v>969</v>
      </c>
      <c r="K329" s="203" t="s">
        <v>969</v>
      </c>
      <c r="L329" s="203" t="s">
        <v>969</v>
      </c>
      <c r="M329" s="203" t="s">
        <v>966</v>
      </c>
      <c r="N329" s="203">
        <v>20.893180847168001</v>
      </c>
      <c r="O329" s="203">
        <v>92.493637084960895</v>
      </c>
      <c r="P329" s="203" t="s">
        <v>970</v>
      </c>
      <c r="Q329" s="203" t="s">
        <v>951</v>
      </c>
      <c r="R329" s="425"/>
      <c r="S329" s="426"/>
      <c r="T329" s="542" t="s">
        <v>935</v>
      </c>
      <c r="U329" s="427"/>
      <c r="V329" s="203" t="s">
        <v>819</v>
      </c>
    </row>
    <row r="330" spans="1:22" s="203" customFormat="1" ht="17.25" hidden="1" customHeight="1" x14ac:dyDescent="0.2">
      <c r="A330" s="203" t="s">
        <v>454</v>
      </c>
      <c r="B330" s="203" t="s">
        <v>480</v>
      </c>
      <c r="C330" s="203" t="s">
        <v>803</v>
      </c>
      <c r="D330" s="203" t="s">
        <v>2177</v>
      </c>
      <c r="E330" s="203">
        <v>198308</v>
      </c>
      <c r="J330" s="203" t="s">
        <v>975</v>
      </c>
      <c r="K330" s="203" t="s">
        <v>969</v>
      </c>
      <c r="L330" s="203" t="s">
        <v>975</v>
      </c>
      <c r="M330" s="203" t="s">
        <v>966</v>
      </c>
      <c r="N330" s="203">
        <v>20.863079071044901</v>
      </c>
      <c r="O330" s="203">
        <v>92.4971923828125</v>
      </c>
      <c r="P330" s="203" t="s">
        <v>1094</v>
      </c>
      <c r="Q330" s="203" t="s">
        <v>973</v>
      </c>
      <c r="R330" s="425"/>
      <c r="S330" s="426"/>
      <c r="T330" s="542">
        <v>42926</v>
      </c>
      <c r="U330" s="427" t="s">
        <v>1104</v>
      </c>
    </row>
    <row r="331" spans="1:22" s="203" customFormat="1" ht="17.25" hidden="1" customHeight="1" x14ac:dyDescent="0.2">
      <c r="A331" s="203" t="s">
        <v>454</v>
      </c>
      <c r="B331" s="203" t="s">
        <v>480</v>
      </c>
      <c r="C331" s="203" t="s">
        <v>758</v>
      </c>
      <c r="D331" s="203" t="s">
        <v>2177</v>
      </c>
      <c r="E331" s="203">
        <v>220753</v>
      </c>
      <c r="J331" s="203" t="s">
        <v>975</v>
      </c>
      <c r="K331" s="203" t="s">
        <v>969</v>
      </c>
      <c r="L331" s="203" t="s">
        <v>975</v>
      </c>
      <c r="M331" s="203" t="s">
        <v>454</v>
      </c>
      <c r="N331" s="203">
        <v>20.782770156860401</v>
      </c>
      <c r="O331" s="203">
        <v>92.551826477050795</v>
      </c>
      <c r="P331" s="203" t="s">
        <v>1094</v>
      </c>
      <c r="Q331" s="203" t="s">
        <v>973</v>
      </c>
      <c r="R331" s="425"/>
      <c r="S331" s="426"/>
      <c r="T331" s="542">
        <v>42926</v>
      </c>
      <c r="U331" s="427" t="s">
        <v>1104</v>
      </c>
    </row>
    <row r="332" spans="1:22" s="203" customFormat="1" ht="17.25" hidden="1" customHeight="1" x14ac:dyDescent="0.2">
      <c r="A332" s="203" t="s">
        <v>454</v>
      </c>
      <c r="B332" s="203" t="s">
        <v>480</v>
      </c>
      <c r="C332" s="203" t="s">
        <v>799</v>
      </c>
      <c r="D332" s="203" t="s">
        <v>2177</v>
      </c>
      <c r="E332" s="203">
        <v>198325</v>
      </c>
      <c r="J332" s="203" t="s">
        <v>975</v>
      </c>
      <c r="K332" s="203" t="s">
        <v>969</v>
      </c>
      <c r="L332" s="203" t="s">
        <v>975</v>
      </c>
      <c r="M332" s="203" t="s">
        <v>966</v>
      </c>
      <c r="N332" s="203">
        <v>20.839260101318398</v>
      </c>
      <c r="O332" s="203">
        <v>92.534591674804702</v>
      </c>
      <c r="P332" s="203" t="s">
        <v>1094</v>
      </c>
      <c r="Q332" s="203" t="s">
        <v>973</v>
      </c>
      <c r="R332" s="425"/>
      <c r="S332" s="426"/>
      <c r="T332" s="542">
        <v>42926</v>
      </c>
      <c r="U332" s="427" t="s">
        <v>1104</v>
      </c>
    </row>
    <row r="333" spans="1:22" s="203" customFormat="1" ht="17.25" hidden="1" customHeight="1" x14ac:dyDescent="0.2">
      <c r="A333" s="203" t="s">
        <v>454</v>
      </c>
      <c r="B333" s="203" t="s">
        <v>480</v>
      </c>
      <c r="C333" s="203" t="s">
        <v>485</v>
      </c>
      <c r="D333" s="203" t="s">
        <v>2177</v>
      </c>
      <c r="J333" s="203" t="s">
        <v>975</v>
      </c>
      <c r="K333" s="203" t="s">
        <v>969</v>
      </c>
      <c r="L333" s="203" t="s">
        <v>975</v>
      </c>
      <c r="M333" s="203" t="s">
        <v>966</v>
      </c>
      <c r="P333" s="203" t="s">
        <v>1094</v>
      </c>
      <c r="Q333" s="203" t="s">
        <v>973</v>
      </c>
      <c r="R333" s="425"/>
      <c r="S333" s="426"/>
      <c r="T333" s="542">
        <v>42926</v>
      </c>
      <c r="U333" s="427" t="s">
        <v>1104</v>
      </c>
    </row>
    <row r="334" spans="1:22" s="203" customFormat="1" ht="17.25" hidden="1" customHeight="1" x14ac:dyDescent="0.2">
      <c r="A334" s="203" t="s">
        <v>454</v>
      </c>
      <c r="B334" s="203" t="s">
        <v>480</v>
      </c>
      <c r="C334" s="203" t="s">
        <v>734</v>
      </c>
      <c r="D334" s="203" t="s">
        <v>2177</v>
      </c>
      <c r="E334" s="203" t="s">
        <v>1785</v>
      </c>
      <c r="J334" s="203" t="s">
        <v>969</v>
      </c>
      <c r="K334" s="203" t="s">
        <v>969</v>
      </c>
      <c r="L334" s="203" t="s">
        <v>969</v>
      </c>
      <c r="M334" s="203" t="s">
        <v>966</v>
      </c>
      <c r="N334" s="203">
        <v>20.721290588378899</v>
      </c>
      <c r="O334" s="203">
        <v>92.605140686035199</v>
      </c>
      <c r="P334" s="203" t="s">
        <v>970</v>
      </c>
      <c r="Q334" s="203" t="s">
        <v>951</v>
      </c>
      <c r="R334" s="425"/>
      <c r="S334" s="426"/>
      <c r="T334" s="542" t="s">
        <v>935</v>
      </c>
      <c r="U334" s="427"/>
      <c r="V334" s="203" t="s">
        <v>734</v>
      </c>
    </row>
    <row r="335" spans="1:22" s="203" customFormat="1" ht="17.25" hidden="1" customHeight="1" x14ac:dyDescent="0.2">
      <c r="A335" s="203" t="s">
        <v>454</v>
      </c>
      <c r="B335" s="203" t="s">
        <v>480</v>
      </c>
      <c r="C335" s="203" t="s">
        <v>829</v>
      </c>
      <c r="D335" s="203" t="s">
        <v>2177</v>
      </c>
      <c r="E335" s="203">
        <v>198222</v>
      </c>
      <c r="J335" s="203" t="s">
        <v>975</v>
      </c>
      <c r="K335" s="203" t="s">
        <v>969</v>
      </c>
      <c r="L335" s="203" t="s">
        <v>975</v>
      </c>
      <c r="M335" s="203" t="s">
        <v>966</v>
      </c>
      <c r="N335" s="203">
        <v>20.9627990722656</v>
      </c>
      <c r="O335" s="203">
        <v>92.527702331542997</v>
      </c>
      <c r="P335" s="203" t="s">
        <v>1094</v>
      </c>
      <c r="Q335" s="203" t="s">
        <v>973</v>
      </c>
      <c r="R335" s="425"/>
      <c r="S335" s="426"/>
      <c r="T335" s="542">
        <v>42926</v>
      </c>
      <c r="U335" s="427" t="s">
        <v>1104</v>
      </c>
    </row>
    <row r="336" spans="1:22" s="203" customFormat="1" ht="17.25" hidden="1" customHeight="1" x14ac:dyDescent="0.2">
      <c r="A336" s="203" t="s">
        <v>454</v>
      </c>
      <c r="B336" s="203" t="s">
        <v>480</v>
      </c>
      <c r="C336" s="203" t="s">
        <v>768</v>
      </c>
      <c r="D336" s="203" t="s">
        <v>2177</v>
      </c>
      <c r="E336" s="203" t="s">
        <v>1814</v>
      </c>
      <c r="J336" s="203" t="s">
        <v>969</v>
      </c>
      <c r="K336" s="203" t="s">
        <v>969</v>
      </c>
      <c r="L336" s="203" t="s">
        <v>969</v>
      </c>
      <c r="M336" s="203" t="s">
        <v>966</v>
      </c>
      <c r="N336" s="203">
        <v>20.7989101409912</v>
      </c>
      <c r="O336" s="203">
        <v>92.553680419921903</v>
      </c>
      <c r="P336" s="203" t="s">
        <v>970</v>
      </c>
      <c r="Q336" s="203" t="s">
        <v>951</v>
      </c>
      <c r="R336" s="425"/>
      <c r="S336" s="426"/>
      <c r="T336" s="542" t="s">
        <v>935</v>
      </c>
      <c r="U336" s="427"/>
      <c r="V336" s="203" t="s">
        <v>768</v>
      </c>
    </row>
    <row r="337" spans="1:22" s="203" customFormat="1" ht="17.25" hidden="1" customHeight="1" x14ac:dyDescent="0.2">
      <c r="A337" s="203" t="s">
        <v>454</v>
      </c>
      <c r="B337" s="203" t="s">
        <v>480</v>
      </c>
      <c r="C337" s="203" t="s">
        <v>797</v>
      </c>
      <c r="D337" s="203" t="s">
        <v>2177</v>
      </c>
      <c r="E337" s="203" t="s">
        <v>1837</v>
      </c>
      <c r="J337" s="203" t="s">
        <v>969</v>
      </c>
      <c r="K337" s="203" t="s">
        <v>969</v>
      </c>
      <c r="L337" s="203" t="s">
        <v>969</v>
      </c>
      <c r="M337" s="203" t="s">
        <v>966</v>
      </c>
      <c r="N337" s="203">
        <v>20.83371925354</v>
      </c>
      <c r="O337" s="203">
        <v>92.534461975097699</v>
      </c>
      <c r="P337" s="203" t="s">
        <v>970</v>
      </c>
      <c r="Q337" s="203" t="s">
        <v>951</v>
      </c>
      <c r="R337" s="425"/>
      <c r="S337" s="426"/>
      <c r="T337" s="542" t="s">
        <v>935</v>
      </c>
      <c r="U337" s="427"/>
      <c r="V337" s="203" t="s">
        <v>797</v>
      </c>
    </row>
    <row r="338" spans="1:22" s="203" customFormat="1" ht="17.25" hidden="1" customHeight="1" x14ac:dyDescent="0.2">
      <c r="A338" s="203" t="s">
        <v>454</v>
      </c>
      <c r="B338" s="203" t="s">
        <v>480</v>
      </c>
      <c r="C338" s="203" t="s">
        <v>812</v>
      </c>
      <c r="D338" s="203" t="s">
        <v>2177</v>
      </c>
      <c r="E338" s="203" t="s">
        <v>1846</v>
      </c>
      <c r="J338" s="203" t="s">
        <v>969</v>
      </c>
      <c r="K338" s="203" t="s">
        <v>969</v>
      </c>
      <c r="L338" s="203" t="s">
        <v>969</v>
      </c>
      <c r="M338" s="203" t="s">
        <v>966</v>
      </c>
      <c r="N338" s="203">
        <v>20.887029647827099</v>
      </c>
      <c r="O338" s="203">
        <v>92.556823730468807</v>
      </c>
      <c r="P338" s="203" t="s">
        <v>970</v>
      </c>
      <c r="Q338" s="203" t="s">
        <v>951</v>
      </c>
      <c r="R338" s="425"/>
      <c r="S338" s="426"/>
      <c r="T338" s="542" t="s">
        <v>935</v>
      </c>
      <c r="U338" s="427"/>
      <c r="V338" s="203" t="s">
        <v>812</v>
      </c>
    </row>
    <row r="339" spans="1:22" s="203" customFormat="1" ht="17.25" hidden="1" customHeight="1" x14ac:dyDescent="0.2">
      <c r="A339" s="430" t="s">
        <v>454</v>
      </c>
      <c r="B339" s="294" t="s">
        <v>480</v>
      </c>
      <c r="C339" s="294" t="s">
        <v>2511</v>
      </c>
      <c r="D339" s="447"/>
      <c r="E339" s="294">
        <v>198177</v>
      </c>
      <c r="F339" s="294"/>
      <c r="G339" s="294"/>
      <c r="H339" s="430"/>
      <c r="I339" s="294"/>
      <c r="J339" s="203" t="s">
        <v>969</v>
      </c>
      <c r="K339" s="203" t="s">
        <v>969</v>
      </c>
      <c r="L339" s="203" t="s">
        <v>969</v>
      </c>
      <c r="M339" s="294" t="s">
        <v>1122</v>
      </c>
      <c r="N339" s="294">
        <v>20.936040878295898</v>
      </c>
      <c r="O339" s="294">
        <v>92.475830078125</v>
      </c>
      <c r="P339" s="203" t="s">
        <v>970</v>
      </c>
      <c r="Q339" s="294" t="s">
        <v>2516</v>
      </c>
      <c r="R339" s="429"/>
      <c r="S339" s="430"/>
      <c r="T339" s="543">
        <v>43245</v>
      </c>
      <c r="U339" s="431"/>
      <c r="V339" s="294"/>
    </row>
    <row r="340" spans="1:22" s="203" customFormat="1" ht="17.25" hidden="1" customHeight="1" x14ac:dyDescent="0.2">
      <c r="A340" s="203" t="s">
        <v>454</v>
      </c>
      <c r="B340" s="203" t="s">
        <v>480</v>
      </c>
      <c r="C340" s="203" t="s">
        <v>748</v>
      </c>
      <c r="D340" s="203" t="s">
        <v>2177</v>
      </c>
      <c r="E340" s="203" t="s">
        <v>1797</v>
      </c>
      <c r="J340" s="203" t="s">
        <v>969</v>
      </c>
      <c r="K340" s="203" t="s">
        <v>969</v>
      </c>
      <c r="L340" s="203" t="s">
        <v>969</v>
      </c>
      <c r="M340" s="203" t="s">
        <v>454</v>
      </c>
      <c r="N340" s="203">
        <v>20.756410598754901</v>
      </c>
      <c r="O340" s="203">
        <v>92.635803222656307</v>
      </c>
      <c r="P340" s="203" t="s">
        <v>970</v>
      </c>
      <c r="Q340" s="203" t="s">
        <v>951</v>
      </c>
      <c r="R340" s="425"/>
      <c r="S340" s="426"/>
      <c r="T340" s="542" t="s">
        <v>935</v>
      </c>
      <c r="U340" s="427"/>
      <c r="V340" s="203" t="s">
        <v>748</v>
      </c>
    </row>
    <row r="341" spans="1:22" s="203" customFormat="1" ht="17.25" hidden="1" customHeight="1" x14ac:dyDescent="0.2">
      <c r="A341" s="203" t="s">
        <v>454</v>
      </c>
      <c r="B341" s="203" t="s">
        <v>480</v>
      </c>
      <c r="C341" s="203" t="s">
        <v>710</v>
      </c>
      <c r="D341" s="203" t="s">
        <v>2177</v>
      </c>
      <c r="E341" s="203" t="s">
        <v>1761</v>
      </c>
      <c r="J341" s="203" t="s">
        <v>969</v>
      </c>
      <c r="K341" s="203" t="s">
        <v>969</v>
      </c>
      <c r="L341" s="203" t="s">
        <v>969</v>
      </c>
      <c r="M341" s="203" t="s">
        <v>454</v>
      </c>
      <c r="N341" s="203">
        <v>20.691099166870099</v>
      </c>
      <c r="O341" s="203">
        <v>92.590652465820298</v>
      </c>
      <c r="P341" s="203" t="s">
        <v>970</v>
      </c>
      <c r="Q341" s="203" t="s">
        <v>951</v>
      </c>
      <c r="R341" s="425"/>
      <c r="S341" s="426"/>
      <c r="T341" s="542" t="s">
        <v>935</v>
      </c>
      <c r="U341" s="427"/>
      <c r="V341" s="203" t="s">
        <v>710</v>
      </c>
    </row>
    <row r="342" spans="1:22" s="203" customFormat="1" ht="17.25" hidden="1" customHeight="1" x14ac:dyDescent="0.2">
      <c r="A342" s="203" t="s">
        <v>454</v>
      </c>
      <c r="B342" s="203" t="s">
        <v>480</v>
      </c>
      <c r="C342" s="203" t="s">
        <v>818</v>
      </c>
      <c r="D342" s="203" t="s">
        <v>2177</v>
      </c>
      <c r="E342" s="203" t="s">
        <v>1850</v>
      </c>
      <c r="J342" s="203" t="s">
        <v>969</v>
      </c>
      <c r="K342" s="203" t="s">
        <v>969</v>
      </c>
      <c r="L342" s="203" t="s">
        <v>969</v>
      </c>
      <c r="M342" s="203" t="s">
        <v>966</v>
      </c>
      <c r="N342" s="203">
        <v>20.8927097320557</v>
      </c>
      <c r="O342" s="203">
        <v>92.562187194824205</v>
      </c>
      <c r="P342" s="203" t="s">
        <v>970</v>
      </c>
      <c r="Q342" s="203" t="s">
        <v>951</v>
      </c>
      <c r="R342" s="425"/>
      <c r="S342" s="426"/>
      <c r="T342" s="542" t="s">
        <v>935</v>
      </c>
      <c r="U342" s="427"/>
      <c r="V342" s="203" t="s">
        <v>818</v>
      </c>
    </row>
    <row r="343" spans="1:22" s="203" customFormat="1" ht="17.25" hidden="1" customHeight="1" x14ac:dyDescent="0.2">
      <c r="A343" s="203" t="s">
        <v>454</v>
      </c>
      <c r="B343" s="203" t="s">
        <v>480</v>
      </c>
      <c r="C343" s="203" t="s">
        <v>825</v>
      </c>
      <c r="D343" s="203" t="s">
        <v>2177</v>
      </c>
      <c r="E343" s="203">
        <v>198234</v>
      </c>
      <c r="J343" s="203" t="s">
        <v>969</v>
      </c>
      <c r="K343" s="203" t="s">
        <v>969</v>
      </c>
      <c r="L343" s="203" t="s">
        <v>969</v>
      </c>
      <c r="M343" s="203" t="s">
        <v>454</v>
      </c>
      <c r="N343" s="203">
        <v>20.926780700683601</v>
      </c>
      <c r="O343" s="203">
        <v>92.5399169921875</v>
      </c>
      <c r="P343" s="203" t="s">
        <v>970</v>
      </c>
      <c r="Q343" s="203" t="s">
        <v>973</v>
      </c>
      <c r="R343" s="425"/>
      <c r="S343" s="426"/>
      <c r="T343" s="542">
        <v>42926</v>
      </c>
      <c r="U343" s="427" t="s">
        <v>974</v>
      </c>
    </row>
    <row r="344" spans="1:22" s="203" customFormat="1" ht="17.25" hidden="1" customHeight="1" x14ac:dyDescent="0.2">
      <c r="A344" s="203" t="s">
        <v>454</v>
      </c>
      <c r="B344" s="203" t="s">
        <v>480</v>
      </c>
      <c r="C344" s="203" t="s">
        <v>711</v>
      </c>
      <c r="D344" s="203" t="s">
        <v>2177</v>
      </c>
      <c r="E344" s="203" t="s">
        <v>1762</v>
      </c>
      <c r="J344" s="203" t="s">
        <v>969</v>
      </c>
      <c r="K344" s="203" t="s">
        <v>969</v>
      </c>
      <c r="L344" s="203" t="s">
        <v>969</v>
      </c>
      <c r="M344" s="203" t="s">
        <v>966</v>
      </c>
      <c r="N344" s="203">
        <v>20.692510604858398</v>
      </c>
      <c r="O344" s="203">
        <v>92.579689025878906</v>
      </c>
      <c r="P344" s="203" t="s">
        <v>970</v>
      </c>
      <c r="Q344" s="203" t="s">
        <v>951</v>
      </c>
      <c r="R344" s="425"/>
      <c r="S344" s="426"/>
      <c r="T344" s="542" t="s">
        <v>935</v>
      </c>
      <c r="U344" s="427"/>
      <c r="V344" s="203" t="s">
        <v>711</v>
      </c>
    </row>
    <row r="345" spans="1:22" s="203" customFormat="1" ht="17.25" hidden="1" customHeight="1" x14ac:dyDescent="0.2">
      <c r="A345" s="203" t="s">
        <v>454</v>
      </c>
      <c r="B345" s="203" t="s">
        <v>480</v>
      </c>
      <c r="C345" s="203" t="s">
        <v>810</v>
      </c>
      <c r="D345" s="203" t="s">
        <v>2177</v>
      </c>
      <c r="E345" s="203" t="s">
        <v>1844</v>
      </c>
      <c r="J345" s="203" t="s">
        <v>969</v>
      </c>
      <c r="K345" s="203" t="s">
        <v>969</v>
      </c>
      <c r="L345" s="203" t="s">
        <v>969</v>
      </c>
      <c r="M345" s="203" t="s">
        <v>966</v>
      </c>
      <c r="N345" s="203">
        <v>20.884159088134801</v>
      </c>
      <c r="O345" s="203">
        <v>92.551063537597699</v>
      </c>
      <c r="P345" s="203" t="s">
        <v>970</v>
      </c>
      <c r="Q345" s="203" t="s">
        <v>951</v>
      </c>
      <c r="R345" s="425"/>
      <c r="S345" s="426"/>
      <c r="T345" s="542" t="s">
        <v>935</v>
      </c>
      <c r="U345" s="427"/>
      <c r="V345" s="203" t="s">
        <v>810</v>
      </c>
    </row>
    <row r="346" spans="1:22" s="203" customFormat="1" ht="17.25" hidden="1" customHeight="1" x14ac:dyDescent="0.2">
      <c r="A346" s="203" t="s">
        <v>454</v>
      </c>
      <c r="B346" s="203" t="s">
        <v>480</v>
      </c>
      <c r="C346" s="203" t="s">
        <v>687</v>
      </c>
      <c r="D346" s="203" t="s">
        <v>2177</v>
      </c>
      <c r="E346" s="203" t="s">
        <v>1745</v>
      </c>
      <c r="J346" s="203" t="s">
        <v>969</v>
      </c>
      <c r="K346" s="203" t="s">
        <v>969</v>
      </c>
      <c r="L346" s="203" t="s">
        <v>969</v>
      </c>
      <c r="M346" s="203" t="s">
        <v>966</v>
      </c>
      <c r="N346" s="203">
        <v>20.663370132000001</v>
      </c>
      <c r="O346" s="203">
        <v>92.613876343000001</v>
      </c>
      <c r="P346" s="203" t="s">
        <v>970</v>
      </c>
      <c r="Q346" s="203" t="s">
        <v>951</v>
      </c>
      <c r="R346" s="425"/>
      <c r="S346" s="426"/>
      <c r="T346" s="542" t="s">
        <v>935</v>
      </c>
      <c r="U346" s="427"/>
      <c r="V346" s="203" t="s">
        <v>1093</v>
      </c>
    </row>
    <row r="347" spans="1:22" s="203" customFormat="1" ht="17.25" hidden="1" customHeight="1" x14ac:dyDescent="0.2">
      <c r="A347" s="203" t="s">
        <v>454</v>
      </c>
      <c r="B347" s="203" t="s">
        <v>480</v>
      </c>
      <c r="C347" s="203" t="s">
        <v>740</v>
      </c>
      <c r="D347" s="203" t="s">
        <v>2177</v>
      </c>
      <c r="E347" s="203">
        <v>198400</v>
      </c>
      <c r="J347" s="203" t="s">
        <v>975</v>
      </c>
      <c r="K347" s="203" t="s">
        <v>969</v>
      </c>
      <c r="L347" s="203" t="s">
        <v>975</v>
      </c>
      <c r="M347" s="203" t="s">
        <v>966</v>
      </c>
      <c r="N347" s="203">
        <v>20.733280181884801</v>
      </c>
      <c r="O347" s="203">
        <v>92.601409912109403</v>
      </c>
      <c r="P347" s="203" t="s">
        <v>1094</v>
      </c>
      <c r="Q347" s="203" t="s">
        <v>973</v>
      </c>
      <c r="R347" s="425"/>
      <c r="S347" s="426"/>
      <c r="T347" s="542">
        <v>42926</v>
      </c>
      <c r="U347" s="427" t="s">
        <v>1104</v>
      </c>
    </row>
    <row r="348" spans="1:22" s="203" customFormat="1" ht="17.25" hidden="1" customHeight="1" x14ac:dyDescent="0.2">
      <c r="A348" s="203" t="s">
        <v>454</v>
      </c>
      <c r="B348" s="203" t="s">
        <v>480</v>
      </c>
      <c r="C348" s="203" t="s">
        <v>750</v>
      </c>
      <c r="D348" s="203" t="s">
        <v>2177</v>
      </c>
      <c r="E348" s="203" t="s">
        <v>1799</v>
      </c>
      <c r="J348" s="203" t="s">
        <v>969</v>
      </c>
      <c r="K348" s="203" t="s">
        <v>969</v>
      </c>
      <c r="L348" s="203" t="s">
        <v>969</v>
      </c>
      <c r="M348" s="203" t="s">
        <v>454</v>
      </c>
      <c r="N348" s="203">
        <v>20.7640705108643</v>
      </c>
      <c r="O348" s="203">
        <v>92.631126403808594</v>
      </c>
      <c r="P348" s="203" t="s">
        <v>970</v>
      </c>
      <c r="Q348" s="203" t="s">
        <v>951</v>
      </c>
      <c r="R348" s="425"/>
      <c r="S348" s="426"/>
      <c r="T348" s="542" t="s">
        <v>935</v>
      </c>
      <c r="U348" s="427"/>
      <c r="V348" s="203" t="s">
        <v>750</v>
      </c>
    </row>
    <row r="349" spans="1:22" s="203" customFormat="1" ht="17.25" hidden="1" customHeight="1" x14ac:dyDescent="0.2">
      <c r="A349" s="203" t="s">
        <v>454</v>
      </c>
      <c r="B349" s="203" t="s">
        <v>480</v>
      </c>
      <c r="C349" s="203" t="s">
        <v>738</v>
      </c>
      <c r="D349" s="203" t="s">
        <v>2177</v>
      </c>
      <c r="E349" s="203" t="s">
        <v>1789</v>
      </c>
      <c r="J349" s="203" t="s">
        <v>969</v>
      </c>
      <c r="K349" s="203" t="s">
        <v>969</v>
      </c>
      <c r="L349" s="203" t="s">
        <v>969</v>
      </c>
      <c r="M349" s="203" t="s">
        <v>454</v>
      </c>
      <c r="N349" s="203">
        <v>20.7264194488525</v>
      </c>
      <c r="O349" s="203">
        <v>92.671180725097699</v>
      </c>
      <c r="P349" s="203" t="s">
        <v>970</v>
      </c>
      <c r="Q349" s="203" t="s">
        <v>951</v>
      </c>
      <c r="R349" s="425"/>
      <c r="S349" s="426"/>
      <c r="T349" s="542" t="s">
        <v>935</v>
      </c>
      <c r="U349" s="427"/>
      <c r="V349" s="203" t="s">
        <v>738</v>
      </c>
    </row>
    <row r="350" spans="1:22" s="203" customFormat="1" ht="17.25" hidden="1" customHeight="1" x14ac:dyDescent="0.2">
      <c r="A350" s="203" t="s">
        <v>454</v>
      </c>
      <c r="B350" s="203" t="s">
        <v>480</v>
      </c>
      <c r="C350" s="203" t="s">
        <v>699</v>
      </c>
      <c r="D350" s="203" t="s">
        <v>2177</v>
      </c>
      <c r="E350" s="203" t="s">
        <v>1753</v>
      </c>
      <c r="J350" s="203" t="s">
        <v>969</v>
      </c>
      <c r="K350" s="203" t="s">
        <v>969</v>
      </c>
      <c r="L350" s="203" t="s">
        <v>969</v>
      </c>
      <c r="M350" s="203" t="s">
        <v>966</v>
      </c>
      <c r="N350" s="203">
        <v>20.678150177001999</v>
      </c>
      <c r="O350" s="203">
        <v>92.587867736816406</v>
      </c>
      <c r="P350" s="203" t="s">
        <v>970</v>
      </c>
      <c r="Q350" s="203" t="s">
        <v>951</v>
      </c>
      <c r="R350" s="425"/>
      <c r="S350" s="426"/>
      <c r="T350" s="542" t="s">
        <v>935</v>
      </c>
      <c r="U350" s="427"/>
      <c r="V350" s="203" t="s">
        <v>699</v>
      </c>
    </row>
    <row r="351" spans="1:22" s="203" customFormat="1" ht="17.25" hidden="1" customHeight="1" x14ac:dyDescent="0.2">
      <c r="A351" s="203" t="s">
        <v>454</v>
      </c>
      <c r="B351" s="203" t="s">
        <v>480</v>
      </c>
      <c r="C351" s="203" t="s">
        <v>757</v>
      </c>
      <c r="D351" s="203" t="s">
        <v>2177</v>
      </c>
      <c r="E351" s="203">
        <v>198388</v>
      </c>
      <c r="J351" s="203" t="s">
        <v>969</v>
      </c>
      <c r="K351" s="203" t="s">
        <v>969</v>
      </c>
      <c r="L351" s="203" t="s">
        <v>969</v>
      </c>
      <c r="M351" s="203" t="s">
        <v>454</v>
      </c>
      <c r="N351" s="203">
        <v>20.782770156860401</v>
      </c>
      <c r="O351" s="203">
        <v>92.551826477050795</v>
      </c>
      <c r="P351" s="203" t="s">
        <v>970</v>
      </c>
      <c r="Q351" s="203" t="s">
        <v>973</v>
      </c>
      <c r="R351" s="425"/>
      <c r="S351" s="426"/>
      <c r="T351" s="542">
        <v>42926</v>
      </c>
      <c r="U351" s="427" t="s">
        <v>974</v>
      </c>
    </row>
    <row r="352" spans="1:22" s="203" customFormat="1" ht="17.25" hidden="1" customHeight="1" x14ac:dyDescent="0.2">
      <c r="A352" s="203" t="s">
        <v>454</v>
      </c>
      <c r="B352" s="203" t="s">
        <v>480</v>
      </c>
      <c r="C352" s="203" t="s">
        <v>752</v>
      </c>
      <c r="D352" s="203" t="s">
        <v>2177</v>
      </c>
      <c r="E352" s="203" t="s">
        <v>1801</v>
      </c>
      <c r="J352" s="203" t="s">
        <v>969</v>
      </c>
      <c r="K352" s="203" t="s">
        <v>969</v>
      </c>
      <c r="L352" s="203" t="s">
        <v>969</v>
      </c>
      <c r="M352" s="203" t="s">
        <v>454</v>
      </c>
      <c r="N352" s="203">
        <v>20.7677192687988</v>
      </c>
      <c r="O352" s="203">
        <v>92.631736755371094</v>
      </c>
      <c r="P352" s="203" t="s">
        <v>970</v>
      </c>
      <c r="Q352" s="203" t="s">
        <v>951</v>
      </c>
      <c r="R352" s="425"/>
      <c r="S352" s="426"/>
      <c r="T352" s="542" t="s">
        <v>935</v>
      </c>
      <c r="U352" s="427"/>
      <c r="V352" s="203" t="s">
        <v>752</v>
      </c>
    </row>
    <row r="353" spans="1:22" s="203" customFormat="1" ht="17.25" hidden="1" customHeight="1" x14ac:dyDescent="0.2">
      <c r="A353" s="203" t="s">
        <v>454</v>
      </c>
      <c r="B353" s="203" t="s">
        <v>480</v>
      </c>
      <c r="C353" s="203" t="s">
        <v>822</v>
      </c>
      <c r="D353" s="203" t="s">
        <v>2177</v>
      </c>
      <c r="E353" s="203" t="s">
        <v>1852</v>
      </c>
      <c r="J353" s="203" t="s">
        <v>969</v>
      </c>
      <c r="K353" s="203" t="s">
        <v>969</v>
      </c>
      <c r="L353" s="203" t="s">
        <v>969</v>
      </c>
      <c r="M353" s="203" t="s">
        <v>966</v>
      </c>
      <c r="N353" s="203">
        <v>20.895900726318398</v>
      </c>
      <c r="O353" s="203">
        <v>92.497329711914105</v>
      </c>
      <c r="P353" s="203" t="s">
        <v>970</v>
      </c>
      <c r="Q353" s="203" t="s">
        <v>951</v>
      </c>
      <c r="R353" s="425"/>
      <c r="S353" s="426"/>
      <c r="T353" s="542" t="s">
        <v>935</v>
      </c>
      <c r="U353" s="427"/>
      <c r="V353" s="203" t="s">
        <v>822</v>
      </c>
    </row>
    <row r="354" spans="1:22" s="203" customFormat="1" ht="17.25" hidden="1" customHeight="1" x14ac:dyDescent="0.2">
      <c r="A354" s="203" t="s">
        <v>454</v>
      </c>
      <c r="B354" s="203" t="s">
        <v>480</v>
      </c>
      <c r="C354" s="203" t="s">
        <v>807</v>
      </c>
      <c r="D354" s="203" t="s">
        <v>2177</v>
      </c>
      <c r="E354" s="203" t="s">
        <v>1842</v>
      </c>
      <c r="J354" s="203" t="s">
        <v>969</v>
      </c>
      <c r="K354" s="203" t="s">
        <v>969</v>
      </c>
      <c r="L354" s="203" t="s">
        <v>969</v>
      </c>
      <c r="M354" s="203" t="s">
        <v>966</v>
      </c>
      <c r="N354" s="203">
        <v>20.8825492858887</v>
      </c>
      <c r="O354" s="203">
        <v>92.551338195800795</v>
      </c>
      <c r="P354" s="203" t="s">
        <v>970</v>
      </c>
      <c r="Q354" s="203" t="s">
        <v>951</v>
      </c>
      <c r="R354" s="425"/>
      <c r="S354" s="426"/>
      <c r="T354" s="542" t="s">
        <v>935</v>
      </c>
      <c r="U354" s="427"/>
      <c r="V354" s="203" t="s">
        <v>1116</v>
      </c>
    </row>
    <row r="355" spans="1:22" s="203" customFormat="1" ht="17.25" hidden="1" customHeight="1" x14ac:dyDescent="0.2">
      <c r="A355" s="203" t="s">
        <v>454</v>
      </c>
      <c r="B355" s="203" t="s">
        <v>480</v>
      </c>
      <c r="C355" s="203" t="s">
        <v>688</v>
      </c>
      <c r="D355" s="203" t="s">
        <v>2177</v>
      </c>
      <c r="E355" s="203" t="s">
        <v>1746</v>
      </c>
      <c r="J355" s="203" t="s">
        <v>969</v>
      </c>
      <c r="K355" s="203" t="s">
        <v>969</v>
      </c>
      <c r="L355" s="203" t="s">
        <v>969</v>
      </c>
      <c r="M355" s="203" t="s">
        <v>966</v>
      </c>
      <c r="N355" s="203">
        <v>20.6638793945313</v>
      </c>
      <c r="O355" s="203">
        <v>92.609306335449205</v>
      </c>
      <c r="P355" s="203" t="s">
        <v>970</v>
      </c>
      <c r="Q355" s="203" t="s">
        <v>951</v>
      </c>
      <c r="R355" s="425"/>
      <c r="S355" s="426"/>
      <c r="T355" s="542" t="s">
        <v>935</v>
      </c>
      <c r="U355" s="427"/>
      <c r="V355" s="203" t="s">
        <v>688</v>
      </c>
    </row>
    <row r="356" spans="1:22" s="203" customFormat="1" ht="17.25" hidden="1" customHeight="1" x14ac:dyDescent="0.2">
      <c r="A356" s="203" t="s">
        <v>454</v>
      </c>
      <c r="B356" s="203" t="s">
        <v>480</v>
      </c>
      <c r="C356" s="203" t="s">
        <v>690</v>
      </c>
      <c r="D356" s="203" t="s">
        <v>2177</v>
      </c>
      <c r="E356" s="203" t="s">
        <v>1747</v>
      </c>
      <c r="J356" s="203" t="s">
        <v>969</v>
      </c>
      <c r="K356" s="203" t="s">
        <v>969</v>
      </c>
      <c r="L356" s="203" t="s">
        <v>969</v>
      </c>
      <c r="M356" s="203" t="s">
        <v>454</v>
      </c>
      <c r="N356" s="203">
        <v>20.667749404907202</v>
      </c>
      <c r="O356" s="203">
        <v>92.608650207519503</v>
      </c>
      <c r="P356" s="203" t="s">
        <v>970</v>
      </c>
      <c r="Q356" s="203" t="s">
        <v>951</v>
      </c>
      <c r="R356" s="425"/>
      <c r="S356" s="426"/>
      <c r="T356" s="542" t="s">
        <v>935</v>
      </c>
      <c r="U356" s="427"/>
      <c r="V356" s="203" t="s">
        <v>690</v>
      </c>
    </row>
    <row r="357" spans="1:22" s="203" customFormat="1" ht="17.25" hidden="1" customHeight="1" x14ac:dyDescent="0.2">
      <c r="A357" s="203" t="s">
        <v>454</v>
      </c>
      <c r="B357" s="203" t="s">
        <v>480</v>
      </c>
      <c r="C357" s="203" t="s">
        <v>764</v>
      </c>
      <c r="D357" s="203" t="s">
        <v>2177</v>
      </c>
      <c r="E357" s="203" t="s">
        <v>1810</v>
      </c>
      <c r="J357" s="203" t="s">
        <v>969</v>
      </c>
      <c r="K357" s="203" t="s">
        <v>969</v>
      </c>
      <c r="L357" s="203" t="s">
        <v>969</v>
      </c>
      <c r="M357" s="203" t="s">
        <v>966</v>
      </c>
      <c r="N357" s="203">
        <v>20.787410736083999</v>
      </c>
      <c r="O357" s="203">
        <v>92.551551818847699</v>
      </c>
      <c r="P357" s="203" t="s">
        <v>970</v>
      </c>
      <c r="Q357" s="203" t="s">
        <v>951</v>
      </c>
      <c r="R357" s="425"/>
      <c r="S357" s="426"/>
      <c r="T357" s="542" t="s">
        <v>935</v>
      </c>
      <c r="U357" s="427"/>
      <c r="V357" s="203" t="s">
        <v>764</v>
      </c>
    </row>
    <row r="358" spans="1:22" s="203" customFormat="1" ht="17.25" hidden="1" customHeight="1" x14ac:dyDescent="0.2">
      <c r="A358" s="203" t="s">
        <v>454</v>
      </c>
      <c r="B358" s="203" t="s">
        <v>480</v>
      </c>
      <c r="C358" s="203" t="s">
        <v>766</v>
      </c>
      <c r="D358" s="203" t="s">
        <v>2177</v>
      </c>
      <c r="E358" s="203" t="s">
        <v>1812</v>
      </c>
      <c r="J358" s="203" t="s">
        <v>969</v>
      </c>
      <c r="K358" s="203" t="s">
        <v>969</v>
      </c>
      <c r="L358" s="203" t="s">
        <v>969</v>
      </c>
      <c r="M358" s="203" t="s">
        <v>966</v>
      </c>
      <c r="N358" s="203">
        <v>20.791679382324201</v>
      </c>
      <c r="O358" s="203">
        <v>92.5509033203125</v>
      </c>
      <c r="P358" s="203" t="s">
        <v>970</v>
      </c>
      <c r="Q358" s="203" t="s">
        <v>951</v>
      </c>
      <c r="R358" s="425"/>
      <c r="S358" s="426"/>
      <c r="T358" s="542" t="s">
        <v>935</v>
      </c>
      <c r="U358" s="427"/>
      <c r="V358" s="203" t="s">
        <v>766</v>
      </c>
    </row>
    <row r="359" spans="1:22" s="203" customFormat="1" ht="17.25" hidden="1" customHeight="1" x14ac:dyDescent="0.2">
      <c r="A359" s="203" t="s">
        <v>454</v>
      </c>
      <c r="B359" s="203" t="s">
        <v>480</v>
      </c>
      <c r="C359" s="203" t="s">
        <v>719</v>
      </c>
      <c r="D359" s="203" t="s">
        <v>2177</v>
      </c>
      <c r="E359" s="203" t="s">
        <v>1769</v>
      </c>
      <c r="J359" s="203" t="s">
        <v>969</v>
      </c>
      <c r="K359" s="203" t="s">
        <v>969</v>
      </c>
      <c r="L359" s="203" t="s">
        <v>969</v>
      </c>
      <c r="M359" s="203" t="s">
        <v>454</v>
      </c>
      <c r="N359" s="203">
        <v>20.707460403442401</v>
      </c>
      <c r="O359" s="203">
        <v>92.680862426757798</v>
      </c>
      <c r="P359" s="203" t="s">
        <v>970</v>
      </c>
      <c r="Q359" s="203" t="s">
        <v>951</v>
      </c>
      <c r="R359" s="425"/>
      <c r="S359" s="426"/>
      <c r="T359" s="542" t="s">
        <v>935</v>
      </c>
      <c r="U359" s="427"/>
      <c r="V359" s="203" t="s">
        <v>719</v>
      </c>
    </row>
    <row r="360" spans="1:22" s="203" customFormat="1" ht="17.25" hidden="1" customHeight="1" x14ac:dyDescent="0.2">
      <c r="A360" s="203" t="s">
        <v>454</v>
      </c>
      <c r="B360" s="203" t="s">
        <v>480</v>
      </c>
      <c r="C360" s="203" t="s">
        <v>749</v>
      </c>
      <c r="D360" s="203" t="s">
        <v>2177</v>
      </c>
      <c r="E360" s="203" t="s">
        <v>1798</v>
      </c>
      <c r="J360" s="203" t="s">
        <v>969</v>
      </c>
      <c r="K360" s="203" t="s">
        <v>969</v>
      </c>
      <c r="L360" s="203" t="s">
        <v>969</v>
      </c>
      <c r="M360" s="203" t="s">
        <v>966</v>
      </c>
      <c r="N360" s="203">
        <v>20.761529922485401</v>
      </c>
      <c r="O360" s="203">
        <v>92.544082641601605</v>
      </c>
      <c r="P360" s="203" t="s">
        <v>970</v>
      </c>
      <c r="Q360" s="203" t="s">
        <v>951</v>
      </c>
      <c r="R360" s="425"/>
      <c r="S360" s="426"/>
      <c r="T360" s="542" t="s">
        <v>935</v>
      </c>
      <c r="U360" s="427"/>
      <c r="V360" s="203" t="s">
        <v>749</v>
      </c>
    </row>
    <row r="361" spans="1:22" s="203" customFormat="1" ht="17.25" hidden="1" customHeight="1" x14ac:dyDescent="0.2">
      <c r="A361" s="203" t="s">
        <v>454</v>
      </c>
      <c r="B361" s="203" t="s">
        <v>480</v>
      </c>
      <c r="C361" s="203" t="s">
        <v>708</v>
      </c>
      <c r="D361" s="203" t="s">
        <v>2177</v>
      </c>
      <c r="E361" s="203" t="s">
        <v>1759</v>
      </c>
      <c r="J361" s="203" t="s">
        <v>969</v>
      </c>
      <c r="K361" s="203" t="s">
        <v>969</v>
      </c>
      <c r="L361" s="203" t="s">
        <v>969</v>
      </c>
      <c r="M361" s="203" t="s">
        <v>454</v>
      </c>
      <c r="N361" s="203">
        <v>20.688310623168899</v>
      </c>
      <c r="O361" s="203">
        <v>92.696960449218807</v>
      </c>
      <c r="P361" s="203" t="s">
        <v>970</v>
      </c>
      <c r="Q361" s="203" t="s">
        <v>951</v>
      </c>
      <c r="R361" s="425"/>
      <c r="S361" s="426"/>
      <c r="T361" s="542" t="s">
        <v>935</v>
      </c>
      <c r="U361" s="427"/>
      <c r="V361" s="203" t="s">
        <v>708</v>
      </c>
    </row>
    <row r="362" spans="1:22" s="203" customFormat="1" ht="17.25" hidden="1" customHeight="1" x14ac:dyDescent="0.2">
      <c r="A362" s="203" t="s">
        <v>454</v>
      </c>
      <c r="B362" s="203" t="s">
        <v>480</v>
      </c>
      <c r="C362" s="203" t="s">
        <v>813</v>
      </c>
      <c r="D362" s="203" t="s">
        <v>2177</v>
      </c>
      <c r="E362" s="203" t="s">
        <v>1847</v>
      </c>
      <c r="J362" s="203" t="s">
        <v>969</v>
      </c>
      <c r="K362" s="203" t="s">
        <v>969</v>
      </c>
      <c r="L362" s="203" t="s">
        <v>969</v>
      </c>
      <c r="M362" s="203" t="s">
        <v>454</v>
      </c>
      <c r="N362" s="203">
        <v>20.8874206542969</v>
      </c>
      <c r="O362" s="203">
        <v>92.54541015625</v>
      </c>
      <c r="P362" s="203" t="s">
        <v>970</v>
      </c>
      <c r="Q362" s="203" t="s">
        <v>951</v>
      </c>
      <c r="R362" s="425"/>
      <c r="S362" s="426"/>
      <c r="T362" s="542" t="s">
        <v>935</v>
      </c>
      <c r="U362" s="427"/>
      <c r="V362" s="203" t="s">
        <v>1118</v>
      </c>
    </row>
    <row r="363" spans="1:22" s="203" customFormat="1" ht="17.25" hidden="1" customHeight="1" x14ac:dyDescent="0.2">
      <c r="A363" s="203" t="s">
        <v>454</v>
      </c>
      <c r="B363" s="203" t="s">
        <v>480</v>
      </c>
      <c r="C363" s="203" t="s">
        <v>743</v>
      </c>
      <c r="D363" s="203" t="s">
        <v>2177</v>
      </c>
      <c r="E363" s="203" t="s">
        <v>1793</v>
      </c>
      <c r="J363" s="203" t="s">
        <v>969</v>
      </c>
      <c r="K363" s="203" t="s">
        <v>969</v>
      </c>
      <c r="L363" s="203" t="s">
        <v>969</v>
      </c>
      <c r="M363" s="203" t="s">
        <v>966</v>
      </c>
      <c r="N363" s="203">
        <v>20.741249084472699</v>
      </c>
      <c r="O363" s="203">
        <v>92.610519409179702</v>
      </c>
      <c r="P363" s="203" t="s">
        <v>970</v>
      </c>
      <c r="Q363" s="203" t="s">
        <v>951</v>
      </c>
      <c r="R363" s="425"/>
      <c r="S363" s="426"/>
      <c r="T363" s="542" t="s">
        <v>935</v>
      </c>
      <c r="U363" s="427"/>
      <c r="V363" s="203" t="s">
        <v>743</v>
      </c>
    </row>
    <row r="364" spans="1:22" s="203" customFormat="1" ht="17.25" hidden="1" customHeight="1" x14ac:dyDescent="0.2">
      <c r="A364" s="203" t="s">
        <v>454</v>
      </c>
      <c r="B364" s="203" t="s">
        <v>480</v>
      </c>
      <c r="C364" s="203" t="s">
        <v>742</v>
      </c>
      <c r="D364" s="203" t="s">
        <v>2177</v>
      </c>
      <c r="E364" s="203" t="s">
        <v>1792</v>
      </c>
      <c r="J364" s="203" t="s">
        <v>969</v>
      </c>
      <c r="K364" s="203" t="s">
        <v>969</v>
      </c>
      <c r="L364" s="203" t="s">
        <v>969</v>
      </c>
      <c r="M364" s="203" t="s">
        <v>454</v>
      </c>
      <c r="N364" s="203">
        <v>20.739839553833001</v>
      </c>
      <c r="O364" s="203">
        <v>92.613456726074205</v>
      </c>
      <c r="P364" s="203" t="s">
        <v>970</v>
      </c>
      <c r="Q364" s="203" t="s">
        <v>951</v>
      </c>
      <c r="R364" s="425"/>
      <c r="S364" s="426"/>
      <c r="T364" s="542" t="s">
        <v>935</v>
      </c>
      <c r="U364" s="427"/>
      <c r="V364" s="203" t="s">
        <v>742</v>
      </c>
    </row>
    <row r="365" spans="1:22" s="203" customFormat="1" ht="17.25" hidden="1" customHeight="1" x14ac:dyDescent="0.2">
      <c r="A365" s="203" t="s">
        <v>454</v>
      </c>
      <c r="B365" s="203" t="s">
        <v>480</v>
      </c>
      <c r="C365" s="203" t="s">
        <v>691</v>
      </c>
      <c r="D365" s="203" t="s">
        <v>2177</v>
      </c>
      <c r="E365" s="203" t="s">
        <v>1748</v>
      </c>
      <c r="J365" s="203" t="s">
        <v>969</v>
      </c>
      <c r="K365" s="203" t="s">
        <v>969</v>
      </c>
      <c r="L365" s="203" t="s">
        <v>969</v>
      </c>
      <c r="M365" s="203" t="s">
        <v>454</v>
      </c>
      <c r="N365" s="203">
        <v>20.669130325317401</v>
      </c>
      <c r="O365" s="203">
        <v>92.595497131347699</v>
      </c>
      <c r="P365" s="203" t="s">
        <v>970</v>
      </c>
      <c r="Q365" s="203" t="s">
        <v>951</v>
      </c>
      <c r="R365" s="425"/>
      <c r="S365" s="426"/>
      <c r="T365" s="542" t="s">
        <v>935</v>
      </c>
      <c r="U365" s="427"/>
      <c r="V365" s="203" t="s">
        <v>691</v>
      </c>
    </row>
    <row r="366" spans="1:22" s="203" customFormat="1" ht="17.25" hidden="1" customHeight="1" x14ac:dyDescent="0.2">
      <c r="A366" s="203" t="s">
        <v>454</v>
      </c>
      <c r="B366" s="203" t="s">
        <v>480</v>
      </c>
      <c r="C366" s="203" t="s">
        <v>696</v>
      </c>
      <c r="D366" s="203" t="s">
        <v>2177</v>
      </c>
      <c r="E366" s="203" t="s">
        <v>1751</v>
      </c>
      <c r="J366" s="203" t="s">
        <v>969</v>
      </c>
      <c r="K366" s="203" t="s">
        <v>969</v>
      </c>
      <c r="L366" s="203" t="s">
        <v>969</v>
      </c>
      <c r="M366" s="203" t="s">
        <v>966</v>
      </c>
      <c r="N366" s="203">
        <v>20.674699783325199</v>
      </c>
      <c r="O366" s="203">
        <v>92.590393066406307</v>
      </c>
      <c r="P366" s="203" t="s">
        <v>970</v>
      </c>
      <c r="Q366" s="203" t="s">
        <v>951</v>
      </c>
      <c r="R366" s="425"/>
      <c r="S366" s="426"/>
      <c r="T366" s="542" t="s">
        <v>935</v>
      </c>
      <c r="U366" s="427"/>
      <c r="V366" s="203" t="s">
        <v>696</v>
      </c>
    </row>
    <row r="367" spans="1:22" s="203" customFormat="1" ht="17.25" hidden="1" customHeight="1" x14ac:dyDescent="0.2">
      <c r="A367" s="203" t="s">
        <v>454</v>
      </c>
      <c r="B367" s="203" t="s">
        <v>480</v>
      </c>
      <c r="C367" s="203" t="s">
        <v>754</v>
      </c>
      <c r="D367" s="203" t="s">
        <v>2177</v>
      </c>
      <c r="E367" s="203" t="s">
        <v>1803</v>
      </c>
      <c r="J367" s="203" t="s">
        <v>969</v>
      </c>
      <c r="K367" s="203" t="s">
        <v>969</v>
      </c>
      <c r="L367" s="203" t="s">
        <v>969</v>
      </c>
      <c r="M367" s="203" t="s">
        <v>454</v>
      </c>
      <c r="N367" s="203">
        <v>20.7725505828857</v>
      </c>
      <c r="O367" s="203">
        <v>92.638290405273395</v>
      </c>
      <c r="P367" s="203" t="s">
        <v>970</v>
      </c>
      <c r="Q367" s="203" t="s">
        <v>951</v>
      </c>
      <c r="R367" s="425"/>
      <c r="S367" s="426"/>
      <c r="T367" s="542" t="s">
        <v>935</v>
      </c>
      <c r="U367" s="427"/>
      <c r="V367" s="203" t="s">
        <v>754</v>
      </c>
    </row>
    <row r="368" spans="1:22" s="203" customFormat="1" ht="17.25" hidden="1" customHeight="1" x14ac:dyDescent="0.2">
      <c r="A368" s="203" t="s">
        <v>454</v>
      </c>
      <c r="B368" s="203" t="s">
        <v>480</v>
      </c>
      <c r="C368" s="203" t="s">
        <v>511</v>
      </c>
      <c r="D368" s="203" t="s">
        <v>2177</v>
      </c>
      <c r="J368" s="203" t="s">
        <v>969</v>
      </c>
      <c r="K368" s="203" t="s">
        <v>969</v>
      </c>
      <c r="L368" s="203" t="s">
        <v>969</v>
      </c>
      <c r="M368" s="203" t="s">
        <v>1321</v>
      </c>
      <c r="P368" s="203" t="s">
        <v>970</v>
      </c>
      <c r="Q368" s="203" t="s">
        <v>951</v>
      </c>
      <c r="R368" s="425"/>
      <c r="S368" s="426"/>
      <c r="T368" s="542" t="s">
        <v>935</v>
      </c>
      <c r="U368" s="427"/>
      <c r="V368" s="203" t="s">
        <v>511</v>
      </c>
    </row>
    <row r="369" spans="1:22" s="203" customFormat="1" ht="17.25" hidden="1" customHeight="1" x14ac:dyDescent="0.2">
      <c r="A369" s="203" t="s">
        <v>454</v>
      </c>
      <c r="B369" s="203" t="s">
        <v>480</v>
      </c>
      <c r="C369" s="203" t="s">
        <v>736</v>
      </c>
      <c r="D369" s="203" t="s">
        <v>2177</v>
      </c>
      <c r="E369" s="203" t="s">
        <v>1787</v>
      </c>
      <c r="J369" s="203" t="s">
        <v>969</v>
      </c>
      <c r="K369" s="203" t="s">
        <v>969</v>
      </c>
      <c r="L369" s="203" t="s">
        <v>969</v>
      </c>
      <c r="M369" s="203" t="s">
        <v>966</v>
      </c>
      <c r="N369" s="203">
        <v>20.7247009277344</v>
      </c>
      <c r="O369" s="203">
        <v>92.628196716308594</v>
      </c>
      <c r="P369" s="203" t="s">
        <v>970</v>
      </c>
      <c r="Q369" s="203" t="s">
        <v>951</v>
      </c>
      <c r="R369" s="425"/>
      <c r="S369" s="426"/>
      <c r="T369" s="542" t="s">
        <v>935</v>
      </c>
      <c r="U369" s="427"/>
      <c r="V369" s="203" t="s">
        <v>736</v>
      </c>
    </row>
    <row r="370" spans="1:22" s="203" customFormat="1" ht="17.25" hidden="1" customHeight="1" x14ac:dyDescent="0.2">
      <c r="A370" s="203" t="s">
        <v>454</v>
      </c>
      <c r="B370" s="203" t="s">
        <v>480</v>
      </c>
      <c r="C370" s="203" t="s">
        <v>805</v>
      </c>
      <c r="D370" s="203" t="s">
        <v>2177</v>
      </c>
      <c r="E370" s="203" t="s">
        <v>1840</v>
      </c>
      <c r="J370" s="203" t="s">
        <v>969</v>
      </c>
      <c r="K370" s="203" t="s">
        <v>969</v>
      </c>
      <c r="L370" s="203" t="s">
        <v>969</v>
      </c>
      <c r="M370" s="203" t="s">
        <v>966</v>
      </c>
      <c r="N370" s="203">
        <v>20.871829986572301</v>
      </c>
      <c r="O370" s="203">
        <v>92.566909790039105</v>
      </c>
      <c r="P370" s="203" t="s">
        <v>970</v>
      </c>
      <c r="Q370" s="203" t="s">
        <v>951</v>
      </c>
      <c r="R370" s="425"/>
      <c r="S370" s="426"/>
      <c r="T370" s="542" t="s">
        <v>935</v>
      </c>
      <c r="U370" s="427"/>
      <c r="V370" s="203" t="s">
        <v>805</v>
      </c>
    </row>
    <row r="371" spans="1:22" s="203" customFormat="1" ht="17.25" hidden="1" customHeight="1" x14ac:dyDescent="0.2">
      <c r="A371" s="203" t="s">
        <v>454</v>
      </c>
      <c r="B371" s="203" t="s">
        <v>480</v>
      </c>
      <c r="C371" s="203" t="s">
        <v>836</v>
      </c>
      <c r="D371" s="203" t="s">
        <v>2177</v>
      </c>
      <c r="E371" s="203">
        <v>198163</v>
      </c>
      <c r="J371" s="203" t="s">
        <v>975</v>
      </c>
      <c r="K371" s="203" t="s">
        <v>969</v>
      </c>
      <c r="L371" s="203" t="s">
        <v>975</v>
      </c>
      <c r="M371" s="203" t="s">
        <v>1124</v>
      </c>
      <c r="N371" s="203">
        <v>20.998989105224599</v>
      </c>
      <c r="O371" s="203">
        <v>92.4632568359375</v>
      </c>
      <c r="P371" s="203" t="s">
        <v>1094</v>
      </c>
      <c r="Q371" s="203" t="s">
        <v>973</v>
      </c>
      <c r="R371" s="425"/>
      <c r="S371" s="426"/>
      <c r="T371" s="542">
        <v>42926</v>
      </c>
      <c r="U371" s="427" t="s">
        <v>1104</v>
      </c>
    </row>
    <row r="372" spans="1:22" s="203" customFormat="1" ht="17.25" hidden="1" customHeight="1" x14ac:dyDescent="0.2">
      <c r="A372" s="203" t="s">
        <v>454</v>
      </c>
      <c r="B372" s="203" t="s">
        <v>480</v>
      </c>
      <c r="C372" s="203" t="s">
        <v>834</v>
      </c>
      <c r="D372" s="203" t="s">
        <v>2177</v>
      </c>
      <c r="E372" s="203" t="s">
        <v>1862</v>
      </c>
      <c r="J372" s="203" t="s">
        <v>969</v>
      </c>
      <c r="K372" s="203" t="s">
        <v>969</v>
      </c>
      <c r="L372" s="203" t="s">
        <v>969</v>
      </c>
      <c r="M372" s="203" t="s">
        <v>966</v>
      </c>
      <c r="N372" s="203">
        <v>20.9911003112793</v>
      </c>
      <c r="O372" s="203">
        <v>92.493858337402301</v>
      </c>
      <c r="P372" s="203" t="s">
        <v>970</v>
      </c>
      <c r="Q372" s="203" t="s">
        <v>951</v>
      </c>
      <c r="R372" s="425"/>
      <c r="S372" s="426"/>
      <c r="T372" s="542" t="s">
        <v>935</v>
      </c>
      <c r="U372" s="427"/>
      <c r="V372" s="203" t="s">
        <v>834</v>
      </c>
    </row>
    <row r="373" spans="1:22" s="203" customFormat="1" ht="17.25" hidden="1" customHeight="1" x14ac:dyDescent="0.2">
      <c r="A373" s="203" t="s">
        <v>454</v>
      </c>
      <c r="B373" s="203" t="s">
        <v>480</v>
      </c>
      <c r="C373" s="203" t="s">
        <v>741</v>
      </c>
      <c r="D373" s="203" t="s">
        <v>2177</v>
      </c>
      <c r="E373" s="203" t="s">
        <v>1791</v>
      </c>
      <c r="J373" s="203" t="s">
        <v>969</v>
      </c>
      <c r="K373" s="203" t="s">
        <v>969</v>
      </c>
      <c r="L373" s="203" t="s">
        <v>969</v>
      </c>
      <c r="M373" s="203" t="s">
        <v>966</v>
      </c>
      <c r="N373" s="203">
        <v>20.737430572509801</v>
      </c>
      <c r="O373" s="203">
        <v>92.634773254394503</v>
      </c>
      <c r="P373" s="203" t="s">
        <v>970</v>
      </c>
      <c r="Q373" s="203" t="s">
        <v>951</v>
      </c>
      <c r="R373" s="425"/>
      <c r="S373" s="426"/>
      <c r="T373" s="542" t="s">
        <v>935</v>
      </c>
      <c r="U373" s="427"/>
      <c r="V373" s="203" t="s">
        <v>741</v>
      </c>
    </row>
    <row r="374" spans="1:22" s="203" customFormat="1" ht="17.25" hidden="1" customHeight="1" x14ac:dyDescent="0.2">
      <c r="A374" s="203" t="s">
        <v>454</v>
      </c>
      <c r="B374" s="203" t="s">
        <v>480</v>
      </c>
      <c r="C374" s="203" t="s">
        <v>685</v>
      </c>
      <c r="D374" s="203" t="s">
        <v>2177</v>
      </c>
      <c r="E374" s="203" t="s">
        <v>1743</v>
      </c>
      <c r="J374" s="203" t="s">
        <v>969</v>
      </c>
      <c r="K374" s="203" t="s">
        <v>969</v>
      </c>
      <c r="L374" s="203" t="s">
        <v>969</v>
      </c>
      <c r="M374" s="203" t="s">
        <v>966</v>
      </c>
      <c r="N374" s="203">
        <v>20.654249191000002</v>
      </c>
      <c r="O374" s="203">
        <v>92.619102478000002</v>
      </c>
      <c r="P374" s="203" t="s">
        <v>970</v>
      </c>
      <c r="Q374" s="203" t="s">
        <v>951</v>
      </c>
      <c r="R374" s="425"/>
      <c r="S374" s="426"/>
      <c r="T374" s="542" t="s">
        <v>935</v>
      </c>
      <c r="U374" s="427"/>
      <c r="V374" s="203" t="s">
        <v>1092</v>
      </c>
    </row>
    <row r="375" spans="1:22" s="203" customFormat="1" ht="17.25" hidden="1" customHeight="1" x14ac:dyDescent="0.2">
      <c r="A375" s="203" t="s">
        <v>454</v>
      </c>
      <c r="B375" s="203" t="s">
        <v>518</v>
      </c>
      <c r="C375" s="203" t="s">
        <v>521</v>
      </c>
      <c r="D375" s="203" t="s">
        <v>2177</v>
      </c>
      <c r="E375" s="203" t="s">
        <v>1563</v>
      </c>
      <c r="J375" s="203" t="s">
        <v>969</v>
      </c>
      <c r="K375" s="203" t="s">
        <v>969</v>
      </c>
      <c r="L375" s="203" t="s">
        <v>969</v>
      </c>
      <c r="M375" s="203" t="s">
        <v>454</v>
      </c>
      <c r="N375" s="203">
        <v>19.184219360351602</v>
      </c>
      <c r="O375" s="203">
        <v>93.699806213378906</v>
      </c>
      <c r="P375" s="203" t="s">
        <v>970</v>
      </c>
      <c r="Q375" s="203" t="s">
        <v>951</v>
      </c>
      <c r="R375" s="425"/>
      <c r="S375" s="426"/>
      <c r="T375" s="542" t="s">
        <v>935</v>
      </c>
      <c r="U375" s="427"/>
      <c r="V375" s="203" t="s">
        <v>521</v>
      </c>
    </row>
    <row r="376" spans="1:22" s="203" customFormat="1" ht="17.25" hidden="1" customHeight="1" x14ac:dyDescent="0.2">
      <c r="A376" s="203" t="s">
        <v>454</v>
      </c>
      <c r="B376" s="203" t="s">
        <v>518</v>
      </c>
      <c r="C376" s="203" t="s">
        <v>523</v>
      </c>
      <c r="D376" s="203" t="s">
        <v>2177</v>
      </c>
      <c r="E376" s="203" t="s">
        <v>1565</v>
      </c>
      <c r="J376" s="203" t="s">
        <v>969</v>
      </c>
      <c r="K376" s="203" t="s">
        <v>969</v>
      </c>
      <c r="L376" s="203" t="s">
        <v>969</v>
      </c>
      <c r="M376" s="203" t="s">
        <v>454</v>
      </c>
      <c r="N376" s="203">
        <v>19.189439773559599</v>
      </c>
      <c r="O376" s="203">
        <v>93.733673095703097</v>
      </c>
      <c r="P376" s="203" t="s">
        <v>970</v>
      </c>
      <c r="Q376" s="203" t="s">
        <v>951</v>
      </c>
      <c r="R376" s="425"/>
      <c r="S376" s="426"/>
      <c r="T376" s="542" t="s">
        <v>935</v>
      </c>
      <c r="U376" s="427"/>
      <c r="V376" s="203" t="s">
        <v>523</v>
      </c>
    </row>
    <row r="377" spans="1:22" s="203" customFormat="1" ht="17.25" hidden="1" customHeight="1" x14ac:dyDescent="0.2">
      <c r="A377" s="203" t="s">
        <v>454</v>
      </c>
      <c r="B377" s="203" t="s">
        <v>518</v>
      </c>
      <c r="C377" s="203" t="s">
        <v>528</v>
      </c>
      <c r="D377" s="203" t="s">
        <v>2255</v>
      </c>
      <c r="E377" s="203" t="s">
        <v>1570</v>
      </c>
      <c r="F377" s="203" t="s">
        <v>2256</v>
      </c>
      <c r="G377" s="203" t="s">
        <v>528</v>
      </c>
      <c r="H377" s="203" t="s">
        <v>48</v>
      </c>
      <c r="J377" s="203" t="s">
        <v>969</v>
      </c>
      <c r="K377" s="203" t="s">
        <v>969</v>
      </c>
      <c r="L377" s="203" t="s">
        <v>992</v>
      </c>
      <c r="M377" s="203" t="s">
        <v>454</v>
      </c>
      <c r="N377" s="203">
        <v>19.421102000000001</v>
      </c>
      <c r="O377" s="203">
        <v>93.552452000000002</v>
      </c>
      <c r="P377" s="203" t="s">
        <v>970</v>
      </c>
      <c r="Q377" s="203" t="s">
        <v>951</v>
      </c>
      <c r="R377" s="425">
        <v>65</v>
      </c>
      <c r="S377" s="426">
        <v>327</v>
      </c>
      <c r="T377" s="542" t="s">
        <v>935</v>
      </c>
      <c r="U377" s="427"/>
      <c r="V377" s="203" t="s">
        <v>528</v>
      </c>
    </row>
    <row r="378" spans="1:22" s="203" customFormat="1" ht="17.25" hidden="1" customHeight="1" x14ac:dyDescent="0.2">
      <c r="A378" s="203" t="s">
        <v>454</v>
      </c>
      <c r="B378" s="203" t="s">
        <v>518</v>
      </c>
      <c r="C378" s="203" t="s">
        <v>520</v>
      </c>
      <c r="D378" s="203" t="s">
        <v>2177</v>
      </c>
      <c r="E378" s="203" t="s">
        <v>1562</v>
      </c>
      <c r="J378" s="203" t="s">
        <v>969</v>
      </c>
      <c r="K378" s="203" t="s">
        <v>969</v>
      </c>
      <c r="L378" s="203" t="s">
        <v>969</v>
      </c>
      <c r="M378" s="203" t="s">
        <v>454</v>
      </c>
      <c r="N378" s="203">
        <v>19.1756496429443</v>
      </c>
      <c r="O378" s="203">
        <v>93.596443176269503</v>
      </c>
      <c r="P378" s="203" t="s">
        <v>970</v>
      </c>
      <c r="Q378" s="203" t="s">
        <v>951</v>
      </c>
      <c r="R378" s="425"/>
      <c r="S378" s="426"/>
      <c r="T378" s="542" t="s">
        <v>935</v>
      </c>
      <c r="U378" s="427"/>
      <c r="V378" s="203" t="s">
        <v>520</v>
      </c>
    </row>
    <row r="379" spans="1:22" s="203" customFormat="1" ht="17.25" hidden="1" customHeight="1" x14ac:dyDescent="0.2">
      <c r="A379" s="203" t="s">
        <v>454</v>
      </c>
      <c r="B379" s="203" t="s">
        <v>518</v>
      </c>
      <c r="C379" s="203" t="s">
        <v>529</v>
      </c>
      <c r="D379" s="203" t="s">
        <v>2942</v>
      </c>
      <c r="E379" s="203" t="s">
        <v>1571</v>
      </c>
      <c r="F379" s="203" t="s">
        <v>2257</v>
      </c>
      <c r="G379" s="203" t="s">
        <v>2258</v>
      </c>
      <c r="H379" s="203" t="s">
        <v>48</v>
      </c>
      <c r="J379" s="203" t="s">
        <v>50</v>
      </c>
      <c r="K379" s="203" t="s">
        <v>50</v>
      </c>
      <c r="L379" s="203" t="s">
        <v>965</v>
      </c>
      <c r="M379" s="203" t="s">
        <v>966</v>
      </c>
      <c r="N379" s="203">
        <v>19.424576999999999</v>
      </c>
      <c r="O379" s="203">
        <v>93.512326000000002</v>
      </c>
      <c r="P379" s="203" t="s">
        <v>930</v>
      </c>
      <c r="Q379" s="203" t="s">
        <v>951</v>
      </c>
      <c r="R379" s="425">
        <v>415</v>
      </c>
      <c r="S379" s="426">
        <v>1050</v>
      </c>
      <c r="T379" s="542" t="s">
        <v>935</v>
      </c>
      <c r="U379" s="427"/>
      <c r="V379" s="203" t="s">
        <v>972</v>
      </c>
    </row>
    <row r="380" spans="1:22" s="203" customFormat="1" ht="17.25" hidden="1" customHeight="1" x14ac:dyDescent="0.2">
      <c r="A380" s="203" t="s">
        <v>454</v>
      </c>
      <c r="B380" s="203" t="s">
        <v>518</v>
      </c>
      <c r="C380" s="203" t="s">
        <v>971</v>
      </c>
      <c r="D380" s="203" t="s">
        <v>2177</v>
      </c>
      <c r="E380" s="203" t="s">
        <v>1566</v>
      </c>
      <c r="J380" s="203" t="s">
        <v>969</v>
      </c>
      <c r="K380" s="203" t="s">
        <v>969</v>
      </c>
      <c r="L380" s="203" t="s">
        <v>969</v>
      </c>
      <c r="M380" s="203" t="s">
        <v>454</v>
      </c>
      <c r="N380" s="203">
        <v>19.195390701293899</v>
      </c>
      <c r="O380" s="203">
        <v>93.585678100585895</v>
      </c>
      <c r="P380" s="203" t="s">
        <v>970</v>
      </c>
      <c r="R380" s="425"/>
      <c r="S380" s="426"/>
      <c r="T380" s="542" t="s">
        <v>935</v>
      </c>
      <c r="U380" s="427"/>
      <c r="V380" s="203" t="s">
        <v>971</v>
      </c>
    </row>
    <row r="381" spans="1:22" s="203" customFormat="1" ht="17.25" hidden="1" customHeight="1" x14ac:dyDescent="0.2">
      <c r="A381" s="203" t="s">
        <v>454</v>
      </c>
      <c r="B381" s="203" t="s">
        <v>518</v>
      </c>
      <c r="C381" s="203" t="s">
        <v>525</v>
      </c>
      <c r="D381" s="203" t="s">
        <v>2177</v>
      </c>
      <c r="E381" s="203" t="s">
        <v>1568</v>
      </c>
      <c r="J381" s="203" t="s">
        <v>969</v>
      </c>
      <c r="K381" s="203" t="s">
        <v>969</v>
      </c>
      <c r="L381" s="203" t="s">
        <v>969</v>
      </c>
      <c r="M381" s="203" t="s">
        <v>454</v>
      </c>
      <c r="N381" s="203">
        <v>19.249820709228501</v>
      </c>
      <c r="O381" s="203">
        <v>93.551040649414105</v>
      </c>
      <c r="P381" s="203" t="s">
        <v>970</v>
      </c>
      <c r="Q381" s="203" t="s">
        <v>951</v>
      </c>
      <c r="R381" s="425"/>
      <c r="S381" s="426"/>
      <c r="T381" s="542" t="s">
        <v>935</v>
      </c>
      <c r="U381" s="427"/>
      <c r="V381" s="203" t="s">
        <v>525</v>
      </c>
    </row>
    <row r="382" spans="1:22" s="203" customFormat="1" ht="17.25" hidden="1" customHeight="1" x14ac:dyDescent="0.2">
      <c r="A382" s="203" t="s">
        <v>454</v>
      </c>
      <c r="B382" s="203" t="s">
        <v>518</v>
      </c>
      <c r="C382" s="203" t="s">
        <v>522</v>
      </c>
      <c r="D382" s="203" t="s">
        <v>2177</v>
      </c>
      <c r="E382" s="203" t="s">
        <v>1564</v>
      </c>
      <c r="J382" s="203" t="s">
        <v>969</v>
      </c>
      <c r="K382" s="203" t="s">
        <v>969</v>
      </c>
      <c r="L382" s="203" t="s">
        <v>969</v>
      </c>
      <c r="M382" s="203" t="s">
        <v>454</v>
      </c>
      <c r="N382" s="203">
        <v>19.1886596679688</v>
      </c>
      <c r="O382" s="203">
        <v>93.720703125</v>
      </c>
      <c r="P382" s="203" t="s">
        <v>970</v>
      </c>
      <c r="Q382" s="203" t="s">
        <v>951</v>
      </c>
      <c r="R382" s="425"/>
      <c r="S382" s="426"/>
      <c r="T382" s="542" t="s">
        <v>935</v>
      </c>
      <c r="U382" s="427"/>
      <c r="V382" s="203" t="s">
        <v>522</v>
      </c>
    </row>
    <row r="383" spans="1:22" s="203" customFormat="1" ht="17.25" hidden="1" customHeight="1" x14ac:dyDescent="0.2">
      <c r="A383" s="203" t="s">
        <v>454</v>
      </c>
      <c r="B383" s="203" t="s">
        <v>518</v>
      </c>
      <c r="C383" s="203" t="s">
        <v>524</v>
      </c>
      <c r="D383" s="203" t="s">
        <v>2177</v>
      </c>
      <c r="E383" s="203" t="s">
        <v>1567</v>
      </c>
      <c r="J383" s="203" t="s">
        <v>969</v>
      </c>
      <c r="K383" s="203" t="s">
        <v>969</v>
      </c>
      <c r="L383" s="203" t="s">
        <v>969</v>
      </c>
      <c r="M383" s="203" t="s">
        <v>454</v>
      </c>
      <c r="N383" s="203">
        <v>19.221920013427699</v>
      </c>
      <c r="O383" s="203">
        <v>93.571296691894503</v>
      </c>
      <c r="P383" s="203" t="s">
        <v>970</v>
      </c>
      <c r="Q383" s="203" t="s">
        <v>951</v>
      </c>
      <c r="R383" s="425"/>
      <c r="S383" s="426"/>
      <c r="T383" s="542" t="s">
        <v>935</v>
      </c>
      <c r="U383" s="427"/>
      <c r="V383" s="203" t="s">
        <v>524</v>
      </c>
    </row>
    <row r="384" spans="1:22" s="203" customFormat="1" ht="17.25" hidden="1" customHeight="1" x14ac:dyDescent="0.2">
      <c r="A384" s="203" t="s">
        <v>454</v>
      </c>
      <c r="B384" s="203" t="s">
        <v>518</v>
      </c>
      <c r="C384" s="203" t="s">
        <v>526</v>
      </c>
      <c r="D384" s="203" t="s">
        <v>2177</v>
      </c>
      <c r="E384" s="203" t="s">
        <v>1569</v>
      </c>
      <c r="J384" s="203" t="s">
        <v>969</v>
      </c>
      <c r="K384" s="203" t="s">
        <v>969</v>
      </c>
      <c r="L384" s="203" t="s">
        <v>969</v>
      </c>
      <c r="M384" s="203" t="s">
        <v>454</v>
      </c>
      <c r="N384" s="203">
        <v>19.254320144653299</v>
      </c>
      <c r="O384" s="203">
        <v>93.548591613769503</v>
      </c>
      <c r="P384" s="203" t="s">
        <v>970</v>
      </c>
      <c r="Q384" s="203" t="s">
        <v>951</v>
      </c>
      <c r="R384" s="425"/>
      <c r="S384" s="426"/>
      <c r="T384" s="542" t="s">
        <v>935</v>
      </c>
      <c r="U384" s="427"/>
      <c r="V384" s="203" t="s">
        <v>526</v>
      </c>
    </row>
    <row r="385" spans="1:23" s="203" customFormat="1" ht="17.25" hidden="1" customHeight="1" x14ac:dyDescent="0.2">
      <c r="A385" s="203" t="s">
        <v>454</v>
      </c>
      <c r="B385" s="203" t="s">
        <v>518</v>
      </c>
      <c r="C385" s="203" t="s">
        <v>519</v>
      </c>
      <c r="D385" s="203" t="s">
        <v>2177</v>
      </c>
      <c r="E385" s="203" t="s">
        <v>1561</v>
      </c>
      <c r="J385" s="203" t="s">
        <v>969</v>
      </c>
      <c r="K385" s="203" t="s">
        <v>969</v>
      </c>
      <c r="L385" s="203" t="s">
        <v>969</v>
      </c>
      <c r="M385" s="203" t="s">
        <v>454</v>
      </c>
      <c r="N385" s="203">
        <v>19.170919418335</v>
      </c>
      <c r="O385" s="203">
        <v>93.692680358886705</v>
      </c>
      <c r="P385" s="203" t="s">
        <v>970</v>
      </c>
      <c r="Q385" s="203" t="s">
        <v>951</v>
      </c>
      <c r="R385" s="425"/>
      <c r="S385" s="426"/>
      <c r="T385" s="542" t="s">
        <v>935</v>
      </c>
      <c r="U385" s="427"/>
      <c r="V385" s="203" t="s">
        <v>519</v>
      </c>
    </row>
    <row r="386" spans="1:23" s="203" customFormat="1" ht="17.25" hidden="1" customHeight="1" x14ac:dyDescent="0.2">
      <c r="A386" s="203" t="s">
        <v>454</v>
      </c>
      <c r="B386" s="203" t="s">
        <v>463</v>
      </c>
      <c r="C386" s="203" t="s">
        <v>802</v>
      </c>
      <c r="D386" s="203" t="s">
        <v>2177</v>
      </c>
      <c r="E386" s="203">
        <v>196824</v>
      </c>
      <c r="J386" s="203" t="s">
        <v>975</v>
      </c>
      <c r="K386" s="203" t="s">
        <v>969</v>
      </c>
      <c r="L386" s="203" t="s">
        <v>975</v>
      </c>
      <c r="M386" s="203" t="s">
        <v>2737</v>
      </c>
      <c r="N386" s="203">
        <v>20.8550128936768</v>
      </c>
      <c r="O386" s="203">
        <v>92.91</v>
      </c>
      <c r="P386" s="203" t="s">
        <v>1094</v>
      </c>
      <c r="Q386" s="203" t="s">
        <v>1097</v>
      </c>
      <c r="R386" s="425"/>
      <c r="S386" s="426"/>
      <c r="T386" s="542">
        <v>43011</v>
      </c>
      <c r="U386" s="427" t="s">
        <v>1098</v>
      </c>
    </row>
    <row r="387" spans="1:23" s="203" customFormat="1" ht="17.25" hidden="1" customHeight="1" x14ac:dyDescent="0.2">
      <c r="A387" s="203" t="s">
        <v>454</v>
      </c>
      <c r="B387" s="203" t="s">
        <v>463</v>
      </c>
      <c r="C387" s="203" t="s">
        <v>1120</v>
      </c>
      <c r="D387" s="203" t="s">
        <v>2255</v>
      </c>
      <c r="E387" s="203" t="s">
        <v>1855</v>
      </c>
      <c r="F387" s="203" t="s">
        <v>2382</v>
      </c>
      <c r="G387" s="203" t="s">
        <v>1120</v>
      </c>
      <c r="J387" s="203" t="s">
        <v>969</v>
      </c>
      <c r="K387" s="203" t="s">
        <v>969</v>
      </c>
      <c r="L387" s="203" t="s">
        <v>1054</v>
      </c>
      <c r="M387" s="203" t="s">
        <v>966</v>
      </c>
      <c r="N387" s="203">
        <v>20.921424999999999</v>
      </c>
      <c r="O387" s="203">
        <v>93.003204999999994</v>
      </c>
      <c r="P387" s="203" t="s">
        <v>970</v>
      </c>
      <c r="R387" s="425">
        <v>24</v>
      </c>
      <c r="S387" s="426">
        <v>140</v>
      </c>
      <c r="T387" s="542" t="s">
        <v>935</v>
      </c>
      <c r="U387" s="427" t="s">
        <v>1031</v>
      </c>
      <c r="V387" s="203" t="s">
        <v>1120</v>
      </c>
    </row>
    <row r="388" spans="1:23" s="203" customFormat="1" ht="17.25" hidden="1" customHeight="1" x14ac:dyDescent="0.2">
      <c r="A388" s="203" t="s">
        <v>454</v>
      </c>
      <c r="B388" s="203" t="s">
        <v>463</v>
      </c>
      <c r="C388" s="203" t="s">
        <v>1119</v>
      </c>
      <c r="D388" s="203" t="s">
        <v>2255</v>
      </c>
      <c r="E388" s="203" t="s">
        <v>1853</v>
      </c>
      <c r="F388" s="203" t="s">
        <v>1119</v>
      </c>
      <c r="G388" s="203" t="s">
        <v>2381</v>
      </c>
      <c r="J388" s="203" t="s">
        <v>969</v>
      </c>
      <c r="K388" s="203" t="s">
        <v>969</v>
      </c>
      <c r="L388" s="203" t="s">
        <v>1054</v>
      </c>
      <c r="M388" s="203" t="s">
        <v>966</v>
      </c>
      <c r="N388" s="203">
        <v>20.896740000000001</v>
      </c>
      <c r="O388" s="203">
        <v>93.014349999999993</v>
      </c>
      <c r="P388" s="203" t="s">
        <v>970</v>
      </c>
      <c r="R388" s="425">
        <v>14</v>
      </c>
      <c r="S388" s="426">
        <v>84</v>
      </c>
      <c r="T388" s="542" t="s">
        <v>935</v>
      </c>
      <c r="U388" s="427" t="s">
        <v>1031</v>
      </c>
      <c r="V388" s="203" t="s">
        <v>1119</v>
      </c>
    </row>
    <row r="389" spans="1:23" s="203" customFormat="1" ht="17.25" hidden="1" customHeight="1" x14ac:dyDescent="0.2">
      <c r="A389" s="203" t="s">
        <v>454</v>
      </c>
      <c r="B389" s="203" t="s">
        <v>463</v>
      </c>
      <c r="C389" s="203" t="s">
        <v>464</v>
      </c>
      <c r="D389" s="203" t="s">
        <v>2177</v>
      </c>
      <c r="J389" s="203" t="s">
        <v>969</v>
      </c>
      <c r="K389" s="203" t="s">
        <v>969</v>
      </c>
      <c r="L389" s="203" t="s">
        <v>969</v>
      </c>
      <c r="M389" s="203" t="s">
        <v>454</v>
      </c>
      <c r="P389" s="203" t="s">
        <v>970</v>
      </c>
      <c r="Q389" s="203" t="s">
        <v>951</v>
      </c>
      <c r="R389" s="425"/>
      <c r="S389" s="426"/>
      <c r="T389" s="542" t="s">
        <v>935</v>
      </c>
      <c r="U389" s="427"/>
      <c r="V389" s="203" t="s">
        <v>464</v>
      </c>
    </row>
    <row r="390" spans="1:23" s="203" customFormat="1" ht="17.25" hidden="1" customHeight="1" x14ac:dyDescent="0.2">
      <c r="A390" s="203" t="s">
        <v>454</v>
      </c>
      <c r="B390" s="203" t="s">
        <v>463</v>
      </c>
      <c r="C390" s="203" t="s">
        <v>732</v>
      </c>
      <c r="D390" s="203" t="s">
        <v>2177</v>
      </c>
      <c r="E390" s="203" t="s">
        <v>1781</v>
      </c>
      <c r="J390" s="203" t="s">
        <v>969</v>
      </c>
      <c r="K390" s="203" t="s">
        <v>969</v>
      </c>
      <c r="L390" s="203" t="s">
        <v>1054</v>
      </c>
      <c r="M390" s="203" t="s">
        <v>454</v>
      </c>
      <c r="N390" s="203">
        <v>20.720213000000001</v>
      </c>
      <c r="O390" s="203">
        <v>92.961841000000007</v>
      </c>
      <c r="P390" s="203" t="s">
        <v>970</v>
      </c>
      <c r="Q390" s="203" t="s">
        <v>951</v>
      </c>
      <c r="R390" s="425">
        <v>100</v>
      </c>
      <c r="S390" s="426">
        <v>559</v>
      </c>
      <c r="T390" s="542" t="s">
        <v>935</v>
      </c>
      <c r="U390" s="427"/>
      <c r="V390" s="203" t="s">
        <v>732</v>
      </c>
    </row>
    <row r="391" spans="1:23" s="203" customFormat="1" ht="17.25" hidden="1" customHeight="1" x14ac:dyDescent="0.2">
      <c r="A391" s="203" t="s">
        <v>454</v>
      </c>
      <c r="B391" s="203" t="s">
        <v>463</v>
      </c>
      <c r="C391" s="203" t="s">
        <v>1102</v>
      </c>
      <c r="D391" s="203" t="s">
        <v>2177</v>
      </c>
      <c r="E391" s="203" t="s">
        <v>1782</v>
      </c>
      <c r="J391" s="203" t="s">
        <v>969</v>
      </c>
      <c r="K391" s="203" t="s">
        <v>969</v>
      </c>
      <c r="L391" s="203" t="s">
        <v>969</v>
      </c>
      <c r="M391" s="203" t="s">
        <v>454</v>
      </c>
      <c r="N391" s="203">
        <v>20.720213000000001</v>
      </c>
      <c r="O391" s="203">
        <v>92.961841000000007</v>
      </c>
      <c r="P391" s="203" t="s">
        <v>970</v>
      </c>
      <c r="R391" s="425"/>
      <c r="S391" s="426"/>
      <c r="T391" s="542" t="s">
        <v>935</v>
      </c>
      <c r="U391" s="427"/>
      <c r="V391" s="203" t="s">
        <v>732</v>
      </c>
    </row>
    <row r="392" spans="1:23" s="203" customFormat="1" ht="17.25" hidden="1" customHeight="1" x14ac:dyDescent="0.2">
      <c r="A392" s="203" t="s">
        <v>454</v>
      </c>
      <c r="B392" s="203" t="s">
        <v>463</v>
      </c>
      <c r="C392" s="203" t="s">
        <v>864</v>
      </c>
      <c r="D392" s="203" t="s">
        <v>2177</v>
      </c>
      <c r="E392" s="203" t="s">
        <v>2088</v>
      </c>
      <c r="J392" s="203" t="s">
        <v>969</v>
      </c>
      <c r="K392" s="203" t="s">
        <v>969</v>
      </c>
      <c r="L392" s="203" t="s">
        <v>969</v>
      </c>
      <c r="M392" s="203" t="s">
        <v>454</v>
      </c>
      <c r="N392" s="203">
        <v>20.627639770507798</v>
      </c>
      <c r="O392" s="203">
        <v>93.022773742675795</v>
      </c>
      <c r="P392" s="203" t="s">
        <v>970</v>
      </c>
      <c r="Q392" s="203" t="s">
        <v>951</v>
      </c>
      <c r="R392" s="425"/>
      <c r="S392" s="426"/>
      <c r="T392" s="542" t="s">
        <v>935</v>
      </c>
      <c r="U392" s="427"/>
      <c r="V392" s="203" t="s">
        <v>935</v>
      </c>
    </row>
    <row r="393" spans="1:23" s="203" customFormat="1" ht="17.25" hidden="1" customHeight="1" x14ac:dyDescent="0.2">
      <c r="A393" s="203" t="s">
        <v>454</v>
      </c>
      <c r="B393" s="203" t="s">
        <v>463</v>
      </c>
      <c r="C393" s="203" t="s">
        <v>718</v>
      </c>
      <c r="D393" s="203" t="s">
        <v>2177</v>
      </c>
      <c r="E393" s="203" t="s">
        <v>1768</v>
      </c>
      <c r="J393" s="203" t="s">
        <v>975</v>
      </c>
      <c r="K393" s="203" t="s">
        <v>969</v>
      </c>
      <c r="L393" s="203" t="s">
        <v>975</v>
      </c>
      <c r="M393" s="203" t="s">
        <v>454</v>
      </c>
      <c r="N393" s="203">
        <v>20.705930709838899</v>
      </c>
      <c r="O393" s="203">
        <v>93.001953125</v>
      </c>
      <c r="P393" s="203" t="s">
        <v>1094</v>
      </c>
      <c r="Q393" s="203" t="s">
        <v>951</v>
      </c>
      <c r="R393" s="425"/>
      <c r="S393" s="426"/>
      <c r="T393" s="542" t="s">
        <v>935</v>
      </c>
      <c r="U393" s="427"/>
      <c r="V393" s="203" t="s">
        <v>718</v>
      </c>
    </row>
    <row r="394" spans="1:23" s="203" customFormat="1" ht="17.25" hidden="1" customHeight="1" x14ac:dyDescent="0.2">
      <c r="A394" s="203" t="s">
        <v>454</v>
      </c>
      <c r="B394" s="203" t="s">
        <v>463</v>
      </c>
      <c r="C394" s="203" t="s">
        <v>801</v>
      </c>
      <c r="D394" s="203" t="s">
        <v>2177</v>
      </c>
      <c r="E394" s="203">
        <v>196825</v>
      </c>
      <c r="J394" s="203" t="s">
        <v>975</v>
      </c>
      <c r="K394" s="203" t="s">
        <v>969</v>
      </c>
      <c r="L394" s="203" t="s">
        <v>975</v>
      </c>
      <c r="M394" s="203" t="s">
        <v>2737</v>
      </c>
      <c r="N394" s="203">
        <v>20.851089477539102</v>
      </c>
      <c r="O394" s="203">
        <v>92.916893005371094</v>
      </c>
      <c r="P394" s="203" t="s">
        <v>1094</v>
      </c>
      <c r="Q394" s="203" t="s">
        <v>1097</v>
      </c>
      <c r="R394" s="425"/>
      <c r="S394" s="426"/>
      <c r="T394" s="542">
        <v>43011</v>
      </c>
      <c r="U394" s="427" t="s">
        <v>1098</v>
      </c>
    </row>
    <row r="395" spans="1:23" s="203" customFormat="1" ht="17.25" hidden="1" customHeight="1" x14ac:dyDescent="0.2">
      <c r="A395" s="203" t="s">
        <v>454</v>
      </c>
      <c r="B395" s="203" t="s">
        <v>463</v>
      </c>
      <c r="C395" s="203" t="s">
        <v>680</v>
      </c>
      <c r="D395" s="203" t="s">
        <v>2177</v>
      </c>
      <c r="E395" s="203" t="s">
        <v>1739</v>
      </c>
      <c r="J395" s="203" t="s">
        <v>969</v>
      </c>
      <c r="K395" s="203" t="s">
        <v>969</v>
      </c>
      <c r="L395" s="203" t="s">
        <v>969</v>
      </c>
      <c r="M395" s="203" t="s">
        <v>454</v>
      </c>
      <c r="N395" s="438">
        <v>20.644098281860401</v>
      </c>
      <c r="O395" s="438">
        <v>93.036460876464801</v>
      </c>
      <c r="P395" s="203" t="s">
        <v>970</v>
      </c>
      <c r="Q395" s="203" t="s">
        <v>951</v>
      </c>
      <c r="R395" s="425"/>
      <c r="S395" s="426"/>
      <c r="T395" s="542" t="s">
        <v>935</v>
      </c>
      <c r="U395" s="427"/>
      <c r="V395" s="203" t="s">
        <v>935</v>
      </c>
    </row>
    <row r="396" spans="1:23" s="203" customFormat="1" ht="17.25" hidden="1" customHeight="1" x14ac:dyDescent="0.2">
      <c r="A396" s="203" t="s">
        <v>454</v>
      </c>
      <c r="B396" s="203" t="s">
        <v>463</v>
      </c>
      <c r="C396" s="203" t="s">
        <v>722</v>
      </c>
      <c r="D396" s="203" t="s">
        <v>2255</v>
      </c>
      <c r="E396" s="203" t="s">
        <v>1771</v>
      </c>
      <c r="F396" s="203" t="s">
        <v>722</v>
      </c>
      <c r="G396" s="203" t="s">
        <v>2270</v>
      </c>
      <c r="J396" s="203" t="s">
        <v>969</v>
      </c>
      <c r="K396" s="203" t="s">
        <v>969</v>
      </c>
      <c r="L396" s="203" t="s">
        <v>1054</v>
      </c>
      <c r="M396" s="203" t="s">
        <v>966</v>
      </c>
      <c r="N396" s="203">
        <v>20.713259999999998</v>
      </c>
      <c r="O396" s="203">
        <v>93.014089999999996</v>
      </c>
      <c r="P396" s="203" t="s">
        <v>970</v>
      </c>
      <c r="Q396" s="203" t="s">
        <v>951</v>
      </c>
      <c r="R396" s="425">
        <v>116</v>
      </c>
      <c r="S396" s="426">
        <v>802</v>
      </c>
      <c r="T396" s="542" t="s">
        <v>935</v>
      </c>
      <c r="U396" s="427"/>
      <c r="V396" s="203" t="s">
        <v>722</v>
      </c>
    </row>
    <row r="397" spans="1:23" s="203" customFormat="1" ht="17.25" hidden="1" customHeight="1" x14ac:dyDescent="0.2">
      <c r="A397" s="203" t="s">
        <v>454</v>
      </c>
      <c r="B397" s="203" t="s">
        <v>463</v>
      </c>
      <c r="C397" s="203" t="s">
        <v>720</v>
      </c>
      <c r="D397" s="203" t="s">
        <v>2177</v>
      </c>
      <c r="E397" s="203" t="s">
        <v>1770</v>
      </c>
      <c r="J397" s="203" t="s">
        <v>969</v>
      </c>
      <c r="K397" s="203" t="s">
        <v>969</v>
      </c>
      <c r="L397" s="203" t="s">
        <v>969</v>
      </c>
      <c r="M397" s="203" t="s">
        <v>454</v>
      </c>
      <c r="N397" s="203">
        <v>20.709970473999999</v>
      </c>
      <c r="O397" s="203">
        <v>93.015357971</v>
      </c>
      <c r="P397" s="203" t="s">
        <v>970</v>
      </c>
      <c r="Q397" s="203" t="s">
        <v>951</v>
      </c>
      <c r="R397" s="425"/>
      <c r="S397" s="426"/>
      <c r="T397" s="542" t="s">
        <v>935</v>
      </c>
      <c r="U397" s="427"/>
      <c r="V397" s="203" t="s">
        <v>935</v>
      </c>
    </row>
    <row r="398" spans="1:23" s="203" customFormat="1" ht="17.25" hidden="1" customHeight="1" x14ac:dyDescent="0.2">
      <c r="A398" s="203" t="s">
        <v>454</v>
      </c>
      <c r="B398" s="203" t="s">
        <v>463</v>
      </c>
      <c r="C398" s="203" t="s">
        <v>773</v>
      </c>
      <c r="D398" s="203" t="s">
        <v>2177</v>
      </c>
      <c r="E398" s="203" t="s">
        <v>1818</v>
      </c>
      <c r="J398" s="203" t="s">
        <v>975</v>
      </c>
      <c r="K398" s="203" t="s">
        <v>969</v>
      </c>
      <c r="L398" s="203" t="s">
        <v>975</v>
      </c>
      <c r="M398" s="203" t="s">
        <v>2737</v>
      </c>
      <c r="N398" s="203">
        <v>20.803529739379901</v>
      </c>
      <c r="O398" s="203">
        <v>92.929466247558594</v>
      </c>
      <c r="P398" s="203" t="s">
        <v>1094</v>
      </c>
      <c r="R398" s="425"/>
      <c r="S398" s="426"/>
      <c r="T398" s="542" t="s">
        <v>935</v>
      </c>
      <c r="U398" s="427"/>
      <c r="V398" s="203" t="s">
        <v>773</v>
      </c>
    </row>
    <row r="399" spans="1:23" s="203" customFormat="1" ht="17.25" hidden="1" customHeight="1" x14ac:dyDescent="0.2">
      <c r="A399" s="203" t="s">
        <v>454</v>
      </c>
      <c r="B399" s="203" t="s">
        <v>463</v>
      </c>
      <c r="C399" s="203" t="s">
        <v>713</v>
      </c>
      <c r="D399" s="203" t="s">
        <v>2255</v>
      </c>
      <c r="E399" s="203" t="s">
        <v>1763</v>
      </c>
      <c r="F399" s="203" t="s">
        <v>718</v>
      </c>
      <c r="G399" s="203" t="s">
        <v>713</v>
      </c>
      <c r="J399" s="203" t="s">
        <v>969</v>
      </c>
      <c r="K399" s="203" t="s">
        <v>969</v>
      </c>
      <c r="L399" s="203" t="s">
        <v>1054</v>
      </c>
      <c r="M399" s="203" t="s">
        <v>966</v>
      </c>
      <c r="N399" s="203">
        <v>20.696819999999999</v>
      </c>
      <c r="O399" s="203">
        <v>93.009900000000002</v>
      </c>
      <c r="P399" s="203" t="s">
        <v>970</v>
      </c>
      <c r="Q399" s="203" t="s">
        <v>951</v>
      </c>
      <c r="R399" s="425">
        <v>236</v>
      </c>
      <c r="S399" s="426">
        <v>1524</v>
      </c>
      <c r="T399" s="542" t="s">
        <v>935</v>
      </c>
      <c r="U399" s="427"/>
      <c r="V399" s="203" t="s">
        <v>1099</v>
      </c>
    </row>
    <row r="400" spans="1:23" s="203" customFormat="1" ht="17.25" hidden="1" customHeight="1" x14ac:dyDescent="0.2">
      <c r="A400" s="879" t="s">
        <v>454</v>
      </c>
      <c r="B400" s="885" t="s">
        <v>463</v>
      </c>
      <c r="C400" s="886" t="s">
        <v>3230</v>
      </c>
      <c r="D400" s="880"/>
      <c r="E400" s="881">
        <v>196804</v>
      </c>
      <c r="F400" s="881"/>
      <c r="G400" s="881"/>
      <c r="H400" s="881"/>
      <c r="I400" s="881"/>
      <c r="J400" s="881" t="s">
        <v>969</v>
      </c>
      <c r="K400" s="881" t="s">
        <v>969</v>
      </c>
      <c r="L400" s="881" t="s">
        <v>969</v>
      </c>
      <c r="M400" s="881"/>
      <c r="N400" s="881">
        <v>20.896429061889599</v>
      </c>
      <c r="O400" s="881">
        <v>92.940193176269503</v>
      </c>
      <c r="P400" s="881" t="s">
        <v>970</v>
      </c>
      <c r="Q400" s="881"/>
      <c r="R400" s="882"/>
      <c r="S400" s="879"/>
      <c r="T400" s="883"/>
      <c r="U400" s="884"/>
      <c r="V400" s="881" t="s">
        <v>3221</v>
      </c>
      <c r="W400" s="425"/>
    </row>
    <row r="401" spans="1:23" s="203" customFormat="1" ht="17.25" hidden="1" customHeight="1" x14ac:dyDescent="0.2">
      <c r="A401" s="879" t="s">
        <v>454</v>
      </c>
      <c r="B401" s="885" t="s">
        <v>463</v>
      </c>
      <c r="C401" s="886" t="s">
        <v>3231</v>
      </c>
      <c r="D401" s="880"/>
      <c r="E401" s="881">
        <v>196816</v>
      </c>
      <c r="F401" s="881"/>
      <c r="G401" s="881"/>
      <c r="H401" s="881"/>
      <c r="I401" s="881"/>
      <c r="J401" s="881" t="s">
        <v>969</v>
      </c>
      <c r="K401" s="881" t="s">
        <v>969</v>
      </c>
      <c r="L401" s="881" t="s">
        <v>969</v>
      </c>
      <c r="M401" s="881"/>
      <c r="N401" s="881">
        <v>20.7275905609131</v>
      </c>
      <c r="O401" s="881">
        <v>92.969352722167997</v>
      </c>
      <c r="P401" s="881" t="s">
        <v>970</v>
      </c>
      <c r="Q401" s="881"/>
      <c r="R401" s="882"/>
      <c r="S401" s="879"/>
      <c r="T401" s="883"/>
      <c r="U401" s="884"/>
      <c r="V401" s="881" t="s">
        <v>3223</v>
      </c>
      <c r="W401" s="425"/>
    </row>
    <row r="402" spans="1:23" s="203" customFormat="1" ht="17.25" hidden="1" customHeight="1" x14ac:dyDescent="0.2">
      <c r="A402" s="203" t="s">
        <v>454</v>
      </c>
      <c r="B402" s="203" t="s">
        <v>463</v>
      </c>
      <c r="C402" s="203" t="s">
        <v>811</v>
      </c>
      <c r="D402" s="203" t="s">
        <v>2255</v>
      </c>
      <c r="E402" s="203" t="s">
        <v>1845</v>
      </c>
      <c r="F402" s="203" t="s">
        <v>2276</v>
      </c>
      <c r="G402" s="203" t="s">
        <v>2277</v>
      </c>
      <c r="J402" s="203" t="s">
        <v>969</v>
      </c>
      <c r="K402" s="203" t="s">
        <v>969</v>
      </c>
      <c r="L402" s="203" t="s">
        <v>992</v>
      </c>
      <c r="M402" s="203" t="s">
        <v>966</v>
      </c>
      <c r="N402" s="203">
        <v>20.886997999999998</v>
      </c>
      <c r="O402" s="203">
        <v>93.006497999999993</v>
      </c>
      <c r="P402" s="203" t="s">
        <v>970</v>
      </c>
      <c r="Q402" s="203" t="s">
        <v>951</v>
      </c>
      <c r="R402" s="425">
        <v>97</v>
      </c>
      <c r="S402" s="426">
        <v>557</v>
      </c>
      <c r="T402" s="542" t="s">
        <v>935</v>
      </c>
      <c r="U402" s="427"/>
      <c r="V402" s="203" t="s">
        <v>811</v>
      </c>
    </row>
    <row r="403" spans="1:23" s="203" customFormat="1" ht="17.25" hidden="1" customHeight="1" x14ac:dyDescent="0.2">
      <c r="A403" s="203" t="s">
        <v>454</v>
      </c>
      <c r="B403" s="203" t="s">
        <v>463</v>
      </c>
      <c r="C403" s="203" t="s">
        <v>821</v>
      </c>
      <c r="D403" s="203" t="s">
        <v>2177</v>
      </c>
      <c r="E403" s="203">
        <v>196807</v>
      </c>
      <c r="J403" s="203" t="s">
        <v>975</v>
      </c>
      <c r="K403" s="203" t="s">
        <v>969</v>
      </c>
      <c r="L403" s="203" t="s">
        <v>975</v>
      </c>
      <c r="M403" s="203" t="s">
        <v>2737</v>
      </c>
      <c r="N403" s="203">
        <v>20.8950595855713</v>
      </c>
      <c r="O403" s="203">
        <v>92.907356262207003</v>
      </c>
      <c r="P403" s="203" t="s">
        <v>1094</v>
      </c>
      <c r="Q403" s="203" t="s">
        <v>1097</v>
      </c>
      <c r="R403" s="425"/>
      <c r="S403" s="426"/>
      <c r="T403" s="542">
        <v>43011</v>
      </c>
      <c r="U403" s="427" t="s">
        <v>1098</v>
      </c>
    </row>
    <row r="404" spans="1:23" s="203" customFormat="1" ht="17.25" hidden="1" customHeight="1" x14ac:dyDescent="0.2">
      <c r="A404" s="203" t="s">
        <v>454</v>
      </c>
      <c r="B404" s="203" t="s">
        <v>463</v>
      </c>
      <c r="C404" s="203" t="s">
        <v>781</v>
      </c>
      <c r="D404" s="203" t="s">
        <v>2177</v>
      </c>
      <c r="E404" s="203">
        <v>196882</v>
      </c>
      <c r="J404" s="203" t="s">
        <v>975</v>
      </c>
      <c r="K404" s="203" t="s">
        <v>969</v>
      </c>
      <c r="L404" s="203" t="s">
        <v>975</v>
      </c>
      <c r="M404" s="203" t="s">
        <v>2737</v>
      </c>
      <c r="N404" s="203">
        <v>20.807970046997099</v>
      </c>
      <c r="O404" s="203">
        <v>92.929046630859403</v>
      </c>
      <c r="P404" s="203" t="s">
        <v>1094</v>
      </c>
      <c r="Q404" s="203" t="s">
        <v>1097</v>
      </c>
      <c r="R404" s="425"/>
      <c r="S404" s="426"/>
      <c r="T404" s="542">
        <v>43011</v>
      </c>
      <c r="U404" s="427" t="s">
        <v>1098</v>
      </c>
    </row>
    <row r="405" spans="1:23" s="203" customFormat="1" ht="17.25" hidden="1" customHeight="1" x14ac:dyDescent="0.2">
      <c r="A405" s="203" t="s">
        <v>454</v>
      </c>
      <c r="B405" s="203" t="s">
        <v>463</v>
      </c>
      <c r="C405" s="203" t="s">
        <v>865</v>
      </c>
      <c r="D405" s="203" t="s">
        <v>2177</v>
      </c>
      <c r="E405" s="203" t="s">
        <v>2089</v>
      </c>
      <c r="J405" s="203" t="s">
        <v>969</v>
      </c>
      <c r="K405" s="203" t="s">
        <v>969</v>
      </c>
      <c r="L405" s="203" t="s">
        <v>969</v>
      </c>
      <c r="M405" s="203" t="s">
        <v>454</v>
      </c>
      <c r="N405" s="203">
        <v>20.6080207824707</v>
      </c>
      <c r="O405" s="203">
        <v>93.035400390625</v>
      </c>
      <c r="P405" s="203" t="s">
        <v>970</v>
      </c>
      <c r="Q405" s="203" t="s">
        <v>951</v>
      </c>
      <c r="R405" s="425"/>
      <c r="S405" s="426"/>
      <c r="T405" s="542" t="s">
        <v>935</v>
      </c>
      <c r="U405" s="427"/>
      <c r="V405" s="203" t="s">
        <v>935</v>
      </c>
    </row>
    <row r="406" spans="1:23" s="203" customFormat="1" ht="17.25" hidden="1" customHeight="1" x14ac:dyDescent="0.2">
      <c r="A406" s="203" t="s">
        <v>454</v>
      </c>
      <c r="B406" s="203" t="s">
        <v>463</v>
      </c>
      <c r="C406" s="203" t="s">
        <v>863</v>
      </c>
      <c r="D406" s="203" t="s">
        <v>2177</v>
      </c>
      <c r="E406" s="203" t="s">
        <v>2087</v>
      </c>
      <c r="J406" s="203" t="s">
        <v>969</v>
      </c>
      <c r="K406" s="203" t="s">
        <v>969</v>
      </c>
      <c r="L406" s="203" t="s">
        <v>969</v>
      </c>
      <c r="M406" s="203" t="s">
        <v>454</v>
      </c>
      <c r="N406" s="203">
        <v>20.716699600219702</v>
      </c>
      <c r="O406" s="203">
        <v>92.997863769531307</v>
      </c>
      <c r="P406" s="203" t="s">
        <v>970</v>
      </c>
      <c r="Q406" s="203" t="s">
        <v>951</v>
      </c>
      <c r="R406" s="425"/>
      <c r="S406" s="426"/>
      <c r="T406" s="542" t="s">
        <v>935</v>
      </c>
      <c r="U406" s="427"/>
      <c r="V406" s="203" t="s">
        <v>935</v>
      </c>
    </row>
    <row r="407" spans="1:23" s="203" customFormat="1" ht="17.25" hidden="1" customHeight="1" x14ac:dyDescent="0.2">
      <c r="A407" s="203" t="s">
        <v>454</v>
      </c>
      <c r="B407" s="203" t="s">
        <v>463</v>
      </c>
      <c r="C407" s="203" t="s">
        <v>1091</v>
      </c>
      <c r="D407" s="203" t="s">
        <v>2177</v>
      </c>
      <c r="E407" s="203" t="s">
        <v>1740</v>
      </c>
      <c r="J407" s="203" t="s">
        <v>969</v>
      </c>
      <c r="K407" s="203" t="s">
        <v>969</v>
      </c>
      <c r="L407" s="203" t="s">
        <v>969</v>
      </c>
      <c r="M407" s="203" t="s">
        <v>454</v>
      </c>
      <c r="N407" s="203">
        <v>20.644800186157202</v>
      </c>
      <c r="O407" s="203">
        <v>92.945426940917997</v>
      </c>
      <c r="P407" s="203" t="s">
        <v>970</v>
      </c>
      <c r="R407" s="425"/>
      <c r="S407" s="426"/>
      <c r="T407" s="542" t="s">
        <v>935</v>
      </c>
      <c r="U407" s="427"/>
      <c r="V407" s="203" t="s">
        <v>1091</v>
      </c>
    </row>
    <row r="408" spans="1:23" s="203" customFormat="1" ht="17.25" hidden="1" customHeight="1" x14ac:dyDescent="0.2">
      <c r="A408" s="203" t="s">
        <v>454</v>
      </c>
      <c r="B408" s="203" t="s">
        <v>463</v>
      </c>
      <c r="C408" s="203" t="s">
        <v>776</v>
      </c>
      <c r="D408" s="203" t="s">
        <v>2255</v>
      </c>
      <c r="E408" s="203" t="s">
        <v>1820</v>
      </c>
      <c r="F408" s="203" t="s">
        <v>2273</v>
      </c>
      <c r="G408" s="203" t="s">
        <v>780</v>
      </c>
      <c r="J408" s="203" t="s">
        <v>969</v>
      </c>
      <c r="K408" s="203" t="s">
        <v>969</v>
      </c>
      <c r="L408" s="203" t="s">
        <v>1054</v>
      </c>
      <c r="M408" s="203" t="s">
        <v>966</v>
      </c>
      <c r="N408" s="203">
        <v>20.805734000000001</v>
      </c>
      <c r="O408" s="203">
        <v>92.982675999999998</v>
      </c>
      <c r="P408" s="203" t="s">
        <v>970</v>
      </c>
      <c r="Q408" s="203" t="s">
        <v>951</v>
      </c>
      <c r="R408" s="425">
        <v>18</v>
      </c>
      <c r="S408" s="426">
        <v>157</v>
      </c>
      <c r="T408" s="542" t="s">
        <v>935</v>
      </c>
      <c r="U408" s="427"/>
      <c r="V408" s="203" t="s">
        <v>776</v>
      </c>
    </row>
    <row r="409" spans="1:23" s="203" customFormat="1" ht="17.25" hidden="1" customHeight="1" x14ac:dyDescent="0.2">
      <c r="A409" s="203" t="s">
        <v>454</v>
      </c>
      <c r="B409" s="203" t="s">
        <v>463</v>
      </c>
      <c r="C409" s="203" t="s">
        <v>762</v>
      </c>
      <c r="D409" s="203" t="s">
        <v>2177</v>
      </c>
      <c r="E409" s="203">
        <v>196887</v>
      </c>
      <c r="J409" s="203" t="s">
        <v>975</v>
      </c>
      <c r="K409" s="203" t="s">
        <v>969</v>
      </c>
      <c r="L409" s="203" t="s">
        <v>975</v>
      </c>
      <c r="M409" s="203" t="s">
        <v>2737</v>
      </c>
      <c r="N409" s="203">
        <v>20.785770416259801</v>
      </c>
      <c r="O409" s="203">
        <v>92.931427001953097</v>
      </c>
      <c r="P409" s="203" t="s">
        <v>1094</v>
      </c>
      <c r="Q409" s="203" t="s">
        <v>1097</v>
      </c>
      <c r="R409" s="425"/>
      <c r="S409" s="426"/>
      <c r="T409" s="542">
        <v>43011</v>
      </c>
      <c r="U409" s="427" t="s">
        <v>1098</v>
      </c>
    </row>
    <row r="410" spans="1:23" s="203" customFormat="1" ht="17.25" hidden="1" customHeight="1" x14ac:dyDescent="0.2">
      <c r="A410" s="203" t="s">
        <v>454</v>
      </c>
      <c r="B410" s="203" t="s">
        <v>463</v>
      </c>
      <c r="C410" s="203" t="s">
        <v>721</v>
      </c>
      <c r="D410" s="203" t="s">
        <v>2177</v>
      </c>
      <c r="E410" s="203">
        <v>196944</v>
      </c>
      <c r="J410" s="203" t="s">
        <v>975</v>
      </c>
      <c r="K410" s="203" t="s">
        <v>969</v>
      </c>
      <c r="L410" s="203" t="s">
        <v>975</v>
      </c>
      <c r="M410" s="203" t="s">
        <v>454</v>
      </c>
      <c r="N410" s="203">
        <v>20.711349487304702</v>
      </c>
      <c r="O410" s="203">
        <v>92.980506896972699</v>
      </c>
      <c r="P410" s="203" t="s">
        <v>1094</v>
      </c>
      <c r="Q410" s="203" t="s">
        <v>1097</v>
      </c>
      <c r="R410" s="425"/>
      <c r="S410" s="426"/>
      <c r="T410" s="542">
        <v>43011</v>
      </c>
      <c r="U410" s="427" t="s">
        <v>1098</v>
      </c>
    </row>
    <row r="411" spans="1:23" s="203" customFormat="1" ht="17.25" hidden="1" customHeight="1" x14ac:dyDescent="0.2">
      <c r="A411" s="203" t="s">
        <v>454</v>
      </c>
      <c r="B411" s="203" t="s">
        <v>463</v>
      </c>
      <c r="C411" s="203" t="s">
        <v>859</v>
      </c>
      <c r="D411" s="203" t="s">
        <v>2177</v>
      </c>
      <c r="E411" s="203" t="s">
        <v>2083</v>
      </c>
      <c r="J411" s="203" t="s">
        <v>975</v>
      </c>
      <c r="K411" s="203" t="s">
        <v>1050</v>
      </c>
      <c r="L411" s="203" t="s">
        <v>975</v>
      </c>
      <c r="M411" s="203" t="s">
        <v>454</v>
      </c>
      <c r="N411" s="203">
        <v>20.786739349365199</v>
      </c>
      <c r="O411" s="203">
        <v>92.944313049316406</v>
      </c>
      <c r="P411" s="203" t="s">
        <v>1094</v>
      </c>
      <c r="Q411" s="203" t="s">
        <v>951</v>
      </c>
      <c r="R411" s="425"/>
      <c r="S411" s="426"/>
      <c r="T411" s="542" t="s">
        <v>935</v>
      </c>
      <c r="U411" s="427"/>
      <c r="V411" s="203" t="s">
        <v>935</v>
      </c>
    </row>
    <row r="412" spans="1:23" s="203" customFormat="1" ht="17.25" hidden="1" customHeight="1" x14ac:dyDescent="0.2">
      <c r="A412" s="879" t="s">
        <v>454</v>
      </c>
      <c r="B412" s="885" t="s">
        <v>463</v>
      </c>
      <c r="C412" s="886" t="s">
        <v>3232</v>
      </c>
      <c r="D412" s="880"/>
      <c r="E412" s="881">
        <v>196813</v>
      </c>
      <c r="F412" s="881"/>
      <c r="G412" s="881"/>
      <c r="H412" s="881"/>
      <c r="I412" s="881"/>
      <c r="J412" s="881" t="s">
        <v>969</v>
      </c>
      <c r="K412" s="881" t="s">
        <v>969</v>
      </c>
      <c r="L412" s="881" t="s">
        <v>969</v>
      </c>
      <c r="M412" s="881"/>
      <c r="N412" s="881">
        <v>20.8832397460938</v>
      </c>
      <c r="O412" s="881">
        <v>92.936859130859403</v>
      </c>
      <c r="P412" s="881" t="s">
        <v>970</v>
      </c>
      <c r="Q412" s="881"/>
      <c r="R412" s="882"/>
      <c r="S412" s="879"/>
      <c r="T412" s="883"/>
      <c r="U412" s="884"/>
      <c r="V412" s="881" t="s">
        <v>3225</v>
      </c>
      <c r="W412" s="425"/>
    </row>
    <row r="413" spans="1:23" s="203" customFormat="1" ht="17.25" hidden="1" customHeight="1" x14ac:dyDescent="0.2">
      <c r="A413" s="203" t="s">
        <v>454</v>
      </c>
      <c r="B413" s="203" t="s">
        <v>463</v>
      </c>
      <c r="C413" s="203" t="s">
        <v>782</v>
      </c>
      <c r="D413" s="203" t="s">
        <v>2177</v>
      </c>
      <c r="E413" s="203">
        <v>196881</v>
      </c>
      <c r="J413" s="203" t="s">
        <v>975</v>
      </c>
      <c r="K413" s="203" t="s">
        <v>969</v>
      </c>
      <c r="L413" s="203" t="s">
        <v>975</v>
      </c>
      <c r="M413" s="203" t="s">
        <v>2737</v>
      </c>
      <c r="N413" s="203">
        <v>20.809240341186499</v>
      </c>
      <c r="O413" s="203">
        <v>92.923919677734403</v>
      </c>
      <c r="P413" s="203" t="s">
        <v>1094</v>
      </c>
      <c r="Q413" s="203" t="s">
        <v>1097</v>
      </c>
      <c r="R413" s="425"/>
      <c r="S413" s="426"/>
      <c r="T413" s="542">
        <v>43011</v>
      </c>
      <c r="U413" s="427" t="s">
        <v>1098</v>
      </c>
    </row>
    <row r="414" spans="1:23" s="203" customFormat="1" ht="17.25" hidden="1" customHeight="1" x14ac:dyDescent="0.2">
      <c r="A414" s="203" t="s">
        <v>454</v>
      </c>
      <c r="B414" s="203" t="s">
        <v>463</v>
      </c>
      <c r="C414" s="203" t="s">
        <v>1114</v>
      </c>
      <c r="D414" s="203" t="s">
        <v>2942</v>
      </c>
      <c r="E414" s="203" t="s">
        <v>1839</v>
      </c>
      <c r="F414" s="203" t="s">
        <v>2275</v>
      </c>
      <c r="G414" s="203" t="s">
        <v>1115</v>
      </c>
      <c r="H414" s="203" t="s">
        <v>48</v>
      </c>
      <c r="J414" s="203" t="s">
        <v>50</v>
      </c>
      <c r="K414" s="203" t="s">
        <v>50</v>
      </c>
      <c r="L414" s="203" t="s">
        <v>968</v>
      </c>
      <c r="M414" s="203" t="s">
        <v>966</v>
      </c>
      <c r="N414" s="203">
        <v>20.865687000000001</v>
      </c>
      <c r="O414" s="203">
        <v>92.965980999999999</v>
      </c>
      <c r="P414" s="203" t="s">
        <v>930</v>
      </c>
      <c r="Q414" s="203" t="s">
        <v>951</v>
      </c>
      <c r="R414" s="425">
        <v>85</v>
      </c>
      <c r="S414" s="426">
        <v>546</v>
      </c>
      <c r="T414" s="542" t="s">
        <v>935</v>
      </c>
      <c r="U414" s="427"/>
      <c r="V414" s="203" t="s">
        <v>1115</v>
      </c>
    </row>
    <row r="415" spans="1:23" s="203" customFormat="1" ht="17.25" hidden="1" customHeight="1" x14ac:dyDescent="0.2">
      <c r="A415" s="203" t="s">
        <v>454</v>
      </c>
      <c r="B415" s="203" t="s">
        <v>463</v>
      </c>
      <c r="C415" s="203" t="s">
        <v>702</v>
      </c>
      <c r="D415" s="203" t="s">
        <v>2177</v>
      </c>
      <c r="E415" s="203">
        <v>196930</v>
      </c>
      <c r="J415" s="203" t="s">
        <v>975</v>
      </c>
      <c r="K415" s="203" t="s">
        <v>969</v>
      </c>
      <c r="L415" s="203" t="s">
        <v>975</v>
      </c>
      <c r="M415" s="203" t="s">
        <v>2736</v>
      </c>
      <c r="N415" s="438">
        <v>20.681715011596701</v>
      </c>
      <c r="O415" s="438">
        <v>92.94140625</v>
      </c>
      <c r="P415" s="203" t="s">
        <v>1094</v>
      </c>
      <c r="Q415" s="203" t="s">
        <v>1097</v>
      </c>
      <c r="R415" s="425"/>
      <c r="S415" s="426"/>
      <c r="T415" s="542">
        <v>43011</v>
      </c>
      <c r="U415" s="427" t="s">
        <v>1098</v>
      </c>
    </row>
    <row r="416" spans="1:23" s="203" customFormat="1" ht="17.25" hidden="1" customHeight="1" x14ac:dyDescent="0.2">
      <c r="A416" s="203" t="s">
        <v>454</v>
      </c>
      <c r="B416" s="203" t="s">
        <v>463</v>
      </c>
      <c r="C416" s="203" t="s">
        <v>823</v>
      </c>
      <c r="D416" s="203" t="s">
        <v>2177</v>
      </c>
      <c r="E416" s="203" t="s">
        <v>1854</v>
      </c>
      <c r="J416" s="203" t="s">
        <v>969</v>
      </c>
      <c r="K416" s="203" t="s">
        <v>969</v>
      </c>
      <c r="L416" s="203" t="s">
        <v>969</v>
      </c>
      <c r="M416" s="203" t="s">
        <v>966</v>
      </c>
      <c r="N416" s="438">
        <v>20.903770446777301</v>
      </c>
      <c r="O416" s="438">
        <v>93.004432678222699</v>
      </c>
      <c r="P416" s="203" t="s">
        <v>970</v>
      </c>
      <c r="Q416" s="203" t="s">
        <v>951</v>
      </c>
      <c r="R416" s="425"/>
      <c r="S416" s="426"/>
      <c r="T416" s="542" t="s">
        <v>935</v>
      </c>
      <c r="U416" s="427"/>
      <c r="V416" s="203" t="s">
        <v>823</v>
      </c>
    </row>
    <row r="417" spans="1:23" s="203" customFormat="1" ht="17.25" hidden="1" customHeight="1" x14ac:dyDescent="0.2">
      <c r="A417" s="203" t="s">
        <v>454</v>
      </c>
      <c r="B417" s="203" t="s">
        <v>463</v>
      </c>
      <c r="C417" s="203" t="s">
        <v>494</v>
      </c>
      <c r="D417" s="203" t="s">
        <v>2177</v>
      </c>
      <c r="J417" s="203" t="s">
        <v>975</v>
      </c>
      <c r="K417" s="203" t="s">
        <v>969</v>
      </c>
      <c r="L417" s="203" t="s">
        <v>975</v>
      </c>
      <c r="M417" s="203" t="s">
        <v>2737</v>
      </c>
      <c r="P417" s="203" t="s">
        <v>1094</v>
      </c>
      <c r="Q417" s="203" t="s">
        <v>1097</v>
      </c>
      <c r="R417" s="425"/>
      <c r="S417" s="426"/>
      <c r="T417" s="542">
        <v>43011</v>
      </c>
      <c r="U417" s="427" t="s">
        <v>1098</v>
      </c>
    </row>
    <row r="418" spans="1:23" s="203" customFormat="1" ht="17.25" hidden="1" customHeight="1" x14ac:dyDescent="0.2">
      <c r="A418" s="203" t="s">
        <v>454</v>
      </c>
      <c r="B418" s="203" t="s">
        <v>463</v>
      </c>
      <c r="C418" s="203" t="s">
        <v>1306</v>
      </c>
      <c r="D418" s="203" t="s">
        <v>2177</v>
      </c>
      <c r="E418" s="203" t="s">
        <v>2095</v>
      </c>
      <c r="J418" s="203" t="s">
        <v>969</v>
      </c>
      <c r="K418" s="203" t="s">
        <v>969</v>
      </c>
      <c r="L418" s="203" t="s">
        <v>969</v>
      </c>
      <c r="M418" s="203" t="s">
        <v>2737</v>
      </c>
      <c r="P418" s="203" t="s">
        <v>970</v>
      </c>
      <c r="R418" s="425"/>
      <c r="S418" s="426"/>
      <c r="T418" s="542" t="s">
        <v>935</v>
      </c>
      <c r="U418" s="427"/>
      <c r="V418" s="203" t="s">
        <v>1306</v>
      </c>
    </row>
    <row r="419" spans="1:23" s="203" customFormat="1" ht="17.25" hidden="1" customHeight="1" x14ac:dyDescent="0.2">
      <c r="A419" s="203" t="s">
        <v>454</v>
      </c>
      <c r="B419" s="203" t="s">
        <v>463</v>
      </c>
      <c r="C419" s="203" t="s">
        <v>2735</v>
      </c>
      <c r="D419" s="203" t="s">
        <v>2177</v>
      </c>
      <c r="J419" s="203" t="s">
        <v>975</v>
      </c>
      <c r="K419" s="203" t="s">
        <v>969</v>
      </c>
      <c r="L419" s="203" t="s">
        <v>975</v>
      </c>
      <c r="M419" s="203" t="s">
        <v>454</v>
      </c>
      <c r="P419" s="203" t="s">
        <v>1094</v>
      </c>
      <c r="Q419" s="203" t="s">
        <v>1097</v>
      </c>
      <c r="R419" s="425"/>
      <c r="S419" s="426"/>
      <c r="T419" s="542">
        <v>43011</v>
      </c>
      <c r="U419" s="427" t="s">
        <v>1098</v>
      </c>
    </row>
    <row r="420" spans="1:23" s="203" customFormat="1" ht="17.25" hidden="1" customHeight="1" x14ac:dyDescent="0.2">
      <c r="A420" s="203" t="s">
        <v>454</v>
      </c>
      <c r="B420" s="203" t="s">
        <v>463</v>
      </c>
      <c r="C420" s="203" t="s">
        <v>497</v>
      </c>
      <c r="D420" s="203" t="s">
        <v>2177</v>
      </c>
      <c r="E420" s="203">
        <v>196815</v>
      </c>
      <c r="J420" s="203" t="s">
        <v>975</v>
      </c>
      <c r="K420" s="203" t="s">
        <v>969</v>
      </c>
      <c r="L420" s="203" t="s">
        <v>975</v>
      </c>
      <c r="M420" s="203" t="s">
        <v>2734</v>
      </c>
      <c r="P420" s="203" t="s">
        <v>1094</v>
      </c>
      <c r="Q420" s="203" t="s">
        <v>1097</v>
      </c>
      <c r="R420" s="425"/>
      <c r="S420" s="426"/>
      <c r="T420" s="542">
        <v>43011</v>
      </c>
      <c r="U420" s="427" t="s">
        <v>1098</v>
      </c>
    </row>
    <row r="421" spans="1:23" s="203" customFormat="1" ht="17.25" hidden="1" customHeight="1" x14ac:dyDescent="0.2">
      <c r="A421" s="879" t="s">
        <v>454</v>
      </c>
      <c r="B421" s="885" t="s">
        <v>463</v>
      </c>
      <c r="C421" s="886" t="s">
        <v>3236</v>
      </c>
      <c r="D421" s="880"/>
      <c r="E421" s="881">
        <v>196889</v>
      </c>
      <c r="F421" s="881"/>
      <c r="G421" s="881"/>
      <c r="H421" s="881"/>
      <c r="I421" s="881"/>
      <c r="J421" s="881" t="s">
        <v>969</v>
      </c>
      <c r="K421" s="881" t="s">
        <v>969</v>
      </c>
      <c r="L421" s="881" t="s">
        <v>969</v>
      </c>
      <c r="M421" s="881"/>
      <c r="N421" s="881">
        <v>20.785549163818398</v>
      </c>
      <c r="O421" s="881">
        <v>92.971076965332003</v>
      </c>
      <c r="P421" s="881" t="s">
        <v>970</v>
      </c>
      <c r="Q421" s="881"/>
      <c r="R421" s="882"/>
      <c r="S421" s="879"/>
      <c r="T421" s="883"/>
      <c r="U421" s="884"/>
      <c r="V421" s="881" t="s">
        <v>3229</v>
      </c>
      <c r="W421" s="425"/>
    </row>
    <row r="422" spans="1:23" s="203" customFormat="1" ht="17.25" hidden="1" customHeight="1" x14ac:dyDescent="0.2">
      <c r="A422" s="203" t="s">
        <v>454</v>
      </c>
      <c r="B422" s="203" t="s">
        <v>463</v>
      </c>
      <c r="C422" s="203" t="s">
        <v>820</v>
      </c>
      <c r="D422" s="203" t="s">
        <v>2177</v>
      </c>
      <c r="E422" s="203">
        <v>196814</v>
      </c>
      <c r="J422" s="203" t="s">
        <v>975</v>
      </c>
      <c r="K422" s="203" t="s">
        <v>969</v>
      </c>
      <c r="L422" s="203" t="s">
        <v>975</v>
      </c>
      <c r="M422" s="203" t="s">
        <v>454</v>
      </c>
      <c r="N422" s="203">
        <v>20.894269943237301</v>
      </c>
      <c r="O422" s="203">
        <v>92.920730590820298</v>
      </c>
      <c r="P422" s="203" t="s">
        <v>1094</v>
      </c>
      <c r="Q422" s="203" t="s">
        <v>1097</v>
      </c>
      <c r="R422" s="425"/>
      <c r="S422" s="426"/>
      <c r="T422" s="542">
        <v>43011</v>
      </c>
      <c r="U422" s="427" t="s">
        <v>1098</v>
      </c>
    </row>
    <row r="423" spans="1:23" s="203" customFormat="1" ht="17.25" hidden="1" customHeight="1" x14ac:dyDescent="0.2">
      <c r="A423" s="879" t="s">
        <v>454</v>
      </c>
      <c r="B423" s="885" t="s">
        <v>463</v>
      </c>
      <c r="C423" s="886" t="s">
        <v>3222</v>
      </c>
      <c r="D423" s="880"/>
      <c r="E423" s="881"/>
      <c r="F423" s="881"/>
      <c r="G423" s="881"/>
      <c r="H423" s="881"/>
      <c r="I423" s="881"/>
      <c r="J423" s="881" t="s">
        <v>969</v>
      </c>
      <c r="K423" s="881" t="s">
        <v>969</v>
      </c>
      <c r="L423" s="881" t="s">
        <v>969</v>
      </c>
      <c r="M423" s="881"/>
      <c r="N423" s="881">
        <v>20.8892498016357</v>
      </c>
      <c r="O423" s="881">
        <v>92.939201354980497</v>
      </c>
      <c r="P423" s="881" t="s">
        <v>970</v>
      </c>
      <c r="Q423" s="881"/>
      <c r="R423" s="882"/>
      <c r="S423" s="879"/>
      <c r="T423" s="883"/>
      <c r="U423" s="884"/>
      <c r="V423" s="881" t="s">
        <v>3222</v>
      </c>
      <c r="W423" s="425"/>
    </row>
    <row r="424" spans="1:23" s="203" customFormat="1" ht="17.25" hidden="1" customHeight="1" x14ac:dyDescent="0.2">
      <c r="A424" s="203" t="s">
        <v>454</v>
      </c>
      <c r="B424" s="203" t="s">
        <v>463</v>
      </c>
      <c r="C424" s="203" t="s">
        <v>862</v>
      </c>
      <c r="D424" s="203" t="s">
        <v>2177</v>
      </c>
      <c r="E424" s="203" t="s">
        <v>2086</v>
      </c>
      <c r="J424" s="203" t="s">
        <v>975</v>
      </c>
      <c r="K424" s="203" t="s">
        <v>969</v>
      </c>
      <c r="L424" s="203" t="s">
        <v>975</v>
      </c>
      <c r="M424" s="203" t="s">
        <v>454</v>
      </c>
      <c r="N424" s="203">
        <v>20.677059173583999</v>
      </c>
      <c r="O424" s="203">
        <v>92.9532470703125</v>
      </c>
      <c r="P424" s="203" t="s">
        <v>1094</v>
      </c>
      <c r="Q424" s="203" t="s">
        <v>951</v>
      </c>
      <c r="R424" s="425"/>
      <c r="S424" s="426"/>
      <c r="T424" s="542" t="s">
        <v>935</v>
      </c>
      <c r="U424" s="427"/>
      <c r="V424" s="203" t="s">
        <v>935</v>
      </c>
    </row>
    <row r="425" spans="1:23" s="203" customFormat="1" ht="17.25" hidden="1" customHeight="1" x14ac:dyDescent="0.2">
      <c r="A425" s="203" t="s">
        <v>454</v>
      </c>
      <c r="B425" s="203" t="s">
        <v>463</v>
      </c>
      <c r="C425" s="203" t="s">
        <v>861</v>
      </c>
      <c r="D425" s="203" t="s">
        <v>2177</v>
      </c>
      <c r="E425" s="203" t="s">
        <v>2085</v>
      </c>
      <c r="J425" s="203" t="s">
        <v>969</v>
      </c>
      <c r="K425" s="203" t="s">
        <v>969</v>
      </c>
      <c r="L425" s="203" t="s">
        <v>969</v>
      </c>
      <c r="M425" s="203" t="s">
        <v>454</v>
      </c>
      <c r="N425" s="203">
        <v>20.697889328002901</v>
      </c>
      <c r="O425" s="203">
        <v>92.951232910156307</v>
      </c>
      <c r="P425" s="203" t="s">
        <v>970</v>
      </c>
      <c r="Q425" s="203" t="s">
        <v>951</v>
      </c>
      <c r="R425" s="425"/>
      <c r="S425" s="426"/>
      <c r="T425" s="542" t="s">
        <v>935</v>
      </c>
      <c r="U425" s="427"/>
      <c r="V425" s="203" t="s">
        <v>935</v>
      </c>
    </row>
    <row r="426" spans="1:23" s="203" customFormat="1" ht="17.25" hidden="1" customHeight="1" x14ac:dyDescent="0.2">
      <c r="A426" s="879" t="s">
        <v>454</v>
      </c>
      <c r="B426" s="885" t="s">
        <v>463</v>
      </c>
      <c r="C426" s="886" t="s">
        <v>3233</v>
      </c>
      <c r="D426" s="880"/>
      <c r="E426" s="881">
        <v>220647</v>
      </c>
      <c r="F426" s="881"/>
      <c r="G426" s="881"/>
      <c r="H426" s="881"/>
      <c r="I426" s="881"/>
      <c r="J426" s="881" t="s">
        <v>969</v>
      </c>
      <c r="K426" s="881" t="s">
        <v>969</v>
      </c>
      <c r="L426" s="881" t="s">
        <v>969</v>
      </c>
      <c r="M426" s="881"/>
      <c r="N426" s="881"/>
      <c r="O426" s="881"/>
      <c r="P426" s="881" t="s">
        <v>970</v>
      </c>
      <c r="Q426" s="881"/>
      <c r="R426" s="882"/>
      <c r="S426" s="879"/>
      <c r="T426" s="883"/>
      <c r="U426" s="884"/>
      <c r="V426" s="881" t="s">
        <v>3226</v>
      </c>
      <c r="W426" s="425"/>
    </row>
    <row r="427" spans="1:23" s="203" customFormat="1" ht="17.25" hidden="1" customHeight="1" x14ac:dyDescent="0.2">
      <c r="A427" s="879" t="s">
        <v>454</v>
      </c>
      <c r="B427" s="885" t="s">
        <v>463</v>
      </c>
      <c r="C427" s="886" t="s">
        <v>3234</v>
      </c>
      <c r="D427" s="880"/>
      <c r="E427" s="881">
        <v>196755</v>
      </c>
      <c r="F427" s="881"/>
      <c r="G427" s="881"/>
      <c r="H427" s="881"/>
      <c r="I427" s="881"/>
      <c r="J427" s="881" t="s">
        <v>969</v>
      </c>
      <c r="K427" s="881" t="s">
        <v>969</v>
      </c>
      <c r="L427" s="881" t="s">
        <v>969</v>
      </c>
      <c r="M427" s="881"/>
      <c r="N427" s="881">
        <v>20.932960510253899</v>
      </c>
      <c r="O427" s="881">
        <v>92.930267333984403</v>
      </c>
      <c r="P427" s="881" t="s">
        <v>970</v>
      </c>
      <c r="Q427" s="881"/>
      <c r="R427" s="882"/>
      <c r="S427" s="879"/>
      <c r="T427" s="883"/>
      <c r="U427" s="884"/>
      <c r="V427" s="881" t="s">
        <v>3227</v>
      </c>
      <c r="W427" s="425"/>
    </row>
    <row r="428" spans="1:23" s="203" customFormat="1" ht="17.25" hidden="1" customHeight="1" x14ac:dyDescent="0.2">
      <c r="A428" s="203" t="s">
        <v>454</v>
      </c>
      <c r="B428" s="203" t="s">
        <v>463</v>
      </c>
      <c r="C428" s="203" t="s">
        <v>504</v>
      </c>
      <c r="D428" s="203" t="s">
        <v>2177</v>
      </c>
      <c r="J428" s="203" t="s">
        <v>969</v>
      </c>
      <c r="K428" s="203" t="s">
        <v>969</v>
      </c>
      <c r="L428" s="203" t="s">
        <v>969</v>
      </c>
      <c r="M428" s="203" t="s">
        <v>454</v>
      </c>
      <c r="P428" s="203" t="s">
        <v>970</v>
      </c>
      <c r="Q428" s="203" t="s">
        <v>951</v>
      </c>
      <c r="R428" s="425"/>
      <c r="S428" s="426"/>
      <c r="T428" s="542" t="s">
        <v>935</v>
      </c>
      <c r="U428" s="427"/>
      <c r="V428" s="203" t="s">
        <v>935</v>
      </c>
    </row>
    <row r="429" spans="1:23" s="203" customFormat="1" ht="17.25" hidden="1" customHeight="1" x14ac:dyDescent="0.2">
      <c r="A429" s="203" t="s">
        <v>454</v>
      </c>
      <c r="B429" s="203" t="s">
        <v>463</v>
      </c>
      <c r="C429" s="203" t="s">
        <v>796</v>
      </c>
      <c r="D429" s="203" t="s">
        <v>2177</v>
      </c>
      <c r="E429" s="203">
        <v>196880</v>
      </c>
      <c r="J429" s="203" t="s">
        <v>975</v>
      </c>
      <c r="K429" s="203" t="s">
        <v>969</v>
      </c>
      <c r="L429" s="203" t="s">
        <v>975</v>
      </c>
      <c r="M429" s="203" t="s">
        <v>2737</v>
      </c>
      <c r="N429" s="203">
        <v>20.831729888916001</v>
      </c>
      <c r="O429" s="203">
        <v>92.919639587402301</v>
      </c>
      <c r="P429" s="203" t="s">
        <v>1094</v>
      </c>
      <c r="Q429" s="203" t="s">
        <v>1097</v>
      </c>
      <c r="R429" s="425"/>
      <c r="S429" s="426"/>
      <c r="T429" s="542">
        <v>43011</v>
      </c>
      <c r="U429" s="427" t="s">
        <v>1098</v>
      </c>
    </row>
    <row r="430" spans="1:23" s="203" customFormat="1" ht="17.25" hidden="1" customHeight="1" x14ac:dyDescent="0.2">
      <c r="A430" s="203" t="s">
        <v>454</v>
      </c>
      <c r="B430" s="203" t="s">
        <v>463</v>
      </c>
      <c r="C430" s="203" t="s">
        <v>759</v>
      </c>
      <c r="D430" s="203" t="s">
        <v>2255</v>
      </c>
      <c r="E430" s="203" t="s">
        <v>1806</v>
      </c>
      <c r="F430" s="203" t="s">
        <v>2271</v>
      </c>
      <c r="G430" s="203" t="s">
        <v>2272</v>
      </c>
      <c r="J430" s="203" t="s">
        <v>969</v>
      </c>
      <c r="K430" s="203" t="s">
        <v>969</v>
      </c>
      <c r="L430" s="203" t="s">
        <v>1054</v>
      </c>
      <c r="M430" s="203" t="s">
        <v>966</v>
      </c>
      <c r="N430" s="203">
        <v>20.78332</v>
      </c>
      <c r="O430" s="203">
        <v>92.987399999999994</v>
      </c>
      <c r="P430" s="203" t="s">
        <v>970</v>
      </c>
      <c r="Q430" s="203" t="s">
        <v>951</v>
      </c>
      <c r="R430" s="425">
        <v>144</v>
      </c>
      <c r="S430" s="426">
        <v>1006</v>
      </c>
      <c r="T430" s="542" t="s">
        <v>935</v>
      </c>
      <c r="U430" s="427"/>
      <c r="V430" s="203" t="s">
        <v>759</v>
      </c>
    </row>
    <row r="431" spans="1:23" s="203" customFormat="1" ht="17.25" hidden="1" customHeight="1" x14ac:dyDescent="0.2">
      <c r="A431" s="203" t="s">
        <v>454</v>
      </c>
      <c r="B431" s="203" t="s">
        <v>463</v>
      </c>
      <c r="C431" s="203" t="s">
        <v>761</v>
      </c>
      <c r="D431" s="203" t="s">
        <v>2177</v>
      </c>
      <c r="E431" s="203" t="s">
        <v>1808</v>
      </c>
      <c r="J431" s="203" t="s">
        <v>969</v>
      </c>
      <c r="K431" s="203" t="s">
        <v>969</v>
      </c>
      <c r="L431" s="203" t="s">
        <v>969</v>
      </c>
      <c r="M431" s="203" t="s">
        <v>454</v>
      </c>
      <c r="N431" s="203">
        <v>20.785699844360401</v>
      </c>
      <c r="O431" s="203">
        <v>92.986633300781307</v>
      </c>
      <c r="P431" s="203" t="s">
        <v>970</v>
      </c>
      <c r="Q431" s="203" t="s">
        <v>951</v>
      </c>
      <c r="R431" s="425"/>
      <c r="S431" s="426"/>
      <c r="T431" s="542" t="s">
        <v>935</v>
      </c>
      <c r="U431" s="427"/>
      <c r="V431" s="203" t="s">
        <v>761</v>
      </c>
    </row>
    <row r="432" spans="1:23" s="203" customFormat="1" ht="17.25" hidden="1" customHeight="1" x14ac:dyDescent="0.2">
      <c r="A432" s="203" t="s">
        <v>454</v>
      </c>
      <c r="B432" s="203" t="s">
        <v>463</v>
      </c>
      <c r="C432" s="203" t="s">
        <v>1121</v>
      </c>
      <c r="D432" s="203" t="s">
        <v>2255</v>
      </c>
      <c r="E432" s="203" t="s">
        <v>1856</v>
      </c>
      <c r="F432" s="203" t="s">
        <v>2382</v>
      </c>
      <c r="G432" s="203" t="s">
        <v>2383</v>
      </c>
      <c r="J432" s="203" t="s">
        <v>969</v>
      </c>
      <c r="K432" s="203" t="s">
        <v>969</v>
      </c>
      <c r="L432" s="203" t="s">
        <v>1054</v>
      </c>
      <c r="M432" s="203" t="s">
        <v>966</v>
      </c>
      <c r="N432" s="203">
        <v>20.929649000000001</v>
      </c>
      <c r="O432" s="203">
        <v>93.000815000000003</v>
      </c>
      <c r="P432" s="203" t="s">
        <v>970</v>
      </c>
      <c r="R432" s="425">
        <v>63</v>
      </c>
      <c r="S432" s="426">
        <v>414</v>
      </c>
      <c r="T432" s="542" t="s">
        <v>935</v>
      </c>
      <c r="U432" s="427" t="s">
        <v>1031</v>
      </c>
      <c r="V432" s="203" t="s">
        <v>1121</v>
      </c>
    </row>
    <row r="433" spans="1:23" s="203" customFormat="1" ht="17.25" hidden="1" customHeight="1" x14ac:dyDescent="0.2">
      <c r="A433" s="203" t="s">
        <v>454</v>
      </c>
      <c r="B433" s="203" t="s">
        <v>463</v>
      </c>
      <c r="C433" s="203" t="s">
        <v>858</v>
      </c>
      <c r="D433" s="203" t="s">
        <v>2177</v>
      </c>
      <c r="E433" s="203" t="s">
        <v>2082</v>
      </c>
      <c r="J433" s="203" t="s">
        <v>975</v>
      </c>
      <c r="K433" s="203" t="s">
        <v>969</v>
      </c>
      <c r="L433" s="203" t="s">
        <v>975</v>
      </c>
      <c r="M433" s="203" t="s">
        <v>966</v>
      </c>
      <c r="N433" s="203">
        <v>20.859569549560501</v>
      </c>
      <c r="O433" s="203">
        <v>92.941146850585895</v>
      </c>
      <c r="P433" s="203" t="s">
        <v>1094</v>
      </c>
      <c r="Q433" s="203" t="s">
        <v>951</v>
      </c>
      <c r="R433" s="425"/>
      <c r="S433" s="426"/>
      <c r="T433" s="542" t="s">
        <v>935</v>
      </c>
      <c r="U433" s="427"/>
      <c r="V433" s="203" t="s">
        <v>935</v>
      </c>
    </row>
    <row r="434" spans="1:23" s="203" customFormat="1" ht="17.25" hidden="1" customHeight="1" x14ac:dyDescent="0.2">
      <c r="A434" s="203" t="s">
        <v>454</v>
      </c>
      <c r="B434" s="203" t="s">
        <v>463</v>
      </c>
      <c r="C434" s="203" t="s">
        <v>804</v>
      </c>
      <c r="D434" s="203" t="s">
        <v>2177</v>
      </c>
      <c r="E434" s="203">
        <v>196817</v>
      </c>
      <c r="J434" s="203" t="s">
        <v>975</v>
      </c>
      <c r="K434" s="203" t="s">
        <v>969</v>
      </c>
      <c r="L434" s="203" t="s">
        <v>975</v>
      </c>
      <c r="M434" s="203" t="s">
        <v>966</v>
      </c>
      <c r="N434" s="203">
        <v>20.864519119262699</v>
      </c>
      <c r="O434" s="203">
        <v>92.940399169921903</v>
      </c>
      <c r="P434" s="203" t="s">
        <v>1094</v>
      </c>
      <c r="Q434" s="203" t="s">
        <v>1097</v>
      </c>
      <c r="R434" s="425"/>
      <c r="S434" s="426"/>
      <c r="T434" s="542">
        <v>43011</v>
      </c>
      <c r="U434" s="427" t="s">
        <v>1098</v>
      </c>
    </row>
    <row r="435" spans="1:23" s="203" customFormat="1" ht="17.25" hidden="1" customHeight="1" x14ac:dyDescent="0.2">
      <c r="A435" s="203" t="s">
        <v>454</v>
      </c>
      <c r="B435" s="203" t="s">
        <v>463</v>
      </c>
      <c r="C435" s="203" t="s">
        <v>2739</v>
      </c>
      <c r="D435" s="203" t="s">
        <v>2177</v>
      </c>
      <c r="E435" s="203">
        <v>196818</v>
      </c>
      <c r="J435" s="203" t="s">
        <v>975</v>
      </c>
      <c r="K435" s="203" t="s">
        <v>969</v>
      </c>
      <c r="L435" s="203" t="s">
        <v>975</v>
      </c>
      <c r="M435" s="203" t="s">
        <v>966</v>
      </c>
      <c r="P435" s="203" t="s">
        <v>1094</v>
      </c>
      <c r="Q435" s="203" t="s">
        <v>1097</v>
      </c>
      <c r="R435" s="425"/>
      <c r="S435" s="426"/>
      <c r="T435" s="542">
        <v>43011</v>
      </c>
      <c r="U435" s="427" t="s">
        <v>1098</v>
      </c>
    </row>
    <row r="436" spans="1:23" s="203" customFormat="1" ht="17.25" hidden="1" customHeight="1" x14ac:dyDescent="0.2">
      <c r="A436" s="203" t="s">
        <v>454</v>
      </c>
      <c r="B436" s="203" t="s">
        <v>463</v>
      </c>
      <c r="C436" s="203" t="s">
        <v>780</v>
      </c>
      <c r="D436" s="203" t="s">
        <v>2177</v>
      </c>
      <c r="E436" s="203" t="s">
        <v>1823</v>
      </c>
      <c r="J436" s="203" t="s">
        <v>969</v>
      </c>
      <c r="K436" s="203" t="s">
        <v>969</v>
      </c>
      <c r="L436" s="203" t="s">
        <v>969</v>
      </c>
      <c r="M436" s="203" t="s">
        <v>454</v>
      </c>
      <c r="N436" s="203">
        <v>20.806400299072301</v>
      </c>
      <c r="O436" s="203">
        <v>92.982147216796903</v>
      </c>
      <c r="P436" s="203" t="s">
        <v>970</v>
      </c>
      <c r="Q436" s="203" t="s">
        <v>951</v>
      </c>
      <c r="R436" s="425"/>
      <c r="S436" s="426"/>
      <c r="T436" s="542" t="s">
        <v>935</v>
      </c>
      <c r="U436" s="427"/>
      <c r="V436" s="203" t="s">
        <v>780</v>
      </c>
    </row>
    <row r="437" spans="1:23" s="203" customFormat="1" ht="17.25" hidden="1" customHeight="1" x14ac:dyDescent="0.2">
      <c r="A437" s="203" t="s">
        <v>454</v>
      </c>
      <c r="B437" s="203" t="s">
        <v>463</v>
      </c>
      <c r="C437" s="203" t="s">
        <v>1125</v>
      </c>
      <c r="D437" s="203" t="s">
        <v>2177</v>
      </c>
      <c r="E437" s="203" t="s">
        <v>1864</v>
      </c>
      <c r="J437" s="203" t="s">
        <v>969</v>
      </c>
      <c r="K437" s="203" t="s">
        <v>969</v>
      </c>
      <c r="L437" s="203" t="s">
        <v>969</v>
      </c>
      <c r="M437" s="203" t="s">
        <v>454</v>
      </c>
      <c r="N437" s="203">
        <v>21.006929397583001</v>
      </c>
      <c r="O437" s="203">
        <v>92.981040954589801</v>
      </c>
      <c r="P437" s="203" t="s">
        <v>970</v>
      </c>
      <c r="R437" s="425"/>
      <c r="S437" s="426"/>
      <c r="T437" s="542" t="s">
        <v>935</v>
      </c>
      <c r="U437" s="427"/>
      <c r="V437" s="203" t="s">
        <v>1125</v>
      </c>
    </row>
    <row r="438" spans="1:23" s="203" customFormat="1" ht="17.25" hidden="1" customHeight="1" x14ac:dyDescent="0.2">
      <c r="A438" s="203" t="s">
        <v>454</v>
      </c>
      <c r="B438" s="203" t="s">
        <v>463</v>
      </c>
      <c r="C438" s="203" t="s">
        <v>860</v>
      </c>
      <c r="D438" s="203" t="s">
        <v>2177</v>
      </c>
      <c r="E438" s="203" t="s">
        <v>2084</v>
      </c>
      <c r="J438" s="203" t="s">
        <v>975</v>
      </c>
      <c r="K438" s="203" t="s">
        <v>969</v>
      </c>
      <c r="L438" s="203" t="s">
        <v>975</v>
      </c>
      <c r="M438" s="203" t="s">
        <v>454</v>
      </c>
      <c r="N438" s="203">
        <v>20.8037109375</v>
      </c>
      <c r="O438" s="203">
        <v>92.946136474609403</v>
      </c>
      <c r="P438" s="203" t="s">
        <v>1094</v>
      </c>
      <c r="Q438" s="203" t="s">
        <v>951</v>
      </c>
      <c r="R438" s="425"/>
      <c r="S438" s="426"/>
      <c r="T438" s="542" t="s">
        <v>935</v>
      </c>
      <c r="U438" s="427"/>
      <c r="V438" s="203" t="s">
        <v>935</v>
      </c>
    </row>
    <row r="439" spans="1:23" s="203" customFormat="1" ht="17.25" hidden="1" customHeight="1" x14ac:dyDescent="0.2">
      <c r="A439" s="203" t="s">
        <v>454</v>
      </c>
      <c r="B439" s="203" t="s">
        <v>463</v>
      </c>
      <c r="C439" s="203" t="s">
        <v>1110</v>
      </c>
      <c r="D439" s="203" t="s">
        <v>2177</v>
      </c>
      <c r="E439" s="203">
        <v>196885</v>
      </c>
      <c r="J439" s="203" t="s">
        <v>975</v>
      </c>
      <c r="K439" s="203" t="s">
        <v>969</v>
      </c>
      <c r="L439" s="203" t="s">
        <v>975</v>
      </c>
      <c r="N439" s="203">
        <v>20.806350708007798</v>
      </c>
      <c r="O439" s="203">
        <v>92.948310852050795</v>
      </c>
      <c r="P439" s="203" t="s">
        <v>1094</v>
      </c>
      <c r="Q439" s="203" t="s">
        <v>1097</v>
      </c>
      <c r="R439" s="425"/>
      <c r="S439" s="426"/>
      <c r="T439" s="542">
        <v>43011</v>
      </c>
      <c r="U439" s="427" t="s">
        <v>1098</v>
      </c>
    </row>
    <row r="440" spans="1:23" s="203" customFormat="1" ht="17.25" hidden="1" customHeight="1" x14ac:dyDescent="0.2">
      <c r="A440" s="879" t="s">
        <v>454</v>
      </c>
      <c r="B440" s="885" t="s">
        <v>463</v>
      </c>
      <c r="C440" s="886" t="s">
        <v>3235</v>
      </c>
      <c r="D440" s="880"/>
      <c r="E440" s="881">
        <v>196893</v>
      </c>
      <c r="F440" s="881"/>
      <c r="G440" s="881"/>
      <c r="H440" s="881"/>
      <c r="I440" s="881"/>
      <c r="J440" s="881" t="s">
        <v>969</v>
      </c>
      <c r="K440" s="881" t="s">
        <v>969</v>
      </c>
      <c r="L440" s="881" t="s">
        <v>969</v>
      </c>
      <c r="M440" s="881"/>
      <c r="N440" s="881">
        <v>20.760820388793899</v>
      </c>
      <c r="O440" s="881">
        <v>92.9600830078125</v>
      </c>
      <c r="P440" s="881" t="s">
        <v>970</v>
      </c>
      <c r="Q440" s="881"/>
      <c r="R440" s="882"/>
      <c r="S440" s="879"/>
      <c r="T440" s="883"/>
      <c r="U440" s="884"/>
      <c r="V440" s="881" t="s">
        <v>3228</v>
      </c>
      <c r="W440" s="425"/>
    </row>
    <row r="441" spans="1:23" s="203" customFormat="1" ht="17.25" hidden="1" customHeight="1" x14ac:dyDescent="0.2">
      <c r="A441" s="203" t="s">
        <v>454</v>
      </c>
      <c r="B441" s="203" t="s">
        <v>463</v>
      </c>
      <c r="C441" s="203" t="s">
        <v>510</v>
      </c>
      <c r="D441" s="203" t="s">
        <v>2177</v>
      </c>
      <c r="J441" s="203" t="s">
        <v>975</v>
      </c>
      <c r="K441" s="203" t="s">
        <v>969</v>
      </c>
      <c r="L441" s="203" t="s">
        <v>975</v>
      </c>
      <c r="M441" s="203" t="s">
        <v>454</v>
      </c>
      <c r="P441" s="203" t="s">
        <v>1094</v>
      </c>
      <c r="Q441" s="203" t="s">
        <v>1097</v>
      </c>
      <c r="R441" s="425"/>
      <c r="S441" s="426"/>
      <c r="T441" s="542">
        <v>43011</v>
      </c>
      <c r="U441" s="427" t="s">
        <v>1098</v>
      </c>
    </row>
    <row r="442" spans="1:23" s="203" customFormat="1" ht="17.25" hidden="1" customHeight="1" x14ac:dyDescent="0.2">
      <c r="A442" s="203" t="s">
        <v>454</v>
      </c>
      <c r="B442" s="203" t="s">
        <v>463</v>
      </c>
      <c r="C442" s="203" t="s">
        <v>1103</v>
      </c>
      <c r="D442" s="203" t="s">
        <v>2177</v>
      </c>
      <c r="E442" s="203" t="s">
        <v>1783</v>
      </c>
      <c r="J442" s="203" t="s">
        <v>969</v>
      </c>
      <c r="K442" s="203" t="s">
        <v>969</v>
      </c>
      <c r="L442" s="203" t="s">
        <v>969</v>
      </c>
      <c r="M442" s="203" t="s">
        <v>2737</v>
      </c>
      <c r="N442" s="203">
        <v>20.720500946044901</v>
      </c>
      <c r="O442" s="203">
        <v>92.937339782714801</v>
      </c>
      <c r="P442" s="203" t="s">
        <v>970</v>
      </c>
      <c r="R442" s="425"/>
      <c r="S442" s="426"/>
      <c r="T442" s="542" t="s">
        <v>935</v>
      </c>
      <c r="U442" s="427"/>
      <c r="V442" s="203" t="s">
        <v>1103</v>
      </c>
    </row>
    <row r="443" spans="1:23" s="203" customFormat="1" ht="17.25" hidden="1" customHeight="1" x14ac:dyDescent="0.2">
      <c r="A443" s="686" t="s">
        <v>454</v>
      </c>
      <c r="B443" s="691" t="s">
        <v>463</v>
      </c>
      <c r="C443" s="691" t="s">
        <v>2767</v>
      </c>
      <c r="D443" s="700"/>
      <c r="E443" s="687">
        <v>196828</v>
      </c>
      <c r="F443" s="687" t="s">
        <v>2275</v>
      </c>
      <c r="G443" s="687"/>
      <c r="H443" s="687"/>
      <c r="I443" s="687"/>
      <c r="J443" s="203" t="s">
        <v>969</v>
      </c>
      <c r="K443" s="203" t="s">
        <v>969</v>
      </c>
      <c r="L443" s="203" t="s">
        <v>969</v>
      </c>
      <c r="M443" s="687"/>
      <c r="N443" s="687">
        <v>20.860509872436499</v>
      </c>
      <c r="O443" s="687">
        <v>92.966751098632798</v>
      </c>
      <c r="P443" s="203" t="s">
        <v>970</v>
      </c>
      <c r="Q443" s="687"/>
      <c r="R443" s="688"/>
      <c r="S443" s="686"/>
      <c r="T443" s="689">
        <v>43297</v>
      </c>
      <c r="U443" s="690"/>
      <c r="V443" s="687"/>
    </row>
    <row r="444" spans="1:23" s="203" customFormat="1" ht="17.25" hidden="1" customHeight="1" x14ac:dyDescent="0.2">
      <c r="A444" s="203" t="s">
        <v>454</v>
      </c>
      <c r="B444" s="203" t="s">
        <v>463</v>
      </c>
      <c r="C444" s="203" t="s">
        <v>739</v>
      </c>
      <c r="D444" s="203" t="s">
        <v>2255</v>
      </c>
      <c r="E444" s="203" t="s">
        <v>1790</v>
      </c>
      <c r="F444" s="203" t="s">
        <v>732</v>
      </c>
      <c r="G444" s="203" t="s">
        <v>739</v>
      </c>
      <c r="J444" s="203" t="s">
        <v>969</v>
      </c>
      <c r="K444" s="203" t="s">
        <v>969</v>
      </c>
      <c r="L444" s="203" t="s">
        <v>1054</v>
      </c>
      <c r="M444" s="203" t="s">
        <v>966</v>
      </c>
      <c r="N444" s="203">
        <v>20.727589999999999</v>
      </c>
      <c r="O444" s="203">
        <v>92.969350000000006</v>
      </c>
      <c r="P444" s="203" t="s">
        <v>970</v>
      </c>
      <c r="Q444" s="203" t="s">
        <v>951</v>
      </c>
      <c r="R444" s="425">
        <v>112</v>
      </c>
      <c r="S444" s="426">
        <v>738</v>
      </c>
      <c r="T444" s="542" t="s">
        <v>935</v>
      </c>
      <c r="U444" s="427"/>
      <c r="V444" s="203" t="s">
        <v>739</v>
      </c>
    </row>
    <row r="445" spans="1:23" s="203" customFormat="1" ht="17.25" hidden="1" customHeight="1" x14ac:dyDescent="0.2">
      <c r="A445" s="879" t="s">
        <v>454</v>
      </c>
      <c r="B445" s="885" t="s">
        <v>463</v>
      </c>
      <c r="C445" s="886" t="s">
        <v>739</v>
      </c>
      <c r="D445" s="880"/>
      <c r="E445" s="881">
        <v>196952</v>
      </c>
      <c r="F445" s="881"/>
      <c r="G445" s="881"/>
      <c r="H445" s="881"/>
      <c r="I445" s="881"/>
      <c r="J445" s="881" t="s">
        <v>969</v>
      </c>
      <c r="K445" s="881" t="s">
        <v>969</v>
      </c>
      <c r="L445" s="881" t="s">
        <v>969</v>
      </c>
      <c r="M445" s="881"/>
      <c r="N445" s="881"/>
      <c r="O445" s="881"/>
      <c r="P445" s="881" t="s">
        <v>970</v>
      </c>
      <c r="Q445" s="881"/>
      <c r="R445" s="882"/>
      <c r="S445" s="879"/>
      <c r="T445" s="883"/>
      <c r="U445" s="884"/>
      <c r="V445" s="881" t="s">
        <v>3224</v>
      </c>
      <c r="W445" s="425"/>
    </row>
    <row r="446" spans="1:23" s="203" customFormat="1" ht="17.25" hidden="1" customHeight="1" x14ac:dyDescent="0.2">
      <c r="A446" s="203" t="s">
        <v>454</v>
      </c>
      <c r="B446" s="203" t="s">
        <v>463</v>
      </c>
      <c r="C446" s="203" t="s">
        <v>735</v>
      </c>
      <c r="D446" s="203" t="s">
        <v>2177</v>
      </c>
      <c r="E446" s="203" t="s">
        <v>1786</v>
      </c>
      <c r="J446" s="203" t="s">
        <v>969</v>
      </c>
      <c r="K446" s="203" t="s">
        <v>969</v>
      </c>
      <c r="L446" s="203" t="s">
        <v>969</v>
      </c>
      <c r="M446" s="203" t="s">
        <v>454</v>
      </c>
      <c r="N446" s="203">
        <v>20.723630905151399</v>
      </c>
      <c r="O446" s="203">
        <v>92.974327087402301</v>
      </c>
      <c r="P446" s="203" t="s">
        <v>970</v>
      </c>
      <c r="Q446" s="203" t="s">
        <v>951</v>
      </c>
      <c r="R446" s="425"/>
      <c r="S446" s="426"/>
      <c r="T446" s="542" t="s">
        <v>935</v>
      </c>
      <c r="U446" s="427"/>
      <c r="V446" s="203" t="s">
        <v>735</v>
      </c>
    </row>
    <row r="447" spans="1:23" s="203" customFormat="1" ht="17.25" hidden="1" customHeight="1" x14ac:dyDescent="0.2">
      <c r="A447" s="426" t="s">
        <v>454</v>
      </c>
      <c r="B447" s="429" t="s">
        <v>466</v>
      </c>
      <c r="C447" s="430" t="s">
        <v>2830</v>
      </c>
      <c r="D447" s="295"/>
      <c r="E447" s="203">
        <v>197857</v>
      </c>
      <c r="J447" s="203" t="s">
        <v>969</v>
      </c>
      <c r="K447" s="203" t="s">
        <v>969</v>
      </c>
      <c r="L447" s="203" t="s">
        <v>969</v>
      </c>
      <c r="M447" s="203" t="s">
        <v>846</v>
      </c>
      <c r="N447" s="203">
        <v>21.086776733398398</v>
      </c>
      <c r="O447" s="203">
        <v>92.337112426757798</v>
      </c>
      <c r="R447" s="434"/>
      <c r="S447" s="426"/>
      <c r="T447" s="542">
        <v>43300</v>
      </c>
      <c r="U447" s="427"/>
    </row>
    <row r="448" spans="1:23" s="203" customFormat="1" ht="17.25" hidden="1" customHeight="1" x14ac:dyDescent="0.2">
      <c r="A448" s="426" t="s">
        <v>454</v>
      </c>
      <c r="B448" s="429" t="s">
        <v>466</v>
      </c>
      <c r="C448" s="430" t="s">
        <v>2829</v>
      </c>
      <c r="D448" s="295"/>
      <c r="E448" s="203">
        <v>197857</v>
      </c>
      <c r="J448" s="203" t="s">
        <v>969</v>
      </c>
      <c r="K448" s="203" t="s">
        <v>969</v>
      </c>
      <c r="L448" s="203" t="s">
        <v>969</v>
      </c>
      <c r="M448" s="203" t="s">
        <v>454</v>
      </c>
      <c r="N448" s="203">
        <v>21.086776733398398</v>
      </c>
      <c r="O448" s="203">
        <v>92.337112426757798</v>
      </c>
      <c r="R448" s="434"/>
      <c r="S448" s="426"/>
      <c r="T448" s="542">
        <v>43300</v>
      </c>
      <c r="U448" s="427"/>
    </row>
    <row r="449" spans="1:22" s="203" customFormat="1" ht="17.25" hidden="1" customHeight="1" x14ac:dyDescent="0.2">
      <c r="A449" s="426" t="s">
        <v>454</v>
      </c>
      <c r="B449" s="429" t="s">
        <v>466</v>
      </c>
      <c r="C449" s="430" t="s">
        <v>2829</v>
      </c>
      <c r="D449" s="295"/>
      <c r="E449" s="203">
        <v>197857</v>
      </c>
      <c r="J449" s="203" t="s">
        <v>969</v>
      </c>
      <c r="K449" s="203" t="s">
        <v>969</v>
      </c>
      <c r="L449" s="203" t="s">
        <v>969</v>
      </c>
      <c r="M449" s="203" t="s">
        <v>2868</v>
      </c>
      <c r="N449" s="203">
        <v>21.086776733398398</v>
      </c>
      <c r="O449" s="203">
        <v>92.337112426757798</v>
      </c>
      <c r="R449" s="434"/>
      <c r="S449" s="426"/>
      <c r="T449" s="542">
        <v>43300</v>
      </c>
      <c r="U449" s="427"/>
    </row>
    <row r="450" spans="1:22" s="203" customFormat="1" ht="17.25" hidden="1" customHeight="1" x14ac:dyDescent="0.2">
      <c r="A450" s="426" t="s">
        <v>454</v>
      </c>
      <c r="B450" s="429" t="s">
        <v>466</v>
      </c>
      <c r="C450" s="430" t="s">
        <v>2861</v>
      </c>
      <c r="D450" s="295"/>
      <c r="E450" s="203">
        <v>197920</v>
      </c>
      <c r="J450" s="203" t="s">
        <v>969</v>
      </c>
      <c r="K450" s="203" t="s">
        <v>969</v>
      </c>
      <c r="L450" s="203" t="s">
        <v>969</v>
      </c>
      <c r="M450" s="203" t="s">
        <v>966</v>
      </c>
      <c r="N450" s="203">
        <v>20.9239406585693</v>
      </c>
      <c r="O450" s="203">
        <v>92.322669982910199</v>
      </c>
      <c r="R450" s="434"/>
      <c r="S450" s="426"/>
      <c r="T450" s="542">
        <v>43300</v>
      </c>
      <c r="U450" s="427"/>
    </row>
    <row r="451" spans="1:22" s="203" customFormat="1" ht="17.25" hidden="1" customHeight="1" x14ac:dyDescent="0.2">
      <c r="A451" s="426" t="s">
        <v>454</v>
      </c>
      <c r="B451" s="429" t="s">
        <v>466</v>
      </c>
      <c r="C451" s="430" t="s">
        <v>2832</v>
      </c>
      <c r="D451" s="295"/>
      <c r="E451" s="203">
        <v>197968</v>
      </c>
      <c r="J451" s="203" t="s">
        <v>969</v>
      </c>
      <c r="K451" s="203" t="s">
        <v>969</v>
      </c>
      <c r="L451" s="203" t="s">
        <v>969</v>
      </c>
      <c r="M451" s="203" t="s">
        <v>966</v>
      </c>
      <c r="N451" s="203">
        <v>20.878229141235401</v>
      </c>
      <c r="O451" s="203">
        <v>92.347267150878906</v>
      </c>
      <c r="R451" s="434"/>
      <c r="S451" s="426"/>
      <c r="T451" s="542">
        <v>43300</v>
      </c>
      <c r="U451" s="427"/>
    </row>
    <row r="452" spans="1:22" s="203" customFormat="1" ht="17.25" hidden="1" customHeight="1" x14ac:dyDescent="0.2">
      <c r="A452" s="203" t="s">
        <v>454</v>
      </c>
      <c r="B452" s="203" t="s">
        <v>466</v>
      </c>
      <c r="C452" s="203" t="s">
        <v>774</v>
      </c>
      <c r="D452" s="203" t="s">
        <v>2177</v>
      </c>
      <c r="E452" s="203" t="s">
        <v>1819</v>
      </c>
      <c r="J452" s="203" t="s">
        <v>969</v>
      </c>
      <c r="K452" s="203" t="s">
        <v>969</v>
      </c>
      <c r="L452" s="203" t="s">
        <v>969</v>
      </c>
      <c r="M452" s="203" t="s">
        <v>966</v>
      </c>
      <c r="N452" s="203">
        <v>20.803909301757798</v>
      </c>
      <c r="O452" s="203">
        <v>92.3768310546875</v>
      </c>
      <c r="P452" s="203" t="s">
        <v>970</v>
      </c>
      <c r="Q452" s="203" t="s">
        <v>951</v>
      </c>
      <c r="R452" s="425"/>
      <c r="S452" s="426"/>
      <c r="T452" s="542" t="s">
        <v>935</v>
      </c>
      <c r="U452" s="427"/>
      <c r="V452" s="203" t="s">
        <v>1107</v>
      </c>
    </row>
    <row r="453" spans="1:22" s="203" customFormat="1" ht="17.25" hidden="1" customHeight="1" x14ac:dyDescent="0.2">
      <c r="A453" s="203" t="s">
        <v>454</v>
      </c>
      <c r="B453" s="203" t="s">
        <v>466</v>
      </c>
      <c r="C453" s="203" t="s">
        <v>856</v>
      </c>
      <c r="D453" s="203" t="s">
        <v>2177</v>
      </c>
      <c r="E453" s="203" t="s">
        <v>1875</v>
      </c>
      <c r="J453" s="203" t="s">
        <v>969</v>
      </c>
      <c r="K453" s="203" t="s">
        <v>969</v>
      </c>
      <c r="L453" s="203" t="s">
        <v>969</v>
      </c>
      <c r="M453" s="203" t="s">
        <v>966</v>
      </c>
      <c r="N453" s="438">
        <v>21.265539169311499</v>
      </c>
      <c r="O453" s="438">
        <v>92.271408081054702</v>
      </c>
      <c r="P453" s="203" t="s">
        <v>970</v>
      </c>
      <c r="Q453" s="203" t="s">
        <v>951</v>
      </c>
      <c r="R453" s="425"/>
      <c r="S453" s="426"/>
      <c r="T453" s="542" t="s">
        <v>935</v>
      </c>
      <c r="U453" s="427"/>
      <c r="V453" s="203" t="s">
        <v>1131</v>
      </c>
    </row>
    <row r="454" spans="1:22" s="203" customFormat="1" ht="17.25" hidden="1" customHeight="1" x14ac:dyDescent="0.2">
      <c r="A454" s="203" t="s">
        <v>454</v>
      </c>
      <c r="B454" s="203" t="s">
        <v>466</v>
      </c>
      <c r="C454" s="203" t="s">
        <v>1132</v>
      </c>
      <c r="D454" s="203" t="s">
        <v>2177</v>
      </c>
      <c r="E454" s="203" t="s">
        <v>1876</v>
      </c>
      <c r="J454" s="203" t="s">
        <v>969</v>
      </c>
      <c r="K454" s="203" t="s">
        <v>969</v>
      </c>
      <c r="L454" s="203" t="s">
        <v>969</v>
      </c>
      <c r="M454" s="203" t="s">
        <v>966</v>
      </c>
      <c r="N454" s="203">
        <v>21.2688694</v>
      </c>
      <c r="O454" s="203">
        <v>92.274917603000006</v>
      </c>
      <c r="P454" s="203" t="s">
        <v>970</v>
      </c>
      <c r="R454" s="425"/>
      <c r="S454" s="426"/>
      <c r="T454" s="542" t="s">
        <v>935</v>
      </c>
      <c r="U454" s="427"/>
      <c r="V454" s="203" t="s">
        <v>1131</v>
      </c>
    </row>
    <row r="455" spans="1:22" s="203" customFormat="1" ht="17.25" hidden="1" customHeight="1" x14ac:dyDescent="0.2">
      <c r="A455" s="203" t="s">
        <v>454</v>
      </c>
      <c r="B455" s="203" t="s">
        <v>466</v>
      </c>
      <c r="C455" s="203" t="s">
        <v>467</v>
      </c>
      <c r="D455" s="203" t="s">
        <v>2177</v>
      </c>
      <c r="J455" s="203" t="s">
        <v>969</v>
      </c>
      <c r="K455" s="203" t="s">
        <v>969</v>
      </c>
      <c r="L455" s="203" t="s">
        <v>969</v>
      </c>
      <c r="M455" s="203" t="s">
        <v>966</v>
      </c>
      <c r="P455" s="203" t="s">
        <v>970</v>
      </c>
      <c r="Q455" s="203" t="s">
        <v>951</v>
      </c>
      <c r="R455" s="425"/>
      <c r="S455" s="426"/>
      <c r="T455" s="542" t="s">
        <v>935</v>
      </c>
      <c r="U455" s="427"/>
      <c r="V455" s="203" t="s">
        <v>467</v>
      </c>
    </row>
    <row r="456" spans="1:22" s="203" customFormat="1" ht="17.25" hidden="1" customHeight="1" x14ac:dyDescent="0.2">
      <c r="A456" s="203" t="s">
        <v>454</v>
      </c>
      <c r="B456" s="203" t="s">
        <v>466</v>
      </c>
      <c r="C456" s="203" t="s">
        <v>771</v>
      </c>
      <c r="D456" s="203" t="s">
        <v>2177</v>
      </c>
      <c r="E456" s="203" t="s">
        <v>1817</v>
      </c>
      <c r="J456" s="203" t="s">
        <v>969</v>
      </c>
      <c r="K456" s="203" t="s">
        <v>969</v>
      </c>
      <c r="L456" s="203" t="s">
        <v>969</v>
      </c>
      <c r="M456" s="203" t="s">
        <v>966</v>
      </c>
      <c r="N456" s="203">
        <v>20.802850723266602</v>
      </c>
      <c r="O456" s="203">
        <v>92.392669677734403</v>
      </c>
      <c r="P456" s="203" t="s">
        <v>970</v>
      </c>
      <c r="Q456" s="203" t="s">
        <v>951</v>
      </c>
      <c r="R456" s="425"/>
      <c r="S456" s="426"/>
      <c r="T456" s="542" t="s">
        <v>935</v>
      </c>
      <c r="U456" s="427"/>
      <c r="V456" s="203" t="s">
        <v>1106</v>
      </c>
    </row>
    <row r="457" spans="1:22" s="203" customFormat="1" ht="17.25" hidden="1" customHeight="1" x14ac:dyDescent="0.2">
      <c r="A457" s="203" t="s">
        <v>454</v>
      </c>
      <c r="B457" s="203" t="s">
        <v>466</v>
      </c>
      <c r="C457" s="203" t="s">
        <v>772</v>
      </c>
      <c r="D457" s="203" t="s">
        <v>2177</v>
      </c>
      <c r="E457" s="203" t="s">
        <v>1817</v>
      </c>
      <c r="J457" s="203" t="s">
        <v>969</v>
      </c>
      <c r="K457" s="203" t="s">
        <v>969</v>
      </c>
      <c r="L457" s="203" t="s">
        <v>969</v>
      </c>
      <c r="M457" s="203" t="s">
        <v>966</v>
      </c>
      <c r="N457" s="203">
        <v>20.802850723266602</v>
      </c>
      <c r="O457" s="203">
        <v>92.392669677734403</v>
      </c>
      <c r="P457" s="203" t="s">
        <v>970</v>
      </c>
      <c r="Q457" s="203" t="s">
        <v>951</v>
      </c>
      <c r="R457" s="425"/>
      <c r="S457" s="426"/>
      <c r="T457" s="542" t="s">
        <v>935</v>
      </c>
      <c r="U457" s="427"/>
      <c r="V457" s="203" t="s">
        <v>1106</v>
      </c>
    </row>
    <row r="458" spans="1:22" s="203" customFormat="1" ht="17.25" hidden="1" customHeight="1" x14ac:dyDescent="0.2">
      <c r="A458" s="426" t="s">
        <v>454</v>
      </c>
      <c r="B458" s="429" t="s">
        <v>466</v>
      </c>
      <c r="C458" s="430" t="s">
        <v>2820</v>
      </c>
      <c r="D458" s="295"/>
      <c r="E458" s="203">
        <v>197939</v>
      </c>
      <c r="J458" s="203" t="s">
        <v>969</v>
      </c>
      <c r="K458" s="203" t="s">
        <v>969</v>
      </c>
      <c r="L458" s="203" t="s">
        <v>969</v>
      </c>
      <c r="M458" s="203" t="s">
        <v>454</v>
      </c>
      <c r="N458" s="203">
        <v>20.832990646362301</v>
      </c>
      <c r="O458" s="203">
        <v>92.353683471679702</v>
      </c>
      <c r="P458" s="203" t="s">
        <v>970</v>
      </c>
      <c r="R458" s="434"/>
      <c r="S458" s="426"/>
      <c r="T458" s="542">
        <v>43300</v>
      </c>
      <c r="U458" s="427"/>
    </row>
    <row r="459" spans="1:22" s="203" customFormat="1" ht="17.25" hidden="1" customHeight="1" x14ac:dyDescent="0.2">
      <c r="A459" s="426" t="s">
        <v>454</v>
      </c>
      <c r="B459" s="429" t="s">
        <v>466</v>
      </c>
      <c r="C459" s="430" t="s">
        <v>2877</v>
      </c>
      <c r="D459" s="295"/>
      <c r="E459" s="203">
        <v>220733</v>
      </c>
      <c r="J459" s="203" t="s">
        <v>969</v>
      </c>
      <c r="K459" s="203" t="s">
        <v>969</v>
      </c>
      <c r="L459" s="203" t="s">
        <v>969</v>
      </c>
      <c r="M459" s="203" t="s">
        <v>454</v>
      </c>
      <c r="N459" s="203">
        <v>20.9313354492188</v>
      </c>
      <c r="O459" s="203">
        <v>92.381462097167997</v>
      </c>
      <c r="R459" s="434"/>
      <c r="S459" s="426"/>
      <c r="T459" s="542">
        <v>43300</v>
      </c>
      <c r="U459" s="427"/>
    </row>
    <row r="460" spans="1:22" s="203" customFormat="1" ht="17.25" hidden="1" customHeight="1" x14ac:dyDescent="0.2">
      <c r="A460" s="426" t="s">
        <v>454</v>
      </c>
      <c r="B460" s="429" t="s">
        <v>466</v>
      </c>
      <c r="C460" s="430" t="s">
        <v>2828</v>
      </c>
      <c r="D460" s="295"/>
      <c r="E460" s="203">
        <v>197862</v>
      </c>
      <c r="J460" s="203" t="s">
        <v>969</v>
      </c>
      <c r="K460" s="203" t="s">
        <v>969</v>
      </c>
      <c r="L460" s="203" t="s">
        <v>969</v>
      </c>
      <c r="M460" s="203" t="s">
        <v>454</v>
      </c>
      <c r="N460" s="203">
        <v>21.094310760498001</v>
      </c>
      <c r="O460" s="203">
        <v>92.335670471191406</v>
      </c>
      <c r="R460" s="434"/>
      <c r="S460" s="426"/>
      <c r="T460" s="542">
        <v>43300</v>
      </c>
      <c r="U460" s="427"/>
    </row>
    <row r="461" spans="1:22" s="203" customFormat="1" ht="17.25" hidden="1" customHeight="1" x14ac:dyDescent="0.2">
      <c r="A461" s="203" t="s">
        <v>454</v>
      </c>
      <c r="B461" s="203" t="s">
        <v>466</v>
      </c>
      <c r="C461" s="203" t="s">
        <v>824</v>
      </c>
      <c r="D461" s="203" t="s">
        <v>2177</v>
      </c>
      <c r="E461" s="203">
        <v>220734</v>
      </c>
      <c r="J461" s="203" t="s">
        <v>969</v>
      </c>
      <c r="K461" s="203" t="s">
        <v>969</v>
      </c>
      <c r="L461" s="203" t="s">
        <v>969</v>
      </c>
      <c r="M461" s="203" t="s">
        <v>454</v>
      </c>
      <c r="N461" s="438">
        <v>20.910375595092798</v>
      </c>
      <c r="O461" s="438">
        <v>92.400138854980497</v>
      </c>
      <c r="P461" s="203" t="s">
        <v>970</v>
      </c>
      <c r="Q461" s="203" t="s">
        <v>973</v>
      </c>
      <c r="R461" s="425"/>
      <c r="S461" s="426"/>
      <c r="T461" s="542">
        <v>42926</v>
      </c>
      <c r="U461" s="427" t="s">
        <v>974</v>
      </c>
    </row>
    <row r="462" spans="1:22" s="203" customFormat="1" ht="17.25" hidden="1" customHeight="1" x14ac:dyDescent="0.2">
      <c r="A462" s="426" t="s">
        <v>454</v>
      </c>
      <c r="B462" s="429" t="s">
        <v>466</v>
      </c>
      <c r="C462" s="430" t="s">
        <v>824</v>
      </c>
      <c r="D462" s="295"/>
      <c r="E462" s="203">
        <v>220734</v>
      </c>
      <c r="J462" s="203" t="s">
        <v>969</v>
      </c>
      <c r="K462" s="203" t="s">
        <v>969</v>
      </c>
      <c r="L462" s="203" t="s">
        <v>969</v>
      </c>
      <c r="M462" s="203" t="s">
        <v>454</v>
      </c>
      <c r="N462" s="203">
        <v>20.910375595092798</v>
      </c>
      <c r="O462" s="203">
        <v>92.400138854980497</v>
      </c>
      <c r="R462" s="434"/>
      <c r="S462" s="426"/>
      <c r="T462" s="542">
        <v>43300</v>
      </c>
      <c r="U462" s="427"/>
    </row>
    <row r="463" spans="1:22" s="203" customFormat="1" ht="17.25" hidden="1" customHeight="1" x14ac:dyDescent="0.2">
      <c r="A463" s="203" t="s">
        <v>454</v>
      </c>
      <c r="B463" s="203" t="s">
        <v>466</v>
      </c>
      <c r="C463" s="203" t="s">
        <v>470</v>
      </c>
      <c r="D463" s="203" t="s">
        <v>2177</v>
      </c>
      <c r="J463" s="203" t="s">
        <v>969</v>
      </c>
      <c r="K463" s="203" t="s">
        <v>969</v>
      </c>
      <c r="L463" s="203" t="s">
        <v>969</v>
      </c>
      <c r="M463" s="203" t="s">
        <v>454</v>
      </c>
      <c r="P463" s="203" t="s">
        <v>970</v>
      </c>
      <c r="Q463" s="203" t="s">
        <v>951</v>
      </c>
      <c r="R463" s="425"/>
      <c r="S463" s="426"/>
      <c r="T463" s="542" t="s">
        <v>935</v>
      </c>
      <c r="U463" s="427"/>
      <c r="V463" s="203" t="s">
        <v>470</v>
      </c>
    </row>
    <row r="464" spans="1:22" s="203" customFormat="1" ht="17.25" hidden="1" customHeight="1" x14ac:dyDescent="0.2">
      <c r="A464" s="203" t="s">
        <v>454</v>
      </c>
      <c r="B464" s="203" t="s">
        <v>466</v>
      </c>
      <c r="C464" s="203" t="s">
        <v>472</v>
      </c>
      <c r="D464" s="203" t="s">
        <v>2177</v>
      </c>
      <c r="J464" s="203" t="s">
        <v>969</v>
      </c>
      <c r="K464" s="203" t="s">
        <v>969</v>
      </c>
      <c r="L464" s="203" t="s">
        <v>969</v>
      </c>
      <c r="M464" s="203" t="s">
        <v>966</v>
      </c>
      <c r="P464" s="203" t="s">
        <v>970</v>
      </c>
      <c r="Q464" s="203" t="s">
        <v>951</v>
      </c>
      <c r="R464" s="425"/>
      <c r="S464" s="426"/>
      <c r="T464" s="542" t="s">
        <v>935</v>
      </c>
      <c r="U464" s="427"/>
      <c r="V464" s="203" t="s">
        <v>1263</v>
      </c>
    </row>
    <row r="465" spans="1:22" s="203" customFormat="1" ht="17.25" hidden="1" customHeight="1" x14ac:dyDescent="0.2">
      <c r="A465" s="426" t="s">
        <v>454</v>
      </c>
      <c r="B465" s="429" t="s">
        <v>466</v>
      </c>
      <c r="C465" s="430" t="s">
        <v>2825</v>
      </c>
      <c r="D465" s="295"/>
      <c r="E465" s="203">
        <v>197947</v>
      </c>
      <c r="J465" s="203" t="s">
        <v>969</v>
      </c>
      <c r="K465" s="203" t="s">
        <v>969</v>
      </c>
      <c r="L465" s="203" t="s">
        <v>969</v>
      </c>
      <c r="M465" s="203" t="s">
        <v>454</v>
      </c>
      <c r="N465" s="203">
        <v>20.8991794586182</v>
      </c>
      <c r="O465" s="203">
        <v>92.404052734375</v>
      </c>
      <c r="R465" s="434"/>
      <c r="S465" s="426"/>
      <c r="T465" s="542">
        <v>43300</v>
      </c>
      <c r="U465" s="427"/>
    </row>
    <row r="466" spans="1:22" s="203" customFormat="1" ht="17.25" hidden="1" customHeight="1" x14ac:dyDescent="0.2">
      <c r="A466" s="203" t="s">
        <v>454</v>
      </c>
      <c r="B466" s="203" t="s">
        <v>466</v>
      </c>
      <c r="C466" s="203" t="s">
        <v>785</v>
      </c>
      <c r="D466" s="203" t="s">
        <v>2177</v>
      </c>
      <c r="E466" s="203" t="s">
        <v>1826</v>
      </c>
      <c r="H466" s="203" t="s">
        <v>48</v>
      </c>
      <c r="J466" s="203" t="s">
        <v>969</v>
      </c>
      <c r="K466" s="203" t="s">
        <v>969</v>
      </c>
      <c r="L466" s="203" t="s">
        <v>2177</v>
      </c>
      <c r="M466" s="203" t="s">
        <v>966</v>
      </c>
      <c r="N466" s="203">
        <v>20.819958</v>
      </c>
      <c r="O466" s="203">
        <v>92.365793999999994</v>
      </c>
      <c r="P466" s="203" t="s">
        <v>930</v>
      </c>
      <c r="Q466" s="203" t="s">
        <v>951</v>
      </c>
      <c r="R466" s="425"/>
      <c r="S466" s="426"/>
      <c r="T466" s="542">
        <v>43248</v>
      </c>
      <c r="U466" s="427" t="s">
        <v>2509</v>
      </c>
    </row>
    <row r="467" spans="1:22" s="203" customFormat="1" ht="17.25" hidden="1" customHeight="1" x14ac:dyDescent="0.2">
      <c r="A467" s="426" t="s">
        <v>454</v>
      </c>
      <c r="B467" s="429" t="s">
        <v>466</v>
      </c>
      <c r="C467" s="430" t="s">
        <v>2857</v>
      </c>
      <c r="D467" s="295"/>
      <c r="E467" s="203">
        <v>197896</v>
      </c>
      <c r="J467" s="203" t="s">
        <v>969</v>
      </c>
      <c r="K467" s="203" t="s">
        <v>969</v>
      </c>
      <c r="L467" s="203" t="s">
        <v>969</v>
      </c>
      <c r="M467" s="203" t="s">
        <v>454</v>
      </c>
      <c r="N467" s="203">
        <v>20.991559982299801</v>
      </c>
      <c r="O467" s="203">
        <v>92.290878295898395</v>
      </c>
      <c r="R467" s="434"/>
      <c r="S467" s="426"/>
      <c r="T467" s="542">
        <v>43300</v>
      </c>
      <c r="U467" s="427"/>
    </row>
    <row r="468" spans="1:22" s="203" customFormat="1" ht="17.25" hidden="1" customHeight="1" x14ac:dyDescent="0.2">
      <c r="A468" s="203" t="s">
        <v>454</v>
      </c>
      <c r="B468" s="203" t="s">
        <v>466</v>
      </c>
      <c r="C468" s="203" t="s">
        <v>835</v>
      </c>
      <c r="D468" s="203" t="s">
        <v>2177</v>
      </c>
      <c r="E468" s="203" t="s">
        <v>1863</v>
      </c>
      <c r="J468" s="203" t="s">
        <v>969</v>
      </c>
      <c r="K468" s="203" t="s">
        <v>969</v>
      </c>
      <c r="L468" s="203" t="s">
        <v>969</v>
      </c>
      <c r="M468" s="203" t="s">
        <v>454</v>
      </c>
      <c r="N468" s="203">
        <v>20.991559982299801</v>
      </c>
      <c r="O468" s="203">
        <v>92.290878295898395</v>
      </c>
      <c r="P468" s="203" t="s">
        <v>970</v>
      </c>
      <c r="Q468" s="203" t="s">
        <v>951</v>
      </c>
      <c r="R468" s="425"/>
      <c r="S468" s="426"/>
      <c r="T468" s="542" t="s">
        <v>935</v>
      </c>
      <c r="U468" s="427"/>
      <c r="V468" s="203" t="s">
        <v>835</v>
      </c>
    </row>
    <row r="469" spans="1:22" s="203" customFormat="1" ht="17.25" hidden="1" customHeight="1" x14ac:dyDescent="0.2">
      <c r="A469" s="426" t="s">
        <v>454</v>
      </c>
      <c r="B469" s="429" t="s">
        <v>466</v>
      </c>
      <c r="C469" s="430" t="s">
        <v>2862</v>
      </c>
      <c r="D469" s="295"/>
      <c r="E469" s="203">
        <v>197921</v>
      </c>
      <c r="J469" s="203" t="s">
        <v>969</v>
      </c>
      <c r="K469" s="203" t="s">
        <v>969</v>
      </c>
      <c r="L469" s="203" t="s">
        <v>969</v>
      </c>
      <c r="M469" s="203" t="s">
        <v>966</v>
      </c>
      <c r="N469" s="203">
        <v>20.946739196777301</v>
      </c>
      <c r="O469" s="203">
        <v>92.330482482910199</v>
      </c>
      <c r="R469" s="434"/>
      <c r="S469" s="426"/>
      <c r="T469" s="542">
        <v>43300</v>
      </c>
      <c r="U469" s="427"/>
    </row>
    <row r="470" spans="1:22" s="203" customFormat="1" ht="17.25" hidden="1" customHeight="1" x14ac:dyDescent="0.2">
      <c r="A470" s="426" t="s">
        <v>454</v>
      </c>
      <c r="B470" s="429" t="s">
        <v>466</v>
      </c>
      <c r="C470" s="430" t="s">
        <v>2834</v>
      </c>
      <c r="D470" s="295"/>
      <c r="E470" s="203">
        <v>197970</v>
      </c>
      <c r="J470" s="203" t="s">
        <v>969</v>
      </c>
      <c r="K470" s="203" t="s">
        <v>969</v>
      </c>
      <c r="L470" s="203" t="s">
        <v>969</v>
      </c>
      <c r="M470" s="203" t="s">
        <v>966</v>
      </c>
      <c r="N470" s="203">
        <v>20.8648490905762</v>
      </c>
      <c r="O470" s="203">
        <v>92.347358703613295</v>
      </c>
      <c r="R470" s="434"/>
      <c r="S470" s="426"/>
      <c r="T470" s="542">
        <v>43300</v>
      </c>
      <c r="U470" s="427"/>
    </row>
    <row r="471" spans="1:22" s="203" customFormat="1" ht="17.25" hidden="1" customHeight="1" x14ac:dyDescent="0.2">
      <c r="A471" s="203" t="s">
        <v>454</v>
      </c>
      <c r="B471" s="203" t="s">
        <v>466</v>
      </c>
      <c r="C471" s="203" t="s">
        <v>731</v>
      </c>
      <c r="D471" s="203" t="s">
        <v>2177</v>
      </c>
      <c r="E471" s="203" t="s">
        <v>1780</v>
      </c>
      <c r="J471" s="203" t="s">
        <v>969</v>
      </c>
      <c r="K471" s="203" t="s">
        <v>969</v>
      </c>
      <c r="L471" s="203" t="s">
        <v>969</v>
      </c>
      <c r="M471" s="203" t="s">
        <v>966</v>
      </c>
      <c r="N471" s="203">
        <v>20.720169067382798</v>
      </c>
      <c r="O471" s="203">
        <v>92.4329833984375</v>
      </c>
      <c r="P471" s="203" t="s">
        <v>970</v>
      </c>
      <c r="Q471" s="203" t="s">
        <v>951</v>
      </c>
      <c r="R471" s="425"/>
      <c r="S471" s="426"/>
      <c r="T471" s="542" t="s">
        <v>935</v>
      </c>
      <c r="U471" s="427"/>
      <c r="V471" s="203" t="s">
        <v>731</v>
      </c>
    </row>
    <row r="472" spans="1:22" s="203" customFormat="1" ht="17.25" hidden="1" customHeight="1" x14ac:dyDescent="0.2">
      <c r="A472" s="203" t="s">
        <v>454</v>
      </c>
      <c r="B472" s="203" t="s">
        <v>466</v>
      </c>
      <c r="C472" s="203" t="s">
        <v>476</v>
      </c>
      <c r="D472" s="203" t="s">
        <v>2177</v>
      </c>
      <c r="J472" s="203" t="s">
        <v>969</v>
      </c>
      <c r="K472" s="203" t="s">
        <v>969</v>
      </c>
      <c r="L472" s="203" t="s">
        <v>969</v>
      </c>
      <c r="M472" s="203" t="s">
        <v>454</v>
      </c>
      <c r="P472" s="203" t="s">
        <v>970</v>
      </c>
      <c r="Q472" s="203" t="s">
        <v>951</v>
      </c>
      <c r="R472" s="425"/>
      <c r="S472" s="426"/>
      <c r="T472" s="542" t="s">
        <v>935</v>
      </c>
      <c r="U472" s="427"/>
      <c r="V472" s="203" t="s">
        <v>476</v>
      </c>
    </row>
    <row r="473" spans="1:22" s="203" customFormat="1" ht="17.25" hidden="1" customHeight="1" x14ac:dyDescent="0.2">
      <c r="A473" s="203" t="s">
        <v>454</v>
      </c>
      <c r="B473" s="203" t="s">
        <v>466</v>
      </c>
      <c r="C473" s="203" t="s">
        <v>725</v>
      </c>
      <c r="D473" s="203" t="s">
        <v>2177</v>
      </c>
      <c r="E473" s="203" t="s">
        <v>1774</v>
      </c>
      <c r="H473" s="203" t="s">
        <v>48</v>
      </c>
      <c r="J473" s="203" t="s">
        <v>969</v>
      </c>
      <c r="K473" s="203" t="s">
        <v>969</v>
      </c>
      <c r="L473" s="203" t="s">
        <v>2177</v>
      </c>
      <c r="M473" s="203" t="s">
        <v>966</v>
      </c>
      <c r="N473" s="203">
        <v>20.714846999999999</v>
      </c>
      <c r="O473" s="203">
        <v>92.443427999999997</v>
      </c>
      <c r="P473" s="203" t="s">
        <v>930</v>
      </c>
      <c r="Q473" s="203" t="s">
        <v>951</v>
      </c>
      <c r="R473" s="425"/>
      <c r="S473" s="426"/>
      <c r="T473" s="542">
        <v>43248</v>
      </c>
      <c r="U473" s="427" t="s">
        <v>2509</v>
      </c>
    </row>
    <row r="474" spans="1:22" s="203" customFormat="1" ht="17.25" hidden="1" customHeight="1" x14ac:dyDescent="0.2">
      <c r="A474" s="203" t="s">
        <v>454</v>
      </c>
      <c r="B474" s="203" t="s">
        <v>466</v>
      </c>
      <c r="C474" s="203" t="s">
        <v>478</v>
      </c>
      <c r="D474" s="203" t="s">
        <v>2177</v>
      </c>
      <c r="J474" s="203" t="s">
        <v>969</v>
      </c>
      <c r="K474" s="203" t="s">
        <v>969</v>
      </c>
      <c r="L474" s="203" t="s">
        <v>969</v>
      </c>
      <c r="M474" s="203" t="s">
        <v>966</v>
      </c>
      <c r="P474" s="203" t="s">
        <v>970</v>
      </c>
      <c r="Q474" s="203" t="s">
        <v>951</v>
      </c>
      <c r="R474" s="425"/>
      <c r="S474" s="426"/>
      <c r="T474" s="542" t="s">
        <v>935</v>
      </c>
      <c r="U474" s="427"/>
      <c r="V474" s="203" t="s">
        <v>478</v>
      </c>
    </row>
    <row r="475" spans="1:22" s="203" customFormat="1" ht="17.25" hidden="1" customHeight="1" x14ac:dyDescent="0.2">
      <c r="A475" s="426" t="s">
        <v>454</v>
      </c>
      <c r="B475" s="429" t="s">
        <v>466</v>
      </c>
      <c r="C475" s="430" t="s">
        <v>2874</v>
      </c>
      <c r="D475" s="295"/>
      <c r="E475" s="203">
        <v>197934</v>
      </c>
      <c r="J475" s="203" t="s">
        <v>969</v>
      </c>
      <c r="K475" s="203" t="s">
        <v>969</v>
      </c>
      <c r="L475" s="203" t="s">
        <v>969</v>
      </c>
      <c r="M475" s="203" t="s">
        <v>966</v>
      </c>
      <c r="N475" s="203">
        <v>20.857500076293899</v>
      </c>
      <c r="O475" s="203">
        <v>92.357841491699205</v>
      </c>
      <c r="R475" s="434"/>
      <c r="S475" s="426"/>
      <c r="T475" s="542">
        <v>43300</v>
      </c>
      <c r="U475" s="427"/>
    </row>
    <row r="476" spans="1:22" s="203" customFormat="1" ht="17.25" hidden="1" customHeight="1" x14ac:dyDescent="0.2">
      <c r="A476" s="426" t="s">
        <v>454</v>
      </c>
      <c r="B476" s="429" t="s">
        <v>466</v>
      </c>
      <c r="C476" s="430" t="s">
        <v>814</v>
      </c>
      <c r="D476" s="295"/>
      <c r="E476" s="203">
        <v>197941</v>
      </c>
      <c r="J476" s="203" t="s">
        <v>969</v>
      </c>
      <c r="K476" s="203" t="s">
        <v>969</v>
      </c>
      <c r="L476" s="203" t="s">
        <v>969</v>
      </c>
      <c r="M476" s="203" t="s">
        <v>966</v>
      </c>
      <c r="N476" s="203">
        <v>20.831850051879901</v>
      </c>
      <c r="O476" s="203">
        <v>92.359428405761705</v>
      </c>
      <c r="R476" s="434"/>
      <c r="S476" s="426"/>
      <c r="T476" s="542">
        <v>43300</v>
      </c>
      <c r="U476" s="427"/>
    </row>
    <row r="477" spans="1:22" s="203" customFormat="1" ht="17.25" hidden="1" customHeight="1" x14ac:dyDescent="0.2">
      <c r="A477" s="426" t="s">
        <v>454</v>
      </c>
      <c r="B477" s="429" t="s">
        <v>466</v>
      </c>
      <c r="C477" s="430" t="s">
        <v>2851</v>
      </c>
      <c r="D477" s="295"/>
      <c r="E477" s="203">
        <v>197872</v>
      </c>
      <c r="J477" s="203" t="s">
        <v>969</v>
      </c>
      <c r="K477" s="203" t="s">
        <v>969</v>
      </c>
      <c r="L477" s="203" t="s">
        <v>969</v>
      </c>
      <c r="M477" s="203" t="s">
        <v>2870</v>
      </c>
      <c r="N477" s="203">
        <v>21.072120666503899</v>
      </c>
      <c r="O477" s="203">
        <v>92.314163208007798</v>
      </c>
      <c r="R477" s="434"/>
      <c r="S477" s="426"/>
      <c r="T477" s="542">
        <v>43300</v>
      </c>
      <c r="U477" s="427"/>
    </row>
    <row r="478" spans="1:22" s="203" customFormat="1" ht="17.25" hidden="1" customHeight="1" x14ac:dyDescent="0.2">
      <c r="A478" s="203" t="s">
        <v>454</v>
      </c>
      <c r="B478" s="203" t="s">
        <v>466</v>
      </c>
      <c r="C478" s="203" t="s">
        <v>724</v>
      </c>
      <c r="D478" s="203" t="s">
        <v>2177</v>
      </c>
      <c r="E478" s="203" t="s">
        <v>1773</v>
      </c>
      <c r="J478" s="203" t="s">
        <v>969</v>
      </c>
      <c r="K478" s="203" t="s">
        <v>969</v>
      </c>
      <c r="L478" s="203" t="s">
        <v>969</v>
      </c>
      <c r="M478" s="203" t="s">
        <v>966</v>
      </c>
      <c r="N478" s="203">
        <v>20.7145595550537</v>
      </c>
      <c r="O478" s="203">
        <v>92.435226440429702</v>
      </c>
      <c r="P478" s="203" t="s">
        <v>970</v>
      </c>
      <c r="Q478" s="203" t="s">
        <v>951</v>
      </c>
      <c r="R478" s="425"/>
      <c r="S478" s="426"/>
      <c r="T478" s="542" t="s">
        <v>935</v>
      </c>
      <c r="U478" s="427"/>
      <c r="V478" s="203" t="s">
        <v>724</v>
      </c>
    </row>
    <row r="479" spans="1:22" s="203" customFormat="1" ht="17.25" hidden="1" customHeight="1" x14ac:dyDescent="0.2">
      <c r="A479" s="203" t="s">
        <v>454</v>
      </c>
      <c r="B479" s="203" t="s">
        <v>466</v>
      </c>
      <c r="C479" s="203" t="s">
        <v>846</v>
      </c>
      <c r="D479" s="203" t="s">
        <v>2177</v>
      </c>
      <c r="J479" s="203" t="s">
        <v>969</v>
      </c>
      <c r="K479" s="203" t="s">
        <v>969</v>
      </c>
      <c r="L479" s="203" t="s">
        <v>969</v>
      </c>
      <c r="M479" s="203" t="s">
        <v>846</v>
      </c>
      <c r="N479" s="203">
        <v>21.027990341186499</v>
      </c>
      <c r="O479" s="203">
        <v>92.298881530761705</v>
      </c>
      <c r="P479" s="203" t="s">
        <v>970</v>
      </c>
      <c r="Q479" s="203" t="s">
        <v>951</v>
      </c>
      <c r="R479" s="425"/>
      <c r="S479" s="426"/>
      <c r="T479" s="542" t="s">
        <v>935</v>
      </c>
      <c r="U479" s="427"/>
      <c r="V479" s="203" t="s">
        <v>846</v>
      </c>
    </row>
    <row r="480" spans="1:22" s="203" customFormat="1" ht="17.25" hidden="1" customHeight="1" x14ac:dyDescent="0.2">
      <c r="A480" s="426" t="s">
        <v>454</v>
      </c>
      <c r="B480" s="429" t="s">
        <v>466</v>
      </c>
      <c r="C480" s="430" t="s">
        <v>846</v>
      </c>
      <c r="D480" s="295"/>
      <c r="E480" s="203">
        <v>220731</v>
      </c>
      <c r="J480" s="203" t="s">
        <v>969</v>
      </c>
      <c r="K480" s="203" t="s">
        <v>969</v>
      </c>
      <c r="L480" s="203" t="s">
        <v>969</v>
      </c>
      <c r="M480" s="203" t="s">
        <v>846</v>
      </c>
      <c r="N480" s="203">
        <v>21.027990341186499</v>
      </c>
      <c r="O480" s="203">
        <v>92.298881530761705</v>
      </c>
      <c r="R480" s="434"/>
      <c r="S480" s="426"/>
      <c r="T480" s="542">
        <v>43300</v>
      </c>
      <c r="U480" s="427"/>
    </row>
    <row r="481" spans="1:22" s="203" customFormat="1" ht="17.25" hidden="1" customHeight="1" x14ac:dyDescent="0.2">
      <c r="A481" s="203" t="s">
        <v>454</v>
      </c>
      <c r="B481" s="203" t="s">
        <v>466</v>
      </c>
      <c r="C481" s="203" t="s">
        <v>723</v>
      </c>
      <c r="D481" s="203" t="s">
        <v>2177</v>
      </c>
      <c r="E481" s="203" t="s">
        <v>1772</v>
      </c>
      <c r="H481" s="203" t="s">
        <v>48</v>
      </c>
      <c r="J481" s="203" t="s">
        <v>969</v>
      </c>
      <c r="K481" s="203" t="s">
        <v>969</v>
      </c>
      <c r="L481" s="203" t="s">
        <v>2177</v>
      </c>
      <c r="M481" s="203" t="s">
        <v>966</v>
      </c>
      <c r="N481" s="203">
        <v>20.713882999999999</v>
      </c>
      <c r="O481" s="203">
        <v>92.435378</v>
      </c>
      <c r="P481" s="203" t="s">
        <v>930</v>
      </c>
      <c r="Q481" s="203" t="s">
        <v>951</v>
      </c>
      <c r="R481" s="425"/>
      <c r="S481" s="426"/>
      <c r="T481" s="542">
        <v>43248</v>
      </c>
      <c r="U481" s="427" t="s">
        <v>2509</v>
      </c>
    </row>
    <row r="482" spans="1:22" s="203" customFormat="1" ht="17.25" hidden="1" customHeight="1" x14ac:dyDescent="0.2">
      <c r="A482" s="203" t="s">
        <v>454</v>
      </c>
      <c r="B482" s="203" t="s">
        <v>466</v>
      </c>
      <c r="C482" s="203" t="s">
        <v>832</v>
      </c>
      <c r="D482" s="203" t="s">
        <v>2177</v>
      </c>
      <c r="E482" s="203">
        <v>197913</v>
      </c>
      <c r="J482" s="203" t="s">
        <v>969</v>
      </c>
      <c r="K482" s="203" t="s">
        <v>969</v>
      </c>
      <c r="L482" s="203" t="s">
        <v>969</v>
      </c>
      <c r="M482" s="203" t="s">
        <v>454</v>
      </c>
      <c r="N482" s="203">
        <v>20.987419128418001</v>
      </c>
      <c r="O482" s="203">
        <v>92.362136840820298</v>
      </c>
      <c r="P482" s="203" t="s">
        <v>970</v>
      </c>
      <c r="Q482" s="203" t="s">
        <v>973</v>
      </c>
      <c r="R482" s="425"/>
      <c r="S482" s="426"/>
      <c r="T482" s="542">
        <v>42926</v>
      </c>
      <c r="U482" s="427" t="s">
        <v>974</v>
      </c>
    </row>
    <row r="483" spans="1:22" s="203" customFormat="1" ht="17.25" hidden="1" customHeight="1" x14ac:dyDescent="0.2">
      <c r="A483" s="203" t="s">
        <v>454</v>
      </c>
      <c r="B483" s="203" t="s">
        <v>466</v>
      </c>
      <c r="C483" s="203" t="s">
        <v>833</v>
      </c>
      <c r="D483" s="203" t="s">
        <v>2177</v>
      </c>
      <c r="E483" s="203">
        <v>197913</v>
      </c>
      <c r="J483" s="203" t="s">
        <v>969</v>
      </c>
      <c r="K483" s="203" t="s">
        <v>969</v>
      </c>
      <c r="L483" s="203" t="s">
        <v>969</v>
      </c>
      <c r="M483" s="203" t="s">
        <v>966</v>
      </c>
      <c r="N483" s="203">
        <v>20.987419128418001</v>
      </c>
      <c r="O483" s="203">
        <v>92.362136840820298</v>
      </c>
      <c r="P483" s="203" t="s">
        <v>970</v>
      </c>
      <c r="Q483" s="203" t="s">
        <v>951</v>
      </c>
      <c r="R483" s="425"/>
      <c r="S483" s="426"/>
      <c r="T483" s="542">
        <v>42745</v>
      </c>
      <c r="U483" s="427"/>
      <c r="V483" s="203" t="s">
        <v>1123</v>
      </c>
    </row>
    <row r="484" spans="1:22" s="203" customFormat="1" ht="17.25" hidden="1" customHeight="1" x14ac:dyDescent="0.2">
      <c r="A484" s="426" t="s">
        <v>454</v>
      </c>
      <c r="B484" s="429" t="s">
        <v>466</v>
      </c>
      <c r="C484" s="430" t="s">
        <v>2878</v>
      </c>
      <c r="D484" s="295"/>
      <c r="E484" s="203">
        <v>197913</v>
      </c>
      <c r="J484" s="203" t="s">
        <v>969</v>
      </c>
      <c r="K484" s="203" t="s">
        <v>969</v>
      </c>
      <c r="L484" s="203" t="s">
        <v>969</v>
      </c>
      <c r="M484" s="203" t="s">
        <v>454</v>
      </c>
      <c r="N484" s="203">
        <v>20.987419128418001</v>
      </c>
      <c r="O484" s="203">
        <v>92.362136840820298</v>
      </c>
      <c r="R484" s="434"/>
      <c r="S484" s="426"/>
      <c r="T484" s="542">
        <v>43300</v>
      </c>
      <c r="U484" s="427"/>
    </row>
    <row r="485" spans="1:22" s="203" customFormat="1" ht="17.25" hidden="1" customHeight="1" x14ac:dyDescent="0.2">
      <c r="A485" s="426" t="s">
        <v>454</v>
      </c>
      <c r="B485" s="429" t="s">
        <v>466</v>
      </c>
      <c r="C485" s="430" t="s">
        <v>2865</v>
      </c>
      <c r="D485" s="295"/>
      <c r="E485" s="203">
        <v>198084</v>
      </c>
      <c r="J485" s="203" t="s">
        <v>969</v>
      </c>
      <c r="K485" s="203" t="s">
        <v>969</v>
      </c>
      <c r="L485" s="203" t="s">
        <v>969</v>
      </c>
      <c r="M485" s="203" t="s">
        <v>454</v>
      </c>
      <c r="N485" s="203">
        <v>20.512519836425799</v>
      </c>
      <c r="O485" s="203">
        <v>92.582893371582003</v>
      </c>
      <c r="R485" s="434"/>
      <c r="S485" s="426"/>
      <c r="T485" s="542">
        <v>43300</v>
      </c>
      <c r="U485" s="427"/>
    </row>
    <row r="486" spans="1:22" s="203" customFormat="1" ht="17.25" hidden="1" customHeight="1" x14ac:dyDescent="0.2">
      <c r="A486" s="426" t="s">
        <v>454</v>
      </c>
      <c r="B486" s="429" t="s">
        <v>466</v>
      </c>
      <c r="C486" s="430" t="s">
        <v>2893</v>
      </c>
      <c r="D486" s="295"/>
      <c r="J486" s="203" t="s">
        <v>969</v>
      </c>
      <c r="K486" s="203" t="s">
        <v>969</v>
      </c>
      <c r="L486" s="203" t="s">
        <v>969</v>
      </c>
      <c r="M486" s="203" t="s">
        <v>454</v>
      </c>
      <c r="R486" s="434"/>
      <c r="S486" s="426"/>
      <c r="T486" s="542">
        <v>43300</v>
      </c>
      <c r="U486" s="427"/>
    </row>
    <row r="487" spans="1:22" s="203" customFormat="1" ht="17.25" hidden="1" customHeight="1" x14ac:dyDescent="0.2">
      <c r="A487" s="430" t="s">
        <v>454</v>
      </c>
      <c r="B487" s="429" t="s">
        <v>466</v>
      </c>
      <c r="C487" s="294" t="s">
        <v>2512</v>
      </c>
      <c r="D487" s="432"/>
      <c r="E487" s="203">
        <v>197969</v>
      </c>
      <c r="J487" s="203" t="s">
        <v>969</v>
      </c>
      <c r="K487" s="203" t="s">
        <v>969</v>
      </c>
      <c r="L487" s="203" t="s">
        <v>969</v>
      </c>
      <c r="M487" s="203" t="s">
        <v>966</v>
      </c>
      <c r="N487" s="203">
        <v>20.866529464721701</v>
      </c>
      <c r="O487" s="203">
        <v>92.364883422851605</v>
      </c>
      <c r="P487" s="203" t="s">
        <v>970</v>
      </c>
      <c r="Q487" s="294" t="s">
        <v>2516</v>
      </c>
      <c r="R487" s="434"/>
      <c r="S487" s="426"/>
      <c r="T487" s="543">
        <v>43245</v>
      </c>
      <c r="U487" s="427"/>
    </row>
    <row r="488" spans="1:22" s="203" customFormat="1" ht="17.25" hidden="1" customHeight="1" x14ac:dyDescent="0.2">
      <c r="A488" s="426" t="s">
        <v>454</v>
      </c>
      <c r="B488" s="429" t="s">
        <v>466</v>
      </c>
      <c r="C488" s="430" t="s">
        <v>2876</v>
      </c>
      <c r="D488" s="295"/>
      <c r="E488" s="203">
        <v>197936</v>
      </c>
      <c r="J488" s="203" t="s">
        <v>969</v>
      </c>
      <c r="K488" s="203" t="s">
        <v>969</v>
      </c>
      <c r="L488" s="203" t="s">
        <v>969</v>
      </c>
      <c r="M488" s="203" t="s">
        <v>454</v>
      </c>
      <c r="N488" s="203">
        <v>20.849939346313501</v>
      </c>
      <c r="O488" s="203">
        <v>92.348213195800795</v>
      </c>
      <c r="R488" s="434"/>
      <c r="S488" s="426"/>
      <c r="T488" s="542">
        <v>43300</v>
      </c>
      <c r="U488" s="427"/>
    </row>
    <row r="489" spans="1:22" s="203" customFormat="1" ht="17.25" hidden="1" customHeight="1" x14ac:dyDescent="0.2">
      <c r="A489" s="426" t="s">
        <v>454</v>
      </c>
      <c r="B489" s="429" t="s">
        <v>466</v>
      </c>
      <c r="C489" s="430" t="s">
        <v>2840</v>
      </c>
      <c r="D489" s="295"/>
      <c r="E489" s="203">
        <v>197986</v>
      </c>
      <c r="J489" s="203" t="s">
        <v>969</v>
      </c>
      <c r="K489" s="203" t="s">
        <v>969</v>
      </c>
      <c r="L489" s="203" t="s">
        <v>969</v>
      </c>
      <c r="M489" s="203" t="s">
        <v>966</v>
      </c>
      <c r="N489" s="203">
        <v>20.819730758666999</v>
      </c>
      <c r="O489" s="203">
        <v>92.376846313476605</v>
      </c>
      <c r="R489" s="434"/>
      <c r="S489" s="426"/>
      <c r="T489" s="542">
        <v>43300</v>
      </c>
      <c r="U489" s="427"/>
    </row>
    <row r="490" spans="1:22" s="203" customFormat="1" ht="17.25" hidden="1" customHeight="1" x14ac:dyDescent="0.2">
      <c r="A490" s="426" t="s">
        <v>454</v>
      </c>
      <c r="B490" s="429" t="s">
        <v>466</v>
      </c>
      <c r="C490" s="430" t="s">
        <v>528</v>
      </c>
      <c r="D490" s="295"/>
      <c r="E490" s="203">
        <v>197967</v>
      </c>
      <c r="J490" s="203" t="s">
        <v>969</v>
      </c>
      <c r="K490" s="203" t="s">
        <v>969</v>
      </c>
      <c r="L490" s="203" t="s">
        <v>969</v>
      </c>
      <c r="M490" s="203" t="s">
        <v>966</v>
      </c>
      <c r="N490" s="203">
        <v>20.872419357299801</v>
      </c>
      <c r="O490" s="203">
        <v>92.352493286132798</v>
      </c>
      <c r="R490" s="434"/>
      <c r="S490" s="426"/>
      <c r="T490" s="542">
        <v>43300</v>
      </c>
      <c r="U490" s="427"/>
    </row>
    <row r="491" spans="1:22" s="203" customFormat="1" ht="17.25" hidden="1" customHeight="1" x14ac:dyDescent="0.2">
      <c r="A491" s="426" t="s">
        <v>454</v>
      </c>
      <c r="B491" s="429" t="s">
        <v>466</v>
      </c>
      <c r="C491" s="430" t="s">
        <v>2875</v>
      </c>
      <c r="D491" s="295"/>
      <c r="E491" s="203">
        <v>197935</v>
      </c>
      <c r="J491" s="203" t="s">
        <v>969</v>
      </c>
      <c r="K491" s="203" t="s">
        <v>969</v>
      </c>
      <c r="L491" s="203" t="s">
        <v>969</v>
      </c>
      <c r="M491" s="203" t="s">
        <v>966</v>
      </c>
      <c r="N491" s="203">
        <v>20.850080490112301</v>
      </c>
      <c r="O491" s="203">
        <v>92.353576660156307</v>
      </c>
      <c r="R491" s="434"/>
      <c r="S491" s="426"/>
      <c r="T491" s="542">
        <v>43300</v>
      </c>
      <c r="U491" s="427"/>
    </row>
    <row r="492" spans="1:22" s="203" customFormat="1" ht="17.25" hidden="1" customHeight="1" x14ac:dyDescent="0.2">
      <c r="A492" s="203" t="s">
        <v>454</v>
      </c>
      <c r="B492" s="203" t="s">
        <v>466</v>
      </c>
      <c r="C492" s="203" t="s">
        <v>795</v>
      </c>
      <c r="D492" s="203" t="s">
        <v>2177</v>
      </c>
      <c r="E492" s="203" t="s">
        <v>1836</v>
      </c>
      <c r="J492" s="203" t="s">
        <v>969</v>
      </c>
      <c r="K492" s="203" t="s">
        <v>969</v>
      </c>
      <c r="L492" s="203" t="s">
        <v>969</v>
      </c>
      <c r="M492" s="203" t="s">
        <v>966</v>
      </c>
      <c r="N492" s="203">
        <v>20.830490112304702</v>
      </c>
      <c r="O492" s="203">
        <v>92.393707275390597</v>
      </c>
      <c r="P492" s="203" t="s">
        <v>970</v>
      </c>
      <c r="Q492" s="203" t="s">
        <v>951</v>
      </c>
      <c r="R492" s="425"/>
      <c r="S492" s="426"/>
      <c r="T492" s="542" t="s">
        <v>935</v>
      </c>
      <c r="U492" s="427"/>
      <c r="V492" s="203" t="s">
        <v>795</v>
      </c>
    </row>
    <row r="493" spans="1:22" s="203" customFormat="1" ht="17.25" hidden="1" customHeight="1" x14ac:dyDescent="0.2">
      <c r="A493" s="203" t="s">
        <v>454</v>
      </c>
      <c r="B493" s="203" t="s">
        <v>466</v>
      </c>
      <c r="C493" s="203" t="s">
        <v>791</v>
      </c>
      <c r="D493" s="203" t="s">
        <v>2177</v>
      </c>
      <c r="E493" s="203" t="s">
        <v>1832</v>
      </c>
      <c r="J493" s="203" t="s">
        <v>969</v>
      </c>
      <c r="K493" s="203" t="s">
        <v>969</v>
      </c>
      <c r="L493" s="203" t="s">
        <v>969</v>
      </c>
      <c r="M493" s="203" t="s">
        <v>966</v>
      </c>
      <c r="N493" s="203">
        <v>20.824989318847699</v>
      </c>
      <c r="O493" s="203">
        <v>92.390571594238295</v>
      </c>
      <c r="P493" s="203" t="s">
        <v>970</v>
      </c>
      <c r="Q493" s="203" t="s">
        <v>951</v>
      </c>
      <c r="R493" s="425"/>
      <c r="S493" s="426"/>
      <c r="T493" s="542" t="s">
        <v>935</v>
      </c>
      <c r="U493" s="427"/>
      <c r="V493" s="203" t="s">
        <v>791</v>
      </c>
    </row>
    <row r="494" spans="1:22" s="203" customFormat="1" ht="17.25" hidden="1" customHeight="1" x14ac:dyDescent="0.2">
      <c r="A494" s="426" t="s">
        <v>454</v>
      </c>
      <c r="B494" s="429" t="s">
        <v>466</v>
      </c>
      <c r="C494" s="430" t="s">
        <v>2822</v>
      </c>
      <c r="D494" s="295"/>
      <c r="E494" s="203">
        <v>197937</v>
      </c>
      <c r="J494" s="203" t="s">
        <v>969</v>
      </c>
      <c r="K494" s="203" t="s">
        <v>969</v>
      </c>
      <c r="L494" s="203" t="s">
        <v>969</v>
      </c>
      <c r="M494" s="203" t="s">
        <v>966</v>
      </c>
      <c r="N494" s="203">
        <v>20.845720291137699</v>
      </c>
      <c r="O494" s="203">
        <v>92.353950500488295</v>
      </c>
      <c r="R494" s="434"/>
      <c r="S494" s="426"/>
      <c r="T494" s="542">
        <v>43300</v>
      </c>
      <c r="U494" s="427"/>
    </row>
    <row r="495" spans="1:22" s="203" customFormat="1" ht="17.25" hidden="1" customHeight="1" x14ac:dyDescent="0.2">
      <c r="A495" s="203" t="s">
        <v>454</v>
      </c>
      <c r="B495" s="203" t="s">
        <v>466</v>
      </c>
      <c r="C495" s="203" t="s">
        <v>787</v>
      </c>
      <c r="D495" s="203" t="s">
        <v>2177</v>
      </c>
      <c r="E495" s="203" t="s">
        <v>1828</v>
      </c>
      <c r="J495" s="203" t="s">
        <v>969</v>
      </c>
      <c r="K495" s="203" t="s">
        <v>969</v>
      </c>
      <c r="L495" s="203" t="s">
        <v>969</v>
      </c>
      <c r="M495" s="203" t="s">
        <v>454</v>
      </c>
      <c r="N495" s="203">
        <v>20.822059631347699</v>
      </c>
      <c r="O495" s="203">
        <v>92.416908264160199</v>
      </c>
      <c r="P495" s="203" t="s">
        <v>970</v>
      </c>
      <c r="Q495" s="203" t="s">
        <v>951</v>
      </c>
      <c r="R495" s="425"/>
      <c r="S495" s="426"/>
      <c r="T495" s="542" t="s">
        <v>935</v>
      </c>
      <c r="U495" s="427"/>
      <c r="V495" s="203" t="s">
        <v>787</v>
      </c>
    </row>
    <row r="496" spans="1:22" s="203" customFormat="1" ht="17.25" hidden="1" customHeight="1" x14ac:dyDescent="0.2">
      <c r="A496" s="203" t="s">
        <v>454</v>
      </c>
      <c r="B496" s="203" t="s">
        <v>466</v>
      </c>
      <c r="C496" s="203" t="s">
        <v>769</v>
      </c>
      <c r="D496" s="203" t="s">
        <v>2177</v>
      </c>
      <c r="E496" s="203" t="s">
        <v>1815</v>
      </c>
      <c r="J496" s="203" t="s">
        <v>969</v>
      </c>
      <c r="K496" s="203" t="s">
        <v>969</v>
      </c>
      <c r="L496" s="203" t="s">
        <v>969</v>
      </c>
      <c r="M496" s="203" t="s">
        <v>454</v>
      </c>
      <c r="N496" s="203">
        <v>20.8013000488281</v>
      </c>
      <c r="O496" s="203">
        <v>92.423202514648395</v>
      </c>
      <c r="P496" s="203" t="s">
        <v>970</v>
      </c>
      <c r="Q496" s="203" t="s">
        <v>951</v>
      </c>
      <c r="R496" s="425"/>
      <c r="S496" s="426"/>
      <c r="T496" s="542" t="s">
        <v>935</v>
      </c>
      <c r="U496" s="427"/>
      <c r="V496" s="203" t="s">
        <v>769</v>
      </c>
    </row>
    <row r="497" spans="1:22" s="203" customFormat="1" ht="17.25" hidden="1" customHeight="1" x14ac:dyDescent="0.2">
      <c r="A497" s="426" t="s">
        <v>454</v>
      </c>
      <c r="B497" s="429" t="s">
        <v>466</v>
      </c>
      <c r="C497" s="430" t="s">
        <v>2859</v>
      </c>
      <c r="D497" s="295"/>
      <c r="E497" s="203">
        <v>197890</v>
      </c>
      <c r="J497" s="203" t="s">
        <v>969</v>
      </c>
      <c r="K497" s="203" t="s">
        <v>969</v>
      </c>
      <c r="L497" s="203" t="s">
        <v>969</v>
      </c>
      <c r="M497" s="203" t="s">
        <v>454</v>
      </c>
      <c r="N497" s="203">
        <v>21.0165691375732</v>
      </c>
      <c r="O497" s="203">
        <v>92.307716369628906</v>
      </c>
      <c r="R497" s="434"/>
      <c r="S497" s="426"/>
      <c r="T497" s="542">
        <v>43300</v>
      </c>
      <c r="U497" s="427"/>
    </row>
    <row r="498" spans="1:22" s="203" customFormat="1" ht="17.25" hidden="1" customHeight="1" x14ac:dyDescent="0.2">
      <c r="A498" s="203" t="s">
        <v>454</v>
      </c>
      <c r="B498" s="203" t="s">
        <v>466</v>
      </c>
      <c r="C498" s="203" t="s">
        <v>483</v>
      </c>
      <c r="D498" s="203" t="s">
        <v>2177</v>
      </c>
      <c r="J498" s="203" t="s">
        <v>969</v>
      </c>
      <c r="K498" s="203" t="s">
        <v>969</v>
      </c>
      <c r="L498" s="203" t="s">
        <v>969</v>
      </c>
      <c r="M498" s="203" t="s">
        <v>966</v>
      </c>
      <c r="P498" s="203" t="s">
        <v>970</v>
      </c>
      <c r="Q498" s="203" t="s">
        <v>951</v>
      </c>
      <c r="R498" s="425"/>
      <c r="S498" s="426"/>
      <c r="T498" s="542"/>
      <c r="U498" s="427"/>
    </row>
    <row r="499" spans="1:22" s="203" customFormat="1" ht="17.25" hidden="1" customHeight="1" x14ac:dyDescent="0.2">
      <c r="A499" s="203" t="s">
        <v>454</v>
      </c>
      <c r="B499" s="203" t="s">
        <v>466</v>
      </c>
      <c r="C499" s="203" t="s">
        <v>751</v>
      </c>
      <c r="D499" s="203" t="s">
        <v>2177</v>
      </c>
      <c r="E499" s="203" t="s">
        <v>1800</v>
      </c>
      <c r="J499" s="203" t="s">
        <v>969</v>
      </c>
      <c r="K499" s="203" t="s">
        <v>969</v>
      </c>
      <c r="L499" s="203" t="s">
        <v>969</v>
      </c>
      <c r="M499" s="203" t="s">
        <v>454</v>
      </c>
      <c r="N499" s="438">
        <v>20.7652397155762</v>
      </c>
      <c r="O499" s="438">
        <v>92.422332763671903</v>
      </c>
      <c r="P499" s="203" t="s">
        <v>970</v>
      </c>
      <c r="Q499" s="203" t="s">
        <v>951</v>
      </c>
      <c r="R499" s="425"/>
      <c r="S499" s="426"/>
      <c r="T499" s="542" t="s">
        <v>935</v>
      </c>
      <c r="U499" s="427"/>
      <c r="V499" s="203" t="s">
        <v>1105</v>
      </c>
    </row>
    <row r="500" spans="1:22" s="203" customFormat="1" ht="17.25" hidden="1" customHeight="1" x14ac:dyDescent="0.2">
      <c r="A500" s="203" t="s">
        <v>454</v>
      </c>
      <c r="B500" s="203" t="s">
        <v>466</v>
      </c>
      <c r="C500" s="203" t="s">
        <v>841</v>
      </c>
      <c r="D500" s="203" t="s">
        <v>2177</v>
      </c>
      <c r="E500" s="203" t="s">
        <v>1865</v>
      </c>
      <c r="J500" s="203" t="s">
        <v>969</v>
      </c>
      <c r="K500" s="203" t="s">
        <v>969</v>
      </c>
      <c r="L500" s="203" t="s">
        <v>969</v>
      </c>
      <c r="M500" s="203" t="s">
        <v>454</v>
      </c>
      <c r="N500" s="203">
        <v>21.0165691375732</v>
      </c>
      <c r="O500" s="203">
        <v>92.307716369628906</v>
      </c>
      <c r="P500" s="203" t="s">
        <v>970</v>
      </c>
      <c r="Q500" s="203" t="s">
        <v>951</v>
      </c>
      <c r="R500" s="425"/>
      <c r="S500" s="426"/>
      <c r="T500" s="542" t="s">
        <v>935</v>
      </c>
      <c r="U500" s="427"/>
      <c r="V500" s="203" t="s">
        <v>841</v>
      </c>
    </row>
    <row r="501" spans="1:22" s="203" customFormat="1" ht="17.25" hidden="1" customHeight="1" x14ac:dyDescent="0.2">
      <c r="A501" s="203" t="s">
        <v>454</v>
      </c>
      <c r="B501" s="203" t="s">
        <v>466</v>
      </c>
      <c r="C501" s="203" t="s">
        <v>726</v>
      </c>
      <c r="D501" s="203" t="s">
        <v>2177</v>
      </c>
      <c r="E501" s="203" t="s">
        <v>1775</v>
      </c>
      <c r="J501" s="203" t="s">
        <v>969</v>
      </c>
      <c r="K501" s="203" t="s">
        <v>969</v>
      </c>
      <c r="L501" s="203" t="s">
        <v>969</v>
      </c>
      <c r="M501" s="203" t="s">
        <v>454</v>
      </c>
      <c r="N501" s="438">
        <v>20.716121673583999</v>
      </c>
      <c r="O501" s="438">
        <v>92.442459106445298</v>
      </c>
      <c r="P501" s="203" t="s">
        <v>970</v>
      </c>
      <c r="Q501" s="203" t="s">
        <v>951</v>
      </c>
      <c r="R501" s="425"/>
      <c r="S501" s="426"/>
      <c r="T501" s="542" t="s">
        <v>935</v>
      </c>
      <c r="U501" s="427"/>
      <c r="V501" s="203" t="s">
        <v>1101</v>
      </c>
    </row>
    <row r="502" spans="1:22" s="203" customFormat="1" ht="17.25" hidden="1" customHeight="1" x14ac:dyDescent="0.2">
      <c r="A502" s="203" t="s">
        <v>454</v>
      </c>
      <c r="B502" s="203" t="s">
        <v>466</v>
      </c>
      <c r="C502" s="203" t="s">
        <v>692</v>
      </c>
      <c r="D502" s="203" t="s">
        <v>2177</v>
      </c>
      <c r="E502" s="203">
        <v>198024</v>
      </c>
      <c r="J502" s="203" t="s">
        <v>969</v>
      </c>
      <c r="K502" s="203" t="s">
        <v>969</v>
      </c>
      <c r="L502" s="203" t="s">
        <v>969</v>
      </c>
      <c r="M502" s="203" t="s">
        <v>966</v>
      </c>
      <c r="N502" s="203">
        <v>20.6693000793457</v>
      </c>
      <c r="O502" s="203">
        <v>92.465759277343807</v>
      </c>
      <c r="P502" s="203" t="s">
        <v>970</v>
      </c>
      <c r="Q502" s="203" t="s">
        <v>951</v>
      </c>
      <c r="R502" s="425"/>
      <c r="S502" s="426"/>
      <c r="T502" s="542">
        <v>42745</v>
      </c>
      <c r="U502" s="427"/>
      <c r="V502" s="203" t="s">
        <v>1095</v>
      </c>
    </row>
    <row r="503" spans="1:22" s="203" customFormat="1" ht="17.25" hidden="1" customHeight="1" x14ac:dyDescent="0.2">
      <c r="A503" s="203" t="s">
        <v>454</v>
      </c>
      <c r="B503" s="203" t="s">
        <v>466</v>
      </c>
      <c r="C503" s="203" t="s">
        <v>847</v>
      </c>
      <c r="D503" s="203" t="s">
        <v>2177</v>
      </c>
      <c r="E503" s="203" t="s">
        <v>1868</v>
      </c>
      <c r="J503" s="203" t="s">
        <v>969</v>
      </c>
      <c r="K503" s="203" t="s">
        <v>969</v>
      </c>
      <c r="L503" s="203" t="s">
        <v>969</v>
      </c>
      <c r="M503" s="203" t="s">
        <v>966</v>
      </c>
      <c r="N503" s="203">
        <v>21.048660278320298</v>
      </c>
      <c r="O503" s="203">
        <v>92.293350219726605</v>
      </c>
      <c r="P503" s="203" t="s">
        <v>970</v>
      </c>
      <c r="Q503" s="203" t="s">
        <v>951</v>
      </c>
      <c r="R503" s="425"/>
      <c r="S503" s="426"/>
      <c r="T503" s="542" t="s">
        <v>935</v>
      </c>
      <c r="U503" s="427"/>
      <c r="V503" s="203" t="s">
        <v>847</v>
      </c>
    </row>
    <row r="504" spans="1:22" s="203" customFormat="1" ht="17.25" hidden="1" customHeight="1" x14ac:dyDescent="0.2">
      <c r="A504" s="426" t="s">
        <v>454</v>
      </c>
      <c r="B504" s="429" t="s">
        <v>466</v>
      </c>
      <c r="C504" s="430" t="s">
        <v>2850</v>
      </c>
      <c r="D504" s="295"/>
      <c r="E504" s="203">
        <v>198094</v>
      </c>
      <c r="J504" s="203" t="s">
        <v>969</v>
      </c>
      <c r="K504" s="203" t="s">
        <v>969</v>
      </c>
      <c r="L504" s="203" t="s">
        <v>969</v>
      </c>
      <c r="M504" s="203" t="s">
        <v>454</v>
      </c>
      <c r="N504" s="203">
        <v>21.157270431518601</v>
      </c>
      <c r="O504" s="203">
        <v>92.209739685058594</v>
      </c>
      <c r="R504" s="434"/>
      <c r="S504" s="426"/>
      <c r="T504" s="542">
        <v>43300</v>
      </c>
      <c r="U504" s="427"/>
    </row>
    <row r="505" spans="1:22" s="203" customFormat="1" ht="17.25" hidden="1" customHeight="1" x14ac:dyDescent="0.2">
      <c r="A505" s="426" t="s">
        <v>454</v>
      </c>
      <c r="B505" s="429" t="s">
        <v>466</v>
      </c>
      <c r="C505" s="430" t="s">
        <v>2837</v>
      </c>
      <c r="D505" s="295"/>
      <c r="E505" s="203">
        <v>197950</v>
      </c>
      <c r="J505" s="203" t="s">
        <v>969</v>
      </c>
      <c r="K505" s="203" t="s">
        <v>969</v>
      </c>
      <c r="L505" s="203" t="s">
        <v>969</v>
      </c>
      <c r="M505" s="203" t="s">
        <v>966</v>
      </c>
      <c r="N505" s="203">
        <v>20.914119720458999</v>
      </c>
      <c r="O505" s="203">
        <v>92.350601196289105</v>
      </c>
      <c r="R505" s="434"/>
      <c r="S505" s="426"/>
      <c r="T505" s="542">
        <v>43300</v>
      </c>
      <c r="U505" s="427"/>
    </row>
    <row r="506" spans="1:22" s="203" customFormat="1" ht="17.25" hidden="1" customHeight="1" x14ac:dyDescent="0.2">
      <c r="A506" s="426" t="s">
        <v>454</v>
      </c>
      <c r="B506" s="429" t="s">
        <v>466</v>
      </c>
      <c r="C506" s="430" t="s">
        <v>2866</v>
      </c>
      <c r="D506" s="295"/>
      <c r="E506" s="203">
        <v>198075</v>
      </c>
      <c r="J506" s="203" t="s">
        <v>969</v>
      </c>
      <c r="K506" s="203" t="s">
        <v>969</v>
      </c>
      <c r="L506" s="203" t="s">
        <v>969</v>
      </c>
      <c r="M506" s="203" t="s">
        <v>454</v>
      </c>
      <c r="N506" s="203">
        <v>20.543220520019499</v>
      </c>
      <c r="O506" s="203">
        <v>92.544296264648395</v>
      </c>
      <c r="R506" s="434"/>
      <c r="S506" s="426"/>
      <c r="T506" s="542">
        <v>43300</v>
      </c>
      <c r="U506" s="427"/>
    </row>
    <row r="507" spans="1:22" s="203" customFormat="1" ht="17.25" hidden="1" customHeight="1" x14ac:dyDescent="0.2">
      <c r="A507" s="203" t="s">
        <v>454</v>
      </c>
      <c r="B507" s="203" t="s">
        <v>466</v>
      </c>
      <c r="C507" s="203" t="s">
        <v>658</v>
      </c>
      <c r="D507" s="203" t="s">
        <v>2177</v>
      </c>
      <c r="E507" s="203" t="s">
        <v>1710</v>
      </c>
      <c r="J507" s="203" t="s">
        <v>969</v>
      </c>
      <c r="K507" s="203" t="s">
        <v>969</v>
      </c>
      <c r="L507" s="203" t="s">
        <v>969</v>
      </c>
      <c r="M507" s="203" t="s">
        <v>454</v>
      </c>
      <c r="N507" s="203">
        <v>20.543220520019499</v>
      </c>
      <c r="O507" s="203">
        <v>92.544296264648395</v>
      </c>
      <c r="P507" s="203" t="s">
        <v>970</v>
      </c>
      <c r="Q507" s="203" t="s">
        <v>951</v>
      </c>
      <c r="R507" s="425"/>
      <c r="S507" s="426"/>
      <c r="T507" s="542" t="s">
        <v>935</v>
      </c>
      <c r="U507" s="427"/>
      <c r="V507" s="203" t="s">
        <v>658</v>
      </c>
    </row>
    <row r="508" spans="1:22" s="203" customFormat="1" ht="17.25" hidden="1" customHeight="1" x14ac:dyDescent="0.2">
      <c r="A508" s="203" t="s">
        <v>454</v>
      </c>
      <c r="B508" s="203" t="s">
        <v>466</v>
      </c>
      <c r="C508" s="203" t="s">
        <v>682</v>
      </c>
      <c r="D508" s="203" t="s">
        <v>2177</v>
      </c>
      <c r="E508" s="203" t="s">
        <v>1742</v>
      </c>
      <c r="J508" s="203" t="s">
        <v>969</v>
      </c>
      <c r="K508" s="203" t="s">
        <v>969</v>
      </c>
      <c r="L508" s="203" t="s">
        <v>969</v>
      </c>
      <c r="M508" s="203" t="s">
        <v>966</v>
      </c>
      <c r="N508" s="203">
        <v>20.6468505859375</v>
      </c>
      <c r="O508" s="203">
        <v>92.493553161621094</v>
      </c>
      <c r="P508" s="203" t="s">
        <v>970</v>
      </c>
      <c r="Q508" s="203" t="s">
        <v>951</v>
      </c>
      <c r="R508" s="425"/>
      <c r="S508" s="426"/>
      <c r="T508" s="542" t="s">
        <v>935</v>
      </c>
      <c r="U508" s="427"/>
      <c r="V508" s="203" t="s">
        <v>682</v>
      </c>
    </row>
    <row r="509" spans="1:22" s="203" customFormat="1" ht="17.25" hidden="1" customHeight="1" x14ac:dyDescent="0.2">
      <c r="A509" s="426" t="s">
        <v>454</v>
      </c>
      <c r="B509" s="429" t="s">
        <v>466</v>
      </c>
      <c r="C509" s="430" t="s">
        <v>2827</v>
      </c>
      <c r="D509" s="295"/>
      <c r="E509" s="203">
        <v>197943</v>
      </c>
      <c r="J509" s="203" t="s">
        <v>969</v>
      </c>
      <c r="K509" s="203" t="s">
        <v>969</v>
      </c>
      <c r="L509" s="203" t="s">
        <v>969</v>
      </c>
      <c r="M509" s="203" t="s">
        <v>966</v>
      </c>
      <c r="N509" s="203">
        <v>20.8950004577637</v>
      </c>
      <c r="O509" s="203">
        <v>92.398574829101605</v>
      </c>
      <c r="R509" s="434"/>
      <c r="S509" s="426"/>
      <c r="T509" s="542">
        <v>43300</v>
      </c>
      <c r="U509" s="427"/>
    </row>
    <row r="510" spans="1:22" s="203" customFormat="1" ht="17.25" hidden="1" customHeight="1" x14ac:dyDescent="0.2">
      <c r="A510" s="426" t="s">
        <v>454</v>
      </c>
      <c r="B510" s="429" t="s">
        <v>466</v>
      </c>
      <c r="C510" s="430" t="s">
        <v>2826</v>
      </c>
      <c r="D510" s="295"/>
      <c r="E510" s="203">
        <v>197943</v>
      </c>
      <c r="J510" s="203" t="s">
        <v>969</v>
      </c>
      <c r="K510" s="203" t="s">
        <v>969</v>
      </c>
      <c r="L510" s="203" t="s">
        <v>969</v>
      </c>
      <c r="M510" s="203" t="s">
        <v>966</v>
      </c>
      <c r="N510" s="203">
        <v>20.8950004577637</v>
      </c>
      <c r="O510" s="203">
        <v>92.398574829101605</v>
      </c>
      <c r="R510" s="434"/>
      <c r="S510" s="426"/>
      <c r="T510" s="542">
        <v>43300</v>
      </c>
      <c r="U510" s="427"/>
    </row>
    <row r="511" spans="1:22" s="203" customFormat="1" ht="17.25" hidden="1" customHeight="1" x14ac:dyDescent="0.2">
      <c r="A511" s="686" t="s">
        <v>454</v>
      </c>
      <c r="B511" s="691" t="s">
        <v>466</v>
      </c>
      <c r="C511" s="696" t="s">
        <v>2758</v>
      </c>
      <c r="D511" s="692"/>
      <c r="E511" s="687">
        <v>197878</v>
      </c>
      <c r="F511" s="687" t="s">
        <v>2757</v>
      </c>
      <c r="G511" s="687"/>
      <c r="H511" s="687"/>
      <c r="I511" s="687"/>
      <c r="J511" s="687" t="s">
        <v>969</v>
      </c>
      <c r="K511" s="687" t="s">
        <v>969</v>
      </c>
      <c r="L511" s="687" t="s">
        <v>969</v>
      </c>
      <c r="M511" s="687" t="s">
        <v>966</v>
      </c>
      <c r="N511" s="687">
        <v>21.012830734252901</v>
      </c>
      <c r="O511" s="687">
        <v>92.338958740234403</v>
      </c>
      <c r="P511" s="687" t="s">
        <v>970</v>
      </c>
      <c r="Q511" s="687"/>
      <c r="R511" s="688"/>
      <c r="S511" s="686"/>
      <c r="T511" s="689">
        <v>43294</v>
      </c>
      <c r="U511" s="690" t="s">
        <v>2753</v>
      </c>
      <c r="V511" s="687"/>
    </row>
    <row r="512" spans="1:22" s="203" customFormat="1" ht="17.25" hidden="1" customHeight="1" x14ac:dyDescent="0.2">
      <c r="A512" s="426" t="s">
        <v>454</v>
      </c>
      <c r="B512" s="429" t="s">
        <v>466</v>
      </c>
      <c r="C512" s="430" t="s">
        <v>2758</v>
      </c>
      <c r="D512" s="295"/>
      <c r="E512" s="203">
        <v>197878</v>
      </c>
      <c r="J512" s="203" t="s">
        <v>969</v>
      </c>
      <c r="K512" s="203" t="s">
        <v>969</v>
      </c>
      <c r="L512" s="203" t="s">
        <v>969</v>
      </c>
      <c r="M512" s="203" t="s">
        <v>966</v>
      </c>
      <c r="N512" s="203">
        <v>21.012830734252901</v>
      </c>
      <c r="O512" s="203">
        <v>92.338958740234403</v>
      </c>
      <c r="R512" s="434"/>
      <c r="S512" s="426"/>
      <c r="T512" s="542">
        <v>43300</v>
      </c>
      <c r="U512" s="427"/>
    </row>
    <row r="513" spans="1:22" s="203" customFormat="1" ht="17.25" hidden="1" customHeight="1" x14ac:dyDescent="0.2">
      <c r="A513" s="203" t="s">
        <v>454</v>
      </c>
      <c r="B513" s="203" t="s">
        <v>466</v>
      </c>
      <c r="C513" s="203" t="s">
        <v>843</v>
      </c>
      <c r="D513" s="203" t="s">
        <v>2177</v>
      </c>
      <c r="E513" s="203" t="s">
        <v>1867</v>
      </c>
      <c r="J513" s="203" t="s">
        <v>969</v>
      </c>
      <c r="K513" s="203" t="s">
        <v>969</v>
      </c>
      <c r="L513" s="203" t="s">
        <v>969</v>
      </c>
      <c r="M513" s="203" t="s">
        <v>966</v>
      </c>
      <c r="N513" s="203">
        <v>21.0212593078613</v>
      </c>
      <c r="O513" s="203">
        <v>92.339538574218807</v>
      </c>
      <c r="P513" s="203" t="s">
        <v>970</v>
      </c>
      <c r="Q513" s="203" t="s">
        <v>951</v>
      </c>
      <c r="R513" s="425"/>
      <c r="S513" s="426"/>
      <c r="T513" s="542" t="s">
        <v>935</v>
      </c>
      <c r="U513" s="427"/>
      <c r="V513" s="203" t="s">
        <v>843</v>
      </c>
    </row>
    <row r="514" spans="1:22" s="203" customFormat="1" ht="17.25" hidden="1" customHeight="1" x14ac:dyDescent="0.2">
      <c r="A514" s="426" t="s">
        <v>454</v>
      </c>
      <c r="B514" s="429" t="s">
        <v>466</v>
      </c>
      <c r="C514" s="430" t="s">
        <v>2833</v>
      </c>
      <c r="D514" s="295"/>
      <c r="J514" s="203" t="s">
        <v>969</v>
      </c>
      <c r="K514" s="203" t="s">
        <v>969</v>
      </c>
      <c r="L514" s="203" t="s">
        <v>969</v>
      </c>
      <c r="M514" s="203" t="s">
        <v>966</v>
      </c>
      <c r="R514" s="434"/>
      <c r="S514" s="426"/>
      <c r="T514" s="542">
        <v>43300</v>
      </c>
      <c r="U514" s="427"/>
    </row>
    <row r="515" spans="1:22" s="203" customFormat="1" ht="17.25" hidden="1" customHeight="1" x14ac:dyDescent="0.2">
      <c r="A515" s="203" t="s">
        <v>454</v>
      </c>
      <c r="B515" s="203" t="s">
        <v>466</v>
      </c>
      <c r="C515" s="203" t="s">
        <v>730</v>
      </c>
      <c r="D515" s="203" t="s">
        <v>2177</v>
      </c>
      <c r="E515" s="203" t="s">
        <v>1779</v>
      </c>
      <c r="J515" s="203" t="s">
        <v>969</v>
      </c>
      <c r="K515" s="203" t="s">
        <v>969</v>
      </c>
      <c r="L515" s="203" t="s">
        <v>969</v>
      </c>
      <c r="M515" s="203" t="s">
        <v>966</v>
      </c>
      <c r="N515" s="203">
        <v>20.720079421997099</v>
      </c>
      <c r="O515" s="203">
        <v>92.423591613769503</v>
      </c>
      <c r="P515" s="203" t="s">
        <v>970</v>
      </c>
      <c r="Q515" s="203" t="s">
        <v>951</v>
      </c>
      <c r="R515" s="425"/>
      <c r="S515" s="426"/>
      <c r="T515" s="542" t="s">
        <v>935</v>
      </c>
      <c r="U515" s="427"/>
      <c r="V515" s="203" t="s">
        <v>730</v>
      </c>
    </row>
    <row r="516" spans="1:22" s="203" customFormat="1" ht="17.25" hidden="1" customHeight="1" x14ac:dyDescent="0.2">
      <c r="A516" s="426" t="s">
        <v>454</v>
      </c>
      <c r="B516" s="429" t="s">
        <v>466</v>
      </c>
      <c r="C516" s="430" t="s">
        <v>2889</v>
      </c>
      <c r="D516" s="295"/>
      <c r="E516" s="203">
        <v>220728</v>
      </c>
      <c r="J516" s="203" t="s">
        <v>969</v>
      </c>
      <c r="K516" s="203" t="s">
        <v>969</v>
      </c>
      <c r="L516" s="203" t="s">
        <v>969</v>
      </c>
      <c r="M516" s="203" t="s">
        <v>2867</v>
      </c>
      <c r="N516" s="203">
        <v>21.090957641601602</v>
      </c>
      <c r="O516" s="203">
        <v>92.361534118652301</v>
      </c>
      <c r="R516" s="434"/>
      <c r="S516" s="426"/>
      <c r="T516" s="542">
        <v>43300</v>
      </c>
      <c r="U516" s="427"/>
    </row>
    <row r="517" spans="1:22" s="203" customFormat="1" ht="17.25" hidden="1" customHeight="1" x14ac:dyDescent="0.2">
      <c r="A517" s="203" t="s">
        <v>454</v>
      </c>
      <c r="B517" s="203" t="s">
        <v>466</v>
      </c>
      <c r="C517" s="203" t="s">
        <v>848</v>
      </c>
      <c r="D517" s="203" t="s">
        <v>2177</v>
      </c>
      <c r="E517" s="203" t="s">
        <v>1869</v>
      </c>
      <c r="J517" s="203" t="s">
        <v>969</v>
      </c>
      <c r="K517" s="203" t="s">
        <v>969</v>
      </c>
      <c r="L517" s="203" t="s">
        <v>969</v>
      </c>
      <c r="M517" s="203" t="s">
        <v>966</v>
      </c>
      <c r="N517" s="203">
        <v>21.053699493</v>
      </c>
      <c r="O517" s="203">
        <v>92.324119568</v>
      </c>
      <c r="P517" s="203" t="s">
        <v>970</v>
      </c>
      <c r="Q517" s="203" t="s">
        <v>951</v>
      </c>
      <c r="R517" s="425"/>
      <c r="S517" s="426"/>
      <c r="T517" s="542" t="s">
        <v>935</v>
      </c>
      <c r="U517" s="427"/>
      <c r="V517" s="203" t="s">
        <v>1127</v>
      </c>
    </row>
    <row r="518" spans="1:22" s="203" customFormat="1" ht="17.25" hidden="1" customHeight="1" x14ac:dyDescent="0.2">
      <c r="A518" s="203" t="s">
        <v>454</v>
      </c>
      <c r="B518" s="203" t="s">
        <v>466</v>
      </c>
      <c r="C518" s="203" t="s">
        <v>842</v>
      </c>
      <c r="D518" s="203" t="s">
        <v>2177</v>
      </c>
      <c r="E518" s="203" t="s">
        <v>1866</v>
      </c>
      <c r="J518" s="203" t="s">
        <v>969</v>
      </c>
      <c r="K518" s="203" t="s">
        <v>969</v>
      </c>
      <c r="L518" s="203" t="s">
        <v>969</v>
      </c>
      <c r="M518" s="203" t="s">
        <v>966</v>
      </c>
      <c r="N518" s="203">
        <v>21.018480300903299</v>
      </c>
      <c r="O518" s="203">
        <v>92.333999633789105</v>
      </c>
      <c r="P518" s="203" t="s">
        <v>970</v>
      </c>
      <c r="Q518" s="203" t="s">
        <v>951</v>
      </c>
      <c r="R518" s="425"/>
      <c r="S518" s="426"/>
      <c r="T518" s="542" t="s">
        <v>935</v>
      </c>
      <c r="U518" s="427"/>
      <c r="V518" s="203" t="s">
        <v>842</v>
      </c>
    </row>
    <row r="519" spans="1:22" s="203" customFormat="1" ht="17.25" hidden="1" customHeight="1" x14ac:dyDescent="0.2">
      <c r="A519" s="203" t="s">
        <v>454</v>
      </c>
      <c r="B519" s="203" t="s">
        <v>466</v>
      </c>
      <c r="C519" s="203" t="s">
        <v>484</v>
      </c>
      <c r="D519" s="203" t="s">
        <v>2177</v>
      </c>
      <c r="J519" s="203" t="s">
        <v>969</v>
      </c>
      <c r="K519" s="203" t="s">
        <v>969</v>
      </c>
      <c r="L519" s="203" t="s">
        <v>969</v>
      </c>
      <c r="M519" s="203" t="s">
        <v>454</v>
      </c>
      <c r="P519" s="203" t="s">
        <v>970</v>
      </c>
      <c r="Q519" s="203" t="s">
        <v>951</v>
      </c>
      <c r="R519" s="425"/>
      <c r="S519" s="426"/>
      <c r="T519" s="542" t="s">
        <v>935</v>
      </c>
      <c r="U519" s="427"/>
      <c r="V519" s="203" t="s">
        <v>484</v>
      </c>
    </row>
    <row r="520" spans="1:22" s="203" customFormat="1" ht="17.25" hidden="1" customHeight="1" x14ac:dyDescent="0.2">
      <c r="A520" s="203" t="s">
        <v>454</v>
      </c>
      <c r="B520" s="203" t="s">
        <v>466</v>
      </c>
      <c r="C520" s="203" t="s">
        <v>763</v>
      </c>
      <c r="D520" s="203" t="s">
        <v>2177</v>
      </c>
      <c r="E520" s="203" t="s">
        <v>1809</v>
      </c>
      <c r="J520" s="203" t="s">
        <v>969</v>
      </c>
      <c r="K520" s="203" t="s">
        <v>969</v>
      </c>
      <c r="L520" s="203" t="s">
        <v>969</v>
      </c>
      <c r="M520" s="203" t="s">
        <v>966</v>
      </c>
      <c r="N520" s="203">
        <v>20.787290573120099</v>
      </c>
      <c r="O520" s="203">
        <v>92.401252746582003</v>
      </c>
      <c r="P520" s="203" t="s">
        <v>970</v>
      </c>
      <c r="Q520" s="203" t="s">
        <v>951</v>
      </c>
      <c r="R520" s="425"/>
      <c r="S520" s="426"/>
      <c r="T520" s="542" t="s">
        <v>935</v>
      </c>
      <c r="U520" s="427"/>
      <c r="V520" s="203" t="s">
        <v>763</v>
      </c>
    </row>
    <row r="521" spans="1:22" s="203" customFormat="1" ht="17.25" hidden="1" customHeight="1" x14ac:dyDescent="0.2">
      <c r="A521" s="426" t="s">
        <v>454</v>
      </c>
      <c r="B521" s="429" t="s">
        <v>466</v>
      </c>
      <c r="C521" s="430" t="s">
        <v>2841</v>
      </c>
      <c r="D521" s="295"/>
      <c r="E521" s="203">
        <v>197987</v>
      </c>
      <c r="J521" s="203" t="s">
        <v>969</v>
      </c>
      <c r="K521" s="203" t="s">
        <v>969</v>
      </c>
      <c r="L521" s="203" t="s">
        <v>969</v>
      </c>
      <c r="M521" s="203" t="s">
        <v>966</v>
      </c>
      <c r="N521" s="203">
        <v>20.815889358520501</v>
      </c>
      <c r="O521" s="203">
        <v>92.372566223144503</v>
      </c>
      <c r="R521" s="434"/>
      <c r="S521" s="426"/>
      <c r="T521" s="542">
        <v>43300</v>
      </c>
      <c r="U521" s="427"/>
    </row>
    <row r="522" spans="1:22" s="203" customFormat="1" ht="17.25" hidden="1" customHeight="1" x14ac:dyDescent="0.2">
      <c r="A522" s="426" t="s">
        <v>454</v>
      </c>
      <c r="B522" s="429" t="s">
        <v>466</v>
      </c>
      <c r="C522" s="430" t="s">
        <v>2883</v>
      </c>
      <c r="D522" s="295"/>
      <c r="E522" s="203">
        <v>198089</v>
      </c>
      <c r="J522" s="203" t="s">
        <v>969</v>
      </c>
      <c r="K522" s="203" t="s">
        <v>969</v>
      </c>
      <c r="L522" s="203" t="s">
        <v>969</v>
      </c>
      <c r="M522" s="203" t="s">
        <v>2870</v>
      </c>
      <c r="N522" s="203">
        <v>21.195299148559599</v>
      </c>
      <c r="O522" s="203">
        <v>92.221542358398395</v>
      </c>
      <c r="R522" s="434"/>
      <c r="S522" s="426"/>
      <c r="T522" s="542">
        <v>43300</v>
      </c>
      <c r="U522" s="427"/>
    </row>
    <row r="523" spans="1:22" s="203" customFormat="1" ht="17.25" hidden="1" customHeight="1" x14ac:dyDescent="0.2">
      <c r="A523" s="426" t="s">
        <v>454</v>
      </c>
      <c r="B523" s="429" t="s">
        <v>466</v>
      </c>
      <c r="C523" s="430" t="s">
        <v>2863</v>
      </c>
      <c r="D523" s="295"/>
      <c r="E523" s="203">
        <v>197922</v>
      </c>
      <c r="J523" s="203" t="s">
        <v>969</v>
      </c>
      <c r="K523" s="203" t="s">
        <v>969</v>
      </c>
      <c r="L523" s="203" t="s">
        <v>969</v>
      </c>
      <c r="M523" s="203" t="s">
        <v>966</v>
      </c>
      <c r="N523" s="203">
        <v>20.936439514160199</v>
      </c>
      <c r="O523" s="203">
        <v>92.314498901367202</v>
      </c>
      <c r="R523" s="434"/>
      <c r="S523" s="426"/>
      <c r="T523" s="542">
        <v>43300</v>
      </c>
      <c r="U523" s="427"/>
    </row>
    <row r="524" spans="1:22" s="203" customFormat="1" ht="17.25" hidden="1" customHeight="1" x14ac:dyDescent="0.2">
      <c r="A524" s="430" t="s">
        <v>454</v>
      </c>
      <c r="B524" s="429" t="s">
        <v>466</v>
      </c>
      <c r="C524" s="294" t="s">
        <v>2513</v>
      </c>
      <c r="D524" s="432"/>
      <c r="E524" s="203">
        <v>197961</v>
      </c>
      <c r="J524" s="203" t="s">
        <v>969</v>
      </c>
      <c r="K524" s="203" t="s">
        <v>969</v>
      </c>
      <c r="L524" s="203" t="s">
        <v>969</v>
      </c>
      <c r="M524" s="203" t="s">
        <v>966</v>
      </c>
      <c r="N524" s="203">
        <v>20.903369903564499</v>
      </c>
      <c r="O524" s="203">
        <v>92.332237243652301</v>
      </c>
      <c r="P524" s="203" t="s">
        <v>970</v>
      </c>
      <c r="Q524" s="294" t="s">
        <v>2516</v>
      </c>
      <c r="R524" s="434"/>
      <c r="S524" s="426"/>
      <c r="T524" s="543">
        <v>43245</v>
      </c>
      <c r="U524" s="427"/>
    </row>
    <row r="525" spans="1:22" s="203" customFormat="1" ht="17.25" hidden="1" customHeight="1" x14ac:dyDescent="0.2">
      <c r="A525" s="426" t="s">
        <v>454</v>
      </c>
      <c r="B525" s="429" t="s">
        <v>466</v>
      </c>
      <c r="C525" s="430" t="s">
        <v>2881</v>
      </c>
      <c r="D525" s="295"/>
      <c r="E525" s="203">
        <v>197847</v>
      </c>
      <c r="J525" s="203" t="s">
        <v>969</v>
      </c>
      <c r="K525" s="203" t="s">
        <v>969</v>
      </c>
      <c r="L525" s="203" t="s">
        <v>969</v>
      </c>
      <c r="M525" s="203" t="s">
        <v>454</v>
      </c>
      <c r="N525" s="203">
        <v>21.134050369262699</v>
      </c>
      <c r="O525" s="203">
        <v>92.323478698730497</v>
      </c>
      <c r="R525" s="434"/>
      <c r="S525" s="426"/>
      <c r="T525" s="542">
        <v>43300</v>
      </c>
      <c r="U525" s="427"/>
    </row>
    <row r="526" spans="1:22" s="203" customFormat="1" ht="17.25" hidden="1" customHeight="1" x14ac:dyDescent="0.2">
      <c r="A526" s="426" t="s">
        <v>454</v>
      </c>
      <c r="B526" s="429" t="s">
        <v>466</v>
      </c>
      <c r="C526" s="430" t="s">
        <v>2887</v>
      </c>
      <c r="D526" s="295"/>
      <c r="E526" s="203">
        <v>220706</v>
      </c>
      <c r="J526" s="203" t="s">
        <v>969</v>
      </c>
      <c r="K526" s="203" t="s">
        <v>969</v>
      </c>
      <c r="L526" s="203" t="s">
        <v>969</v>
      </c>
      <c r="M526" s="203" t="s">
        <v>2871</v>
      </c>
      <c r="N526" s="203">
        <v>21.260095596313501</v>
      </c>
      <c r="O526" s="203">
        <v>92.2784423828125</v>
      </c>
      <c r="R526" s="434"/>
      <c r="S526" s="426"/>
      <c r="T526" s="542">
        <v>43300</v>
      </c>
      <c r="U526" s="427"/>
    </row>
    <row r="527" spans="1:22" s="203" customFormat="1" ht="17.25" hidden="1" customHeight="1" x14ac:dyDescent="0.2">
      <c r="A527" s="426" t="s">
        <v>454</v>
      </c>
      <c r="B527" s="429" t="s">
        <v>466</v>
      </c>
      <c r="C527" s="430" t="s">
        <v>2886</v>
      </c>
      <c r="D527" s="295"/>
      <c r="E527" s="203">
        <v>220721</v>
      </c>
      <c r="J527" s="203" t="s">
        <v>969</v>
      </c>
      <c r="K527" s="203" t="s">
        <v>969</v>
      </c>
      <c r="L527" s="203" t="s">
        <v>969</v>
      </c>
      <c r="M527" s="203" t="s">
        <v>454</v>
      </c>
      <c r="N527" s="203">
        <v>21.224542617797901</v>
      </c>
      <c r="O527" s="203">
        <v>92.294197082519503</v>
      </c>
      <c r="R527" s="434"/>
      <c r="S527" s="426"/>
      <c r="T527" s="542">
        <v>43300</v>
      </c>
      <c r="U527" s="427"/>
    </row>
    <row r="528" spans="1:22" s="203" customFormat="1" ht="17.25" hidden="1" customHeight="1" x14ac:dyDescent="0.2">
      <c r="A528" s="203" t="s">
        <v>454</v>
      </c>
      <c r="B528" s="203" t="s">
        <v>466</v>
      </c>
      <c r="C528" s="203" t="s">
        <v>489</v>
      </c>
      <c r="D528" s="203" t="s">
        <v>2177</v>
      </c>
      <c r="J528" s="203" t="s">
        <v>969</v>
      </c>
      <c r="K528" s="203" t="s">
        <v>969</v>
      </c>
      <c r="L528" s="203" t="s">
        <v>969</v>
      </c>
      <c r="M528" s="203" t="s">
        <v>966</v>
      </c>
      <c r="P528" s="203" t="s">
        <v>970</v>
      </c>
      <c r="Q528" s="203" t="s">
        <v>951</v>
      </c>
      <c r="R528" s="425"/>
      <c r="S528" s="426"/>
      <c r="T528" s="542" t="s">
        <v>935</v>
      </c>
      <c r="U528" s="427"/>
      <c r="V528" s="203" t="s">
        <v>1289</v>
      </c>
    </row>
    <row r="529" spans="1:22" s="203" customFormat="1" ht="17.25" hidden="1" customHeight="1" x14ac:dyDescent="0.2">
      <c r="A529" s="203" t="s">
        <v>454</v>
      </c>
      <c r="B529" s="203" t="s">
        <v>466</v>
      </c>
      <c r="C529" s="203" t="s">
        <v>490</v>
      </c>
      <c r="D529" s="203" t="s">
        <v>2177</v>
      </c>
      <c r="J529" s="203" t="s">
        <v>969</v>
      </c>
      <c r="K529" s="203" t="s">
        <v>969</v>
      </c>
      <c r="L529" s="203" t="s">
        <v>969</v>
      </c>
      <c r="M529" s="203" t="s">
        <v>966</v>
      </c>
      <c r="P529" s="203" t="s">
        <v>970</v>
      </c>
      <c r="Q529" s="203" t="s">
        <v>951</v>
      </c>
      <c r="R529" s="425"/>
      <c r="S529" s="426"/>
      <c r="T529" s="542" t="s">
        <v>935</v>
      </c>
      <c r="U529" s="427"/>
      <c r="V529" s="203" t="s">
        <v>1290</v>
      </c>
    </row>
    <row r="530" spans="1:22" s="203" customFormat="1" ht="17.25" hidden="1" customHeight="1" x14ac:dyDescent="0.2">
      <c r="A530" s="426" t="s">
        <v>454</v>
      </c>
      <c r="B530" s="429" t="s">
        <v>466</v>
      </c>
      <c r="C530" s="430" t="s">
        <v>2831</v>
      </c>
      <c r="D530" s="295"/>
      <c r="E530" s="203">
        <v>220725</v>
      </c>
      <c r="J530" s="203" t="s">
        <v>969</v>
      </c>
      <c r="K530" s="203" t="s">
        <v>969</v>
      </c>
      <c r="L530" s="203" t="s">
        <v>969</v>
      </c>
      <c r="M530" s="203" t="s">
        <v>454</v>
      </c>
      <c r="N530" s="203">
        <v>21.089906692504901</v>
      </c>
      <c r="O530" s="203">
        <v>92.341598510742202</v>
      </c>
      <c r="R530" s="434"/>
      <c r="S530" s="426"/>
      <c r="T530" s="542">
        <v>43300</v>
      </c>
      <c r="U530" s="427"/>
    </row>
    <row r="531" spans="1:22" s="203" customFormat="1" ht="17.25" hidden="1" customHeight="1" x14ac:dyDescent="0.2">
      <c r="A531" s="426" t="s">
        <v>454</v>
      </c>
      <c r="B531" s="429" t="s">
        <v>466</v>
      </c>
      <c r="C531" s="430" t="s">
        <v>2831</v>
      </c>
      <c r="D531" s="295"/>
      <c r="E531" s="203">
        <v>220725</v>
      </c>
      <c r="J531" s="203" t="s">
        <v>969</v>
      </c>
      <c r="K531" s="203" t="s">
        <v>969</v>
      </c>
      <c r="L531" s="203" t="s">
        <v>969</v>
      </c>
      <c r="M531" s="203" t="s">
        <v>846</v>
      </c>
      <c r="N531" s="203">
        <v>21.089906692504901</v>
      </c>
      <c r="O531" s="203">
        <v>92.341598510742202</v>
      </c>
      <c r="R531" s="434"/>
      <c r="S531" s="426"/>
      <c r="T531" s="542">
        <v>43300</v>
      </c>
      <c r="U531" s="427"/>
    </row>
    <row r="532" spans="1:22" s="203" customFormat="1" ht="17.25" hidden="1" customHeight="1" x14ac:dyDescent="0.2">
      <c r="A532" s="203" t="s">
        <v>454</v>
      </c>
      <c r="B532" s="203" t="s">
        <v>466</v>
      </c>
      <c r="C532" s="203" t="s">
        <v>491</v>
      </c>
      <c r="D532" s="203" t="s">
        <v>2177</v>
      </c>
      <c r="J532" s="203" t="s">
        <v>969</v>
      </c>
      <c r="K532" s="203" t="s">
        <v>969</v>
      </c>
      <c r="L532" s="203" t="s">
        <v>969</v>
      </c>
      <c r="M532" s="203" t="s">
        <v>454</v>
      </c>
      <c r="P532" s="203" t="s">
        <v>970</v>
      </c>
      <c r="Q532" s="203" t="s">
        <v>951</v>
      </c>
      <c r="R532" s="425"/>
      <c r="S532" s="426"/>
      <c r="T532" s="542" t="s">
        <v>935</v>
      </c>
      <c r="U532" s="427"/>
      <c r="V532" s="203" t="s">
        <v>1291</v>
      </c>
    </row>
    <row r="533" spans="1:22" s="203" customFormat="1" ht="17.25" hidden="1" customHeight="1" x14ac:dyDescent="0.2">
      <c r="A533" s="426" t="s">
        <v>454</v>
      </c>
      <c r="B533" s="429" t="s">
        <v>466</v>
      </c>
      <c r="C533" s="430" t="s">
        <v>2855</v>
      </c>
      <c r="D533" s="295"/>
      <c r="E533" s="203">
        <v>197978</v>
      </c>
      <c r="J533" s="203" t="s">
        <v>969</v>
      </c>
      <c r="K533" s="203" t="s">
        <v>969</v>
      </c>
      <c r="L533" s="203" t="s">
        <v>969</v>
      </c>
      <c r="M533" s="203" t="s">
        <v>966</v>
      </c>
      <c r="N533" s="203">
        <v>20.834230422973601</v>
      </c>
      <c r="O533" s="203">
        <v>92.379676818847699</v>
      </c>
      <c r="R533" s="434"/>
      <c r="S533" s="426"/>
      <c r="T533" s="542">
        <v>43300</v>
      </c>
      <c r="U533" s="427"/>
    </row>
    <row r="534" spans="1:22" s="203" customFormat="1" ht="17.25" hidden="1" customHeight="1" x14ac:dyDescent="0.2">
      <c r="A534" s="203" t="s">
        <v>454</v>
      </c>
      <c r="B534" s="203" t="s">
        <v>466</v>
      </c>
      <c r="C534" s="203" t="s">
        <v>794</v>
      </c>
      <c r="D534" s="203" t="s">
        <v>2177</v>
      </c>
      <c r="E534" s="203" t="s">
        <v>1835</v>
      </c>
      <c r="H534" s="203" t="s">
        <v>48</v>
      </c>
      <c r="J534" s="203" t="s">
        <v>969</v>
      </c>
      <c r="K534" s="203" t="s">
        <v>969</v>
      </c>
      <c r="L534" s="203" t="s">
        <v>2177</v>
      </c>
      <c r="M534" s="203" t="s">
        <v>966</v>
      </c>
      <c r="N534" s="203">
        <v>20.827044000000001</v>
      </c>
      <c r="O534" s="203">
        <v>92.362932999999998</v>
      </c>
      <c r="P534" s="203" t="s">
        <v>930</v>
      </c>
      <c r="Q534" s="203" t="s">
        <v>951</v>
      </c>
      <c r="R534" s="425"/>
      <c r="S534" s="426"/>
      <c r="T534" s="542">
        <v>43248</v>
      </c>
      <c r="U534" s="427" t="s">
        <v>2509</v>
      </c>
    </row>
    <row r="535" spans="1:22" s="203" customFormat="1" ht="17.25" hidden="1" customHeight="1" x14ac:dyDescent="0.2">
      <c r="A535" s="203" t="s">
        <v>454</v>
      </c>
      <c r="B535" s="203" t="s">
        <v>466</v>
      </c>
      <c r="C535" s="203" t="s">
        <v>492</v>
      </c>
      <c r="D535" s="203" t="s">
        <v>2177</v>
      </c>
      <c r="J535" s="203" t="s">
        <v>969</v>
      </c>
      <c r="K535" s="203" t="s">
        <v>969</v>
      </c>
      <c r="L535" s="203" t="s">
        <v>969</v>
      </c>
      <c r="M535" s="203" t="s">
        <v>966</v>
      </c>
      <c r="P535" s="203" t="s">
        <v>970</v>
      </c>
      <c r="Q535" s="203" t="s">
        <v>951</v>
      </c>
      <c r="R535" s="425"/>
      <c r="S535" s="426"/>
      <c r="T535" s="542" t="s">
        <v>935</v>
      </c>
      <c r="U535" s="427"/>
      <c r="V535" s="203" t="s">
        <v>492</v>
      </c>
    </row>
    <row r="536" spans="1:22" s="203" customFormat="1" ht="17.25" hidden="1" customHeight="1" x14ac:dyDescent="0.2">
      <c r="A536" s="203" t="s">
        <v>454</v>
      </c>
      <c r="B536" s="203" t="s">
        <v>466</v>
      </c>
      <c r="C536" s="203" t="s">
        <v>493</v>
      </c>
      <c r="D536" s="203" t="s">
        <v>2177</v>
      </c>
      <c r="J536" s="203" t="s">
        <v>969</v>
      </c>
      <c r="K536" s="203" t="s">
        <v>969</v>
      </c>
      <c r="L536" s="203" t="s">
        <v>969</v>
      </c>
      <c r="M536" s="203" t="s">
        <v>966</v>
      </c>
      <c r="P536" s="203" t="s">
        <v>970</v>
      </c>
      <c r="Q536" s="203" t="s">
        <v>951</v>
      </c>
      <c r="R536" s="425"/>
      <c r="S536" s="426"/>
      <c r="T536" s="542" t="s">
        <v>935</v>
      </c>
      <c r="U536" s="427"/>
      <c r="V536" s="203" t="s">
        <v>493</v>
      </c>
    </row>
    <row r="537" spans="1:22" s="203" customFormat="1" ht="17.25" hidden="1" customHeight="1" x14ac:dyDescent="0.2">
      <c r="A537" s="426" t="s">
        <v>454</v>
      </c>
      <c r="B537" s="429" t="s">
        <v>466</v>
      </c>
      <c r="C537" s="430" t="s">
        <v>2890</v>
      </c>
      <c r="D537" s="295"/>
      <c r="E537" s="203">
        <v>197894</v>
      </c>
      <c r="J537" s="203" t="s">
        <v>969</v>
      </c>
      <c r="K537" s="203" t="s">
        <v>969</v>
      </c>
      <c r="L537" s="203" t="s">
        <v>969</v>
      </c>
      <c r="M537" s="203" t="s">
        <v>454</v>
      </c>
      <c r="N537" s="203">
        <v>21.025550842285199</v>
      </c>
      <c r="O537" s="203">
        <v>92.2952880859375</v>
      </c>
      <c r="R537" s="434"/>
      <c r="S537" s="426"/>
      <c r="T537" s="542">
        <v>43300</v>
      </c>
      <c r="U537" s="427"/>
    </row>
    <row r="538" spans="1:22" s="203" customFormat="1" ht="17.25" hidden="1" customHeight="1" x14ac:dyDescent="0.2">
      <c r="A538" s="203" t="s">
        <v>454</v>
      </c>
      <c r="B538" s="203" t="s">
        <v>466</v>
      </c>
      <c r="C538" s="203" t="s">
        <v>844</v>
      </c>
      <c r="D538" s="203" t="s">
        <v>2177</v>
      </c>
      <c r="E538" s="203">
        <v>197894</v>
      </c>
      <c r="J538" s="203" t="s">
        <v>969</v>
      </c>
      <c r="K538" s="203" t="s">
        <v>969</v>
      </c>
      <c r="L538" s="203" t="s">
        <v>969</v>
      </c>
      <c r="M538" s="203" t="s">
        <v>966</v>
      </c>
      <c r="N538" s="203">
        <v>21.025550842285199</v>
      </c>
      <c r="O538" s="203">
        <v>92.2952880859375</v>
      </c>
      <c r="P538" s="203" t="s">
        <v>970</v>
      </c>
      <c r="Q538" s="203" t="s">
        <v>951</v>
      </c>
      <c r="R538" s="425"/>
      <c r="S538" s="426"/>
      <c r="T538" s="542">
        <v>42745</v>
      </c>
      <c r="U538" s="427"/>
      <c r="V538" s="203" t="s">
        <v>1126</v>
      </c>
    </row>
    <row r="539" spans="1:22" s="203" customFormat="1" ht="17.25" hidden="1" customHeight="1" x14ac:dyDescent="0.2">
      <c r="A539" s="426" t="s">
        <v>454</v>
      </c>
      <c r="B539" s="429" t="s">
        <v>466</v>
      </c>
      <c r="C539" s="430" t="s">
        <v>2891</v>
      </c>
      <c r="D539" s="295"/>
      <c r="E539" s="203">
        <v>197895</v>
      </c>
      <c r="J539" s="203" t="s">
        <v>969</v>
      </c>
      <c r="K539" s="203" t="s">
        <v>969</v>
      </c>
      <c r="L539" s="203" t="s">
        <v>969</v>
      </c>
      <c r="M539" s="203" t="s">
        <v>966</v>
      </c>
      <c r="N539" s="203">
        <v>21.019170761108398</v>
      </c>
      <c r="O539" s="203">
        <v>92.2919921875</v>
      </c>
      <c r="R539" s="434"/>
      <c r="S539" s="426"/>
      <c r="T539" s="542">
        <v>43300</v>
      </c>
      <c r="U539" s="427"/>
    </row>
    <row r="540" spans="1:22" s="203" customFormat="1" ht="17.25" hidden="1" customHeight="1" x14ac:dyDescent="0.2">
      <c r="A540" s="426" t="s">
        <v>454</v>
      </c>
      <c r="B540" s="429" t="s">
        <v>466</v>
      </c>
      <c r="C540" s="430" t="s">
        <v>2853</v>
      </c>
      <c r="D540" s="295"/>
      <c r="E540" s="203">
        <v>197909</v>
      </c>
      <c r="J540" s="203" t="s">
        <v>969</v>
      </c>
      <c r="K540" s="203" t="s">
        <v>969</v>
      </c>
      <c r="L540" s="203" t="s">
        <v>969</v>
      </c>
      <c r="M540" s="203" t="s">
        <v>966</v>
      </c>
      <c r="N540" s="203">
        <v>21.003770828247099</v>
      </c>
      <c r="O540" s="203">
        <v>92.351142883300795</v>
      </c>
      <c r="R540" s="434"/>
      <c r="S540" s="426"/>
      <c r="T540" s="542">
        <v>43300</v>
      </c>
      <c r="U540" s="427"/>
    </row>
    <row r="541" spans="1:22" s="203" customFormat="1" ht="17.25" hidden="1" customHeight="1" x14ac:dyDescent="0.2">
      <c r="A541" s="203" t="s">
        <v>454</v>
      </c>
      <c r="B541" s="203" t="s">
        <v>466</v>
      </c>
      <c r="C541" s="203" t="s">
        <v>839</v>
      </c>
      <c r="D541" s="203" t="s">
        <v>2177</v>
      </c>
      <c r="E541" s="203">
        <v>197910</v>
      </c>
      <c r="J541" s="203" t="s">
        <v>969</v>
      </c>
      <c r="K541" s="203" t="s">
        <v>969</v>
      </c>
      <c r="L541" s="203" t="s">
        <v>969</v>
      </c>
      <c r="M541" s="203" t="s">
        <v>454</v>
      </c>
      <c r="N541" s="203">
        <v>21.007270812988299</v>
      </c>
      <c r="O541" s="203">
        <v>92.3585205078125</v>
      </c>
      <c r="P541" s="203" t="s">
        <v>970</v>
      </c>
      <c r="Q541" s="203" t="s">
        <v>973</v>
      </c>
      <c r="R541" s="425"/>
      <c r="S541" s="426"/>
      <c r="T541" s="542">
        <v>42926</v>
      </c>
      <c r="U541" s="427" t="s">
        <v>974</v>
      </c>
    </row>
    <row r="542" spans="1:22" s="203" customFormat="1" ht="17.25" hidden="1" customHeight="1" x14ac:dyDescent="0.2">
      <c r="A542" s="426" t="s">
        <v>454</v>
      </c>
      <c r="B542" s="429" t="s">
        <v>466</v>
      </c>
      <c r="C542" s="430" t="s">
        <v>2852</v>
      </c>
      <c r="D542" s="295"/>
      <c r="E542" s="203">
        <v>197874</v>
      </c>
      <c r="J542" s="203" t="s">
        <v>969</v>
      </c>
      <c r="K542" s="203" t="s">
        <v>969</v>
      </c>
      <c r="L542" s="203" t="s">
        <v>969</v>
      </c>
      <c r="M542" s="203" t="s">
        <v>966</v>
      </c>
      <c r="N542" s="203">
        <v>21.035009384155298</v>
      </c>
      <c r="O542" s="203">
        <v>92.332046508789105</v>
      </c>
      <c r="R542" s="434"/>
      <c r="S542" s="426"/>
      <c r="T542" s="542">
        <v>43300</v>
      </c>
      <c r="U542" s="427"/>
    </row>
    <row r="543" spans="1:22" s="203" customFormat="1" ht="17.25" hidden="1" customHeight="1" x14ac:dyDescent="0.2">
      <c r="A543" s="203" t="s">
        <v>454</v>
      </c>
      <c r="B543" s="203" t="s">
        <v>466</v>
      </c>
      <c r="C543" s="203" t="s">
        <v>683</v>
      </c>
      <c r="D543" s="203" t="s">
        <v>2177</v>
      </c>
      <c r="J543" s="203" t="s">
        <v>969</v>
      </c>
      <c r="K543" s="203" t="s">
        <v>969</v>
      </c>
      <c r="L543" s="203" t="s">
        <v>969</v>
      </c>
      <c r="M543" s="203" t="s">
        <v>454</v>
      </c>
      <c r="N543" s="203">
        <v>20.651159286498999</v>
      </c>
      <c r="O543" s="203">
        <v>92.605712890625</v>
      </c>
      <c r="P543" s="203" t="s">
        <v>970</v>
      </c>
      <c r="Q543" s="203" t="s">
        <v>951</v>
      </c>
      <c r="R543" s="425"/>
      <c r="S543" s="426"/>
      <c r="T543" s="542" t="s">
        <v>935</v>
      </c>
      <c r="U543" s="427"/>
      <c r="V543" s="203" t="s">
        <v>683</v>
      </c>
    </row>
    <row r="544" spans="1:22" s="203" customFormat="1" ht="17.25" hidden="1" customHeight="1" x14ac:dyDescent="0.2">
      <c r="A544" s="203" t="s">
        <v>454</v>
      </c>
      <c r="B544" s="203" t="s">
        <v>466</v>
      </c>
      <c r="C544" s="203" t="s">
        <v>760</v>
      </c>
      <c r="D544" s="203" t="s">
        <v>2177</v>
      </c>
      <c r="E544" s="203" t="s">
        <v>1807</v>
      </c>
      <c r="J544" s="203" t="s">
        <v>969</v>
      </c>
      <c r="K544" s="203" t="s">
        <v>969</v>
      </c>
      <c r="L544" s="203" t="s">
        <v>969</v>
      </c>
      <c r="M544" s="203" t="s">
        <v>966</v>
      </c>
      <c r="N544" s="203">
        <v>20.785320281982401</v>
      </c>
      <c r="O544" s="203">
        <v>92.406509399414105</v>
      </c>
      <c r="P544" s="203" t="s">
        <v>970</v>
      </c>
      <c r="Q544" s="203" t="s">
        <v>951</v>
      </c>
      <c r="R544" s="425"/>
      <c r="S544" s="426"/>
      <c r="T544" s="542" t="s">
        <v>935</v>
      </c>
      <c r="U544" s="427"/>
      <c r="V544" s="203" t="s">
        <v>760</v>
      </c>
    </row>
    <row r="545" spans="1:22" s="203" customFormat="1" ht="17.25" hidden="1" customHeight="1" x14ac:dyDescent="0.2">
      <c r="A545" s="426" t="s">
        <v>454</v>
      </c>
      <c r="B545" s="429" t="s">
        <v>466</v>
      </c>
      <c r="C545" s="430" t="s">
        <v>710</v>
      </c>
      <c r="D545" s="295"/>
      <c r="E545" s="203">
        <v>197993</v>
      </c>
      <c r="J545" s="203" t="s">
        <v>969</v>
      </c>
      <c r="K545" s="203" t="s">
        <v>969</v>
      </c>
      <c r="L545" s="203" t="s">
        <v>969</v>
      </c>
      <c r="M545" s="203" t="s">
        <v>966</v>
      </c>
      <c r="N545" s="203">
        <v>20.809099197387699</v>
      </c>
      <c r="O545" s="203">
        <v>92.398292541503906</v>
      </c>
      <c r="R545" s="434"/>
      <c r="S545" s="426"/>
      <c r="T545" s="542">
        <v>43300</v>
      </c>
      <c r="U545" s="427"/>
    </row>
    <row r="546" spans="1:22" s="203" customFormat="1" ht="17.25" hidden="1" customHeight="1" x14ac:dyDescent="0.2">
      <c r="A546" s="203" t="s">
        <v>454</v>
      </c>
      <c r="B546" s="203" t="s">
        <v>466</v>
      </c>
      <c r="C546" s="203" t="s">
        <v>641</v>
      </c>
      <c r="D546" s="203" t="s">
        <v>2255</v>
      </c>
      <c r="E546" s="203" t="s">
        <v>1831</v>
      </c>
      <c r="F546" s="203" t="s">
        <v>2274</v>
      </c>
      <c r="G546" s="203" t="s">
        <v>2274</v>
      </c>
      <c r="H546" s="203" t="s">
        <v>48</v>
      </c>
      <c r="J546" s="203" t="s">
        <v>969</v>
      </c>
      <c r="K546" s="203" t="s">
        <v>969</v>
      </c>
      <c r="L546" s="203" t="s">
        <v>1054</v>
      </c>
      <c r="M546" s="203" t="s">
        <v>454</v>
      </c>
      <c r="N546" s="203">
        <v>20.824777999999998</v>
      </c>
      <c r="O546" s="203">
        <v>92.362196999999995</v>
      </c>
      <c r="P546" s="203" t="s">
        <v>970</v>
      </c>
      <c r="R546" s="425">
        <v>17</v>
      </c>
      <c r="S546" s="426">
        <v>109</v>
      </c>
      <c r="T546" s="542" t="s">
        <v>935</v>
      </c>
      <c r="U546" s="427" t="s">
        <v>1031</v>
      </c>
      <c r="V546" s="203" t="s">
        <v>641</v>
      </c>
    </row>
    <row r="547" spans="1:22" s="203" customFormat="1" ht="17.25" hidden="1" customHeight="1" x14ac:dyDescent="0.2">
      <c r="A547" s="426" t="s">
        <v>454</v>
      </c>
      <c r="B547" s="429" t="s">
        <v>466</v>
      </c>
      <c r="C547" s="430" t="s">
        <v>2880</v>
      </c>
      <c r="D547" s="295"/>
      <c r="E547" s="203">
        <v>197858</v>
      </c>
      <c r="J547" s="203" t="s">
        <v>969</v>
      </c>
      <c r="K547" s="203" t="s">
        <v>969</v>
      </c>
      <c r="L547" s="203" t="s">
        <v>969</v>
      </c>
      <c r="M547" s="203" t="s">
        <v>2867</v>
      </c>
      <c r="N547" s="203">
        <v>21.160549163818398</v>
      </c>
      <c r="O547" s="203">
        <v>92.330261230468807</v>
      </c>
      <c r="R547" s="434"/>
      <c r="S547" s="426"/>
      <c r="T547" s="542">
        <v>43300</v>
      </c>
      <c r="U547" s="427"/>
    </row>
    <row r="548" spans="1:22" s="203" customFormat="1" ht="17.25" hidden="1" customHeight="1" x14ac:dyDescent="0.2">
      <c r="A548" s="426" t="s">
        <v>454</v>
      </c>
      <c r="B548" s="429" t="s">
        <v>466</v>
      </c>
      <c r="C548" s="430" t="s">
        <v>2842</v>
      </c>
      <c r="D548" s="295"/>
      <c r="E548" s="203">
        <v>197996</v>
      </c>
      <c r="J548" s="203" t="s">
        <v>969</v>
      </c>
      <c r="K548" s="203" t="s">
        <v>969</v>
      </c>
      <c r="L548" s="203" t="s">
        <v>969</v>
      </c>
      <c r="M548" s="203" t="s">
        <v>966</v>
      </c>
      <c r="N548" s="203">
        <v>20.805980682373001</v>
      </c>
      <c r="O548" s="203">
        <v>92.383308410644503</v>
      </c>
      <c r="R548" s="434"/>
      <c r="S548" s="426"/>
      <c r="T548" s="542">
        <v>43300</v>
      </c>
      <c r="U548" s="427"/>
    </row>
    <row r="549" spans="1:22" s="203" customFormat="1" ht="17.25" hidden="1" customHeight="1" x14ac:dyDescent="0.2">
      <c r="A549" s="430" t="s">
        <v>454</v>
      </c>
      <c r="B549" s="429" t="s">
        <v>466</v>
      </c>
      <c r="C549" s="294" t="s">
        <v>2514</v>
      </c>
      <c r="D549" s="432"/>
      <c r="E549" s="203">
        <v>197971</v>
      </c>
      <c r="F549" s="203" t="s">
        <v>2514</v>
      </c>
      <c r="J549" s="203" t="s">
        <v>969</v>
      </c>
      <c r="K549" s="203" t="s">
        <v>969</v>
      </c>
      <c r="L549" s="203" t="s">
        <v>969</v>
      </c>
      <c r="M549" s="203" t="s">
        <v>966</v>
      </c>
      <c r="N549" s="203">
        <v>20.872400283813501</v>
      </c>
      <c r="O549" s="203">
        <v>92.337608337402301</v>
      </c>
      <c r="P549" s="203" t="s">
        <v>970</v>
      </c>
      <c r="Q549" s="294" t="s">
        <v>2516</v>
      </c>
      <c r="R549" s="434"/>
      <c r="S549" s="426"/>
      <c r="T549" s="543">
        <v>43245</v>
      </c>
      <c r="U549" s="427"/>
    </row>
    <row r="550" spans="1:22" s="203" customFormat="1" ht="17.25" hidden="1" customHeight="1" x14ac:dyDescent="0.2">
      <c r="A550" s="426" t="s">
        <v>454</v>
      </c>
      <c r="B550" s="429" t="s">
        <v>466</v>
      </c>
      <c r="C550" s="430" t="s">
        <v>2514</v>
      </c>
      <c r="D550" s="295"/>
      <c r="E550" s="203">
        <v>197971</v>
      </c>
      <c r="J550" s="203" t="s">
        <v>969</v>
      </c>
      <c r="K550" s="203" t="s">
        <v>969</v>
      </c>
      <c r="L550" s="203" t="s">
        <v>969</v>
      </c>
      <c r="M550" s="203" t="s">
        <v>966</v>
      </c>
      <c r="N550" s="203">
        <v>20.872400283813501</v>
      </c>
      <c r="O550" s="203">
        <v>92.337608337402301</v>
      </c>
      <c r="R550" s="434"/>
      <c r="S550" s="426"/>
      <c r="T550" s="542">
        <v>43300</v>
      </c>
      <c r="U550" s="427"/>
    </row>
    <row r="551" spans="1:22" s="203" customFormat="1" ht="17.25" hidden="1" customHeight="1" x14ac:dyDescent="0.2">
      <c r="A551" s="203" t="s">
        <v>454</v>
      </c>
      <c r="B551" s="203" t="s">
        <v>466</v>
      </c>
      <c r="C551" s="203" t="s">
        <v>496</v>
      </c>
      <c r="D551" s="203" t="s">
        <v>2177</v>
      </c>
      <c r="J551" s="203" t="s">
        <v>969</v>
      </c>
      <c r="K551" s="203" t="s">
        <v>969</v>
      </c>
      <c r="L551" s="203" t="s">
        <v>969</v>
      </c>
      <c r="M551" s="203" t="s">
        <v>966</v>
      </c>
      <c r="P551" s="203" t="s">
        <v>970</v>
      </c>
      <c r="Q551" s="203" t="s">
        <v>951</v>
      </c>
      <c r="R551" s="425"/>
      <c r="S551" s="426"/>
      <c r="T551" s="542" t="s">
        <v>935</v>
      </c>
      <c r="U551" s="427"/>
      <c r="V551" s="203" t="s">
        <v>496</v>
      </c>
    </row>
    <row r="552" spans="1:22" s="203" customFormat="1" ht="17.25" hidden="1" customHeight="1" x14ac:dyDescent="0.2">
      <c r="A552" s="203" t="s">
        <v>454</v>
      </c>
      <c r="B552" s="203" t="s">
        <v>466</v>
      </c>
      <c r="C552" s="203" t="s">
        <v>765</v>
      </c>
      <c r="D552" s="203" t="s">
        <v>2177</v>
      </c>
      <c r="E552" s="203" t="s">
        <v>1811</v>
      </c>
      <c r="J552" s="203" t="s">
        <v>969</v>
      </c>
      <c r="K552" s="203" t="s">
        <v>969</v>
      </c>
      <c r="L552" s="203" t="s">
        <v>969</v>
      </c>
      <c r="M552" s="203" t="s">
        <v>966</v>
      </c>
      <c r="N552" s="203">
        <v>20.788669586181602</v>
      </c>
      <c r="O552" s="203">
        <v>92.397300720214801</v>
      </c>
      <c r="P552" s="203" t="s">
        <v>970</v>
      </c>
      <c r="Q552" s="203" t="s">
        <v>951</v>
      </c>
      <c r="R552" s="425"/>
      <c r="S552" s="426"/>
      <c r="T552" s="542" t="s">
        <v>935</v>
      </c>
      <c r="U552" s="427"/>
      <c r="V552" s="203" t="s">
        <v>765</v>
      </c>
    </row>
    <row r="553" spans="1:22" s="203" customFormat="1" ht="17.25" hidden="1" customHeight="1" x14ac:dyDescent="0.2">
      <c r="A553" s="426" t="s">
        <v>454</v>
      </c>
      <c r="B553" s="429" t="s">
        <v>466</v>
      </c>
      <c r="C553" s="430" t="s">
        <v>2835</v>
      </c>
      <c r="D553" s="295"/>
      <c r="E553" s="203">
        <v>197972</v>
      </c>
      <c r="J553" s="203" t="s">
        <v>969</v>
      </c>
      <c r="K553" s="203" t="s">
        <v>969</v>
      </c>
      <c r="L553" s="203" t="s">
        <v>969</v>
      </c>
      <c r="M553" s="203" t="s">
        <v>966</v>
      </c>
      <c r="N553" s="203">
        <v>20.879430770873999</v>
      </c>
      <c r="O553" s="203">
        <v>92.334373474121094</v>
      </c>
      <c r="R553" s="434"/>
      <c r="S553" s="426"/>
      <c r="T553" s="542">
        <v>43300</v>
      </c>
      <c r="U553" s="427"/>
    </row>
    <row r="554" spans="1:22" s="203" customFormat="1" ht="17.25" hidden="1" customHeight="1" x14ac:dyDescent="0.2">
      <c r="A554" s="203" t="s">
        <v>454</v>
      </c>
      <c r="B554" s="203" t="s">
        <v>466</v>
      </c>
      <c r="C554" s="203" t="s">
        <v>454</v>
      </c>
      <c r="D554" s="203" t="s">
        <v>2177</v>
      </c>
      <c r="J554" s="203" t="s">
        <v>969</v>
      </c>
      <c r="K554" s="203" t="s">
        <v>969</v>
      </c>
      <c r="L554" s="203" t="s">
        <v>969</v>
      </c>
      <c r="M554" s="203" t="s">
        <v>454</v>
      </c>
      <c r="P554" s="203" t="s">
        <v>970</v>
      </c>
      <c r="Q554" s="203" t="s">
        <v>951</v>
      </c>
      <c r="R554" s="425"/>
      <c r="S554" s="426"/>
      <c r="T554" s="542" t="s">
        <v>935</v>
      </c>
      <c r="U554" s="427"/>
      <c r="V554" s="203" t="s">
        <v>454</v>
      </c>
    </row>
    <row r="555" spans="1:22" s="203" customFormat="1" ht="17.25" hidden="1" customHeight="1" x14ac:dyDescent="0.2">
      <c r="A555" s="203" t="s">
        <v>454</v>
      </c>
      <c r="B555" s="203" t="s">
        <v>466</v>
      </c>
      <c r="C555" s="203" t="s">
        <v>501</v>
      </c>
      <c r="D555" s="203" t="s">
        <v>2177</v>
      </c>
      <c r="J555" s="203" t="s">
        <v>969</v>
      </c>
      <c r="K555" s="203" t="s">
        <v>969</v>
      </c>
      <c r="L555" s="203" t="s">
        <v>969</v>
      </c>
      <c r="M555" s="203" t="s">
        <v>454</v>
      </c>
      <c r="P555" s="203" t="s">
        <v>970</v>
      </c>
      <c r="Q555" s="203" t="s">
        <v>951</v>
      </c>
      <c r="R555" s="425"/>
      <c r="S555" s="426"/>
      <c r="T555" s="542"/>
      <c r="U555" s="427"/>
    </row>
    <row r="556" spans="1:22" s="203" customFormat="1" ht="17.25" hidden="1" customHeight="1" x14ac:dyDescent="0.2">
      <c r="A556" s="203" t="s">
        <v>454</v>
      </c>
      <c r="B556" s="203" t="s">
        <v>466</v>
      </c>
      <c r="C556" s="203" t="s">
        <v>1307</v>
      </c>
      <c r="D556" s="203" t="s">
        <v>2177</v>
      </c>
      <c r="J556" s="203" t="s">
        <v>969</v>
      </c>
      <c r="K556" s="203" t="s">
        <v>969</v>
      </c>
      <c r="L556" s="203" t="s">
        <v>969</v>
      </c>
      <c r="M556" s="203" t="s">
        <v>966</v>
      </c>
      <c r="P556" s="203" t="s">
        <v>970</v>
      </c>
      <c r="R556" s="425"/>
      <c r="S556" s="426"/>
      <c r="T556" s="542" t="s">
        <v>935</v>
      </c>
      <c r="U556" s="427"/>
      <c r="V556" s="203" t="s">
        <v>501</v>
      </c>
    </row>
    <row r="557" spans="1:22" s="203" customFormat="1" ht="17.25" hidden="1" customHeight="1" x14ac:dyDescent="0.2">
      <c r="A557" s="203" t="s">
        <v>454</v>
      </c>
      <c r="B557" s="203" t="s">
        <v>466</v>
      </c>
      <c r="C557" s="203" t="s">
        <v>502</v>
      </c>
      <c r="D557" s="203" t="s">
        <v>2177</v>
      </c>
      <c r="J557" s="203" t="s">
        <v>969</v>
      </c>
      <c r="K557" s="203" t="s">
        <v>969</v>
      </c>
      <c r="L557" s="203" t="s">
        <v>969</v>
      </c>
      <c r="M557" s="203" t="s">
        <v>454</v>
      </c>
      <c r="P557" s="203" t="s">
        <v>970</v>
      </c>
      <c r="Q557" s="203" t="s">
        <v>951</v>
      </c>
      <c r="R557" s="425"/>
      <c r="S557" s="426"/>
      <c r="T557" s="542" t="s">
        <v>935</v>
      </c>
      <c r="U557" s="427"/>
      <c r="V557" s="203" t="s">
        <v>501</v>
      </c>
    </row>
    <row r="558" spans="1:22" s="203" customFormat="1" ht="17.25" hidden="1" customHeight="1" x14ac:dyDescent="0.2">
      <c r="A558" s="203" t="s">
        <v>454</v>
      </c>
      <c r="B558" s="203" t="s">
        <v>466</v>
      </c>
      <c r="C558" s="203" t="s">
        <v>503</v>
      </c>
      <c r="D558" s="203" t="s">
        <v>2177</v>
      </c>
      <c r="J558" s="203" t="s">
        <v>969</v>
      </c>
      <c r="K558" s="203" t="s">
        <v>969</v>
      </c>
      <c r="L558" s="203" t="s">
        <v>969</v>
      </c>
      <c r="M558" s="203" t="s">
        <v>966</v>
      </c>
      <c r="P558" s="203" t="s">
        <v>970</v>
      </c>
      <c r="Q558" s="203" t="s">
        <v>951</v>
      </c>
      <c r="R558" s="425"/>
      <c r="S558" s="426"/>
      <c r="T558" s="542" t="s">
        <v>935</v>
      </c>
      <c r="U558" s="427"/>
      <c r="V558" s="203" t="s">
        <v>503</v>
      </c>
    </row>
    <row r="559" spans="1:22" s="203" customFormat="1" ht="17.25" hidden="1" customHeight="1" x14ac:dyDescent="0.2">
      <c r="A559" s="426" t="s">
        <v>454</v>
      </c>
      <c r="B559" s="429" t="s">
        <v>466</v>
      </c>
      <c r="C559" s="430" t="s">
        <v>2858</v>
      </c>
      <c r="D559" s="295"/>
      <c r="E559" s="203">
        <v>197897</v>
      </c>
      <c r="J559" s="203" t="s">
        <v>969</v>
      </c>
      <c r="K559" s="203" t="s">
        <v>969</v>
      </c>
      <c r="L559" s="203" t="s">
        <v>969</v>
      </c>
      <c r="M559" s="203" t="s">
        <v>454</v>
      </c>
      <c r="N559" s="203">
        <v>21.004550933837901</v>
      </c>
      <c r="O559" s="203">
        <v>92.294601440429702</v>
      </c>
      <c r="R559" s="434"/>
      <c r="S559" s="426"/>
      <c r="T559" s="542">
        <v>43300</v>
      </c>
      <c r="U559" s="427"/>
    </row>
    <row r="560" spans="1:22" s="203" customFormat="1" ht="17.25" hidden="1" customHeight="1" x14ac:dyDescent="0.2">
      <c r="A560" s="203" t="s">
        <v>454</v>
      </c>
      <c r="B560" s="203" t="s">
        <v>466</v>
      </c>
      <c r="C560" s="203" t="s">
        <v>850</v>
      </c>
      <c r="D560" s="203" t="s">
        <v>2177</v>
      </c>
      <c r="E560" s="203">
        <v>197866</v>
      </c>
      <c r="J560" s="203" t="s">
        <v>969</v>
      </c>
      <c r="K560" s="203" t="s">
        <v>969</v>
      </c>
      <c r="L560" s="203" t="s">
        <v>969</v>
      </c>
      <c r="M560" s="203" t="s">
        <v>966</v>
      </c>
      <c r="N560" s="203">
        <v>21.058349609375</v>
      </c>
      <c r="O560" s="203">
        <v>92.336326599121094</v>
      </c>
      <c r="P560" s="203" t="s">
        <v>970</v>
      </c>
      <c r="Q560" s="203" t="s">
        <v>951</v>
      </c>
      <c r="R560" s="425"/>
      <c r="S560" s="426"/>
      <c r="T560" s="542">
        <v>42745</v>
      </c>
      <c r="U560" s="427"/>
      <c r="V560" s="203" t="s">
        <v>850</v>
      </c>
    </row>
    <row r="561" spans="1:22" s="203" customFormat="1" ht="17.25" hidden="1" customHeight="1" x14ac:dyDescent="0.2">
      <c r="A561" s="203" t="s">
        <v>454</v>
      </c>
      <c r="B561" s="203" t="s">
        <v>466</v>
      </c>
      <c r="C561" s="203" t="s">
        <v>838</v>
      </c>
      <c r="D561" s="203" t="s">
        <v>2177</v>
      </c>
      <c r="J561" s="203" t="s">
        <v>969</v>
      </c>
      <c r="K561" s="203" t="s">
        <v>969</v>
      </c>
      <c r="L561" s="203" t="s">
        <v>969</v>
      </c>
      <c r="M561" s="203" t="s">
        <v>454</v>
      </c>
      <c r="N561" s="203">
        <v>21.004550933837901</v>
      </c>
      <c r="O561" s="203">
        <v>92.294601440429702</v>
      </c>
      <c r="P561" s="203" t="s">
        <v>970</v>
      </c>
      <c r="Q561" s="203" t="s">
        <v>951</v>
      </c>
      <c r="R561" s="425"/>
      <c r="S561" s="426"/>
      <c r="T561" s="542" t="s">
        <v>935</v>
      </c>
      <c r="U561" s="427"/>
      <c r="V561" s="203" t="s">
        <v>838</v>
      </c>
    </row>
    <row r="562" spans="1:22" s="203" customFormat="1" ht="17.25" hidden="1" customHeight="1" x14ac:dyDescent="0.2">
      <c r="A562" s="426" t="s">
        <v>454</v>
      </c>
      <c r="B562" s="429" t="s">
        <v>466</v>
      </c>
      <c r="C562" s="430" t="s">
        <v>2856</v>
      </c>
      <c r="D562" s="295"/>
      <c r="E562" s="203">
        <v>197983</v>
      </c>
      <c r="J562" s="203" t="s">
        <v>969</v>
      </c>
      <c r="K562" s="203" t="s">
        <v>969</v>
      </c>
      <c r="L562" s="203" t="s">
        <v>969</v>
      </c>
      <c r="M562" s="203" t="s">
        <v>846</v>
      </c>
      <c r="N562" s="203">
        <v>20.834699630737301</v>
      </c>
      <c r="O562" s="203">
        <v>92.372390747070298</v>
      </c>
      <c r="R562" s="434"/>
      <c r="S562" s="426"/>
      <c r="T562" s="542">
        <v>43300</v>
      </c>
      <c r="U562" s="427"/>
    </row>
    <row r="563" spans="1:22" s="203" customFormat="1" ht="17.25" hidden="1" customHeight="1" x14ac:dyDescent="0.2">
      <c r="A563" s="203" t="s">
        <v>454</v>
      </c>
      <c r="B563" s="203" t="s">
        <v>466</v>
      </c>
      <c r="C563" s="203" t="s">
        <v>728</v>
      </c>
      <c r="D563" s="203" t="s">
        <v>2177</v>
      </c>
      <c r="E563" s="203" t="s">
        <v>1777</v>
      </c>
      <c r="J563" s="203" t="s">
        <v>969</v>
      </c>
      <c r="K563" s="203" t="s">
        <v>969</v>
      </c>
      <c r="L563" s="203" t="s">
        <v>969</v>
      </c>
      <c r="M563" s="203" t="s">
        <v>966</v>
      </c>
      <c r="N563" s="203">
        <v>20.717479705810501</v>
      </c>
      <c r="O563" s="203">
        <v>92.437492370605497</v>
      </c>
      <c r="P563" s="203" t="s">
        <v>970</v>
      </c>
      <c r="Q563" s="203" t="s">
        <v>951</v>
      </c>
      <c r="R563" s="425"/>
      <c r="S563" s="426"/>
      <c r="T563" s="542" t="s">
        <v>935</v>
      </c>
      <c r="U563" s="427"/>
      <c r="V563" s="203" t="s">
        <v>728</v>
      </c>
    </row>
    <row r="564" spans="1:22" s="203" customFormat="1" ht="17.25" hidden="1" customHeight="1" x14ac:dyDescent="0.2">
      <c r="A564" s="203" t="s">
        <v>454</v>
      </c>
      <c r="B564" s="203" t="s">
        <v>466</v>
      </c>
      <c r="C564" s="203" t="s">
        <v>505</v>
      </c>
      <c r="D564" s="203" t="s">
        <v>2177</v>
      </c>
      <c r="J564" s="203" t="s">
        <v>969</v>
      </c>
      <c r="K564" s="203" t="s">
        <v>969</v>
      </c>
      <c r="L564" s="203" t="s">
        <v>969</v>
      </c>
      <c r="M564" s="203" t="s">
        <v>454</v>
      </c>
      <c r="P564" s="203" t="s">
        <v>970</v>
      </c>
      <c r="Q564" s="203" t="s">
        <v>951</v>
      </c>
      <c r="R564" s="425"/>
      <c r="S564" s="426"/>
      <c r="T564" s="542" t="s">
        <v>935</v>
      </c>
      <c r="U564" s="427"/>
      <c r="V564" s="203" t="s">
        <v>505</v>
      </c>
    </row>
    <row r="565" spans="1:22" s="203" customFormat="1" ht="17.25" hidden="1" customHeight="1" x14ac:dyDescent="0.2">
      <c r="A565" s="426" t="s">
        <v>454</v>
      </c>
      <c r="B565" s="429" t="s">
        <v>466</v>
      </c>
      <c r="C565" s="430" t="s">
        <v>2843</v>
      </c>
      <c r="D565" s="295"/>
      <c r="E565" s="203">
        <v>220737</v>
      </c>
      <c r="J565" s="203" t="s">
        <v>969</v>
      </c>
      <c r="K565" s="203" t="s">
        <v>969</v>
      </c>
      <c r="L565" s="203" t="s">
        <v>969</v>
      </c>
      <c r="M565" s="203" t="s">
        <v>454</v>
      </c>
      <c r="N565" s="203">
        <v>20.806211471557599</v>
      </c>
      <c r="O565" s="203">
        <v>92.404357910156307</v>
      </c>
      <c r="R565" s="434"/>
      <c r="S565" s="426"/>
      <c r="T565" s="542">
        <v>43300</v>
      </c>
      <c r="U565" s="427"/>
    </row>
    <row r="566" spans="1:22" s="203" customFormat="1" ht="17.25" hidden="1" customHeight="1" x14ac:dyDescent="0.2">
      <c r="A566" s="426" t="s">
        <v>454</v>
      </c>
      <c r="B566" s="429" t="s">
        <v>466</v>
      </c>
      <c r="C566" s="430" t="s">
        <v>2824</v>
      </c>
      <c r="D566" s="295"/>
      <c r="E566" s="203">
        <v>197940</v>
      </c>
      <c r="J566" s="203" t="s">
        <v>969</v>
      </c>
      <c r="K566" s="203" t="s">
        <v>969</v>
      </c>
      <c r="L566" s="203" t="s">
        <v>969</v>
      </c>
      <c r="M566" s="203" t="s">
        <v>966</v>
      </c>
      <c r="N566" s="203">
        <v>20.836729049682599</v>
      </c>
      <c r="O566" s="203">
        <v>92.3509521484375</v>
      </c>
      <c r="R566" s="434"/>
      <c r="S566" s="426"/>
      <c r="T566" s="542">
        <v>43300</v>
      </c>
      <c r="U566" s="427"/>
    </row>
    <row r="567" spans="1:22" s="203" customFormat="1" ht="17.25" hidden="1" customHeight="1" x14ac:dyDescent="0.2">
      <c r="A567" s="426" t="s">
        <v>454</v>
      </c>
      <c r="B567" s="429" t="s">
        <v>466</v>
      </c>
      <c r="C567" s="430" t="s">
        <v>2823</v>
      </c>
      <c r="D567" s="295"/>
      <c r="E567" s="203">
        <v>197940</v>
      </c>
      <c r="J567" s="203" t="s">
        <v>969</v>
      </c>
      <c r="K567" s="203" t="s">
        <v>969</v>
      </c>
      <c r="L567" s="203" t="s">
        <v>969</v>
      </c>
      <c r="M567" s="203" t="s">
        <v>966</v>
      </c>
      <c r="N567" s="203">
        <v>20.836729049682599</v>
      </c>
      <c r="O567" s="203">
        <v>92.3509521484375</v>
      </c>
      <c r="R567" s="434"/>
      <c r="S567" s="426"/>
      <c r="T567" s="542">
        <v>43300</v>
      </c>
      <c r="U567" s="427"/>
    </row>
    <row r="568" spans="1:22" s="203" customFormat="1" ht="17.25" hidden="1" customHeight="1" x14ac:dyDescent="0.2">
      <c r="A568" s="426" t="s">
        <v>454</v>
      </c>
      <c r="B568" s="429" t="s">
        <v>466</v>
      </c>
      <c r="C568" s="430" t="s">
        <v>2821</v>
      </c>
      <c r="D568" s="295"/>
      <c r="E568" s="203">
        <v>197940</v>
      </c>
      <c r="J568" s="203" t="s">
        <v>969</v>
      </c>
      <c r="K568" s="203" t="s">
        <v>969</v>
      </c>
      <c r="L568" s="203" t="s">
        <v>969</v>
      </c>
      <c r="M568" s="203" t="s">
        <v>966</v>
      </c>
      <c r="N568" s="203">
        <v>20.836729049682599</v>
      </c>
      <c r="O568" s="203">
        <v>92.3509521484375</v>
      </c>
      <c r="R568" s="434"/>
      <c r="S568" s="426"/>
      <c r="T568" s="542">
        <v>43300</v>
      </c>
      <c r="U568" s="427"/>
    </row>
    <row r="569" spans="1:22" s="203" customFormat="1" ht="17.25" hidden="1" customHeight="1" x14ac:dyDescent="0.2">
      <c r="A569" s="426" t="s">
        <v>454</v>
      </c>
      <c r="B569" s="429" t="s">
        <v>466</v>
      </c>
      <c r="C569" s="430" t="s">
        <v>2892</v>
      </c>
      <c r="D569" s="295"/>
      <c r="E569" s="203">
        <v>197940</v>
      </c>
      <c r="J569" s="203" t="s">
        <v>969</v>
      </c>
      <c r="K569" s="203" t="s">
        <v>969</v>
      </c>
      <c r="L569" s="203" t="s">
        <v>969</v>
      </c>
      <c r="M569" s="203" t="s">
        <v>846</v>
      </c>
      <c r="N569" s="203">
        <v>20.836729049682599</v>
      </c>
      <c r="O569" s="203">
        <v>92.3509521484375</v>
      </c>
      <c r="R569" s="434"/>
      <c r="S569" s="426"/>
      <c r="T569" s="542">
        <v>43300</v>
      </c>
      <c r="U569" s="427"/>
    </row>
    <row r="570" spans="1:22" s="203" customFormat="1" ht="17.25" hidden="1" customHeight="1" x14ac:dyDescent="0.2">
      <c r="A570" s="426" t="s">
        <v>454</v>
      </c>
      <c r="B570" s="429" t="s">
        <v>466</v>
      </c>
      <c r="C570" s="430" t="s">
        <v>2873</v>
      </c>
      <c r="D570" s="295"/>
      <c r="E570" s="203">
        <v>197933</v>
      </c>
      <c r="J570" s="203" t="s">
        <v>969</v>
      </c>
      <c r="K570" s="203" t="s">
        <v>969</v>
      </c>
      <c r="L570" s="203" t="s">
        <v>969</v>
      </c>
      <c r="M570" s="203" t="s">
        <v>966</v>
      </c>
      <c r="N570" s="203">
        <v>20.852359771728501</v>
      </c>
      <c r="O570" s="203">
        <v>92.352790832519503</v>
      </c>
      <c r="R570" s="434"/>
      <c r="S570" s="426"/>
      <c r="T570" s="542">
        <v>43300</v>
      </c>
      <c r="U570" s="427"/>
    </row>
    <row r="571" spans="1:22" s="203" customFormat="1" ht="17.25" hidden="1" customHeight="1" x14ac:dyDescent="0.2">
      <c r="A571" s="203" t="s">
        <v>454</v>
      </c>
      <c r="B571" s="203" t="s">
        <v>466</v>
      </c>
      <c r="C571" s="203" t="s">
        <v>851</v>
      </c>
      <c r="D571" s="203" t="s">
        <v>2177</v>
      </c>
      <c r="E571" s="203" t="s">
        <v>1871</v>
      </c>
      <c r="H571" s="203" t="s">
        <v>48</v>
      </c>
      <c r="J571" s="203" t="s">
        <v>969</v>
      </c>
      <c r="K571" s="203" t="s">
        <v>969</v>
      </c>
      <c r="L571" s="203" t="s">
        <v>2177</v>
      </c>
      <c r="M571" s="203" t="s">
        <v>966</v>
      </c>
      <c r="N571" s="203">
        <v>21.066663999999999</v>
      </c>
      <c r="O571" s="203">
        <v>92.338031000000001</v>
      </c>
      <c r="P571" s="203" t="s">
        <v>930</v>
      </c>
      <c r="Q571" s="203" t="s">
        <v>951</v>
      </c>
      <c r="R571" s="425"/>
      <c r="S571" s="426"/>
      <c r="T571" s="542">
        <v>43248</v>
      </c>
      <c r="U571" s="427" t="s">
        <v>2509</v>
      </c>
    </row>
    <row r="572" spans="1:22" s="203" customFormat="1" ht="17.25" hidden="1" customHeight="1" x14ac:dyDescent="0.2">
      <c r="A572" s="686" t="s">
        <v>454</v>
      </c>
      <c r="B572" s="691" t="s">
        <v>466</v>
      </c>
      <c r="C572" s="430" t="s">
        <v>2759</v>
      </c>
      <c r="D572" s="692"/>
      <c r="E572" s="687">
        <v>197830</v>
      </c>
      <c r="F572" s="687" t="s">
        <v>2755</v>
      </c>
      <c r="G572" s="687"/>
      <c r="H572" s="687"/>
      <c r="I572" s="687"/>
      <c r="J572" s="687" t="s">
        <v>969</v>
      </c>
      <c r="K572" s="687" t="s">
        <v>969</v>
      </c>
      <c r="L572" s="687" t="s">
        <v>969</v>
      </c>
      <c r="M572" s="687" t="s">
        <v>454</v>
      </c>
      <c r="N572" s="687">
        <v>21.2182006835938</v>
      </c>
      <c r="O572" s="687">
        <v>92.323173522949205</v>
      </c>
      <c r="P572" s="687" t="s">
        <v>970</v>
      </c>
      <c r="Q572" s="687"/>
      <c r="R572" s="688"/>
      <c r="S572" s="686"/>
      <c r="T572" s="689">
        <v>43294</v>
      </c>
      <c r="U572" s="690" t="s">
        <v>2753</v>
      </c>
      <c r="V572" s="687"/>
    </row>
    <row r="573" spans="1:22" s="203" customFormat="1" ht="17.25" hidden="1" customHeight="1" x14ac:dyDescent="0.2">
      <c r="A573" s="426" t="s">
        <v>454</v>
      </c>
      <c r="B573" s="429" t="s">
        <v>466</v>
      </c>
      <c r="C573" s="430" t="s">
        <v>2885</v>
      </c>
      <c r="D573" s="295"/>
      <c r="E573" s="203">
        <v>197835</v>
      </c>
      <c r="J573" s="203" t="s">
        <v>969</v>
      </c>
      <c r="K573" s="203" t="s">
        <v>969</v>
      </c>
      <c r="L573" s="203" t="s">
        <v>969</v>
      </c>
      <c r="M573" s="203" t="s">
        <v>454</v>
      </c>
      <c r="N573" s="203">
        <v>21.218610763549801</v>
      </c>
      <c r="O573" s="203">
        <v>92.300231933593807</v>
      </c>
      <c r="R573" s="434"/>
      <c r="S573" s="426"/>
      <c r="T573" s="542">
        <v>43300</v>
      </c>
      <c r="U573" s="427"/>
    </row>
    <row r="574" spans="1:22" s="203" customFormat="1" ht="17.25" hidden="1" customHeight="1" x14ac:dyDescent="0.2">
      <c r="A574" s="203" t="s">
        <v>454</v>
      </c>
      <c r="B574" s="203" t="s">
        <v>466</v>
      </c>
      <c r="C574" s="203" t="s">
        <v>756</v>
      </c>
      <c r="D574" s="203" t="s">
        <v>2177</v>
      </c>
      <c r="E574" s="203" t="s">
        <v>1805</v>
      </c>
      <c r="J574" s="203" t="s">
        <v>969</v>
      </c>
      <c r="K574" s="203" t="s">
        <v>969</v>
      </c>
      <c r="L574" s="203" t="s">
        <v>969</v>
      </c>
      <c r="M574" s="203" t="s">
        <v>966</v>
      </c>
      <c r="N574" s="203">
        <v>20.7818698883057</v>
      </c>
      <c r="O574" s="203">
        <v>92.393142700195298</v>
      </c>
      <c r="P574" s="203" t="s">
        <v>970</v>
      </c>
      <c r="Q574" s="203" t="s">
        <v>951</v>
      </c>
      <c r="R574" s="425"/>
      <c r="S574" s="426"/>
      <c r="T574" s="542" t="s">
        <v>935</v>
      </c>
      <c r="U574" s="427"/>
      <c r="V574" s="203" t="s">
        <v>756</v>
      </c>
    </row>
    <row r="575" spans="1:22" s="203" customFormat="1" ht="17.25" hidden="1" customHeight="1" x14ac:dyDescent="0.2">
      <c r="A575" s="426" t="s">
        <v>454</v>
      </c>
      <c r="B575" s="429" t="s">
        <v>466</v>
      </c>
      <c r="C575" s="430" t="s">
        <v>2849</v>
      </c>
      <c r="D575" s="295"/>
      <c r="E575" s="203" t="s">
        <v>2894</v>
      </c>
      <c r="J575" s="203" t="s">
        <v>969</v>
      </c>
      <c r="K575" s="203" t="s">
        <v>969</v>
      </c>
      <c r="L575" s="203" t="s">
        <v>969</v>
      </c>
      <c r="M575" s="203" t="s">
        <v>454</v>
      </c>
      <c r="R575" s="434"/>
      <c r="S575" s="426"/>
      <c r="T575" s="542">
        <v>43300</v>
      </c>
      <c r="U575" s="427"/>
    </row>
    <row r="576" spans="1:22" s="203" customFormat="1" ht="17.25" hidden="1" customHeight="1" x14ac:dyDescent="0.2">
      <c r="A576" s="426" t="s">
        <v>454</v>
      </c>
      <c r="B576" s="429" t="s">
        <v>466</v>
      </c>
      <c r="C576" s="430" t="s">
        <v>2848</v>
      </c>
      <c r="D576" s="295"/>
      <c r="E576" s="203" t="s">
        <v>2895</v>
      </c>
      <c r="J576" s="203" t="s">
        <v>969</v>
      </c>
      <c r="K576" s="203" t="s">
        <v>969</v>
      </c>
      <c r="L576" s="203" t="s">
        <v>969</v>
      </c>
      <c r="M576" s="203" t="s">
        <v>454</v>
      </c>
      <c r="R576" s="434"/>
      <c r="S576" s="426"/>
      <c r="T576" s="542">
        <v>43300</v>
      </c>
      <c r="U576" s="427"/>
    </row>
    <row r="577" spans="1:22" s="203" customFormat="1" ht="17.25" hidden="1" customHeight="1" x14ac:dyDescent="0.2">
      <c r="A577" s="426" t="s">
        <v>454</v>
      </c>
      <c r="B577" s="429" t="s">
        <v>466</v>
      </c>
      <c r="C577" s="430" t="s">
        <v>2847</v>
      </c>
      <c r="D577" s="295"/>
      <c r="E577" s="203" t="s">
        <v>2896</v>
      </c>
      <c r="J577" s="203" t="s">
        <v>969</v>
      </c>
      <c r="K577" s="203" t="s">
        <v>969</v>
      </c>
      <c r="L577" s="203" t="s">
        <v>969</v>
      </c>
      <c r="M577" s="203" t="s">
        <v>454</v>
      </c>
      <c r="R577" s="434"/>
      <c r="S577" s="426"/>
      <c r="T577" s="542">
        <v>43300</v>
      </c>
      <c r="U577" s="427"/>
    </row>
    <row r="578" spans="1:22" s="203" customFormat="1" ht="17.25" hidden="1" customHeight="1" x14ac:dyDescent="0.2">
      <c r="A578" s="426" t="s">
        <v>454</v>
      </c>
      <c r="B578" s="429" t="s">
        <v>466</v>
      </c>
      <c r="C578" s="430" t="s">
        <v>2846</v>
      </c>
      <c r="D578" s="295"/>
      <c r="E578" s="203" t="s">
        <v>2897</v>
      </c>
      <c r="J578" s="203" t="s">
        <v>969</v>
      </c>
      <c r="K578" s="203" t="s">
        <v>969</v>
      </c>
      <c r="L578" s="203" t="s">
        <v>969</v>
      </c>
      <c r="M578" s="203" t="s">
        <v>454</v>
      </c>
      <c r="R578" s="434"/>
      <c r="S578" s="426"/>
      <c r="T578" s="542">
        <v>43300</v>
      </c>
      <c r="U578" s="427"/>
    </row>
    <row r="579" spans="1:22" s="203" customFormat="1" ht="17.25" hidden="1" customHeight="1" x14ac:dyDescent="0.2">
      <c r="A579" s="430" t="s">
        <v>454</v>
      </c>
      <c r="B579" s="294" t="s">
        <v>466</v>
      </c>
      <c r="C579" s="294" t="s">
        <v>2517</v>
      </c>
      <c r="D579" s="432"/>
      <c r="E579" s="203">
        <v>198016</v>
      </c>
      <c r="H579" s="426"/>
      <c r="J579" s="203" t="s">
        <v>969</v>
      </c>
      <c r="K579" s="203" t="s">
        <v>969</v>
      </c>
      <c r="L579" s="203" t="s">
        <v>969</v>
      </c>
      <c r="M579" s="203" t="s">
        <v>454</v>
      </c>
      <c r="N579" s="203">
        <v>20.731571197509801</v>
      </c>
      <c r="O579" s="203">
        <v>92.428176879882798</v>
      </c>
      <c r="P579" s="203" t="s">
        <v>970</v>
      </c>
      <c r="Q579" s="294" t="s">
        <v>2516</v>
      </c>
      <c r="R579" s="425"/>
      <c r="S579" s="426"/>
      <c r="T579" s="543">
        <v>43245</v>
      </c>
      <c r="U579" s="427"/>
    </row>
    <row r="580" spans="1:22" s="203" customFormat="1" ht="17.25" hidden="1" customHeight="1" x14ac:dyDescent="0.2">
      <c r="A580" s="426" t="s">
        <v>454</v>
      </c>
      <c r="B580" s="429" t="s">
        <v>466</v>
      </c>
      <c r="C580" s="430" t="s">
        <v>2269</v>
      </c>
      <c r="D580" s="295"/>
      <c r="E580" s="203">
        <v>197917</v>
      </c>
      <c r="J580" s="203" t="s">
        <v>969</v>
      </c>
      <c r="K580" s="203" t="s">
        <v>969</v>
      </c>
      <c r="L580" s="203" t="s">
        <v>969</v>
      </c>
      <c r="M580" s="203" t="s">
        <v>454</v>
      </c>
      <c r="N580" s="203">
        <v>20.943050384521499</v>
      </c>
      <c r="O580" s="203">
        <v>92.315856933593807</v>
      </c>
      <c r="R580" s="434"/>
      <c r="S580" s="426"/>
      <c r="T580" s="542">
        <v>43300</v>
      </c>
      <c r="U580" s="427"/>
    </row>
    <row r="581" spans="1:22" s="203" customFormat="1" ht="17.25" hidden="1" customHeight="1" x14ac:dyDescent="0.2">
      <c r="A581" s="203" t="s">
        <v>454</v>
      </c>
      <c r="B581" s="203" t="s">
        <v>466</v>
      </c>
      <c r="C581" s="203" t="s">
        <v>853</v>
      </c>
      <c r="D581" s="203" t="s">
        <v>2177</v>
      </c>
      <c r="E581" s="203" t="s">
        <v>1872</v>
      </c>
      <c r="J581" s="203" t="s">
        <v>969</v>
      </c>
      <c r="K581" s="203" t="s">
        <v>969</v>
      </c>
      <c r="L581" s="203" t="s">
        <v>969</v>
      </c>
      <c r="M581" s="203" t="s">
        <v>454</v>
      </c>
      <c r="N581" s="438">
        <v>21.153581619262699</v>
      </c>
      <c r="O581" s="438">
        <v>92.250885009765597</v>
      </c>
      <c r="P581" s="203" t="s">
        <v>970</v>
      </c>
      <c r="Q581" s="203" t="s">
        <v>951</v>
      </c>
      <c r="R581" s="425"/>
      <c r="S581" s="426"/>
      <c r="T581" s="542" t="s">
        <v>935</v>
      </c>
      <c r="U581" s="427"/>
      <c r="V581" s="203" t="s">
        <v>1128</v>
      </c>
    </row>
    <row r="582" spans="1:22" s="203" customFormat="1" ht="17.25" hidden="1" customHeight="1" x14ac:dyDescent="0.25">
      <c r="A582" s="686" t="s">
        <v>454</v>
      </c>
      <c r="B582" s="691" t="s">
        <v>466</v>
      </c>
      <c r="C582" s="430" t="s">
        <v>853</v>
      </c>
      <c r="D582" s="692"/>
      <c r="E582" s="687">
        <v>220747</v>
      </c>
      <c r="F582" s="687" t="s">
        <v>2756</v>
      </c>
      <c r="G582" s="687"/>
      <c r="H582" s="687"/>
      <c r="I582" s="687"/>
      <c r="J582" s="687" t="s">
        <v>969</v>
      </c>
      <c r="K582" s="687" t="s">
        <v>969</v>
      </c>
      <c r="L582" s="687" t="s">
        <v>969</v>
      </c>
      <c r="M582" s="687" t="s">
        <v>454</v>
      </c>
      <c r="N582" s="693">
        <v>21.153581619262699</v>
      </c>
      <c r="O582" s="693">
        <v>92.250885009765597</v>
      </c>
      <c r="P582" s="687" t="s">
        <v>970</v>
      </c>
      <c r="Q582" s="687"/>
      <c r="R582" s="688"/>
      <c r="S582" s="686"/>
      <c r="T582" s="689">
        <v>43294</v>
      </c>
      <c r="U582" s="690" t="s">
        <v>2753</v>
      </c>
      <c r="V582" s="687"/>
    </row>
    <row r="583" spans="1:22" s="203" customFormat="1" ht="17.25" hidden="1" customHeight="1" x14ac:dyDescent="0.2">
      <c r="A583" s="426" t="s">
        <v>454</v>
      </c>
      <c r="B583" s="429" t="s">
        <v>466</v>
      </c>
      <c r="C583" s="430" t="s">
        <v>853</v>
      </c>
      <c r="D583" s="295"/>
      <c r="E583" s="203">
        <v>220747</v>
      </c>
      <c r="J583" s="203" t="s">
        <v>969</v>
      </c>
      <c r="K583" s="203" t="s">
        <v>969</v>
      </c>
      <c r="L583" s="203" t="s">
        <v>969</v>
      </c>
      <c r="M583" s="203" t="s">
        <v>2869</v>
      </c>
      <c r="N583" s="203">
        <v>21.153581619262699</v>
      </c>
      <c r="O583" s="203">
        <v>92.250885009765597</v>
      </c>
      <c r="R583" s="434"/>
      <c r="S583" s="426"/>
      <c r="T583" s="542">
        <v>43300</v>
      </c>
      <c r="U583" s="427"/>
    </row>
    <row r="584" spans="1:22" s="203" customFormat="1" ht="17.25" hidden="1" customHeight="1" x14ac:dyDescent="0.2">
      <c r="A584" s="426" t="s">
        <v>454</v>
      </c>
      <c r="B584" s="429" t="s">
        <v>466</v>
      </c>
      <c r="C584" s="430" t="s">
        <v>2836</v>
      </c>
      <c r="D584" s="295"/>
      <c r="E584" s="203">
        <v>197957</v>
      </c>
      <c r="J584" s="203" t="s">
        <v>969</v>
      </c>
      <c r="K584" s="203" t="s">
        <v>969</v>
      </c>
      <c r="L584" s="203" t="s">
        <v>969</v>
      </c>
      <c r="M584" s="203" t="s">
        <v>966</v>
      </c>
      <c r="N584" s="203">
        <v>20.9003295898438</v>
      </c>
      <c r="O584" s="203">
        <v>92.362213134765597</v>
      </c>
      <c r="R584" s="434"/>
      <c r="S584" s="426"/>
      <c r="T584" s="542">
        <v>43300</v>
      </c>
      <c r="U584" s="427"/>
    </row>
    <row r="585" spans="1:22" s="203" customFormat="1" ht="17.25" hidden="1" customHeight="1" x14ac:dyDescent="0.2">
      <c r="A585" s="203" t="s">
        <v>454</v>
      </c>
      <c r="B585" s="203" t="s">
        <v>466</v>
      </c>
      <c r="C585" s="203" t="s">
        <v>855</v>
      </c>
      <c r="D585" s="203" t="s">
        <v>2177</v>
      </c>
      <c r="E585" s="203" t="s">
        <v>1874</v>
      </c>
      <c r="J585" s="203" t="s">
        <v>969</v>
      </c>
      <c r="K585" s="203" t="s">
        <v>969</v>
      </c>
      <c r="L585" s="203" t="s">
        <v>969</v>
      </c>
      <c r="M585" s="203" t="s">
        <v>966</v>
      </c>
      <c r="N585" s="438">
        <v>21.200752258300799</v>
      </c>
      <c r="O585" s="438">
        <v>92.309303283691406</v>
      </c>
      <c r="P585" s="203" t="s">
        <v>970</v>
      </c>
      <c r="Q585" s="203" t="s">
        <v>951</v>
      </c>
      <c r="R585" s="425"/>
      <c r="S585" s="426"/>
      <c r="T585" s="542" t="s">
        <v>935</v>
      </c>
      <c r="U585" s="427"/>
      <c r="V585" s="203" t="s">
        <v>1130</v>
      </c>
    </row>
    <row r="586" spans="1:22" s="203" customFormat="1" ht="17.25" hidden="1" customHeight="1" x14ac:dyDescent="0.2">
      <c r="A586" s="203" t="s">
        <v>454</v>
      </c>
      <c r="B586" s="203" t="s">
        <v>466</v>
      </c>
      <c r="C586" s="203" t="s">
        <v>788</v>
      </c>
      <c r="D586" s="203" t="s">
        <v>2177</v>
      </c>
      <c r="E586" s="203" t="s">
        <v>1829</v>
      </c>
      <c r="H586" s="203" t="s">
        <v>48</v>
      </c>
      <c r="J586" s="203" t="s">
        <v>969</v>
      </c>
      <c r="K586" s="203" t="s">
        <v>969</v>
      </c>
      <c r="L586" s="203" t="s">
        <v>2177</v>
      </c>
      <c r="M586" s="203" t="s">
        <v>966</v>
      </c>
      <c r="N586" s="203">
        <v>20.824517</v>
      </c>
      <c r="O586" s="203">
        <v>92.401293999999993</v>
      </c>
      <c r="P586" s="203" t="s">
        <v>930</v>
      </c>
      <c r="R586" s="425"/>
      <c r="S586" s="426"/>
      <c r="T586" s="542">
        <v>43248</v>
      </c>
      <c r="U586" s="427" t="s">
        <v>2509</v>
      </c>
      <c r="V586" s="203" t="s">
        <v>1112</v>
      </c>
    </row>
    <row r="587" spans="1:22" s="203" customFormat="1" ht="17.25" hidden="1" customHeight="1" x14ac:dyDescent="0.2">
      <c r="A587" s="426" t="s">
        <v>454</v>
      </c>
      <c r="B587" s="429" t="s">
        <v>466</v>
      </c>
      <c r="C587" s="430" t="s">
        <v>2838</v>
      </c>
      <c r="D587" s="295"/>
      <c r="E587" s="203">
        <v>197951</v>
      </c>
      <c r="J587" s="203" t="s">
        <v>969</v>
      </c>
      <c r="K587" s="203" t="s">
        <v>969</v>
      </c>
      <c r="L587" s="203" t="s">
        <v>969</v>
      </c>
      <c r="M587" s="203" t="s">
        <v>966</v>
      </c>
      <c r="N587" s="203">
        <v>20.905330657958999</v>
      </c>
      <c r="O587" s="203">
        <v>92.344802856445298</v>
      </c>
      <c r="R587" s="434"/>
      <c r="S587" s="426"/>
      <c r="T587" s="542">
        <v>43300</v>
      </c>
      <c r="U587" s="427"/>
    </row>
    <row r="588" spans="1:22" s="203" customFormat="1" ht="17.25" hidden="1" customHeight="1" x14ac:dyDescent="0.2">
      <c r="A588" s="426" t="s">
        <v>454</v>
      </c>
      <c r="B588" s="429" t="s">
        <v>466</v>
      </c>
      <c r="C588" s="430" t="s">
        <v>2839</v>
      </c>
      <c r="D588" s="295"/>
      <c r="E588" s="203">
        <v>197952</v>
      </c>
      <c r="J588" s="203" t="s">
        <v>969</v>
      </c>
      <c r="K588" s="203" t="s">
        <v>969</v>
      </c>
      <c r="L588" s="203" t="s">
        <v>969</v>
      </c>
      <c r="M588" s="203" t="s">
        <v>966</v>
      </c>
      <c r="N588" s="203">
        <v>20.9009895324707</v>
      </c>
      <c r="O588" s="203">
        <v>92.355827331542997</v>
      </c>
      <c r="R588" s="434"/>
      <c r="S588" s="426"/>
      <c r="T588" s="542">
        <v>43300</v>
      </c>
      <c r="U588" s="427"/>
    </row>
    <row r="589" spans="1:22" s="203" customFormat="1" ht="17.25" hidden="1" customHeight="1" x14ac:dyDescent="0.2">
      <c r="A589" s="203" t="s">
        <v>454</v>
      </c>
      <c r="B589" s="203" t="s">
        <v>466</v>
      </c>
      <c r="C589" s="203" t="s">
        <v>854</v>
      </c>
      <c r="D589" s="203" t="s">
        <v>2177</v>
      </c>
      <c r="E589" s="203" t="s">
        <v>1873</v>
      </c>
      <c r="J589" s="203" t="s">
        <v>969</v>
      </c>
      <c r="K589" s="203" t="s">
        <v>969</v>
      </c>
      <c r="L589" s="203" t="s">
        <v>969</v>
      </c>
      <c r="M589" s="203" t="s">
        <v>966</v>
      </c>
      <c r="N589" s="203">
        <v>21.188909531</v>
      </c>
      <c r="O589" s="203">
        <v>92.306762695000003</v>
      </c>
      <c r="P589" s="203" t="s">
        <v>970</v>
      </c>
      <c r="Q589" s="203" t="s">
        <v>951</v>
      </c>
      <c r="R589" s="425"/>
      <c r="S589" s="426"/>
      <c r="T589" s="542" t="s">
        <v>935</v>
      </c>
      <c r="U589" s="427"/>
      <c r="V589" s="203" t="s">
        <v>1129</v>
      </c>
    </row>
    <row r="590" spans="1:22" s="203" customFormat="1" ht="17.25" hidden="1" customHeight="1" x14ac:dyDescent="0.2">
      <c r="A590" s="426" t="s">
        <v>454</v>
      </c>
      <c r="B590" s="429" t="s">
        <v>466</v>
      </c>
      <c r="C590" s="430" t="s">
        <v>2854</v>
      </c>
      <c r="D590" s="295"/>
      <c r="J590" s="203" t="s">
        <v>969</v>
      </c>
      <c r="K590" s="203" t="s">
        <v>969</v>
      </c>
      <c r="L590" s="203" t="s">
        <v>969</v>
      </c>
      <c r="M590" s="203" t="s">
        <v>2867</v>
      </c>
      <c r="R590" s="434"/>
      <c r="S590" s="426"/>
      <c r="T590" s="542">
        <v>43300</v>
      </c>
      <c r="U590" s="427"/>
    </row>
    <row r="591" spans="1:22" s="203" customFormat="1" ht="17.25" hidden="1" customHeight="1" x14ac:dyDescent="0.2">
      <c r="A591" s="686" t="s">
        <v>454</v>
      </c>
      <c r="B591" s="691" t="s">
        <v>466</v>
      </c>
      <c r="C591" s="696" t="s">
        <v>2754</v>
      </c>
      <c r="D591" s="692"/>
      <c r="E591" s="687">
        <v>198101</v>
      </c>
      <c r="F591" s="687" t="s">
        <v>2756</v>
      </c>
      <c r="G591" s="687"/>
      <c r="H591" s="687"/>
      <c r="I591" s="687"/>
      <c r="J591" s="687" t="s">
        <v>969</v>
      </c>
      <c r="K591" s="687" t="s">
        <v>969</v>
      </c>
      <c r="L591" s="687" t="s">
        <v>969</v>
      </c>
      <c r="M591" s="687" t="s">
        <v>454</v>
      </c>
      <c r="N591" s="687">
        <v>21.177719116210898</v>
      </c>
      <c r="O591" s="687">
        <v>92.239547729492202</v>
      </c>
      <c r="P591" s="687" t="s">
        <v>970</v>
      </c>
      <c r="Q591" s="687"/>
      <c r="R591" s="688"/>
      <c r="S591" s="686"/>
      <c r="T591" s="689">
        <v>43294</v>
      </c>
      <c r="U591" s="690" t="s">
        <v>2753</v>
      </c>
      <c r="V591" s="687"/>
    </row>
    <row r="592" spans="1:22" s="203" customFormat="1" ht="17.25" hidden="1" customHeight="1" x14ac:dyDescent="0.2">
      <c r="A592" s="426" t="s">
        <v>454</v>
      </c>
      <c r="B592" s="429" t="s">
        <v>466</v>
      </c>
      <c r="C592" s="430" t="s">
        <v>2754</v>
      </c>
      <c r="D592" s="295"/>
      <c r="E592" s="203">
        <v>198101</v>
      </c>
      <c r="J592" s="203" t="s">
        <v>969</v>
      </c>
      <c r="K592" s="203" t="s">
        <v>969</v>
      </c>
      <c r="L592" s="203" t="s">
        <v>969</v>
      </c>
      <c r="M592" s="203" t="s">
        <v>2869</v>
      </c>
      <c r="N592" s="203">
        <v>21.177719116210898</v>
      </c>
      <c r="O592" s="203">
        <v>92.239547729492202</v>
      </c>
      <c r="R592" s="434"/>
      <c r="S592" s="426"/>
      <c r="T592" s="542">
        <v>43300</v>
      </c>
      <c r="U592" s="427"/>
    </row>
    <row r="593" spans="1:22" s="203" customFormat="1" ht="17.25" hidden="1" customHeight="1" x14ac:dyDescent="0.2">
      <c r="A593" s="203" t="s">
        <v>454</v>
      </c>
      <c r="B593" s="203" t="s">
        <v>466</v>
      </c>
      <c r="C593" s="203" t="s">
        <v>506</v>
      </c>
      <c r="D593" s="203" t="s">
        <v>2177</v>
      </c>
      <c r="J593" s="203" t="s">
        <v>969</v>
      </c>
      <c r="K593" s="203" t="s">
        <v>969</v>
      </c>
      <c r="L593" s="203" t="s">
        <v>969</v>
      </c>
      <c r="M593" s="203" t="s">
        <v>454</v>
      </c>
      <c r="P593" s="203" t="s">
        <v>970</v>
      </c>
      <c r="Q593" s="203" t="s">
        <v>951</v>
      </c>
      <c r="R593" s="425"/>
      <c r="S593" s="426"/>
      <c r="T593" s="542" t="s">
        <v>935</v>
      </c>
      <c r="U593" s="427"/>
      <c r="V593" s="203" t="s">
        <v>506</v>
      </c>
    </row>
    <row r="594" spans="1:22" s="203" customFormat="1" ht="17.25" hidden="1" customHeight="1" x14ac:dyDescent="0.2">
      <c r="A594" s="203" t="s">
        <v>454</v>
      </c>
      <c r="B594" s="203" t="s">
        <v>466</v>
      </c>
      <c r="C594" s="203" t="s">
        <v>507</v>
      </c>
      <c r="D594" s="203" t="s">
        <v>2177</v>
      </c>
      <c r="J594" s="203" t="s">
        <v>969</v>
      </c>
      <c r="K594" s="203" t="s">
        <v>969</v>
      </c>
      <c r="L594" s="203" t="s">
        <v>969</v>
      </c>
      <c r="M594" s="203" t="s">
        <v>966</v>
      </c>
      <c r="P594" s="203" t="s">
        <v>970</v>
      </c>
      <c r="Q594" s="203" t="s">
        <v>951</v>
      </c>
      <c r="R594" s="425"/>
      <c r="S594" s="426"/>
      <c r="T594" s="542" t="s">
        <v>935</v>
      </c>
      <c r="U594" s="427"/>
      <c r="V594" s="203" t="s">
        <v>507</v>
      </c>
    </row>
    <row r="595" spans="1:22" s="203" customFormat="1" ht="17.25" hidden="1" customHeight="1" x14ac:dyDescent="0.2">
      <c r="A595" s="203" t="s">
        <v>454</v>
      </c>
      <c r="B595" s="203" t="s">
        <v>466</v>
      </c>
      <c r="C595" s="203" t="s">
        <v>508</v>
      </c>
      <c r="D595" s="203" t="s">
        <v>2177</v>
      </c>
      <c r="J595" s="203" t="s">
        <v>969</v>
      </c>
      <c r="K595" s="203" t="s">
        <v>969</v>
      </c>
      <c r="L595" s="203" t="s">
        <v>969</v>
      </c>
      <c r="M595" s="203" t="s">
        <v>966</v>
      </c>
      <c r="P595" s="203" t="s">
        <v>970</v>
      </c>
      <c r="Q595" s="203" t="s">
        <v>951</v>
      </c>
      <c r="R595" s="425"/>
      <c r="S595" s="426"/>
      <c r="T595" s="542" t="s">
        <v>935</v>
      </c>
      <c r="U595" s="427"/>
      <c r="V595" s="203" t="s">
        <v>508</v>
      </c>
    </row>
    <row r="596" spans="1:22" s="203" customFormat="1" ht="17.25" hidden="1" customHeight="1" x14ac:dyDescent="0.2">
      <c r="A596" s="426" t="s">
        <v>454</v>
      </c>
      <c r="B596" s="429" t="s">
        <v>466</v>
      </c>
      <c r="C596" s="430" t="s">
        <v>2888</v>
      </c>
      <c r="D596" s="295"/>
      <c r="E596" s="203">
        <v>197825</v>
      </c>
      <c r="J596" s="203" t="s">
        <v>969</v>
      </c>
      <c r="K596" s="203" t="s">
        <v>969</v>
      </c>
      <c r="L596" s="203" t="s">
        <v>969</v>
      </c>
      <c r="M596" s="203" t="s">
        <v>2872</v>
      </c>
      <c r="N596" s="203">
        <v>21.239080429077099</v>
      </c>
      <c r="O596" s="203">
        <v>92.288932800292997</v>
      </c>
      <c r="R596" s="434"/>
      <c r="S596" s="426"/>
      <c r="T596" s="542">
        <v>43300</v>
      </c>
      <c r="U596" s="427"/>
    </row>
    <row r="597" spans="1:22" s="203" customFormat="1" ht="17.25" hidden="1" customHeight="1" x14ac:dyDescent="0.2">
      <c r="A597" s="203" t="s">
        <v>454</v>
      </c>
      <c r="B597" s="203" t="s">
        <v>466</v>
      </c>
      <c r="C597" s="203" t="s">
        <v>509</v>
      </c>
      <c r="D597" s="203" t="s">
        <v>2177</v>
      </c>
      <c r="E597" s="203" t="s">
        <v>2103</v>
      </c>
      <c r="J597" s="203" t="s">
        <v>969</v>
      </c>
      <c r="K597" s="203" t="s">
        <v>969</v>
      </c>
      <c r="L597" s="203" t="s">
        <v>969</v>
      </c>
      <c r="M597" s="203" t="s">
        <v>2737</v>
      </c>
      <c r="P597" s="203" t="s">
        <v>970</v>
      </c>
      <c r="Q597" s="203" t="s">
        <v>951</v>
      </c>
      <c r="R597" s="425"/>
      <c r="S597" s="426"/>
      <c r="T597" s="542" t="s">
        <v>935</v>
      </c>
      <c r="U597" s="427"/>
      <c r="V597" s="203" t="s">
        <v>1319</v>
      </c>
    </row>
    <row r="598" spans="1:22" s="203" customFormat="1" ht="17.25" hidden="1" customHeight="1" x14ac:dyDescent="0.2">
      <c r="A598" s="426" t="s">
        <v>454</v>
      </c>
      <c r="B598" s="429" t="s">
        <v>466</v>
      </c>
      <c r="C598" s="430" t="s">
        <v>2864</v>
      </c>
      <c r="D598" s="295"/>
      <c r="E598" s="203">
        <v>197930</v>
      </c>
      <c r="J598" s="203" t="s">
        <v>969</v>
      </c>
      <c r="K598" s="203" t="s">
        <v>969</v>
      </c>
      <c r="L598" s="203" t="s">
        <v>969</v>
      </c>
      <c r="M598" s="203" t="s">
        <v>966</v>
      </c>
      <c r="N598" s="203">
        <v>20.940069198608398</v>
      </c>
      <c r="O598" s="203">
        <v>92.337913513183594</v>
      </c>
      <c r="R598" s="434"/>
      <c r="S598" s="426"/>
      <c r="T598" s="542">
        <v>43300</v>
      </c>
      <c r="U598" s="427"/>
    </row>
    <row r="599" spans="1:22" s="203" customFormat="1" ht="17.25" hidden="1" customHeight="1" x14ac:dyDescent="0.2">
      <c r="A599" s="426" t="s">
        <v>454</v>
      </c>
      <c r="B599" s="429" t="s">
        <v>466</v>
      </c>
      <c r="C599" s="430" t="s">
        <v>2882</v>
      </c>
      <c r="D599" s="295"/>
      <c r="E599" s="203">
        <v>220741</v>
      </c>
      <c r="J599" s="203" t="s">
        <v>969</v>
      </c>
      <c r="K599" s="203" t="s">
        <v>969</v>
      </c>
      <c r="L599" s="203" t="s">
        <v>969</v>
      </c>
      <c r="M599" s="203" t="s">
        <v>454</v>
      </c>
      <c r="N599" s="203">
        <v>20.680984497070298</v>
      </c>
      <c r="O599" s="203">
        <v>92.473495483398395</v>
      </c>
      <c r="R599" s="434"/>
      <c r="S599" s="426"/>
      <c r="T599" s="542">
        <v>43300</v>
      </c>
      <c r="U599" s="427"/>
    </row>
    <row r="600" spans="1:22" s="203" customFormat="1" ht="17.25" hidden="1" customHeight="1" x14ac:dyDescent="0.2">
      <c r="A600" s="203" t="s">
        <v>454</v>
      </c>
      <c r="B600" s="203" t="s">
        <v>466</v>
      </c>
      <c r="C600" s="203" t="s">
        <v>512</v>
      </c>
      <c r="D600" s="203" t="s">
        <v>2177</v>
      </c>
      <c r="J600" s="203" t="s">
        <v>969</v>
      </c>
      <c r="K600" s="203" t="s">
        <v>969</v>
      </c>
      <c r="L600" s="203" t="s">
        <v>969</v>
      </c>
      <c r="M600" s="203" t="s">
        <v>454</v>
      </c>
      <c r="P600" s="203" t="s">
        <v>970</v>
      </c>
      <c r="Q600" s="203" t="s">
        <v>951</v>
      </c>
      <c r="R600" s="425"/>
      <c r="S600" s="426"/>
      <c r="T600" s="542" t="s">
        <v>935</v>
      </c>
      <c r="U600" s="427"/>
      <c r="V600" s="203" t="s">
        <v>512</v>
      </c>
    </row>
    <row r="601" spans="1:22" s="203" customFormat="1" ht="17.25" hidden="1" customHeight="1" x14ac:dyDescent="0.2">
      <c r="A601" s="203" t="s">
        <v>454</v>
      </c>
      <c r="B601" s="203" t="s">
        <v>466</v>
      </c>
      <c r="C601" s="203" t="s">
        <v>798</v>
      </c>
      <c r="D601" s="203" t="s">
        <v>2177</v>
      </c>
      <c r="E601" s="203" t="s">
        <v>1838</v>
      </c>
      <c r="H601" s="203" t="s">
        <v>48</v>
      </c>
      <c r="J601" s="203" t="s">
        <v>969</v>
      </c>
      <c r="K601" s="203" t="s">
        <v>969</v>
      </c>
      <c r="L601" s="203" t="s">
        <v>2177</v>
      </c>
      <c r="M601" s="203" t="s">
        <v>966</v>
      </c>
      <c r="N601" s="203">
        <v>20.833831</v>
      </c>
      <c r="O601" s="203">
        <v>92.416683000000006</v>
      </c>
      <c r="P601" s="203" t="s">
        <v>930</v>
      </c>
      <c r="Q601" s="203" t="s">
        <v>951</v>
      </c>
      <c r="R601" s="425"/>
      <c r="S601" s="426"/>
      <c r="T601" s="542">
        <v>43248</v>
      </c>
      <c r="U601" s="427" t="s">
        <v>2509</v>
      </c>
    </row>
    <row r="602" spans="1:22" s="203" customFormat="1" ht="17.25" hidden="1" customHeight="1" x14ac:dyDescent="0.2">
      <c r="A602" s="203" t="s">
        <v>454</v>
      </c>
      <c r="B602" s="203" t="s">
        <v>466</v>
      </c>
      <c r="C602" s="203" t="s">
        <v>1322</v>
      </c>
      <c r="D602" s="203" t="s">
        <v>2177</v>
      </c>
      <c r="J602" s="203" t="s">
        <v>969</v>
      </c>
      <c r="K602" s="203" t="s">
        <v>969</v>
      </c>
      <c r="L602" s="203" t="s">
        <v>969</v>
      </c>
      <c r="M602" s="203" t="s">
        <v>966</v>
      </c>
      <c r="P602" s="203" t="s">
        <v>970</v>
      </c>
      <c r="R602" s="425"/>
      <c r="S602" s="426"/>
      <c r="T602" s="542" t="s">
        <v>935</v>
      </c>
      <c r="U602" s="427"/>
      <c r="V602" s="203" t="s">
        <v>1322</v>
      </c>
    </row>
    <row r="603" spans="1:22" s="203" customFormat="1" ht="17.25" hidden="1" customHeight="1" x14ac:dyDescent="0.2">
      <c r="A603" s="426" t="s">
        <v>454</v>
      </c>
      <c r="B603" s="429" t="s">
        <v>466</v>
      </c>
      <c r="C603" s="430" t="s">
        <v>2879</v>
      </c>
      <c r="D603" s="295"/>
      <c r="E603" s="203">
        <v>197861</v>
      </c>
      <c r="J603" s="203" t="s">
        <v>969</v>
      </c>
      <c r="K603" s="203" t="s">
        <v>969</v>
      </c>
      <c r="L603" s="203" t="s">
        <v>969</v>
      </c>
      <c r="M603" s="203" t="s">
        <v>2867</v>
      </c>
      <c r="N603" s="203">
        <v>21.131010055541999</v>
      </c>
      <c r="O603" s="203">
        <v>92.354011535644503</v>
      </c>
      <c r="R603" s="434"/>
      <c r="S603" s="426"/>
      <c r="T603" s="542">
        <v>43300</v>
      </c>
      <c r="U603" s="427"/>
    </row>
    <row r="604" spans="1:22" s="203" customFormat="1" ht="17.25" hidden="1" customHeight="1" x14ac:dyDescent="0.2">
      <c r="A604" s="426" t="s">
        <v>454</v>
      </c>
      <c r="B604" s="429" t="s">
        <v>466</v>
      </c>
      <c r="C604" s="430" t="s">
        <v>2884</v>
      </c>
      <c r="D604" s="295"/>
      <c r="E604" s="203">
        <v>197842</v>
      </c>
      <c r="J604" s="203" t="s">
        <v>969</v>
      </c>
      <c r="K604" s="203" t="s">
        <v>969</v>
      </c>
      <c r="L604" s="203" t="s">
        <v>969</v>
      </c>
      <c r="M604" s="203" t="s">
        <v>2869</v>
      </c>
      <c r="N604" s="203">
        <v>21.210039138793899</v>
      </c>
      <c r="O604" s="203">
        <v>92.297286987304702</v>
      </c>
      <c r="R604" s="434"/>
      <c r="S604" s="426"/>
      <c r="T604" s="542">
        <v>43300</v>
      </c>
      <c r="U604" s="427"/>
    </row>
    <row r="605" spans="1:22" s="203" customFormat="1" ht="17.25" hidden="1" customHeight="1" x14ac:dyDescent="0.2">
      <c r="A605" s="203" t="s">
        <v>454</v>
      </c>
      <c r="B605" s="203" t="s">
        <v>466</v>
      </c>
      <c r="C605" s="203" t="s">
        <v>849</v>
      </c>
      <c r="D605" s="203" t="s">
        <v>2177</v>
      </c>
      <c r="E605" s="203" t="s">
        <v>1870</v>
      </c>
      <c r="J605" s="203" t="s">
        <v>969</v>
      </c>
      <c r="K605" s="203" t="s">
        <v>969</v>
      </c>
      <c r="L605" s="203" t="s">
        <v>969</v>
      </c>
      <c r="M605" s="203" t="s">
        <v>966</v>
      </c>
      <c r="N605" s="203">
        <v>21.057630538940401</v>
      </c>
      <c r="O605" s="203">
        <v>92.340232849121094</v>
      </c>
      <c r="P605" s="203" t="s">
        <v>970</v>
      </c>
      <c r="Q605" s="203" t="s">
        <v>951</v>
      </c>
      <c r="R605" s="425"/>
      <c r="S605" s="426"/>
      <c r="T605" s="542" t="s">
        <v>935</v>
      </c>
      <c r="U605" s="427"/>
      <c r="V605" s="203" t="s">
        <v>849</v>
      </c>
    </row>
    <row r="606" spans="1:22" s="203" customFormat="1" ht="17.25" hidden="1" customHeight="1" x14ac:dyDescent="0.2">
      <c r="A606" s="203" t="s">
        <v>454</v>
      </c>
      <c r="B606" s="203" t="s">
        <v>466</v>
      </c>
      <c r="C606" s="203" t="s">
        <v>840</v>
      </c>
      <c r="D606" s="203" t="s">
        <v>2177</v>
      </c>
      <c r="E606" s="203">
        <v>197893</v>
      </c>
      <c r="J606" s="203" t="s">
        <v>969</v>
      </c>
      <c r="K606" s="203" t="s">
        <v>969</v>
      </c>
      <c r="L606" s="203" t="s">
        <v>969</v>
      </c>
      <c r="M606" s="203" t="s">
        <v>454</v>
      </c>
      <c r="N606" s="203">
        <v>21.0094203948975</v>
      </c>
      <c r="O606" s="203">
        <v>92.318077087402301</v>
      </c>
      <c r="P606" s="203" t="s">
        <v>970</v>
      </c>
      <c r="Q606" s="203" t="s">
        <v>973</v>
      </c>
      <c r="R606" s="425"/>
      <c r="S606" s="426"/>
      <c r="T606" s="542">
        <v>42926</v>
      </c>
      <c r="U606" s="427" t="s">
        <v>974</v>
      </c>
    </row>
    <row r="607" spans="1:22" s="203" customFormat="1" ht="17.25" hidden="1" customHeight="1" x14ac:dyDescent="0.2">
      <c r="A607" s="203" t="s">
        <v>454</v>
      </c>
      <c r="B607" s="203" t="s">
        <v>466</v>
      </c>
      <c r="C607" s="203" t="s">
        <v>789</v>
      </c>
      <c r="D607" s="203" t="s">
        <v>2177</v>
      </c>
      <c r="E607" s="203" t="s">
        <v>1830</v>
      </c>
      <c r="J607" s="203" t="s">
        <v>969</v>
      </c>
      <c r="K607" s="203" t="s">
        <v>969</v>
      </c>
      <c r="L607" s="203" t="s">
        <v>969</v>
      </c>
      <c r="M607" s="203" t="s">
        <v>966</v>
      </c>
      <c r="N607" s="203">
        <v>20.824769973754901</v>
      </c>
      <c r="O607" s="203">
        <v>92.398788452148395</v>
      </c>
      <c r="P607" s="203" t="s">
        <v>970</v>
      </c>
      <c r="Q607" s="203" t="s">
        <v>951</v>
      </c>
      <c r="R607" s="425"/>
      <c r="S607" s="426"/>
      <c r="T607" s="542" t="s">
        <v>935</v>
      </c>
      <c r="U607" s="427"/>
      <c r="V607" s="203" t="s">
        <v>1113</v>
      </c>
    </row>
    <row r="608" spans="1:22" s="203" customFormat="1" ht="17.25" hidden="1" customHeight="1" x14ac:dyDescent="0.2">
      <c r="A608" s="203" t="s">
        <v>454</v>
      </c>
      <c r="B608" s="203" t="s">
        <v>466</v>
      </c>
      <c r="C608" s="203" t="s">
        <v>790</v>
      </c>
      <c r="D608" s="203" t="s">
        <v>2177</v>
      </c>
      <c r="E608" s="203" t="s">
        <v>1830</v>
      </c>
      <c r="J608" s="203" t="s">
        <v>969</v>
      </c>
      <c r="K608" s="203" t="s">
        <v>969</v>
      </c>
      <c r="L608" s="203" t="s">
        <v>969</v>
      </c>
      <c r="M608" s="203" t="s">
        <v>966</v>
      </c>
      <c r="N608" s="203">
        <v>20.824769973754901</v>
      </c>
      <c r="O608" s="203">
        <v>92.398788452148395</v>
      </c>
      <c r="P608" s="203" t="s">
        <v>970</v>
      </c>
      <c r="Q608" s="203" t="s">
        <v>951</v>
      </c>
      <c r="R608" s="425"/>
      <c r="S608" s="426"/>
      <c r="T608" s="542" t="s">
        <v>935</v>
      </c>
      <c r="U608" s="427"/>
      <c r="V608" s="203" t="s">
        <v>1113</v>
      </c>
    </row>
    <row r="609" spans="1:22" s="203" customFormat="1" ht="17.25" hidden="1" customHeight="1" x14ac:dyDescent="0.2">
      <c r="A609" s="203" t="s">
        <v>454</v>
      </c>
      <c r="B609" s="203" t="s">
        <v>466</v>
      </c>
      <c r="C609" s="203" t="s">
        <v>513</v>
      </c>
      <c r="D609" s="203" t="s">
        <v>2177</v>
      </c>
      <c r="J609" s="203" t="s">
        <v>969</v>
      </c>
      <c r="K609" s="203" t="s">
        <v>969</v>
      </c>
      <c r="L609" s="203" t="s">
        <v>969</v>
      </c>
      <c r="M609" s="203" t="s">
        <v>966</v>
      </c>
      <c r="P609" s="203" t="s">
        <v>970</v>
      </c>
      <c r="Q609" s="203" t="s">
        <v>951</v>
      </c>
      <c r="R609" s="425"/>
      <c r="S609" s="426"/>
      <c r="T609" s="542" t="s">
        <v>935</v>
      </c>
      <c r="U609" s="427"/>
      <c r="V609" s="203" t="s">
        <v>513</v>
      </c>
    </row>
    <row r="610" spans="1:22" s="203" customFormat="1" ht="17.25" hidden="1" customHeight="1" x14ac:dyDescent="0.2">
      <c r="A610" s="203" t="s">
        <v>454</v>
      </c>
      <c r="B610" s="203" t="s">
        <v>466</v>
      </c>
      <c r="C610" s="203" t="s">
        <v>514</v>
      </c>
      <c r="D610" s="203" t="s">
        <v>2177</v>
      </c>
      <c r="J610" s="203" t="s">
        <v>969</v>
      </c>
      <c r="K610" s="203" t="s">
        <v>969</v>
      </c>
      <c r="L610" s="203" t="s">
        <v>969</v>
      </c>
      <c r="M610" s="203" t="s">
        <v>454</v>
      </c>
      <c r="P610" s="203" t="s">
        <v>970</v>
      </c>
      <c r="Q610" s="203" t="s">
        <v>951</v>
      </c>
      <c r="R610" s="425"/>
      <c r="S610" s="426"/>
      <c r="T610" s="542" t="s">
        <v>935</v>
      </c>
      <c r="U610" s="427"/>
      <c r="V610" s="203" t="s">
        <v>514</v>
      </c>
    </row>
    <row r="611" spans="1:22" s="203" customFormat="1" ht="17.25" hidden="1" customHeight="1" x14ac:dyDescent="0.2">
      <c r="A611" s="203" t="s">
        <v>454</v>
      </c>
      <c r="B611" s="203" t="s">
        <v>466</v>
      </c>
      <c r="C611" s="203" t="s">
        <v>792</v>
      </c>
      <c r="D611" s="203" t="s">
        <v>2177</v>
      </c>
      <c r="E611" s="203" t="s">
        <v>1833</v>
      </c>
      <c r="H611" s="203" t="s">
        <v>48</v>
      </c>
      <c r="J611" s="203" t="s">
        <v>969</v>
      </c>
      <c r="K611" s="203" t="s">
        <v>969</v>
      </c>
      <c r="L611" s="203" t="s">
        <v>2177</v>
      </c>
      <c r="M611" s="203" t="s">
        <v>966</v>
      </c>
      <c r="N611" s="203">
        <v>20.825306000000001</v>
      </c>
      <c r="O611" s="203">
        <v>92.367852999999997</v>
      </c>
      <c r="P611" s="203" t="s">
        <v>930</v>
      </c>
      <c r="Q611" s="203" t="s">
        <v>951</v>
      </c>
      <c r="R611" s="425"/>
      <c r="S611" s="426"/>
      <c r="T611" s="542">
        <v>43248</v>
      </c>
      <c r="U611" s="427" t="s">
        <v>2509</v>
      </c>
    </row>
    <row r="612" spans="1:22" s="203" customFormat="1" ht="17.25" hidden="1" customHeight="1" x14ac:dyDescent="0.2">
      <c r="A612" s="203" t="s">
        <v>454</v>
      </c>
      <c r="B612" s="203" t="s">
        <v>466</v>
      </c>
      <c r="C612" s="203" t="s">
        <v>777</v>
      </c>
      <c r="D612" s="203" t="s">
        <v>2177</v>
      </c>
      <c r="E612" s="203" t="s">
        <v>1821</v>
      </c>
      <c r="J612" s="203" t="s">
        <v>969</v>
      </c>
      <c r="K612" s="203" t="s">
        <v>969</v>
      </c>
      <c r="L612" s="203" t="s">
        <v>969</v>
      </c>
      <c r="M612" s="203" t="s">
        <v>966</v>
      </c>
      <c r="N612" s="203">
        <v>20.805980682373001</v>
      </c>
      <c r="O612" s="203">
        <v>92.383308410644503</v>
      </c>
      <c r="P612" s="203" t="s">
        <v>970</v>
      </c>
      <c r="Q612" s="203" t="s">
        <v>951</v>
      </c>
      <c r="R612" s="425"/>
      <c r="S612" s="426"/>
      <c r="T612" s="542" t="s">
        <v>935</v>
      </c>
      <c r="U612" s="427"/>
      <c r="V612" s="203" t="s">
        <v>1108</v>
      </c>
    </row>
    <row r="613" spans="1:22" s="203" customFormat="1" ht="17.25" hidden="1" customHeight="1" x14ac:dyDescent="0.2">
      <c r="A613" s="203" t="s">
        <v>454</v>
      </c>
      <c r="B613" s="203" t="s">
        <v>466</v>
      </c>
      <c r="C613" s="203" t="s">
        <v>778</v>
      </c>
      <c r="D613" s="203" t="s">
        <v>2177</v>
      </c>
      <c r="E613" s="203" t="s">
        <v>1821</v>
      </c>
      <c r="J613" s="203" t="s">
        <v>969</v>
      </c>
      <c r="K613" s="203" t="s">
        <v>969</v>
      </c>
      <c r="L613" s="203" t="s">
        <v>969</v>
      </c>
      <c r="M613" s="203" t="s">
        <v>966</v>
      </c>
      <c r="N613" s="203">
        <v>20.805980682373001</v>
      </c>
      <c r="O613" s="203">
        <v>92.383308410644503</v>
      </c>
      <c r="P613" s="203" t="s">
        <v>970</v>
      </c>
      <c r="Q613" s="203" t="s">
        <v>951</v>
      </c>
      <c r="R613" s="425"/>
      <c r="S613" s="426"/>
      <c r="T613" s="542" t="s">
        <v>935</v>
      </c>
      <c r="U613" s="427"/>
      <c r="V613" s="203" t="s">
        <v>1109</v>
      </c>
    </row>
    <row r="614" spans="1:22" s="203" customFormat="1" ht="17.25" hidden="1" customHeight="1" x14ac:dyDescent="0.2">
      <c r="A614" s="426" t="s">
        <v>454</v>
      </c>
      <c r="B614" s="429" t="s">
        <v>466</v>
      </c>
      <c r="C614" s="430" t="s">
        <v>2860</v>
      </c>
      <c r="D614" s="295"/>
      <c r="E614" s="203">
        <v>197899</v>
      </c>
      <c r="J614" s="203" t="s">
        <v>969</v>
      </c>
      <c r="K614" s="203" t="s">
        <v>969</v>
      </c>
      <c r="L614" s="203" t="s">
        <v>969</v>
      </c>
      <c r="M614" s="203" t="s">
        <v>454</v>
      </c>
      <c r="N614" s="203">
        <v>20.946010589599599</v>
      </c>
      <c r="O614" s="203">
        <v>92.301872253417997</v>
      </c>
      <c r="R614" s="434"/>
      <c r="S614" s="426"/>
      <c r="T614" s="542">
        <v>43300</v>
      </c>
      <c r="U614" s="427"/>
    </row>
    <row r="615" spans="1:22" s="203" customFormat="1" ht="17.25" hidden="1" customHeight="1" x14ac:dyDescent="0.2">
      <c r="A615" s="430" t="s">
        <v>454</v>
      </c>
      <c r="B615" s="429" t="s">
        <v>466</v>
      </c>
      <c r="C615" s="294" t="s">
        <v>2515</v>
      </c>
      <c r="D615" s="447"/>
      <c r="E615" s="294">
        <v>197899</v>
      </c>
      <c r="F615" s="294"/>
      <c r="G615" s="294"/>
      <c r="H615" s="294"/>
      <c r="I615" s="294"/>
      <c r="J615" s="294" t="s">
        <v>969</v>
      </c>
      <c r="K615" s="294" t="s">
        <v>969</v>
      </c>
      <c r="L615" s="294" t="s">
        <v>969</v>
      </c>
      <c r="M615" s="294" t="s">
        <v>2518</v>
      </c>
      <c r="N615" s="294">
        <v>20.946010589599599</v>
      </c>
      <c r="O615" s="294">
        <v>92.301872253417997</v>
      </c>
      <c r="P615" s="203" t="s">
        <v>970</v>
      </c>
      <c r="Q615" s="294" t="s">
        <v>2516</v>
      </c>
      <c r="R615" s="435"/>
      <c r="S615" s="430"/>
      <c r="T615" s="543">
        <v>43245</v>
      </c>
      <c r="U615" s="431"/>
      <c r="V615" s="294"/>
    </row>
    <row r="616" spans="1:22" s="203" customFormat="1" ht="17.25" hidden="1" customHeight="1" x14ac:dyDescent="0.2">
      <c r="A616" s="203" t="s">
        <v>454</v>
      </c>
      <c r="B616" s="203" t="s">
        <v>466</v>
      </c>
      <c r="C616" s="203" t="s">
        <v>729</v>
      </c>
      <c r="D616" s="203" t="s">
        <v>2177</v>
      </c>
      <c r="E616" s="203" t="s">
        <v>1778</v>
      </c>
      <c r="J616" s="203" t="s">
        <v>969</v>
      </c>
      <c r="K616" s="203" t="s">
        <v>969</v>
      </c>
      <c r="L616" s="203" t="s">
        <v>969</v>
      </c>
      <c r="M616" s="203" t="s">
        <v>966</v>
      </c>
      <c r="N616" s="203">
        <v>20.7175903320313</v>
      </c>
      <c r="O616" s="203">
        <v>92.426422119140597</v>
      </c>
      <c r="P616" s="203" t="s">
        <v>970</v>
      </c>
      <c r="Q616" s="203" t="s">
        <v>951</v>
      </c>
      <c r="R616" s="425"/>
      <c r="S616" s="426"/>
      <c r="T616" s="542" t="s">
        <v>935</v>
      </c>
      <c r="U616" s="427"/>
      <c r="V616" s="203" t="s">
        <v>729</v>
      </c>
    </row>
    <row r="617" spans="1:22" s="203" customFormat="1" ht="17.25" hidden="1" customHeight="1" x14ac:dyDescent="0.2">
      <c r="A617" s="426" t="s">
        <v>454</v>
      </c>
      <c r="B617" s="429" t="s">
        <v>466</v>
      </c>
      <c r="C617" s="430" t="s">
        <v>2844</v>
      </c>
      <c r="D617" s="295"/>
      <c r="E617" s="203">
        <v>220744</v>
      </c>
      <c r="J617" s="203" t="s">
        <v>969</v>
      </c>
      <c r="K617" s="203" t="s">
        <v>969</v>
      </c>
      <c r="L617" s="203" t="s">
        <v>969</v>
      </c>
      <c r="M617" s="203" t="s">
        <v>454</v>
      </c>
      <c r="N617" s="203">
        <v>20.716121673583999</v>
      </c>
      <c r="O617" s="203">
        <v>92.442459106445298</v>
      </c>
      <c r="R617" s="434"/>
      <c r="S617" s="426"/>
      <c r="T617" s="542">
        <v>43300</v>
      </c>
      <c r="U617" s="427"/>
    </row>
    <row r="618" spans="1:22" s="203" customFormat="1" ht="17.25" hidden="1" customHeight="1" x14ac:dyDescent="0.2">
      <c r="A618" s="426" t="s">
        <v>454</v>
      </c>
      <c r="B618" s="429" t="s">
        <v>466</v>
      </c>
      <c r="C618" s="430" t="s">
        <v>2845</v>
      </c>
      <c r="D618" s="295"/>
      <c r="J618" s="203" t="s">
        <v>969</v>
      </c>
      <c r="K618" s="203" t="s">
        <v>969</v>
      </c>
      <c r="L618" s="203" t="s">
        <v>969</v>
      </c>
      <c r="M618" s="203" t="s">
        <v>2867</v>
      </c>
      <c r="R618" s="434"/>
      <c r="S618" s="426"/>
      <c r="T618" s="542">
        <v>43300</v>
      </c>
      <c r="U618" s="427"/>
    </row>
    <row r="619" spans="1:22" s="203" customFormat="1" ht="17.25" hidden="1" customHeight="1" x14ac:dyDescent="0.2">
      <c r="A619" s="426" t="s">
        <v>454</v>
      </c>
      <c r="B619" s="429" t="s">
        <v>466</v>
      </c>
      <c r="C619" s="430" t="s">
        <v>1079</v>
      </c>
      <c r="D619" s="295"/>
      <c r="E619" s="203">
        <v>197938</v>
      </c>
      <c r="J619" s="203" t="s">
        <v>969</v>
      </c>
      <c r="K619" s="203" t="s">
        <v>969</v>
      </c>
      <c r="L619" s="203" t="s">
        <v>969</v>
      </c>
      <c r="M619" s="203" t="s">
        <v>966</v>
      </c>
      <c r="N619" s="203">
        <v>20.840980529785199</v>
      </c>
      <c r="O619" s="203">
        <v>92.357200622558594</v>
      </c>
      <c r="R619" s="434"/>
      <c r="S619" s="426"/>
      <c r="T619" s="542">
        <v>43300</v>
      </c>
      <c r="U619" s="427"/>
    </row>
    <row r="620" spans="1:22" s="203" customFormat="1" ht="17.25" hidden="1" customHeight="1" x14ac:dyDescent="0.2">
      <c r="A620" s="203" t="s">
        <v>454</v>
      </c>
      <c r="B620" s="203" t="s">
        <v>466</v>
      </c>
      <c r="C620" s="203" t="s">
        <v>837</v>
      </c>
      <c r="D620" s="203" t="s">
        <v>2177</v>
      </c>
      <c r="E620" s="203">
        <v>197903</v>
      </c>
      <c r="J620" s="203" t="s">
        <v>969</v>
      </c>
      <c r="K620" s="203" t="s">
        <v>969</v>
      </c>
      <c r="L620" s="203" t="s">
        <v>969</v>
      </c>
      <c r="M620" s="203" t="s">
        <v>966</v>
      </c>
      <c r="N620" s="203">
        <v>21.000970840454102</v>
      </c>
      <c r="O620" s="203">
        <v>92.334213256835895</v>
      </c>
      <c r="P620" s="203" t="s">
        <v>970</v>
      </c>
      <c r="Q620" s="203" t="s">
        <v>973</v>
      </c>
      <c r="R620" s="425"/>
      <c r="S620" s="426"/>
      <c r="T620" s="542">
        <v>42926</v>
      </c>
      <c r="U620" s="427" t="s">
        <v>974</v>
      </c>
    </row>
    <row r="621" spans="1:22" s="203" customFormat="1" ht="17.25" hidden="1" customHeight="1" x14ac:dyDescent="0.2">
      <c r="A621" s="203" t="s">
        <v>454</v>
      </c>
      <c r="B621" s="203" t="s">
        <v>466</v>
      </c>
      <c r="C621" s="203" t="s">
        <v>694</v>
      </c>
      <c r="D621" s="203" t="s">
        <v>2177</v>
      </c>
      <c r="E621" s="203" t="s">
        <v>1749</v>
      </c>
      <c r="J621" s="203" t="s">
        <v>969</v>
      </c>
      <c r="K621" s="203" t="s">
        <v>969</v>
      </c>
      <c r="L621" s="203" t="s">
        <v>969</v>
      </c>
      <c r="M621" s="203" t="s">
        <v>966</v>
      </c>
      <c r="N621" s="203">
        <v>20.6716194152832</v>
      </c>
      <c r="O621" s="203">
        <v>92.473846435546903</v>
      </c>
      <c r="P621" s="203" t="s">
        <v>970</v>
      </c>
      <c r="Q621" s="203" t="s">
        <v>951</v>
      </c>
      <c r="R621" s="425"/>
      <c r="S621" s="426"/>
      <c r="T621" s="542" t="s">
        <v>935</v>
      </c>
      <c r="U621" s="427"/>
      <c r="V621" s="203" t="s">
        <v>1096</v>
      </c>
    </row>
    <row r="622" spans="1:22" s="203" customFormat="1" ht="17.25" hidden="1" customHeight="1" x14ac:dyDescent="0.2">
      <c r="A622" s="203" t="s">
        <v>454</v>
      </c>
      <c r="B622" s="203" t="s">
        <v>473</v>
      </c>
      <c r="C622" s="203" t="s">
        <v>1047</v>
      </c>
      <c r="D622" s="203" t="s">
        <v>2177</v>
      </c>
      <c r="E622" s="203" t="s">
        <v>1668</v>
      </c>
      <c r="J622" s="203" t="s">
        <v>969</v>
      </c>
      <c r="K622" s="203" t="s">
        <v>969</v>
      </c>
      <c r="L622" s="203" t="s">
        <v>969</v>
      </c>
      <c r="M622" s="203" t="s">
        <v>935</v>
      </c>
      <c r="N622" s="203">
        <v>20.225250244000001</v>
      </c>
      <c r="O622" s="203">
        <v>93.418876647999994</v>
      </c>
      <c r="P622" s="203" t="s">
        <v>970</v>
      </c>
      <c r="R622" s="425"/>
      <c r="S622" s="426"/>
      <c r="T622" s="542" t="s">
        <v>935</v>
      </c>
      <c r="U622" s="427"/>
      <c r="V622" s="203" t="s">
        <v>1048</v>
      </c>
    </row>
    <row r="623" spans="1:22" s="203" customFormat="1" ht="17.25" hidden="1" customHeight="1" x14ac:dyDescent="0.2">
      <c r="A623" s="203" t="s">
        <v>454</v>
      </c>
      <c r="B623" s="203" t="s">
        <v>473</v>
      </c>
      <c r="C623" s="203" t="s">
        <v>1070</v>
      </c>
      <c r="D623" s="203" t="s">
        <v>2255</v>
      </c>
      <c r="E623" s="203" t="s">
        <v>1697</v>
      </c>
      <c r="F623" s="203" t="s">
        <v>1051</v>
      </c>
      <c r="G623" s="203" t="s">
        <v>1070</v>
      </c>
      <c r="J623" s="203" t="s">
        <v>969</v>
      </c>
      <c r="K623" s="203" t="s">
        <v>969</v>
      </c>
      <c r="L623" s="203" t="s">
        <v>1054</v>
      </c>
      <c r="M623" s="203" t="s">
        <v>966</v>
      </c>
      <c r="N623" s="203">
        <v>20.480898</v>
      </c>
      <c r="O623" s="203">
        <v>93.299485000000004</v>
      </c>
      <c r="P623" s="203" t="s">
        <v>970</v>
      </c>
      <c r="R623" s="425">
        <v>87</v>
      </c>
      <c r="S623" s="426">
        <v>444</v>
      </c>
      <c r="T623" s="542" t="s">
        <v>935</v>
      </c>
      <c r="U623" s="427" t="s">
        <v>1031</v>
      </c>
      <c r="V623" s="203" t="s">
        <v>1070</v>
      </c>
    </row>
    <row r="624" spans="1:22" s="203" customFormat="1" ht="17.25" hidden="1" customHeight="1" x14ac:dyDescent="0.2">
      <c r="A624" s="203" t="s">
        <v>454</v>
      </c>
      <c r="B624" s="203" t="s">
        <v>473</v>
      </c>
      <c r="C624" s="203" t="s">
        <v>628</v>
      </c>
      <c r="D624" s="203" t="s">
        <v>2177</v>
      </c>
      <c r="E624" s="203" t="s">
        <v>1685</v>
      </c>
      <c r="J624" s="203" t="s">
        <v>969</v>
      </c>
      <c r="K624" s="203" t="s">
        <v>969</v>
      </c>
      <c r="L624" s="203" t="s">
        <v>969</v>
      </c>
      <c r="M624" s="203" t="s">
        <v>1060</v>
      </c>
      <c r="N624" s="203">
        <v>20.394809723000002</v>
      </c>
      <c r="O624" s="203">
        <v>93.251609802000004</v>
      </c>
      <c r="P624" s="203" t="s">
        <v>970</v>
      </c>
      <c r="Q624" s="203" t="s">
        <v>951</v>
      </c>
      <c r="R624" s="425"/>
      <c r="S624" s="426"/>
      <c r="T624" s="542" t="s">
        <v>935</v>
      </c>
      <c r="U624" s="427"/>
      <c r="V624" s="203" t="s">
        <v>1061</v>
      </c>
    </row>
    <row r="625" spans="1:22" s="203" customFormat="1" ht="17.25" hidden="1" customHeight="1" x14ac:dyDescent="0.2">
      <c r="A625" s="203" t="s">
        <v>454</v>
      </c>
      <c r="B625" s="203" t="s">
        <v>473</v>
      </c>
      <c r="C625" s="203" t="s">
        <v>474</v>
      </c>
      <c r="D625" s="203" t="s">
        <v>2177</v>
      </c>
      <c r="E625" s="203" t="s">
        <v>2092</v>
      </c>
      <c r="J625" s="203" t="s">
        <v>969</v>
      </c>
      <c r="K625" s="203" t="s">
        <v>969</v>
      </c>
      <c r="L625" s="203" t="s">
        <v>969</v>
      </c>
      <c r="M625" s="203" t="s">
        <v>454</v>
      </c>
      <c r="P625" s="203" t="s">
        <v>970</v>
      </c>
      <c r="Q625" s="203" t="s">
        <v>951</v>
      </c>
      <c r="R625" s="425"/>
      <c r="S625" s="426"/>
      <c r="T625" s="542" t="s">
        <v>976</v>
      </c>
      <c r="U625" s="427"/>
      <c r="V625" s="203" t="s">
        <v>935</v>
      </c>
    </row>
    <row r="626" spans="1:22" s="203" customFormat="1" ht="17.25" hidden="1" customHeight="1" x14ac:dyDescent="0.2">
      <c r="A626" s="203" t="s">
        <v>454</v>
      </c>
      <c r="B626" s="203" t="s">
        <v>473</v>
      </c>
      <c r="C626" s="203" t="s">
        <v>1042</v>
      </c>
      <c r="D626" s="203" t="s">
        <v>2177</v>
      </c>
      <c r="E626" s="203" t="s">
        <v>1662</v>
      </c>
      <c r="J626" s="203" t="s">
        <v>969</v>
      </c>
      <c r="K626" s="203" t="s">
        <v>969</v>
      </c>
      <c r="L626" s="203" t="s">
        <v>969</v>
      </c>
      <c r="M626" s="203" t="s">
        <v>966</v>
      </c>
      <c r="N626" s="203">
        <v>20.203340530395501</v>
      </c>
      <c r="O626" s="203">
        <v>93.426139831542997</v>
      </c>
      <c r="P626" s="203" t="s">
        <v>970</v>
      </c>
      <c r="R626" s="425"/>
      <c r="S626" s="426"/>
      <c r="T626" s="542" t="s">
        <v>935</v>
      </c>
      <c r="U626" s="427"/>
      <c r="V626" s="203" t="s">
        <v>1043</v>
      </c>
    </row>
    <row r="627" spans="1:22" s="203" customFormat="1" ht="17.25" hidden="1" customHeight="1" x14ac:dyDescent="0.2">
      <c r="A627" s="203" t="s">
        <v>454</v>
      </c>
      <c r="B627" s="203" t="s">
        <v>473</v>
      </c>
      <c r="C627" s="203" t="s">
        <v>630</v>
      </c>
      <c r="D627" s="203" t="s">
        <v>2177</v>
      </c>
      <c r="E627" s="203" t="s">
        <v>1687</v>
      </c>
      <c r="J627" s="203" t="s">
        <v>969</v>
      </c>
      <c r="K627" s="203" t="s">
        <v>969</v>
      </c>
      <c r="L627" s="203" t="s">
        <v>969</v>
      </c>
      <c r="M627" s="203" t="s">
        <v>454</v>
      </c>
      <c r="N627" s="203">
        <v>20.398889541999999</v>
      </c>
      <c r="O627" s="203">
        <v>93.254051208000007</v>
      </c>
      <c r="P627" s="203" t="s">
        <v>970</v>
      </c>
      <c r="Q627" s="203" t="s">
        <v>951</v>
      </c>
      <c r="R627" s="425"/>
      <c r="S627" s="426"/>
      <c r="T627" s="542" t="s">
        <v>935</v>
      </c>
      <c r="U627" s="427"/>
      <c r="V627" s="203" t="s">
        <v>630</v>
      </c>
    </row>
    <row r="628" spans="1:22" s="203" customFormat="1" ht="17.25" hidden="1" customHeight="1" x14ac:dyDescent="0.2">
      <c r="A628" s="203" t="s">
        <v>454</v>
      </c>
      <c r="B628" s="203" t="s">
        <v>473</v>
      </c>
      <c r="C628" s="203" t="s">
        <v>610</v>
      </c>
      <c r="D628" s="203" t="s">
        <v>2177</v>
      </c>
      <c r="E628" s="203" t="s">
        <v>1667</v>
      </c>
      <c r="J628" s="203" t="s">
        <v>969</v>
      </c>
      <c r="K628" s="203" t="s">
        <v>969</v>
      </c>
      <c r="L628" s="203" t="s">
        <v>969</v>
      </c>
      <c r="M628" s="203" t="s">
        <v>454</v>
      </c>
      <c r="N628" s="438">
        <v>20.218471527099599</v>
      </c>
      <c r="O628" s="438">
        <v>93.424331665039105</v>
      </c>
      <c r="P628" s="203" t="s">
        <v>970</v>
      </c>
      <c r="Q628" s="203" t="s">
        <v>951</v>
      </c>
      <c r="R628" s="425"/>
      <c r="S628" s="426"/>
      <c r="T628" s="542" t="s">
        <v>935</v>
      </c>
      <c r="U628" s="427"/>
      <c r="V628" s="203" t="s">
        <v>1045</v>
      </c>
    </row>
    <row r="629" spans="1:22" s="203" customFormat="1" ht="17.25" hidden="1" customHeight="1" x14ac:dyDescent="0.2">
      <c r="A629" s="203" t="s">
        <v>454</v>
      </c>
      <c r="B629" s="203" t="s">
        <v>473</v>
      </c>
      <c r="C629" s="203" t="s">
        <v>1057</v>
      </c>
      <c r="D629" s="203" t="s">
        <v>2255</v>
      </c>
      <c r="E629" s="203" t="s">
        <v>1682</v>
      </c>
      <c r="F629" s="203" t="s">
        <v>2267</v>
      </c>
      <c r="G629" s="203" t="s">
        <v>2267</v>
      </c>
      <c r="J629" s="203" t="s">
        <v>969</v>
      </c>
      <c r="K629" s="203" t="s">
        <v>969</v>
      </c>
      <c r="L629" s="203" t="s">
        <v>1054</v>
      </c>
      <c r="M629" s="203" t="s">
        <v>966</v>
      </c>
      <c r="N629" s="203">
        <v>20.377523</v>
      </c>
      <c r="O629" s="203">
        <v>93.271642</v>
      </c>
      <c r="P629" s="203" t="s">
        <v>970</v>
      </c>
      <c r="R629" s="425">
        <v>19</v>
      </c>
      <c r="S629" s="426">
        <v>142</v>
      </c>
      <c r="T629" s="542" t="s">
        <v>935</v>
      </c>
      <c r="U629" s="427" t="s">
        <v>1031</v>
      </c>
      <c r="V629" s="203" t="s">
        <v>1057</v>
      </c>
    </row>
    <row r="630" spans="1:22" s="203" customFormat="1" ht="17.25" hidden="1" customHeight="1" x14ac:dyDescent="0.2">
      <c r="A630" s="203" t="s">
        <v>454</v>
      </c>
      <c r="B630" s="203" t="s">
        <v>473</v>
      </c>
      <c r="C630" s="203" t="s">
        <v>1066</v>
      </c>
      <c r="D630" s="203" t="s">
        <v>2255</v>
      </c>
      <c r="E630" s="203" t="s">
        <v>1690</v>
      </c>
      <c r="F630" s="203" t="s">
        <v>2373</v>
      </c>
      <c r="G630" s="203" t="s">
        <v>2374</v>
      </c>
      <c r="J630" s="203" t="s">
        <v>969</v>
      </c>
      <c r="K630" s="203" t="s">
        <v>969</v>
      </c>
      <c r="L630" s="203" t="s">
        <v>1054</v>
      </c>
      <c r="M630" s="203" t="s">
        <v>966</v>
      </c>
      <c r="N630" s="203">
        <v>20.407971</v>
      </c>
      <c r="O630" s="203">
        <v>93.313627999999994</v>
      </c>
      <c r="P630" s="203" t="s">
        <v>970</v>
      </c>
      <c r="R630" s="425">
        <v>228</v>
      </c>
      <c r="S630" s="426">
        <v>1377</v>
      </c>
      <c r="T630" s="542" t="s">
        <v>935</v>
      </c>
      <c r="U630" s="427" t="s">
        <v>1031</v>
      </c>
      <c r="V630" s="203" t="s">
        <v>1066</v>
      </c>
    </row>
    <row r="631" spans="1:22" s="203" customFormat="1" ht="17.25" hidden="1" customHeight="1" x14ac:dyDescent="0.2">
      <c r="A631" s="203" t="s">
        <v>454</v>
      </c>
      <c r="B631" s="203" t="s">
        <v>473</v>
      </c>
      <c r="C631" s="203" t="s">
        <v>631</v>
      </c>
      <c r="D631" s="203" t="s">
        <v>2255</v>
      </c>
      <c r="E631" s="203" t="s">
        <v>1688</v>
      </c>
      <c r="F631" s="203" t="s">
        <v>628</v>
      </c>
      <c r="G631" s="203" t="s">
        <v>631</v>
      </c>
      <c r="J631" s="203" t="s">
        <v>969</v>
      </c>
      <c r="K631" s="203" t="s">
        <v>969</v>
      </c>
      <c r="L631" s="203" t="s">
        <v>1054</v>
      </c>
      <c r="M631" s="203" t="s">
        <v>966</v>
      </c>
      <c r="N631" s="203">
        <v>20.39902</v>
      </c>
      <c r="O631" s="203">
        <v>93.249669999999995</v>
      </c>
      <c r="P631" s="203" t="s">
        <v>970</v>
      </c>
      <c r="Q631" s="203" t="s">
        <v>951</v>
      </c>
      <c r="R631" s="425">
        <v>86</v>
      </c>
      <c r="S631" s="426">
        <v>476</v>
      </c>
      <c r="T631" s="542" t="s">
        <v>935</v>
      </c>
      <c r="U631" s="427"/>
      <c r="V631" s="203" t="s">
        <v>1065</v>
      </c>
    </row>
    <row r="632" spans="1:22" s="203" customFormat="1" ht="17.25" hidden="1" customHeight="1" x14ac:dyDescent="0.2">
      <c r="A632" s="203" t="s">
        <v>454</v>
      </c>
      <c r="B632" s="203" t="s">
        <v>473</v>
      </c>
      <c r="C632" s="203" t="s">
        <v>1067</v>
      </c>
      <c r="D632" s="203" t="s">
        <v>2255</v>
      </c>
      <c r="E632" s="203" t="s">
        <v>1692</v>
      </c>
      <c r="F632" s="203" t="s">
        <v>2375</v>
      </c>
      <c r="G632" s="203" t="s">
        <v>2376</v>
      </c>
      <c r="J632" s="203" t="s">
        <v>969</v>
      </c>
      <c r="K632" s="203" t="s">
        <v>969</v>
      </c>
      <c r="L632" s="203" t="s">
        <v>1054</v>
      </c>
      <c r="M632" s="203" t="s">
        <v>454</v>
      </c>
      <c r="N632" s="203">
        <v>20.409645000000001</v>
      </c>
      <c r="O632" s="203">
        <v>93.314695</v>
      </c>
      <c r="P632" s="203" t="s">
        <v>970</v>
      </c>
      <c r="R632" s="425">
        <v>18</v>
      </c>
      <c r="S632" s="426">
        <v>72</v>
      </c>
      <c r="T632" s="542" t="s">
        <v>935</v>
      </c>
      <c r="U632" s="427" t="s">
        <v>1031</v>
      </c>
      <c r="V632" s="203" t="s">
        <v>1067</v>
      </c>
    </row>
    <row r="633" spans="1:22" s="203" customFormat="1" ht="17.25" hidden="1" customHeight="1" x14ac:dyDescent="0.2">
      <c r="A633" s="203" t="s">
        <v>454</v>
      </c>
      <c r="B633" s="203" t="s">
        <v>473</v>
      </c>
      <c r="C633" s="203" t="s">
        <v>656</v>
      </c>
      <c r="D633" s="203" t="s">
        <v>2177</v>
      </c>
      <c r="E633" s="203" t="s">
        <v>1707</v>
      </c>
      <c r="J633" s="203" t="s">
        <v>969</v>
      </c>
      <c r="K633" s="203" t="s">
        <v>969</v>
      </c>
      <c r="L633" s="203" t="s">
        <v>969</v>
      </c>
      <c r="M633" s="203" t="s">
        <v>454</v>
      </c>
      <c r="N633" s="438">
        <v>20.5199794769287</v>
      </c>
      <c r="O633" s="438">
        <v>93.277252197265597</v>
      </c>
      <c r="P633" s="203" t="s">
        <v>970</v>
      </c>
      <c r="Q633" s="203" t="s">
        <v>951</v>
      </c>
      <c r="R633" s="425"/>
      <c r="S633" s="426"/>
      <c r="T633" s="542" t="s">
        <v>935</v>
      </c>
      <c r="U633" s="427"/>
      <c r="V633" s="203" t="s">
        <v>935</v>
      </c>
    </row>
    <row r="634" spans="1:22" s="203" customFormat="1" ht="17.25" hidden="1" customHeight="1" x14ac:dyDescent="0.2">
      <c r="A634" s="203" t="s">
        <v>454</v>
      </c>
      <c r="B634" s="203" t="s">
        <v>473</v>
      </c>
      <c r="C634" s="203" t="s">
        <v>1309</v>
      </c>
      <c r="D634" s="203" t="s">
        <v>2177</v>
      </c>
      <c r="E634" s="203" t="s">
        <v>2097</v>
      </c>
      <c r="J634" s="203" t="s">
        <v>969</v>
      </c>
      <c r="K634" s="203" t="s">
        <v>969</v>
      </c>
      <c r="L634" s="203" t="s">
        <v>969</v>
      </c>
      <c r="M634" s="203" t="s">
        <v>966</v>
      </c>
      <c r="P634" s="203" t="s">
        <v>970</v>
      </c>
      <c r="R634" s="425"/>
      <c r="S634" s="426"/>
      <c r="T634" s="542" t="s">
        <v>935</v>
      </c>
      <c r="U634" s="427"/>
      <c r="V634" s="203" t="s">
        <v>935</v>
      </c>
    </row>
    <row r="635" spans="1:22" s="203" customFormat="1" ht="17.25" hidden="1" customHeight="1" x14ac:dyDescent="0.2">
      <c r="A635" s="203" t="s">
        <v>454</v>
      </c>
      <c r="B635" s="203" t="s">
        <v>473</v>
      </c>
      <c r="C635" s="203" t="s">
        <v>629</v>
      </c>
      <c r="D635" s="203" t="s">
        <v>2177</v>
      </c>
      <c r="E635" s="203" t="s">
        <v>1686</v>
      </c>
      <c r="J635" s="203" t="s">
        <v>969</v>
      </c>
      <c r="K635" s="203" t="s">
        <v>969</v>
      </c>
      <c r="L635" s="203" t="s">
        <v>969</v>
      </c>
      <c r="M635" s="203" t="s">
        <v>454</v>
      </c>
      <c r="N635" s="203">
        <v>20.396680832000001</v>
      </c>
      <c r="O635" s="203">
        <v>93.252868652000004</v>
      </c>
      <c r="P635" s="203" t="s">
        <v>970</v>
      </c>
      <c r="Q635" s="203" t="s">
        <v>951</v>
      </c>
      <c r="R635" s="425"/>
      <c r="S635" s="426"/>
      <c r="T635" s="542" t="s">
        <v>935</v>
      </c>
      <c r="U635" s="427"/>
      <c r="V635" s="203" t="s">
        <v>1062</v>
      </c>
    </row>
    <row r="636" spans="1:22" s="203" customFormat="1" ht="17.25" hidden="1" customHeight="1" x14ac:dyDescent="0.2">
      <c r="A636" s="203" t="s">
        <v>454</v>
      </c>
      <c r="B636" s="203" t="s">
        <v>473</v>
      </c>
      <c r="C636" s="203" t="s">
        <v>626</v>
      </c>
      <c r="D636" s="203" t="s">
        <v>2255</v>
      </c>
      <c r="E636" s="203" t="s">
        <v>1684</v>
      </c>
      <c r="F636" s="203" t="s">
        <v>2267</v>
      </c>
      <c r="G636" s="203" t="s">
        <v>2268</v>
      </c>
      <c r="J636" s="203" t="s">
        <v>969</v>
      </c>
      <c r="K636" s="203" t="s">
        <v>969</v>
      </c>
      <c r="L636" s="203" t="s">
        <v>1054</v>
      </c>
      <c r="M636" s="203" t="s">
        <v>966</v>
      </c>
      <c r="N636" s="203">
        <v>20.392137999999999</v>
      </c>
      <c r="O636" s="203">
        <v>93.257272</v>
      </c>
      <c r="P636" s="203" t="s">
        <v>970</v>
      </c>
      <c r="Q636" s="203" t="s">
        <v>951</v>
      </c>
      <c r="R636" s="425">
        <v>203</v>
      </c>
      <c r="S636" s="426">
        <v>1420</v>
      </c>
      <c r="T636" s="542" t="s">
        <v>935</v>
      </c>
      <c r="U636" s="427"/>
      <c r="V636" s="203" t="s">
        <v>1059</v>
      </c>
    </row>
    <row r="637" spans="1:22" s="203" customFormat="1" ht="17.25" hidden="1" customHeight="1" x14ac:dyDescent="0.2">
      <c r="A637" s="203" t="s">
        <v>454</v>
      </c>
      <c r="B637" s="203" t="s">
        <v>473</v>
      </c>
      <c r="C637" s="203" t="s">
        <v>671</v>
      </c>
      <c r="D637" s="203" t="s">
        <v>2255</v>
      </c>
      <c r="E637" s="203" t="s">
        <v>1728</v>
      </c>
      <c r="F637" s="203" t="s">
        <v>2269</v>
      </c>
      <c r="G637" s="203" t="s">
        <v>2269</v>
      </c>
      <c r="J637" s="203" t="s">
        <v>969</v>
      </c>
      <c r="K637" s="203" t="s">
        <v>969</v>
      </c>
      <c r="L637" s="203" t="s">
        <v>1054</v>
      </c>
      <c r="M637" s="203" t="s">
        <v>966</v>
      </c>
      <c r="N637" s="203">
        <v>20.587142</v>
      </c>
      <c r="O637" s="203">
        <v>93.258573999999996</v>
      </c>
      <c r="P637" s="203" t="s">
        <v>970</v>
      </c>
      <c r="R637" s="425">
        <v>275</v>
      </c>
      <c r="S637" s="426">
        <v>1707</v>
      </c>
      <c r="T637" s="542" t="s">
        <v>935</v>
      </c>
      <c r="U637" s="427" t="s">
        <v>1031</v>
      </c>
      <c r="V637" s="203" t="s">
        <v>671</v>
      </c>
    </row>
    <row r="638" spans="1:22" s="203" customFormat="1" ht="17.25" hidden="1" customHeight="1" x14ac:dyDescent="0.2">
      <c r="A638" s="203" t="s">
        <v>454</v>
      </c>
      <c r="B638" s="203" t="s">
        <v>637</v>
      </c>
      <c r="C638" s="203" t="s">
        <v>714</v>
      </c>
      <c r="D638" s="203" t="s">
        <v>2177</v>
      </c>
      <c r="E638" s="203" t="s">
        <v>1764</v>
      </c>
      <c r="J638" s="203" t="s">
        <v>969</v>
      </c>
      <c r="K638" s="203" t="s">
        <v>969</v>
      </c>
      <c r="L638" s="203" t="s">
        <v>969</v>
      </c>
      <c r="M638" s="203" t="s">
        <v>966</v>
      </c>
      <c r="N638" s="438">
        <v>20.697229385376001</v>
      </c>
      <c r="O638" s="438">
        <v>93.044059753417997</v>
      </c>
      <c r="P638" s="203" t="s">
        <v>970</v>
      </c>
      <c r="Q638" s="203" t="s">
        <v>951</v>
      </c>
      <c r="R638" s="425"/>
      <c r="S638" s="426"/>
      <c r="T638" s="542" t="s">
        <v>935</v>
      </c>
      <c r="U638" s="427"/>
      <c r="V638" s="203" t="s">
        <v>1100</v>
      </c>
    </row>
    <row r="639" spans="1:22" s="203" customFormat="1" ht="17.25" hidden="1" customHeight="1" x14ac:dyDescent="0.2">
      <c r="A639" s="203" t="s">
        <v>454</v>
      </c>
      <c r="B639" s="203" t="s">
        <v>637</v>
      </c>
      <c r="C639" s="203" t="s">
        <v>649</v>
      </c>
      <c r="D639" s="203" t="s">
        <v>2177</v>
      </c>
      <c r="E639" s="203" t="s">
        <v>1699</v>
      </c>
      <c r="J639" s="203" t="s">
        <v>969</v>
      </c>
      <c r="K639" s="203" t="s">
        <v>969</v>
      </c>
      <c r="L639" s="203" t="s">
        <v>969</v>
      </c>
      <c r="M639" s="203" t="s">
        <v>454</v>
      </c>
      <c r="N639" s="438">
        <v>20.489089965820298</v>
      </c>
      <c r="O639" s="438">
        <v>93.211738586425795</v>
      </c>
      <c r="P639" s="203" t="s">
        <v>970</v>
      </c>
      <c r="Q639" s="203" t="s">
        <v>951</v>
      </c>
      <c r="R639" s="425"/>
      <c r="S639" s="426"/>
      <c r="T639" s="542" t="s">
        <v>935</v>
      </c>
      <c r="U639" s="427"/>
      <c r="V639" s="203" t="s">
        <v>1071</v>
      </c>
    </row>
    <row r="640" spans="1:22" s="203" customFormat="1" ht="17.25" hidden="1" customHeight="1" x14ac:dyDescent="0.2">
      <c r="A640" s="203" t="s">
        <v>454</v>
      </c>
      <c r="B640" s="203" t="s">
        <v>637</v>
      </c>
      <c r="C640" s="203" t="s">
        <v>640</v>
      </c>
      <c r="D640" s="203" t="s">
        <v>2177</v>
      </c>
      <c r="E640" s="203" t="s">
        <v>1696</v>
      </c>
      <c r="J640" s="203" t="s">
        <v>969</v>
      </c>
      <c r="K640" s="203" t="s">
        <v>969</v>
      </c>
      <c r="L640" s="203" t="s">
        <v>969</v>
      </c>
      <c r="M640" s="203" t="s">
        <v>454</v>
      </c>
      <c r="N640" s="438">
        <v>20.464775085449201</v>
      </c>
      <c r="O640" s="438">
        <v>93.269363403320298</v>
      </c>
      <c r="P640" s="203" t="s">
        <v>970</v>
      </c>
      <c r="Q640" s="203" t="s">
        <v>951</v>
      </c>
      <c r="R640" s="425"/>
      <c r="S640" s="426"/>
      <c r="T640" s="542" t="s">
        <v>935</v>
      </c>
      <c r="U640" s="427"/>
      <c r="V640" s="203" t="s">
        <v>640</v>
      </c>
    </row>
    <row r="641" spans="1:22" s="203" customFormat="1" ht="17.25" hidden="1" customHeight="1" x14ac:dyDescent="0.2">
      <c r="A641" s="203" t="s">
        <v>454</v>
      </c>
      <c r="B641" s="203" t="s">
        <v>637</v>
      </c>
      <c r="C641" s="203" t="s">
        <v>638</v>
      </c>
      <c r="D641" s="203" t="s">
        <v>2177</v>
      </c>
      <c r="E641" s="203" t="s">
        <v>1695</v>
      </c>
      <c r="J641" s="203" t="s">
        <v>969</v>
      </c>
      <c r="K641" s="203" t="s">
        <v>969</v>
      </c>
      <c r="L641" s="203" t="s">
        <v>969</v>
      </c>
      <c r="M641" s="203" t="s">
        <v>454</v>
      </c>
      <c r="N641" s="438">
        <v>20.4625244140625</v>
      </c>
      <c r="O641" s="438">
        <v>93.257278442382798</v>
      </c>
      <c r="P641" s="203" t="s">
        <v>970</v>
      </c>
      <c r="Q641" s="203" t="s">
        <v>951</v>
      </c>
      <c r="R641" s="425"/>
      <c r="S641" s="426"/>
      <c r="T641" s="542" t="s">
        <v>935</v>
      </c>
      <c r="U641" s="427"/>
      <c r="V641" s="203" t="s">
        <v>1069</v>
      </c>
    </row>
    <row r="642" spans="1:22" s="203" customFormat="1" ht="17.25" hidden="1" customHeight="1" x14ac:dyDescent="0.2">
      <c r="A642" s="203" t="s">
        <v>454</v>
      </c>
      <c r="B642" s="203" t="s">
        <v>637</v>
      </c>
      <c r="C642" s="203" t="s">
        <v>715</v>
      </c>
      <c r="D642" s="203" t="s">
        <v>2177</v>
      </c>
      <c r="E642" s="203" t="s">
        <v>1765</v>
      </c>
      <c r="J642" s="203" t="s">
        <v>969</v>
      </c>
      <c r="K642" s="203" t="s">
        <v>969</v>
      </c>
      <c r="L642" s="203" t="s">
        <v>969</v>
      </c>
      <c r="M642" s="203" t="s">
        <v>454</v>
      </c>
      <c r="N642" s="438">
        <v>20.703550338745099</v>
      </c>
      <c r="O642" s="438">
        <v>93.060462951660199</v>
      </c>
      <c r="P642" s="203" t="s">
        <v>970</v>
      </c>
      <c r="Q642" s="203" t="s">
        <v>951</v>
      </c>
      <c r="R642" s="425"/>
      <c r="S642" s="426"/>
      <c r="T642" s="542" t="s">
        <v>935</v>
      </c>
      <c r="U642" s="427"/>
      <c r="V642" s="203" t="s">
        <v>715</v>
      </c>
    </row>
    <row r="643" spans="1:22" s="203" customFormat="1" ht="17.25" hidden="1" customHeight="1" x14ac:dyDescent="0.2">
      <c r="A643" s="203" t="s">
        <v>454</v>
      </c>
      <c r="B643" s="203" t="s">
        <v>637</v>
      </c>
      <c r="C643" s="203" t="s">
        <v>1080</v>
      </c>
      <c r="D643" s="203" t="s">
        <v>2255</v>
      </c>
      <c r="E643" s="203" t="s">
        <v>1722</v>
      </c>
      <c r="F643" s="203" t="s">
        <v>2379</v>
      </c>
      <c r="G643" s="203" t="s">
        <v>2379</v>
      </c>
      <c r="J643" s="203" t="s">
        <v>969</v>
      </c>
      <c r="K643" s="203" t="s">
        <v>969</v>
      </c>
      <c r="L643" s="203" t="s">
        <v>1054</v>
      </c>
      <c r="M643" s="203" t="s">
        <v>966</v>
      </c>
      <c r="N643" s="203">
        <v>20.576577</v>
      </c>
      <c r="O643" s="203">
        <v>93.245551000000006</v>
      </c>
      <c r="P643" s="203" t="s">
        <v>970</v>
      </c>
      <c r="R643" s="425">
        <v>204</v>
      </c>
      <c r="S643" s="426">
        <v>1265</v>
      </c>
      <c r="T643" s="542" t="s">
        <v>935</v>
      </c>
      <c r="U643" s="427" t="s">
        <v>1031</v>
      </c>
      <c r="V643" s="203" t="s">
        <v>1080</v>
      </c>
    </row>
    <row r="644" spans="1:22" s="203" customFormat="1" ht="17.25" hidden="1" customHeight="1" x14ac:dyDescent="0.2">
      <c r="A644" s="203" t="s">
        <v>454</v>
      </c>
      <c r="B644" s="203" t="s">
        <v>637</v>
      </c>
      <c r="C644" s="203" t="s">
        <v>1083</v>
      </c>
      <c r="D644" s="203" t="s">
        <v>2177</v>
      </c>
      <c r="E644" s="203" t="s">
        <v>1725</v>
      </c>
      <c r="J644" s="203" t="s">
        <v>969</v>
      </c>
      <c r="K644" s="203" t="s">
        <v>969</v>
      </c>
      <c r="L644" s="203" t="s">
        <v>969</v>
      </c>
      <c r="M644" s="203" t="s">
        <v>454</v>
      </c>
      <c r="N644" s="203">
        <v>20.5815105438232</v>
      </c>
      <c r="O644" s="203">
        <v>93.24609375</v>
      </c>
      <c r="P644" s="203" t="s">
        <v>970</v>
      </c>
      <c r="R644" s="425"/>
      <c r="S644" s="426"/>
      <c r="T644" s="542" t="s">
        <v>935</v>
      </c>
      <c r="U644" s="427"/>
      <c r="V644" s="203" t="s">
        <v>1083</v>
      </c>
    </row>
    <row r="645" spans="1:22" s="203" customFormat="1" ht="17.25" hidden="1" customHeight="1" x14ac:dyDescent="0.2">
      <c r="A645" s="203" t="s">
        <v>454</v>
      </c>
      <c r="B645" s="203" t="s">
        <v>637</v>
      </c>
      <c r="C645" s="203" t="s">
        <v>1088</v>
      </c>
      <c r="D645" s="203" t="s">
        <v>2255</v>
      </c>
      <c r="E645" s="203" t="s">
        <v>1733</v>
      </c>
      <c r="F645" s="203" t="s">
        <v>657</v>
      </c>
      <c r="G645" s="203" t="s">
        <v>2380</v>
      </c>
      <c r="J645" s="203" t="s">
        <v>969</v>
      </c>
      <c r="K645" s="203" t="s">
        <v>969</v>
      </c>
      <c r="L645" s="203" t="s">
        <v>992</v>
      </c>
      <c r="M645" s="203" t="s">
        <v>454</v>
      </c>
      <c r="N645" s="203">
        <v>20.61692</v>
      </c>
      <c r="O645" s="203">
        <v>93.239519999999999</v>
      </c>
      <c r="P645" s="203" t="s">
        <v>970</v>
      </c>
      <c r="R645" s="425">
        <v>10</v>
      </c>
      <c r="S645" s="426">
        <v>64</v>
      </c>
      <c r="T645" s="542" t="s">
        <v>935</v>
      </c>
      <c r="U645" s="427" t="s">
        <v>1031</v>
      </c>
      <c r="V645" s="203" t="s">
        <v>1088</v>
      </c>
    </row>
    <row r="646" spans="1:22" s="203" customFormat="1" ht="17.25" hidden="1" customHeight="1" x14ac:dyDescent="0.2">
      <c r="A646" s="203" t="s">
        <v>454</v>
      </c>
      <c r="B646" s="203" t="s">
        <v>637</v>
      </c>
      <c r="C646" s="203" t="s">
        <v>1073</v>
      </c>
      <c r="D646" s="203" t="s">
        <v>2255</v>
      </c>
      <c r="E646" s="203" t="s">
        <v>1701</v>
      </c>
      <c r="F646" s="203" t="s">
        <v>2377</v>
      </c>
      <c r="G646" s="203" t="s">
        <v>1073</v>
      </c>
      <c r="J646" s="203" t="s">
        <v>969</v>
      </c>
      <c r="K646" s="203" t="s">
        <v>969</v>
      </c>
      <c r="L646" s="203" t="s">
        <v>992</v>
      </c>
      <c r="M646" s="203" t="s">
        <v>454</v>
      </c>
      <c r="N646" s="203">
        <v>20.495086000000001</v>
      </c>
      <c r="O646" s="203">
        <v>93.246863000000005</v>
      </c>
      <c r="P646" s="203" t="s">
        <v>970</v>
      </c>
      <c r="R646" s="425">
        <v>32</v>
      </c>
      <c r="S646" s="426">
        <v>131</v>
      </c>
      <c r="T646" s="542" t="s">
        <v>935</v>
      </c>
      <c r="U646" s="427" t="s">
        <v>1031</v>
      </c>
      <c r="V646" s="203" t="s">
        <v>1074</v>
      </c>
    </row>
    <row r="647" spans="1:22" s="203" customFormat="1" ht="17.25" hidden="1" customHeight="1" x14ac:dyDescent="0.2">
      <c r="A647" s="203" t="s">
        <v>454</v>
      </c>
      <c r="B647" s="203" t="s">
        <v>637</v>
      </c>
      <c r="C647" s="203" t="s">
        <v>1075</v>
      </c>
      <c r="D647" s="203" t="s">
        <v>2255</v>
      </c>
      <c r="E647" s="203" t="s">
        <v>1702</v>
      </c>
      <c r="F647" s="203" t="s">
        <v>2378</v>
      </c>
      <c r="G647" s="203" t="s">
        <v>2378</v>
      </c>
      <c r="J647" s="203" t="s">
        <v>969</v>
      </c>
      <c r="K647" s="203" t="s">
        <v>969</v>
      </c>
      <c r="L647" s="203" t="s">
        <v>1054</v>
      </c>
      <c r="M647" s="203" t="s">
        <v>966</v>
      </c>
      <c r="N647" s="203">
        <v>20.501757999999999</v>
      </c>
      <c r="O647" s="203">
        <v>93.217039999999997</v>
      </c>
      <c r="P647" s="203" t="s">
        <v>970</v>
      </c>
      <c r="R647" s="425">
        <v>365</v>
      </c>
      <c r="S647" s="426">
        <v>2366</v>
      </c>
      <c r="T647" s="542" t="s">
        <v>935</v>
      </c>
      <c r="U647" s="427" t="s">
        <v>1031</v>
      </c>
      <c r="V647" s="203" t="s">
        <v>1076</v>
      </c>
    </row>
    <row r="648" spans="1:22" s="203" customFormat="1" ht="17.25" hidden="1" customHeight="1" x14ac:dyDescent="0.2">
      <c r="A648" s="203" t="s">
        <v>454</v>
      </c>
      <c r="B648" s="203" t="s">
        <v>560</v>
      </c>
      <c r="C648" s="203" t="s">
        <v>987</v>
      </c>
      <c r="D648" s="203" t="s">
        <v>2177</v>
      </c>
      <c r="E648" s="203" t="s">
        <v>1600</v>
      </c>
      <c r="J648" s="203" t="s">
        <v>969</v>
      </c>
      <c r="K648" s="203" t="s">
        <v>969</v>
      </c>
      <c r="L648" s="203" t="s">
        <v>969</v>
      </c>
      <c r="M648" s="203" t="s">
        <v>454</v>
      </c>
      <c r="N648" s="203">
        <v>20.021469116210898</v>
      </c>
      <c r="O648" s="203">
        <v>93.367980957031307</v>
      </c>
      <c r="P648" s="203" t="s">
        <v>970</v>
      </c>
      <c r="R648" s="425"/>
      <c r="S648" s="426"/>
      <c r="T648" s="542" t="s">
        <v>935</v>
      </c>
      <c r="U648" s="427"/>
      <c r="V648" s="203" t="s">
        <v>987</v>
      </c>
    </row>
    <row r="649" spans="1:22" s="203" customFormat="1" ht="17.25" hidden="1" customHeight="1" x14ac:dyDescent="0.2">
      <c r="A649" s="203" t="s">
        <v>454</v>
      </c>
      <c r="B649" s="203" t="s">
        <v>560</v>
      </c>
      <c r="C649" s="203" t="s">
        <v>988</v>
      </c>
      <c r="D649" s="203" t="s">
        <v>2177</v>
      </c>
      <c r="E649" s="203" t="s">
        <v>1601</v>
      </c>
      <c r="J649" s="203" t="s">
        <v>969</v>
      </c>
      <c r="K649" s="203" t="s">
        <v>969</v>
      </c>
      <c r="L649" s="203" t="s">
        <v>969</v>
      </c>
      <c r="M649" s="203" t="s">
        <v>454</v>
      </c>
      <c r="N649" s="203">
        <v>20.023880004882798</v>
      </c>
      <c r="O649" s="203">
        <v>93.376663208007798</v>
      </c>
      <c r="P649" s="203" t="s">
        <v>970</v>
      </c>
      <c r="R649" s="425"/>
      <c r="S649" s="426"/>
      <c r="T649" s="542" t="s">
        <v>935</v>
      </c>
      <c r="U649" s="427"/>
      <c r="V649" s="203" t="s">
        <v>988</v>
      </c>
    </row>
    <row r="650" spans="1:22" s="203" customFormat="1" ht="17.25" hidden="1" customHeight="1" x14ac:dyDescent="0.2">
      <c r="A650" s="203" t="s">
        <v>454</v>
      </c>
      <c r="B650" s="203" t="s">
        <v>560</v>
      </c>
      <c r="C650" s="203" t="s">
        <v>990</v>
      </c>
      <c r="D650" s="203" t="s">
        <v>2177</v>
      </c>
      <c r="E650" s="203" t="s">
        <v>1603</v>
      </c>
      <c r="J650" s="203" t="s">
        <v>969</v>
      </c>
      <c r="K650" s="203" t="s">
        <v>969</v>
      </c>
      <c r="L650" s="203" t="s">
        <v>969</v>
      </c>
      <c r="M650" s="203" t="s">
        <v>454</v>
      </c>
      <c r="N650" s="203">
        <v>20.032299999999999</v>
      </c>
      <c r="O650" s="203">
        <v>93.375100000000003</v>
      </c>
      <c r="P650" s="203" t="s">
        <v>970</v>
      </c>
      <c r="R650" s="425"/>
      <c r="S650" s="426"/>
      <c r="T650" s="542" t="s">
        <v>935</v>
      </c>
      <c r="U650" s="427"/>
      <c r="V650" s="203" t="s">
        <v>990</v>
      </c>
    </row>
    <row r="651" spans="1:22" s="203" customFormat="1" ht="17.25" hidden="1" customHeight="1" x14ac:dyDescent="0.2">
      <c r="A651" s="203" t="s">
        <v>454</v>
      </c>
      <c r="B651" s="203" t="s">
        <v>560</v>
      </c>
      <c r="C651" s="203" t="s">
        <v>1005</v>
      </c>
      <c r="D651" s="203" t="s">
        <v>2177</v>
      </c>
      <c r="E651" s="203" t="s">
        <v>1622</v>
      </c>
      <c r="J651" s="203" t="s">
        <v>969</v>
      </c>
      <c r="K651" s="203" t="s">
        <v>969</v>
      </c>
      <c r="L651" s="203" t="s">
        <v>969</v>
      </c>
      <c r="M651" s="203" t="s">
        <v>454</v>
      </c>
      <c r="N651" s="203">
        <v>20.100000000000001</v>
      </c>
      <c r="O651" s="203">
        <v>93.35</v>
      </c>
      <c r="P651" s="203" t="s">
        <v>970</v>
      </c>
      <c r="R651" s="425"/>
      <c r="S651" s="426"/>
      <c r="T651" s="542" t="s">
        <v>935</v>
      </c>
      <c r="U651" s="427"/>
      <c r="V651" s="203" t="s">
        <v>1005</v>
      </c>
    </row>
    <row r="652" spans="1:22" s="203" customFormat="1" ht="17.25" hidden="1" customHeight="1" x14ac:dyDescent="0.2">
      <c r="A652" s="203" t="s">
        <v>454</v>
      </c>
      <c r="B652" s="203" t="s">
        <v>560</v>
      </c>
      <c r="C652" s="203" t="s">
        <v>1003</v>
      </c>
      <c r="D652" s="203" t="s">
        <v>2177</v>
      </c>
      <c r="E652" s="203" t="s">
        <v>1617</v>
      </c>
      <c r="J652" s="203" t="s">
        <v>969</v>
      </c>
      <c r="K652" s="203" t="s">
        <v>969</v>
      </c>
      <c r="L652" s="203" t="s">
        <v>969</v>
      </c>
      <c r="M652" s="203" t="s">
        <v>454</v>
      </c>
      <c r="N652" s="203">
        <v>20.079999999999998</v>
      </c>
      <c r="O652" s="203">
        <v>93.36</v>
      </c>
      <c r="P652" s="203" t="s">
        <v>970</v>
      </c>
      <c r="R652" s="425"/>
      <c r="S652" s="426"/>
      <c r="T652" s="542" t="s">
        <v>935</v>
      </c>
      <c r="U652" s="427"/>
      <c r="V652" s="203" t="s">
        <v>1003</v>
      </c>
    </row>
    <row r="653" spans="1:22" s="203" customFormat="1" ht="17.25" hidden="1" customHeight="1" x14ac:dyDescent="0.2">
      <c r="A653" s="203" t="s">
        <v>454</v>
      </c>
      <c r="B653" s="203" t="s">
        <v>560</v>
      </c>
      <c r="C653" s="203" t="s">
        <v>562</v>
      </c>
      <c r="D653" s="203" t="s">
        <v>2255</v>
      </c>
      <c r="E653" s="203" t="s">
        <v>1606</v>
      </c>
      <c r="F653" s="203" t="s">
        <v>2207</v>
      </c>
      <c r="G653" s="203" t="s">
        <v>2259</v>
      </c>
      <c r="J653" s="203" t="s">
        <v>969</v>
      </c>
      <c r="K653" s="203" t="s">
        <v>969</v>
      </c>
      <c r="L653" s="203" t="s">
        <v>992</v>
      </c>
      <c r="M653" s="203" t="s">
        <v>454</v>
      </c>
      <c r="N653" s="203">
        <v>20.041981</v>
      </c>
      <c r="O653" s="203">
        <v>93.373951000000005</v>
      </c>
      <c r="P653" s="203" t="s">
        <v>970</v>
      </c>
      <c r="Q653" s="203" t="s">
        <v>951</v>
      </c>
      <c r="R653" s="425">
        <v>40</v>
      </c>
      <c r="S653" s="426">
        <v>204</v>
      </c>
      <c r="T653" s="542" t="s">
        <v>935</v>
      </c>
      <c r="U653" s="427"/>
      <c r="V653" s="203" t="s">
        <v>562</v>
      </c>
    </row>
    <row r="654" spans="1:22" s="203" customFormat="1" ht="17.25" hidden="1" customHeight="1" x14ac:dyDescent="0.2">
      <c r="A654" s="203" t="s">
        <v>454</v>
      </c>
      <c r="B654" s="203" t="s">
        <v>560</v>
      </c>
      <c r="C654" s="203" t="s">
        <v>1019</v>
      </c>
      <c r="D654" s="203" t="s">
        <v>2177</v>
      </c>
      <c r="E654" s="203" t="s">
        <v>1635</v>
      </c>
      <c r="J654" s="203" t="s">
        <v>969</v>
      </c>
      <c r="K654" s="203" t="s">
        <v>969</v>
      </c>
      <c r="L654" s="203" t="s">
        <v>969</v>
      </c>
      <c r="M654" s="203" t="s">
        <v>454</v>
      </c>
      <c r="N654" s="203">
        <v>20.149999999999999</v>
      </c>
      <c r="O654" s="203">
        <v>93.41</v>
      </c>
      <c r="P654" s="203" t="s">
        <v>970</v>
      </c>
      <c r="R654" s="425"/>
      <c r="S654" s="426"/>
      <c r="T654" s="542" t="s">
        <v>935</v>
      </c>
      <c r="U654" s="427"/>
      <c r="V654" s="203" t="s">
        <v>1019</v>
      </c>
    </row>
    <row r="655" spans="1:22" s="203" customFormat="1" ht="17.25" hidden="1" customHeight="1" x14ac:dyDescent="0.2">
      <c r="A655" s="203" t="s">
        <v>454</v>
      </c>
      <c r="B655" s="203" t="s">
        <v>560</v>
      </c>
      <c r="C655" s="203" t="s">
        <v>986</v>
      </c>
      <c r="D655" s="203" t="s">
        <v>2177</v>
      </c>
      <c r="E655" s="203" t="s">
        <v>1599</v>
      </c>
      <c r="J655" s="203" t="s">
        <v>969</v>
      </c>
      <c r="K655" s="203" t="s">
        <v>969</v>
      </c>
      <c r="L655" s="203" t="s">
        <v>969</v>
      </c>
      <c r="M655" s="203" t="s">
        <v>454</v>
      </c>
      <c r="N655" s="203">
        <v>20.010000000000002</v>
      </c>
      <c r="O655" s="203">
        <v>93.42</v>
      </c>
      <c r="P655" s="203" t="s">
        <v>970</v>
      </c>
      <c r="R655" s="425"/>
      <c r="S655" s="426"/>
      <c r="T655" s="542" t="s">
        <v>935</v>
      </c>
      <c r="U655" s="427"/>
      <c r="V655" s="203" t="s">
        <v>986</v>
      </c>
    </row>
    <row r="656" spans="1:22" s="203" customFormat="1" ht="17.25" hidden="1" customHeight="1" x14ac:dyDescent="0.2">
      <c r="A656" s="203" t="s">
        <v>454</v>
      </c>
      <c r="B656" s="203" t="s">
        <v>560</v>
      </c>
      <c r="C656" s="203" t="s">
        <v>989</v>
      </c>
      <c r="D656" s="203" t="s">
        <v>2177</v>
      </c>
      <c r="E656" s="203" t="s">
        <v>1602</v>
      </c>
      <c r="J656" s="203" t="s">
        <v>969</v>
      </c>
      <c r="K656" s="203" t="s">
        <v>969</v>
      </c>
      <c r="L656" s="203" t="s">
        <v>969</v>
      </c>
      <c r="M656" s="203" t="s">
        <v>454</v>
      </c>
      <c r="N656" s="203">
        <v>20.03</v>
      </c>
      <c r="O656" s="203">
        <v>93.38</v>
      </c>
      <c r="P656" s="203" t="s">
        <v>970</v>
      </c>
      <c r="R656" s="425"/>
      <c r="S656" s="426"/>
      <c r="T656" s="542" t="s">
        <v>935</v>
      </c>
      <c r="U656" s="427"/>
      <c r="V656" s="203" t="s">
        <v>989</v>
      </c>
    </row>
    <row r="657" spans="1:22" s="203" customFormat="1" ht="17.25" hidden="1" customHeight="1" x14ac:dyDescent="0.2">
      <c r="A657" s="203" t="s">
        <v>454</v>
      </c>
      <c r="B657" s="203" t="s">
        <v>560</v>
      </c>
      <c r="C657" s="203" t="s">
        <v>991</v>
      </c>
      <c r="D657" s="203" t="s">
        <v>2177</v>
      </c>
      <c r="E657" s="203" t="s">
        <v>1604</v>
      </c>
      <c r="J657" s="203" t="s">
        <v>969</v>
      </c>
      <c r="K657" s="203" t="s">
        <v>969</v>
      </c>
      <c r="L657" s="203" t="s">
        <v>969</v>
      </c>
      <c r="M657" s="203" t="s">
        <v>454</v>
      </c>
      <c r="N657" s="203">
        <v>20.032760620117202</v>
      </c>
      <c r="O657" s="203">
        <v>93.372978210449205</v>
      </c>
      <c r="P657" s="203" t="s">
        <v>970</v>
      </c>
      <c r="R657" s="425"/>
      <c r="S657" s="426"/>
      <c r="T657" s="542" t="s">
        <v>935</v>
      </c>
      <c r="U657" s="427"/>
      <c r="V657" s="203" t="s">
        <v>991</v>
      </c>
    </row>
    <row r="658" spans="1:22" s="203" customFormat="1" ht="17.25" hidden="1" customHeight="1" x14ac:dyDescent="0.2">
      <c r="A658" s="203" t="s">
        <v>454</v>
      </c>
      <c r="B658" s="203" t="s">
        <v>560</v>
      </c>
      <c r="C658" s="203" t="s">
        <v>561</v>
      </c>
      <c r="D658" s="203" t="s">
        <v>2942</v>
      </c>
      <c r="E658" s="203" t="s">
        <v>1605</v>
      </c>
      <c r="H658" s="203" t="s">
        <v>48</v>
      </c>
      <c r="J658" s="203" t="s">
        <v>50</v>
      </c>
      <c r="K658" s="203" t="s">
        <v>50</v>
      </c>
      <c r="L658" s="203" t="s">
        <v>965</v>
      </c>
      <c r="M658" s="203" t="s">
        <v>966</v>
      </c>
      <c r="N658" s="203">
        <v>20.037655000000001</v>
      </c>
      <c r="O658" s="203">
        <v>93.370037999999994</v>
      </c>
      <c r="P658" s="203" t="s">
        <v>930</v>
      </c>
      <c r="Q658" s="203" t="s">
        <v>951</v>
      </c>
      <c r="R658" s="425">
        <v>655</v>
      </c>
      <c r="S658" s="426">
        <v>2690</v>
      </c>
      <c r="T658" s="542" t="s">
        <v>935</v>
      </c>
      <c r="U658" s="427"/>
      <c r="V658" s="203" t="s">
        <v>561</v>
      </c>
    </row>
    <row r="659" spans="1:22" s="203" customFormat="1" ht="17.25" hidden="1" customHeight="1" x14ac:dyDescent="0.2">
      <c r="A659" s="203" t="s">
        <v>454</v>
      </c>
      <c r="B659" s="203" t="s">
        <v>560</v>
      </c>
      <c r="C659" s="203" t="s">
        <v>996</v>
      </c>
      <c r="D659" s="203" t="s">
        <v>2177</v>
      </c>
      <c r="E659" s="203" t="s">
        <v>1610</v>
      </c>
      <c r="J659" s="203" t="s">
        <v>969</v>
      </c>
      <c r="K659" s="203" t="s">
        <v>969</v>
      </c>
      <c r="L659" s="203" t="s">
        <v>969</v>
      </c>
      <c r="M659" s="203" t="s">
        <v>454</v>
      </c>
      <c r="N659" s="203">
        <v>20.0613098144531</v>
      </c>
      <c r="O659" s="203">
        <v>93.540641784667997</v>
      </c>
      <c r="P659" s="203" t="s">
        <v>970</v>
      </c>
      <c r="R659" s="425"/>
      <c r="S659" s="426"/>
      <c r="T659" s="542" t="s">
        <v>935</v>
      </c>
      <c r="U659" s="427"/>
      <c r="V659" s="203" t="s">
        <v>996</v>
      </c>
    </row>
    <row r="660" spans="1:22" s="203" customFormat="1" ht="17.25" hidden="1" customHeight="1" x14ac:dyDescent="0.2">
      <c r="A660" s="203" t="s">
        <v>454</v>
      </c>
      <c r="B660" s="203" t="s">
        <v>560</v>
      </c>
      <c r="C660" s="203" t="s">
        <v>1009</v>
      </c>
      <c r="D660" s="203" t="s">
        <v>2177</v>
      </c>
      <c r="E660" s="203" t="s">
        <v>1626</v>
      </c>
      <c r="J660" s="203" t="s">
        <v>969</v>
      </c>
      <c r="K660" s="203" t="s">
        <v>969</v>
      </c>
      <c r="L660" s="203" t="s">
        <v>969</v>
      </c>
      <c r="M660" s="203" t="s">
        <v>454</v>
      </c>
      <c r="N660" s="203">
        <v>20.12</v>
      </c>
      <c r="O660" s="203">
        <v>93.34</v>
      </c>
      <c r="P660" s="203" t="s">
        <v>970</v>
      </c>
      <c r="R660" s="425"/>
      <c r="S660" s="426"/>
      <c r="T660" s="542" t="s">
        <v>935</v>
      </c>
      <c r="U660" s="427"/>
      <c r="V660" s="203" t="s">
        <v>1009</v>
      </c>
    </row>
    <row r="661" spans="1:22" s="203" customFormat="1" ht="17.25" hidden="1" customHeight="1" x14ac:dyDescent="0.2">
      <c r="A661" s="203" t="s">
        <v>454</v>
      </c>
      <c r="B661" s="203" t="s">
        <v>560</v>
      </c>
      <c r="C661" s="203" t="s">
        <v>1004</v>
      </c>
      <c r="D661" s="203" t="s">
        <v>2177</v>
      </c>
      <c r="E661" s="203" t="s">
        <v>1619</v>
      </c>
      <c r="J661" s="203" t="s">
        <v>969</v>
      </c>
      <c r="K661" s="203" t="s">
        <v>969</v>
      </c>
      <c r="L661" s="203" t="s">
        <v>969</v>
      </c>
      <c r="M661" s="203" t="s">
        <v>454</v>
      </c>
      <c r="N661" s="203">
        <v>20.084</v>
      </c>
      <c r="O661" s="203">
        <v>93.483999999999995</v>
      </c>
      <c r="P661" s="203" t="s">
        <v>970</v>
      </c>
      <c r="R661" s="425"/>
      <c r="S661" s="426"/>
      <c r="T661" s="542" t="s">
        <v>935</v>
      </c>
      <c r="U661" s="427"/>
      <c r="V661" s="203" t="s">
        <v>1004</v>
      </c>
    </row>
    <row r="662" spans="1:22" s="203" customFormat="1" ht="17.25" hidden="1" customHeight="1" x14ac:dyDescent="0.2">
      <c r="A662" s="203" t="s">
        <v>454</v>
      </c>
      <c r="B662" s="203" t="s">
        <v>563</v>
      </c>
      <c r="C662" s="203" t="s">
        <v>573</v>
      </c>
      <c r="D662" s="203" t="s">
        <v>2177</v>
      </c>
      <c r="E662" s="203" t="s">
        <v>1621</v>
      </c>
      <c r="J662" s="203" t="s">
        <v>969</v>
      </c>
      <c r="K662" s="203" t="s">
        <v>969</v>
      </c>
      <c r="L662" s="203" t="s">
        <v>969</v>
      </c>
      <c r="M662" s="203" t="s">
        <v>966</v>
      </c>
      <c r="N662" s="203">
        <v>20.099340438842798</v>
      </c>
      <c r="O662" s="203">
        <v>92.989143371582003</v>
      </c>
      <c r="P662" s="203" t="s">
        <v>970</v>
      </c>
      <c r="Q662" s="203" t="s">
        <v>951</v>
      </c>
      <c r="R662" s="425"/>
      <c r="S662" s="426"/>
      <c r="T662" s="542" t="s">
        <v>935</v>
      </c>
      <c r="U662" s="427"/>
      <c r="V662" s="203" t="s">
        <v>935</v>
      </c>
    </row>
    <row r="663" spans="1:22" s="203" customFormat="1" ht="17.25" hidden="1" customHeight="1" x14ac:dyDescent="0.2">
      <c r="A663" s="203" t="s">
        <v>454</v>
      </c>
      <c r="B663" s="203" t="s">
        <v>563</v>
      </c>
      <c r="C663" s="203" t="s">
        <v>574</v>
      </c>
      <c r="D663" s="203" t="s">
        <v>2942</v>
      </c>
      <c r="E663" s="203" t="s">
        <v>1624</v>
      </c>
      <c r="F663" s="203" t="s">
        <v>1006</v>
      </c>
      <c r="G663" s="203" t="s">
        <v>698</v>
      </c>
      <c r="H663" s="203" t="s">
        <v>48</v>
      </c>
      <c r="J663" s="203" t="s">
        <v>50</v>
      </c>
      <c r="K663" s="203" t="s">
        <v>50</v>
      </c>
      <c r="L663" s="203" t="s">
        <v>965</v>
      </c>
      <c r="M663" s="203" t="s">
        <v>966</v>
      </c>
      <c r="N663" s="203">
        <v>20.108101999999999</v>
      </c>
      <c r="O663" s="203">
        <v>92.985095000000001</v>
      </c>
      <c r="P663" s="203" t="s">
        <v>930</v>
      </c>
      <c r="Q663" s="203" t="s">
        <v>951</v>
      </c>
      <c r="R663" s="425">
        <v>1249</v>
      </c>
      <c r="S663" s="426">
        <v>4717</v>
      </c>
      <c r="T663" s="542" t="s">
        <v>935</v>
      </c>
      <c r="U663" s="427"/>
      <c r="V663" s="203" t="s">
        <v>1008</v>
      </c>
    </row>
    <row r="664" spans="1:22" s="203" customFormat="1" ht="17.25" hidden="1" customHeight="1" x14ac:dyDescent="0.2">
      <c r="A664" s="203" t="s">
        <v>454</v>
      </c>
      <c r="B664" s="203" t="s">
        <v>563</v>
      </c>
      <c r="C664" s="203" t="s">
        <v>1030</v>
      </c>
      <c r="D664" s="203" t="s">
        <v>2255</v>
      </c>
      <c r="E664" s="203" t="s">
        <v>1646</v>
      </c>
      <c r="F664" s="203" t="s">
        <v>2207</v>
      </c>
      <c r="G664" s="203" t="s">
        <v>2372</v>
      </c>
      <c r="J664" s="203" t="s">
        <v>969</v>
      </c>
      <c r="K664" s="203" t="s">
        <v>969</v>
      </c>
      <c r="L664" s="203" t="s">
        <v>992</v>
      </c>
      <c r="M664" s="203" t="s">
        <v>454</v>
      </c>
      <c r="N664" s="203">
        <v>20.173468</v>
      </c>
      <c r="O664" s="203">
        <v>93.067891000000003</v>
      </c>
      <c r="P664" s="203" t="s">
        <v>970</v>
      </c>
      <c r="R664" s="425">
        <v>21</v>
      </c>
      <c r="S664" s="426">
        <v>122</v>
      </c>
      <c r="T664" s="542" t="s">
        <v>935</v>
      </c>
      <c r="U664" s="427" t="s">
        <v>1031</v>
      </c>
      <c r="V664" s="203" t="s">
        <v>1032</v>
      </c>
    </row>
    <row r="665" spans="1:22" s="203" customFormat="1" ht="17.25" hidden="1" customHeight="1" x14ac:dyDescent="0.2">
      <c r="A665" s="203" t="s">
        <v>454</v>
      </c>
      <c r="B665" s="203" t="s">
        <v>563</v>
      </c>
      <c r="C665" s="203" t="s">
        <v>993</v>
      </c>
      <c r="D665" s="203" t="s">
        <v>2177</v>
      </c>
      <c r="E665" s="203" t="s">
        <v>1607</v>
      </c>
      <c r="J665" s="203" t="s">
        <v>969</v>
      </c>
      <c r="K665" s="203" t="s">
        <v>969</v>
      </c>
      <c r="L665" s="203" t="s">
        <v>969</v>
      </c>
      <c r="M665" s="203" t="s">
        <v>994</v>
      </c>
      <c r="N665" s="203">
        <v>20.051170349121101</v>
      </c>
      <c r="O665" s="203">
        <v>93.040992736816406</v>
      </c>
      <c r="P665" s="203" t="s">
        <v>970</v>
      </c>
      <c r="R665" s="425"/>
      <c r="S665" s="426"/>
      <c r="T665" s="542" t="s">
        <v>935</v>
      </c>
      <c r="U665" s="427"/>
      <c r="V665" s="203" t="s">
        <v>993</v>
      </c>
    </row>
    <row r="666" spans="1:22" s="203" customFormat="1" ht="17.25" hidden="1" customHeight="1" x14ac:dyDescent="0.2">
      <c r="A666" s="203" t="s">
        <v>454</v>
      </c>
      <c r="B666" s="203" t="s">
        <v>563</v>
      </c>
      <c r="C666" s="203" t="s">
        <v>995</v>
      </c>
      <c r="D666" s="203" t="s">
        <v>2177</v>
      </c>
      <c r="E666" s="203" t="s">
        <v>1609</v>
      </c>
      <c r="J666" s="203" t="s">
        <v>969</v>
      </c>
      <c r="K666" s="203" t="s">
        <v>969</v>
      </c>
      <c r="L666" s="203" t="s">
        <v>969</v>
      </c>
      <c r="M666" s="203" t="s">
        <v>454</v>
      </c>
      <c r="N666" s="203">
        <v>20.059789657592798</v>
      </c>
      <c r="O666" s="203">
        <v>93.034988403320298</v>
      </c>
      <c r="P666" s="203" t="s">
        <v>970</v>
      </c>
      <c r="R666" s="425"/>
      <c r="S666" s="426"/>
      <c r="T666" s="542" t="s">
        <v>935</v>
      </c>
      <c r="U666" s="427"/>
      <c r="V666" s="203" t="s">
        <v>995</v>
      </c>
    </row>
    <row r="667" spans="1:22" s="203" customFormat="1" ht="17.25" hidden="1" customHeight="1" x14ac:dyDescent="0.2">
      <c r="A667" s="203" t="s">
        <v>454</v>
      </c>
      <c r="B667" s="203" t="s">
        <v>563</v>
      </c>
      <c r="C667" s="203" t="s">
        <v>698</v>
      </c>
      <c r="D667" s="203" t="s">
        <v>2177</v>
      </c>
      <c r="E667" s="203" t="s">
        <v>1625</v>
      </c>
      <c r="J667" s="203" t="s">
        <v>969</v>
      </c>
      <c r="K667" s="203" t="s">
        <v>969</v>
      </c>
      <c r="L667" s="203" t="s">
        <v>969</v>
      </c>
      <c r="M667" s="203" t="s">
        <v>935</v>
      </c>
      <c r="N667" s="203">
        <v>20.1092205047607</v>
      </c>
      <c r="O667" s="203">
        <v>92.9954833984375</v>
      </c>
      <c r="P667" s="203" t="s">
        <v>970</v>
      </c>
      <c r="R667" s="425"/>
      <c r="S667" s="426"/>
      <c r="T667" s="542" t="s">
        <v>935</v>
      </c>
      <c r="U667" s="427"/>
      <c r="V667" s="203" t="s">
        <v>698</v>
      </c>
    </row>
    <row r="668" spans="1:22" s="203" customFormat="1" ht="17.25" hidden="1" customHeight="1" x14ac:dyDescent="0.2">
      <c r="A668" s="203" t="s">
        <v>454</v>
      </c>
      <c r="B668" s="203" t="s">
        <v>563</v>
      </c>
      <c r="C668" s="203" t="s">
        <v>572</v>
      </c>
      <c r="D668" s="203" t="s">
        <v>2942</v>
      </c>
      <c r="E668" s="203" t="s">
        <v>1620</v>
      </c>
      <c r="F668" s="203" t="s">
        <v>1006</v>
      </c>
      <c r="G668" s="203" t="s">
        <v>572</v>
      </c>
      <c r="H668" s="203" t="s">
        <v>48</v>
      </c>
      <c r="J668" s="203" t="s">
        <v>50</v>
      </c>
      <c r="K668" s="203" t="s">
        <v>50</v>
      </c>
      <c r="L668" s="203" t="s">
        <v>965</v>
      </c>
      <c r="M668" s="203" t="s">
        <v>966</v>
      </c>
      <c r="N668" s="203">
        <v>20.090183</v>
      </c>
      <c r="O668" s="203">
        <v>93.010368999999997</v>
      </c>
      <c r="P668" s="203" t="s">
        <v>930</v>
      </c>
      <c r="Q668" s="203" t="s">
        <v>951</v>
      </c>
      <c r="R668" s="425">
        <v>1343</v>
      </c>
      <c r="S668" s="426">
        <v>5945</v>
      </c>
      <c r="T668" s="542" t="s">
        <v>935</v>
      </c>
      <c r="U668" s="427"/>
      <c r="V668" s="203" t="s">
        <v>572</v>
      </c>
    </row>
    <row r="669" spans="1:22" s="203" customFormat="1" ht="17.25" hidden="1" customHeight="1" x14ac:dyDescent="0.2">
      <c r="A669" s="203" t="s">
        <v>454</v>
      </c>
      <c r="B669" s="203" t="s">
        <v>563</v>
      </c>
      <c r="C669" s="203" t="s">
        <v>981</v>
      </c>
      <c r="D669" s="203" t="s">
        <v>2177</v>
      </c>
      <c r="E669" s="203" t="s">
        <v>1589</v>
      </c>
      <c r="J669" s="203" t="s">
        <v>969</v>
      </c>
      <c r="K669" s="203" t="s">
        <v>969</v>
      </c>
      <c r="L669" s="203" t="s">
        <v>969</v>
      </c>
      <c r="M669" s="203" t="s">
        <v>935</v>
      </c>
      <c r="N669" s="203">
        <v>19.948829650878899</v>
      </c>
      <c r="O669" s="203">
        <v>92.978782653808594</v>
      </c>
      <c r="P669" s="203" t="s">
        <v>970</v>
      </c>
      <c r="R669" s="425"/>
      <c r="S669" s="426"/>
      <c r="T669" s="542" t="s">
        <v>935</v>
      </c>
      <c r="U669" s="427"/>
      <c r="V669" s="203" t="s">
        <v>981</v>
      </c>
    </row>
    <row r="670" spans="1:22" s="203" customFormat="1" ht="17.25" hidden="1" customHeight="1" x14ac:dyDescent="0.2">
      <c r="A670" s="203" t="s">
        <v>454</v>
      </c>
      <c r="B670" s="203" t="s">
        <v>563</v>
      </c>
      <c r="C670" s="203" t="s">
        <v>1002</v>
      </c>
      <c r="D670" s="203" t="s">
        <v>2177</v>
      </c>
      <c r="E670" s="203" t="s">
        <v>1616</v>
      </c>
      <c r="J670" s="203" t="s">
        <v>50</v>
      </c>
      <c r="K670" s="203" t="s">
        <v>50</v>
      </c>
      <c r="L670" s="203" t="s">
        <v>929</v>
      </c>
      <c r="M670" s="203" t="s">
        <v>966</v>
      </c>
      <c r="N670" s="203">
        <v>20.073437999999999</v>
      </c>
      <c r="O670" s="203">
        <v>93.154551999999995</v>
      </c>
      <c r="P670" s="203" t="s">
        <v>930</v>
      </c>
      <c r="R670" s="425"/>
      <c r="S670" s="426"/>
      <c r="T670" s="542"/>
      <c r="U670" s="427"/>
    </row>
    <row r="671" spans="1:22" s="203" customFormat="1" ht="17.25" hidden="1" customHeight="1" x14ac:dyDescent="0.2">
      <c r="A671" s="203" t="s">
        <v>454</v>
      </c>
      <c r="B671" s="203" t="s">
        <v>563</v>
      </c>
      <c r="C671" s="203" t="s">
        <v>568</v>
      </c>
      <c r="D671" s="203" t="s">
        <v>2942</v>
      </c>
      <c r="E671" s="203" t="s">
        <v>1616</v>
      </c>
      <c r="F671" s="203" t="s">
        <v>2260</v>
      </c>
      <c r="G671" s="203" t="s">
        <v>2261</v>
      </c>
      <c r="H671" s="203" t="s">
        <v>48</v>
      </c>
      <c r="J671" s="203" t="s">
        <v>50</v>
      </c>
      <c r="K671" s="203" t="s">
        <v>50</v>
      </c>
      <c r="L671" s="203" t="s">
        <v>2396</v>
      </c>
      <c r="M671" s="203" t="s">
        <v>966</v>
      </c>
      <c r="N671" s="203">
        <v>20.073437999999999</v>
      </c>
      <c r="O671" s="203">
        <v>93.154551999999995</v>
      </c>
      <c r="P671" s="203" t="s">
        <v>970</v>
      </c>
      <c r="Q671" s="203" t="s">
        <v>951</v>
      </c>
      <c r="R671" s="425">
        <v>1010</v>
      </c>
      <c r="S671" s="426">
        <v>4645</v>
      </c>
      <c r="T671" s="542" t="s">
        <v>935</v>
      </c>
      <c r="U671" s="427"/>
      <c r="V671" s="203" t="s">
        <v>568</v>
      </c>
    </row>
    <row r="672" spans="1:22" s="203" customFormat="1" ht="17.25" hidden="1" customHeight="1" x14ac:dyDescent="0.2">
      <c r="A672" s="203" t="s">
        <v>454</v>
      </c>
      <c r="B672" s="203" t="s">
        <v>563</v>
      </c>
      <c r="C672" s="203" t="s">
        <v>569</v>
      </c>
      <c r="D672" s="203" t="s">
        <v>2942</v>
      </c>
      <c r="E672" s="203" t="s">
        <v>1616</v>
      </c>
      <c r="F672" s="203" t="s">
        <v>2260</v>
      </c>
      <c r="G672" s="203" t="s">
        <v>2261</v>
      </c>
      <c r="H672" s="203" t="s">
        <v>48</v>
      </c>
      <c r="J672" s="203" t="s">
        <v>50</v>
      </c>
      <c r="K672" s="203" t="s">
        <v>50</v>
      </c>
      <c r="L672" s="203" t="s">
        <v>965</v>
      </c>
      <c r="M672" s="203" t="s">
        <v>966</v>
      </c>
      <c r="N672" s="203">
        <v>20.073437999999999</v>
      </c>
      <c r="O672" s="203">
        <v>93.154551999999995</v>
      </c>
      <c r="P672" s="203" t="s">
        <v>930</v>
      </c>
      <c r="Q672" s="203" t="s">
        <v>951</v>
      </c>
      <c r="R672" s="425">
        <v>905</v>
      </c>
      <c r="S672" s="426">
        <v>4104</v>
      </c>
      <c r="T672" s="542" t="s">
        <v>935</v>
      </c>
      <c r="U672" s="427"/>
      <c r="V672" s="203" t="s">
        <v>569</v>
      </c>
    </row>
    <row r="673" spans="1:22" s="203" customFormat="1" ht="17.25" hidden="1" customHeight="1" x14ac:dyDescent="0.2">
      <c r="A673" s="203" t="s">
        <v>454</v>
      </c>
      <c r="B673" s="203" t="s">
        <v>563</v>
      </c>
      <c r="C673" s="203" t="s">
        <v>1006</v>
      </c>
      <c r="D673" s="203" t="s">
        <v>2177</v>
      </c>
      <c r="E673" s="203" t="s">
        <v>1623</v>
      </c>
      <c r="J673" s="203" t="s">
        <v>969</v>
      </c>
      <c r="K673" s="203" t="s">
        <v>969</v>
      </c>
      <c r="L673" s="203" t="s">
        <v>969</v>
      </c>
      <c r="M673" s="203" t="s">
        <v>935</v>
      </c>
      <c r="N673" s="203">
        <v>20.102939605712901</v>
      </c>
      <c r="O673" s="203">
        <v>93.000679016113295</v>
      </c>
      <c r="P673" s="203" t="s">
        <v>970</v>
      </c>
      <c r="R673" s="425"/>
      <c r="S673" s="426"/>
      <c r="T673" s="542" t="s">
        <v>935</v>
      </c>
      <c r="U673" s="427"/>
      <c r="V673" s="203" t="s">
        <v>1007</v>
      </c>
    </row>
    <row r="674" spans="1:22" s="203" customFormat="1" ht="17.25" hidden="1" customHeight="1" x14ac:dyDescent="0.2">
      <c r="A674" s="203" t="s">
        <v>454</v>
      </c>
      <c r="B674" s="203" t="s">
        <v>563</v>
      </c>
      <c r="C674" s="203" t="s">
        <v>999</v>
      </c>
      <c r="D674" s="203" t="s">
        <v>2177</v>
      </c>
      <c r="E674" s="203" t="s">
        <v>1614</v>
      </c>
      <c r="J674" s="203" t="s">
        <v>969</v>
      </c>
      <c r="K674" s="203" t="s">
        <v>969</v>
      </c>
      <c r="L674" s="203" t="s">
        <v>969</v>
      </c>
      <c r="M674" s="203" t="s">
        <v>454</v>
      </c>
      <c r="N674" s="203">
        <v>20.065919000000001</v>
      </c>
      <c r="O674" s="203">
        <v>93.004040000000003</v>
      </c>
      <c r="P674" s="203" t="s">
        <v>970</v>
      </c>
      <c r="R674" s="425"/>
      <c r="S674" s="426"/>
      <c r="T674" s="542" t="s">
        <v>935</v>
      </c>
      <c r="U674" s="427"/>
      <c r="V674" s="203" t="s">
        <v>999</v>
      </c>
    </row>
    <row r="675" spans="1:22" s="203" customFormat="1" ht="17.25" hidden="1" customHeight="1" x14ac:dyDescent="0.2">
      <c r="A675" s="203" t="s">
        <v>454</v>
      </c>
      <c r="B675" s="203" t="s">
        <v>563</v>
      </c>
      <c r="C675" s="203" t="s">
        <v>570</v>
      </c>
      <c r="D675" s="203" t="s">
        <v>2177</v>
      </c>
      <c r="E675" s="203" t="s">
        <v>1618</v>
      </c>
      <c r="J675" s="203" t="s">
        <v>969</v>
      </c>
      <c r="K675" s="203" t="s">
        <v>969</v>
      </c>
      <c r="L675" s="203" t="s">
        <v>969</v>
      </c>
      <c r="M675" s="203" t="s">
        <v>454</v>
      </c>
      <c r="N675" s="203">
        <v>20.0839</v>
      </c>
      <c r="O675" s="203">
        <v>92.993799999999993</v>
      </c>
      <c r="P675" s="203" t="s">
        <v>970</v>
      </c>
      <c r="Q675" s="203" t="s">
        <v>951</v>
      </c>
      <c r="R675" s="425"/>
      <c r="S675" s="426"/>
      <c r="T675" s="542" t="s">
        <v>935</v>
      </c>
      <c r="U675" s="427"/>
      <c r="V675" s="203" t="s">
        <v>570</v>
      </c>
    </row>
    <row r="676" spans="1:22" s="203" customFormat="1" ht="17.25" hidden="1" customHeight="1" x14ac:dyDescent="0.2">
      <c r="A676" s="203" t="s">
        <v>454</v>
      </c>
      <c r="B676" s="203" t="s">
        <v>563</v>
      </c>
      <c r="C676" s="203" t="s">
        <v>567</v>
      </c>
      <c r="D676" s="203" t="s">
        <v>2942</v>
      </c>
      <c r="E676" s="203" t="s">
        <v>1612</v>
      </c>
      <c r="F676" s="203" t="s">
        <v>567</v>
      </c>
      <c r="G676" s="203" t="s">
        <v>2206</v>
      </c>
      <c r="H676" s="203" t="s">
        <v>48</v>
      </c>
      <c r="J676" s="203" t="s">
        <v>50</v>
      </c>
      <c r="K676" s="203" t="s">
        <v>50</v>
      </c>
      <c r="L676" s="203" t="s">
        <v>965</v>
      </c>
      <c r="M676" s="203" t="s">
        <v>966</v>
      </c>
      <c r="N676" s="203">
        <v>20.064226000000001</v>
      </c>
      <c r="O676" s="203">
        <v>92.993758999999997</v>
      </c>
      <c r="P676" s="203" t="s">
        <v>930</v>
      </c>
      <c r="Q676" s="203" t="s">
        <v>951</v>
      </c>
      <c r="R676" s="425">
        <v>617</v>
      </c>
      <c r="S676" s="426">
        <v>2845</v>
      </c>
      <c r="T676" s="542" t="s">
        <v>935</v>
      </c>
      <c r="U676" s="427"/>
      <c r="V676" s="203" t="s">
        <v>567</v>
      </c>
    </row>
    <row r="677" spans="1:22" s="203" customFormat="1" ht="17.25" hidden="1" customHeight="1" x14ac:dyDescent="0.2">
      <c r="A677" s="203" t="s">
        <v>454</v>
      </c>
      <c r="B677" s="203" t="s">
        <v>563</v>
      </c>
      <c r="C677" s="203" t="s">
        <v>997</v>
      </c>
      <c r="D677" s="203" t="s">
        <v>2178</v>
      </c>
      <c r="E677" s="203" t="s">
        <v>1613</v>
      </c>
      <c r="F677" s="203" t="s">
        <v>567</v>
      </c>
      <c r="G677" s="203" t="s">
        <v>2206</v>
      </c>
      <c r="J677" s="203" t="s">
        <v>50</v>
      </c>
      <c r="K677" s="203" t="s">
        <v>50</v>
      </c>
      <c r="L677" s="203" t="s">
        <v>929</v>
      </c>
      <c r="M677" s="203" t="s">
        <v>966</v>
      </c>
      <c r="N677" s="203">
        <v>20.064226000000001</v>
      </c>
      <c r="O677" s="203">
        <v>92.993758999999997</v>
      </c>
      <c r="P677" s="203" t="s">
        <v>930</v>
      </c>
      <c r="R677" s="425"/>
      <c r="S677" s="426"/>
      <c r="T677" s="542" t="s">
        <v>935</v>
      </c>
      <c r="U677" s="427"/>
      <c r="V677" s="203" t="s">
        <v>998</v>
      </c>
    </row>
    <row r="678" spans="1:22" s="203" customFormat="1" ht="17.25" hidden="1" customHeight="1" x14ac:dyDescent="0.2">
      <c r="A678" s="203" t="s">
        <v>454</v>
      </c>
      <c r="B678" s="203" t="s">
        <v>563</v>
      </c>
      <c r="C678" s="203" t="s">
        <v>566</v>
      </c>
      <c r="D678" s="203" t="s">
        <v>2177</v>
      </c>
      <c r="E678" s="203" t="s">
        <v>1611</v>
      </c>
      <c r="J678" s="203" t="s">
        <v>969</v>
      </c>
      <c r="K678" s="203" t="s">
        <v>969</v>
      </c>
      <c r="L678" s="203" t="s">
        <v>969</v>
      </c>
      <c r="M678" s="203" t="s">
        <v>966</v>
      </c>
      <c r="N678" s="203">
        <v>20.0641</v>
      </c>
      <c r="O678" s="203">
        <v>92.994600000000005</v>
      </c>
      <c r="P678" s="203" t="s">
        <v>970</v>
      </c>
      <c r="Q678" s="203" t="s">
        <v>951</v>
      </c>
      <c r="R678" s="425"/>
      <c r="S678" s="426"/>
      <c r="T678" s="542" t="s">
        <v>935</v>
      </c>
      <c r="U678" s="427"/>
      <c r="V678" s="203" t="s">
        <v>566</v>
      </c>
    </row>
    <row r="679" spans="1:22" s="203" customFormat="1" ht="17.25" hidden="1" customHeight="1" x14ac:dyDescent="0.2">
      <c r="A679" s="203" t="s">
        <v>454</v>
      </c>
      <c r="B679" s="203" t="s">
        <v>563</v>
      </c>
      <c r="C679" s="203" t="s">
        <v>564</v>
      </c>
      <c r="D679" s="203" t="s">
        <v>2177</v>
      </c>
      <c r="E679" s="203" t="s">
        <v>1608</v>
      </c>
      <c r="J679" s="203" t="s">
        <v>969</v>
      </c>
      <c r="K679" s="203" t="s">
        <v>969</v>
      </c>
      <c r="L679" s="203" t="s">
        <v>969</v>
      </c>
      <c r="M679" s="203" t="s">
        <v>454</v>
      </c>
      <c r="N679" s="203">
        <v>20.057860999999999</v>
      </c>
      <c r="O679" s="203">
        <v>92.995181000000002</v>
      </c>
      <c r="P679" s="203" t="s">
        <v>970</v>
      </c>
      <c r="Q679" s="203" t="s">
        <v>951</v>
      </c>
      <c r="R679" s="425"/>
      <c r="S679" s="426"/>
      <c r="T679" s="542" t="s">
        <v>935</v>
      </c>
      <c r="U679" s="427"/>
      <c r="V679" s="203" t="s">
        <v>564</v>
      </c>
    </row>
    <row r="680" spans="1:22" s="203" customFormat="1" ht="17.25" hidden="1" customHeight="1" x14ac:dyDescent="0.2">
      <c r="A680" s="203" t="s">
        <v>454</v>
      </c>
      <c r="B680" s="203" t="s">
        <v>563</v>
      </c>
      <c r="C680" s="203" t="s">
        <v>1317</v>
      </c>
      <c r="D680" s="203" t="s">
        <v>2177</v>
      </c>
      <c r="E680" s="203" t="s">
        <v>2102</v>
      </c>
      <c r="J680" s="203" t="s">
        <v>969</v>
      </c>
      <c r="K680" s="203" t="s">
        <v>969</v>
      </c>
      <c r="L680" s="203" t="s">
        <v>969</v>
      </c>
      <c r="M680" s="203" t="s">
        <v>935</v>
      </c>
      <c r="P680" s="203" t="s">
        <v>970</v>
      </c>
      <c r="R680" s="425"/>
      <c r="S680" s="426"/>
      <c r="T680" s="542" t="s">
        <v>935</v>
      </c>
      <c r="U680" s="427"/>
      <c r="V680" s="203" t="s">
        <v>1317</v>
      </c>
    </row>
    <row r="681" spans="1:22" s="203" customFormat="1" ht="17.25" hidden="1" customHeight="1" x14ac:dyDescent="0.2">
      <c r="A681" s="203" t="s">
        <v>454</v>
      </c>
      <c r="B681" s="203" t="s">
        <v>563</v>
      </c>
      <c r="C681" s="203" t="s">
        <v>1000</v>
      </c>
      <c r="D681" s="203" t="s">
        <v>2177</v>
      </c>
      <c r="E681" s="203" t="s">
        <v>1615</v>
      </c>
      <c r="J681" s="203" t="s">
        <v>969</v>
      </c>
      <c r="K681" s="203" t="s">
        <v>969</v>
      </c>
      <c r="L681" s="203" t="s">
        <v>969</v>
      </c>
      <c r="M681" s="203" t="s">
        <v>935</v>
      </c>
      <c r="N681" s="203">
        <v>20.0690307617188</v>
      </c>
      <c r="O681" s="203">
        <v>92.930137634277301</v>
      </c>
      <c r="P681" s="203" t="s">
        <v>970</v>
      </c>
      <c r="R681" s="425"/>
      <c r="S681" s="426"/>
      <c r="T681" s="542" t="s">
        <v>935</v>
      </c>
      <c r="U681" s="427"/>
      <c r="V681" s="203" t="s">
        <v>1001</v>
      </c>
    </row>
    <row r="682" spans="1:22" s="203" customFormat="1" ht="17.25" hidden="1" customHeight="1" x14ac:dyDescent="0.2">
      <c r="A682" s="203" t="s">
        <v>454</v>
      </c>
      <c r="B682" s="203" t="s">
        <v>618</v>
      </c>
      <c r="C682" s="203" t="s">
        <v>650</v>
      </c>
      <c r="D682" s="203" t="s">
        <v>2177</v>
      </c>
      <c r="E682" s="203" t="s">
        <v>1700</v>
      </c>
      <c r="J682" s="203" t="s">
        <v>969</v>
      </c>
      <c r="K682" s="203" t="s">
        <v>969</v>
      </c>
      <c r="L682" s="203" t="s">
        <v>969</v>
      </c>
      <c r="M682" s="203" t="s">
        <v>966</v>
      </c>
      <c r="N682" s="203">
        <v>20.494340897000001</v>
      </c>
      <c r="O682" s="203">
        <v>93.054298400999997</v>
      </c>
      <c r="P682" s="203" t="s">
        <v>970</v>
      </c>
      <c r="Q682" s="203" t="s">
        <v>951</v>
      </c>
      <c r="R682" s="425"/>
      <c r="S682" s="426"/>
      <c r="T682" s="542" t="s">
        <v>935</v>
      </c>
      <c r="U682" s="427"/>
      <c r="V682" s="203" t="s">
        <v>1072</v>
      </c>
    </row>
    <row r="683" spans="1:22" s="203" customFormat="1" ht="17.25" hidden="1" customHeight="1" x14ac:dyDescent="0.2">
      <c r="A683" s="203" t="s">
        <v>454</v>
      </c>
      <c r="B683" s="203" t="s">
        <v>618</v>
      </c>
      <c r="C683" s="203" t="s">
        <v>674</v>
      </c>
      <c r="D683" s="203" t="s">
        <v>2177</v>
      </c>
      <c r="E683" s="203" t="s">
        <v>1732</v>
      </c>
      <c r="J683" s="203" t="s">
        <v>969</v>
      </c>
      <c r="K683" s="203" t="s">
        <v>969</v>
      </c>
      <c r="L683" s="203" t="s">
        <v>969</v>
      </c>
      <c r="M683" s="203" t="s">
        <v>966</v>
      </c>
      <c r="N683" s="203">
        <v>20.608819961999998</v>
      </c>
      <c r="O683" s="203">
        <v>93.022407532000003</v>
      </c>
      <c r="P683" s="203" t="s">
        <v>970</v>
      </c>
      <c r="Q683" s="203" t="s">
        <v>951</v>
      </c>
      <c r="R683" s="425"/>
      <c r="S683" s="426"/>
      <c r="T683" s="542" t="s">
        <v>935</v>
      </c>
      <c r="U683" s="427"/>
      <c r="V683" s="203" t="s">
        <v>1087</v>
      </c>
    </row>
    <row r="684" spans="1:22" s="203" customFormat="1" ht="17.25" hidden="1" customHeight="1" x14ac:dyDescent="0.2">
      <c r="A684" s="203" t="s">
        <v>454</v>
      </c>
      <c r="B684" s="203" t="s">
        <v>618</v>
      </c>
      <c r="C684" s="203" t="s">
        <v>1056</v>
      </c>
      <c r="D684" s="203" t="s">
        <v>2177</v>
      </c>
      <c r="E684" s="203" t="s">
        <v>1681</v>
      </c>
      <c r="J684" s="203" t="s">
        <v>969</v>
      </c>
      <c r="K684" s="203" t="s">
        <v>969</v>
      </c>
      <c r="L684" s="203" t="s">
        <v>969</v>
      </c>
      <c r="M684" s="203" t="s">
        <v>454</v>
      </c>
      <c r="N684" s="203">
        <v>20.369959999999999</v>
      </c>
      <c r="O684" s="203">
        <v>93.019220000000004</v>
      </c>
      <c r="P684" s="203" t="s">
        <v>970</v>
      </c>
      <c r="R684" s="425"/>
      <c r="S684" s="426"/>
      <c r="T684" s="542" t="s">
        <v>935</v>
      </c>
      <c r="U684" s="427"/>
      <c r="V684" s="203" t="s">
        <v>1056</v>
      </c>
    </row>
    <row r="685" spans="1:22" s="203" customFormat="1" ht="17.25" hidden="1" customHeight="1" x14ac:dyDescent="0.2">
      <c r="A685" s="203" t="s">
        <v>454</v>
      </c>
      <c r="B685" s="203" t="s">
        <v>618</v>
      </c>
      <c r="C685" s="203" t="s">
        <v>675</v>
      </c>
      <c r="D685" s="203" t="s">
        <v>2177</v>
      </c>
      <c r="E685" s="203" t="s">
        <v>1734</v>
      </c>
      <c r="J685" s="203" t="s">
        <v>969</v>
      </c>
      <c r="K685" s="203" t="s">
        <v>969</v>
      </c>
      <c r="L685" s="203" t="s">
        <v>969</v>
      </c>
      <c r="M685" s="203" t="s">
        <v>454</v>
      </c>
      <c r="N685" s="203">
        <v>20.630609511999999</v>
      </c>
      <c r="O685" s="203">
        <v>92.998641968000001</v>
      </c>
      <c r="P685" s="203" t="s">
        <v>970</v>
      </c>
      <c r="Q685" s="203" t="s">
        <v>951</v>
      </c>
      <c r="R685" s="425"/>
      <c r="S685" s="426"/>
      <c r="T685" s="542" t="s">
        <v>935</v>
      </c>
      <c r="U685" s="427"/>
      <c r="V685" s="203" t="s">
        <v>1089</v>
      </c>
    </row>
    <row r="686" spans="1:22" s="203" customFormat="1" ht="17.25" hidden="1" customHeight="1" x14ac:dyDescent="0.2">
      <c r="A686" s="203" t="s">
        <v>454</v>
      </c>
      <c r="B686" s="203" t="s">
        <v>618</v>
      </c>
      <c r="C686" s="203" t="s">
        <v>681</v>
      </c>
      <c r="D686" s="203" t="s">
        <v>2177</v>
      </c>
      <c r="E686" s="203" t="s">
        <v>1741</v>
      </c>
      <c r="J686" s="203" t="s">
        <v>969</v>
      </c>
      <c r="K686" s="203" t="s">
        <v>969</v>
      </c>
      <c r="L686" s="203" t="s">
        <v>969</v>
      </c>
      <c r="M686" s="203" t="s">
        <v>454</v>
      </c>
      <c r="N686" s="203">
        <v>20.645240783999999</v>
      </c>
      <c r="O686" s="203">
        <v>92.939758300999998</v>
      </c>
      <c r="P686" s="203" t="s">
        <v>970</v>
      </c>
      <c r="Q686" s="203" t="s">
        <v>951</v>
      </c>
      <c r="R686" s="425"/>
      <c r="S686" s="426"/>
      <c r="T686" s="542" t="s">
        <v>935</v>
      </c>
      <c r="U686" s="427"/>
      <c r="V686" s="203" t="s">
        <v>681</v>
      </c>
    </row>
    <row r="687" spans="1:22" s="203" customFormat="1" ht="17.25" hidden="1" customHeight="1" x14ac:dyDescent="0.2">
      <c r="A687" s="203" t="s">
        <v>454</v>
      </c>
      <c r="B687" s="203" t="s">
        <v>618</v>
      </c>
      <c r="C687" s="203" t="s">
        <v>1053</v>
      </c>
      <c r="D687" s="203" t="s">
        <v>2177</v>
      </c>
      <c r="E687" s="203" t="s">
        <v>1677</v>
      </c>
      <c r="J687" s="203" t="s">
        <v>969</v>
      </c>
      <c r="K687" s="203" t="s">
        <v>969</v>
      </c>
      <c r="L687" s="203" t="s">
        <v>969</v>
      </c>
      <c r="M687" s="203" t="s">
        <v>454</v>
      </c>
      <c r="N687" s="203">
        <v>20.327500000000001</v>
      </c>
      <c r="O687" s="203">
        <v>92.8947</v>
      </c>
      <c r="P687" s="203" t="s">
        <v>970</v>
      </c>
      <c r="R687" s="425"/>
      <c r="S687" s="426"/>
      <c r="T687" s="542" t="s">
        <v>935</v>
      </c>
      <c r="U687" s="427"/>
      <c r="V687" s="203" t="s">
        <v>1053</v>
      </c>
    </row>
    <row r="688" spans="1:22" s="203" customFormat="1" ht="17.25" hidden="1" customHeight="1" x14ac:dyDescent="0.2">
      <c r="A688" s="203" t="s">
        <v>454</v>
      </c>
      <c r="B688" s="203" t="s">
        <v>618</v>
      </c>
      <c r="C688" s="203" t="s">
        <v>647</v>
      </c>
      <c r="D688" s="203" t="s">
        <v>2177</v>
      </c>
      <c r="E688" s="203" t="s">
        <v>1698</v>
      </c>
      <c r="J688" s="203" t="s">
        <v>969</v>
      </c>
      <c r="K688" s="203" t="s">
        <v>969</v>
      </c>
      <c r="L688" s="203" t="s">
        <v>969</v>
      </c>
      <c r="M688" s="203" t="s">
        <v>454</v>
      </c>
      <c r="N688" s="203">
        <v>20.482030868999999</v>
      </c>
      <c r="O688" s="203">
        <v>93.045410156000003</v>
      </c>
      <c r="P688" s="203" t="s">
        <v>970</v>
      </c>
      <c r="Q688" s="203" t="s">
        <v>951</v>
      </c>
      <c r="R688" s="425"/>
      <c r="S688" s="426"/>
      <c r="T688" s="542" t="s">
        <v>935</v>
      </c>
      <c r="U688" s="427"/>
      <c r="V688" s="203" t="s">
        <v>647</v>
      </c>
    </row>
    <row r="689" spans="1:22" s="203" customFormat="1" ht="17.25" hidden="1" customHeight="1" x14ac:dyDescent="0.2">
      <c r="A689" s="203" t="s">
        <v>454</v>
      </c>
      <c r="B689" s="203" t="s">
        <v>618</v>
      </c>
      <c r="C689" s="203" t="s">
        <v>1052</v>
      </c>
      <c r="D689" s="203" t="s">
        <v>2177</v>
      </c>
      <c r="E689" s="203" t="s">
        <v>1676</v>
      </c>
      <c r="J689" s="203" t="s">
        <v>969</v>
      </c>
      <c r="K689" s="203" t="s">
        <v>969</v>
      </c>
      <c r="L689" s="203" t="s">
        <v>969</v>
      </c>
      <c r="M689" s="203" t="s">
        <v>454</v>
      </c>
      <c r="N689" s="203">
        <v>20.308</v>
      </c>
      <c r="O689" s="203">
        <v>93.01</v>
      </c>
      <c r="P689" s="203" t="s">
        <v>970</v>
      </c>
      <c r="R689" s="425"/>
      <c r="S689" s="426"/>
      <c r="T689" s="542" t="s">
        <v>935</v>
      </c>
      <c r="U689" s="427"/>
      <c r="V689" s="203" t="s">
        <v>1052</v>
      </c>
    </row>
    <row r="690" spans="1:22" s="203" customFormat="1" ht="17.25" hidden="1" customHeight="1" x14ac:dyDescent="0.2">
      <c r="A690" s="203" t="s">
        <v>454</v>
      </c>
      <c r="B690" s="203" t="s">
        <v>618</v>
      </c>
      <c r="C690" s="203" t="s">
        <v>676</v>
      </c>
      <c r="D690" s="203" t="s">
        <v>2177</v>
      </c>
      <c r="E690" s="203" t="s">
        <v>1735</v>
      </c>
      <c r="J690" s="203" t="s">
        <v>969</v>
      </c>
      <c r="K690" s="203" t="s">
        <v>969</v>
      </c>
      <c r="L690" s="203" t="s">
        <v>969</v>
      </c>
      <c r="M690" s="203" t="s">
        <v>454</v>
      </c>
      <c r="N690" s="203">
        <v>20.632720946999999</v>
      </c>
      <c r="O690" s="203">
        <v>92.940132141000007</v>
      </c>
      <c r="P690" s="203" t="s">
        <v>970</v>
      </c>
      <c r="Q690" s="203" t="s">
        <v>951</v>
      </c>
      <c r="R690" s="425"/>
      <c r="S690" s="426"/>
      <c r="T690" s="542" t="s">
        <v>935</v>
      </c>
      <c r="U690" s="427"/>
      <c r="V690" s="203" t="s">
        <v>1090</v>
      </c>
    </row>
    <row r="691" spans="1:22" s="203" customFormat="1" ht="17.25" hidden="1" customHeight="1" x14ac:dyDescent="0.2">
      <c r="A691" s="203" t="s">
        <v>454</v>
      </c>
      <c r="B691" s="203" t="s">
        <v>618</v>
      </c>
      <c r="C691" s="203" t="s">
        <v>673</v>
      </c>
      <c r="D691" s="203" t="s">
        <v>2177</v>
      </c>
      <c r="E691" s="203" t="s">
        <v>1730</v>
      </c>
      <c r="J691" s="203" t="s">
        <v>969</v>
      </c>
      <c r="K691" s="203" t="s">
        <v>969</v>
      </c>
      <c r="L691" s="203" t="s">
        <v>969</v>
      </c>
      <c r="M691" s="203" t="s">
        <v>454</v>
      </c>
      <c r="N691" s="203">
        <v>20.596279144</v>
      </c>
      <c r="O691" s="203">
        <v>92.987480164000004</v>
      </c>
      <c r="P691" s="203" t="s">
        <v>970</v>
      </c>
      <c r="Q691" s="203" t="s">
        <v>951</v>
      </c>
      <c r="R691" s="425"/>
      <c r="S691" s="426"/>
      <c r="T691" s="542" t="s">
        <v>935</v>
      </c>
      <c r="U691" s="427"/>
      <c r="V691" s="203" t="s">
        <v>673</v>
      </c>
    </row>
    <row r="692" spans="1:22" s="203" customFormat="1" ht="17.25" hidden="1" customHeight="1" x14ac:dyDescent="0.2">
      <c r="A692" s="203" t="s">
        <v>454</v>
      </c>
      <c r="B692" s="203" t="s">
        <v>618</v>
      </c>
      <c r="C692" s="203" t="s">
        <v>1051</v>
      </c>
      <c r="D692" s="203" t="s">
        <v>2177</v>
      </c>
      <c r="E692" s="203" t="s">
        <v>1672</v>
      </c>
      <c r="J692" s="203" t="s">
        <v>969</v>
      </c>
      <c r="K692" s="203" t="s">
        <v>969</v>
      </c>
      <c r="L692" s="203" t="s">
        <v>969</v>
      </c>
      <c r="M692" s="203" t="s">
        <v>454</v>
      </c>
      <c r="N692" s="203">
        <v>20.242139999999999</v>
      </c>
      <c r="O692" s="203">
        <v>92.921729999999997</v>
      </c>
      <c r="P692" s="203" t="s">
        <v>970</v>
      </c>
      <c r="R692" s="425"/>
      <c r="S692" s="426"/>
      <c r="T692" s="542" t="s">
        <v>935</v>
      </c>
      <c r="U692" s="427"/>
      <c r="V692" s="203" t="s">
        <v>1051</v>
      </c>
    </row>
    <row r="693" spans="1:22" s="203" customFormat="1" ht="17.25" hidden="1" customHeight="1" x14ac:dyDescent="0.2">
      <c r="A693" s="203" t="s">
        <v>454</v>
      </c>
      <c r="B693" s="203" t="s">
        <v>618</v>
      </c>
      <c r="C693" s="203" t="s">
        <v>619</v>
      </c>
      <c r="D693" s="203" t="s">
        <v>2177</v>
      </c>
      <c r="E693" s="203" t="s">
        <v>1674</v>
      </c>
      <c r="J693" s="203" t="s">
        <v>969</v>
      </c>
      <c r="K693" s="203" t="s">
        <v>969</v>
      </c>
      <c r="L693" s="203" t="s">
        <v>969</v>
      </c>
      <c r="M693" s="203" t="s">
        <v>454</v>
      </c>
      <c r="N693" s="203">
        <v>20.268000000000001</v>
      </c>
      <c r="O693" s="203">
        <v>92.977999999999994</v>
      </c>
      <c r="P693" s="203" t="s">
        <v>970</v>
      </c>
      <c r="Q693" s="203" t="s">
        <v>951</v>
      </c>
      <c r="R693" s="425"/>
      <c r="S693" s="426"/>
      <c r="T693" s="542" t="s">
        <v>935</v>
      </c>
      <c r="U693" s="427"/>
      <c r="V693" s="203" t="s">
        <v>619</v>
      </c>
    </row>
    <row r="694" spans="1:22" s="203" customFormat="1" ht="17.25" hidden="1" customHeight="1" x14ac:dyDescent="0.2">
      <c r="A694" s="203" t="s">
        <v>454</v>
      </c>
      <c r="B694" s="203" t="s">
        <v>618</v>
      </c>
      <c r="C694" s="203" t="s">
        <v>622</v>
      </c>
      <c r="D694" s="203" t="s">
        <v>2177</v>
      </c>
      <c r="E694" s="203" t="s">
        <v>1675</v>
      </c>
      <c r="J694" s="203" t="s">
        <v>969</v>
      </c>
      <c r="K694" s="203" t="s">
        <v>969</v>
      </c>
      <c r="L694" s="203" t="s">
        <v>969</v>
      </c>
      <c r="M694" s="203" t="s">
        <v>454</v>
      </c>
      <c r="N694" s="203">
        <v>20.292100000000001</v>
      </c>
      <c r="O694" s="203">
        <v>92.994100000000003</v>
      </c>
      <c r="P694" s="203" t="s">
        <v>970</v>
      </c>
      <c r="Q694" s="203" t="s">
        <v>951</v>
      </c>
      <c r="R694" s="425"/>
      <c r="S694" s="426"/>
      <c r="T694" s="542" t="s">
        <v>935</v>
      </c>
      <c r="U694" s="427"/>
      <c r="V694" s="203" t="s">
        <v>622</v>
      </c>
    </row>
    <row r="695" spans="1:22" s="203" customFormat="1" ht="17.25" hidden="1" customHeight="1" x14ac:dyDescent="0.2">
      <c r="A695" s="203" t="s">
        <v>454</v>
      </c>
      <c r="B695" s="203" t="s">
        <v>618</v>
      </c>
      <c r="C695" s="203" t="s">
        <v>653</v>
      </c>
      <c r="D695" s="203" t="s">
        <v>2177</v>
      </c>
      <c r="E695" s="203" t="s">
        <v>1704</v>
      </c>
      <c r="J695" s="203" t="s">
        <v>969</v>
      </c>
      <c r="K695" s="203" t="s">
        <v>969</v>
      </c>
      <c r="L695" s="203" t="s">
        <v>969</v>
      </c>
      <c r="M695" s="203" t="s">
        <v>454</v>
      </c>
      <c r="N695" s="203">
        <v>20.509660720999999</v>
      </c>
      <c r="O695" s="203">
        <v>92.997230529999996</v>
      </c>
      <c r="P695" s="203" t="s">
        <v>970</v>
      </c>
      <c r="Q695" s="203" t="s">
        <v>951</v>
      </c>
      <c r="R695" s="425"/>
      <c r="S695" s="426"/>
      <c r="T695" s="542" t="s">
        <v>935</v>
      </c>
      <c r="U695" s="427"/>
      <c r="V695" s="203" t="s">
        <v>653</v>
      </c>
    </row>
    <row r="696" spans="1:22" s="203" customFormat="1" ht="17.25" hidden="1" customHeight="1" x14ac:dyDescent="0.2">
      <c r="A696" s="203" t="s">
        <v>454</v>
      </c>
      <c r="B696" s="203" t="s">
        <v>618</v>
      </c>
      <c r="C696" s="203" t="s">
        <v>625</v>
      </c>
      <c r="D696" s="203" t="s">
        <v>2177</v>
      </c>
      <c r="E696" s="203" t="s">
        <v>1680</v>
      </c>
      <c r="J696" s="203" t="s">
        <v>969</v>
      </c>
      <c r="K696" s="203" t="s">
        <v>969</v>
      </c>
      <c r="L696" s="203" t="s">
        <v>969</v>
      </c>
      <c r="M696" s="203" t="s">
        <v>454</v>
      </c>
      <c r="N696" s="203">
        <v>20.361530303999999</v>
      </c>
      <c r="O696" s="203">
        <v>92.992073059000006</v>
      </c>
      <c r="P696" s="203" t="s">
        <v>970</v>
      </c>
      <c r="Q696" s="203" t="s">
        <v>951</v>
      </c>
      <c r="R696" s="425"/>
      <c r="S696" s="426"/>
      <c r="T696" s="542" t="s">
        <v>935</v>
      </c>
      <c r="U696" s="427"/>
      <c r="V696" s="203" t="s">
        <v>625</v>
      </c>
    </row>
    <row r="697" spans="1:22" s="203" customFormat="1" ht="17.25" hidden="1" customHeight="1" x14ac:dyDescent="0.2">
      <c r="A697" s="203" t="s">
        <v>454</v>
      </c>
      <c r="B697" s="203" t="s">
        <v>618</v>
      </c>
      <c r="C697" s="203" t="s">
        <v>652</v>
      </c>
      <c r="D697" s="203" t="s">
        <v>2177</v>
      </c>
      <c r="E697" s="203" t="s">
        <v>1703</v>
      </c>
      <c r="J697" s="203" t="s">
        <v>969</v>
      </c>
      <c r="K697" s="203" t="s">
        <v>969</v>
      </c>
      <c r="L697" s="203" t="s">
        <v>969</v>
      </c>
      <c r="M697" s="203" t="s">
        <v>454</v>
      </c>
      <c r="N697" s="203">
        <v>20.506580353</v>
      </c>
      <c r="O697" s="203">
        <v>93.043449401999993</v>
      </c>
      <c r="P697" s="203" t="s">
        <v>970</v>
      </c>
      <c r="Q697" s="203" t="s">
        <v>951</v>
      </c>
      <c r="R697" s="425"/>
      <c r="S697" s="426"/>
      <c r="T697" s="542" t="s">
        <v>935</v>
      </c>
      <c r="U697" s="427"/>
      <c r="V697" s="203" t="s">
        <v>652</v>
      </c>
    </row>
    <row r="698" spans="1:22" s="203" customFormat="1" ht="17.25" hidden="1" customHeight="1" x14ac:dyDescent="0.2">
      <c r="A698" s="203" t="s">
        <v>454</v>
      </c>
      <c r="B698" s="203" t="s">
        <v>618</v>
      </c>
      <c r="C698" s="203" t="s">
        <v>666</v>
      </c>
      <c r="D698" s="203" t="s">
        <v>2177</v>
      </c>
      <c r="E698" s="203" t="s">
        <v>1718</v>
      </c>
      <c r="J698" s="203" t="s">
        <v>969</v>
      </c>
      <c r="K698" s="203" t="s">
        <v>969</v>
      </c>
      <c r="L698" s="203" t="s">
        <v>969</v>
      </c>
      <c r="M698" s="203" t="s">
        <v>454</v>
      </c>
      <c r="N698" s="203">
        <v>20.564739227</v>
      </c>
      <c r="O698" s="203">
        <v>93.064781189000001</v>
      </c>
      <c r="P698" s="203" t="s">
        <v>970</v>
      </c>
      <c r="Q698" s="203" t="s">
        <v>951</v>
      </c>
      <c r="R698" s="425"/>
      <c r="S698" s="426"/>
      <c r="T698" s="542" t="s">
        <v>935</v>
      </c>
      <c r="U698" s="427"/>
      <c r="V698" s="203" t="s">
        <v>666</v>
      </c>
    </row>
    <row r="699" spans="1:22" s="203" customFormat="1" ht="17.25" hidden="1" customHeight="1" x14ac:dyDescent="0.2">
      <c r="A699" s="203" t="s">
        <v>454</v>
      </c>
      <c r="B699" s="203" t="s">
        <v>618</v>
      </c>
      <c r="C699" s="203" t="s">
        <v>634</v>
      </c>
      <c r="D699" s="203" t="s">
        <v>2177</v>
      </c>
      <c r="E699" s="203" t="s">
        <v>1693</v>
      </c>
      <c r="J699" s="203" t="s">
        <v>969</v>
      </c>
      <c r="K699" s="203" t="s">
        <v>969</v>
      </c>
      <c r="L699" s="203" t="s">
        <v>969</v>
      </c>
      <c r="M699" s="203" t="s">
        <v>454</v>
      </c>
      <c r="N699" s="203">
        <v>20.424389999999999</v>
      </c>
      <c r="O699" s="203">
        <v>93.012960000000007</v>
      </c>
      <c r="P699" s="203" t="s">
        <v>970</v>
      </c>
      <c r="Q699" s="203" t="s">
        <v>951</v>
      </c>
      <c r="R699" s="425"/>
      <c r="S699" s="426"/>
      <c r="T699" s="542" t="s">
        <v>935</v>
      </c>
      <c r="U699" s="427"/>
      <c r="V699" s="203" t="s">
        <v>634</v>
      </c>
    </row>
    <row r="700" spans="1:22" s="203" customFormat="1" ht="17.25" hidden="1" customHeight="1" x14ac:dyDescent="0.2">
      <c r="A700" s="203" t="s">
        <v>454</v>
      </c>
      <c r="B700" s="203" t="s">
        <v>515</v>
      </c>
      <c r="C700" s="203" t="s">
        <v>517</v>
      </c>
      <c r="D700" s="203" t="s">
        <v>2178</v>
      </c>
      <c r="E700" s="203" t="s">
        <v>1560</v>
      </c>
      <c r="F700" s="203" t="s">
        <v>2181</v>
      </c>
      <c r="G700" s="203" t="s">
        <v>2183</v>
      </c>
      <c r="H700" s="203" t="s">
        <v>48</v>
      </c>
      <c r="J700" s="203" t="s">
        <v>50</v>
      </c>
      <c r="K700" s="203" t="s">
        <v>50</v>
      </c>
      <c r="L700" s="203" t="s">
        <v>929</v>
      </c>
      <c r="M700" s="203" t="s">
        <v>454</v>
      </c>
      <c r="N700" s="203">
        <v>19.091054</v>
      </c>
      <c r="O700" s="203">
        <v>93.865170000000006</v>
      </c>
      <c r="P700" s="203" t="s">
        <v>930</v>
      </c>
      <c r="Q700" s="203" t="s">
        <v>951</v>
      </c>
      <c r="R700" s="425"/>
      <c r="S700" s="426"/>
      <c r="T700" s="542" t="s">
        <v>935</v>
      </c>
      <c r="U700" s="427"/>
      <c r="V700" s="203" t="s">
        <v>517</v>
      </c>
    </row>
    <row r="701" spans="1:22" s="203" customFormat="1" ht="17.25" hidden="1" customHeight="1" x14ac:dyDescent="0.2">
      <c r="A701" s="203" t="s">
        <v>454</v>
      </c>
      <c r="B701" s="203" t="s">
        <v>515</v>
      </c>
      <c r="C701" s="203" t="s">
        <v>516</v>
      </c>
      <c r="D701" s="203" t="s">
        <v>2178</v>
      </c>
      <c r="E701" s="203" t="s">
        <v>1559</v>
      </c>
      <c r="F701" s="203" t="s">
        <v>2181</v>
      </c>
      <c r="G701" s="203" t="s">
        <v>2182</v>
      </c>
      <c r="H701" s="203" t="s">
        <v>48</v>
      </c>
      <c r="J701" s="203" t="s">
        <v>50</v>
      </c>
      <c r="K701" s="203" t="s">
        <v>50</v>
      </c>
      <c r="L701" s="203" t="s">
        <v>929</v>
      </c>
      <c r="M701" s="203" t="s">
        <v>966</v>
      </c>
      <c r="N701" s="203">
        <v>19.088283000000001</v>
      </c>
      <c r="O701" s="203">
        <v>93.857592999999994</v>
      </c>
      <c r="P701" s="203" t="s">
        <v>930</v>
      </c>
      <c r="Q701" s="203" t="s">
        <v>951</v>
      </c>
      <c r="R701" s="425"/>
      <c r="S701" s="426"/>
      <c r="T701" s="542" t="s">
        <v>935</v>
      </c>
      <c r="U701" s="203" t="s">
        <v>2178</v>
      </c>
      <c r="V701" s="203" t="s">
        <v>967</v>
      </c>
    </row>
    <row r="702" spans="1:22" s="203" customFormat="1" ht="17.25" hidden="1" customHeight="1" x14ac:dyDescent="0.2">
      <c r="A702" s="203" t="s">
        <v>454</v>
      </c>
      <c r="B702" s="203" t="s">
        <v>498</v>
      </c>
      <c r="C702" s="203" t="s">
        <v>661</v>
      </c>
      <c r="D702" s="203" t="s">
        <v>2177</v>
      </c>
      <c r="E702" s="203" t="s">
        <v>1713</v>
      </c>
      <c r="J702" s="203" t="s">
        <v>969</v>
      </c>
      <c r="K702" s="203" t="s">
        <v>969</v>
      </c>
      <c r="L702" s="203" t="s">
        <v>969</v>
      </c>
      <c r="M702" s="203" t="s">
        <v>966</v>
      </c>
      <c r="N702" s="203">
        <v>20.547620773315401</v>
      </c>
      <c r="O702" s="203">
        <v>92.671058654785199</v>
      </c>
      <c r="P702" s="203" t="s">
        <v>970</v>
      </c>
      <c r="Q702" s="203" t="s">
        <v>951</v>
      </c>
      <c r="R702" s="425"/>
      <c r="S702" s="426"/>
      <c r="T702" s="542" t="s">
        <v>935</v>
      </c>
      <c r="U702" s="427"/>
      <c r="V702" s="203" t="s">
        <v>661</v>
      </c>
    </row>
    <row r="703" spans="1:22" s="203" customFormat="1" ht="17.25" hidden="1" customHeight="1" x14ac:dyDescent="0.2">
      <c r="A703" s="203" t="s">
        <v>454</v>
      </c>
      <c r="B703" s="203" t="s">
        <v>498</v>
      </c>
      <c r="C703" s="203" t="s">
        <v>667</v>
      </c>
      <c r="D703" s="203" t="s">
        <v>2177</v>
      </c>
      <c r="E703" s="203" t="s">
        <v>1719</v>
      </c>
      <c r="H703" s="203" t="s">
        <v>48</v>
      </c>
      <c r="J703" s="203" t="s">
        <v>969</v>
      </c>
      <c r="K703" s="203" t="s">
        <v>969</v>
      </c>
      <c r="L703" s="203" t="s">
        <v>2177</v>
      </c>
      <c r="M703" s="203" t="s">
        <v>966</v>
      </c>
      <c r="N703" s="203">
        <v>20.569219</v>
      </c>
      <c r="O703" s="203">
        <v>92.640022000000002</v>
      </c>
      <c r="P703" s="203" t="s">
        <v>930</v>
      </c>
      <c r="Q703" s="203" t="s">
        <v>951</v>
      </c>
      <c r="R703" s="425"/>
      <c r="S703" s="426"/>
      <c r="T703" s="542" t="s">
        <v>935</v>
      </c>
      <c r="U703" s="427"/>
      <c r="V703" s="203" t="s">
        <v>667</v>
      </c>
    </row>
    <row r="704" spans="1:22" s="203" customFormat="1" ht="17.25" hidden="1" customHeight="1" x14ac:dyDescent="0.2">
      <c r="A704" s="203" t="s">
        <v>454</v>
      </c>
      <c r="B704" s="203" t="s">
        <v>498</v>
      </c>
      <c r="C704" s="203" t="s">
        <v>664</v>
      </c>
      <c r="D704" s="203" t="s">
        <v>2177</v>
      </c>
      <c r="E704" s="142">
        <v>197593</v>
      </c>
      <c r="J704" s="203" t="s">
        <v>969</v>
      </c>
      <c r="K704" s="203" t="s">
        <v>969</v>
      </c>
      <c r="L704" s="203" t="s">
        <v>969</v>
      </c>
      <c r="M704" s="203" t="s">
        <v>966</v>
      </c>
      <c r="N704" s="437">
        <v>20.555610656738299</v>
      </c>
      <c r="O704" s="439">
        <v>92.643516540527301</v>
      </c>
      <c r="P704" s="203" t="s">
        <v>970</v>
      </c>
      <c r="Q704" s="203" t="s">
        <v>973</v>
      </c>
      <c r="R704" s="425"/>
      <c r="S704" s="426"/>
      <c r="T704" s="542">
        <v>42926</v>
      </c>
      <c r="U704" s="427" t="s">
        <v>974</v>
      </c>
    </row>
    <row r="705" spans="1:22" s="203" customFormat="1" ht="17.25" hidden="1" customHeight="1" x14ac:dyDescent="0.2">
      <c r="A705" s="203" t="s">
        <v>454</v>
      </c>
      <c r="B705" s="203" t="s">
        <v>498</v>
      </c>
      <c r="C705" s="203" t="s">
        <v>665</v>
      </c>
      <c r="D705" s="203" t="s">
        <v>2177</v>
      </c>
      <c r="E705" s="203" t="s">
        <v>1717</v>
      </c>
      <c r="J705" s="203" t="s">
        <v>969</v>
      </c>
      <c r="K705" s="203" t="s">
        <v>969</v>
      </c>
      <c r="L705" s="203" t="s">
        <v>969</v>
      </c>
      <c r="M705" s="203" t="s">
        <v>454</v>
      </c>
      <c r="N705" s="203">
        <v>20.555610656738299</v>
      </c>
      <c r="O705" s="203">
        <v>92.643516540527301</v>
      </c>
      <c r="P705" s="203" t="s">
        <v>970</v>
      </c>
      <c r="Q705" s="203" t="s">
        <v>951</v>
      </c>
      <c r="R705" s="425"/>
      <c r="S705" s="426"/>
      <c r="T705" s="542" t="s">
        <v>976</v>
      </c>
      <c r="U705" s="427"/>
      <c r="V705" s="203" t="s">
        <v>935</v>
      </c>
    </row>
    <row r="706" spans="1:22" s="203" customFormat="1" ht="17.25" hidden="1" customHeight="1" x14ac:dyDescent="0.2">
      <c r="A706" s="203" t="s">
        <v>454</v>
      </c>
      <c r="B706" s="203" t="s">
        <v>498</v>
      </c>
      <c r="C706" s="203" t="s">
        <v>686</v>
      </c>
      <c r="D706" s="203" t="s">
        <v>2177</v>
      </c>
      <c r="E706" s="203" t="s">
        <v>1744</v>
      </c>
      <c r="J706" s="203" t="s">
        <v>969</v>
      </c>
      <c r="K706" s="203" t="s">
        <v>969</v>
      </c>
      <c r="L706" s="203" t="s">
        <v>969</v>
      </c>
      <c r="M706" s="203" t="s">
        <v>454</v>
      </c>
      <c r="N706" s="203">
        <v>20.655179977416999</v>
      </c>
      <c r="O706" s="203">
        <v>92.720321655273395</v>
      </c>
      <c r="P706" s="203" t="s">
        <v>970</v>
      </c>
      <c r="Q706" s="203" t="s">
        <v>951</v>
      </c>
      <c r="R706" s="425"/>
      <c r="S706" s="426"/>
      <c r="T706" s="542" t="s">
        <v>976</v>
      </c>
      <c r="U706" s="427"/>
      <c r="V706" s="203" t="s">
        <v>935</v>
      </c>
    </row>
    <row r="707" spans="1:22" s="203" customFormat="1" ht="17.25" hidden="1" customHeight="1" x14ac:dyDescent="0.2">
      <c r="A707" s="203" t="s">
        <v>454</v>
      </c>
      <c r="B707" s="203" t="s">
        <v>498</v>
      </c>
      <c r="C707" s="203" t="s">
        <v>632</v>
      </c>
      <c r="D707" s="203" t="s">
        <v>2255</v>
      </c>
      <c r="E707" s="203" t="s">
        <v>1689</v>
      </c>
      <c r="F707" s="203" t="s">
        <v>632</v>
      </c>
      <c r="G707" s="203" t="s">
        <v>632</v>
      </c>
      <c r="J707" s="203" t="s">
        <v>969</v>
      </c>
      <c r="K707" s="203" t="s">
        <v>969</v>
      </c>
      <c r="L707" s="203" t="s">
        <v>1054</v>
      </c>
      <c r="M707" s="203" t="s">
        <v>966</v>
      </c>
      <c r="N707" s="203">
        <v>20.399269</v>
      </c>
      <c r="O707" s="203">
        <v>92.781294000000003</v>
      </c>
      <c r="P707" s="203" t="s">
        <v>970</v>
      </c>
      <c r="Q707" s="203" t="s">
        <v>951</v>
      </c>
      <c r="R707" s="425">
        <v>32</v>
      </c>
      <c r="S707" s="426">
        <v>157</v>
      </c>
      <c r="T707" s="542" t="s">
        <v>935</v>
      </c>
      <c r="U707" s="427"/>
      <c r="V707" s="203" t="s">
        <v>632</v>
      </c>
    </row>
    <row r="708" spans="1:22" s="203" customFormat="1" ht="17.25" hidden="1" customHeight="1" x14ac:dyDescent="0.2">
      <c r="A708" s="203" t="s">
        <v>454</v>
      </c>
      <c r="B708" s="203" t="s">
        <v>498</v>
      </c>
      <c r="C708" s="203" t="s">
        <v>701</v>
      </c>
      <c r="D708" s="203" t="s">
        <v>2177</v>
      </c>
      <c r="E708" s="203" t="s">
        <v>1754</v>
      </c>
      <c r="J708" s="203" t="s">
        <v>969</v>
      </c>
      <c r="K708" s="203" t="s">
        <v>969</v>
      </c>
      <c r="L708" s="203" t="s">
        <v>969</v>
      </c>
      <c r="M708" s="203" t="s">
        <v>966</v>
      </c>
      <c r="N708" s="203">
        <v>20.678459167480501</v>
      </c>
      <c r="O708" s="203">
        <v>92.663757324218807</v>
      </c>
      <c r="P708" s="203" t="s">
        <v>970</v>
      </c>
      <c r="Q708" s="203" t="s">
        <v>951</v>
      </c>
      <c r="R708" s="425"/>
      <c r="S708" s="426"/>
      <c r="T708" s="542" t="s">
        <v>976</v>
      </c>
      <c r="U708" s="427"/>
      <c r="V708" s="203" t="s">
        <v>935</v>
      </c>
    </row>
    <row r="709" spans="1:22" s="203" customFormat="1" ht="17.25" hidden="1" customHeight="1" x14ac:dyDescent="0.2">
      <c r="A709" s="203" t="s">
        <v>454</v>
      </c>
      <c r="B709" s="203" t="s">
        <v>498</v>
      </c>
      <c r="C709" s="203" t="s">
        <v>1078</v>
      </c>
      <c r="D709" s="203" t="s">
        <v>2177</v>
      </c>
      <c r="E709" s="203" t="s">
        <v>1716</v>
      </c>
      <c r="J709" s="203" t="s">
        <v>969</v>
      </c>
      <c r="K709" s="203" t="s">
        <v>969</v>
      </c>
      <c r="L709" s="203" t="s">
        <v>969</v>
      </c>
      <c r="M709" s="203" t="s">
        <v>966</v>
      </c>
      <c r="N709" s="203">
        <v>20.5536403656006</v>
      </c>
      <c r="O709" s="203">
        <v>92.674217224121094</v>
      </c>
      <c r="P709" s="203" t="s">
        <v>970</v>
      </c>
      <c r="R709" s="425"/>
      <c r="S709" s="426"/>
      <c r="T709" s="542" t="s">
        <v>935</v>
      </c>
      <c r="U709" s="427"/>
      <c r="V709" s="203" t="s">
        <v>1078</v>
      </c>
    </row>
    <row r="710" spans="1:22" s="203" customFormat="1" ht="17.25" hidden="1" customHeight="1" x14ac:dyDescent="0.2">
      <c r="A710" s="203" t="s">
        <v>454</v>
      </c>
      <c r="B710" s="203" t="s">
        <v>498</v>
      </c>
      <c r="C710" s="203" t="s">
        <v>531</v>
      </c>
      <c r="D710" s="203" t="s">
        <v>2177</v>
      </c>
      <c r="E710" s="203">
        <v>220977</v>
      </c>
      <c r="J710" s="203" t="s">
        <v>969</v>
      </c>
      <c r="K710" s="203" t="s">
        <v>969</v>
      </c>
      <c r="L710" s="203" t="s">
        <v>969</v>
      </c>
      <c r="M710" s="203" t="s">
        <v>454</v>
      </c>
      <c r="P710" s="203" t="s">
        <v>970</v>
      </c>
      <c r="Q710" s="203" t="s">
        <v>973</v>
      </c>
      <c r="R710" s="425"/>
      <c r="S710" s="426"/>
      <c r="T710" s="542">
        <v>42926</v>
      </c>
      <c r="U710" s="427" t="s">
        <v>974</v>
      </c>
    </row>
    <row r="711" spans="1:22" s="203" customFormat="1" ht="17.25" hidden="1" customHeight="1" x14ac:dyDescent="0.2">
      <c r="A711" s="203" t="s">
        <v>454</v>
      </c>
      <c r="B711" s="203" t="s">
        <v>498</v>
      </c>
      <c r="C711" s="203" t="s">
        <v>1264</v>
      </c>
      <c r="D711" s="203" t="s">
        <v>2177</v>
      </c>
      <c r="E711" s="203" t="s">
        <v>2091</v>
      </c>
      <c r="J711" s="203" t="s">
        <v>969</v>
      </c>
      <c r="K711" s="203" t="s">
        <v>969</v>
      </c>
      <c r="L711" s="203" t="s">
        <v>969</v>
      </c>
      <c r="M711" s="203" t="s">
        <v>454</v>
      </c>
      <c r="P711" s="203" t="s">
        <v>970</v>
      </c>
      <c r="R711" s="425"/>
      <c r="S711" s="426"/>
      <c r="T711" s="542" t="s">
        <v>935</v>
      </c>
      <c r="U711" s="427"/>
      <c r="V711" s="203" t="s">
        <v>1264</v>
      </c>
    </row>
    <row r="712" spans="1:22" s="203" customFormat="1" ht="17.25" hidden="1" customHeight="1" x14ac:dyDescent="0.2">
      <c r="A712" s="203" t="s">
        <v>454</v>
      </c>
      <c r="B712" s="203" t="s">
        <v>498</v>
      </c>
      <c r="C712" s="203" t="s">
        <v>644</v>
      </c>
      <c r="D712" s="203" t="s">
        <v>2177</v>
      </c>
      <c r="E712" s="203">
        <v>197631</v>
      </c>
      <c r="J712" s="203" t="s">
        <v>969</v>
      </c>
      <c r="K712" s="203" t="s">
        <v>969</v>
      </c>
      <c r="L712" s="203" t="s">
        <v>969</v>
      </c>
      <c r="M712" s="203" t="s">
        <v>454</v>
      </c>
      <c r="N712" s="203">
        <v>20.473930358886701</v>
      </c>
      <c r="O712" s="203">
        <v>92.668853759765597</v>
      </c>
      <c r="P712" s="203" t="s">
        <v>970</v>
      </c>
      <c r="Q712" s="203" t="s">
        <v>973</v>
      </c>
      <c r="R712" s="425"/>
      <c r="S712" s="426"/>
      <c r="T712" s="542">
        <v>42926</v>
      </c>
      <c r="U712" s="427" t="s">
        <v>974</v>
      </c>
    </row>
    <row r="713" spans="1:22" s="203" customFormat="1" ht="17.25" hidden="1" customHeight="1" x14ac:dyDescent="0.2">
      <c r="A713" s="203" t="s">
        <v>454</v>
      </c>
      <c r="B713" s="203" t="s">
        <v>498</v>
      </c>
      <c r="C713" s="203" t="s">
        <v>660</v>
      </c>
      <c r="D713" s="203" t="s">
        <v>2177</v>
      </c>
      <c r="E713" s="203" t="s">
        <v>1712</v>
      </c>
      <c r="J713" s="203" t="s">
        <v>969</v>
      </c>
      <c r="K713" s="203" t="s">
        <v>969</v>
      </c>
      <c r="L713" s="203" t="s">
        <v>969</v>
      </c>
      <c r="M713" s="203" t="s">
        <v>966</v>
      </c>
      <c r="N713" s="203">
        <v>20.546440124511701</v>
      </c>
      <c r="O713" s="203">
        <v>92.648399353027301</v>
      </c>
      <c r="P713" s="203" t="s">
        <v>970</v>
      </c>
      <c r="Q713" s="203" t="s">
        <v>951</v>
      </c>
      <c r="R713" s="425"/>
      <c r="S713" s="426"/>
      <c r="T713" s="542" t="s">
        <v>935</v>
      </c>
      <c r="U713" s="427"/>
      <c r="V713" s="203" t="s">
        <v>660</v>
      </c>
    </row>
    <row r="714" spans="1:22" s="203" customFormat="1" ht="17.25" hidden="1" customHeight="1" x14ac:dyDescent="0.2">
      <c r="A714" s="203" t="s">
        <v>454</v>
      </c>
      <c r="B714" s="203" t="s">
        <v>498</v>
      </c>
      <c r="C714" s="203" t="s">
        <v>633</v>
      </c>
      <c r="D714" s="203" t="s">
        <v>2177</v>
      </c>
      <c r="E714" s="203" t="s">
        <v>1691</v>
      </c>
      <c r="H714" s="203" t="s">
        <v>48</v>
      </c>
      <c r="J714" s="203" t="s">
        <v>969</v>
      </c>
      <c r="K714" s="203" t="s">
        <v>969</v>
      </c>
      <c r="L714" s="203" t="s">
        <v>2177</v>
      </c>
      <c r="M714" s="203" t="s">
        <v>966</v>
      </c>
      <c r="N714" s="203">
        <v>20.408453000000002</v>
      </c>
      <c r="O714" s="203">
        <v>92.660360999999995</v>
      </c>
      <c r="P714" s="203" t="s">
        <v>930</v>
      </c>
      <c r="Q714" s="203" t="s">
        <v>951</v>
      </c>
      <c r="R714" s="425"/>
      <c r="S714" s="426"/>
      <c r="T714" s="542" t="s">
        <v>935</v>
      </c>
      <c r="U714" s="427" t="s">
        <v>2509</v>
      </c>
      <c r="V714" s="203" t="s">
        <v>633</v>
      </c>
    </row>
    <row r="715" spans="1:22" s="203" customFormat="1" ht="17.25" hidden="1" customHeight="1" x14ac:dyDescent="0.2">
      <c r="A715" s="203" t="s">
        <v>454</v>
      </c>
      <c r="B715" s="203" t="s">
        <v>498</v>
      </c>
      <c r="C715" s="203" t="s">
        <v>1063</v>
      </c>
      <c r="D715" s="203" t="s">
        <v>2177</v>
      </c>
      <c r="E715" s="203">
        <v>197650</v>
      </c>
      <c r="J715" s="203" t="s">
        <v>1050</v>
      </c>
      <c r="K715" s="203" t="s">
        <v>969</v>
      </c>
      <c r="L715" s="203" t="s">
        <v>969</v>
      </c>
      <c r="M715" s="203" t="s">
        <v>454</v>
      </c>
      <c r="N715" s="203">
        <v>20.397039413452099</v>
      </c>
      <c r="O715" s="203">
        <v>92.664451599121094</v>
      </c>
      <c r="P715" s="203" t="s">
        <v>970</v>
      </c>
      <c r="R715" s="425"/>
      <c r="S715" s="426"/>
      <c r="T715" s="542">
        <v>42849</v>
      </c>
      <c r="U715" s="427" t="s">
        <v>1064</v>
      </c>
    </row>
    <row r="716" spans="1:22" s="203" customFormat="1" ht="17.25" hidden="1" customHeight="1" x14ac:dyDescent="0.2">
      <c r="A716" s="203" t="s">
        <v>454</v>
      </c>
      <c r="B716" s="203" t="s">
        <v>498</v>
      </c>
      <c r="C716" s="203" t="s">
        <v>669</v>
      </c>
      <c r="D716" s="203" t="s">
        <v>2177</v>
      </c>
      <c r="E716" s="203" t="s">
        <v>1723</v>
      </c>
      <c r="J716" s="203" t="s">
        <v>969</v>
      </c>
      <c r="K716" s="203" t="s">
        <v>969</v>
      </c>
      <c r="L716" s="203" t="s">
        <v>969</v>
      </c>
      <c r="M716" s="203" t="s">
        <v>966</v>
      </c>
      <c r="N716" s="203">
        <v>20.581470489501999</v>
      </c>
      <c r="O716" s="203">
        <v>92.643272399902301</v>
      </c>
      <c r="P716" s="203" t="s">
        <v>970</v>
      </c>
      <c r="Q716" s="203" t="s">
        <v>951</v>
      </c>
      <c r="R716" s="425"/>
      <c r="S716" s="426"/>
      <c r="T716" s="542" t="s">
        <v>935</v>
      </c>
      <c r="U716" s="427" t="s">
        <v>974</v>
      </c>
      <c r="V716" s="203" t="s">
        <v>669</v>
      </c>
    </row>
    <row r="717" spans="1:22" s="203" customFormat="1" ht="17.25" hidden="1" customHeight="1" x14ac:dyDescent="0.2">
      <c r="A717" s="203" t="s">
        <v>454</v>
      </c>
      <c r="B717" s="203" t="s">
        <v>498</v>
      </c>
      <c r="C717" s="203" t="s">
        <v>1269</v>
      </c>
      <c r="D717" s="203" t="s">
        <v>2177</v>
      </c>
      <c r="J717" s="203" t="s">
        <v>969</v>
      </c>
      <c r="K717" s="203" t="s">
        <v>969</v>
      </c>
      <c r="L717" s="203" t="s">
        <v>969</v>
      </c>
      <c r="M717" s="203" t="s">
        <v>982</v>
      </c>
      <c r="P717" s="203" t="s">
        <v>970</v>
      </c>
      <c r="Q717" s="203" t="s">
        <v>973</v>
      </c>
      <c r="R717" s="425"/>
      <c r="S717" s="426"/>
      <c r="T717" s="542">
        <v>42926</v>
      </c>
      <c r="U717" s="427" t="s">
        <v>974</v>
      </c>
    </row>
    <row r="718" spans="1:22" s="203" customFormat="1" ht="17.25" hidden="1" customHeight="1" x14ac:dyDescent="0.2">
      <c r="A718" s="203" t="s">
        <v>454</v>
      </c>
      <c r="B718" s="203" t="s">
        <v>498</v>
      </c>
      <c r="C718" s="203" t="s">
        <v>668</v>
      </c>
      <c r="D718" s="203" t="s">
        <v>2177</v>
      </c>
      <c r="E718" s="203" t="s">
        <v>1720</v>
      </c>
      <c r="J718" s="203" t="s">
        <v>969</v>
      </c>
      <c r="K718" s="203" t="s">
        <v>969</v>
      </c>
      <c r="L718" s="203" t="s">
        <v>969</v>
      </c>
      <c r="M718" s="203" t="s">
        <v>454</v>
      </c>
      <c r="N718" s="203">
        <v>20.569759368896499</v>
      </c>
      <c r="O718" s="203">
        <v>92.641799926757798</v>
      </c>
      <c r="P718" s="203" t="s">
        <v>970</v>
      </c>
      <c r="Q718" s="203" t="s">
        <v>951</v>
      </c>
      <c r="R718" s="425"/>
      <c r="S718" s="426"/>
      <c r="T718" s="542" t="s">
        <v>935</v>
      </c>
      <c r="U718" s="427" t="s">
        <v>974</v>
      </c>
      <c r="V718" s="203" t="s">
        <v>668</v>
      </c>
    </row>
    <row r="719" spans="1:22" s="203" customFormat="1" ht="17.25" hidden="1" customHeight="1" x14ac:dyDescent="0.2">
      <c r="A719" s="203" t="s">
        <v>454</v>
      </c>
      <c r="B719" s="203" t="s">
        <v>498</v>
      </c>
      <c r="C719" s="203" t="s">
        <v>1084</v>
      </c>
      <c r="D719" s="203" t="s">
        <v>2177</v>
      </c>
      <c r="E719" s="203" t="s">
        <v>1727</v>
      </c>
      <c r="J719" s="203" t="s">
        <v>969</v>
      </c>
      <c r="K719" s="203" t="s">
        <v>969</v>
      </c>
      <c r="L719" s="203" t="s">
        <v>969</v>
      </c>
      <c r="M719" s="203" t="s">
        <v>454</v>
      </c>
      <c r="N719" s="203">
        <v>20.585840225219702</v>
      </c>
      <c r="O719" s="203">
        <v>92.670722961425795</v>
      </c>
      <c r="P719" s="203" t="s">
        <v>970</v>
      </c>
      <c r="R719" s="425"/>
      <c r="S719" s="426"/>
      <c r="T719" s="542" t="s">
        <v>935</v>
      </c>
      <c r="U719" s="427"/>
      <c r="V719" s="203" t="s">
        <v>1084</v>
      </c>
    </row>
    <row r="720" spans="1:22" s="203" customFormat="1" ht="17.25" hidden="1" customHeight="1" x14ac:dyDescent="0.2">
      <c r="A720" s="203" t="s">
        <v>454</v>
      </c>
      <c r="B720" s="203" t="s">
        <v>498</v>
      </c>
      <c r="C720" s="203" t="s">
        <v>744</v>
      </c>
      <c r="D720" s="203" t="s">
        <v>2177</v>
      </c>
      <c r="E720" s="203">
        <v>197616</v>
      </c>
      <c r="J720" s="203" t="s">
        <v>969</v>
      </c>
      <c r="K720" s="203" t="s">
        <v>969</v>
      </c>
      <c r="L720" s="203" t="s">
        <v>969</v>
      </c>
      <c r="M720" s="203" t="s">
        <v>454</v>
      </c>
      <c r="N720" s="203">
        <v>20.495670318603501</v>
      </c>
      <c r="O720" s="203">
        <v>92.651496887207003</v>
      </c>
      <c r="P720" s="203" t="s">
        <v>970</v>
      </c>
      <c r="Q720" s="203" t="s">
        <v>973</v>
      </c>
      <c r="R720" s="425"/>
      <c r="S720" s="426"/>
      <c r="T720" s="542">
        <v>42926</v>
      </c>
      <c r="U720" s="427" t="s">
        <v>974</v>
      </c>
    </row>
    <row r="721" spans="1:23" s="203" customFormat="1" ht="17.25" hidden="1" customHeight="1" x14ac:dyDescent="0.2">
      <c r="A721" s="203" t="s">
        <v>454</v>
      </c>
      <c r="B721" s="203" t="s">
        <v>498</v>
      </c>
      <c r="C721" s="203" t="s">
        <v>703</v>
      </c>
      <c r="D721" s="203" t="s">
        <v>2177</v>
      </c>
      <c r="E721" s="203" t="s">
        <v>1755</v>
      </c>
      <c r="J721" s="203" t="s">
        <v>969</v>
      </c>
      <c r="K721" s="203" t="s">
        <v>969</v>
      </c>
      <c r="L721" s="203" t="s">
        <v>969</v>
      </c>
      <c r="M721" s="203" t="s">
        <v>966</v>
      </c>
      <c r="N721" s="203">
        <v>20.683399200439499</v>
      </c>
      <c r="O721" s="203">
        <v>92.656608581542997</v>
      </c>
      <c r="P721" s="203" t="s">
        <v>970</v>
      </c>
      <c r="Q721" s="203" t="s">
        <v>951</v>
      </c>
      <c r="R721" s="425"/>
      <c r="S721" s="426"/>
      <c r="T721" s="542" t="s">
        <v>976</v>
      </c>
      <c r="U721" s="427"/>
      <c r="V721" s="203" t="s">
        <v>935</v>
      </c>
    </row>
    <row r="722" spans="1:23" s="203" customFormat="1" ht="17.25" hidden="1" customHeight="1" x14ac:dyDescent="0.2">
      <c r="A722" s="203" t="s">
        <v>454</v>
      </c>
      <c r="B722" s="203" t="s">
        <v>498</v>
      </c>
      <c r="C722" s="203" t="s">
        <v>635</v>
      </c>
      <c r="D722" s="203" t="s">
        <v>2177</v>
      </c>
      <c r="E722" s="203" t="s">
        <v>1694</v>
      </c>
      <c r="H722" s="203" t="s">
        <v>48</v>
      </c>
      <c r="J722" s="203" t="s">
        <v>969</v>
      </c>
      <c r="K722" s="203" t="s">
        <v>969</v>
      </c>
      <c r="L722" s="203" t="s">
        <v>2177</v>
      </c>
      <c r="M722" s="203" t="s">
        <v>966</v>
      </c>
      <c r="N722" s="203">
        <v>20.447261000000001</v>
      </c>
      <c r="O722" s="203">
        <v>92.639589000000001</v>
      </c>
      <c r="P722" s="203" t="s">
        <v>930</v>
      </c>
      <c r="Q722" s="203" t="s">
        <v>951</v>
      </c>
      <c r="R722" s="425"/>
      <c r="S722" s="426"/>
      <c r="T722" s="542" t="s">
        <v>935</v>
      </c>
      <c r="U722" s="427" t="s">
        <v>2509</v>
      </c>
      <c r="V722" s="203" t="s">
        <v>635</v>
      </c>
    </row>
    <row r="723" spans="1:23" s="203" customFormat="1" ht="17.25" hidden="1" customHeight="1" x14ac:dyDescent="0.2">
      <c r="A723" s="203" t="s">
        <v>454</v>
      </c>
      <c r="B723" s="203" t="s">
        <v>498</v>
      </c>
      <c r="C723" s="203" t="s">
        <v>1068</v>
      </c>
      <c r="D723" s="203" t="s">
        <v>2177</v>
      </c>
      <c r="E723" s="203">
        <v>197654</v>
      </c>
      <c r="J723" s="203" t="s">
        <v>1050</v>
      </c>
      <c r="K723" s="203" t="s">
        <v>969</v>
      </c>
      <c r="L723" s="203" t="s">
        <v>969</v>
      </c>
      <c r="M723" s="203" t="s">
        <v>454</v>
      </c>
      <c r="N723" s="203">
        <v>20.4473991394043</v>
      </c>
      <c r="O723" s="203">
        <v>92.630462646484403</v>
      </c>
      <c r="P723" s="203" t="s">
        <v>970</v>
      </c>
      <c r="R723" s="425"/>
      <c r="S723" s="426"/>
      <c r="T723" s="542">
        <v>42849</v>
      </c>
      <c r="U723" s="427" t="s">
        <v>1064</v>
      </c>
      <c r="V723" s="203" t="s">
        <v>635</v>
      </c>
    </row>
    <row r="724" spans="1:23" s="203" customFormat="1" ht="17.25" hidden="1" customHeight="1" x14ac:dyDescent="0.2">
      <c r="A724" s="203" t="s">
        <v>454</v>
      </c>
      <c r="B724" s="203" t="s">
        <v>498</v>
      </c>
      <c r="C724" s="203" t="s">
        <v>684</v>
      </c>
      <c r="D724" s="203" t="s">
        <v>2177</v>
      </c>
      <c r="E724" s="203">
        <v>197695</v>
      </c>
      <c r="J724" s="203" t="s">
        <v>969</v>
      </c>
      <c r="K724" s="203" t="s">
        <v>969</v>
      </c>
      <c r="L724" s="203" t="s">
        <v>969</v>
      </c>
      <c r="M724" s="203" t="s">
        <v>454</v>
      </c>
      <c r="N724" s="203">
        <v>20.651939392089801</v>
      </c>
      <c r="O724" s="203">
        <v>92.684577941894503</v>
      </c>
      <c r="P724" s="203" t="s">
        <v>970</v>
      </c>
      <c r="Q724" s="203" t="s">
        <v>973</v>
      </c>
      <c r="R724" s="425"/>
      <c r="S724" s="426"/>
      <c r="T724" s="542">
        <v>42926</v>
      </c>
      <c r="U724" s="427" t="s">
        <v>974</v>
      </c>
    </row>
    <row r="725" spans="1:23" s="203" customFormat="1" ht="17.25" hidden="1" customHeight="1" x14ac:dyDescent="0.2">
      <c r="A725" s="203" t="s">
        <v>454</v>
      </c>
      <c r="B725" s="203" t="s">
        <v>498</v>
      </c>
      <c r="C725" s="203" t="s">
        <v>639</v>
      </c>
      <c r="D725" s="203" t="s">
        <v>2177</v>
      </c>
      <c r="E725" s="203">
        <v>197629</v>
      </c>
      <c r="J725" s="203" t="s">
        <v>969</v>
      </c>
      <c r="K725" s="203" t="s">
        <v>969</v>
      </c>
      <c r="L725" s="203" t="s">
        <v>969</v>
      </c>
      <c r="M725" s="203" t="s">
        <v>454</v>
      </c>
      <c r="N725" s="203">
        <v>20.463909149169901</v>
      </c>
      <c r="O725" s="203">
        <v>92.675468444824205</v>
      </c>
      <c r="P725" s="203" t="s">
        <v>970</v>
      </c>
      <c r="Q725" s="203" t="s">
        <v>973</v>
      </c>
      <c r="R725" s="425"/>
      <c r="S725" s="426"/>
      <c r="T725" s="542">
        <v>42926</v>
      </c>
      <c r="U725" s="427" t="s">
        <v>974</v>
      </c>
    </row>
    <row r="726" spans="1:23" s="203" customFormat="1" ht="17.25" hidden="1" customHeight="1" x14ac:dyDescent="0.2">
      <c r="A726" s="203" t="s">
        <v>454</v>
      </c>
      <c r="B726" s="203" t="s">
        <v>498</v>
      </c>
      <c r="C726" s="203" t="s">
        <v>679</v>
      </c>
      <c r="D726" s="203" t="s">
        <v>2177</v>
      </c>
      <c r="E726" s="203" t="s">
        <v>1738</v>
      </c>
      <c r="J726" s="203" t="s">
        <v>969</v>
      </c>
      <c r="K726" s="203" t="s">
        <v>969</v>
      </c>
      <c r="L726" s="203" t="s">
        <v>969</v>
      </c>
      <c r="M726" s="203" t="s">
        <v>454</v>
      </c>
      <c r="N726" s="203">
        <v>20.643590927123999</v>
      </c>
      <c r="O726" s="203">
        <v>92.722618103027301</v>
      </c>
      <c r="P726" s="203" t="s">
        <v>970</v>
      </c>
      <c r="Q726" s="203" t="s">
        <v>951</v>
      </c>
      <c r="R726" s="425"/>
      <c r="S726" s="426"/>
      <c r="T726" s="542" t="s">
        <v>976</v>
      </c>
      <c r="U726" s="427"/>
      <c r="V726" s="203" t="s">
        <v>935</v>
      </c>
    </row>
    <row r="727" spans="1:23" s="203" customFormat="1" ht="17.25" hidden="1" customHeight="1" x14ac:dyDescent="0.2">
      <c r="A727" s="203" t="s">
        <v>454</v>
      </c>
      <c r="B727" s="203" t="s">
        <v>498</v>
      </c>
      <c r="C727" s="203" t="s">
        <v>1086</v>
      </c>
      <c r="D727" s="203" t="s">
        <v>2177</v>
      </c>
      <c r="E727" s="203" t="s">
        <v>1731</v>
      </c>
      <c r="J727" s="203" t="s">
        <v>969</v>
      </c>
      <c r="K727" s="203" t="s">
        <v>969</v>
      </c>
      <c r="L727" s="203" t="s">
        <v>969</v>
      </c>
      <c r="M727" s="203" t="s">
        <v>935</v>
      </c>
      <c r="N727" s="203">
        <v>20.598709106445298</v>
      </c>
      <c r="O727" s="203">
        <v>92.664337158203097</v>
      </c>
      <c r="P727" s="203" t="s">
        <v>970</v>
      </c>
      <c r="R727" s="425"/>
      <c r="S727" s="426"/>
      <c r="T727" s="542" t="s">
        <v>935</v>
      </c>
      <c r="U727" s="427"/>
      <c r="V727" s="203" t="s">
        <v>1086</v>
      </c>
    </row>
    <row r="728" spans="1:23" s="203" customFormat="1" ht="17.25" hidden="1" customHeight="1" x14ac:dyDescent="0.2">
      <c r="A728" s="203" t="s">
        <v>454</v>
      </c>
      <c r="B728" s="203" t="s">
        <v>498</v>
      </c>
      <c r="C728" s="203" t="s">
        <v>651</v>
      </c>
      <c r="D728" s="203" t="s">
        <v>2177</v>
      </c>
      <c r="E728" s="203">
        <v>197615</v>
      </c>
      <c r="J728" s="203" t="s">
        <v>969</v>
      </c>
      <c r="K728" s="203" t="s">
        <v>969</v>
      </c>
      <c r="L728" s="203" t="s">
        <v>969</v>
      </c>
      <c r="M728" s="203" t="s">
        <v>454</v>
      </c>
      <c r="N728" s="203">
        <v>20.502599716186499</v>
      </c>
      <c r="O728" s="203">
        <v>92.647476196289105</v>
      </c>
      <c r="P728" s="203" t="s">
        <v>970</v>
      </c>
      <c r="Q728" s="203" t="s">
        <v>973</v>
      </c>
      <c r="R728" s="425"/>
      <c r="S728" s="426"/>
      <c r="T728" s="542">
        <v>42926</v>
      </c>
      <c r="U728" s="427" t="s">
        <v>974</v>
      </c>
    </row>
    <row r="729" spans="1:23" s="294" customFormat="1" ht="17.25" hidden="1" customHeight="1" x14ac:dyDescent="0.2">
      <c r="A729" s="203" t="s">
        <v>454</v>
      </c>
      <c r="B729" s="203" t="s">
        <v>498</v>
      </c>
      <c r="C729" s="203" t="s">
        <v>1077</v>
      </c>
      <c r="D729" s="203" t="s">
        <v>2177</v>
      </c>
      <c r="E729" s="203" t="s">
        <v>1708</v>
      </c>
      <c r="F729" s="203"/>
      <c r="G729" s="203"/>
      <c r="H729" s="203"/>
      <c r="I729" s="203"/>
      <c r="J729" s="203" t="s">
        <v>969</v>
      </c>
      <c r="K729" s="203" t="s">
        <v>969</v>
      </c>
      <c r="L729" s="203" t="s">
        <v>969</v>
      </c>
      <c r="M729" s="203" t="s">
        <v>454</v>
      </c>
      <c r="N729" s="203">
        <v>20.521270752</v>
      </c>
      <c r="O729" s="203">
        <v>92.686096191000004</v>
      </c>
      <c r="P729" s="203" t="s">
        <v>970</v>
      </c>
      <c r="Q729" s="203"/>
      <c r="R729" s="425"/>
      <c r="S729" s="426"/>
      <c r="T729" s="542" t="s">
        <v>935</v>
      </c>
      <c r="U729" s="427"/>
      <c r="V729" s="203" t="s">
        <v>1077</v>
      </c>
      <c r="W729" s="203"/>
    </row>
    <row r="730" spans="1:23" s="203" customFormat="1" ht="17.25" hidden="1" customHeight="1" x14ac:dyDescent="0.2">
      <c r="A730" s="203" t="s">
        <v>454</v>
      </c>
      <c r="B730" s="203" t="s">
        <v>498</v>
      </c>
      <c r="C730" s="203" t="s">
        <v>646</v>
      </c>
      <c r="D730" s="203" t="s">
        <v>2177</v>
      </c>
      <c r="E730" s="203">
        <v>197618</v>
      </c>
      <c r="J730" s="203" t="s">
        <v>969</v>
      </c>
      <c r="K730" s="203" t="s">
        <v>969</v>
      </c>
      <c r="L730" s="203" t="s">
        <v>969</v>
      </c>
      <c r="M730" s="203" t="s">
        <v>454</v>
      </c>
      <c r="N730" s="203">
        <v>20.480100631713899</v>
      </c>
      <c r="O730" s="203">
        <v>92.704818725585895</v>
      </c>
      <c r="P730" s="203" t="s">
        <v>970</v>
      </c>
      <c r="Q730" s="203" t="s">
        <v>973</v>
      </c>
      <c r="R730" s="425"/>
      <c r="S730" s="426"/>
      <c r="T730" s="542">
        <v>42926</v>
      </c>
      <c r="U730" s="427" t="s">
        <v>974</v>
      </c>
    </row>
    <row r="731" spans="1:23" s="203" customFormat="1" ht="17.25" hidden="1" customHeight="1" x14ac:dyDescent="0.2">
      <c r="A731" s="203" t="s">
        <v>454</v>
      </c>
      <c r="B731" s="203" t="s">
        <v>498</v>
      </c>
      <c r="C731" s="203" t="s">
        <v>678</v>
      </c>
      <c r="D731" s="203" t="s">
        <v>2177</v>
      </c>
      <c r="E731" s="203" t="s">
        <v>1737</v>
      </c>
      <c r="J731" s="203" t="s">
        <v>969</v>
      </c>
      <c r="K731" s="203" t="s">
        <v>969</v>
      </c>
      <c r="L731" s="203" t="s">
        <v>969</v>
      </c>
      <c r="M731" s="203" t="s">
        <v>454</v>
      </c>
      <c r="N731" s="203">
        <v>20.639530181884801</v>
      </c>
      <c r="O731" s="203">
        <v>92.721908569335895</v>
      </c>
      <c r="P731" s="203" t="s">
        <v>970</v>
      </c>
      <c r="Q731" s="203" t="s">
        <v>951</v>
      </c>
      <c r="R731" s="425"/>
      <c r="S731" s="426"/>
      <c r="T731" s="542" t="s">
        <v>976</v>
      </c>
      <c r="U731" s="427"/>
      <c r="V731" s="203" t="s">
        <v>935</v>
      </c>
    </row>
    <row r="732" spans="1:23" s="203" customFormat="1" ht="17.25" hidden="1" customHeight="1" x14ac:dyDescent="0.2">
      <c r="A732" s="203" t="s">
        <v>454</v>
      </c>
      <c r="B732" s="203" t="s">
        <v>498</v>
      </c>
      <c r="C732" s="203" t="s">
        <v>670</v>
      </c>
      <c r="D732" s="203" t="s">
        <v>2177</v>
      </c>
      <c r="E732" s="203" t="s">
        <v>1726</v>
      </c>
      <c r="J732" s="203" t="s">
        <v>969</v>
      </c>
      <c r="K732" s="203" t="s">
        <v>969</v>
      </c>
      <c r="L732" s="203" t="s">
        <v>969</v>
      </c>
      <c r="M732" s="203" t="s">
        <v>454</v>
      </c>
      <c r="N732" s="203">
        <v>20.582699999999999</v>
      </c>
      <c r="O732" s="203">
        <v>92.664699999999996</v>
      </c>
      <c r="P732" s="203" t="s">
        <v>970</v>
      </c>
      <c r="Q732" s="203" t="s">
        <v>951</v>
      </c>
      <c r="R732" s="425"/>
      <c r="S732" s="426"/>
      <c r="T732" s="542" t="s">
        <v>935</v>
      </c>
      <c r="U732" s="427"/>
      <c r="V732" s="203" t="s">
        <v>670</v>
      </c>
    </row>
    <row r="733" spans="1:23" s="203" customFormat="1" ht="17.25" hidden="1" customHeight="1" x14ac:dyDescent="0.2">
      <c r="A733" s="203" t="s">
        <v>454</v>
      </c>
      <c r="B733" s="203" t="s">
        <v>498</v>
      </c>
      <c r="C733" s="203" t="s">
        <v>643</v>
      </c>
      <c r="D733" s="203" t="s">
        <v>2177</v>
      </c>
      <c r="E733" s="203">
        <v>197630</v>
      </c>
      <c r="J733" s="203" t="s">
        <v>969</v>
      </c>
      <c r="K733" s="203" t="s">
        <v>969</v>
      </c>
      <c r="L733" s="203" t="s">
        <v>969</v>
      </c>
      <c r="M733" s="203" t="s">
        <v>454</v>
      </c>
      <c r="N733" s="203">
        <v>20.470119476318398</v>
      </c>
      <c r="O733" s="203">
        <v>92.672653198242202</v>
      </c>
      <c r="P733" s="203" t="s">
        <v>970</v>
      </c>
      <c r="Q733" s="203" t="s">
        <v>973</v>
      </c>
      <c r="R733" s="425"/>
      <c r="S733" s="426"/>
      <c r="T733" s="542">
        <v>42926</v>
      </c>
      <c r="U733" s="427" t="s">
        <v>974</v>
      </c>
    </row>
    <row r="734" spans="1:23" s="203" customFormat="1" ht="12.75" hidden="1" x14ac:dyDescent="0.2">
      <c r="A734" s="430" t="s">
        <v>454</v>
      </c>
      <c r="B734" s="429" t="s">
        <v>498</v>
      </c>
      <c r="C734" s="294" t="s">
        <v>2519</v>
      </c>
      <c r="D734" s="432"/>
      <c r="E734" s="203">
        <v>197611</v>
      </c>
      <c r="F734" s="203" t="s">
        <v>2519</v>
      </c>
      <c r="J734" s="203" t="s">
        <v>969</v>
      </c>
      <c r="K734" s="203" t="s">
        <v>969</v>
      </c>
      <c r="L734" s="203" t="s">
        <v>969</v>
      </c>
      <c r="M734" s="203" t="s">
        <v>454</v>
      </c>
      <c r="N734" s="203">
        <v>20.5047302246094</v>
      </c>
      <c r="O734" s="203">
        <v>92.683113098144503</v>
      </c>
      <c r="P734" s="203" t="s">
        <v>970</v>
      </c>
      <c r="Q734" s="294" t="s">
        <v>2516</v>
      </c>
      <c r="R734" s="434"/>
      <c r="S734" s="426"/>
      <c r="T734" s="543">
        <v>43245</v>
      </c>
      <c r="U734" s="427"/>
    </row>
    <row r="735" spans="1:23" s="203" customFormat="1" ht="12.75" hidden="1" x14ac:dyDescent="0.2">
      <c r="A735" s="430" t="s">
        <v>454</v>
      </c>
      <c r="B735" s="429" t="s">
        <v>498</v>
      </c>
      <c r="C735" s="294" t="s">
        <v>2520</v>
      </c>
      <c r="D735" s="447"/>
      <c r="E735" s="294">
        <v>197613</v>
      </c>
      <c r="F735" s="294"/>
      <c r="G735" s="294"/>
      <c r="H735" s="294"/>
      <c r="I735" s="294"/>
      <c r="J735" s="203" t="s">
        <v>969</v>
      </c>
      <c r="K735" s="203" t="s">
        <v>969</v>
      </c>
      <c r="L735" s="203" t="s">
        <v>969</v>
      </c>
      <c r="M735" s="294" t="s">
        <v>454</v>
      </c>
      <c r="N735" s="294">
        <v>20.497299194335898</v>
      </c>
      <c r="O735" s="294">
        <v>92.683097839355497</v>
      </c>
      <c r="P735" s="203" t="s">
        <v>970</v>
      </c>
      <c r="Q735" s="294" t="s">
        <v>2516</v>
      </c>
      <c r="R735" s="435"/>
      <c r="S735" s="430"/>
      <c r="T735" s="543">
        <v>43245</v>
      </c>
      <c r="U735" s="431"/>
      <c r="V735" s="294"/>
    </row>
    <row r="736" spans="1:23" s="203" customFormat="1" ht="12.75" hidden="1" x14ac:dyDescent="0.2">
      <c r="A736" s="203" t="s">
        <v>454</v>
      </c>
      <c r="B736" s="203" t="s">
        <v>498</v>
      </c>
      <c r="C736" s="203" t="s">
        <v>654</v>
      </c>
      <c r="D736" s="203" t="s">
        <v>2177</v>
      </c>
      <c r="E736" s="203" t="s">
        <v>1705</v>
      </c>
      <c r="J736" s="203" t="s">
        <v>969</v>
      </c>
      <c r="K736" s="203" t="s">
        <v>969</v>
      </c>
      <c r="L736" s="203" t="s">
        <v>969</v>
      </c>
      <c r="M736" s="203" t="s">
        <v>454</v>
      </c>
      <c r="N736" s="203">
        <v>20.511900000000001</v>
      </c>
      <c r="O736" s="203">
        <v>92.645300000000006</v>
      </c>
      <c r="P736" s="203" t="s">
        <v>970</v>
      </c>
      <c r="Q736" s="203" t="s">
        <v>951</v>
      </c>
      <c r="R736" s="425"/>
      <c r="S736" s="426"/>
      <c r="T736" s="542" t="s">
        <v>935</v>
      </c>
      <c r="U736" s="427"/>
      <c r="V736" s="203" t="s">
        <v>654</v>
      </c>
    </row>
    <row r="737" spans="1:23" s="203" customFormat="1" ht="12.75" hidden="1" x14ac:dyDescent="0.2">
      <c r="A737" s="203" t="s">
        <v>454</v>
      </c>
      <c r="B737" s="203" t="s">
        <v>498</v>
      </c>
      <c r="C737" s="203" t="s">
        <v>636</v>
      </c>
      <c r="D737" s="203" t="s">
        <v>2177</v>
      </c>
      <c r="E737" s="203">
        <v>197621</v>
      </c>
      <c r="J737" s="203" t="s">
        <v>969</v>
      </c>
      <c r="K737" s="203" t="s">
        <v>969</v>
      </c>
      <c r="L737" s="203" t="s">
        <v>969</v>
      </c>
      <c r="M737" s="203" t="s">
        <v>454</v>
      </c>
      <c r="N737" s="203">
        <v>20.453830718994102</v>
      </c>
      <c r="O737" s="203">
        <v>92.683090209960895</v>
      </c>
      <c r="P737" s="203" t="s">
        <v>970</v>
      </c>
      <c r="Q737" s="203" t="s">
        <v>973</v>
      </c>
      <c r="R737" s="425"/>
      <c r="S737" s="426"/>
      <c r="T737" s="542">
        <v>42926</v>
      </c>
      <c r="U737" s="427" t="s">
        <v>974</v>
      </c>
    </row>
    <row r="738" spans="1:23" s="203" customFormat="1" ht="12.75" hidden="1" x14ac:dyDescent="0.2">
      <c r="A738" s="203" t="s">
        <v>454</v>
      </c>
      <c r="B738" s="203" t="s">
        <v>498</v>
      </c>
      <c r="C738" s="203" t="s">
        <v>677</v>
      </c>
      <c r="D738" s="203" t="s">
        <v>2177</v>
      </c>
      <c r="E738" s="203" t="s">
        <v>1736</v>
      </c>
      <c r="J738" s="203" t="s">
        <v>969</v>
      </c>
      <c r="K738" s="203" t="s">
        <v>969</v>
      </c>
      <c r="L738" s="203" t="s">
        <v>969</v>
      </c>
      <c r="M738" s="203" t="s">
        <v>454</v>
      </c>
      <c r="N738" s="203">
        <v>20.636510848998999</v>
      </c>
      <c r="O738" s="203">
        <v>92.71337890625</v>
      </c>
      <c r="P738" s="203" t="s">
        <v>970</v>
      </c>
      <c r="Q738" s="203" t="s">
        <v>951</v>
      </c>
      <c r="R738" s="425"/>
      <c r="S738" s="426"/>
      <c r="T738" s="542" t="s">
        <v>976</v>
      </c>
      <c r="U738" s="427"/>
      <c r="V738" s="203" t="s">
        <v>935</v>
      </c>
      <c r="W738" s="294"/>
    </row>
    <row r="739" spans="1:23" s="203" customFormat="1" ht="13.5" hidden="1" customHeight="1" x14ac:dyDescent="0.2">
      <c r="A739" s="203" t="s">
        <v>454</v>
      </c>
      <c r="B739" s="203" t="s">
        <v>498</v>
      </c>
      <c r="C739" s="203" t="s">
        <v>663</v>
      </c>
      <c r="D739" s="203" t="s">
        <v>2177</v>
      </c>
      <c r="E739" s="203" t="s">
        <v>1715</v>
      </c>
      <c r="J739" s="203" t="s">
        <v>969</v>
      </c>
      <c r="K739" s="203" t="s">
        <v>969</v>
      </c>
      <c r="L739" s="203" t="s">
        <v>969</v>
      </c>
      <c r="M739" s="203" t="s">
        <v>966</v>
      </c>
      <c r="N739" s="203">
        <v>20.5507698059082</v>
      </c>
      <c r="O739" s="203">
        <v>92.6505126953125</v>
      </c>
      <c r="P739" s="203" t="s">
        <v>970</v>
      </c>
      <c r="Q739" s="203" t="s">
        <v>951</v>
      </c>
      <c r="R739" s="425"/>
      <c r="S739" s="426"/>
      <c r="T739" s="542" t="s">
        <v>935</v>
      </c>
      <c r="U739" s="427"/>
      <c r="V739" s="203" t="s">
        <v>663</v>
      </c>
    </row>
    <row r="740" spans="1:23" s="203" customFormat="1" ht="12.75" hidden="1" x14ac:dyDescent="0.2">
      <c r="A740" s="203" t="s">
        <v>454</v>
      </c>
      <c r="B740" s="203" t="s">
        <v>498</v>
      </c>
      <c r="C740" s="203" t="s">
        <v>623</v>
      </c>
      <c r="D740" s="203" t="s">
        <v>2177</v>
      </c>
      <c r="E740" s="203" t="s">
        <v>1678</v>
      </c>
      <c r="J740" s="203" t="s">
        <v>969</v>
      </c>
      <c r="K740" s="203" t="s">
        <v>969</v>
      </c>
      <c r="L740" s="203" t="s">
        <v>1054</v>
      </c>
      <c r="M740" s="203" t="s">
        <v>966</v>
      </c>
      <c r="N740" s="203">
        <v>20.335864000000001</v>
      </c>
      <c r="O740" s="203">
        <v>92.785706000000005</v>
      </c>
      <c r="P740" s="203" t="s">
        <v>970</v>
      </c>
      <c r="Q740" s="203" t="s">
        <v>951</v>
      </c>
      <c r="R740" s="425">
        <v>56</v>
      </c>
      <c r="S740" s="426">
        <v>332</v>
      </c>
      <c r="T740" s="542" t="s">
        <v>935</v>
      </c>
      <c r="U740" s="427"/>
      <c r="V740" s="203" t="s">
        <v>1055</v>
      </c>
    </row>
    <row r="741" spans="1:23" s="203" customFormat="1" ht="13.5" hidden="1" thickBot="1" x14ac:dyDescent="0.25">
      <c r="A741" s="442" t="s">
        <v>454</v>
      </c>
      <c r="B741" s="441" t="s">
        <v>498</v>
      </c>
      <c r="C741" s="440" t="s">
        <v>624</v>
      </c>
      <c r="D741" s="203" t="s">
        <v>2177</v>
      </c>
      <c r="E741" s="203" t="s">
        <v>1679</v>
      </c>
      <c r="F741" s="441"/>
      <c r="J741" s="203" t="s">
        <v>969</v>
      </c>
      <c r="K741" s="203" t="s">
        <v>969</v>
      </c>
      <c r="L741" s="203" t="s">
        <v>969</v>
      </c>
      <c r="M741" s="203" t="s">
        <v>454</v>
      </c>
      <c r="N741" s="203">
        <v>20.339799880981399</v>
      </c>
      <c r="O741" s="203">
        <v>92.782653808593807</v>
      </c>
      <c r="P741" s="203" t="s">
        <v>970</v>
      </c>
      <c r="Q741" s="203" t="s">
        <v>951</v>
      </c>
      <c r="R741" s="443"/>
      <c r="S741" s="444"/>
      <c r="T741" s="542" t="s">
        <v>935</v>
      </c>
      <c r="U741" s="427"/>
      <c r="V741" s="203" t="s">
        <v>935</v>
      </c>
    </row>
    <row r="742" spans="1:23" s="203" customFormat="1" ht="13.5" hidden="1" thickBot="1" x14ac:dyDescent="0.25">
      <c r="A742" s="442" t="s">
        <v>454</v>
      </c>
      <c r="B742" s="441" t="s">
        <v>498</v>
      </c>
      <c r="C742" s="440" t="s">
        <v>712</v>
      </c>
      <c r="D742" s="203" t="s">
        <v>2177</v>
      </c>
      <c r="E742" s="203">
        <v>197671</v>
      </c>
      <c r="J742" s="203" t="s">
        <v>969</v>
      </c>
      <c r="K742" s="203" t="s">
        <v>969</v>
      </c>
      <c r="L742" s="203" t="s">
        <v>969</v>
      </c>
      <c r="M742" s="203" t="s">
        <v>454</v>
      </c>
      <c r="N742" s="203">
        <v>20.694499969482401</v>
      </c>
      <c r="O742" s="203">
        <v>92.647750854492202</v>
      </c>
      <c r="P742" s="203" t="s">
        <v>970</v>
      </c>
      <c r="Q742" s="203" t="s">
        <v>951</v>
      </c>
      <c r="R742" s="443"/>
      <c r="S742" s="444"/>
      <c r="T742" s="542" t="s">
        <v>951</v>
      </c>
      <c r="U742" s="427"/>
    </row>
    <row r="743" spans="1:23" s="203" customFormat="1" ht="12.75" hidden="1" customHeight="1" x14ac:dyDescent="0.2">
      <c r="A743" s="441" t="s">
        <v>454</v>
      </c>
      <c r="B743" s="441" t="s">
        <v>498</v>
      </c>
      <c r="C743" s="440" t="s">
        <v>705</v>
      </c>
      <c r="D743" s="203" t="s">
        <v>2177</v>
      </c>
      <c r="E743" s="203">
        <v>197672</v>
      </c>
      <c r="J743" s="203" t="s">
        <v>969</v>
      </c>
      <c r="K743" s="203" t="s">
        <v>969</v>
      </c>
      <c r="L743" s="203" t="s">
        <v>969</v>
      </c>
      <c r="M743" s="203" t="s">
        <v>454</v>
      </c>
      <c r="N743" s="203">
        <v>20.686460494995099</v>
      </c>
      <c r="O743" s="203">
        <v>92.682327270507798</v>
      </c>
      <c r="P743" s="203" t="s">
        <v>970</v>
      </c>
      <c r="Q743" s="203" t="s">
        <v>951</v>
      </c>
      <c r="R743" s="443"/>
      <c r="S743" s="444"/>
      <c r="T743" s="542" t="s">
        <v>951</v>
      </c>
      <c r="U743" s="427"/>
    </row>
    <row r="744" spans="1:23" s="203" customFormat="1" ht="12.75" hidden="1" x14ac:dyDescent="0.2">
      <c r="A744" s="441" t="s">
        <v>454</v>
      </c>
      <c r="B744" s="441" t="s">
        <v>498</v>
      </c>
      <c r="C744" s="440" t="s">
        <v>709</v>
      </c>
      <c r="D744" s="203" t="s">
        <v>2177</v>
      </c>
      <c r="E744" s="203" t="s">
        <v>1760</v>
      </c>
      <c r="J744" s="203" t="s">
        <v>969</v>
      </c>
      <c r="K744" s="203" t="s">
        <v>969</v>
      </c>
      <c r="L744" s="203" t="s">
        <v>969</v>
      </c>
      <c r="M744" s="203" t="s">
        <v>454</v>
      </c>
      <c r="N744" s="203">
        <v>20.6886291503906</v>
      </c>
      <c r="O744" s="203">
        <v>92.652481079101605</v>
      </c>
      <c r="P744" s="203" t="s">
        <v>970</v>
      </c>
      <c r="Q744" s="203" t="s">
        <v>951</v>
      </c>
      <c r="R744" s="443"/>
      <c r="S744" s="444"/>
      <c r="T744" s="542" t="s">
        <v>976</v>
      </c>
      <c r="U744" s="427"/>
      <c r="V744" s="203" t="s">
        <v>935</v>
      </c>
    </row>
    <row r="745" spans="1:23" s="203" customFormat="1" ht="12.75" hidden="1" x14ac:dyDescent="0.2">
      <c r="A745" s="441" t="s">
        <v>454</v>
      </c>
      <c r="B745" s="441" t="s">
        <v>498</v>
      </c>
      <c r="C745" s="440" t="s">
        <v>655</v>
      </c>
      <c r="D745" s="203" t="s">
        <v>2177</v>
      </c>
      <c r="E745" s="203" t="s">
        <v>1706</v>
      </c>
      <c r="J745" s="203" t="s">
        <v>969</v>
      </c>
      <c r="K745" s="203" t="s">
        <v>969</v>
      </c>
      <c r="L745" s="203" t="s">
        <v>969</v>
      </c>
      <c r="M745" s="203" t="s">
        <v>454</v>
      </c>
      <c r="N745" s="203">
        <v>20.517700195</v>
      </c>
      <c r="O745" s="203">
        <v>92.660263061999999</v>
      </c>
      <c r="P745" s="203" t="s">
        <v>970</v>
      </c>
      <c r="Q745" s="203" t="s">
        <v>951</v>
      </c>
      <c r="R745" s="443"/>
      <c r="S745" s="444"/>
      <c r="T745" s="542" t="s">
        <v>935</v>
      </c>
      <c r="U745" s="427"/>
      <c r="V745" s="203" t="s">
        <v>655</v>
      </c>
    </row>
    <row r="746" spans="1:23" s="203" customFormat="1" ht="15" hidden="1" customHeight="1" x14ac:dyDescent="0.2">
      <c r="A746" s="441" t="s">
        <v>454</v>
      </c>
      <c r="B746" s="441" t="s">
        <v>498</v>
      </c>
      <c r="C746" s="440" t="s">
        <v>659</v>
      </c>
      <c r="D746" s="203" t="s">
        <v>2177</v>
      </c>
      <c r="E746" s="203" t="s">
        <v>1711</v>
      </c>
      <c r="J746" s="203" t="s">
        <v>969</v>
      </c>
      <c r="K746" s="203" t="s">
        <v>969</v>
      </c>
      <c r="L746" s="203" t="s">
        <v>969</v>
      </c>
      <c r="M746" s="203" t="s">
        <v>454</v>
      </c>
      <c r="N746" s="203">
        <v>20.543479919433601</v>
      </c>
      <c r="O746" s="203">
        <v>92.676979064941406</v>
      </c>
      <c r="P746" s="203" t="s">
        <v>970</v>
      </c>
      <c r="Q746" s="203" t="s">
        <v>951</v>
      </c>
      <c r="R746" s="443"/>
      <c r="S746" s="444"/>
      <c r="T746" s="542" t="s">
        <v>935</v>
      </c>
      <c r="U746" s="427"/>
      <c r="V746" s="203" t="s">
        <v>659</v>
      </c>
    </row>
    <row r="747" spans="1:23" s="203" customFormat="1" ht="12.75" hidden="1" x14ac:dyDescent="0.2">
      <c r="A747" s="441" t="s">
        <v>454</v>
      </c>
      <c r="B747" s="441" t="s">
        <v>498</v>
      </c>
      <c r="C747" s="440" t="s">
        <v>700</v>
      </c>
      <c r="D747" s="203" t="s">
        <v>2177</v>
      </c>
      <c r="E747" s="203">
        <v>197683</v>
      </c>
      <c r="J747" s="203" t="s">
        <v>969</v>
      </c>
      <c r="K747" s="203" t="s">
        <v>969</v>
      </c>
      <c r="L747" s="203" t="s">
        <v>969</v>
      </c>
      <c r="M747" s="203" t="s">
        <v>454</v>
      </c>
      <c r="N747" s="203">
        <v>20.678159713745099</v>
      </c>
      <c r="O747" s="203">
        <v>92.713821411132798</v>
      </c>
      <c r="P747" s="203" t="s">
        <v>970</v>
      </c>
      <c r="Q747" s="203" t="s">
        <v>951</v>
      </c>
      <c r="R747" s="443"/>
      <c r="S747" s="444"/>
      <c r="T747" s="542" t="s">
        <v>951</v>
      </c>
      <c r="U747" s="427"/>
    </row>
    <row r="748" spans="1:23" s="203" customFormat="1" ht="12.75" hidden="1" x14ac:dyDescent="0.2">
      <c r="A748" s="441" t="s">
        <v>454</v>
      </c>
      <c r="B748" s="441" t="s">
        <v>498</v>
      </c>
      <c r="C748" s="440" t="s">
        <v>1081</v>
      </c>
      <c r="D748" s="203" t="s">
        <v>2177</v>
      </c>
      <c r="E748" s="203" t="s">
        <v>1724</v>
      </c>
      <c r="J748" s="203" t="s">
        <v>969</v>
      </c>
      <c r="K748" s="203" t="s">
        <v>969</v>
      </c>
      <c r="L748" s="203" t="s">
        <v>969</v>
      </c>
      <c r="M748" s="203" t="s">
        <v>454</v>
      </c>
      <c r="N748" s="203">
        <v>20.581470489501999</v>
      </c>
      <c r="O748" s="203">
        <v>92.643272399902301</v>
      </c>
      <c r="P748" s="203" t="s">
        <v>970</v>
      </c>
      <c r="R748" s="443"/>
      <c r="S748" s="444"/>
      <c r="T748" s="542" t="s">
        <v>935</v>
      </c>
      <c r="U748" s="427"/>
      <c r="V748" s="203" t="s">
        <v>1082</v>
      </c>
    </row>
    <row r="749" spans="1:23" s="203" customFormat="1" ht="12.75" hidden="1" x14ac:dyDescent="0.2">
      <c r="A749" s="441" t="s">
        <v>454</v>
      </c>
      <c r="B749" s="441" t="s">
        <v>498</v>
      </c>
      <c r="C749" s="440" t="s">
        <v>499</v>
      </c>
      <c r="D749" s="203" t="s">
        <v>2177</v>
      </c>
      <c r="J749" s="203" t="s">
        <v>969</v>
      </c>
      <c r="K749" s="203" t="s">
        <v>969</v>
      </c>
      <c r="L749" s="203" t="s">
        <v>969</v>
      </c>
      <c r="M749" s="203" t="s">
        <v>454</v>
      </c>
      <c r="P749" s="203" t="s">
        <v>970</v>
      </c>
      <c r="Q749" s="203" t="s">
        <v>951</v>
      </c>
      <c r="R749" s="443"/>
      <c r="S749" s="444"/>
      <c r="T749" s="542" t="s">
        <v>976</v>
      </c>
      <c r="U749" s="427"/>
      <c r="V749" s="203" t="s">
        <v>935</v>
      </c>
    </row>
    <row r="750" spans="1:23" s="203" customFormat="1" ht="12.75" hidden="1" x14ac:dyDescent="0.2">
      <c r="A750" s="441" t="s">
        <v>454</v>
      </c>
      <c r="B750" s="441" t="s">
        <v>498</v>
      </c>
      <c r="C750" s="440" t="s">
        <v>672</v>
      </c>
      <c r="D750" s="203" t="s">
        <v>2177</v>
      </c>
      <c r="E750" s="203" t="s">
        <v>1729</v>
      </c>
      <c r="F750" s="294"/>
      <c r="J750" s="203" t="s">
        <v>969</v>
      </c>
      <c r="K750" s="203" t="s">
        <v>969</v>
      </c>
      <c r="L750" s="203" t="s">
        <v>969</v>
      </c>
      <c r="M750" s="203" t="s">
        <v>454</v>
      </c>
      <c r="N750" s="203">
        <v>20.589969635009801</v>
      </c>
      <c r="O750" s="203">
        <v>92.691757202148395</v>
      </c>
      <c r="P750" s="203" t="s">
        <v>970</v>
      </c>
      <c r="Q750" s="203" t="s">
        <v>951</v>
      </c>
      <c r="R750" s="443"/>
      <c r="S750" s="444"/>
      <c r="T750" s="542" t="s">
        <v>935</v>
      </c>
      <c r="U750" s="427"/>
      <c r="V750" s="203" t="s">
        <v>672</v>
      </c>
    </row>
    <row r="751" spans="1:23" s="203" customFormat="1" ht="12.75" hidden="1" x14ac:dyDescent="0.2">
      <c r="A751" s="441" t="s">
        <v>454</v>
      </c>
      <c r="B751" s="441" t="s">
        <v>498</v>
      </c>
      <c r="C751" s="440" t="s">
        <v>1085</v>
      </c>
      <c r="D751" s="203" t="s">
        <v>2177</v>
      </c>
      <c r="E751" s="203" t="s">
        <v>1729</v>
      </c>
      <c r="J751" s="203" t="s">
        <v>969</v>
      </c>
      <c r="K751" s="203" t="s">
        <v>969</v>
      </c>
      <c r="L751" s="203" t="s">
        <v>969</v>
      </c>
      <c r="M751" s="203" t="s">
        <v>454</v>
      </c>
      <c r="N751" s="203">
        <v>20.589969635009801</v>
      </c>
      <c r="O751" s="203">
        <v>92.691757202148395</v>
      </c>
      <c r="P751" s="203" t="s">
        <v>970</v>
      </c>
      <c r="R751" s="429"/>
      <c r="S751" s="430"/>
      <c r="T751" s="542" t="s">
        <v>935</v>
      </c>
      <c r="U751" s="427"/>
      <c r="V751" s="203" t="s">
        <v>1085</v>
      </c>
    </row>
    <row r="752" spans="1:23" s="203" customFormat="1" ht="12.75" hidden="1" x14ac:dyDescent="0.2">
      <c r="A752" s="441" t="s">
        <v>454</v>
      </c>
      <c r="B752" s="441" t="s">
        <v>498</v>
      </c>
      <c r="C752" s="440" t="s">
        <v>1058</v>
      </c>
      <c r="D752" s="203" t="s">
        <v>2177</v>
      </c>
      <c r="E752" s="203" t="s">
        <v>1683</v>
      </c>
      <c r="F752" s="294"/>
      <c r="J752" s="203" t="s">
        <v>969</v>
      </c>
      <c r="K752" s="203" t="s">
        <v>969</v>
      </c>
      <c r="L752" s="203" t="s">
        <v>969</v>
      </c>
      <c r="M752" s="203" t="s">
        <v>454</v>
      </c>
      <c r="N752" s="203">
        <v>20.3917</v>
      </c>
      <c r="O752" s="203">
        <v>92.770899999999997</v>
      </c>
      <c r="P752" s="203" t="s">
        <v>970</v>
      </c>
      <c r="R752" s="429"/>
      <c r="S752" s="430"/>
      <c r="T752" s="542" t="s">
        <v>935</v>
      </c>
      <c r="U752" s="427"/>
      <c r="V752" s="203" t="s">
        <v>1058</v>
      </c>
    </row>
    <row r="753" spans="1:22" s="203" customFormat="1" ht="12.75" hidden="1" x14ac:dyDescent="0.2">
      <c r="A753" s="446" t="s">
        <v>454</v>
      </c>
      <c r="B753" s="446" t="s">
        <v>498</v>
      </c>
      <c r="C753" s="445" t="s">
        <v>727</v>
      </c>
      <c r="D753" s="203" t="s">
        <v>2177</v>
      </c>
      <c r="E753" s="203" t="s">
        <v>1776</v>
      </c>
      <c r="J753" s="203" t="s">
        <v>969</v>
      </c>
      <c r="K753" s="203" t="s">
        <v>969</v>
      </c>
      <c r="L753" s="203" t="s">
        <v>969</v>
      </c>
      <c r="M753" s="203" t="s">
        <v>966</v>
      </c>
      <c r="N753" s="203">
        <v>20.716560363769499</v>
      </c>
      <c r="O753" s="203">
        <v>92.645408630371094</v>
      </c>
      <c r="P753" s="203" t="s">
        <v>970</v>
      </c>
      <c r="Q753" s="203" t="s">
        <v>951</v>
      </c>
      <c r="R753" s="429"/>
      <c r="S753" s="430"/>
      <c r="T753" s="542" t="s">
        <v>976</v>
      </c>
      <c r="U753" s="427"/>
      <c r="V753" s="203" t="s">
        <v>935</v>
      </c>
    </row>
    <row r="754" spans="1:22" s="203" customFormat="1" ht="12.75" hidden="1" x14ac:dyDescent="0.2">
      <c r="A754" s="446" t="s">
        <v>454</v>
      </c>
      <c r="B754" s="446" t="s">
        <v>498</v>
      </c>
      <c r="C754" s="445" t="s">
        <v>737</v>
      </c>
      <c r="D754" s="203" t="s">
        <v>2177</v>
      </c>
      <c r="E754" s="203" t="s">
        <v>1788</v>
      </c>
      <c r="J754" s="203" t="s">
        <v>969</v>
      </c>
      <c r="K754" s="203" t="s">
        <v>969</v>
      </c>
      <c r="L754" s="203" t="s">
        <v>969</v>
      </c>
      <c r="M754" s="203" t="s">
        <v>454</v>
      </c>
      <c r="N754" s="203">
        <v>20.7253303527832</v>
      </c>
      <c r="O754" s="203">
        <v>92.647956848144503</v>
      </c>
      <c r="P754" s="203" t="s">
        <v>970</v>
      </c>
      <c r="Q754" s="203" t="s">
        <v>951</v>
      </c>
      <c r="R754" s="429"/>
      <c r="S754" s="430"/>
      <c r="T754" s="542" t="s">
        <v>976</v>
      </c>
      <c r="U754" s="427"/>
      <c r="V754" s="203" t="s">
        <v>935</v>
      </c>
    </row>
    <row r="755" spans="1:22" s="203" customFormat="1" ht="12" hidden="1" customHeight="1" x14ac:dyDescent="0.2">
      <c r="A755" s="446" t="s">
        <v>454</v>
      </c>
      <c r="B755" s="446" t="s">
        <v>498</v>
      </c>
      <c r="C755" s="445" t="s">
        <v>657</v>
      </c>
      <c r="D755" s="203" t="s">
        <v>2177</v>
      </c>
      <c r="E755" s="203" t="s">
        <v>1709</v>
      </c>
      <c r="J755" s="203" t="s">
        <v>969</v>
      </c>
      <c r="K755" s="203" t="s">
        <v>969</v>
      </c>
      <c r="L755" s="203" t="s">
        <v>969</v>
      </c>
      <c r="M755" s="203" t="s">
        <v>454</v>
      </c>
      <c r="N755" s="203">
        <v>20.5230903625488</v>
      </c>
      <c r="O755" s="203">
        <v>92.637947082519503</v>
      </c>
      <c r="P755" s="203" t="s">
        <v>970</v>
      </c>
      <c r="Q755" s="203" t="s">
        <v>951</v>
      </c>
      <c r="R755" s="429"/>
      <c r="S755" s="430"/>
      <c r="T755" s="542" t="s">
        <v>935</v>
      </c>
      <c r="U755" s="427"/>
      <c r="V755" s="203" t="s">
        <v>657</v>
      </c>
    </row>
    <row r="756" spans="1:22" s="203" customFormat="1" ht="12.75" hidden="1" x14ac:dyDescent="0.2">
      <c r="A756" s="446" t="s">
        <v>454</v>
      </c>
      <c r="B756" s="441" t="s">
        <v>498</v>
      </c>
      <c r="C756" s="440" t="s">
        <v>662</v>
      </c>
      <c r="D756" s="203" t="s">
        <v>2177</v>
      </c>
      <c r="E756" s="203" t="s">
        <v>1714</v>
      </c>
      <c r="J756" s="203" t="s">
        <v>969</v>
      </c>
      <c r="K756" s="203" t="s">
        <v>969</v>
      </c>
      <c r="L756" s="203" t="s">
        <v>969</v>
      </c>
      <c r="M756" s="203" t="s">
        <v>966</v>
      </c>
      <c r="N756" s="203">
        <v>20.5501308441162</v>
      </c>
      <c r="O756" s="203">
        <v>92.656723022460895</v>
      </c>
      <c r="P756" s="203" t="s">
        <v>970</v>
      </c>
      <c r="Q756" s="203" t="s">
        <v>951</v>
      </c>
      <c r="R756" s="429"/>
      <c r="S756" s="430"/>
      <c r="T756" s="542" t="s">
        <v>935</v>
      </c>
      <c r="U756" s="427"/>
      <c r="V756" s="203" t="s">
        <v>662</v>
      </c>
    </row>
    <row r="757" spans="1:22" s="203" customFormat="1" ht="12.75" hidden="1" x14ac:dyDescent="0.2">
      <c r="A757" s="446" t="s">
        <v>454</v>
      </c>
      <c r="B757" s="441" t="s">
        <v>498</v>
      </c>
      <c r="C757" s="440" t="s">
        <v>648</v>
      </c>
      <c r="D757" s="203" t="s">
        <v>2177</v>
      </c>
      <c r="E757" s="203">
        <v>197614</v>
      </c>
      <c r="J757" s="203" t="s">
        <v>969</v>
      </c>
      <c r="K757" s="203" t="s">
        <v>969</v>
      </c>
      <c r="L757" s="203" t="s">
        <v>969</v>
      </c>
      <c r="M757" s="203" t="s">
        <v>454</v>
      </c>
      <c r="N757" s="203">
        <v>20.486930847168001</v>
      </c>
      <c r="O757" s="203">
        <v>92.662757873535199</v>
      </c>
      <c r="P757" s="203" t="s">
        <v>970</v>
      </c>
      <c r="Q757" s="203" t="s">
        <v>973</v>
      </c>
      <c r="R757" s="429"/>
      <c r="S757" s="430"/>
      <c r="T757" s="542">
        <v>42926</v>
      </c>
      <c r="U757" s="427" t="s">
        <v>974</v>
      </c>
    </row>
    <row r="758" spans="1:22" s="203" customFormat="1" ht="12.75" hidden="1" x14ac:dyDescent="0.2">
      <c r="A758" s="446" t="s">
        <v>454</v>
      </c>
      <c r="B758" s="441" t="s">
        <v>498</v>
      </c>
      <c r="C758" s="440" t="s">
        <v>645</v>
      </c>
      <c r="D758" s="203" t="s">
        <v>2177</v>
      </c>
      <c r="E758" s="203">
        <v>197617</v>
      </c>
      <c r="J758" s="203" t="s">
        <v>969</v>
      </c>
      <c r="K758" s="203" t="s">
        <v>969</v>
      </c>
      <c r="L758" s="203" t="s">
        <v>969</v>
      </c>
      <c r="M758" s="203" t="s">
        <v>454</v>
      </c>
      <c r="N758" s="203">
        <v>20.478969573974599</v>
      </c>
      <c r="O758" s="203">
        <v>92.683746337890597</v>
      </c>
      <c r="P758" s="203" t="s">
        <v>970</v>
      </c>
      <c r="Q758" s="203" t="s">
        <v>973</v>
      </c>
      <c r="R758" s="429"/>
      <c r="S758" s="430"/>
      <c r="T758" s="542">
        <v>42926</v>
      </c>
      <c r="U758" s="427" t="s">
        <v>974</v>
      </c>
    </row>
    <row r="759" spans="1:22" s="203" customFormat="1" ht="12.75" hidden="1" x14ac:dyDescent="0.2">
      <c r="A759" s="446" t="s">
        <v>454</v>
      </c>
      <c r="B759" s="441" t="s">
        <v>498</v>
      </c>
      <c r="C759" s="440" t="s">
        <v>689</v>
      </c>
      <c r="D759" s="203" t="s">
        <v>2177</v>
      </c>
      <c r="E759" s="203">
        <v>197673</v>
      </c>
      <c r="J759" s="203" t="s">
        <v>969</v>
      </c>
      <c r="K759" s="203" t="s">
        <v>969</v>
      </c>
      <c r="L759" s="203" t="s">
        <v>969</v>
      </c>
      <c r="M759" s="203" t="s">
        <v>454</v>
      </c>
      <c r="N759" s="203">
        <v>20.665929794311499</v>
      </c>
      <c r="O759" s="203">
        <v>92.672691345214801</v>
      </c>
      <c r="P759" s="203" t="s">
        <v>970</v>
      </c>
      <c r="Q759" s="203" t="s">
        <v>951</v>
      </c>
      <c r="R759" s="429"/>
      <c r="S759" s="430"/>
      <c r="T759" s="542" t="s">
        <v>951</v>
      </c>
      <c r="U759" s="427"/>
    </row>
    <row r="760" spans="1:22" s="203" customFormat="1" ht="12.75" hidden="1" x14ac:dyDescent="0.2">
      <c r="A760" s="446" t="s">
        <v>454</v>
      </c>
      <c r="B760" s="446" t="s">
        <v>498</v>
      </c>
      <c r="C760" s="445" t="s">
        <v>1079</v>
      </c>
      <c r="D760" s="203" t="s">
        <v>2177</v>
      </c>
      <c r="E760" s="203" t="s">
        <v>1721</v>
      </c>
      <c r="J760" s="203" t="s">
        <v>969</v>
      </c>
      <c r="K760" s="203" t="s">
        <v>969</v>
      </c>
      <c r="L760" s="203" t="s">
        <v>969</v>
      </c>
      <c r="M760" s="203" t="s">
        <v>935</v>
      </c>
      <c r="N760" s="203">
        <v>20.575780868530298</v>
      </c>
      <c r="O760" s="203">
        <v>92.670402526855497</v>
      </c>
      <c r="P760" s="203" t="s">
        <v>970</v>
      </c>
      <c r="R760" s="429"/>
      <c r="S760" s="430"/>
      <c r="T760" s="542" t="s">
        <v>935</v>
      </c>
      <c r="U760" s="427"/>
      <c r="V760" s="203" t="s">
        <v>1079</v>
      </c>
    </row>
    <row r="761" spans="1:22" s="203" customFormat="1" ht="12.75" hidden="1" x14ac:dyDescent="0.2">
      <c r="A761" s="446" t="s">
        <v>454</v>
      </c>
      <c r="B761" s="441" t="s">
        <v>498</v>
      </c>
      <c r="C761" s="440" t="s">
        <v>693</v>
      </c>
      <c r="D761" s="203" t="s">
        <v>2177</v>
      </c>
      <c r="E761" s="203">
        <v>197675</v>
      </c>
      <c r="J761" s="203" t="s">
        <v>969</v>
      </c>
      <c r="K761" s="203" t="s">
        <v>969</v>
      </c>
      <c r="L761" s="203" t="s">
        <v>969</v>
      </c>
      <c r="M761" s="203" t="s">
        <v>454</v>
      </c>
      <c r="N761" s="203">
        <v>20.670539855956999</v>
      </c>
      <c r="O761" s="203">
        <v>92.703033447265597</v>
      </c>
      <c r="P761" s="203" t="s">
        <v>970</v>
      </c>
      <c r="Q761" s="203" t="s">
        <v>951</v>
      </c>
      <c r="R761" s="429"/>
      <c r="S761" s="430"/>
      <c r="T761" s="542" t="s">
        <v>951</v>
      </c>
      <c r="U761" s="427"/>
    </row>
    <row r="762" spans="1:22" s="203" customFormat="1" ht="12.75" hidden="1" x14ac:dyDescent="0.2">
      <c r="A762" s="446" t="s">
        <v>454</v>
      </c>
      <c r="B762" s="446" t="s">
        <v>498</v>
      </c>
      <c r="C762" s="445" t="s">
        <v>642</v>
      </c>
      <c r="D762" s="203" t="s">
        <v>2177</v>
      </c>
      <c r="E762" s="203">
        <v>197632</v>
      </c>
      <c r="J762" s="203" t="s">
        <v>969</v>
      </c>
      <c r="K762" s="203" t="s">
        <v>969</v>
      </c>
      <c r="L762" s="203" t="s">
        <v>969</v>
      </c>
      <c r="M762" s="203" t="s">
        <v>454</v>
      </c>
      <c r="N762" s="203">
        <v>20.46994972229</v>
      </c>
      <c r="O762" s="203">
        <v>92.676437377929702</v>
      </c>
      <c r="P762" s="203" t="s">
        <v>970</v>
      </c>
      <c r="Q762" s="203" t="s">
        <v>973</v>
      </c>
      <c r="R762" s="425"/>
      <c r="S762" s="426"/>
      <c r="T762" s="542">
        <v>42926</v>
      </c>
      <c r="U762" s="427" t="s">
        <v>974</v>
      </c>
    </row>
    <row r="763" spans="1:22" s="203" customFormat="1" hidden="1" x14ac:dyDescent="0.25">
      <c r="A763" s="446" t="s">
        <v>454</v>
      </c>
      <c r="B763" s="441" t="s">
        <v>455</v>
      </c>
      <c r="C763" s="440" t="s">
        <v>2403</v>
      </c>
      <c r="D763" s="295" t="s">
        <v>2397</v>
      </c>
      <c r="E763" s="433"/>
      <c r="F763" s="433"/>
      <c r="G763" s="433"/>
      <c r="H763" s="433"/>
      <c r="I763" s="433"/>
      <c r="J763" s="203" t="s">
        <v>969</v>
      </c>
      <c r="K763" s="203" t="s">
        <v>969</v>
      </c>
      <c r="L763" s="203" t="s">
        <v>969</v>
      </c>
      <c r="P763" s="203" t="s">
        <v>970</v>
      </c>
      <c r="R763" s="294">
        <v>292</v>
      </c>
      <c r="S763" s="294">
        <v>1414</v>
      </c>
      <c r="T763" s="542"/>
      <c r="U763" s="427"/>
    </row>
    <row r="764" spans="1:22" s="203" customFormat="1" ht="12.75" hidden="1" x14ac:dyDescent="0.2">
      <c r="A764" s="294" t="s">
        <v>454</v>
      </c>
      <c r="B764" s="441" t="s">
        <v>455</v>
      </c>
      <c r="C764" s="440" t="s">
        <v>456</v>
      </c>
      <c r="D764" s="203" t="s">
        <v>2177</v>
      </c>
      <c r="J764" s="203" t="s">
        <v>975</v>
      </c>
      <c r="K764" s="203" t="s">
        <v>969</v>
      </c>
      <c r="L764" s="203" t="s">
        <v>975</v>
      </c>
      <c r="M764" s="203" t="s">
        <v>966</v>
      </c>
      <c r="P764" s="203" t="s">
        <v>1094</v>
      </c>
      <c r="Q764" s="203" t="s">
        <v>931</v>
      </c>
      <c r="R764" s="429"/>
      <c r="S764" s="430"/>
      <c r="T764" s="542">
        <v>42811</v>
      </c>
      <c r="U764" s="427"/>
    </row>
    <row r="765" spans="1:22" s="203" customFormat="1" ht="12.75" hidden="1" x14ac:dyDescent="0.2">
      <c r="A765" s="294" t="s">
        <v>454</v>
      </c>
      <c r="B765" s="441" t="s">
        <v>455</v>
      </c>
      <c r="C765" s="440" t="s">
        <v>614</v>
      </c>
      <c r="D765" s="203" t="s">
        <v>2177</v>
      </c>
      <c r="E765" s="203" t="s">
        <v>1670</v>
      </c>
      <c r="J765" s="203" t="s">
        <v>969</v>
      </c>
      <c r="K765" s="203" t="s">
        <v>969</v>
      </c>
      <c r="L765" s="203" t="s">
        <v>969</v>
      </c>
      <c r="M765" s="203" t="s">
        <v>966</v>
      </c>
      <c r="N765" s="203">
        <v>20.235199999999999</v>
      </c>
      <c r="O765" s="203">
        <v>92.805000000000007</v>
      </c>
      <c r="P765" s="203" t="s">
        <v>970</v>
      </c>
      <c r="Q765" s="203" t="s">
        <v>951</v>
      </c>
      <c r="R765" s="425"/>
      <c r="S765" s="426"/>
      <c r="T765" s="542" t="s">
        <v>935</v>
      </c>
      <c r="U765" s="427"/>
      <c r="V765" s="203" t="s">
        <v>614</v>
      </c>
    </row>
    <row r="766" spans="1:22" s="203" customFormat="1" ht="12.75" hidden="1" x14ac:dyDescent="0.2">
      <c r="A766" s="294" t="s">
        <v>454</v>
      </c>
      <c r="B766" s="441" t="s">
        <v>455</v>
      </c>
      <c r="C766" s="440" t="s">
        <v>2185</v>
      </c>
      <c r="D766" s="295" t="s">
        <v>2397</v>
      </c>
      <c r="J766" s="203" t="s">
        <v>969</v>
      </c>
      <c r="K766" s="203" t="s">
        <v>969</v>
      </c>
      <c r="L766" s="203" t="s">
        <v>969</v>
      </c>
      <c r="P766" s="203" t="s">
        <v>970</v>
      </c>
      <c r="R766" s="294">
        <v>380</v>
      </c>
      <c r="S766" s="294">
        <v>1813</v>
      </c>
      <c r="T766" s="542"/>
      <c r="U766" s="427"/>
    </row>
    <row r="767" spans="1:22" s="203" customFormat="1" ht="12.75" hidden="1" x14ac:dyDescent="0.2">
      <c r="A767" s="294" t="s">
        <v>454</v>
      </c>
      <c r="B767" s="441" t="s">
        <v>455</v>
      </c>
      <c r="C767" s="440" t="s">
        <v>615</v>
      </c>
      <c r="D767" s="203" t="s">
        <v>2177</v>
      </c>
      <c r="E767" s="203" t="s">
        <v>1671</v>
      </c>
      <c r="J767" s="203" t="s">
        <v>969</v>
      </c>
      <c r="K767" s="203" t="s">
        <v>969</v>
      </c>
      <c r="L767" s="203" t="s">
        <v>969</v>
      </c>
      <c r="M767" s="203" t="s">
        <v>454</v>
      </c>
      <c r="N767" s="203">
        <v>20.235199999999999</v>
      </c>
      <c r="O767" s="203">
        <v>92.790199999999999</v>
      </c>
      <c r="P767" s="203" t="s">
        <v>970</v>
      </c>
      <c r="Q767" s="203" t="s">
        <v>951</v>
      </c>
      <c r="R767" s="425"/>
      <c r="S767" s="426"/>
      <c r="T767" s="542" t="s">
        <v>935</v>
      </c>
      <c r="U767" s="427"/>
      <c r="V767" s="203" t="s">
        <v>615</v>
      </c>
    </row>
    <row r="768" spans="1:22" s="203" customFormat="1" ht="12.75" hidden="1" x14ac:dyDescent="0.2">
      <c r="A768" s="294" t="s">
        <v>454</v>
      </c>
      <c r="B768" s="441" t="s">
        <v>455</v>
      </c>
      <c r="C768" s="440" t="s">
        <v>2402</v>
      </c>
      <c r="D768" s="295" t="s">
        <v>2397</v>
      </c>
      <c r="J768" s="203" t="s">
        <v>969</v>
      </c>
      <c r="K768" s="203" t="s">
        <v>969</v>
      </c>
      <c r="L768" s="203" t="s">
        <v>969</v>
      </c>
      <c r="P768" s="203" t="s">
        <v>970</v>
      </c>
      <c r="R768" s="294">
        <v>615</v>
      </c>
      <c r="S768" s="294">
        <v>2985</v>
      </c>
      <c r="T768" s="542"/>
      <c r="U768" s="427"/>
    </row>
    <row r="769" spans="1:22" s="203" customFormat="1" ht="12.75" hidden="1" x14ac:dyDescent="0.2">
      <c r="A769" s="294" t="s">
        <v>454</v>
      </c>
      <c r="B769" s="441" t="s">
        <v>455</v>
      </c>
      <c r="C769" s="440" t="s">
        <v>575</v>
      </c>
      <c r="D769" s="203" t="s">
        <v>2177</v>
      </c>
      <c r="E769" s="203" t="s">
        <v>1628</v>
      </c>
      <c r="J769" s="203" t="s">
        <v>969</v>
      </c>
      <c r="K769" s="203" t="s">
        <v>969</v>
      </c>
      <c r="L769" s="203" t="s">
        <v>969</v>
      </c>
      <c r="M769" s="203" t="s">
        <v>966</v>
      </c>
      <c r="N769" s="203">
        <v>20.127127999999999</v>
      </c>
      <c r="O769" s="203">
        <v>92.875450000000001</v>
      </c>
      <c r="P769" s="203" t="s">
        <v>970</v>
      </c>
      <c r="Q769" s="203" t="s">
        <v>951</v>
      </c>
      <c r="R769" s="425"/>
      <c r="S769" s="426"/>
      <c r="T769" s="542" t="s">
        <v>935</v>
      </c>
      <c r="U769" s="427"/>
      <c r="V769" s="203" t="s">
        <v>575</v>
      </c>
    </row>
    <row r="770" spans="1:22" s="203" customFormat="1" ht="12.75" hidden="1" x14ac:dyDescent="0.2">
      <c r="A770" s="294" t="s">
        <v>454</v>
      </c>
      <c r="B770" s="441" t="s">
        <v>455</v>
      </c>
      <c r="C770" s="440" t="s">
        <v>576</v>
      </c>
      <c r="D770" s="203" t="s">
        <v>2942</v>
      </c>
      <c r="E770" s="203" t="s">
        <v>1629</v>
      </c>
      <c r="F770" s="203" t="s">
        <v>2262</v>
      </c>
      <c r="G770" s="203" t="s">
        <v>2263</v>
      </c>
      <c r="H770" s="203" t="s">
        <v>48</v>
      </c>
      <c r="J770" s="203" t="s">
        <v>50</v>
      </c>
      <c r="K770" s="203" t="s">
        <v>50</v>
      </c>
      <c r="L770" s="203" t="s">
        <v>965</v>
      </c>
      <c r="M770" s="203" t="s">
        <v>966</v>
      </c>
      <c r="N770" s="203">
        <v>20.128488999999998</v>
      </c>
      <c r="O770" s="203">
        <v>92.875814000000005</v>
      </c>
      <c r="P770" s="203" t="s">
        <v>930</v>
      </c>
      <c r="Q770" s="203" t="s">
        <v>951</v>
      </c>
      <c r="R770" s="425">
        <v>396</v>
      </c>
      <c r="S770" s="426">
        <v>2266</v>
      </c>
      <c r="T770" s="542" t="s">
        <v>935</v>
      </c>
      <c r="U770" s="427"/>
      <c r="V770" s="203" t="s">
        <v>1011</v>
      </c>
    </row>
    <row r="771" spans="1:22" s="203" customFormat="1" ht="12.75" hidden="1" x14ac:dyDescent="0.2">
      <c r="A771" s="294" t="s">
        <v>454</v>
      </c>
      <c r="B771" s="441" t="s">
        <v>455</v>
      </c>
      <c r="C771" s="440" t="s">
        <v>1036</v>
      </c>
      <c r="D771" s="203" t="s">
        <v>2178</v>
      </c>
      <c r="E771" s="203" t="s">
        <v>1650</v>
      </c>
      <c r="F771" s="203" t="s">
        <v>2184</v>
      </c>
      <c r="G771" s="203" t="s">
        <v>2210</v>
      </c>
      <c r="J771" s="203" t="s">
        <v>50</v>
      </c>
      <c r="K771" s="203" t="s">
        <v>50</v>
      </c>
      <c r="L771" s="203" t="s">
        <v>929</v>
      </c>
      <c r="M771" s="203" t="s">
        <v>966</v>
      </c>
      <c r="N771" s="203">
        <v>20.181238</v>
      </c>
      <c r="O771" s="203">
        <v>92.807418999999996</v>
      </c>
      <c r="P771" s="203" t="s">
        <v>930</v>
      </c>
      <c r="Q771" s="203" t="s">
        <v>951</v>
      </c>
      <c r="R771" s="425"/>
      <c r="S771" s="426"/>
      <c r="T771" s="542" t="s">
        <v>935</v>
      </c>
      <c r="U771" s="427"/>
      <c r="V771" s="203" t="s">
        <v>1036</v>
      </c>
    </row>
    <row r="772" spans="1:22" s="203" customFormat="1" ht="12.75" x14ac:dyDescent="0.2">
      <c r="A772" s="294" t="s">
        <v>454</v>
      </c>
      <c r="B772" s="441" t="s">
        <v>455</v>
      </c>
      <c r="C772" s="440" t="s">
        <v>593</v>
      </c>
      <c r="D772" s="203" t="s">
        <v>2942</v>
      </c>
      <c r="E772" s="203" t="s">
        <v>1654</v>
      </c>
      <c r="F772" s="203" t="s">
        <v>2184</v>
      </c>
      <c r="G772" s="203" t="s">
        <v>2210</v>
      </c>
      <c r="H772" s="203" t="s">
        <v>48</v>
      </c>
      <c r="J772" s="203" t="s">
        <v>969</v>
      </c>
      <c r="K772" s="203" t="s">
        <v>969</v>
      </c>
      <c r="L772" s="203" t="s">
        <v>942</v>
      </c>
      <c r="M772" s="203" t="s">
        <v>966</v>
      </c>
      <c r="N772" s="203">
        <v>20.182987000000001</v>
      </c>
      <c r="O772" s="203">
        <v>92.804803000000007</v>
      </c>
      <c r="P772" s="203" t="s">
        <v>943</v>
      </c>
      <c r="Q772" s="203" t="s">
        <v>951</v>
      </c>
      <c r="R772" s="425">
        <v>41</v>
      </c>
      <c r="S772" s="426">
        <v>226</v>
      </c>
      <c r="T772" s="542" t="s">
        <v>935</v>
      </c>
      <c r="U772" s="427"/>
      <c r="V772" s="203" t="s">
        <v>1038</v>
      </c>
    </row>
    <row r="773" spans="1:22" s="203" customFormat="1" ht="12.75" hidden="1" x14ac:dyDescent="0.2">
      <c r="A773" s="294" t="s">
        <v>454</v>
      </c>
      <c r="B773" s="441" t="s">
        <v>455</v>
      </c>
      <c r="C773" s="440" t="s">
        <v>587</v>
      </c>
      <c r="D773" s="203" t="s">
        <v>2942</v>
      </c>
      <c r="E773" s="203" t="s">
        <v>1647</v>
      </c>
      <c r="F773" s="203" t="s">
        <v>2184</v>
      </c>
      <c r="G773" s="203" t="s">
        <v>2210</v>
      </c>
      <c r="H773" s="203" t="s">
        <v>48</v>
      </c>
      <c r="J773" s="203" t="s">
        <v>50</v>
      </c>
      <c r="K773" s="203" t="s">
        <v>50</v>
      </c>
      <c r="L773" s="203" t="s">
        <v>965</v>
      </c>
      <c r="M773" s="203" t="s">
        <v>966</v>
      </c>
      <c r="N773" s="203">
        <v>20.179417000000001</v>
      </c>
      <c r="O773" s="203">
        <v>92.813028000000003</v>
      </c>
      <c r="P773" s="203" t="s">
        <v>930</v>
      </c>
      <c r="R773" s="425">
        <v>1028</v>
      </c>
      <c r="S773" s="426">
        <v>4833</v>
      </c>
      <c r="T773" s="542"/>
      <c r="U773" s="427" t="s">
        <v>1033</v>
      </c>
    </row>
    <row r="774" spans="1:22" s="203" customFormat="1" ht="12.75" hidden="1" x14ac:dyDescent="0.2">
      <c r="A774" s="294" t="s">
        <v>454</v>
      </c>
      <c r="B774" s="441" t="s">
        <v>455</v>
      </c>
      <c r="C774" s="440" t="s">
        <v>590</v>
      </c>
      <c r="D774" s="203" t="s">
        <v>2942</v>
      </c>
      <c r="E774" s="203" t="s">
        <v>1651</v>
      </c>
      <c r="F774" s="203" t="s">
        <v>2184</v>
      </c>
      <c r="G774" s="203" t="s">
        <v>2210</v>
      </c>
      <c r="H774" s="203" t="s">
        <v>48</v>
      </c>
      <c r="J774" s="203" t="s">
        <v>50</v>
      </c>
      <c r="K774" s="203" t="s">
        <v>50</v>
      </c>
      <c r="L774" s="203" t="s">
        <v>965</v>
      </c>
      <c r="M774" s="203" t="s">
        <v>966</v>
      </c>
      <c r="N774" s="203">
        <v>20.181405999999999</v>
      </c>
      <c r="O774" s="203">
        <v>92.807552000000001</v>
      </c>
      <c r="P774" s="203" t="s">
        <v>930</v>
      </c>
      <c r="R774" s="425">
        <v>1340</v>
      </c>
      <c r="S774" s="426">
        <v>7377</v>
      </c>
      <c r="T774" s="542"/>
      <c r="U774" s="427" t="s">
        <v>1033</v>
      </c>
    </row>
    <row r="775" spans="1:22" s="203" customFormat="1" ht="12.75" hidden="1" x14ac:dyDescent="0.2">
      <c r="A775" s="294" t="s">
        <v>454</v>
      </c>
      <c r="B775" s="446" t="s">
        <v>455</v>
      </c>
      <c r="C775" s="445" t="s">
        <v>1265</v>
      </c>
      <c r="D775" s="203" t="s">
        <v>2177</v>
      </c>
      <c r="J775" s="203" t="s">
        <v>969</v>
      </c>
      <c r="K775" s="203" t="s">
        <v>969</v>
      </c>
      <c r="L775" s="203" t="s">
        <v>969</v>
      </c>
      <c r="M775" s="203" t="s">
        <v>966</v>
      </c>
      <c r="P775" s="203" t="s">
        <v>970</v>
      </c>
      <c r="Q775" s="203" t="s">
        <v>931</v>
      </c>
      <c r="R775" s="429"/>
      <c r="S775" s="430"/>
      <c r="T775" s="542">
        <v>42804</v>
      </c>
      <c r="U775" s="427"/>
      <c r="V775" s="203" t="s">
        <v>1265</v>
      </c>
    </row>
    <row r="776" spans="1:22" s="203" customFormat="1" ht="12.75" hidden="1" x14ac:dyDescent="0.2">
      <c r="A776" s="203" t="s">
        <v>454</v>
      </c>
      <c r="B776" s="441" t="s">
        <v>455</v>
      </c>
      <c r="C776" s="440" t="s">
        <v>577</v>
      </c>
      <c r="D776" s="203" t="s">
        <v>2177</v>
      </c>
      <c r="E776" s="203">
        <v>196200</v>
      </c>
      <c r="J776" s="203" t="s">
        <v>975</v>
      </c>
      <c r="K776" s="203" t="s">
        <v>969</v>
      </c>
      <c r="L776" s="203" t="s">
        <v>975</v>
      </c>
      <c r="M776" s="203" t="s">
        <v>966</v>
      </c>
      <c r="N776" s="203">
        <v>20.1438598632813</v>
      </c>
      <c r="O776" s="203">
        <v>92.867576599121094</v>
      </c>
      <c r="P776" s="203" t="s">
        <v>1094</v>
      </c>
      <c r="Q776" s="203" t="s">
        <v>931</v>
      </c>
      <c r="R776" s="425"/>
      <c r="S776" s="426"/>
      <c r="T776" s="542">
        <v>42811</v>
      </c>
      <c r="U776" s="427"/>
    </row>
    <row r="777" spans="1:22" s="203" customFormat="1" ht="12.75" hidden="1" x14ac:dyDescent="0.2">
      <c r="A777" s="294" t="s">
        <v>454</v>
      </c>
      <c r="B777" s="441" t="s">
        <v>455</v>
      </c>
      <c r="C777" s="440" t="s">
        <v>621</v>
      </c>
      <c r="D777" s="203" t="s">
        <v>2177</v>
      </c>
      <c r="E777" s="203">
        <v>196172</v>
      </c>
      <c r="J777" s="203" t="s">
        <v>975</v>
      </c>
      <c r="K777" s="203" t="s">
        <v>969</v>
      </c>
      <c r="L777" s="203" t="s">
        <v>975</v>
      </c>
      <c r="M777" s="203" t="s">
        <v>454</v>
      </c>
      <c r="N777" s="203">
        <v>20.286720275878899</v>
      </c>
      <c r="O777" s="203">
        <v>92.882843017578097</v>
      </c>
      <c r="P777" s="203" t="s">
        <v>1094</v>
      </c>
      <c r="Q777" s="203" t="s">
        <v>931</v>
      </c>
      <c r="R777" s="429"/>
      <c r="S777" s="430"/>
      <c r="T777" s="542">
        <v>42811</v>
      </c>
      <c r="U777" s="427"/>
    </row>
    <row r="778" spans="1:22" s="203" customFormat="1" ht="12.75" hidden="1" x14ac:dyDescent="0.2">
      <c r="A778" s="203" t="s">
        <v>454</v>
      </c>
      <c r="B778" s="441" t="s">
        <v>455</v>
      </c>
      <c r="C778" s="440" t="s">
        <v>586</v>
      </c>
      <c r="D778" s="203" t="s">
        <v>2942</v>
      </c>
      <c r="E778" s="294" t="s">
        <v>1645</v>
      </c>
      <c r="F778" s="203" t="s">
        <v>577</v>
      </c>
      <c r="G778" s="203" t="s">
        <v>2264</v>
      </c>
      <c r="H778" s="203" t="s">
        <v>48</v>
      </c>
      <c r="J778" s="203" t="s">
        <v>50</v>
      </c>
      <c r="K778" s="203" t="s">
        <v>50</v>
      </c>
      <c r="L778" s="203" t="s">
        <v>965</v>
      </c>
      <c r="M778" s="203" t="s">
        <v>966</v>
      </c>
      <c r="N778" s="203">
        <v>20.16846</v>
      </c>
      <c r="O778" s="203">
        <v>92.827427</v>
      </c>
      <c r="P778" s="203" t="s">
        <v>930</v>
      </c>
      <c r="Q778" s="203" t="s">
        <v>951</v>
      </c>
      <c r="R778" s="425">
        <v>1983</v>
      </c>
      <c r="S778" s="426">
        <v>11363</v>
      </c>
      <c r="T778" s="542" t="s">
        <v>935</v>
      </c>
      <c r="U778" s="427"/>
      <c r="V778" s="203" t="s">
        <v>586</v>
      </c>
    </row>
    <row r="779" spans="1:22" s="203" customFormat="1" ht="12.75" hidden="1" x14ac:dyDescent="0.2">
      <c r="A779" s="203" t="s">
        <v>454</v>
      </c>
      <c r="B779" s="441" t="s">
        <v>455</v>
      </c>
      <c r="C779" s="440" t="s">
        <v>585</v>
      </c>
      <c r="D779" s="203" t="s">
        <v>2942</v>
      </c>
      <c r="E779" s="294" t="s">
        <v>1644</v>
      </c>
      <c r="F779" s="203" t="s">
        <v>577</v>
      </c>
      <c r="G779" s="203" t="s">
        <v>2264</v>
      </c>
      <c r="H779" s="203" t="s">
        <v>48</v>
      </c>
      <c r="J779" s="203" t="s">
        <v>50</v>
      </c>
      <c r="K779" s="203" t="s">
        <v>50</v>
      </c>
      <c r="L779" s="203" t="s">
        <v>942</v>
      </c>
      <c r="M779" s="203" t="s">
        <v>966</v>
      </c>
      <c r="N779" s="203">
        <v>20.167421999999998</v>
      </c>
      <c r="O779" s="203">
        <v>92.830074999999994</v>
      </c>
      <c r="P779" s="203" t="s">
        <v>943</v>
      </c>
      <c r="R779" s="425">
        <v>518</v>
      </c>
      <c r="S779" s="426">
        <v>2951</v>
      </c>
      <c r="T779" s="542" t="s">
        <v>935</v>
      </c>
      <c r="U779" s="427" t="s">
        <v>1028</v>
      </c>
      <c r="V779" s="203" t="s">
        <v>1029</v>
      </c>
    </row>
    <row r="780" spans="1:22" s="203" customFormat="1" ht="12.75" hidden="1" x14ac:dyDescent="0.2">
      <c r="A780" s="294" t="s">
        <v>454</v>
      </c>
      <c r="B780" s="441" t="s">
        <v>455</v>
      </c>
      <c r="C780" s="440" t="s">
        <v>459</v>
      </c>
      <c r="D780" s="203" t="s">
        <v>2177</v>
      </c>
      <c r="J780" s="203" t="s">
        <v>969</v>
      </c>
      <c r="K780" s="203" t="s">
        <v>969</v>
      </c>
      <c r="L780" s="203" t="s">
        <v>969</v>
      </c>
      <c r="M780" s="203" t="s">
        <v>966</v>
      </c>
      <c r="P780" s="203" t="s">
        <v>970</v>
      </c>
      <c r="Q780" s="203" t="s">
        <v>951</v>
      </c>
      <c r="R780" s="429"/>
      <c r="S780" s="430"/>
      <c r="T780" s="542" t="s">
        <v>935</v>
      </c>
      <c r="U780" s="427"/>
      <c r="V780" s="203" t="s">
        <v>459</v>
      </c>
    </row>
    <row r="781" spans="1:22" s="203" customFormat="1" ht="12.75" hidden="1" x14ac:dyDescent="0.2">
      <c r="A781" s="294" t="s">
        <v>454</v>
      </c>
      <c r="B781" s="441" t="s">
        <v>455</v>
      </c>
      <c r="C781" s="440" t="s">
        <v>2400</v>
      </c>
      <c r="D781" s="295" t="s">
        <v>2397</v>
      </c>
      <c r="J781" s="203" t="s">
        <v>969</v>
      </c>
      <c r="K781" s="203" t="s">
        <v>969</v>
      </c>
      <c r="L781" s="203" t="s">
        <v>969</v>
      </c>
      <c r="P781" s="203" t="s">
        <v>970</v>
      </c>
      <c r="R781" s="294">
        <v>22</v>
      </c>
      <c r="S781" s="294">
        <v>113</v>
      </c>
      <c r="T781" s="542"/>
      <c r="U781" s="427"/>
    </row>
    <row r="782" spans="1:22" s="203" customFormat="1" ht="12.75" hidden="1" x14ac:dyDescent="0.2">
      <c r="A782" s="203" t="s">
        <v>454</v>
      </c>
      <c r="B782" s="441" t="s">
        <v>455</v>
      </c>
      <c r="C782" s="440" t="s">
        <v>609</v>
      </c>
      <c r="D782" s="203" t="s">
        <v>2177</v>
      </c>
      <c r="E782" s="203" t="s">
        <v>1666</v>
      </c>
      <c r="J782" s="203" t="s">
        <v>969</v>
      </c>
      <c r="K782" s="203" t="s">
        <v>969</v>
      </c>
      <c r="L782" s="203" t="s">
        <v>969</v>
      </c>
      <c r="M782" s="203" t="s">
        <v>454</v>
      </c>
      <c r="N782" s="203">
        <v>20.218299999999999</v>
      </c>
      <c r="O782" s="203">
        <v>92.805999999999997</v>
      </c>
      <c r="P782" s="203" t="s">
        <v>970</v>
      </c>
      <c r="Q782" s="203" t="s">
        <v>951</v>
      </c>
      <c r="R782" s="425"/>
      <c r="S782" s="426"/>
      <c r="T782" s="542" t="s">
        <v>935</v>
      </c>
      <c r="U782" s="427"/>
      <c r="V782" s="203" t="s">
        <v>609</v>
      </c>
    </row>
    <row r="783" spans="1:22" s="203" customFormat="1" ht="12.75" hidden="1" x14ac:dyDescent="0.2">
      <c r="A783" s="203" t="s">
        <v>454</v>
      </c>
      <c r="B783" s="446" t="s">
        <v>455</v>
      </c>
      <c r="C783" s="445" t="s">
        <v>1021</v>
      </c>
      <c r="D783" s="203" t="s">
        <v>2178</v>
      </c>
      <c r="E783" s="203" t="s">
        <v>1639</v>
      </c>
      <c r="F783" s="203" t="s">
        <v>2209</v>
      </c>
      <c r="G783" s="203">
        <v>0</v>
      </c>
      <c r="J783" s="203" t="s">
        <v>50</v>
      </c>
      <c r="K783" s="203" t="s">
        <v>50</v>
      </c>
      <c r="L783" s="203" t="s">
        <v>929</v>
      </c>
      <c r="M783" s="203" t="s">
        <v>935</v>
      </c>
      <c r="N783" s="203">
        <v>20.153129</v>
      </c>
      <c r="O783" s="203">
        <v>92.897177999999997</v>
      </c>
      <c r="P783" s="203" t="s">
        <v>930</v>
      </c>
      <c r="R783" s="425"/>
      <c r="S783" s="426"/>
      <c r="T783" s="542" t="s">
        <v>935</v>
      </c>
      <c r="U783" s="427"/>
      <c r="V783" s="203" t="s">
        <v>1022</v>
      </c>
    </row>
    <row r="784" spans="1:22" s="203" customFormat="1" ht="12.75" hidden="1" x14ac:dyDescent="0.2">
      <c r="A784" s="203" t="s">
        <v>454</v>
      </c>
      <c r="B784" s="446" t="s">
        <v>455</v>
      </c>
      <c r="C784" s="445" t="s">
        <v>600</v>
      </c>
      <c r="D784" s="203" t="s">
        <v>2177</v>
      </c>
      <c r="E784" s="203">
        <v>196128</v>
      </c>
      <c r="J784" s="203" t="s">
        <v>975</v>
      </c>
      <c r="K784" s="203" t="s">
        <v>969</v>
      </c>
      <c r="L784" s="203" t="s">
        <v>975</v>
      </c>
      <c r="M784" s="203" t="s">
        <v>966</v>
      </c>
      <c r="N784" s="203">
        <v>20.194370269775401</v>
      </c>
      <c r="O784" s="203">
        <v>92.834007263183594</v>
      </c>
      <c r="P784" s="203" t="s">
        <v>1094</v>
      </c>
      <c r="Q784" s="203" t="s">
        <v>931</v>
      </c>
      <c r="R784" s="425"/>
      <c r="S784" s="426"/>
      <c r="T784" s="542">
        <v>42811</v>
      </c>
      <c r="U784" s="427"/>
    </row>
    <row r="785" spans="1:23" s="203" customFormat="1" ht="12.75" hidden="1" x14ac:dyDescent="0.2">
      <c r="A785" s="203" t="s">
        <v>454</v>
      </c>
      <c r="B785" s="446" t="s">
        <v>455</v>
      </c>
      <c r="C785" s="445" t="s">
        <v>594</v>
      </c>
      <c r="D785" s="203" t="s">
        <v>2177</v>
      </c>
      <c r="E785" s="203">
        <v>196197</v>
      </c>
      <c r="J785" s="203" t="s">
        <v>975</v>
      </c>
      <c r="K785" s="203" t="s">
        <v>969</v>
      </c>
      <c r="L785" s="203" t="s">
        <v>975</v>
      </c>
      <c r="M785" s="203" t="s">
        <v>966</v>
      </c>
      <c r="N785" s="203">
        <v>20.183790206909201</v>
      </c>
      <c r="O785" s="203">
        <v>92.864143371582003</v>
      </c>
      <c r="P785" s="203" t="s">
        <v>1094</v>
      </c>
      <c r="Q785" s="203" t="s">
        <v>931</v>
      </c>
      <c r="R785" s="425"/>
      <c r="S785" s="426"/>
      <c r="T785" s="542">
        <v>42811</v>
      </c>
      <c r="U785" s="427"/>
    </row>
    <row r="786" spans="1:23" s="203" customFormat="1" ht="12.75" hidden="1" x14ac:dyDescent="0.2">
      <c r="A786" s="203" t="s">
        <v>454</v>
      </c>
      <c r="B786" s="446" t="s">
        <v>455</v>
      </c>
      <c r="C786" s="445" t="s">
        <v>589</v>
      </c>
      <c r="D786" s="203" t="s">
        <v>2178</v>
      </c>
      <c r="E786" s="203" t="s">
        <v>1649</v>
      </c>
      <c r="F786" s="203" t="s">
        <v>2184</v>
      </c>
      <c r="G786" s="203">
        <v>0</v>
      </c>
      <c r="J786" s="203" t="s">
        <v>50</v>
      </c>
      <c r="K786" s="203" t="s">
        <v>50</v>
      </c>
      <c r="L786" s="203" t="s">
        <v>929</v>
      </c>
      <c r="M786" s="203" t="s">
        <v>966</v>
      </c>
      <c r="N786" s="203">
        <v>20.180194</v>
      </c>
      <c r="O786" s="203">
        <v>92.816638999999995</v>
      </c>
      <c r="P786" s="203" t="s">
        <v>930</v>
      </c>
      <c r="Q786" s="203" t="s">
        <v>951</v>
      </c>
      <c r="R786" s="425"/>
      <c r="S786" s="426"/>
      <c r="T786" s="542" t="s">
        <v>935</v>
      </c>
      <c r="U786" s="427"/>
      <c r="V786" s="203" t="s">
        <v>1035</v>
      </c>
    </row>
    <row r="787" spans="1:23" s="203" customFormat="1" ht="12.75" hidden="1" x14ac:dyDescent="0.2">
      <c r="A787" s="203" t="s">
        <v>454</v>
      </c>
      <c r="B787" s="446" t="s">
        <v>455</v>
      </c>
      <c r="C787" s="445" t="s">
        <v>592</v>
      </c>
      <c r="D787" s="203" t="s">
        <v>2942</v>
      </c>
      <c r="E787" s="203" t="s">
        <v>1653</v>
      </c>
      <c r="F787" s="203" t="s">
        <v>2184</v>
      </c>
      <c r="G787" s="203" t="s">
        <v>2184</v>
      </c>
      <c r="H787" s="203" t="s">
        <v>48</v>
      </c>
      <c r="J787" s="203" t="s">
        <v>50</v>
      </c>
      <c r="K787" s="203" t="s">
        <v>50</v>
      </c>
      <c r="L787" s="203" t="s">
        <v>965</v>
      </c>
      <c r="M787" s="203" t="s">
        <v>966</v>
      </c>
      <c r="N787" s="203">
        <v>20.181778000000001</v>
      </c>
      <c r="O787" s="203">
        <v>92.823166999999998</v>
      </c>
      <c r="P787" s="203" t="s">
        <v>930</v>
      </c>
      <c r="Q787" s="203" t="s">
        <v>951</v>
      </c>
      <c r="R787" s="425">
        <v>799</v>
      </c>
      <c r="S787" s="426">
        <v>4570</v>
      </c>
      <c r="T787" s="542" t="s">
        <v>935</v>
      </c>
      <c r="U787" s="427"/>
      <c r="V787" s="203" t="s">
        <v>1037</v>
      </c>
    </row>
    <row r="788" spans="1:23" ht="15" hidden="1" x14ac:dyDescent="0.25">
      <c r="A788" s="609" t="s">
        <v>454</v>
      </c>
      <c r="B788" s="701" t="s">
        <v>455</v>
      </c>
      <c r="C788" s="706" t="s">
        <v>2761</v>
      </c>
      <c r="D788" s="432"/>
      <c r="E788" s="203">
        <v>196180</v>
      </c>
      <c r="F788" s="697" t="s">
        <v>2762</v>
      </c>
      <c r="G788" s="203"/>
      <c r="H788" s="203"/>
      <c r="I788" s="203"/>
      <c r="J788" s="203" t="s">
        <v>969</v>
      </c>
      <c r="K788" s="441" t="s">
        <v>969</v>
      </c>
      <c r="L788" s="441" t="s">
        <v>969</v>
      </c>
      <c r="M788" s="203" t="s">
        <v>2518</v>
      </c>
      <c r="N788" s="203">
        <v>20.231519699096701</v>
      </c>
      <c r="O788" s="203">
        <v>92.876129150390597</v>
      </c>
      <c r="P788" s="203" t="s">
        <v>970</v>
      </c>
      <c r="Q788" s="203"/>
      <c r="R788" s="434"/>
      <c r="S788" s="426"/>
      <c r="T788" s="542">
        <v>43294</v>
      </c>
      <c r="U788" s="427"/>
      <c r="V788" s="203"/>
      <c r="W788" s="203"/>
    </row>
    <row r="789" spans="1:23" ht="12.75" hidden="1" x14ac:dyDescent="0.2">
      <c r="A789" s="609" t="s">
        <v>454</v>
      </c>
      <c r="B789" s="294" t="s">
        <v>455</v>
      </c>
      <c r="C789" s="610" t="s">
        <v>616</v>
      </c>
      <c r="D789" s="203" t="s">
        <v>2177</v>
      </c>
      <c r="E789" s="203" t="s">
        <v>1673</v>
      </c>
      <c r="F789" s="294"/>
      <c r="G789" s="203"/>
      <c r="H789" s="203"/>
      <c r="I789" s="203"/>
      <c r="J789" s="203" t="s">
        <v>969</v>
      </c>
      <c r="K789" s="441" t="s">
        <v>969</v>
      </c>
      <c r="L789" s="441" t="s">
        <v>969</v>
      </c>
      <c r="M789" s="203" t="s">
        <v>454</v>
      </c>
      <c r="N789" s="203">
        <v>20.245159149169901</v>
      </c>
      <c r="O789" s="203">
        <v>92.807418823242202</v>
      </c>
      <c r="P789" s="203" t="s">
        <v>970</v>
      </c>
      <c r="Q789" s="203" t="s">
        <v>951</v>
      </c>
      <c r="R789" s="429"/>
      <c r="S789" s="430"/>
      <c r="T789" s="542" t="s">
        <v>935</v>
      </c>
      <c r="U789" s="427"/>
      <c r="V789" s="203" t="s">
        <v>616</v>
      </c>
      <c r="W789" s="203"/>
    </row>
    <row r="790" spans="1:23" ht="12.75" hidden="1" x14ac:dyDescent="0.2">
      <c r="A790" s="609" t="s">
        <v>454</v>
      </c>
      <c r="B790" s="441" t="s">
        <v>455</v>
      </c>
      <c r="C790" s="610" t="s">
        <v>620</v>
      </c>
      <c r="D790" s="203" t="s">
        <v>2177</v>
      </c>
      <c r="E790" s="203">
        <v>196163</v>
      </c>
      <c r="F790" s="203"/>
      <c r="G790" s="203"/>
      <c r="H790" s="203"/>
      <c r="I790" s="203"/>
      <c r="J790" s="203" t="s">
        <v>975</v>
      </c>
      <c r="K790" s="441" t="s">
        <v>969</v>
      </c>
      <c r="L790" s="441" t="s">
        <v>975</v>
      </c>
      <c r="M790" s="203" t="s">
        <v>454</v>
      </c>
      <c r="N790" s="203">
        <v>20.272630691528299</v>
      </c>
      <c r="O790" s="203">
        <v>92.84326171875</v>
      </c>
      <c r="P790" s="203" t="s">
        <v>1094</v>
      </c>
      <c r="Q790" s="203" t="s">
        <v>931</v>
      </c>
      <c r="R790" s="429"/>
      <c r="S790" s="430"/>
      <c r="T790" s="542">
        <v>42811</v>
      </c>
      <c r="U790" s="427"/>
      <c r="V790" s="203"/>
      <c r="W790" s="203"/>
    </row>
    <row r="791" spans="1:23" ht="12.75" hidden="1" x14ac:dyDescent="0.2">
      <c r="A791" s="609" t="s">
        <v>454</v>
      </c>
      <c r="B791" s="294" t="s">
        <v>455</v>
      </c>
      <c r="C791" s="610" t="s">
        <v>596</v>
      </c>
      <c r="D791" s="203" t="s">
        <v>2942</v>
      </c>
      <c r="E791" s="203" t="s">
        <v>1656</v>
      </c>
      <c r="F791" s="203" t="s">
        <v>577</v>
      </c>
      <c r="G791" s="203" t="s">
        <v>577</v>
      </c>
      <c r="H791" s="203" t="s">
        <v>48</v>
      </c>
      <c r="I791" s="203"/>
      <c r="J791" s="203" t="s">
        <v>50</v>
      </c>
      <c r="K791" s="441" t="s">
        <v>50</v>
      </c>
      <c r="L791" s="441" t="s">
        <v>965</v>
      </c>
      <c r="M791" s="203" t="s">
        <v>966</v>
      </c>
      <c r="N791" s="203">
        <v>20.185917</v>
      </c>
      <c r="O791" s="203">
        <v>92.831000000000003</v>
      </c>
      <c r="P791" s="203" t="s">
        <v>930</v>
      </c>
      <c r="Q791" s="203" t="s">
        <v>951</v>
      </c>
      <c r="R791" s="425">
        <v>621</v>
      </c>
      <c r="S791" s="426">
        <v>3361</v>
      </c>
      <c r="T791" s="542" t="s">
        <v>935</v>
      </c>
      <c r="U791" s="427"/>
      <c r="V791" s="203" t="s">
        <v>1040</v>
      </c>
      <c r="W791" s="203"/>
    </row>
    <row r="792" spans="1:23" ht="12.75" hidden="1" x14ac:dyDescent="0.2">
      <c r="A792" s="695" t="s">
        <v>454</v>
      </c>
      <c r="B792" s="294" t="s">
        <v>455</v>
      </c>
      <c r="C792" s="610" t="s">
        <v>613</v>
      </c>
      <c r="D792" s="203" t="s">
        <v>2177</v>
      </c>
      <c r="E792" s="203" t="s">
        <v>1669</v>
      </c>
      <c r="F792" s="203"/>
      <c r="G792" s="203"/>
      <c r="H792" s="203"/>
      <c r="I792" s="203"/>
      <c r="J792" s="203" t="s">
        <v>969</v>
      </c>
      <c r="K792" s="446" t="s">
        <v>969</v>
      </c>
      <c r="L792" s="446" t="s">
        <v>969</v>
      </c>
      <c r="M792" s="203" t="s">
        <v>966</v>
      </c>
      <c r="N792" s="203">
        <v>20.2302</v>
      </c>
      <c r="O792" s="203">
        <v>92.817999999999998</v>
      </c>
      <c r="P792" s="203" t="s">
        <v>970</v>
      </c>
      <c r="Q792" s="203" t="s">
        <v>951</v>
      </c>
      <c r="R792" s="425"/>
      <c r="S792" s="426"/>
      <c r="T792" s="542" t="s">
        <v>935</v>
      </c>
      <c r="U792" s="427"/>
      <c r="V792" s="203" t="s">
        <v>613</v>
      </c>
      <c r="W792" s="203"/>
    </row>
    <row r="793" spans="1:23" hidden="1" x14ac:dyDescent="0.25">
      <c r="A793" s="294" t="s">
        <v>454</v>
      </c>
      <c r="B793" s="446" t="s">
        <v>455</v>
      </c>
      <c r="C793" s="445" t="s">
        <v>2404</v>
      </c>
      <c r="D793" s="295" t="s">
        <v>2397</v>
      </c>
      <c r="E793" s="433"/>
      <c r="F793" s="433"/>
      <c r="G793" s="433"/>
      <c r="H793" s="433"/>
      <c r="I793" s="433"/>
      <c r="J793" s="203" t="s">
        <v>969</v>
      </c>
      <c r="K793" s="203" t="s">
        <v>969</v>
      </c>
      <c r="L793" s="203" t="s">
        <v>969</v>
      </c>
      <c r="M793" s="203"/>
      <c r="N793" s="203"/>
      <c r="O793" s="203"/>
      <c r="P793" s="203" t="s">
        <v>970</v>
      </c>
      <c r="Q793" s="203"/>
      <c r="R793" s="294">
        <v>250</v>
      </c>
      <c r="S793" s="294">
        <v>1183</v>
      </c>
      <c r="T793" s="542"/>
      <c r="U793" s="427"/>
      <c r="V793" s="203"/>
      <c r="W793" s="203"/>
    </row>
    <row r="794" spans="1:23" ht="12.75" hidden="1" x14ac:dyDescent="0.2">
      <c r="A794" s="294" t="s">
        <v>454</v>
      </c>
      <c r="B794" s="446" t="s">
        <v>455</v>
      </c>
      <c r="C794" s="445" t="s">
        <v>2401</v>
      </c>
      <c r="D794" s="295" t="s">
        <v>2397</v>
      </c>
      <c r="E794" s="203"/>
      <c r="F794" s="203"/>
      <c r="G794" s="203"/>
      <c r="H794" s="203"/>
      <c r="I794" s="203"/>
      <c r="J794" s="203" t="s">
        <v>969</v>
      </c>
      <c r="K794" s="203" t="s">
        <v>969</v>
      </c>
      <c r="L794" s="203" t="s">
        <v>969</v>
      </c>
      <c r="M794" s="203"/>
      <c r="N794" s="203"/>
      <c r="O794" s="203"/>
      <c r="P794" s="203" t="s">
        <v>970</v>
      </c>
      <c r="Q794" s="203"/>
      <c r="R794" s="294">
        <v>164</v>
      </c>
      <c r="S794" s="294">
        <v>908</v>
      </c>
      <c r="T794" s="542"/>
      <c r="U794" s="427"/>
      <c r="V794" s="203"/>
      <c r="W794" s="203"/>
    </row>
    <row r="795" spans="1:23" ht="12.75" hidden="1" x14ac:dyDescent="0.2">
      <c r="A795" s="686" t="s">
        <v>454</v>
      </c>
      <c r="B795" s="691" t="s">
        <v>455</v>
      </c>
      <c r="C795" s="887" t="s">
        <v>2768</v>
      </c>
      <c r="D795" s="700"/>
      <c r="E795" s="687"/>
      <c r="F795" s="687"/>
      <c r="G795" s="687"/>
      <c r="H795" s="687"/>
      <c r="I795" s="687"/>
      <c r="J795" s="203" t="s">
        <v>969</v>
      </c>
      <c r="K795" s="203" t="s">
        <v>969</v>
      </c>
      <c r="L795" s="203" t="s">
        <v>969</v>
      </c>
      <c r="M795" s="687"/>
      <c r="N795" s="687"/>
      <c r="O795" s="687"/>
      <c r="P795" s="203" t="s">
        <v>970</v>
      </c>
      <c r="Q795" s="687"/>
      <c r="R795" s="688"/>
      <c r="S795" s="686"/>
      <c r="T795" s="689">
        <v>43297</v>
      </c>
      <c r="U795" s="690"/>
      <c r="V795" s="687"/>
      <c r="W795" s="203"/>
    </row>
    <row r="796" spans="1:23" ht="12.75" hidden="1" x14ac:dyDescent="0.2">
      <c r="A796" s="203" t="s">
        <v>454</v>
      </c>
      <c r="B796" s="294" t="s">
        <v>455</v>
      </c>
      <c r="C796" s="445" t="s">
        <v>608</v>
      </c>
      <c r="D796" s="203" t="s">
        <v>2177</v>
      </c>
      <c r="E796" s="203" t="s">
        <v>1665</v>
      </c>
      <c r="F796" s="203"/>
      <c r="G796" s="203"/>
      <c r="H796" s="203"/>
      <c r="I796" s="203"/>
      <c r="J796" s="203" t="s">
        <v>969</v>
      </c>
      <c r="K796" s="203" t="s">
        <v>969</v>
      </c>
      <c r="L796" s="203" t="s">
        <v>969</v>
      </c>
      <c r="M796" s="203" t="s">
        <v>966</v>
      </c>
      <c r="N796" s="203">
        <v>20.212700000000002</v>
      </c>
      <c r="O796" s="203">
        <v>92.820800000000006</v>
      </c>
      <c r="P796" s="203" t="s">
        <v>970</v>
      </c>
      <c r="Q796" s="203" t="s">
        <v>951</v>
      </c>
      <c r="R796" s="425"/>
      <c r="S796" s="426"/>
      <c r="T796" s="542" t="s">
        <v>935</v>
      </c>
      <c r="U796" s="427"/>
      <c r="V796" s="203" t="s">
        <v>608</v>
      </c>
      <c r="W796" s="203"/>
    </row>
    <row r="797" spans="1:23" ht="12.75" hidden="1" x14ac:dyDescent="0.2">
      <c r="A797" s="294" t="s">
        <v>454</v>
      </c>
      <c r="B797" s="446" t="s">
        <v>455</v>
      </c>
      <c r="C797" s="445" t="s">
        <v>1046</v>
      </c>
      <c r="D797" s="203" t="s">
        <v>2177</v>
      </c>
      <c r="E797" s="203">
        <v>196145</v>
      </c>
      <c r="F797" s="203"/>
      <c r="G797" s="203"/>
      <c r="H797" s="203"/>
      <c r="I797" s="203"/>
      <c r="J797" s="203" t="s">
        <v>969</v>
      </c>
      <c r="K797" s="294" t="s">
        <v>969</v>
      </c>
      <c r="L797" s="294" t="s">
        <v>969</v>
      </c>
      <c r="M797" s="203" t="s">
        <v>966</v>
      </c>
      <c r="N797" s="203">
        <v>20.219509124755898</v>
      </c>
      <c r="O797" s="441">
        <v>92.811332702636705</v>
      </c>
      <c r="P797" s="203" t="s">
        <v>970</v>
      </c>
      <c r="Q797" s="203" t="s">
        <v>931</v>
      </c>
      <c r="R797" s="425"/>
      <c r="S797" s="426"/>
      <c r="T797" s="542">
        <v>42811</v>
      </c>
      <c r="U797" s="427"/>
      <c r="V797" s="203"/>
      <c r="W797" s="425"/>
    </row>
    <row r="798" spans="1:23" ht="12.75" hidden="1" x14ac:dyDescent="0.2">
      <c r="A798" s="294" t="s">
        <v>454</v>
      </c>
      <c r="B798" s="446" t="s">
        <v>455</v>
      </c>
      <c r="C798" s="445" t="s">
        <v>617</v>
      </c>
      <c r="D798" s="203" t="s">
        <v>2177</v>
      </c>
      <c r="E798" s="203">
        <v>196178</v>
      </c>
      <c r="F798" s="203"/>
      <c r="G798" s="203"/>
      <c r="H798" s="203"/>
      <c r="I798" s="203"/>
      <c r="J798" s="203" t="s">
        <v>975</v>
      </c>
      <c r="K798" s="294" t="s">
        <v>969</v>
      </c>
      <c r="L798" s="294" t="s">
        <v>975</v>
      </c>
      <c r="M798" s="203" t="s">
        <v>454</v>
      </c>
      <c r="N798" s="203">
        <v>20.260789871215799</v>
      </c>
      <c r="O798" s="203">
        <v>92.878593444824205</v>
      </c>
      <c r="P798" s="203" t="s">
        <v>1094</v>
      </c>
      <c r="Q798" s="203" t="s">
        <v>931</v>
      </c>
      <c r="R798" s="429"/>
      <c r="S798" s="430"/>
      <c r="T798" s="542">
        <v>42811</v>
      </c>
      <c r="U798" s="427"/>
      <c r="V798" s="203"/>
      <c r="W798" s="425"/>
    </row>
    <row r="799" spans="1:23" ht="12.75" hidden="1" x14ac:dyDescent="0.2">
      <c r="A799" s="294" t="s">
        <v>454</v>
      </c>
      <c r="B799" s="446" t="s">
        <v>455</v>
      </c>
      <c r="C799" s="445" t="s">
        <v>606</v>
      </c>
      <c r="D799" s="203" t="s">
        <v>2942</v>
      </c>
      <c r="E799" s="203" t="s">
        <v>1663</v>
      </c>
      <c r="F799" s="428" t="s">
        <v>2266</v>
      </c>
      <c r="G799" s="203" t="s">
        <v>605</v>
      </c>
      <c r="H799" s="203" t="s">
        <v>48</v>
      </c>
      <c r="I799" s="203"/>
      <c r="J799" s="203" t="s">
        <v>50</v>
      </c>
      <c r="K799" s="294" t="s">
        <v>50</v>
      </c>
      <c r="L799" s="294" t="s">
        <v>965</v>
      </c>
      <c r="M799" s="203" t="s">
        <v>966</v>
      </c>
      <c r="N799" s="203">
        <v>20.206778</v>
      </c>
      <c r="O799" s="203">
        <v>92.774193999999994</v>
      </c>
      <c r="P799" s="203" t="s">
        <v>930</v>
      </c>
      <c r="Q799" s="203" t="s">
        <v>951</v>
      </c>
      <c r="R799" s="425">
        <v>734</v>
      </c>
      <c r="S799" s="426">
        <v>4007</v>
      </c>
      <c r="T799" s="542" t="s">
        <v>935</v>
      </c>
      <c r="U799" s="427"/>
      <c r="V799" s="203" t="s">
        <v>606</v>
      </c>
      <c r="W799" s="425"/>
    </row>
    <row r="800" spans="1:23" ht="12.75" hidden="1" x14ac:dyDescent="0.2">
      <c r="A800" s="294" t="s">
        <v>454</v>
      </c>
      <c r="B800" s="446" t="s">
        <v>455</v>
      </c>
      <c r="C800" s="445" t="s">
        <v>601</v>
      </c>
      <c r="D800" s="203" t="s">
        <v>2177</v>
      </c>
      <c r="E800" s="203" t="s">
        <v>1659</v>
      </c>
      <c r="F800" s="428"/>
      <c r="G800" s="203"/>
      <c r="H800" s="203"/>
      <c r="I800" s="203"/>
      <c r="J800" s="203" t="s">
        <v>969</v>
      </c>
      <c r="K800" s="294" t="s">
        <v>969</v>
      </c>
      <c r="L800" s="294" t="s">
        <v>969</v>
      </c>
      <c r="M800" s="203" t="s">
        <v>966</v>
      </c>
      <c r="N800" s="203">
        <v>20.1975498199463</v>
      </c>
      <c r="O800" s="203">
        <v>92.785682678222699</v>
      </c>
      <c r="P800" s="203" t="s">
        <v>970</v>
      </c>
      <c r="Q800" s="203" t="s">
        <v>951</v>
      </c>
      <c r="R800" s="425"/>
      <c r="S800" s="426"/>
      <c r="T800" s="542" t="s">
        <v>935</v>
      </c>
      <c r="U800" s="427"/>
      <c r="V800" s="203" t="s">
        <v>601</v>
      </c>
      <c r="W800" s="425"/>
    </row>
    <row r="801" spans="1:23" ht="12.75" hidden="1" x14ac:dyDescent="0.2">
      <c r="A801" s="294" t="s">
        <v>454</v>
      </c>
      <c r="B801" s="446" t="s">
        <v>455</v>
      </c>
      <c r="C801" s="445" t="s">
        <v>597</v>
      </c>
      <c r="D801" s="203" t="s">
        <v>2942</v>
      </c>
      <c r="E801" s="203" t="s">
        <v>1657</v>
      </c>
      <c r="F801" s="203" t="s">
        <v>2184</v>
      </c>
      <c r="G801" s="203" t="s">
        <v>2210</v>
      </c>
      <c r="H801" s="203" t="s">
        <v>48</v>
      </c>
      <c r="I801" s="203"/>
      <c r="J801" s="203" t="s">
        <v>50</v>
      </c>
      <c r="K801" s="294" t="s">
        <v>50</v>
      </c>
      <c r="L801" s="294" t="s">
        <v>965</v>
      </c>
      <c r="M801" s="203" t="s">
        <v>966</v>
      </c>
      <c r="N801" s="203">
        <v>20.18994</v>
      </c>
      <c r="O801" s="203">
        <v>92.798880999999994</v>
      </c>
      <c r="P801" s="203" t="s">
        <v>930</v>
      </c>
      <c r="Q801" s="203" t="s">
        <v>951</v>
      </c>
      <c r="R801" s="425">
        <v>2668</v>
      </c>
      <c r="S801" s="426">
        <v>13794</v>
      </c>
      <c r="T801" s="542" t="s">
        <v>935</v>
      </c>
      <c r="U801" s="427"/>
      <c r="V801" s="203" t="s">
        <v>1041</v>
      </c>
      <c r="W801" s="425"/>
    </row>
    <row r="802" spans="1:23" ht="12.75" hidden="1" x14ac:dyDescent="0.2">
      <c r="A802" s="294" t="s">
        <v>454</v>
      </c>
      <c r="B802" s="446" t="s">
        <v>455</v>
      </c>
      <c r="C802" s="445" t="s">
        <v>595</v>
      </c>
      <c r="D802" s="203" t="s">
        <v>2942</v>
      </c>
      <c r="E802" s="203" t="s">
        <v>1655</v>
      </c>
      <c r="F802" s="203" t="s">
        <v>2184</v>
      </c>
      <c r="G802" s="203" t="s">
        <v>2210</v>
      </c>
      <c r="H802" s="203" t="s">
        <v>48</v>
      </c>
      <c r="I802" s="203"/>
      <c r="J802" s="203" t="s">
        <v>50</v>
      </c>
      <c r="K802" s="294" t="s">
        <v>50</v>
      </c>
      <c r="L802" s="294" t="s">
        <v>965</v>
      </c>
      <c r="M802" s="203" t="s">
        <v>966</v>
      </c>
      <c r="N802" s="203">
        <v>20.185092000000001</v>
      </c>
      <c r="O802" s="203">
        <v>92.802295999999998</v>
      </c>
      <c r="P802" s="203" t="s">
        <v>930</v>
      </c>
      <c r="Q802" s="203" t="s">
        <v>951</v>
      </c>
      <c r="R802" s="425">
        <v>2259</v>
      </c>
      <c r="S802" s="426">
        <v>11302</v>
      </c>
      <c r="T802" s="542" t="s">
        <v>935</v>
      </c>
      <c r="U802" s="427"/>
      <c r="V802" s="203" t="s">
        <v>1039</v>
      </c>
      <c r="W802" s="425"/>
    </row>
    <row r="803" spans="1:23" ht="12.75" hidden="1" x14ac:dyDescent="0.2">
      <c r="A803" s="294" t="s">
        <v>454</v>
      </c>
      <c r="B803" s="446" t="s">
        <v>455</v>
      </c>
      <c r="C803" s="446" t="s">
        <v>605</v>
      </c>
      <c r="D803" s="203" t="s">
        <v>2177</v>
      </c>
      <c r="E803" s="203">
        <v>196158</v>
      </c>
      <c r="F803" s="203"/>
      <c r="G803" s="203"/>
      <c r="H803" s="203"/>
      <c r="I803" s="203"/>
      <c r="J803" s="203" t="s">
        <v>975</v>
      </c>
      <c r="K803" s="294" t="s">
        <v>969</v>
      </c>
      <c r="L803" s="294" t="s">
        <v>975</v>
      </c>
      <c r="M803" s="203" t="s">
        <v>966</v>
      </c>
      <c r="N803" s="203">
        <v>20.204370498657202</v>
      </c>
      <c r="O803" s="203">
        <v>92.780357360839801</v>
      </c>
      <c r="P803" s="203" t="s">
        <v>1094</v>
      </c>
      <c r="Q803" s="203" t="s">
        <v>931</v>
      </c>
      <c r="R803" s="425"/>
      <c r="S803" s="426"/>
      <c r="T803" s="542">
        <v>42811</v>
      </c>
      <c r="U803" s="427"/>
      <c r="V803" s="203"/>
      <c r="W803" s="425"/>
    </row>
    <row r="804" spans="1:23" ht="12.75" hidden="1" x14ac:dyDescent="0.2">
      <c r="A804" s="203" t="s">
        <v>454</v>
      </c>
      <c r="B804" s="446" t="s">
        <v>455</v>
      </c>
      <c r="C804" s="446" t="s">
        <v>1016</v>
      </c>
      <c r="D804" s="203" t="s">
        <v>2177</v>
      </c>
      <c r="E804" s="203" t="s">
        <v>1632</v>
      </c>
      <c r="F804" s="203"/>
      <c r="G804" s="203"/>
      <c r="H804" s="203"/>
      <c r="I804" s="203"/>
      <c r="J804" s="203" t="s">
        <v>969</v>
      </c>
      <c r="K804" s="203" t="s">
        <v>969</v>
      </c>
      <c r="L804" s="203" t="s">
        <v>969</v>
      </c>
      <c r="M804" s="203" t="s">
        <v>454</v>
      </c>
      <c r="N804" s="203">
        <v>20.144185</v>
      </c>
      <c r="O804" s="203">
        <v>92.482911999999999</v>
      </c>
      <c r="P804" s="203" t="s">
        <v>970</v>
      </c>
      <c r="Q804" s="203"/>
      <c r="R804" s="425"/>
      <c r="S804" s="426"/>
      <c r="T804" s="542" t="s">
        <v>935</v>
      </c>
      <c r="U804" s="427"/>
      <c r="V804" s="203" t="s">
        <v>1016</v>
      </c>
      <c r="W804" s="425"/>
    </row>
    <row r="805" spans="1:23" ht="12.75" hidden="1" x14ac:dyDescent="0.2">
      <c r="A805" s="203" t="s">
        <v>454</v>
      </c>
      <c r="B805" s="446" t="s">
        <v>455</v>
      </c>
      <c r="C805" s="445" t="s">
        <v>1010</v>
      </c>
      <c r="D805" s="203" t="s">
        <v>2177</v>
      </c>
      <c r="E805" s="203" t="s">
        <v>1627</v>
      </c>
      <c r="F805" s="203"/>
      <c r="G805" s="203"/>
      <c r="H805" s="203"/>
      <c r="I805" s="203"/>
      <c r="J805" s="203" t="s">
        <v>969</v>
      </c>
      <c r="K805" s="203" t="s">
        <v>969</v>
      </c>
      <c r="L805" s="203" t="s">
        <v>969</v>
      </c>
      <c r="M805" s="203" t="s">
        <v>966</v>
      </c>
      <c r="N805" s="203">
        <v>20.122990000000001</v>
      </c>
      <c r="O805" s="203">
        <v>92.474298000000005</v>
      </c>
      <c r="P805" s="203" t="s">
        <v>970</v>
      </c>
      <c r="Q805" s="203"/>
      <c r="R805" s="425"/>
      <c r="S805" s="426"/>
      <c r="T805" s="542" t="s">
        <v>935</v>
      </c>
      <c r="U805" s="427"/>
      <c r="V805" s="203" t="s">
        <v>1010</v>
      </c>
      <c r="W805" s="425"/>
    </row>
    <row r="806" spans="1:23" ht="12.75" hidden="1" x14ac:dyDescent="0.2">
      <c r="A806" s="203" t="s">
        <v>454</v>
      </c>
      <c r="B806" s="446" t="s">
        <v>455</v>
      </c>
      <c r="C806" s="445" t="s">
        <v>1012</v>
      </c>
      <c r="D806" s="203" t="s">
        <v>2177</v>
      </c>
      <c r="E806" s="203" t="s">
        <v>1630</v>
      </c>
      <c r="F806" s="203"/>
      <c r="G806" s="203"/>
      <c r="H806" s="203"/>
      <c r="I806" s="203"/>
      <c r="J806" s="203" t="s">
        <v>969</v>
      </c>
      <c r="K806" s="203" t="s">
        <v>969</v>
      </c>
      <c r="L806" s="203" t="s">
        <v>969</v>
      </c>
      <c r="M806" s="203" t="s">
        <v>454</v>
      </c>
      <c r="N806" s="203">
        <v>20.131148</v>
      </c>
      <c r="O806" s="294">
        <v>92.462236000000004</v>
      </c>
      <c r="P806" s="203" t="s">
        <v>970</v>
      </c>
      <c r="Q806" s="203"/>
      <c r="R806" s="425"/>
      <c r="S806" s="426"/>
      <c r="T806" s="542" t="s">
        <v>935</v>
      </c>
      <c r="U806" s="427"/>
      <c r="V806" s="203" t="s">
        <v>1012</v>
      </c>
      <c r="W806" s="425"/>
    </row>
    <row r="807" spans="1:23" ht="12.75" hidden="1" x14ac:dyDescent="0.2">
      <c r="A807" s="203" t="s">
        <v>454</v>
      </c>
      <c r="B807" s="446" t="s">
        <v>455</v>
      </c>
      <c r="C807" s="445" t="s">
        <v>1013</v>
      </c>
      <c r="D807" s="203" t="s">
        <v>2177</v>
      </c>
      <c r="E807" s="203" t="s">
        <v>1630</v>
      </c>
      <c r="F807" s="203"/>
      <c r="G807" s="203"/>
      <c r="H807" s="203"/>
      <c r="I807" s="203"/>
      <c r="J807" s="203" t="s">
        <v>969</v>
      </c>
      <c r="K807" s="203" t="s">
        <v>969</v>
      </c>
      <c r="L807" s="203" t="s">
        <v>969</v>
      </c>
      <c r="M807" s="203" t="s">
        <v>454</v>
      </c>
      <c r="N807" s="203">
        <v>20.131148</v>
      </c>
      <c r="O807" s="203">
        <v>92.462236000000004</v>
      </c>
      <c r="P807" s="203" t="s">
        <v>970</v>
      </c>
      <c r="Q807" s="203"/>
      <c r="R807" s="425"/>
      <c r="S807" s="426"/>
      <c r="T807" s="542" t="s">
        <v>935</v>
      </c>
      <c r="U807" s="427"/>
      <c r="V807" s="203" t="s">
        <v>1013</v>
      </c>
      <c r="W807" s="425"/>
    </row>
    <row r="808" spans="1:23" ht="12.75" hidden="1" x14ac:dyDescent="0.2">
      <c r="A808" s="294" t="s">
        <v>454</v>
      </c>
      <c r="B808" s="294" t="s">
        <v>455</v>
      </c>
      <c r="C808" s="445" t="s">
        <v>461</v>
      </c>
      <c r="D808" s="203" t="s">
        <v>2177</v>
      </c>
      <c r="E808" s="203"/>
      <c r="F808" s="294"/>
      <c r="G808" s="203"/>
      <c r="H808" s="203"/>
      <c r="I808" s="203"/>
      <c r="J808" s="203" t="s">
        <v>969</v>
      </c>
      <c r="K808" s="203" t="s">
        <v>969</v>
      </c>
      <c r="L808" s="203" t="s">
        <v>969</v>
      </c>
      <c r="M808" s="203" t="s">
        <v>966</v>
      </c>
      <c r="N808" s="203"/>
      <c r="O808" s="294"/>
      <c r="P808" s="203" t="s">
        <v>970</v>
      </c>
      <c r="Q808" s="203" t="s">
        <v>951</v>
      </c>
      <c r="R808" s="429"/>
      <c r="S808" s="430"/>
      <c r="T808" s="542" t="s">
        <v>935</v>
      </c>
      <c r="U808" s="427"/>
      <c r="V808" s="203" t="s">
        <v>1044</v>
      </c>
      <c r="W808" s="425"/>
    </row>
    <row r="809" spans="1:23" ht="12.75" hidden="1" x14ac:dyDescent="0.2">
      <c r="A809" s="203" t="s">
        <v>454</v>
      </c>
      <c r="B809" s="446" t="s">
        <v>455</v>
      </c>
      <c r="C809" s="445" t="s">
        <v>607</v>
      </c>
      <c r="D809" s="203" t="s">
        <v>2178</v>
      </c>
      <c r="E809" s="203" t="s">
        <v>1664</v>
      </c>
      <c r="F809" s="294" t="s">
        <v>2185</v>
      </c>
      <c r="G809" s="203" t="s">
        <v>2186</v>
      </c>
      <c r="H809" s="203"/>
      <c r="I809" s="203"/>
      <c r="J809" s="203" t="s">
        <v>50</v>
      </c>
      <c r="K809" s="203" t="s">
        <v>50</v>
      </c>
      <c r="L809" s="203" t="s">
        <v>929</v>
      </c>
      <c r="M809" s="203" t="s">
        <v>966</v>
      </c>
      <c r="N809" s="203">
        <v>20.207284999999999</v>
      </c>
      <c r="O809" s="203">
        <v>92.788177000000005</v>
      </c>
      <c r="P809" s="203" t="s">
        <v>930</v>
      </c>
      <c r="Q809" s="203" t="s">
        <v>951</v>
      </c>
      <c r="R809" s="425"/>
      <c r="S809" s="426"/>
      <c r="T809" s="542" t="s">
        <v>935</v>
      </c>
      <c r="U809" s="427"/>
      <c r="V809" s="203" t="s">
        <v>1044</v>
      </c>
      <c r="W809" s="425"/>
    </row>
    <row r="810" spans="1:23" ht="12.75" hidden="1" x14ac:dyDescent="0.2">
      <c r="A810" s="203" t="s">
        <v>454</v>
      </c>
      <c r="B810" s="446" t="s">
        <v>455</v>
      </c>
      <c r="C810" s="445" t="s">
        <v>1014</v>
      </c>
      <c r="D810" s="203" t="s">
        <v>2177</v>
      </c>
      <c r="E810" s="203" t="s">
        <v>1631</v>
      </c>
      <c r="F810" s="294"/>
      <c r="G810" s="203"/>
      <c r="H810" s="203"/>
      <c r="I810" s="203"/>
      <c r="J810" s="203" t="s">
        <v>969</v>
      </c>
      <c r="K810" s="203" t="s">
        <v>969</v>
      </c>
      <c r="L810" s="203" t="s">
        <v>969</v>
      </c>
      <c r="M810" s="203" t="s">
        <v>454</v>
      </c>
      <c r="N810" s="203">
        <v>20.142474</v>
      </c>
      <c r="O810" s="203">
        <v>92.494243999999995</v>
      </c>
      <c r="P810" s="203" t="s">
        <v>970</v>
      </c>
      <c r="Q810" s="203"/>
      <c r="R810" s="425"/>
      <c r="S810" s="426"/>
      <c r="T810" s="542" t="s">
        <v>935</v>
      </c>
      <c r="U810" s="427"/>
      <c r="V810" s="203" t="s">
        <v>1014</v>
      </c>
      <c r="W810" s="425"/>
    </row>
    <row r="811" spans="1:23" ht="12.75" hidden="1" x14ac:dyDescent="0.2">
      <c r="A811" s="203" t="s">
        <v>454</v>
      </c>
      <c r="B811" s="446" t="s">
        <v>455</v>
      </c>
      <c r="C811" s="445" t="s">
        <v>1015</v>
      </c>
      <c r="D811" s="203" t="s">
        <v>2177</v>
      </c>
      <c r="E811" s="203" t="s">
        <v>1631</v>
      </c>
      <c r="F811" s="294"/>
      <c r="G811" s="203"/>
      <c r="H811" s="203"/>
      <c r="I811" s="203"/>
      <c r="J811" s="203" t="s">
        <v>969</v>
      </c>
      <c r="K811" s="203" t="s">
        <v>969</v>
      </c>
      <c r="L811" s="203" t="s">
        <v>969</v>
      </c>
      <c r="M811" s="203" t="s">
        <v>454</v>
      </c>
      <c r="N811" s="203">
        <v>20.142474</v>
      </c>
      <c r="O811" s="203">
        <v>92.494243999999995</v>
      </c>
      <c r="P811" s="203" t="s">
        <v>970</v>
      </c>
      <c r="Q811" s="203"/>
      <c r="R811" s="425"/>
      <c r="S811" s="426"/>
      <c r="T811" s="542" t="s">
        <v>935</v>
      </c>
      <c r="U811" s="427"/>
      <c r="V811" s="203" t="s">
        <v>1015</v>
      </c>
      <c r="W811" s="425"/>
    </row>
    <row r="812" spans="1:23" ht="12.75" hidden="1" x14ac:dyDescent="0.2">
      <c r="A812" s="203" t="s">
        <v>454</v>
      </c>
      <c r="B812" s="701" t="s">
        <v>455</v>
      </c>
      <c r="C812" s="706" t="s">
        <v>2766</v>
      </c>
      <c r="D812" s="432"/>
      <c r="E812" s="203">
        <v>196162</v>
      </c>
      <c r="F812" s="203" t="s">
        <v>2765</v>
      </c>
      <c r="G812" s="203"/>
      <c r="H812" s="203"/>
      <c r="I812" s="203"/>
      <c r="J812" s="203" t="s">
        <v>969</v>
      </c>
      <c r="K812" s="203" t="s">
        <v>969</v>
      </c>
      <c r="L812" s="203" t="s">
        <v>969</v>
      </c>
      <c r="M812" s="203" t="s">
        <v>966</v>
      </c>
      <c r="N812" s="203">
        <v>20.2399291992188</v>
      </c>
      <c r="O812" s="203">
        <v>92.827529907226605</v>
      </c>
      <c r="P812" s="203" t="s">
        <v>970</v>
      </c>
      <c r="Q812" s="203"/>
      <c r="R812" s="434"/>
      <c r="S812" s="426"/>
      <c r="T812" s="542">
        <v>43294</v>
      </c>
      <c r="U812" s="427"/>
      <c r="V812" s="203"/>
      <c r="W812" s="425"/>
    </row>
    <row r="813" spans="1:23" ht="12.75" hidden="1" x14ac:dyDescent="0.2">
      <c r="A813" s="203" t="s">
        <v>454</v>
      </c>
      <c r="B813" s="446" t="s">
        <v>455</v>
      </c>
      <c r="C813" s="445" t="s">
        <v>1020</v>
      </c>
      <c r="D813" s="203" t="s">
        <v>2178</v>
      </c>
      <c r="E813" s="203" t="s">
        <v>1636</v>
      </c>
      <c r="F813" s="203" t="s">
        <v>2207</v>
      </c>
      <c r="G813" s="203" t="s">
        <v>2208</v>
      </c>
      <c r="H813" s="203"/>
      <c r="I813" s="203"/>
      <c r="J813" s="203" t="s">
        <v>50</v>
      </c>
      <c r="K813" s="203" t="s">
        <v>50</v>
      </c>
      <c r="L813" s="203" t="s">
        <v>929</v>
      </c>
      <c r="M813" s="203" t="s">
        <v>454</v>
      </c>
      <c r="N813" s="203">
        <v>20.151471999999998</v>
      </c>
      <c r="O813" s="203">
        <v>92.887277999999995</v>
      </c>
      <c r="P813" s="203" t="s">
        <v>930</v>
      </c>
      <c r="Q813" s="203"/>
      <c r="R813" s="425"/>
      <c r="S813" s="426"/>
      <c r="T813" s="542" t="s">
        <v>935</v>
      </c>
      <c r="U813" s="427"/>
      <c r="V813" s="203" t="s">
        <v>1020</v>
      </c>
      <c r="W813" s="425"/>
    </row>
    <row r="814" spans="1:23" ht="12.75" hidden="1" x14ac:dyDescent="0.2">
      <c r="A814" s="203" t="s">
        <v>454</v>
      </c>
      <c r="B814" s="446" t="s">
        <v>455</v>
      </c>
      <c r="C814" s="445" t="s">
        <v>580</v>
      </c>
      <c r="D814" s="203" t="s">
        <v>2255</v>
      </c>
      <c r="E814" s="203" t="s">
        <v>1637</v>
      </c>
      <c r="F814" s="203" t="s">
        <v>2207</v>
      </c>
      <c r="G814" s="203" t="s">
        <v>2208</v>
      </c>
      <c r="H814" s="203"/>
      <c r="I814" s="203"/>
      <c r="J814" s="203" t="s">
        <v>969</v>
      </c>
      <c r="K814" s="203" t="s">
        <v>969</v>
      </c>
      <c r="L814" s="203" t="s">
        <v>992</v>
      </c>
      <c r="M814" s="203" t="s">
        <v>454</v>
      </c>
      <c r="N814" s="203">
        <v>20.151471999999998</v>
      </c>
      <c r="O814" s="203">
        <v>92.887277999999995</v>
      </c>
      <c r="P814" s="203" t="s">
        <v>970</v>
      </c>
      <c r="Q814" s="203" t="s">
        <v>951</v>
      </c>
      <c r="R814" s="425">
        <v>249</v>
      </c>
      <c r="S814" s="426">
        <v>1282</v>
      </c>
      <c r="T814" s="542" t="s">
        <v>935</v>
      </c>
      <c r="U814" s="427"/>
      <c r="V814" s="203" t="s">
        <v>580</v>
      </c>
      <c r="W814" s="425"/>
    </row>
    <row r="815" spans="1:23" ht="12.75" hidden="1" x14ac:dyDescent="0.2">
      <c r="A815" s="203" t="s">
        <v>454</v>
      </c>
      <c r="B815" s="446" t="s">
        <v>455</v>
      </c>
      <c r="C815" s="445" t="s">
        <v>581</v>
      </c>
      <c r="D815" s="203" t="s">
        <v>2255</v>
      </c>
      <c r="E815" s="203" t="s">
        <v>1638</v>
      </c>
      <c r="F815" s="203" t="s">
        <v>2207</v>
      </c>
      <c r="G815" s="203" t="s">
        <v>2208</v>
      </c>
      <c r="H815" s="203"/>
      <c r="I815" s="203"/>
      <c r="J815" s="203" t="s">
        <v>969</v>
      </c>
      <c r="K815" s="203" t="s">
        <v>969</v>
      </c>
      <c r="L815" s="203" t="s">
        <v>992</v>
      </c>
      <c r="M815" s="203" t="s">
        <v>454</v>
      </c>
      <c r="N815" s="203">
        <v>20.151471999999998</v>
      </c>
      <c r="O815" s="203">
        <v>92.887277999999995</v>
      </c>
      <c r="P815" s="203" t="s">
        <v>970</v>
      </c>
      <c r="Q815" s="203" t="s">
        <v>951</v>
      </c>
      <c r="R815" s="425">
        <v>420</v>
      </c>
      <c r="S815" s="426">
        <v>2200</v>
      </c>
      <c r="T815" s="542" t="s">
        <v>935</v>
      </c>
      <c r="U815" s="427"/>
      <c r="V815" s="203" t="s">
        <v>581</v>
      </c>
      <c r="W815" s="425"/>
    </row>
    <row r="816" spans="1:23" ht="12.75" hidden="1" x14ac:dyDescent="0.2">
      <c r="A816" s="203" t="s">
        <v>454</v>
      </c>
      <c r="B816" s="446" t="s">
        <v>455</v>
      </c>
      <c r="C816" s="445" t="s">
        <v>604</v>
      </c>
      <c r="D816" s="203" t="s">
        <v>2942</v>
      </c>
      <c r="E816" s="203" t="s">
        <v>1661</v>
      </c>
      <c r="F816" s="203" t="s">
        <v>2266</v>
      </c>
      <c r="G816" s="203" t="s">
        <v>604</v>
      </c>
      <c r="H816" s="203" t="s">
        <v>48</v>
      </c>
      <c r="I816" s="203"/>
      <c r="J816" s="203" t="s">
        <v>50</v>
      </c>
      <c r="K816" s="203" t="s">
        <v>50</v>
      </c>
      <c r="L816" s="203" t="s">
        <v>965</v>
      </c>
      <c r="M816" s="203" t="s">
        <v>966</v>
      </c>
      <c r="N816" s="203">
        <v>20.202525000000001</v>
      </c>
      <c r="O816" s="203">
        <v>92.792479999999998</v>
      </c>
      <c r="P816" s="203" t="s">
        <v>930</v>
      </c>
      <c r="Q816" s="203" t="s">
        <v>951</v>
      </c>
      <c r="R816" s="425">
        <v>2692</v>
      </c>
      <c r="S816" s="426">
        <v>13743</v>
      </c>
      <c r="T816" s="542" t="s">
        <v>935</v>
      </c>
      <c r="U816" s="427"/>
      <c r="V816" s="203" t="s">
        <v>604</v>
      </c>
      <c r="W816" s="425"/>
    </row>
    <row r="817" spans="1:23" ht="12.75" hidden="1" x14ac:dyDescent="0.2">
      <c r="A817" s="203" t="s">
        <v>454</v>
      </c>
      <c r="B817" s="446" t="s">
        <v>455</v>
      </c>
      <c r="C817" s="445" t="s">
        <v>602</v>
      </c>
      <c r="D817" s="203" t="s">
        <v>2177</v>
      </c>
      <c r="E817" s="203">
        <v>196154</v>
      </c>
      <c r="F817" s="203"/>
      <c r="G817" s="203"/>
      <c r="H817" s="203"/>
      <c r="I817" s="203"/>
      <c r="J817" s="203" t="s">
        <v>969</v>
      </c>
      <c r="K817" s="203" t="s">
        <v>969</v>
      </c>
      <c r="L817" s="203" t="s">
        <v>969</v>
      </c>
      <c r="M817" s="203" t="s">
        <v>966</v>
      </c>
      <c r="N817" s="203">
        <v>20.201499999999999</v>
      </c>
      <c r="O817" s="203">
        <v>92.796599999999998</v>
      </c>
      <c r="P817" s="203" t="s">
        <v>970</v>
      </c>
      <c r="Q817" s="203" t="s">
        <v>951</v>
      </c>
      <c r="R817" s="425"/>
      <c r="S817" s="426"/>
      <c r="T817" s="542">
        <v>42745</v>
      </c>
      <c r="U817" s="427"/>
      <c r="V817" s="203"/>
      <c r="W817" s="425"/>
    </row>
    <row r="818" spans="1:23" ht="12.75" hidden="1" x14ac:dyDescent="0.2">
      <c r="A818" s="203" t="s">
        <v>454</v>
      </c>
      <c r="B818" s="446" t="s">
        <v>455</v>
      </c>
      <c r="C818" s="445" t="s">
        <v>598</v>
      </c>
      <c r="D818" s="203" t="s">
        <v>2177</v>
      </c>
      <c r="E818" s="203" t="s">
        <v>1658</v>
      </c>
      <c r="F818" s="203"/>
      <c r="G818" s="203"/>
      <c r="H818" s="203"/>
      <c r="I818" s="203"/>
      <c r="J818" s="203" t="s">
        <v>969</v>
      </c>
      <c r="K818" s="203" t="s">
        <v>969</v>
      </c>
      <c r="L818" s="203" t="s">
        <v>969</v>
      </c>
      <c r="M818" s="203" t="s">
        <v>966</v>
      </c>
      <c r="N818" s="203">
        <v>20.191719055175799</v>
      </c>
      <c r="O818" s="203">
        <v>92.808166503906307</v>
      </c>
      <c r="P818" s="203" t="s">
        <v>970</v>
      </c>
      <c r="Q818" s="203" t="s">
        <v>951</v>
      </c>
      <c r="R818" s="425"/>
      <c r="S818" s="426"/>
      <c r="T818" s="542" t="s">
        <v>935</v>
      </c>
      <c r="U818" s="427"/>
      <c r="V818" s="203" t="s">
        <v>598</v>
      </c>
      <c r="W818" s="425"/>
    </row>
    <row r="819" spans="1:23" ht="12.75" hidden="1" x14ac:dyDescent="0.2">
      <c r="A819" s="203" t="s">
        <v>454</v>
      </c>
      <c r="B819" s="446" t="s">
        <v>455</v>
      </c>
      <c r="C819" s="445" t="s">
        <v>578</v>
      </c>
      <c r="D819" s="203" t="s">
        <v>2255</v>
      </c>
      <c r="E819" s="203" t="s">
        <v>1633</v>
      </c>
      <c r="F819" s="203" t="s">
        <v>2395</v>
      </c>
      <c r="G819" s="203" t="s">
        <v>2395</v>
      </c>
      <c r="H819" s="203"/>
      <c r="I819" s="203"/>
      <c r="J819" s="203" t="s">
        <v>969</v>
      </c>
      <c r="K819" s="203" t="s">
        <v>969</v>
      </c>
      <c r="L819" s="203" t="s">
        <v>992</v>
      </c>
      <c r="M819" s="203" t="s">
        <v>1017</v>
      </c>
      <c r="N819" s="203">
        <v>20.148584</v>
      </c>
      <c r="O819" s="203">
        <v>92.880319999999998</v>
      </c>
      <c r="P819" s="203" t="s">
        <v>970</v>
      </c>
      <c r="Q819" s="203" t="s">
        <v>951</v>
      </c>
      <c r="R819" s="425">
        <v>72</v>
      </c>
      <c r="S819" s="426">
        <v>462</v>
      </c>
      <c r="T819" s="542" t="s">
        <v>935</v>
      </c>
      <c r="U819" s="427"/>
      <c r="V819" s="203" t="s">
        <v>578</v>
      </c>
      <c r="W819" s="425"/>
    </row>
    <row r="820" spans="1:23" ht="12.75" hidden="1" x14ac:dyDescent="0.2">
      <c r="A820" s="203" t="s">
        <v>454</v>
      </c>
      <c r="B820" s="446" t="s">
        <v>455</v>
      </c>
      <c r="C820" s="445" t="s">
        <v>2510</v>
      </c>
      <c r="D820" s="203" t="s">
        <v>2177</v>
      </c>
      <c r="E820" s="203" t="s">
        <v>1640</v>
      </c>
      <c r="F820" s="203" t="s">
        <v>2395</v>
      </c>
      <c r="G820" s="203" t="s">
        <v>2395</v>
      </c>
      <c r="H820" s="203"/>
      <c r="I820" s="203"/>
      <c r="J820" s="203" t="s">
        <v>969</v>
      </c>
      <c r="K820" s="203" t="s">
        <v>969</v>
      </c>
      <c r="L820" s="203" t="s">
        <v>992</v>
      </c>
      <c r="M820" s="203" t="s">
        <v>454</v>
      </c>
      <c r="N820" s="203">
        <v>20.155805999999998</v>
      </c>
      <c r="O820" s="203">
        <v>92.879138999999995</v>
      </c>
      <c r="P820" s="203" t="s">
        <v>970</v>
      </c>
      <c r="Q820" s="203" t="s">
        <v>951</v>
      </c>
      <c r="R820" s="425">
        <v>151</v>
      </c>
      <c r="S820" s="426">
        <v>654</v>
      </c>
      <c r="T820" s="542" t="s">
        <v>935</v>
      </c>
      <c r="U820" s="427"/>
      <c r="V820" s="203" t="s">
        <v>582</v>
      </c>
      <c r="W820" s="425"/>
    </row>
    <row r="821" spans="1:23" ht="15" hidden="1" x14ac:dyDescent="0.25">
      <c r="A821" s="203" t="s">
        <v>454</v>
      </c>
      <c r="B821" s="701" t="s">
        <v>455</v>
      </c>
      <c r="C821" s="706" t="s">
        <v>2762</v>
      </c>
      <c r="D821" s="432"/>
      <c r="E821" s="203">
        <v>196179</v>
      </c>
      <c r="F821" s="697" t="s">
        <v>2762</v>
      </c>
      <c r="G821" s="203"/>
      <c r="H821" s="203"/>
      <c r="I821" s="203"/>
      <c r="J821" s="203" t="s">
        <v>969</v>
      </c>
      <c r="K821" s="203" t="s">
        <v>969</v>
      </c>
      <c r="L821" s="203" t="s">
        <v>969</v>
      </c>
      <c r="M821" s="203" t="s">
        <v>2518</v>
      </c>
      <c r="N821" s="203">
        <v>20.2369709014893</v>
      </c>
      <c r="O821" s="203">
        <v>92.877876281738295</v>
      </c>
      <c r="P821" s="203" t="s">
        <v>970</v>
      </c>
      <c r="Q821" s="203"/>
      <c r="R821" s="434"/>
      <c r="S821" s="426"/>
      <c r="T821" s="542">
        <v>43294</v>
      </c>
      <c r="U821" s="427"/>
      <c r="V821" s="203"/>
      <c r="W821" s="425"/>
    </row>
    <row r="822" spans="1:23" ht="12.75" hidden="1" x14ac:dyDescent="0.2">
      <c r="A822" s="203" t="s">
        <v>454</v>
      </c>
      <c r="B822" s="446" t="s">
        <v>455</v>
      </c>
      <c r="C822" s="445" t="s">
        <v>584</v>
      </c>
      <c r="D822" s="203" t="s">
        <v>2942</v>
      </c>
      <c r="E822" s="203" t="s">
        <v>1643</v>
      </c>
      <c r="F822" s="203" t="s">
        <v>577</v>
      </c>
      <c r="G822" s="203" t="s">
        <v>583</v>
      </c>
      <c r="H822" s="203" t="s">
        <v>48</v>
      </c>
      <c r="I822" s="203"/>
      <c r="J822" s="203" t="s">
        <v>50</v>
      </c>
      <c r="K822" s="203" t="s">
        <v>50</v>
      </c>
      <c r="L822" s="203" t="s">
        <v>968</v>
      </c>
      <c r="M822" s="203" t="s">
        <v>966</v>
      </c>
      <c r="N822" s="203">
        <v>20.1585</v>
      </c>
      <c r="O822" s="203">
        <v>92.839416999999997</v>
      </c>
      <c r="P822" s="203" t="s">
        <v>930</v>
      </c>
      <c r="Q822" s="203" t="s">
        <v>951</v>
      </c>
      <c r="R822" s="425">
        <v>2270</v>
      </c>
      <c r="S822" s="426">
        <v>13065</v>
      </c>
      <c r="T822" s="542" t="s">
        <v>935</v>
      </c>
      <c r="U822" s="427"/>
      <c r="V822" s="203" t="s">
        <v>1027</v>
      </c>
      <c r="W822" s="425"/>
    </row>
    <row r="823" spans="1:23" ht="12.75" hidden="1" x14ac:dyDescent="0.2">
      <c r="A823" s="203" t="s">
        <v>454</v>
      </c>
      <c r="B823" s="446" t="s">
        <v>455</v>
      </c>
      <c r="C823" s="445" t="s">
        <v>1023</v>
      </c>
      <c r="D823" s="203" t="s">
        <v>2178</v>
      </c>
      <c r="E823" s="203" t="s">
        <v>1641</v>
      </c>
      <c r="F823" s="203" t="s">
        <v>577</v>
      </c>
      <c r="G823" s="203" t="s">
        <v>583</v>
      </c>
      <c r="H823" s="203"/>
      <c r="I823" s="203"/>
      <c r="J823" s="203" t="s">
        <v>50</v>
      </c>
      <c r="K823" s="203" t="s">
        <v>50</v>
      </c>
      <c r="L823" s="203" t="s">
        <v>929</v>
      </c>
      <c r="M823" s="203" t="s">
        <v>935</v>
      </c>
      <c r="N823" s="203">
        <v>20.156842000000001</v>
      </c>
      <c r="O823" s="203">
        <v>92.837576999999996</v>
      </c>
      <c r="P823" s="203" t="s">
        <v>930</v>
      </c>
      <c r="Q823" s="203"/>
      <c r="R823" s="425"/>
      <c r="S823" s="426"/>
      <c r="T823" s="542" t="s">
        <v>935</v>
      </c>
      <c r="U823" s="427"/>
      <c r="V823" s="203" t="s">
        <v>1024</v>
      </c>
      <c r="W823" s="425"/>
    </row>
    <row r="824" spans="1:23" ht="12.75" hidden="1" x14ac:dyDescent="0.2">
      <c r="A824" s="294" t="s">
        <v>454</v>
      </c>
      <c r="B824" s="446" t="s">
        <v>455</v>
      </c>
      <c r="C824" s="445" t="s">
        <v>857</v>
      </c>
      <c r="D824" s="203" t="s">
        <v>2177</v>
      </c>
      <c r="E824" s="203" t="s">
        <v>2081</v>
      </c>
      <c r="F824" s="203"/>
      <c r="G824" s="203"/>
      <c r="H824" s="203"/>
      <c r="I824" s="203"/>
      <c r="J824" s="203" t="s">
        <v>969</v>
      </c>
      <c r="K824" s="203" t="s">
        <v>969</v>
      </c>
      <c r="L824" s="203" t="s">
        <v>969</v>
      </c>
      <c r="M824" s="203" t="s">
        <v>454</v>
      </c>
      <c r="N824" s="203">
        <v>20.162599563598601</v>
      </c>
      <c r="O824" s="203">
        <v>92.834457397460895</v>
      </c>
      <c r="P824" s="203" t="s">
        <v>970</v>
      </c>
      <c r="Q824" s="203" t="s">
        <v>951</v>
      </c>
      <c r="R824" s="429"/>
      <c r="S824" s="430"/>
      <c r="T824" s="542" t="s">
        <v>935</v>
      </c>
      <c r="U824" s="427"/>
      <c r="V824" s="203" t="s">
        <v>935</v>
      </c>
      <c r="W824" s="425"/>
    </row>
    <row r="825" spans="1:23" ht="12.75" hidden="1" x14ac:dyDescent="0.2">
      <c r="A825" s="294" t="s">
        <v>454</v>
      </c>
      <c r="B825" s="446" t="s">
        <v>455</v>
      </c>
      <c r="C825" s="445" t="s">
        <v>462</v>
      </c>
      <c r="D825" s="203" t="s">
        <v>2177</v>
      </c>
      <c r="E825" s="203"/>
      <c r="F825" s="203"/>
      <c r="G825" s="203"/>
      <c r="H825" s="203"/>
      <c r="I825" s="203"/>
      <c r="J825" s="203" t="s">
        <v>969</v>
      </c>
      <c r="K825" s="203" t="s">
        <v>969</v>
      </c>
      <c r="L825" s="203" t="s">
        <v>969</v>
      </c>
      <c r="M825" s="203" t="s">
        <v>966</v>
      </c>
      <c r="N825" s="203"/>
      <c r="O825" s="203"/>
      <c r="P825" s="203" t="s">
        <v>970</v>
      </c>
      <c r="Q825" s="203" t="s">
        <v>931</v>
      </c>
      <c r="R825" s="429"/>
      <c r="S825" s="430"/>
      <c r="T825" s="542">
        <v>42811</v>
      </c>
      <c r="U825" s="427"/>
      <c r="V825" s="203"/>
      <c r="W825" s="425"/>
    </row>
    <row r="826" spans="1:23" ht="12.75" hidden="1" x14ac:dyDescent="0.2">
      <c r="A826" s="203" t="s">
        <v>454</v>
      </c>
      <c r="B826" s="446" t="s">
        <v>455</v>
      </c>
      <c r="C826" s="445" t="s">
        <v>583</v>
      </c>
      <c r="D826" s="203" t="s">
        <v>2177</v>
      </c>
      <c r="E826" s="203">
        <v>196211</v>
      </c>
      <c r="F826" s="203"/>
      <c r="G826" s="203"/>
      <c r="H826" s="203"/>
      <c r="I826" s="203"/>
      <c r="J826" s="203" t="s">
        <v>969</v>
      </c>
      <c r="K826" s="203" t="s">
        <v>969</v>
      </c>
      <c r="L826" s="203" t="s">
        <v>969</v>
      </c>
      <c r="M826" s="203" t="s">
        <v>966</v>
      </c>
      <c r="N826" s="203">
        <v>20.1573600769043</v>
      </c>
      <c r="O826" s="203">
        <v>92.838653564453097</v>
      </c>
      <c r="P826" s="203" t="s">
        <v>970</v>
      </c>
      <c r="Q826" s="203" t="s">
        <v>951</v>
      </c>
      <c r="R826" s="425"/>
      <c r="S826" s="426"/>
      <c r="T826" s="542" t="s">
        <v>935</v>
      </c>
      <c r="U826" s="427"/>
      <c r="V826" s="203" t="s">
        <v>1025</v>
      </c>
      <c r="W826" s="425"/>
    </row>
    <row r="827" spans="1:23" ht="12.75" hidden="1" x14ac:dyDescent="0.2">
      <c r="A827" s="203" t="s">
        <v>454</v>
      </c>
      <c r="B827" s="446" t="s">
        <v>455</v>
      </c>
      <c r="C827" s="445" t="s">
        <v>579</v>
      </c>
      <c r="D827" s="203" t="s">
        <v>2177</v>
      </c>
      <c r="E827" s="203" t="s">
        <v>1634</v>
      </c>
      <c r="F827" s="203"/>
      <c r="G827" s="203"/>
      <c r="H827" s="203"/>
      <c r="I827" s="203"/>
      <c r="J827" s="203" t="s">
        <v>969</v>
      </c>
      <c r="K827" s="203" t="s">
        <v>969</v>
      </c>
      <c r="L827" s="203" t="s">
        <v>969</v>
      </c>
      <c r="M827" s="203" t="s">
        <v>966</v>
      </c>
      <c r="N827" s="203">
        <v>20.148910522460898</v>
      </c>
      <c r="O827" s="203">
        <v>92.846160888671903</v>
      </c>
      <c r="P827" s="203" t="s">
        <v>970</v>
      </c>
      <c r="Q827" s="203" t="s">
        <v>931</v>
      </c>
      <c r="R827" s="425"/>
      <c r="S827" s="426"/>
      <c r="T827" s="542" t="s">
        <v>935</v>
      </c>
      <c r="U827" s="427"/>
      <c r="V827" s="203" t="s">
        <v>1018</v>
      </c>
      <c r="W827" s="425"/>
    </row>
    <row r="828" spans="1:23" ht="12.75" hidden="1" x14ac:dyDescent="0.2">
      <c r="A828" s="203" t="s">
        <v>454</v>
      </c>
      <c r="B828" s="446" t="s">
        <v>455</v>
      </c>
      <c r="C828" s="445" t="s">
        <v>1026</v>
      </c>
      <c r="D828" s="203" t="s">
        <v>2177</v>
      </c>
      <c r="E828" s="203" t="s">
        <v>1642</v>
      </c>
      <c r="F828" s="203"/>
      <c r="G828" s="203"/>
      <c r="H828" s="203"/>
      <c r="I828" s="203"/>
      <c r="J828" s="203" t="s">
        <v>969</v>
      </c>
      <c r="K828" s="203" t="s">
        <v>969</v>
      </c>
      <c r="L828" s="203" t="s">
        <v>969</v>
      </c>
      <c r="M828" s="203" t="s">
        <v>966</v>
      </c>
      <c r="N828" s="203">
        <v>20.1573600769043</v>
      </c>
      <c r="O828" s="203">
        <v>92.838653564453097</v>
      </c>
      <c r="P828" s="203" t="s">
        <v>970</v>
      </c>
      <c r="Q828" s="203"/>
      <c r="R828" s="425"/>
      <c r="S828" s="426"/>
      <c r="T828" s="542" t="s">
        <v>935</v>
      </c>
      <c r="U828" s="427"/>
      <c r="V828" s="203" t="s">
        <v>1026</v>
      </c>
      <c r="W828" s="425"/>
    </row>
    <row r="829" spans="1:23" ht="12.75" hidden="1" x14ac:dyDescent="0.2">
      <c r="A829" s="203" t="s">
        <v>454</v>
      </c>
      <c r="B829" s="446" t="s">
        <v>455</v>
      </c>
      <c r="C829" s="445" t="s">
        <v>612</v>
      </c>
      <c r="D829" s="203" t="s">
        <v>2177</v>
      </c>
      <c r="E829" s="203">
        <v>196167</v>
      </c>
      <c r="F829" s="203"/>
      <c r="G829" s="203"/>
      <c r="H829" s="203"/>
      <c r="I829" s="203"/>
      <c r="J829" s="203" t="s">
        <v>969</v>
      </c>
      <c r="K829" s="203" t="s">
        <v>969</v>
      </c>
      <c r="L829" s="203" t="s">
        <v>969</v>
      </c>
      <c r="M829" s="203" t="s">
        <v>454</v>
      </c>
      <c r="N829" s="203">
        <v>20.229290008544901</v>
      </c>
      <c r="O829" s="203">
        <v>92.864669799804702</v>
      </c>
      <c r="P829" s="203" t="s">
        <v>970</v>
      </c>
      <c r="Q829" s="203" t="s">
        <v>931</v>
      </c>
      <c r="R829" s="425"/>
      <c r="S829" s="426"/>
      <c r="T829" s="542">
        <v>42811</v>
      </c>
      <c r="U829" s="427"/>
      <c r="V829" s="203"/>
      <c r="W829" s="425"/>
    </row>
    <row r="830" spans="1:23" ht="12.75" hidden="1" x14ac:dyDescent="0.2">
      <c r="A830" s="203" t="s">
        <v>454</v>
      </c>
      <c r="B830" s="446" t="s">
        <v>455</v>
      </c>
      <c r="C830" s="445" t="s">
        <v>588</v>
      </c>
      <c r="D830" s="203" t="s">
        <v>2942</v>
      </c>
      <c r="E830" s="203" t="s">
        <v>1648</v>
      </c>
      <c r="F830" s="203" t="s">
        <v>577</v>
      </c>
      <c r="G830" s="203" t="s">
        <v>2265</v>
      </c>
      <c r="H830" s="203" t="s">
        <v>48</v>
      </c>
      <c r="I830" s="203"/>
      <c r="J830" s="203" t="s">
        <v>50</v>
      </c>
      <c r="K830" s="203" t="s">
        <v>50</v>
      </c>
      <c r="L830" s="203" t="s">
        <v>965</v>
      </c>
      <c r="M830" s="203" t="s">
        <v>966</v>
      </c>
      <c r="N830" s="203">
        <v>20.179939999999998</v>
      </c>
      <c r="O830" s="203">
        <v>92.831879000000001</v>
      </c>
      <c r="P830" s="203" t="s">
        <v>930</v>
      </c>
      <c r="Q830" s="203" t="s">
        <v>951</v>
      </c>
      <c r="R830" s="425">
        <v>981</v>
      </c>
      <c r="S830" s="426">
        <v>5903</v>
      </c>
      <c r="T830" s="542" t="s">
        <v>935</v>
      </c>
      <c r="U830" s="427"/>
      <c r="V830" s="203" t="s">
        <v>1034</v>
      </c>
      <c r="W830" s="425"/>
    </row>
    <row r="831" spans="1:23" ht="12.75" hidden="1" x14ac:dyDescent="0.2">
      <c r="A831" s="203" t="s">
        <v>454</v>
      </c>
      <c r="B831" s="446" t="s">
        <v>455</v>
      </c>
      <c r="C831" s="445" t="s">
        <v>591</v>
      </c>
      <c r="D831" s="203" t="s">
        <v>2942</v>
      </c>
      <c r="E831" s="203" t="s">
        <v>1652</v>
      </c>
      <c r="F831" s="203"/>
      <c r="G831" s="203"/>
      <c r="H831" s="203" t="s">
        <v>48</v>
      </c>
      <c r="I831" s="203"/>
      <c r="J831" s="203" t="s">
        <v>50</v>
      </c>
      <c r="K831" s="203" t="s">
        <v>50</v>
      </c>
      <c r="L831" s="203" t="s">
        <v>942</v>
      </c>
      <c r="M831" s="203" t="s">
        <v>966</v>
      </c>
      <c r="N831" s="203">
        <v>20.181742</v>
      </c>
      <c r="O831" s="203">
        <v>92.842230000000001</v>
      </c>
      <c r="P831" s="203" t="s">
        <v>943</v>
      </c>
      <c r="Q831" s="203"/>
      <c r="R831" s="425">
        <v>496</v>
      </c>
      <c r="S831" s="426">
        <v>2942</v>
      </c>
      <c r="T831" s="542">
        <v>42745</v>
      </c>
      <c r="U831" s="427" t="s">
        <v>1028</v>
      </c>
      <c r="V831" s="203"/>
      <c r="W831" s="425"/>
    </row>
    <row r="832" spans="1:23" ht="12.75" hidden="1" x14ac:dyDescent="0.2">
      <c r="A832" s="203" t="s">
        <v>454</v>
      </c>
      <c r="B832" s="446" t="s">
        <v>455</v>
      </c>
      <c r="C832" s="445" t="s">
        <v>599</v>
      </c>
      <c r="D832" s="203" t="s">
        <v>2177</v>
      </c>
      <c r="E832" s="203">
        <v>196147</v>
      </c>
      <c r="F832" s="203"/>
      <c r="G832" s="203"/>
      <c r="H832" s="203"/>
      <c r="I832" s="203"/>
      <c r="J832" s="203" t="s">
        <v>969</v>
      </c>
      <c r="K832" s="203" t="s">
        <v>969</v>
      </c>
      <c r="L832" s="203" t="s">
        <v>969</v>
      </c>
      <c r="M832" s="203" t="s">
        <v>966</v>
      </c>
      <c r="N832" s="203">
        <v>20.1934604644775</v>
      </c>
      <c r="O832" s="203">
        <v>92.867782592773395</v>
      </c>
      <c r="P832" s="203" t="s">
        <v>970</v>
      </c>
      <c r="Q832" s="203" t="s">
        <v>931</v>
      </c>
      <c r="R832" s="425"/>
      <c r="S832" s="426"/>
      <c r="T832" s="542">
        <v>42811</v>
      </c>
      <c r="U832" s="427"/>
      <c r="V832" s="203"/>
      <c r="W832" s="425"/>
    </row>
    <row r="833" spans="1:23" ht="12.75" hidden="1" x14ac:dyDescent="0.2">
      <c r="A833" s="203" t="s">
        <v>454</v>
      </c>
      <c r="B833" s="446" t="s">
        <v>455</v>
      </c>
      <c r="C833" s="445" t="s">
        <v>1318</v>
      </c>
      <c r="D833" s="203" t="s">
        <v>2177</v>
      </c>
      <c r="E833" s="203"/>
      <c r="F833" s="203"/>
      <c r="G833" s="203"/>
      <c r="H833" s="203"/>
      <c r="I833" s="203"/>
      <c r="J833" s="203" t="s">
        <v>969</v>
      </c>
      <c r="K833" s="203" t="s">
        <v>969</v>
      </c>
      <c r="L833" s="203" t="s">
        <v>969</v>
      </c>
      <c r="M833" s="203" t="s">
        <v>966</v>
      </c>
      <c r="N833" s="203"/>
      <c r="O833" s="203"/>
      <c r="P833" s="203" t="s">
        <v>970</v>
      </c>
      <c r="Q833" s="203" t="s">
        <v>951</v>
      </c>
      <c r="R833" s="425"/>
      <c r="S833" s="426"/>
      <c r="T833" s="542" t="s">
        <v>935</v>
      </c>
      <c r="U833" s="427"/>
      <c r="V833" s="203" t="s">
        <v>1318</v>
      </c>
      <c r="W833" s="425"/>
    </row>
    <row r="834" spans="1:23" ht="12.75" hidden="1" x14ac:dyDescent="0.2">
      <c r="A834" s="203" t="s">
        <v>454</v>
      </c>
      <c r="B834" s="446" t="s">
        <v>455</v>
      </c>
      <c r="C834" s="445" t="s">
        <v>1049</v>
      </c>
      <c r="D834" s="203" t="s">
        <v>2177</v>
      </c>
      <c r="E834" s="203">
        <v>196129</v>
      </c>
      <c r="F834" s="203"/>
      <c r="G834" s="203"/>
      <c r="H834" s="203"/>
      <c r="I834" s="203"/>
      <c r="J834" s="203" t="s">
        <v>1050</v>
      </c>
      <c r="K834" s="203" t="s">
        <v>969</v>
      </c>
      <c r="L834" s="203" t="s">
        <v>1050</v>
      </c>
      <c r="M834" s="203" t="s">
        <v>454</v>
      </c>
      <c r="N834" s="203">
        <v>20.226730346679702</v>
      </c>
      <c r="O834" s="203">
        <v>92.836929321289105</v>
      </c>
      <c r="P834" s="203" t="s">
        <v>970</v>
      </c>
      <c r="Q834" s="203" t="s">
        <v>973</v>
      </c>
      <c r="R834" s="425"/>
      <c r="S834" s="426"/>
      <c r="T834" s="542">
        <v>42926</v>
      </c>
      <c r="U834" s="427"/>
      <c r="V834" s="203" t="s">
        <v>1049</v>
      </c>
      <c r="W834" s="425"/>
    </row>
    <row r="835" spans="1:23" ht="12.75" hidden="1" x14ac:dyDescent="0.2">
      <c r="A835" s="686" t="s">
        <v>454</v>
      </c>
      <c r="B835" s="762" t="s">
        <v>455</v>
      </c>
      <c r="C835" s="763" t="s">
        <v>2769</v>
      </c>
      <c r="D835" s="700"/>
      <c r="E835" s="687">
        <v>196181</v>
      </c>
      <c r="F835" s="687" t="s">
        <v>2769</v>
      </c>
      <c r="G835" s="687"/>
      <c r="H835" s="687"/>
      <c r="I835" s="687"/>
      <c r="J835" s="203" t="s">
        <v>969</v>
      </c>
      <c r="K835" s="203" t="s">
        <v>969</v>
      </c>
      <c r="L835" s="203" t="s">
        <v>969</v>
      </c>
      <c r="M835" s="687"/>
      <c r="N835" s="687">
        <v>20.227340698242202</v>
      </c>
      <c r="O835" s="687">
        <v>92.893341064453097</v>
      </c>
      <c r="P835" s="203" t="s">
        <v>970</v>
      </c>
      <c r="Q835" s="687"/>
      <c r="R835" s="688"/>
      <c r="S835" s="686"/>
      <c r="T835" s="689">
        <v>43297</v>
      </c>
      <c r="U835" s="690"/>
      <c r="V835" s="687"/>
      <c r="W835" s="425"/>
    </row>
    <row r="836" spans="1:23" ht="12.75" hidden="1" x14ac:dyDescent="0.2">
      <c r="A836" s="203" t="s">
        <v>454</v>
      </c>
      <c r="B836" s="701" t="s">
        <v>455</v>
      </c>
      <c r="C836" s="706" t="s">
        <v>2764</v>
      </c>
      <c r="D836" s="432"/>
      <c r="E836" s="203">
        <v>196161</v>
      </c>
      <c r="F836" s="203" t="s">
        <v>2765</v>
      </c>
      <c r="G836" s="203"/>
      <c r="H836" s="203"/>
      <c r="I836" s="203"/>
      <c r="J836" s="203" t="s">
        <v>969</v>
      </c>
      <c r="K836" s="203" t="s">
        <v>969</v>
      </c>
      <c r="L836" s="203" t="s">
        <v>969</v>
      </c>
      <c r="M836" s="203" t="s">
        <v>454</v>
      </c>
      <c r="N836" s="203">
        <v>20.257850646972699</v>
      </c>
      <c r="O836" s="698">
        <v>92.811126708984403</v>
      </c>
      <c r="P836" s="203" t="s">
        <v>970</v>
      </c>
      <c r="Q836" s="203"/>
      <c r="R836" s="434"/>
      <c r="S836" s="426"/>
      <c r="T836" s="542">
        <v>43294</v>
      </c>
      <c r="U836" s="427"/>
      <c r="V836" s="203"/>
      <c r="W836" s="425"/>
    </row>
    <row r="837" spans="1:23" ht="12.75" hidden="1" x14ac:dyDescent="0.2">
      <c r="A837" s="203" t="s">
        <v>454</v>
      </c>
      <c r="B837" s="701" t="s">
        <v>455</v>
      </c>
      <c r="C837" s="706" t="s">
        <v>2763</v>
      </c>
      <c r="D837" s="432"/>
      <c r="E837" s="203">
        <v>196168</v>
      </c>
      <c r="F837" s="203" t="s">
        <v>612</v>
      </c>
      <c r="G837" s="203"/>
      <c r="H837" s="203"/>
      <c r="I837" s="203"/>
      <c r="J837" s="203" t="s">
        <v>969</v>
      </c>
      <c r="K837" s="203" t="s">
        <v>969</v>
      </c>
      <c r="L837" s="203" t="s">
        <v>969</v>
      </c>
      <c r="M837" s="203" t="s">
        <v>2518</v>
      </c>
      <c r="N837" s="203">
        <v>20.2235107421875</v>
      </c>
      <c r="O837" s="203">
        <v>92.869842529296903</v>
      </c>
      <c r="P837" s="203" t="s">
        <v>970</v>
      </c>
      <c r="Q837" s="203"/>
      <c r="R837" s="434"/>
      <c r="S837" s="426"/>
      <c r="T837" s="542">
        <v>43294</v>
      </c>
      <c r="U837" s="427"/>
      <c r="V837" s="203"/>
      <c r="W837" s="425"/>
    </row>
    <row r="838" spans="1:23" ht="12.75" hidden="1" x14ac:dyDescent="0.2">
      <c r="A838" s="294" t="s">
        <v>454</v>
      </c>
      <c r="B838" s="446" t="s">
        <v>455</v>
      </c>
      <c r="C838" s="445" t="s">
        <v>2399</v>
      </c>
      <c r="D838" s="295" t="s">
        <v>2397</v>
      </c>
      <c r="E838" s="203"/>
      <c r="F838" s="203"/>
      <c r="G838" s="203"/>
      <c r="H838" s="203"/>
      <c r="I838" s="203"/>
      <c r="J838" s="203" t="s">
        <v>969</v>
      </c>
      <c r="K838" s="203" t="s">
        <v>969</v>
      </c>
      <c r="L838" s="203" t="s">
        <v>969</v>
      </c>
      <c r="M838" s="203"/>
      <c r="N838" s="203"/>
      <c r="O838" s="203"/>
      <c r="P838" s="203" t="s">
        <v>970</v>
      </c>
      <c r="Q838" s="203"/>
      <c r="R838" s="294">
        <v>80</v>
      </c>
      <c r="S838" s="294">
        <v>359</v>
      </c>
      <c r="T838" s="542"/>
      <c r="U838" s="427"/>
      <c r="V838" s="203"/>
      <c r="W838" s="425"/>
    </row>
    <row r="839" spans="1:23" ht="12.75" hidden="1" x14ac:dyDescent="0.2">
      <c r="A839" s="294" t="s">
        <v>454</v>
      </c>
      <c r="B839" s="446" t="s">
        <v>455</v>
      </c>
      <c r="C839" s="445" t="s">
        <v>603</v>
      </c>
      <c r="D839" s="203" t="s">
        <v>2177</v>
      </c>
      <c r="E839" s="203" t="s">
        <v>1660</v>
      </c>
      <c r="F839" s="294"/>
      <c r="G839" s="203"/>
      <c r="H839" s="203"/>
      <c r="I839" s="203"/>
      <c r="J839" s="203" t="s">
        <v>969</v>
      </c>
      <c r="K839" s="203" t="s">
        <v>969</v>
      </c>
      <c r="L839" s="203" t="s">
        <v>969</v>
      </c>
      <c r="M839" s="203" t="s">
        <v>454</v>
      </c>
      <c r="N839" s="203">
        <v>20.202400000000001</v>
      </c>
      <c r="O839" s="203">
        <v>92.812799999999996</v>
      </c>
      <c r="P839" s="203" t="s">
        <v>970</v>
      </c>
      <c r="Q839" s="203" t="s">
        <v>951</v>
      </c>
      <c r="R839" s="429"/>
      <c r="S839" s="430"/>
      <c r="T839" s="542" t="s">
        <v>935</v>
      </c>
      <c r="U839" s="427"/>
      <c r="V839" s="203" t="s">
        <v>603</v>
      </c>
      <c r="W839" s="425"/>
    </row>
    <row r="840" spans="1:23" ht="12.75" hidden="1" x14ac:dyDescent="0.2">
      <c r="A840" s="294" t="s">
        <v>866</v>
      </c>
      <c r="B840" s="446" t="s">
        <v>888</v>
      </c>
      <c r="C840" s="445" t="s">
        <v>889</v>
      </c>
      <c r="D840" s="203" t="s">
        <v>2942</v>
      </c>
      <c r="E840" s="203" t="s">
        <v>1886</v>
      </c>
      <c r="F840" s="203" t="s">
        <v>889</v>
      </c>
      <c r="G840" s="203" t="s">
        <v>889</v>
      </c>
      <c r="H840" s="203" t="s">
        <v>48</v>
      </c>
      <c r="I840" s="203" t="s">
        <v>287</v>
      </c>
      <c r="J840" s="203" t="s">
        <v>50</v>
      </c>
      <c r="K840" s="203" t="s">
        <v>50</v>
      </c>
      <c r="L840" s="203" t="s">
        <v>50</v>
      </c>
      <c r="M840" s="203" t="s">
        <v>51</v>
      </c>
      <c r="N840" s="203">
        <v>23.354268999999999</v>
      </c>
      <c r="O840" s="203">
        <v>98.218626999999998</v>
      </c>
      <c r="P840" s="203" t="s">
        <v>930</v>
      </c>
      <c r="Q840" s="203" t="s">
        <v>951</v>
      </c>
      <c r="R840" s="425">
        <v>32</v>
      </c>
      <c r="S840" s="425">
        <v>168</v>
      </c>
      <c r="T840" s="542" t="s">
        <v>935</v>
      </c>
      <c r="U840" s="427"/>
      <c r="V840" s="203" t="s">
        <v>889</v>
      </c>
      <c r="W840" s="425" t="s">
        <v>3138</v>
      </c>
    </row>
    <row r="841" spans="1:23" ht="38.25" hidden="1" x14ac:dyDescent="0.2">
      <c r="A841" s="294" t="s">
        <v>866</v>
      </c>
      <c r="B841" s="446" t="s">
        <v>888</v>
      </c>
      <c r="C841" s="445" t="s">
        <v>913</v>
      </c>
      <c r="D841" s="203" t="s">
        <v>2255</v>
      </c>
      <c r="E841" s="203" t="s">
        <v>1887</v>
      </c>
      <c r="F841" s="203" t="s">
        <v>2282</v>
      </c>
      <c r="G841" s="203" t="s">
        <v>2282</v>
      </c>
      <c r="H841" s="203"/>
      <c r="I841" s="203" t="s">
        <v>2959</v>
      </c>
      <c r="J841" s="203" t="s">
        <v>50</v>
      </c>
      <c r="K841" s="203" t="s">
        <v>1139</v>
      </c>
      <c r="L841" s="203" t="s">
        <v>929</v>
      </c>
      <c r="M841" s="203" t="s">
        <v>949</v>
      </c>
      <c r="N841" s="203">
        <v>23.372409999999999</v>
      </c>
      <c r="O841" s="203">
        <v>98.352670000000003</v>
      </c>
      <c r="P841" s="203" t="s">
        <v>943</v>
      </c>
      <c r="Q841" s="203" t="s">
        <v>951</v>
      </c>
      <c r="R841" s="429"/>
      <c r="S841" s="430"/>
      <c r="T841" s="542">
        <v>43276</v>
      </c>
      <c r="U841" s="427" t="s">
        <v>2688</v>
      </c>
      <c r="V841" s="203" t="s">
        <v>913</v>
      </c>
      <c r="W841" s="425" t="s">
        <v>3139</v>
      </c>
    </row>
    <row r="842" spans="1:23" ht="12.75" hidden="1" x14ac:dyDescent="0.2">
      <c r="A842" s="294" t="s">
        <v>866</v>
      </c>
      <c r="B842" s="446" t="s">
        <v>888</v>
      </c>
      <c r="C842" s="445" t="s">
        <v>920</v>
      </c>
      <c r="D842" s="203" t="s">
        <v>2178</v>
      </c>
      <c r="E842" s="203" t="s">
        <v>1885</v>
      </c>
      <c r="F842" s="203" t="s">
        <v>2189</v>
      </c>
      <c r="G842" s="203" t="s">
        <v>2189</v>
      </c>
      <c r="H842" s="203"/>
      <c r="I842" s="203">
        <v>0</v>
      </c>
      <c r="J842" s="203" t="s">
        <v>50</v>
      </c>
      <c r="K842" s="203" t="s">
        <v>50</v>
      </c>
      <c r="L842" s="203" t="s">
        <v>929</v>
      </c>
      <c r="M842" s="203" t="s">
        <v>51</v>
      </c>
      <c r="N842" s="203">
        <v>23.353999999999999</v>
      </c>
      <c r="O842" s="203">
        <v>98.221000000000004</v>
      </c>
      <c r="P842" s="203" t="s">
        <v>930</v>
      </c>
      <c r="Q842" s="203" t="s">
        <v>931</v>
      </c>
      <c r="R842" s="429">
        <v>0</v>
      </c>
      <c r="S842" s="430">
        <v>0</v>
      </c>
      <c r="T842" s="542"/>
      <c r="U842" s="427"/>
      <c r="V842" s="203"/>
      <c r="W842" s="425" t="s">
        <v>3140</v>
      </c>
    </row>
    <row r="843" spans="1:23" ht="25.5" hidden="1" x14ac:dyDescent="0.2">
      <c r="A843" s="294" t="s">
        <v>866</v>
      </c>
      <c r="B843" s="446" t="s">
        <v>911</v>
      </c>
      <c r="C843" s="445" t="s">
        <v>912</v>
      </c>
      <c r="D843" s="203" t="s">
        <v>2942</v>
      </c>
      <c r="E843" s="203" t="s">
        <v>1877</v>
      </c>
      <c r="F843" s="294" t="s">
        <v>2278</v>
      </c>
      <c r="G843" s="203" t="s">
        <v>2279</v>
      </c>
      <c r="H843" s="203"/>
      <c r="I843" s="203" t="s">
        <v>2959</v>
      </c>
      <c r="J843" s="203" t="s">
        <v>50</v>
      </c>
      <c r="K843" s="203" t="s">
        <v>50</v>
      </c>
      <c r="L843" s="203" t="s">
        <v>946</v>
      </c>
      <c r="M843" s="203" t="s">
        <v>51</v>
      </c>
      <c r="N843" s="203">
        <v>22.677008000000001</v>
      </c>
      <c r="O843" s="203">
        <v>97.314762999999999</v>
      </c>
      <c r="P843" s="203" t="s">
        <v>930</v>
      </c>
      <c r="Q843" s="203" t="s">
        <v>931</v>
      </c>
      <c r="R843" s="425">
        <v>37</v>
      </c>
      <c r="S843" s="425">
        <v>120</v>
      </c>
      <c r="T843" s="542"/>
      <c r="U843" s="427" t="s">
        <v>1133</v>
      </c>
      <c r="V843" s="203" t="s">
        <v>1134</v>
      </c>
      <c r="W843" s="425" t="s">
        <v>3141</v>
      </c>
    </row>
    <row r="844" spans="1:23" ht="12.75" hidden="1" x14ac:dyDescent="0.2">
      <c r="A844" s="294" t="s">
        <v>866</v>
      </c>
      <c r="B844" s="446" t="s">
        <v>870</v>
      </c>
      <c r="C844" s="445" t="s">
        <v>895</v>
      </c>
      <c r="D844" s="203" t="s">
        <v>2178</v>
      </c>
      <c r="E844" s="203" t="s">
        <v>1890</v>
      </c>
      <c r="F844" s="203" t="s">
        <v>2190</v>
      </c>
      <c r="G844" s="203" t="s">
        <v>2191</v>
      </c>
      <c r="H844" s="203" t="s">
        <v>48</v>
      </c>
      <c r="I844" s="203" t="s">
        <v>287</v>
      </c>
      <c r="J844" s="203" t="s">
        <v>50</v>
      </c>
      <c r="K844" s="203" t="s">
        <v>1139</v>
      </c>
      <c r="L844" s="203" t="s">
        <v>929</v>
      </c>
      <c r="M844" s="203" t="s">
        <v>51</v>
      </c>
      <c r="N844" s="203">
        <v>23.4008</v>
      </c>
      <c r="O844" s="203">
        <v>97.848529999999997</v>
      </c>
      <c r="P844" s="203" t="s">
        <v>930</v>
      </c>
      <c r="Q844" s="203" t="s">
        <v>951</v>
      </c>
      <c r="R844" s="429">
        <v>0</v>
      </c>
      <c r="S844" s="430">
        <v>0</v>
      </c>
      <c r="T844" s="542">
        <v>43049</v>
      </c>
      <c r="U844" s="427" t="s">
        <v>1141</v>
      </c>
      <c r="V844" s="203" t="s">
        <v>895</v>
      </c>
      <c r="W844" s="425" t="s">
        <v>3142</v>
      </c>
    </row>
    <row r="845" spans="1:23" ht="12.75" hidden="1" x14ac:dyDescent="0.2">
      <c r="A845" s="294" t="s">
        <v>866</v>
      </c>
      <c r="B845" s="446" t="s">
        <v>870</v>
      </c>
      <c r="C845" s="445" t="s">
        <v>1276</v>
      </c>
      <c r="D845" s="203" t="s">
        <v>2177</v>
      </c>
      <c r="E845" s="203"/>
      <c r="F845" s="203"/>
      <c r="G845" s="203"/>
      <c r="H845" s="203"/>
      <c r="I845" s="203"/>
      <c r="J845" s="203" t="s">
        <v>1921</v>
      </c>
      <c r="K845" s="203" t="s">
        <v>50</v>
      </c>
      <c r="L845" s="203" t="s">
        <v>1271</v>
      </c>
      <c r="M845" s="203" t="s">
        <v>51</v>
      </c>
      <c r="N845" s="203"/>
      <c r="O845" s="203"/>
      <c r="P845" s="203" t="s">
        <v>930</v>
      </c>
      <c r="Q845" s="203" t="s">
        <v>951</v>
      </c>
      <c r="R845" s="429"/>
      <c r="S845" s="430"/>
      <c r="T845" s="542" t="s">
        <v>935</v>
      </c>
      <c r="U845" s="427" t="s">
        <v>1267</v>
      </c>
      <c r="V845" s="203" t="s">
        <v>1276</v>
      </c>
      <c r="W845" s="425"/>
    </row>
    <row r="846" spans="1:23" ht="12.75" hidden="1" x14ac:dyDescent="0.2">
      <c r="A846" s="294" t="s">
        <v>866</v>
      </c>
      <c r="B846" s="446" t="s">
        <v>870</v>
      </c>
      <c r="C846" s="445" t="s">
        <v>896</v>
      </c>
      <c r="D846" s="203" t="s">
        <v>2942</v>
      </c>
      <c r="E846" s="203" t="s">
        <v>1892</v>
      </c>
      <c r="F846" s="294" t="s">
        <v>2283</v>
      </c>
      <c r="G846" s="203" t="s">
        <v>2284</v>
      </c>
      <c r="H846" s="203" t="s">
        <v>48</v>
      </c>
      <c r="I846" s="203" t="s">
        <v>287</v>
      </c>
      <c r="J846" s="203" t="s">
        <v>50</v>
      </c>
      <c r="K846" s="203" t="s">
        <v>50</v>
      </c>
      <c r="L846" s="203" t="s">
        <v>50</v>
      </c>
      <c r="M846" s="203" t="s">
        <v>51</v>
      </c>
      <c r="N846" s="203">
        <v>23.450914000000001</v>
      </c>
      <c r="O846" s="203">
        <v>97.926813999999993</v>
      </c>
      <c r="P846" s="203" t="s">
        <v>930</v>
      </c>
      <c r="Q846" s="203" t="s">
        <v>951</v>
      </c>
      <c r="R846" s="425">
        <v>56</v>
      </c>
      <c r="S846" s="425">
        <v>265</v>
      </c>
      <c r="T846" s="542" t="s">
        <v>935</v>
      </c>
      <c r="U846" s="427"/>
      <c r="V846" s="203" t="s">
        <v>896</v>
      </c>
      <c r="W846" s="425" t="s">
        <v>3143</v>
      </c>
    </row>
    <row r="847" spans="1:23" ht="12.75" hidden="1" x14ac:dyDescent="0.2">
      <c r="A847" s="294" t="s">
        <v>866</v>
      </c>
      <c r="B847" s="446" t="s">
        <v>870</v>
      </c>
      <c r="C847" s="445" t="s">
        <v>901</v>
      </c>
      <c r="D847" s="203" t="s">
        <v>2942</v>
      </c>
      <c r="E847" s="203" t="s">
        <v>1893</v>
      </c>
      <c r="F847" s="203" t="s">
        <v>2283</v>
      </c>
      <c r="G847" s="203" t="s">
        <v>2182</v>
      </c>
      <c r="H847" s="203" t="s">
        <v>48</v>
      </c>
      <c r="I847" s="203" t="s">
        <v>287</v>
      </c>
      <c r="J847" s="203" t="s">
        <v>50</v>
      </c>
      <c r="K847" s="203" t="s">
        <v>50</v>
      </c>
      <c r="L847" s="203" t="s">
        <v>50</v>
      </c>
      <c r="M847" s="203" t="s">
        <v>51</v>
      </c>
      <c r="N847" s="203">
        <v>23.460349999999998</v>
      </c>
      <c r="O847" s="203">
        <v>97.947360000000003</v>
      </c>
      <c r="P847" s="203" t="s">
        <v>930</v>
      </c>
      <c r="Q847" s="203" t="s">
        <v>931</v>
      </c>
      <c r="R847" s="425">
        <v>37</v>
      </c>
      <c r="S847" s="425">
        <v>143</v>
      </c>
      <c r="T847" s="542">
        <v>42836</v>
      </c>
      <c r="U847" s="427" t="s">
        <v>1142</v>
      </c>
      <c r="V847" s="203"/>
      <c r="W847" s="425" t="s">
        <v>3144</v>
      </c>
    </row>
    <row r="848" spans="1:23" ht="12.75" hidden="1" x14ac:dyDescent="0.2">
      <c r="A848" s="294" t="s">
        <v>866</v>
      </c>
      <c r="B848" s="446" t="s">
        <v>870</v>
      </c>
      <c r="C848" s="445" t="s">
        <v>871</v>
      </c>
      <c r="D848" s="203" t="s">
        <v>2942</v>
      </c>
      <c r="E848" s="203" t="s">
        <v>1894</v>
      </c>
      <c r="F848" s="203" t="s">
        <v>2283</v>
      </c>
      <c r="G848" s="203" t="s">
        <v>2285</v>
      </c>
      <c r="H848" s="203" t="s">
        <v>48</v>
      </c>
      <c r="I848" s="203" t="s">
        <v>1545</v>
      </c>
      <c r="J848" s="203" t="s">
        <v>50</v>
      </c>
      <c r="K848" s="203" t="s">
        <v>50</v>
      </c>
      <c r="L848" s="203" t="s">
        <v>50</v>
      </c>
      <c r="M848" s="203" t="s">
        <v>51</v>
      </c>
      <c r="N848" s="203">
        <v>23.460349999999998</v>
      </c>
      <c r="O848" s="203">
        <v>97.947360000000003</v>
      </c>
      <c r="P848" s="203" t="s">
        <v>930</v>
      </c>
      <c r="Q848" s="203" t="s">
        <v>951</v>
      </c>
      <c r="R848" s="425">
        <v>28</v>
      </c>
      <c r="S848" s="425">
        <v>132</v>
      </c>
      <c r="T848" s="542" t="s">
        <v>935</v>
      </c>
      <c r="U848" s="427"/>
      <c r="V848" s="203" t="s">
        <v>871</v>
      </c>
      <c r="W848" s="425" t="s">
        <v>3145</v>
      </c>
    </row>
    <row r="849" spans="1:23" ht="12.75" hidden="1" x14ac:dyDescent="0.2">
      <c r="A849" s="294" t="s">
        <v>866</v>
      </c>
      <c r="B849" s="446" t="s">
        <v>870</v>
      </c>
      <c r="C849" s="445" t="s">
        <v>921</v>
      </c>
      <c r="D849" s="203" t="s">
        <v>2177</v>
      </c>
      <c r="E849" s="203"/>
      <c r="F849" s="203"/>
      <c r="G849" s="203"/>
      <c r="H849" s="203"/>
      <c r="I849" s="203"/>
      <c r="J849" s="203" t="s">
        <v>1921</v>
      </c>
      <c r="K849" s="203" t="s">
        <v>50</v>
      </c>
      <c r="L849" s="203" t="s">
        <v>50</v>
      </c>
      <c r="M849" s="203" t="s">
        <v>51</v>
      </c>
      <c r="N849" s="203"/>
      <c r="O849" s="203"/>
      <c r="P849" s="203" t="s">
        <v>930</v>
      </c>
      <c r="Q849" s="203" t="s">
        <v>951</v>
      </c>
      <c r="R849" s="429"/>
      <c r="S849" s="430"/>
      <c r="T849" s="542">
        <v>42747</v>
      </c>
      <c r="U849" s="427"/>
      <c r="V849" s="203"/>
      <c r="W849" s="425"/>
    </row>
    <row r="850" spans="1:23" ht="12.75" hidden="1" x14ac:dyDescent="0.2">
      <c r="A850" s="294" t="s">
        <v>866</v>
      </c>
      <c r="B850" s="446" t="s">
        <v>870</v>
      </c>
      <c r="C850" s="445" t="s">
        <v>2956</v>
      </c>
      <c r="D850" s="203" t="s">
        <v>2942</v>
      </c>
      <c r="E850" s="203" t="s">
        <v>1897</v>
      </c>
      <c r="F850" s="203" t="s">
        <v>2288</v>
      </c>
      <c r="G850" s="203" t="s">
        <v>2288</v>
      </c>
      <c r="H850" s="203" t="s">
        <v>48</v>
      </c>
      <c r="I850" s="203" t="s">
        <v>287</v>
      </c>
      <c r="J850" s="203" t="s">
        <v>50</v>
      </c>
      <c r="K850" s="203" t="s">
        <v>50</v>
      </c>
      <c r="L850" s="203" t="s">
        <v>50</v>
      </c>
      <c r="M850" s="203" t="s">
        <v>51</v>
      </c>
      <c r="N850" s="203">
        <v>23.591999999999999</v>
      </c>
      <c r="O850" s="203">
        <v>97.796999999999997</v>
      </c>
      <c r="P850" s="203" t="s">
        <v>930</v>
      </c>
      <c r="Q850" s="203" t="s">
        <v>951</v>
      </c>
      <c r="R850" s="425">
        <v>108</v>
      </c>
      <c r="S850" s="425">
        <v>527</v>
      </c>
      <c r="T850" s="542" t="s">
        <v>976</v>
      </c>
      <c r="U850" s="427"/>
      <c r="V850" s="203"/>
      <c r="W850" s="425" t="s">
        <v>3146</v>
      </c>
    </row>
    <row r="851" spans="1:23" ht="12.75" hidden="1" x14ac:dyDescent="0.2">
      <c r="A851" s="294" t="s">
        <v>866</v>
      </c>
      <c r="B851" s="446" t="s">
        <v>870</v>
      </c>
      <c r="C851" s="445" t="s">
        <v>909</v>
      </c>
      <c r="D851" s="203" t="s">
        <v>2942</v>
      </c>
      <c r="E851" s="203" t="s">
        <v>2094</v>
      </c>
      <c r="F851" s="294" t="s">
        <v>2371</v>
      </c>
      <c r="G851" s="203" t="s">
        <v>909</v>
      </c>
      <c r="H851" s="203"/>
      <c r="I851" s="203" t="s">
        <v>2959</v>
      </c>
      <c r="J851" s="203" t="s">
        <v>50</v>
      </c>
      <c r="K851" s="203" t="s">
        <v>50</v>
      </c>
      <c r="L851" s="203" t="s">
        <v>946</v>
      </c>
      <c r="M851" s="203" t="s">
        <v>51</v>
      </c>
      <c r="N851" s="203"/>
      <c r="O851" s="203"/>
      <c r="P851" s="203" t="s">
        <v>930</v>
      </c>
      <c r="Q851" s="203" t="s">
        <v>973</v>
      </c>
      <c r="R851" s="425">
        <v>24</v>
      </c>
      <c r="S851" s="425">
        <v>84</v>
      </c>
      <c r="T851" s="542" t="s">
        <v>1255</v>
      </c>
      <c r="U851" s="427"/>
      <c r="V851" s="203"/>
      <c r="W851" s="425" t="s">
        <v>3147</v>
      </c>
    </row>
    <row r="852" spans="1:23" ht="12.75" hidden="1" x14ac:dyDescent="0.2">
      <c r="A852" s="294" t="s">
        <v>866</v>
      </c>
      <c r="B852" s="446" t="s">
        <v>870</v>
      </c>
      <c r="C852" s="445" t="s">
        <v>2957</v>
      </c>
      <c r="D852" s="203" t="s">
        <v>2942</v>
      </c>
      <c r="E852" s="203" t="s">
        <v>1896</v>
      </c>
      <c r="F852" s="203" t="s">
        <v>2288</v>
      </c>
      <c r="G852" s="203" t="s">
        <v>2288</v>
      </c>
      <c r="H852" s="203" t="s">
        <v>48</v>
      </c>
      <c r="I852" s="203" t="s">
        <v>287</v>
      </c>
      <c r="J852" s="203" t="s">
        <v>50</v>
      </c>
      <c r="K852" s="203" t="s">
        <v>1139</v>
      </c>
      <c r="L852" s="203" t="s">
        <v>50</v>
      </c>
      <c r="M852" s="203" t="s">
        <v>51</v>
      </c>
      <c r="N852" s="203">
        <v>23.588920000000002</v>
      </c>
      <c r="O852" s="203">
        <v>97.793019999999999</v>
      </c>
      <c r="P852" s="203" t="s">
        <v>930</v>
      </c>
      <c r="Q852" s="203" t="s">
        <v>951</v>
      </c>
      <c r="R852" s="425">
        <v>76</v>
      </c>
      <c r="S852" s="425">
        <v>338</v>
      </c>
      <c r="T852" s="542" t="s">
        <v>935</v>
      </c>
      <c r="U852" s="427"/>
      <c r="V852" s="203" t="s">
        <v>904</v>
      </c>
      <c r="W852" s="425" t="s">
        <v>3148</v>
      </c>
    </row>
    <row r="853" spans="1:23" ht="12.75" hidden="1" x14ac:dyDescent="0.2">
      <c r="A853" s="294" t="s">
        <v>866</v>
      </c>
      <c r="B853" s="446" t="s">
        <v>870</v>
      </c>
      <c r="C853" s="445" t="s">
        <v>1288</v>
      </c>
      <c r="D853" s="203" t="s">
        <v>2177</v>
      </c>
      <c r="E853" s="203"/>
      <c r="F853" s="203"/>
      <c r="G853" s="203"/>
      <c r="H853" s="203"/>
      <c r="I853" s="203"/>
      <c r="J853" s="203" t="s">
        <v>1921</v>
      </c>
      <c r="K853" s="203" t="s">
        <v>50</v>
      </c>
      <c r="L853" s="203" t="s">
        <v>50</v>
      </c>
      <c r="M853" s="203" t="s">
        <v>51</v>
      </c>
      <c r="N853" s="203"/>
      <c r="O853" s="203"/>
      <c r="P853" s="203" t="s">
        <v>930</v>
      </c>
      <c r="Q853" s="203" t="s">
        <v>951</v>
      </c>
      <c r="R853" s="429"/>
      <c r="S853" s="430"/>
      <c r="T853" s="542"/>
      <c r="U853" s="427" t="s">
        <v>1267</v>
      </c>
      <c r="V853" s="203"/>
      <c r="W853" s="425"/>
    </row>
    <row r="854" spans="1:23" ht="25.5" hidden="1" x14ac:dyDescent="0.2">
      <c r="A854" s="294" t="s">
        <v>866</v>
      </c>
      <c r="B854" s="446" t="s">
        <v>870</v>
      </c>
      <c r="C854" s="445" t="s">
        <v>900</v>
      </c>
      <c r="D854" s="203" t="s">
        <v>2942</v>
      </c>
      <c r="E854" s="203" t="s">
        <v>1914</v>
      </c>
      <c r="F854" s="203" t="s">
        <v>2292</v>
      </c>
      <c r="G854" s="203" t="s">
        <v>2293</v>
      </c>
      <c r="H854" s="203"/>
      <c r="I854" s="203" t="s">
        <v>2959</v>
      </c>
      <c r="J854" s="203" t="s">
        <v>50</v>
      </c>
      <c r="K854" s="203" t="s">
        <v>50</v>
      </c>
      <c r="L854" s="203" t="s">
        <v>946</v>
      </c>
      <c r="M854" s="203" t="s">
        <v>51</v>
      </c>
      <c r="N854" s="203">
        <v>23.850999999999999</v>
      </c>
      <c r="O854" s="203">
        <v>98.337999999999994</v>
      </c>
      <c r="P854" s="203" t="s">
        <v>930</v>
      </c>
      <c r="Q854" s="203" t="s">
        <v>931</v>
      </c>
      <c r="R854" s="425">
        <v>30</v>
      </c>
      <c r="S854" s="425">
        <v>170</v>
      </c>
      <c r="T854" s="542"/>
      <c r="U854" s="427" t="s">
        <v>1153</v>
      </c>
      <c r="V854" s="203"/>
      <c r="W854" s="425" t="s">
        <v>3149</v>
      </c>
    </row>
    <row r="855" spans="1:23" ht="12.75" hidden="1" x14ac:dyDescent="0.2">
      <c r="A855" s="294" t="s">
        <v>866</v>
      </c>
      <c r="B855" s="446" t="s">
        <v>870</v>
      </c>
      <c r="C855" s="445" t="s">
        <v>880</v>
      </c>
      <c r="D855" s="203" t="s">
        <v>2942</v>
      </c>
      <c r="E855" s="203" t="s">
        <v>1889</v>
      </c>
      <c r="F855" s="294"/>
      <c r="G855" s="203"/>
      <c r="H855" s="203" t="s">
        <v>48</v>
      </c>
      <c r="I855" s="203" t="s">
        <v>287</v>
      </c>
      <c r="J855" s="203" t="s">
        <v>50</v>
      </c>
      <c r="K855" s="203" t="s">
        <v>1139</v>
      </c>
      <c r="L855" s="203" t="s">
        <v>50</v>
      </c>
      <c r="M855" s="203" t="s">
        <v>51</v>
      </c>
      <c r="N855" s="203">
        <v>23.400155999999999</v>
      </c>
      <c r="O855" s="203">
        <v>98.220614999999995</v>
      </c>
      <c r="P855" s="203" t="s">
        <v>930</v>
      </c>
      <c r="Q855" s="203" t="s">
        <v>951</v>
      </c>
      <c r="R855" s="425">
        <v>41</v>
      </c>
      <c r="S855" s="425">
        <v>230</v>
      </c>
      <c r="T855" s="542" t="s">
        <v>935</v>
      </c>
      <c r="U855" s="427"/>
      <c r="V855" s="203" t="s">
        <v>1140</v>
      </c>
      <c r="W855" s="425" t="s">
        <v>3150</v>
      </c>
    </row>
    <row r="856" spans="1:23" ht="12.75" hidden="1" x14ac:dyDescent="0.2">
      <c r="A856" s="294" t="s">
        <v>866</v>
      </c>
      <c r="B856" s="446" t="s">
        <v>870</v>
      </c>
      <c r="C856" s="445" t="s">
        <v>875</v>
      </c>
      <c r="D856" s="203" t="s">
        <v>2942</v>
      </c>
      <c r="E856" s="203" t="s">
        <v>1895</v>
      </c>
      <c r="F856" s="203" t="s">
        <v>2286</v>
      </c>
      <c r="G856" s="203" t="s">
        <v>2287</v>
      </c>
      <c r="H856" s="203" t="s">
        <v>48</v>
      </c>
      <c r="I856" s="203" t="s">
        <v>1545</v>
      </c>
      <c r="J856" s="203" t="s">
        <v>50</v>
      </c>
      <c r="K856" s="203" t="s">
        <v>50</v>
      </c>
      <c r="L856" s="203" t="s">
        <v>50</v>
      </c>
      <c r="M856" s="203" t="s">
        <v>51</v>
      </c>
      <c r="N856" s="203">
        <v>23.463000000000001</v>
      </c>
      <c r="O856" s="203">
        <v>98.248999999999995</v>
      </c>
      <c r="P856" s="203" t="s">
        <v>930</v>
      </c>
      <c r="Q856" s="203" t="s">
        <v>951</v>
      </c>
      <c r="R856" s="425">
        <v>22</v>
      </c>
      <c r="S856" s="425">
        <v>95</v>
      </c>
      <c r="T856" s="542" t="s">
        <v>935</v>
      </c>
      <c r="U856" s="427"/>
      <c r="V856" s="203" t="s">
        <v>1143</v>
      </c>
      <c r="W856" s="425" t="s">
        <v>3151</v>
      </c>
    </row>
    <row r="857" spans="1:23" ht="12.75" hidden="1" x14ac:dyDescent="0.2">
      <c r="A857" s="294" t="s">
        <v>866</v>
      </c>
      <c r="B857" s="446" t="s">
        <v>870</v>
      </c>
      <c r="C857" s="445" t="s">
        <v>1292</v>
      </c>
      <c r="D857" s="203" t="s">
        <v>2177</v>
      </c>
      <c r="E857" s="203"/>
      <c r="F857" s="203"/>
      <c r="G857" s="203"/>
      <c r="H857" s="203"/>
      <c r="I857" s="203"/>
      <c r="J857" s="203" t="s">
        <v>1921</v>
      </c>
      <c r="K857" s="203" t="s">
        <v>50</v>
      </c>
      <c r="L857" s="203" t="s">
        <v>1271</v>
      </c>
      <c r="M857" s="203" t="s">
        <v>51</v>
      </c>
      <c r="N857" s="203"/>
      <c r="O857" s="203"/>
      <c r="P857" s="203" t="s">
        <v>930</v>
      </c>
      <c r="Q857" s="203" t="s">
        <v>951</v>
      </c>
      <c r="R857" s="429"/>
      <c r="S857" s="430"/>
      <c r="T857" s="542" t="s">
        <v>935</v>
      </c>
      <c r="U857" s="427" t="s">
        <v>1267</v>
      </c>
      <c r="V857" s="203" t="s">
        <v>1293</v>
      </c>
      <c r="W857" s="425"/>
    </row>
    <row r="858" spans="1:23" ht="12.75" hidden="1" x14ac:dyDescent="0.2">
      <c r="A858" s="294" t="s">
        <v>866</v>
      </c>
      <c r="B858" s="446" t="s">
        <v>870</v>
      </c>
      <c r="C858" s="445" t="s">
        <v>884</v>
      </c>
      <c r="D858" s="203" t="s">
        <v>2942</v>
      </c>
      <c r="E858" s="203" t="s">
        <v>1901</v>
      </c>
      <c r="F858" s="203" t="s">
        <v>2289</v>
      </c>
      <c r="G858" s="203" t="s">
        <v>2290</v>
      </c>
      <c r="H858" s="203" t="s">
        <v>48</v>
      </c>
      <c r="I858" s="203" t="s">
        <v>287</v>
      </c>
      <c r="J858" s="203" t="s">
        <v>50</v>
      </c>
      <c r="K858" s="203" t="s">
        <v>50</v>
      </c>
      <c r="L858" s="203" t="s">
        <v>50</v>
      </c>
      <c r="M858" s="203" t="s">
        <v>51</v>
      </c>
      <c r="N858" s="203">
        <v>23.694130000000001</v>
      </c>
      <c r="O858" s="203">
        <v>97.818979999999996</v>
      </c>
      <c r="P858" s="203" t="s">
        <v>930</v>
      </c>
      <c r="Q858" s="203" t="s">
        <v>951</v>
      </c>
      <c r="R858" s="425">
        <v>57</v>
      </c>
      <c r="S858" s="425">
        <v>267</v>
      </c>
      <c r="T858" s="542" t="s">
        <v>935</v>
      </c>
      <c r="U858" s="427"/>
      <c r="V858" s="203" t="s">
        <v>884</v>
      </c>
      <c r="W858" s="425" t="s">
        <v>3152</v>
      </c>
    </row>
    <row r="859" spans="1:23" ht="12.75" hidden="1" x14ac:dyDescent="0.2">
      <c r="A859" s="294" t="s">
        <v>866</v>
      </c>
      <c r="B859" s="446" t="s">
        <v>870</v>
      </c>
      <c r="C859" s="445" t="s">
        <v>2958</v>
      </c>
      <c r="D859" s="203" t="s">
        <v>2942</v>
      </c>
      <c r="E859" s="203" t="s">
        <v>1900</v>
      </c>
      <c r="F859" s="203"/>
      <c r="G859" s="203"/>
      <c r="H859" s="203"/>
      <c r="I859" s="203" t="s">
        <v>1545</v>
      </c>
      <c r="J859" s="203" t="s">
        <v>50</v>
      </c>
      <c r="K859" s="203" t="s">
        <v>50</v>
      </c>
      <c r="L859" s="203" t="s">
        <v>50</v>
      </c>
      <c r="M859" s="203" t="s">
        <v>51</v>
      </c>
      <c r="N859" s="203">
        <v>23.682887999999998</v>
      </c>
      <c r="O859" s="203">
        <v>97.810101000000003</v>
      </c>
      <c r="P859" s="203" t="s">
        <v>930</v>
      </c>
      <c r="Q859" s="203" t="s">
        <v>951</v>
      </c>
      <c r="R859" s="425">
        <v>41</v>
      </c>
      <c r="S859" s="425">
        <v>137</v>
      </c>
      <c r="T859" s="542" t="s">
        <v>976</v>
      </c>
      <c r="U859" s="427"/>
      <c r="V859" s="203"/>
      <c r="W859" s="425" t="s">
        <v>3153</v>
      </c>
    </row>
    <row r="860" spans="1:23" ht="12.75" hidden="1" x14ac:dyDescent="0.2">
      <c r="A860" s="294" t="s">
        <v>866</v>
      </c>
      <c r="B860" s="446" t="s">
        <v>870</v>
      </c>
      <c r="C860" s="445" t="s">
        <v>897</v>
      </c>
      <c r="D860" s="203" t="s">
        <v>2942</v>
      </c>
      <c r="E860" s="203" t="s">
        <v>1891</v>
      </c>
      <c r="F860" s="294" t="s">
        <v>2190</v>
      </c>
      <c r="G860" s="203">
        <v>0</v>
      </c>
      <c r="H860" s="203"/>
      <c r="I860" s="203" t="s">
        <v>2959</v>
      </c>
      <c r="J860" s="203" t="s">
        <v>50</v>
      </c>
      <c r="K860" s="203" t="s">
        <v>1139</v>
      </c>
      <c r="L860" s="203" t="s">
        <v>946</v>
      </c>
      <c r="M860" s="203" t="s">
        <v>51</v>
      </c>
      <c r="N860" s="203">
        <v>23.447111</v>
      </c>
      <c r="O860" s="203">
        <v>97.868876999999998</v>
      </c>
      <c r="P860" s="203" t="s">
        <v>930</v>
      </c>
      <c r="Q860" s="203" t="s">
        <v>931</v>
      </c>
      <c r="R860" s="425">
        <v>103</v>
      </c>
      <c r="S860" s="425">
        <v>578</v>
      </c>
      <c r="T860" s="542"/>
      <c r="U860" s="427"/>
      <c r="V860" s="203"/>
      <c r="W860" s="425" t="s">
        <v>3154</v>
      </c>
    </row>
    <row r="861" spans="1:23" ht="12.75" hidden="1" x14ac:dyDescent="0.2">
      <c r="A861" s="436" t="s">
        <v>866</v>
      </c>
      <c r="B861" s="694" t="s">
        <v>870</v>
      </c>
      <c r="C861" s="764" t="s">
        <v>917</v>
      </c>
      <c r="D861" s="203" t="s">
        <v>2942</v>
      </c>
      <c r="E861" s="436" t="s">
        <v>2505</v>
      </c>
      <c r="F861" s="203" t="s">
        <v>917</v>
      </c>
      <c r="G861" s="203" t="s">
        <v>917</v>
      </c>
      <c r="H861" s="436"/>
      <c r="I861" s="436" t="s">
        <v>2959</v>
      </c>
      <c r="J861" s="436" t="s">
        <v>50</v>
      </c>
      <c r="K861" s="436" t="s">
        <v>50</v>
      </c>
      <c r="L861" s="436" t="s">
        <v>946</v>
      </c>
      <c r="M861" s="436" t="s">
        <v>51</v>
      </c>
      <c r="N861" s="436"/>
      <c r="O861" s="436"/>
      <c r="P861" s="203" t="s">
        <v>930</v>
      </c>
      <c r="Q861" s="437"/>
      <c r="R861" s="425">
        <v>38</v>
      </c>
      <c r="S861" s="425">
        <v>194</v>
      </c>
      <c r="T861" s="544"/>
      <c r="U861" s="436" t="s">
        <v>1325</v>
      </c>
      <c r="V861" s="203"/>
      <c r="W861" s="425" t="s">
        <v>3155</v>
      </c>
    </row>
    <row r="862" spans="1:23" ht="12.75" hidden="1" x14ac:dyDescent="0.2">
      <c r="A862" s="294" t="s">
        <v>866</v>
      </c>
      <c r="B862" s="446" t="s">
        <v>870</v>
      </c>
      <c r="C862" s="445" t="s">
        <v>893</v>
      </c>
      <c r="D862" s="203" t="s">
        <v>2942</v>
      </c>
      <c r="E862" s="203" t="s">
        <v>1888</v>
      </c>
      <c r="F862" s="203" t="s">
        <v>2190</v>
      </c>
      <c r="G862" s="203" t="s">
        <v>2191</v>
      </c>
      <c r="H862" s="203" t="s">
        <v>48</v>
      </c>
      <c r="I862" s="203" t="s">
        <v>287</v>
      </c>
      <c r="J862" s="203" t="s">
        <v>50</v>
      </c>
      <c r="K862" s="203" t="s">
        <v>1139</v>
      </c>
      <c r="L862" s="203" t="s">
        <v>50</v>
      </c>
      <c r="M862" s="203" t="s">
        <v>51</v>
      </c>
      <c r="N862" s="203">
        <v>23.38503</v>
      </c>
      <c r="O862" s="203">
        <v>97.837040000000002</v>
      </c>
      <c r="P862" s="203" t="s">
        <v>930</v>
      </c>
      <c r="Q862" s="203" t="s">
        <v>951</v>
      </c>
      <c r="R862" s="425">
        <v>201</v>
      </c>
      <c r="S862" s="425">
        <v>1009</v>
      </c>
      <c r="T862" s="542" t="s">
        <v>935</v>
      </c>
      <c r="U862" s="427"/>
      <c r="V862" s="203" t="s">
        <v>893</v>
      </c>
      <c r="W862" s="425" t="s">
        <v>3156</v>
      </c>
    </row>
    <row r="863" spans="1:23" ht="12.75" hidden="1" x14ac:dyDescent="0.2">
      <c r="A863" s="436" t="s">
        <v>866</v>
      </c>
      <c r="B863" s="446" t="s">
        <v>1431</v>
      </c>
      <c r="C863" s="445" t="s">
        <v>1522</v>
      </c>
      <c r="D863" s="432" t="s">
        <v>2397</v>
      </c>
      <c r="E863" s="203"/>
      <c r="F863" s="294" t="s">
        <v>2398</v>
      </c>
      <c r="G863" s="203"/>
      <c r="H863" s="203"/>
      <c r="I863" s="203"/>
      <c r="J863" s="203" t="s">
        <v>1921</v>
      </c>
      <c r="K863" s="203"/>
      <c r="L863" s="203"/>
      <c r="M863" s="203"/>
      <c r="N863" s="203"/>
      <c r="O863" s="203"/>
      <c r="P863" s="203" t="s">
        <v>930</v>
      </c>
      <c r="Q863" s="203"/>
      <c r="R863" s="294"/>
      <c r="S863" s="294"/>
      <c r="T863" s="542"/>
      <c r="U863" s="427"/>
      <c r="V863" s="203"/>
      <c r="W863" s="425"/>
    </row>
    <row r="864" spans="1:23" ht="12.75" hidden="1" x14ac:dyDescent="0.2">
      <c r="A864" s="294" t="s">
        <v>866</v>
      </c>
      <c r="B864" s="446" t="s">
        <v>873</v>
      </c>
      <c r="C864" s="445" t="s">
        <v>1256</v>
      </c>
      <c r="D864" s="203" t="s">
        <v>2177</v>
      </c>
      <c r="E864" s="203"/>
      <c r="F864" s="203"/>
      <c r="G864" s="203"/>
      <c r="H864" s="203"/>
      <c r="I864" s="203"/>
      <c r="J864" s="203" t="s">
        <v>969</v>
      </c>
      <c r="K864" s="203" t="s">
        <v>969</v>
      </c>
      <c r="L864" s="203" t="s">
        <v>969</v>
      </c>
      <c r="M864" s="203" t="s">
        <v>935</v>
      </c>
      <c r="N864" s="203"/>
      <c r="O864" s="203"/>
      <c r="P864" s="203" t="s">
        <v>970</v>
      </c>
      <c r="Q864" s="203"/>
      <c r="R864" s="429"/>
      <c r="S864" s="430"/>
      <c r="T864" s="542" t="s">
        <v>935</v>
      </c>
      <c r="U864" s="427"/>
      <c r="V864" s="203" t="s">
        <v>1257</v>
      </c>
      <c r="W864" s="425"/>
    </row>
    <row r="865" spans="1:23" ht="25.5" hidden="1" x14ac:dyDescent="0.2">
      <c r="A865" s="294" t="s">
        <v>866</v>
      </c>
      <c r="B865" s="446" t="s">
        <v>873</v>
      </c>
      <c r="C865" s="445" t="s">
        <v>915</v>
      </c>
      <c r="D865" s="203" t="s">
        <v>2942</v>
      </c>
      <c r="E865" s="203" t="s">
        <v>1546</v>
      </c>
      <c r="F865" s="203">
        <v>0</v>
      </c>
      <c r="G865" s="203">
        <v>0</v>
      </c>
      <c r="H865" s="203"/>
      <c r="I865" s="203" t="s">
        <v>2959</v>
      </c>
      <c r="J865" s="203" t="s">
        <v>50</v>
      </c>
      <c r="K865" s="203" t="s">
        <v>50</v>
      </c>
      <c r="L865" s="203" t="s">
        <v>946</v>
      </c>
      <c r="M865" s="203" t="s">
        <v>51</v>
      </c>
      <c r="N865" s="203"/>
      <c r="O865" s="203"/>
      <c r="P865" s="203" t="s">
        <v>930</v>
      </c>
      <c r="Q865" s="203" t="s">
        <v>931</v>
      </c>
      <c r="R865" s="425">
        <v>36</v>
      </c>
      <c r="S865" s="425">
        <v>188</v>
      </c>
      <c r="T865" s="542"/>
      <c r="U865" s="427" t="s">
        <v>947</v>
      </c>
      <c r="V865" s="203"/>
      <c r="W865" s="425" t="s">
        <v>3157</v>
      </c>
    </row>
    <row r="866" spans="1:23" ht="12.75" hidden="1" x14ac:dyDescent="0.2">
      <c r="A866" s="294" t="s">
        <v>866</v>
      </c>
      <c r="B866" s="446" t="s">
        <v>873</v>
      </c>
      <c r="C866" s="445" t="s">
        <v>903</v>
      </c>
      <c r="D866" s="203" t="s">
        <v>2942</v>
      </c>
      <c r="E866" s="203" t="s">
        <v>1884</v>
      </c>
      <c r="F866" s="203" t="s">
        <v>2207</v>
      </c>
      <c r="G866" s="203" t="s">
        <v>2227</v>
      </c>
      <c r="H866" s="203" t="s">
        <v>48</v>
      </c>
      <c r="I866" s="203" t="s">
        <v>287</v>
      </c>
      <c r="J866" s="203" t="s">
        <v>50</v>
      </c>
      <c r="K866" s="203" t="s">
        <v>50</v>
      </c>
      <c r="L866" s="203" t="s">
        <v>50</v>
      </c>
      <c r="M866" s="203" t="s">
        <v>51</v>
      </c>
      <c r="N866" s="203">
        <v>23.250678000000001</v>
      </c>
      <c r="O866" s="203">
        <v>97.124403000000001</v>
      </c>
      <c r="P866" s="203" t="s">
        <v>930</v>
      </c>
      <c r="Q866" s="203" t="s">
        <v>951</v>
      </c>
      <c r="R866" s="425">
        <v>33</v>
      </c>
      <c r="S866" s="425">
        <v>182</v>
      </c>
      <c r="T866" s="542" t="s">
        <v>935</v>
      </c>
      <c r="U866" s="427"/>
      <c r="V866" s="203" t="s">
        <v>903</v>
      </c>
      <c r="W866" s="425" t="s">
        <v>3158</v>
      </c>
    </row>
    <row r="867" spans="1:23" ht="12.75" hidden="1" x14ac:dyDescent="0.2">
      <c r="A867" s="294" t="s">
        <v>866</v>
      </c>
      <c r="B867" s="446" t="s">
        <v>873</v>
      </c>
      <c r="C867" s="445" t="s">
        <v>874</v>
      </c>
      <c r="D867" s="203" t="s">
        <v>2942</v>
      </c>
      <c r="E867" s="203" t="s">
        <v>1883</v>
      </c>
      <c r="F867" s="203" t="s">
        <v>2207</v>
      </c>
      <c r="G867" s="203" t="s">
        <v>2227</v>
      </c>
      <c r="H867" s="203" t="s">
        <v>48</v>
      </c>
      <c r="I867" s="203" t="s">
        <v>1545</v>
      </c>
      <c r="J867" s="203" t="s">
        <v>50</v>
      </c>
      <c r="K867" s="203" t="s">
        <v>50</v>
      </c>
      <c r="L867" s="203" t="s">
        <v>50</v>
      </c>
      <c r="M867" s="203" t="s">
        <v>51</v>
      </c>
      <c r="N867" s="203">
        <v>23.24661</v>
      </c>
      <c r="O867" s="203">
        <v>97.116680000000002</v>
      </c>
      <c r="P867" s="203" t="s">
        <v>930</v>
      </c>
      <c r="Q867" s="203" t="s">
        <v>951</v>
      </c>
      <c r="R867" s="425">
        <v>29</v>
      </c>
      <c r="S867" s="425">
        <v>171</v>
      </c>
      <c r="T867" s="542" t="s">
        <v>935</v>
      </c>
      <c r="U867" s="427"/>
      <c r="V867" s="203" t="s">
        <v>874</v>
      </c>
      <c r="W867" s="425" t="s">
        <v>3159</v>
      </c>
    </row>
    <row r="868" spans="1:23" ht="12.75" hidden="1" x14ac:dyDescent="0.2">
      <c r="A868" s="294" t="s">
        <v>866</v>
      </c>
      <c r="B868" s="446" t="s">
        <v>876</v>
      </c>
      <c r="C868" s="445" t="s">
        <v>928</v>
      </c>
      <c r="D868" s="203" t="s">
        <v>2178</v>
      </c>
      <c r="E868" s="203" t="s">
        <v>1531</v>
      </c>
      <c r="F868" s="203" t="s">
        <v>2196</v>
      </c>
      <c r="G868" s="203" t="s">
        <v>2197</v>
      </c>
      <c r="H868" s="203"/>
      <c r="I868" s="203">
        <v>0</v>
      </c>
      <c r="J868" s="203" t="s">
        <v>50</v>
      </c>
      <c r="K868" s="203" t="s">
        <v>50</v>
      </c>
      <c r="L868" s="203" t="s">
        <v>929</v>
      </c>
      <c r="M868" s="203" t="s">
        <v>51</v>
      </c>
      <c r="N868" s="203"/>
      <c r="O868" s="203"/>
      <c r="P868" s="203" t="s">
        <v>930</v>
      </c>
      <c r="Q868" s="203" t="s">
        <v>931</v>
      </c>
      <c r="R868" s="429">
        <v>0</v>
      </c>
      <c r="S868" s="430">
        <v>0</v>
      </c>
      <c r="T868" s="542">
        <v>42832</v>
      </c>
      <c r="U868" s="427"/>
      <c r="V868" s="203"/>
      <c r="W868" s="425" t="s">
        <v>3160</v>
      </c>
    </row>
    <row r="869" spans="1:23" ht="12.75" hidden="1" x14ac:dyDescent="0.2">
      <c r="A869" s="294" t="s">
        <v>866</v>
      </c>
      <c r="B869" s="446" t="s">
        <v>876</v>
      </c>
      <c r="C869" s="445" t="s">
        <v>932</v>
      </c>
      <c r="D869" s="203" t="s">
        <v>2178</v>
      </c>
      <c r="E869" s="203" t="s">
        <v>1532</v>
      </c>
      <c r="F869" s="203" t="s">
        <v>2196</v>
      </c>
      <c r="G869" s="203" t="s">
        <v>2198</v>
      </c>
      <c r="H869" s="203"/>
      <c r="I869" s="203">
        <v>0</v>
      </c>
      <c r="J869" s="203" t="s">
        <v>50</v>
      </c>
      <c r="K869" s="203" t="s">
        <v>50</v>
      </c>
      <c r="L869" s="203" t="s">
        <v>929</v>
      </c>
      <c r="M869" s="203" t="s">
        <v>51</v>
      </c>
      <c r="N869" s="203"/>
      <c r="O869" s="203"/>
      <c r="P869" s="203" t="s">
        <v>930</v>
      </c>
      <c r="Q869" s="203" t="s">
        <v>931</v>
      </c>
      <c r="R869" s="429">
        <v>0</v>
      </c>
      <c r="S869" s="430">
        <v>0</v>
      </c>
      <c r="T869" s="542"/>
      <c r="U869" s="427"/>
      <c r="V869" s="203">
        <v>42920</v>
      </c>
      <c r="W869" s="425" t="s">
        <v>3160</v>
      </c>
    </row>
    <row r="870" spans="1:23" ht="12.75" hidden="1" x14ac:dyDescent="0.2">
      <c r="A870" s="294" t="s">
        <v>866</v>
      </c>
      <c r="B870" s="446" t="s">
        <v>876</v>
      </c>
      <c r="C870" s="445" t="s">
        <v>933</v>
      </c>
      <c r="D870" s="203" t="s">
        <v>2178</v>
      </c>
      <c r="E870" s="203" t="s">
        <v>1533</v>
      </c>
      <c r="F870" s="203" t="s">
        <v>2196</v>
      </c>
      <c r="G870" s="203" t="s">
        <v>2198</v>
      </c>
      <c r="H870" s="203"/>
      <c r="I870" s="203">
        <v>0</v>
      </c>
      <c r="J870" s="203" t="s">
        <v>50</v>
      </c>
      <c r="K870" s="203" t="s">
        <v>50</v>
      </c>
      <c r="L870" s="203" t="s">
        <v>929</v>
      </c>
      <c r="M870" s="203" t="s">
        <v>51</v>
      </c>
      <c r="N870" s="203"/>
      <c r="O870" s="203"/>
      <c r="P870" s="203" t="s">
        <v>930</v>
      </c>
      <c r="Q870" s="203" t="s">
        <v>931</v>
      </c>
      <c r="R870" s="425">
        <v>0</v>
      </c>
      <c r="S870" s="426">
        <v>0</v>
      </c>
      <c r="T870" s="542"/>
      <c r="U870" s="427"/>
      <c r="V870" s="203">
        <v>42920</v>
      </c>
      <c r="W870" s="425" t="s">
        <v>3160</v>
      </c>
    </row>
    <row r="871" spans="1:23" ht="12.75" hidden="1" x14ac:dyDescent="0.2">
      <c r="A871" s="294" t="s">
        <v>866</v>
      </c>
      <c r="B871" s="446" t="s">
        <v>876</v>
      </c>
      <c r="C871" s="445" t="s">
        <v>1156</v>
      </c>
      <c r="D871" s="203" t="s">
        <v>2178</v>
      </c>
      <c r="E871" s="203" t="s">
        <v>1917</v>
      </c>
      <c r="F871" s="203" t="s">
        <v>2214</v>
      </c>
      <c r="G871" s="203" t="s">
        <v>2215</v>
      </c>
      <c r="H871" s="203"/>
      <c r="I871" s="203">
        <v>0</v>
      </c>
      <c r="J871" s="203" t="s">
        <v>50</v>
      </c>
      <c r="K871" s="203" t="s">
        <v>50</v>
      </c>
      <c r="L871" s="203" t="s">
        <v>929</v>
      </c>
      <c r="M871" s="203" t="s">
        <v>51</v>
      </c>
      <c r="N871" s="203">
        <v>23.917631</v>
      </c>
      <c r="O871" s="203">
        <v>98.116817999999995</v>
      </c>
      <c r="P871" s="203" t="s">
        <v>930</v>
      </c>
      <c r="Q871" s="203" t="s">
        <v>931</v>
      </c>
      <c r="R871" s="425">
        <v>0</v>
      </c>
      <c r="S871" s="426">
        <v>0</v>
      </c>
      <c r="T871" s="542">
        <v>42836</v>
      </c>
      <c r="U871" s="427"/>
      <c r="V871" s="203"/>
      <c r="W871" s="425" t="s">
        <v>3161</v>
      </c>
    </row>
    <row r="872" spans="1:23" ht="31.5" hidden="1" customHeight="1" x14ac:dyDescent="0.2">
      <c r="A872" s="294" t="s">
        <v>866</v>
      </c>
      <c r="B872" s="446" t="s">
        <v>876</v>
      </c>
      <c r="C872" s="445" t="s">
        <v>910</v>
      </c>
      <c r="D872" s="203" t="s">
        <v>2942</v>
      </c>
      <c r="E872" s="203" t="s">
        <v>2090</v>
      </c>
      <c r="F872" s="203" t="s">
        <v>2369</v>
      </c>
      <c r="G872" s="203" t="s">
        <v>910</v>
      </c>
      <c r="H872" s="203" t="s">
        <v>48</v>
      </c>
      <c r="I872" s="203" t="s">
        <v>287</v>
      </c>
      <c r="J872" s="203" t="s">
        <v>50</v>
      </c>
      <c r="K872" s="203" t="s">
        <v>50</v>
      </c>
      <c r="L872" s="203" t="s">
        <v>50</v>
      </c>
      <c r="M872" s="203" t="s">
        <v>51</v>
      </c>
      <c r="N872" s="203">
        <v>24.08738</v>
      </c>
      <c r="O872" s="203">
        <v>98.115809999999996</v>
      </c>
      <c r="P872" s="203" t="s">
        <v>930</v>
      </c>
      <c r="Q872" s="203" t="s">
        <v>973</v>
      </c>
      <c r="R872" s="425">
        <v>153</v>
      </c>
      <c r="S872" s="425">
        <v>781</v>
      </c>
      <c r="T872" s="542" t="s">
        <v>1255</v>
      </c>
      <c r="U872" s="427"/>
      <c r="V872" s="203"/>
      <c r="W872" s="425" t="s">
        <v>3144</v>
      </c>
    </row>
    <row r="873" spans="1:23" ht="51" hidden="1" x14ac:dyDescent="0.2">
      <c r="A873" s="294" t="s">
        <v>866</v>
      </c>
      <c r="B873" s="446" t="s">
        <v>876</v>
      </c>
      <c r="C873" s="445" t="s">
        <v>914</v>
      </c>
      <c r="D873" s="203" t="s">
        <v>2255</v>
      </c>
      <c r="E873" s="203" t="s">
        <v>1928</v>
      </c>
      <c r="F873" s="294" t="s">
        <v>910</v>
      </c>
      <c r="G873" s="203" t="s">
        <v>910</v>
      </c>
      <c r="H873" s="203"/>
      <c r="I873" s="203">
        <v>0</v>
      </c>
      <c r="J873" s="203" t="s">
        <v>50</v>
      </c>
      <c r="K873" s="203" t="s">
        <v>50</v>
      </c>
      <c r="L873" s="203" t="s">
        <v>929</v>
      </c>
      <c r="M873" s="203" t="s">
        <v>51</v>
      </c>
      <c r="N873" s="203">
        <v>24.08738</v>
      </c>
      <c r="O873" s="203">
        <v>98.115809999999996</v>
      </c>
      <c r="P873" s="203" t="s">
        <v>930</v>
      </c>
      <c r="Q873" s="203" t="s">
        <v>951</v>
      </c>
      <c r="R873" s="425"/>
      <c r="S873" s="426"/>
      <c r="T873" s="542">
        <v>43276</v>
      </c>
      <c r="U873" s="427" t="s">
        <v>2689</v>
      </c>
      <c r="V873" s="203" t="s">
        <v>914</v>
      </c>
      <c r="W873" s="425" t="s">
        <v>2689</v>
      </c>
    </row>
    <row r="874" spans="1:23" ht="12.75" hidden="1" x14ac:dyDescent="0.2">
      <c r="A874" s="294" t="s">
        <v>866</v>
      </c>
      <c r="B874" s="446" t="s">
        <v>876</v>
      </c>
      <c r="C874" s="445" t="s">
        <v>922</v>
      </c>
      <c r="D874" s="203" t="s">
        <v>2178</v>
      </c>
      <c r="E874" s="203" t="s">
        <v>1540</v>
      </c>
      <c r="F874" s="203">
        <v>0</v>
      </c>
      <c r="G874" s="203">
        <v>0</v>
      </c>
      <c r="H874" s="203"/>
      <c r="I874" s="203">
        <v>0</v>
      </c>
      <c r="J874" s="203" t="s">
        <v>50</v>
      </c>
      <c r="K874" s="203" t="s">
        <v>50</v>
      </c>
      <c r="L874" s="203" t="s">
        <v>929</v>
      </c>
      <c r="M874" s="203" t="s">
        <v>51</v>
      </c>
      <c r="N874" s="203"/>
      <c r="O874" s="203"/>
      <c r="P874" s="203" t="s">
        <v>930</v>
      </c>
      <c r="Q874" s="203" t="s">
        <v>931</v>
      </c>
      <c r="R874" s="425">
        <v>0</v>
      </c>
      <c r="S874" s="426">
        <v>0</v>
      </c>
      <c r="T874" s="542"/>
      <c r="U874" s="427"/>
      <c r="V874" s="203">
        <v>42920</v>
      </c>
      <c r="W874" s="425" t="s">
        <v>3160</v>
      </c>
    </row>
    <row r="875" spans="1:23" ht="12.75" hidden="1" x14ac:dyDescent="0.2">
      <c r="A875" s="294" t="s">
        <v>866</v>
      </c>
      <c r="B875" s="446" t="s">
        <v>876</v>
      </c>
      <c r="C875" s="445" t="s">
        <v>940</v>
      </c>
      <c r="D875" s="203" t="s">
        <v>2178</v>
      </c>
      <c r="E875" s="203" t="s">
        <v>1541</v>
      </c>
      <c r="F875" s="203" t="s">
        <v>2196</v>
      </c>
      <c r="G875" s="203" t="s">
        <v>2198</v>
      </c>
      <c r="H875" s="203"/>
      <c r="I875" s="203">
        <v>0</v>
      </c>
      <c r="J875" s="203" t="s">
        <v>50</v>
      </c>
      <c r="K875" s="203" t="s">
        <v>50</v>
      </c>
      <c r="L875" s="203" t="s">
        <v>929</v>
      </c>
      <c r="M875" s="203" t="s">
        <v>51</v>
      </c>
      <c r="N875" s="203"/>
      <c r="O875" s="203"/>
      <c r="P875" s="203" t="s">
        <v>930</v>
      </c>
      <c r="Q875" s="203" t="s">
        <v>931</v>
      </c>
      <c r="R875" s="425">
        <v>0</v>
      </c>
      <c r="S875" s="426">
        <v>0</v>
      </c>
      <c r="T875" s="542"/>
      <c r="U875" s="427"/>
      <c r="V875" s="203">
        <v>42920</v>
      </c>
      <c r="W875" s="425" t="s">
        <v>3160</v>
      </c>
    </row>
    <row r="876" spans="1:23" ht="12.75" hidden="1" x14ac:dyDescent="0.2">
      <c r="A876" s="294" t="s">
        <v>866</v>
      </c>
      <c r="B876" s="446" t="s">
        <v>876</v>
      </c>
      <c r="C876" s="445" t="s">
        <v>1164</v>
      </c>
      <c r="D876" s="203" t="s">
        <v>2177</v>
      </c>
      <c r="E876" s="203" t="s">
        <v>1929</v>
      </c>
      <c r="F876" s="203"/>
      <c r="G876" s="203"/>
      <c r="H876" s="203" t="s">
        <v>48</v>
      </c>
      <c r="I876" s="203" t="s">
        <v>287</v>
      </c>
      <c r="J876" s="203" t="s">
        <v>50</v>
      </c>
      <c r="K876" s="203" t="s">
        <v>50</v>
      </c>
      <c r="L876" s="203" t="s">
        <v>929</v>
      </c>
      <c r="M876" s="203" t="s">
        <v>949</v>
      </c>
      <c r="N876" s="203">
        <v>24.101320999999999</v>
      </c>
      <c r="O876" s="203">
        <v>98.320651999999995</v>
      </c>
      <c r="P876" s="203" t="s">
        <v>930</v>
      </c>
      <c r="Q876" s="203"/>
      <c r="R876" s="425">
        <v>2979</v>
      </c>
      <c r="S876" s="426">
        <v>0</v>
      </c>
      <c r="T876" s="542" t="s">
        <v>935</v>
      </c>
      <c r="U876" s="427"/>
      <c r="V876" s="203" t="s">
        <v>1165</v>
      </c>
      <c r="W876" s="425" t="s">
        <v>3162</v>
      </c>
    </row>
    <row r="877" spans="1:23" ht="12.75" hidden="1" x14ac:dyDescent="0.2">
      <c r="A877" s="294" t="s">
        <v>866</v>
      </c>
      <c r="B877" s="446" t="s">
        <v>876</v>
      </c>
      <c r="C877" s="445" t="s">
        <v>1163</v>
      </c>
      <c r="D877" s="203" t="s">
        <v>2178</v>
      </c>
      <c r="E877" s="203" t="s">
        <v>1926</v>
      </c>
      <c r="F877" s="203" t="s">
        <v>1163</v>
      </c>
      <c r="G877" s="203" t="s">
        <v>1163</v>
      </c>
      <c r="H877" s="203"/>
      <c r="I877" s="203">
        <v>0</v>
      </c>
      <c r="J877" s="203" t="s">
        <v>50</v>
      </c>
      <c r="K877" s="203" t="s">
        <v>50</v>
      </c>
      <c r="L877" s="203" t="s">
        <v>929</v>
      </c>
      <c r="M877" s="203" t="s">
        <v>949</v>
      </c>
      <c r="N877" s="203">
        <v>24.008452999999999</v>
      </c>
      <c r="O877" s="203">
        <v>98.054946000000001</v>
      </c>
      <c r="P877" s="203" t="s">
        <v>930</v>
      </c>
      <c r="Q877" s="203" t="s">
        <v>951</v>
      </c>
      <c r="R877" s="425">
        <v>3396</v>
      </c>
      <c r="S877" s="426">
        <v>0</v>
      </c>
      <c r="T877" s="542" t="s">
        <v>935</v>
      </c>
      <c r="U877" s="427"/>
      <c r="V877" s="203" t="s">
        <v>1163</v>
      </c>
      <c r="W877" s="425" t="s">
        <v>3163</v>
      </c>
    </row>
    <row r="878" spans="1:23" ht="12.75" hidden="1" x14ac:dyDescent="0.2">
      <c r="A878" s="294" t="s">
        <v>866</v>
      </c>
      <c r="B878" s="446" t="s">
        <v>876</v>
      </c>
      <c r="C878" s="445" t="s">
        <v>905</v>
      </c>
      <c r="D878" s="203" t="s">
        <v>2942</v>
      </c>
      <c r="E878" s="203" t="s">
        <v>1924</v>
      </c>
      <c r="F878" s="203" t="s">
        <v>2196</v>
      </c>
      <c r="G878" s="203" t="s">
        <v>2198</v>
      </c>
      <c r="H878" s="203" t="s">
        <v>48</v>
      </c>
      <c r="I878" s="203" t="s">
        <v>287</v>
      </c>
      <c r="J878" s="203" t="s">
        <v>50</v>
      </c>
      <c r="K878" s="203" t="s">
        <v>50</v>
      </c>
      <c r="L878" s="203" t="s">
        <v>50</v>
      </c>
      <c r="M878" s="203" t="s">
        <v>51</v>
      </c>
      <c r="N878" s="203">
        <v>24.006319999999999</v>
      </c>
      <c r="O878" s="203">
        <v>97.909400000000005</v>
      </c>
      <c r="P878" s="203" t="s">
        <v>930</v>
      </c>
      <c r="Q878" s="203" t="s">
        <v>951</v>
      </c>
      <c r="R878" s="425">
        <v>41</v>
      </c>
      <c r="S878" s="425">
        <v>190</v>
      </c>
      <c r="T878" s="542" t="s">
        <v>935</v>
      </c>
      <c r="U878" s="427"/>
      <c r="V878" s="203" t="s">
        <v>1161</v>
      </c>
      <c r="W878" s="425" t="s">
        <v>3164</v>
      </c>
    </row>
    <row r="879" spans="1:23" ht="12.75" hidden="1" x14ac:dyDescent="0.2">
      <c r="A879" s="294" t="s">
        <v>866</v>
      </c>
      <c r="B879" s="446" t="s">
        <v>876</v>
      </c>
      <c r="C879" s="445" t="s">
        <v>877</v>
      </c>
      <c r="D879" s="203" t="s">
        <v>2942</v>
      </c>
      <c r="E879" s="203" t="s">
        <v>1925</v>
      </c>
      <c r="F879" s="203" t="s">
        <v>2196</v>
      </c>
      <c r="G879" s="203" t="s">
        <v>2198</v>
      </c>
      <c r="H879" s="203" t="s">
        <v>48</v>
      </c>
      <c r="I879" s="203" t="s">
        <v>1545</v>
      </c>
      <c r="J879" s="203" t="s">
        <v>50</v>
      </c>
      <c r="K879" s="203" t="s">
        <v>50</v>
      </c>
      <c r="L879" s="203" t="s">
        <v>50</v>
      </c>
      <c r="M879" s="203" t="s">
        <v>51</v>
      </c>
      <c r="N879" s="203">
        <v>24.006789000000001</v>
      </c>
      <c r="O879" s="203">
        <v>97.911647000000002</v>
      </c>
      <c r="P879" s="203" t="s">
        <v>930</v>
      </c>
      <c r="Q879" s="203" t="s">
        <v>951</v>
      </c>
      <c r="R879" s="425">
        <v>18</v>
      </c>
      <c r="S879" s="425">
        <v>80</v>
      </c>
      <c r="T879" s="542" t="s">
        <v>935</v>
      </c>
      <c r="U879" s="427"/>
      <c r="V879" s="203" t="s">
        <v>1162</v>
      </c>
      <c r="W879" s="425" t="s">
        <v>3165</v>
      </c>
    </row>
    <row r="880" spans="1:23" ht="12.75" hidden="1" x14ac:dyDescent="0.2">
      <c r="A880" s="294" t="s">
        <v>866</v>
      </c>
      <c r="B880" s="446" t="s">
        <v>876</v>
      </c>
      <c r="C880" s="445" t="s">
        <v>883</v>
      </c>
      <c r="D880" s="203" t="s">
        <v>2178</v>
      </c>
      <c r="E880" s="203" t="s">
        <v>1549</v>
      </c>
      <c r="F880" s="203" t="s">
        <v>2179</v>
      </c>
      <c r="G880" s="203" t="s">
        <v>2180</v>
      </c>
      <c r="H880" s="203"/>
      <c r="I880" s="203">
        <v>0</v>
      </c>
      <c r="J880" s="203" t="s">
        <v>50</v>
      </c>
      <c r="K880" s="203" t="s">
        <v>50</v>
      </c>
      <c r="L880" s="203" t="s">
        <v>929</v>
      </c>
      <c r="M880" s="203" t="s">
        <v>949</v>
      </c>
      <c r="N880" s="203">
        <v>23.933098999999999</v>
      </c>
      <c r="O880" s="203">
        <v>98.139397000000002</v>
      </c>
      <c r="P880" s="203" t="s">
        <v>930</v>
      </c>
      <c r="Q880" s="203" t="s">
        <v>951</v>
      </c>
      <c r="R880" s="425"/>
      <c r="S880" s="426"/>
      <c r="T880" s="542" t="s">
        <v>935</v>
      </c>
      <c r="U880" s="427"/>
      <c r="V880" s="203" t="s">
        <v>883</v>
      </c>
      <c r="W880" s="425" t="s">
        <v>3166</v>
      </c>
    </row>
    <row r="881" spans="1:23" ht="12.75" hidden="1" x14ac:dyDescent="0.2">
      <c r="A881" s="294" t="s">
        <v>866</v>
      </c>
      <c r="B881" s="446" t="s">
        <v>876</v>
      </c>
      <c r="C881" s="445" t="s">
        <v>1157</v>
      </c>
      <c r="D881" s="203" t="s">
        <v>2178</v>
      </c>
      <c r="E881" s="203" t="s">
        <v>1920</v>
      </c>
      <c r="F881" s="203" t="s">
        <v>2216</v>
      </c>
      <c r="G881" s="203" t="s">
        <v>2217</v>
      </c>
      <c r="H881" s="203"/>
      <c r="I881" s="203">
        <v>0</v>
      </c>
      <c r="J881" s="203" t="s">
        <v>50</v>
      </c>
      <c r="K881" s="203" t="s">
        <v>50</v>
      </c>
      <c r="L881" s="203" t="s">
        <v>929</v>
      </c>
      <c r="M881" s="203" t="s">
        <v>51</v>
      </c>
      <c r="N881" s="203">
        <v>23.978088</v>
      </c>
      <c r="O881" s="203">
        <v>98.129380999999995</v>
      </c>
      <c r="P881" s="203" t="s">
        <v>930</v>
      </c>
      <c r="Q881" s="203" t="s">
        <v>931</v>
      </c>
      <c r="R881" s="425">
        <v>0</v>
      </c>
      <c r="S881" s="426">
        <v>0</v>
      </c>
      <c r="T881" s="542">
        <v>42836</v>
      </c>
      <c r="U881" s="427"/>
      <c r="V881" s="203"/>
      <c r="W881" s="425" t="s">
        <v>3161</v>
      </c>
    </row>
    <row r="882" spans="1:23" ht="12.75" hidden="1" x14ac:dyDescent="0.2">
      <c r="A882" s="294" t="s">
        <v>866</v>
      </c>
      <c r="B882" s="446" t="s">
        <v>876</v>
      </c>
      <c r="C882" s="445" t="s">
        <v>953</v>
      </c>
      <c r="D882" s="203" t="s">
        <v>2178</v>
      </c>
      <c r="E882" s="203" t="s">
        <v>1551</v>
      </c>
      <c r="F882" s="203" t="s">
        <v>2202</v>
      </c>
      <c r="G882" s="203" t="s">
        <v>2203</v>
      </c>
      <c r="H882" s="203"/>
      <c r="I882" s="203">
        <v>0</v>
      </c>
      <c r="J882" s="203" t="s">
        <v>50</v>
      </c>
      <c r="K882" s="203" t="s">
        <v>50</v>
      </c>
      <c r="L882" s="203" t="s">
        <v>929</v>
      </c>
      <c r="M882" s="203" t="s">
        <v>51</v>
      </c>
      <c r="N882" s="203"/>
      <c r="O882" s="203"/>
      <c r="P882" s="203" t="s">
        <v>930</v>
      </c>
      <c r="Q882" s="203" t="s">
        <v>931</v>
      </c>
      <c r="R882" s="425">
        <v>0</v>
      </c>
      <c r="S882" s="426">
        <v>0</v>
      </c>
      <c r="T882" s="542">
        <v>42832</v>
      </c>
      <c r="U882" s="427"/>
      <c r="V882" s="203"/>
      <c r="W882" s="425" t="s">
        <v>3160</v>
      </c>
    </row>
    <row r="883" spans="1:23" ht="12.75" hidden="1" x14ac:dyDescent="0.2">
      <c r="A883" s="294" t="s">
        <v>866</v>
      </c>
      <c r="B883" s="446" t="s">
        <v>876</v>
      </c>
      <c r="C883" s="445" t="s">
        <v>961</v>
      </c>
      <c r="D883" s="203" t="s">
        <v>2178</v>
      </c>
      <c r="E883" s="203" t="s">
        <v>1556</v>
      </c>
      <c r="F883" s="203" t="s">
        <v>2196</v>
      </c>
      <c r="G883" s="203" t="s">
        <v>2198</v>
      </c>
      <c r="H883" s="203"/>
      <c r="I883" s="203">
        <v>0</v>
      </c>
      <c r="J883" s="203" t="s">
        <v>50</v>
      </c>
      <c r="K883" s="203" t="s">
        <v>50</v>
      </c>
      <c r="L883" s="203" t="s">
        <v>929</v>
      </c>
      <c r="M883" s="203" t="s">
        <v>51</v>
      </c>
      <c r="N883" s="203"/>
      <c r="O883" s="203"/>
      <c r="P883" s="203" t="s">
        <v>930</v>
      </c>
      <c r="Q883" s="203" t="s">
        <v>931</v>
      </c>
      <c r="R883" s="425">
        <v>0</v>
      </c>
      <c r="S883" s="426">
        <v>0</v>
      </c>
      <c r="T883" s="542">
        <v>42832</v>
      </c>
      <c r="U883" s="427"/>
      <c r="V883" s="203"/>
      <c r="W883" s="425" t="s">
        <v>3160</v>
      </c>
    </row>
    <row r="884" spans="1:23" ht="12.75" hidden="1" x14ac:dyDescent="0.2">
      <c r="A884" s="294" t="s">
        <v>866</v>
      </c>
      <c r="B884" s="446" t="s">
        <v>876</v>
      </c>
      <c r="C884" s="445" t="s">
        <v>963</v>
      </c>
      <c r="D884" s="203" t="s">
        <v>2178</v>
      </c>
      <c r="E884" s="203" t="s">
        <v>1558</v>
      </c>
      <c r="F884" s="203">
        <v>0</v>
      </c>
      <c r="G884" s="203">
        <v>0</v>
      </c>
      <c r="H884" s="203"/>
      <c r="I884" s="203">
        <v>0</v>
      </c>
      <c r="J884" s="203" t="s">
        <v>50</v>
      </c>
      <c r="K884" s="203" t="s">
        <v>50</v>
      </c>
      <c r="L884" s="203" t="s">
        <v>929</v>
      </c>
      <c r="M884" s="203" t="s">
        <v>51</v>
      </c>
      <c r="N884" s="203"/>
      <c r="O884" s="203"/>
      <c r="P884" s="203" t="s">
        <v>930</v>
      </c>
      <c r="Q884" s="203" t="s">
        <v>931</v>
      </c>
      <c r="R884" s="425">
        <v>0</v>
      </c>
      <c r="S884" s="426">
        <v>0</v>
      </c>
      <c r="T884" s="542">
        <v>42832</v>
      </c>
      <c r="U884" s="427"/>
      <c r="V884" s="203"/>
      <c r="W884" s="425" t="s">
        <v>3160</v>
      </c>
    </row>
    <row r="885" spans="1:23" ht="25.5" hidden="1" x14ac:dyDescent="0.2">
      <c r="A885" s="294" t="s">
        <v>866</v>
      </c>
      <c r="B885" s="446" t="s">
        <v>867</v>
      </c>
      <c r="C885" s="445" t="s">
        <v>916</v>
      </c>
      <c r="D885" s="203" t="s">
        <v>2942</v>
      </c>
      <c r="E885" s="203" t="s">
        <v>1898</v>
      </c>
      <c r="F885" s="203" t="s">
        <v>2211</v>
      </c>
      <c r="G885" s="203" t="s">
        <v>2211</v>
      </c>
      <c r="H885" s="203"/>
      <c r="I885" s="203" t="s">
        <v>2959</v>
      </c>
      <c r="J885" s="203" t="s">
        <v>50</v>
      </c>
      <c r="K885" s="203" t="s">
        <v>50</v>
      </c>
      <c r="L885" s="203" t="s">
        <v>946</v>
      </c>
      <c r="M885" s="203" t="s">
        <v>51</v>
      </c>
      <c r="N885" s="203">
        <v>23.611999999999998</v>
      </c>
      <c r="O885" s="203">
        <v>97.506</v>
      </c>
      <c r="P885" s="203" t="s">
        <v>930</v>
      </c>
      <c r="Q885" s="203" t="s">
        <v>931</v>
      </c>
      <c r="R885" s="425">
        <v>62</v>
      </c>
      <c r="S885" s="425">
        <v>328</v>
      </c>
      <c r="T885" s="542"/>
      <c r="U885" s="427" t="s">
        <v>1144</v>
      </c>
      <c r="V885" s="203"/>
      <c r="W885" s="425" t="s">
        <v>3167</v>
      </c>
    </row>
    <row r="886" spans="1:23" ht="12.75" hidden="1" x14ac:dyDescent="0.2">
      <c r="A886" s="294" t="s">
        <v>866</v>
      </c>
      <c r="B886" s="446" t="s">
        <v>867</v>
      </c>
      <c r="C886" s="445" t="s">
        <v>1145</v>
      </c>
      <c r="D886" s="203" t="s">
        <v>2178</v>
      </c>
      <c r="E886" s="203" t="s">
        <v>1899</v>
      </c>
      <c r="F886" s="203" t="s">
        <v>2211</v>
      </c>
      <c r="G886" s="203" t="s">
        <v>2211</v>
      </c>
      <c r="H886" s="203"/>
      <c r="I886" s="203">
        <v>0</v>
      </c>
      <c r="J886" s="203" t="s">
        <v>50</v>
      </c>
      <c r="K886" s="294" t="s">
        <v>50</v>
      </c>
      <c r="L886" s="294" t="s">
        <v>929</v>
      </c>
      <c r="M886" s="203" t="s">
        <v>51</v>
      </c>
      <c r="N886" s="203">
        <v>23.611999999999998</v>
      </c>
      <c r="O886" s="203">
        <v>97.504999999999995</v>
      </c>
      <c r="P886" s="203" t="s">
        <v>930</v>
      </c>
      <c r="Q886" s="203" t="s">
        <v>931</v>
      </c>
      <c r="R886" s="425">
        <v>0</v>
      </c>
      <c r="S886" s="426">
        <v>0</v>
      </c>
      <c r="T886" s="542"/>
      <c r="U886" s="427"/>
      <c r="V886" s="203"/>
      <c r="W886" s="425" t="s">
        <v>3168</v>
      </c>
    </row>
    <row r="887" spans="1:23" ht="12.75" hidden="1" x14ac:dyDescent="0.2">
      <c r="A887" s="294" t="s">
        <v>866</v>
      </c>
      <c r="B887" s="446" t="s">
        <v>867</v>
      </c>
      <c r="C887" s="445" t="s">
        <v>878</v>
      </c>
      <c r="D887" s="203" t="s">
        <v>2942</v>
      </c>
      <c r="E887" s="203" t="s">
        <v>1904</v>
      </c>
      <c r="F887" s="203" t="s">
        <v>2200</v>
      </c>
      <c r="G887" s="203" t="s">
        <v>2200</v>
      </c>
      <c r="H887" s="203" t="s">
        <v>48</v>
      </c>
      <c r="I887" s="203" t="s">
        <v>287</v>
      </c>
      <c r="J887" s="203" t="s">
        <v>50</v>
      </c>
      <c r="K887" s="294" t="s">
        <v>50</v>
      </c>
      <c r="L887" s="294" t="s">
        <v>50</v>
      </c>
      <c r="M887" s="203" t="s">
        <v>51</v>
      </c>
      <c r="N887" s="203">
        <v>23.821380000000001</v>
      </c>
      <c r="O887" s="203">
        <v>97.681970000000007</v>
      </c>
      <c r="P887" s="203" t="s">
        <v>930</v>
      </c>
      <c r="Q887" s="203" t="s">
        <v>951</v>
      </c>
      <c r="R887" s="425">
        <v>75</v>
      </c>
      <c r="S887" s="425">
        <v>369</v>
      </c>
      <c r="T887" s="542" t="s">
        <v>935</v>
      </c>
      <c r="U887" s="427"/>
      <c r="V887" s="203" t="s">
        <v>878</v>
      </c>
      <c r="W887" s="425" t="s">
        <v>3169</v>
      </c>
    </row>
    <row r="888" spans="1:23" ht="12.75" hidden="1" x14ac:dyDescent="0.2">
      <c r="A888" s="294" t="s">
        <v>866</v>
      </c>
      <c r="B888" s="446" t="s">
        <v>867</v>
      </c>
      <c r="C888" s="445" t="s">
        <v>919</v>
      </c>
      <c r="D888" s="203" t="s">
        <v>2942</v>
      </c>
      <c r="E888" s="203" t="s">
        <v>1907</v>
      </c>
      <c r="F888" s="203" t="s">
        <v>2200</v>
      </c>
      <c r="G888" s="203" t="s">
        <v>2200</v>
      </c>
      <c r="H888" s="203" t="s">
        <v>48</v>
      </c>
      <c r="I888" s="203" t="s">
        <v>287</v>
      </c>
      <c r="J888" s="203" t="s">
        <v>50</v>
      </c>
      <c r="K888" s="294" t="s">
        <v>50</v>
      </c>
      <c r="L888" s="294" t="s">
        <v>50</v>
      </c>
      <c r="M888" s="203" t="s">
        <v>51</v>
      </c>
      <c r="N888" s="203">
        <v>23.828520000000001</v>
      </c>
      <c r="O888" s="203">
        <v>97.669557999999995</v>
      </c>
      <c r="P888" s="203" t="s">
        <v>930</v>
      </c>
      <c r="Q888" s="203" t="s">
        <v>951</v>
      </c>
      <c r="R888" s="425">
        <v>68</v>
      </c>
      <c r="S888" s="425">
        <v>345</v>
      </c>
      <c r="T888" s="542" t="s">
        <v>935</v>
      </c>
      <c r="U888" s="427"/>
      <c r="V888" s="203" t="s">
        <v>919</v>
      </c>
      <c r="W888" s="425" t="s">
        <v>3170</v>
      </c>
    </row>
    <row r="889" spans="1:23" ht="12.75" hidden="1" x14ac:dyDescent="0.2">
      <c r="A889" s="294" t="s">
        <v>866</v>
      </c>
      <c r="B889" s="446" t="s">
        <v>867</v>
      </c>
      <c r="C889" s="445" t="s">
        <v>906</v>
      </c>
      <c r="D889" s="203" t="s">
        <v>2942</v>
      </c>
      <c r="E889" s="203" t="s">
        <v>1913</v>
      </c>
      <c r="F889" s="203" t="s">
        <v>2200</v>
      </c>
      <c r="G889" s="203" t="s">
        <v>2200</v>
      </c>
      <c r="H889" s="203" t="s">
        <v>48</v>
      </c>
      <c r="I889" s="203" t="s">
        <v>287</v>
      </c>
      <c r="J889" s="203" t="s">
        <v>50</v>
      </c>
      <c r="K889" s="294" t="s">
        <v>50</v>
      </c>
      <c r="L889" s="294" t="s">
        <v>50</v>
      </c>
      <c r="M889" s="203" t="s">
        <v>51</v>
      </c>
      <c r="N889" s="203">
        <v>23.841646999999998</v>
      </c>
      <c r="O889" s="203">
        <v>97.700940000000003</v>
      </c>
      <c r="P889" s="203" t="s">
        <v>930</v>
      </c>
      <c r="Q889" s="203" t="s">
        <v>951</v>
      </c>
      <c r="R889" s="425">
        <v>37</v>
      </c>
      <c r="S889" s="425">
        <v>193</v>
      </c>
      <c r="T889" s="542" t="s">
        <v>935</v>
      </c>
      <c r="U889" s="427"/>
      <c r="V889" s="203" t="s">
        <v>1152</v>
      </c>
      <c r="W889" s="425" t="s">
        <v>3171</v>
      </c>
    </row>
    <row r="890" spans="1:23" ht="12.75" hidden="1" x14ac:dyDescent="0.2">
      <c r="A890" s="294" t="s">
        <v>866</v>
      </c>
      <c r="B890" s="446" t="s">
        <v>867</v>
      </c>
      <c r="C890" s="445" t="s">
        <v>868</v>
      </c>
      <c r="D890" s="203" t="s">
        <v>2942</v>
      </c>
      <c r="E890" s="203" t="s">
        <v>1906</v>
      </c>
      <c r="F890" s="203" t="s">
        <v>2200</v>
      </c>
      <c r="G890" s="203" t="s">
        <v>2200</v>
      </c>
      <c r="H890" s="203" t="s">
        <v>48</v>
      </c>
      <c r="I890" s="203" t="s">
        <v>1545</v>
      </c>
      <c r="J890" s="203" t="s">
        <v>50</v>
      </c>
      <c r="K890" s="294" t="s">
        <v>50</v>
      </c>
      <c r="L890" s="294" t="s">
        <v>50</v>
      </c>
      <c r="M890" s="203" t="s">
        <v>51</v>
      </c>
      <c r="N890" s="203">
        <v>23.828150000000001</v>
      </c>
      <c r="O890" s="203">
        <v>97.670360000000002</v>
      </c>
      <c r="P890" s="203" t="s">
        <v>930</v>
      </c>
      <c r="Q890" s="203" t="s">
        <v>951</v>
      </c>
      <c r="R890" s="425">
        <v>42</v>
      </c>
      <c r="S890" s="425">
        <v>218</v>
      </c>
      <c r="T890" s="542" t="s">
        <v>935</v>
      </c>
      <c r="U890" s="427"/>
      <c r="V890" s="203" t="s">
        <v>868</v>
      </c>
      <c r="W890" s="425" t="s">
        <v>3172</v>
      </c>
    </row>
    <row r="891" spans="1:23" ht="12.75" hidden="1" x14ac:dyDescent="0.2">
      <c r="A891" s="294" t="s">
        <v>866</v>
      </c>
      <c r="B891" s="446" t="s">
        <v>867</v>
      </c>
      <c r="C891" s="445" t="s">
        <v>950</v>
      </c>
      <c r="D891" s="203" t="s">
        <v>2178</v>
      </c>
      <c r="E891" s="294" t="s">
        <v>1548</v>
      </c>
      <c r="F891" s="203" t="s">
        <v>2200</v>
      </c>
      <c r="G891" s="203" t="s">
        <v>2200</v>
      </c>
      <c r="H891" s="203"/>
      <c r="I891" s="203">
        <v>0</v>
      </c>
      <c r="J891" s="203" t="s">
        <v>50</v>
      </c>
      <c r="K891" s="294" t="s">
        <v>50</v>
      </c>
      <c r="L891" s="294" t="s">
        <v>929</v>
      </c>
      <c r="M891" s="203" t="s">
        <v>949</v>
      </c>
      <c r="N891" s="203"/>
      <c r="O891" s="203"/>
      <c r="P891" s="203" t="s">
        <v>930</v>
      </c>
      <c r="Q891" s="203"/>
      <c r="R891" s="425">
        <v>0</v>
      </c>
      <c r="S891" s="426">
        <v>0</v>
      </c>
      <c r="T891" s="542" t="s">
        <v>935</v>
      </c>
      <c r="U891" s="427"/>
      <c r="V891" s="203" t="s">
        <v>950</v>
      </c>
      <c r="W891" s="425" t="s">
        <v>3173</v>
      </c>
    </row>
    <row r="892" spans="1:23" ht="12.75" hidden="1" x14ac:dyDescent="0.2">
      <c r="A892" s="294" t="s">
        <v>866</v>
      </c>
      <c r="B892" s="446" t="s">
        <v>867</v>
      </c>
      <c r="C892" s="445" t="s">
        <v>908</v>
      </c>
      <c r="D892" s="203" t="s">
        <v>2942</v>
      </c>
      <c r="E892" s="203" t="s">
        <v>1912</v>
      </c>
      <c r="F892" s="203" t="s">
        <v>2291</v>
      </c>
      <c r="G892" s="203" t="s">
        <v>2280</v>
      </c>
      <c r="H892" s="203" t="s">
        <v>48</v>
      </c>
      <c r="I892" s="203" t="s">
        <v>287</v>
      </c>
      <c r="J892" s="203" t="s">
        <v>50</v>
      </c>
      <c r="K892" s="294" t="s">
        <v>50</v>
      </c>
      <c r="L892" s="294" t="s">
        <v>50</v>
      </c>
      <c r="M892" s="203" t="s">
        <v>51</v>
      </c>
      <c r="N892" s="203">
        <v>23.838190000000001</v>
      </c>
      <c r="O892" s="203">
        <v>97.709879999999998</v>
      </c>
      <c r="P892" s="203" t="s">
        <v>930</v>
      </c>
      <c r="Q892" s="203" t="s">
        <v>951</v>
      </c>
      <c r="R892" s="425">
        <v>116</v>
      </c>
      <c r="S892" s="425">
        <v>557</v>
      </c>
      <c r="T892" s="542" t="s">
        <v>935</v>
      </c>
      <c r="U892" s="427"/>
      <c r="V892" s="203" t="s">
        <v>1151</v>
      </c>
      <c r="W892" s="425" t="s">
        <v>3174</v>
      </c>
    </row>
    <row r="893" spans="1:23" ht="12.75" hidden="1" x14ac:dyDescent="0.2">
      <c r="A893" s="294" t="s">
        <v>866</v>
      </c>
      <c r="B893" s="446" t="s">
        <v>890</v>
      </c>
      <c r="C893" s="445" t="s">
        <v>898</v>
      </c>
      <c r="D893" s="203" t="s">
        <v>2942</v>
      </c>
      <c r="E893" s="203" t="s">
        <v>1881</v>
      </c>
      <c r="F893" s="203" t="s">
        <v>2204</v>
      </c>
      <c r="G893" s="203" t="s">
        <v>2205</v>
      </c>
      <c r="H893" s="203" t="s">
        <v>48</v>
      </c>
      <c r="I893" s="203" t="s">
        <v>1545</v>
      </c>
      <c r="J893" s="203" t="s">
        <v>50</v>
      </c>
      <c r="K893" s="294" t="s">
        <v>50</v>
      </c>
      <c r="L893" s="203" t="s">
        <v>50</v>
      </c>
      <c r="M893" s="203" t="s">
        <v>51</v>
      </c>
      <c r="N893" s="203">
        <v>23.099304</v>
      </c>
      <c r="O893" s="203">
        <v>97.400671000000003</v>
      </c>
      <c r="P893" s="203" t="s">
        <v>930</v>
      </c>
      <c r="Q893" s="203" t="s">
        <v>1097</v>
      </c>
      <c r="R893" s="425">
        <v>61</v>
      </c>
      <c r="S893" s="425">
        <v>283</v>
      </c>
      <c r="T893" s="542">
        <v>42983</v>
      </c>
      <c r="U893" s="427"/>
      <c r="V893" s="203"/>
      <c r="W893" s="425" t="s">
        <v>3175</v>
      </c>
    </row>
    <row r="894" spans="1:23" ht="12.75" hidden="1" x14ac:dyDescent="0.2">
      <c r="A894" s="294" t="s">
        <v>866</v>
      </c>
      <c r="B894" s="446" t="s">
        <v>890</v>
      </c>
      <c r="C894" s="445" t="s">
        <v>1278</v>
      </c>
      <c r="D894" s="203" t="s">
        <v>2177</v>
      </c>
      <c r="E894" s="203"/>
      <c r="F894" s="203"/>
      <c r="G894" s="203"/>
      <c r="H894" s="203"/>
      <c r="I894" s="203"/>
      <c r="J894" s="203" t="s">
        <v>1921</v>
      </c>
      <c r="K894" s="294" t="s">
        <v>50</v>
      </c>
      <c r="L894" s="294" t="s">
        <v>50</v>
      </c>
      <c r="M894" s="203" t="s">
        <v>51</v>
      </c>
      <c r="N894" s="203"/>
      <c r="O894" s="203"/>
      <c r="P894" s="203" t="s">
        <v>930</v>
      </c>
      <c r="Q894" s="203" t="s">
        <v>951</v>
      </c>
      <c r="R894" s="429"/>
      <c r="S894" s="430"/>
      <c r="T894" s="542">
        <v>42747</v>
      </c>
      <c r="U894" s="427"/>
      <c r="V894" s="203"/>
      <c r="W894" s="425"/>
    </row>
    <row r="895" spans="1:23" ht="12.75" hidden="1" x14ac:dyDescent="0.2">
      <c r="A895" s="294" t="s">
        <v>866</v>
      </c>
      <c r="B895" s="446" t="s">
        <v>890</v>
      </c>
      <c r="C895" s="445" t="s">
        <v>899</v>
      </c>
      <c r="D895" s="203" t="s">
        <v>2942</v>
      </c>
      <c r="E895" s="203" t="s">
        <v>1544</v>
      </c>
      <c r="F895" s="203" t="s">
        <v>2204</v>
      </c>
      <c r="G895" s="203" t="s">
        <v>2205</v>
      </c>
      <c r="H895" s="203" t="s">
        <v>48</v>
      </c>
      <c r="I895" s="203" t="s">
        <v>1545</v>
      </c>
      <c r="J895" s="203" t="s">
        <v>50</v>
      </c>
      <c r="K895" s="294" t="s">
        <v>50</v>
      </c>
      <c r="L895" s="203" t="s">
        <v>50</v>
      </c>
      <c r="M895" s="203" t="s">
        <v>51</v>
      </c>
      <c r="N895" s="203"/>
      <c r="O895" s="294"/>
      <c r="P895" s="203" t="s">
        <v>930</v>
      </c>
      <c r="Q895" s="203" t="s">
        <v>931</v>
      </c>
      <c r="R895" s="425">
        <v>41</v>
      </c>
      <c r="S895" s="425">
        <v>210</v>
      </c>
      <c r="T895" s="542"/>
      <c r="U895" s="427"/>
      <c r="V895" s="203"/>
      <c r="W895" s="425" t="s">
        <v>3175</v>
      </c>
    </row>
    <row r="896" spans="1:23" ht="12.75" hidden="1" x14ac:dyDescent="0.2">
      <c r="A896" s="430" t="s">
        <v>866</v>
      </c>
      <c r="B896" s="701" t="s">
        <v>890</v>
      </c>
      <c r="C896" s="445" t="s">
        <v>2661</v>
      </c>
      <c r="D896" s="432"/>
      <c r="E896" s="203"/>
      <c r="F896" s="203"/>
      <c r="G896" s="203"/>
      <c r="H896" s="203"/>
      <c r="I896" s="203"/>
      <c r="J896" s="203" t="s">
        <v>1921</v>
      </c>
      <c r="K896" s="294" t="s">
        <v>50</v>
      </c>
      <c r="L896" s="294" t="s">
        <v>50</v>
      </c>
      <c r="M896" s="203" t="s">
        <v>51</v>
      </c>
      <c r="N896" s="203"/>
      <c r="O896" s="203"/>
      <c r="P896" s="203" t="s">
        <v>930</v>
      </c>
      <c r="Q896" s="203" t="s">
        <v>2653</v>
      </c>
      <c r="R896" s="434"/>
      <c r="S896" s="426"/>
      <c r="T896" s="542">
        <v>43270</v>
      </c>
      <c r="U896" s="427"/>
      <c r="V896" s="203"/>
      <c r="W896" s="425"/>
    </row>
    <row r="897" spans="1:23" ht="12.75" hidden="1" x14ac:dyDescent="0.2">
      <c r="A897" s="294" t="s">
        <v>866</v>
      </c>
      <c r="B897" s="446" t="s">
        <v>890</v>
      </c>
      <c r="C897" s="445" t="s">
        <v>902</v>
      </c>
      <c r="D897" s="203" t="s">
        <v>2942</v>
      </c>
      <c r="E897" s="203" t="s">
        <v>1880</v>
      </c>
      <c r="F897" s="294" t="s">
        <v>2204</v>
      </c>
      <c r="G897" s="203" t="s">
        <v>2205</v>
      </c>
      <c r="H897" s="203" t="s">
        <v>48</v>
      </c>
      <c r="I897" s="203" t="s">
        <v>287</v>
      </c>
      <c r="J897" s="203" t="s">
        <v>50</v>
      </c>
      <c r="K897" s="294" t="s">
        <v>50</v>
      </c>
      <c r="L897" s="294" t="s">
        <v>50</v>
      </c>
      <c r="M897" s="203" t="s">
        <v>51</v>
      </c>
      <c r="N897" s="203">
        <v>23.094290000000001</v>
      </c>
      <c r="O897" s="203">
        <v>97.404089999999997</v>
      </c>
      <c r="P897" s="203" t="s">
        <v>930</v>
      </c>
      <c r="Q897" s="203" t="s">
        <v>951</v>
      </c>
      <c r="R897" s="425">
        <v>41</v>
      </c>
      <c r="S897" s="425">
        <v>180</v>
      </c>
      <c r="T897" s="542" t="s">
        <v>935</v>
      </c>
      <c r="U897" s="427"/>
      <c r="V897" s="203" t="s">
        <v>902</v>
      </c>
      <c r="W897" s="425" t="s">
        <v>3176</v>
      </c>
    </row>
    <row r="898" spans="1:23" ht="12.75" hidden="1" x14ac:dyDescent="0.2">
      <c r="A898" s="294" t="s">
        <v>866</v>
      </c>
      <c r="B898" s="446" t="s">
        <v>890</v>
      </c>
      <c r="C898" s="445" t="s">
        <v>1136</v>
      </c>
      <c r="D898" s="203" t="s">
        <v>2178</v>
      </c>
      <c r="E898" s="203" t="s">
        <v>1879</v>
      </c>
      <c r="F898" s="294" t="s">
        <v>2204</v>
      </c>
      <c r="G898" s="203" t="s">
        <v>2205</v>
      </c>
      <c r="H898" s="203"/>
      <c r="I898" s="203">
        <v>0</v>
      </c>
      <c r="J898" s="203" t="s">
        <v>50</v>
      </c>
      <c r="K898" s="294" t="s">
        <v>50</v>
      </c>
      <c r="L898" s="294" t="s">
        <v>929</v>
      </c>
      <c r="M898" s="203" t="s">
        <v>51</v>
      </c>
      <c r="N898" s="203">
        <v>23.088058</v>
      </c>
      <c r="O898" s="203">
        <v>97.398989</v>
      </c>
      <c r="P898" s="203" t="s">
        <v>943</v>
      </c>
      <c r="Q898" s="203" t="s">
        <v>951</v>
      </c>
      <c r="R898" s="425"/>
      <c r="S898" s="426"/>
      <c r="T898" s="542" t="s">
        <v>935</v>
      </c>
      <c r="U898" s="427"/>
      <c r="V898" s="203" t="s">
        <v>958</v>
      </c>
      <c r="W898" s="425" t="s">
        <v>3177</v>
      </c>
    </row>
    <row r="899" spans="1:23" ht="76.5" hidden="1" x14ac:dyDescent="0.2">
      <c r="A899" s="294" t="s">
        <v>866</v>
      </c>
      <c r="B899" s="446" t="s">
        <v>890</v>
      </c>
      <c r="C899" s="445" t="s">
        <v>954</v>
      </c>
      <c r="D899" s="203" t="s">
        <v>2178</v>
      </c>
      <c r="E899" s="203" t="s">
        <v>1552</v>
      </c>
      <c r="F899" s="203" t="s">
        <v>2204</v>
      </c>
      <c r="G899" s="203" t="s">
        <v>2205</v>
      </c>
      <c r="H899" s="203"/>
      <c r="I899" s="203">
        <v>0</v>
      </c>
      <c r="J899" s="203" t="s">
        <v>50</v>
      </c>
      <c r="K899" s="294" t="s">
        <v>50</v>
      </c>
      <c r="L899" s="294" t="s">
        <v>929</v>
      </c>
      <c r="M899" s="203" t="s">
        <v>51</v>
      </c>
      <c r="N899" s="203"/>
      <c r="O899" s="294"/>
      <c r="P899" s="203" t="s">
        <v>930</v>
      </c>
      <c r="Q899" s="203" t="s">
        <v>931</v>
      </c>
      <c r="R899" s="425">
        <v>0</v>
      </c>
      <c r="S899" s="426">
        <v>0</v>
      </c>
      <c r="T899" s="542">
        <v>43019</v>
      </c>
      <c r="U899" s="427" t="s">
        <v>955</v>
      </c>
      <c r="V899" s="203"/>
      <c r="W899" s="425" t="s">
        <v>955</v>
      </c>
    </row>
    <row r="900" spans="1:23" ht="12.75" hidden="1" x14ac:dyDescent="0.2">
      <c r="A900" s="294" t="s">
        <v>866</v>
      </c>
      <c r="B900" s="446" t="s">
        <v>890</v>
      </c>
      <c r="C900" s="445" t="s">
        <v>956</v>
      </c>
      <c r="D900" s="203" t="s">
        <v>2178</v>
      </c>
      <c r="E900" s="203" t="s">
        <v>1553</v>
      </c>
      <c r="F900" s="203" t="s">
        <v>2204</v>
      </c>
      <c r="G900" s="203" t="s">
        <v>2205</v>
      </c>
      <c r="H900" s="203"/>
      <c r="I900" s="203">
        <v>0</v>
      </c>
      <c r="J900" s="203" t="s">
        <v>50</v>
      </c>
      <c r="K900" s="294" t="s">
        <v>50</v>
      </c>
      <c r="L900" s="294" t="s">
        <v>929</v>
      </c>
      <c r="M900" s="203" t="s">
        <v>51</v>
      </c>
      <c r="N900" s="203"/>
      <c r="O900" s="203"/>
      <c r="P900" s="203" t="s">
        <v>930</v>
      </c>
      <c r="Q900" s="203" t="s">
        <v>931</v>
      </c>
      <c r="R900" s="425">
        <v>0</v>
      </c>
      <c r="S900" s="426">
        <v>0</v>
      </c>
      <c r="T900" s="542">
        <v>42927</v>
      </c>
      <c r="U900" s="427" t="s">
        <v>957</v>
      </c>
      <c r="V900" s="203"/>
      <c r="W900" s="425" t="s">
        <v>955</v>
      </c>
    </row>
    <row r="901" spans="1:23" ht="12.75" hidden="1" x14ac:dyDescent="0.2">
      <c r="A901" s="294" t="s">
        <v>866</v>
      </c>
      <c r="B901" s="446" t="s">
        <v>890</v>
      </c>
      <c r="C901" s="445" t="s">
        <v>958</v>
      </c>
      <c r="D901" s="203" t="s">
        <v>2178</v>
      </c>
      <c r="E901" s="203" t="s">
        <v>1554</v>
      </c>
      <c r="F901" s="294" t="s">
        <v>2204</v>
      </c>
      <c r="G901" s="203" t="s">
        <v>2205</v>
      </c>
      <c r="H901" s="203"/>
      <c r="I901" s="203">
        <v>0</v>
      </c>
      <c r="J901" s="203" t="s">
        <v>50</v>
      </c>
      <c r="K901" s="294" t="s">
        <v>50</v>
      </c>
      <c r="L901" s="294" t="s">
        <v>929</v>
      </c>
      <c r="M901" s="203" t="s">
        <v>51</v>
      </c>
      <c r="N901" s="203"/>
      <c r="O901" s="203"/>
      <c r="P901" s="203" t="s">
        <v>930</v>
      </c>
      <c r="Q901" s="203" t="s">
        <v>931</v>
      </c>
      <c r="R901" s="425"/>
      <c r="S901" s="426"/>
      <c r="T901" s="542">
        <v>42927</v>
      </c>
      <c r="U901" s="427" t="s">
        <v>959</v>
      </c>
      <c r="V901" s="203"/>
      <c r="W901" s="425" t="s">
        <v>3166</v>
      </c>
    </row>
    <row r="902" spans="1:23" ht="38.25" hidden="1" x14ac:dyDescent="0.2">
      <c r="A902" s="294" t="s">
        <v>866</v>
      </c>
      <c r="B902" s="446" t="s">
        <v>890</v>
      </c>
      <c r="C902" s="445" t="s">
        <v>891</v>
      </c>
      <c r="D902" s="203" t="s">
        <v>2942</v>
      </c>
      <c r="E902" s="203" t="s">
        <v>1878</v>
      </c>
      <c r="F902" s="294" t="s">
        <v>2280</v>
      </c>
      <c r="G902" s="203" t="s">
        <v>2281</v>
      </c>
      <c r="H902" s="203"/>
      <c r="I902" s="203" t="s">
        <v>2959</v>
      </c>
      <c r="J902" s="203" t="s">
        <v>50</v>
      </c>
      <c r="K902" s="294" t="s">
        <v>50</v>
      </c>
      <c r="L902" s="294" t="s">
        <v>946</v>
      </c>
      <c r="M902" s="203" t="s">
        <v>51</v>
      </c>
      <c r="N902" s="203">
        <v>22.765999999999998</v>
      </c>
      <c r="O902" s="294">
        <v>97.358999999999995</v>
      </c>
      <c r="P902" s="203" t="s">
        <v>930</v>
      </c>
      <c r="Q902" s="203" t="s">
        <v>931</v>
      </c>
      <c r="R902" s="425">
        <v>17</v>
      </c>
      <c r="S902" s="425">
        <v>83</v>
      </c>
      <c r="T902" s="542"/>
      <c r="U902" s="427" t="s">
        <v>1135</v>
      </c>
      <c r="V902" s="203"/>
      <c r="W902" s="425" t="s">
        <v>3178</v>
      </c>
    </row>
    <row r="903" spans="1:23" ht="25.5" hidden="1" x14ac:dyDescent="0.2">
      <c r="A903" s="294" t="s">
        <v>866</v>
      </c>
      <c r="B903" s="446" t="s">
        <v>890</v>
      </c>
      <c r="C903" s="445" t="s">
        <v>1137</v>
      </c>
      <c r="D903" s="203" t="s">
        <v>2177</v>
      </c>
      <c r="E903" s="203" t="s">
        <v>1882</v>
      </c>
      <c r="F903" s="294"/>
      <c r="G903" s="203"/>
      <c r="H903" s="203"/>
      <c r="I903" s="203">
        <v>0</v>
      </c>
      <c r="J903" s="203" t="s">
        <v>50</v>
      </c>
      <c r="K903" s="294" t="s">
        <v>50</v>
      </c>
      <c r="L903" s="294" t="s">
        <v>929</v>
      </c>
      <c r="M903" s="203" t="s">
        <v>51</v>
      </c>
      <c r="N903" s="203">
        <v>23.099304</v>
      </c>
      <c r="O903" s="203">
        <v>97.400671000000003</v>
      </c>
      <c r="P903" s="203" t="s">
        <v>930</v>
      </c>
      <c r="Q903" s="203" t="s">
        <v>931</v>
      </c>
      <c r="R903" s="425">
        <v>0</v>
      </c>
      <c r="S903" s="426">
        <v>0</v>
      </c>
      <c r="T903" s="542">
        <v>42747</v>
      </c>
      <c r="U903" s="427" t="s">
        <v>1138</v>
      </c>
      <c r="V903" s="203"/>
      <c r="W903" s="425" t="s">
        <v>3179</v>
      </c>
    </row>
    <row r="904" spans="1:23" ht="12.75" hidden="1" x14ac:dyDescent="0.2">
      <c r="A904" s="294" t="s">
        <v>866</v>
      </c>
      <c r="B904" s="446" t="s">
        <v>890</v>
      </c>
      <c r="C904" s="445" t="s">
        <v>1320</v>
      </c>
      <c r="D904" s="203" t="s">
        <v>2177</v>
      </c>
      <c r="E904" s="203"/>
      <c r="F904" s="294"/>
      <c r="G904" s="203"/>
      <c r="H904" s="203"/>
      <c r="I904" s="203"/>
      <c r="J904" s="203" t="s">
        <v>1921</v>
      </c>
      <c r="K904" s="294" t="s">
        <v>50</v>
      </c>
      <c r="L904" s="294" t="s">
        <v>929</v>
      </c>
      <c r="M904" s="203" t="s">
        <v>51</v>
      </c>
      <c r="N904" s="203"/>
      <c r="O904" s="203"/>
      <c r="P904" s="203" t="s">
        <v>930</v>
      </c>
      <c r="Q904" s="203" t="s">
        <v>951</v>
      </c>
      <c r="R904" s="429"/>
      <c r="S904" s="430"/>
      <c r="T904" s="542">
        <v>42747</v>
      </c>
      <c r="U904" s="427"/>
      <c r="V904" s="203"/>
      <c r="W904" s="425"/>
    </row>
    <row r="905" spans="1:23" ht="12.75" hidden="1" x14ac:dyDescent="0.2">
      <c r="A905" s="294" t="s">
        <v>866</v>
      </c>
      <c r="B905" s="446" t="s">
        <v>1299</v>
      </c>
      <c r="C905" s="445" t="s">
        <v>1298</v>
      </c>
      <c r="D905" s="203" t="s">
        <v>2177</v>
      </c>
      <c r="E905" s="203"/>
      <c r="F905" s="294"/>
      <c r="G905" s="203"/>
      <c r="H905" s="203"/>
      <c r="I905" s="203"/>
      <c r="J905" s="203" t="s">
        <v>1921</v>
      </c>
      <c r="K905" s="294" t="s">
        <v>50</v>
      </c>
      <c r="L905" s="294" t="s">
        <v>929</v>
      </c>
      <c r="M905" s="203" t="s">
        <v>51</v>
      </c>
      <c r="N905" s="203"/>
      <c r="O905" s="203"/>
      <c r="P905" s="203" t="s">
        <v>930</v>
      </c>
      <c r="Q905" s="203" t="s">
        <v>951</v>
      </c>
      <c r="R905" s="425"/>
      <c r="S905" s="426"/>
      <c r="T905" s="542">
        <v>42747</v>
      </c>
      <c r="U905" s="427"/>
      <c r="V905" s="203"/>
      <c r="W905" s="425"/>
    </row>
    <row r="906" spans="1:23" ht="12.75" hidden="1" x14ac:dyDescent="0.2">
      <c r="A906" s="436" t="s">
        <v>866</v>
      </c>
      <c r="B906" s="446" t="s">
        <v>1452</v>
      </c>
      <c r="C906" s="445" t="s">
        <v>1523</v>
      </c>
      <c r="D906" s="432" t="s">
        <v>2397</v>
      </c>
      <c r="E906" s="203"/>
      <c r="F906" s="203"/>
      <c r="G906" s="203"/>
      <c r="H906" s="203"/>
      <c r="I906" s="203"/>
      <c r="J906" s="203" t="s">
        <v>1921</v>
      </c>
      <c r="K906" s="294" t="s">
        <v>50</v>
      </c>
      <c r="L906" s="294" t="s">
        <v>946</v>
      </c>
      <c r="M906" s="203" t="s">
        <v>2760</v>
      </c>
      <c r="N906" s="203"/>
      <c r="O906" s="203"/>
      <c r="P906" s="203" t="s">
        <v>930</v>
      </c>
      <c r="Q906" s="203"/>
      <c r="R906" s="294"/>
      <c r="S906" s="294"/>
      <c r="T906" s="542">
        <v>43298</v>
      </c>
      <c r="U906" s="427"/>
      <c r="V906" s="203"/>
      <c r="W906" s="425"/>
    </row>
    <row r="907" spans="1:23" ht="12.75" hidden="1" x14ac:dyDescent="0.2">
      <c r="A907" s="707" t="s">
        <v>866</v>
      </c>
      <c r="B907" s="446" t="s">
        <v>1299</v>
      </c>
      <c r="C907" s="706" t="s">
        <v>3237</v>
      </c>
      <c r="D907" s="432"/>
      <c r="E907" s="203"/>
      <c r="F907" s="203"/>
      <c r="G907" s="203"/>
      <c r="H907" s="203"/>
      <c r="I907" s="203"/>
      <c r="J907" s="203" t="s">
        <v>2716</v>
      </c>
      <c r="K907" s="294" t="s">
        <v>50</v>
      </c>
      <c r="L907" s="294" t="s">
        <v>946</v>
      </c>
      <c r="M907" s="203" t="s">
        <v>51</v>
      </c>
      <c r="N907" s="203"/>
      <c r="O907" s="203"/>
      <c r="P907" s="203" t="s">
        <v>2714</v>
      </c>
      <c r="Q907" s="203" t="s">
        <v>1097</v>
      </c>
      <c r="R907" s="434"/>
      <c r="S907" s="426"/>
      <c r="T907" s="542">
        <v>43392</v>
      </c>
      <c r="U907" s="427"/>
      <c r="V907" s="203"/>
      <c r="W907" s="425"/>
    </row>
  </sheetData>
  <conditionalFormatting sqref="C795:C796 C3:C793">
    <cfRule type="duplicateValues" dxfId="1454" priority="11039"/>
  </conditionalFormatting>
  <conditionalFormatting sqref="C806">
    <cfRule type="duplicateValues" dxfId="1453" priority="4"/>
  </conditionalFormatting>
  <conditionalFormatting sqref="C806">
    <cfRule type="duplicateValues" dxfId="1452" priority="5"/>
  </conditionalFormatting>
  <conditionalFormatting sqref="E166">
    <cfRule type="duplicateValues" dxfId="1451" priority="3"/>
  </conditionalFormatting>
  <conditionalFormatting sqref="E167:E896 E2:E165">
    <cfRule type="duplicateValues" dxfId="1450" priority="11475"/>
  </conditionalFormatting>
  <conditionalFormatting sqref="C1">
    <cfRule type="duplicateValues" dxfId="1449" priority="1"/>
    <cfRule type="duplicateValues" priority="2"/>
  </conditionalFormatting>
  <dataValidations count="2">
    <dataValidation type="list" allowBlank="1" showInputMessage="1" showErrorMessage="1" sqref="C754">
      <formula1>#REF!</formula1>
    </dataValidation>
    <dataValidation type="list" allowBlank="1" showInputMessage="1" showErrorMessage="1" sqref="C806">
      <formula1>OFFSET(Township_start,MATCH(B806,Township_list, 0),1, COUNTIF(Township_list,B806),1)</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topLeftCell="A30" workbookViewId="0">
      <selection activeCell="D22" sqref="D22"/>
    </sheetView>
  </sheetViews>
  <sheetFormatPr defaultColWidth="0" defaultRowHeight="15" x14ac:dyDescent="0.25"/>
  <cols>
    <col min="1" max="1" width="4.75" style="22" customWidth="1"/>
    <col min="2" max="2" width="37.875" style="499" customWidth="1"/>
    <col min="3" max="3" width="8.5" style="499" customWidth="1"/>
    <col min="4" max="4" width="44.5" style="499" customWidth="1"/>
    <col min="5" max="5" width="24.625" style="451" customWidth="1"/>
    <col min="6" max="6" width="34.25" style="451" customWidth="1"/>
    <col min="7" max="7" width="36.125" style="22" customWidth="1"/>
    <col min="8" max="8" width="9" style="451" customWidth="1"/>
    <col min="9" max="10" width="9" style="451" hidden="1" customWidth="1"/>
    <col min="11" max="11" width="0" style="451" hidden="1" customWidth="1"/>
    <col min="12" max="16384" width="9" style="451" hidden="1"/>
  </cols>
  <sheetData>
    <row r="1" spans="1:7" ht="23.25" x14ac:dyDescent="0.35">
      <c r="A1" s="956" t="s">
        <v>52</v>
      </c>
      <c r="B1" s="956"/>
      <c r="C1" s="956"/>
      <c r="D1" s="956"/>
      <c r="E1" s="450" t="s">
        <v>53</v>
      </c>
      <c r="F1" s="450" t="s">
        <v>53</v>
      </c>
    </row>
    <row r="2" spans="1:7" ht="51" x14ac:dyDescent="0.25">
      <c r="A2" s="40" t="s">
        <v>54</v>
      </c>
      <c r="B2" s="452" t="s">
        <v>55</v>
      </c>
      <c r="C2" s="452"/>
      <c r="D2" s="452" t="s">
        <v>56</v>
      </c>
      <c r="E2" s="83" t="s">
        <v>57</v>
      </c>
      <c r="F2" s="84" t="s">
        <v>58</v>
      </c>
      <c r="G2" s="96"/>
    </row>
    <row r="3" spans="1:7" x14ac:dyDescent="0.25">
      <c r="A3" s="85" t="s">
        <v>1</v>
      </c>
      <c r="B3" s="453" t="s">
        <v>24</v>
      </c>
      <c r="C3" s="453"/>
      <c r="D3" s="454"/>
      <c r="E3" s="76"/>
      <c r="F3" s="77"/>
    </row>
    <row r="4" spans="1:7" x14ac:dyDescent="0.25">
      <c r="A4" s="86" t="s">
        <v>2</v>
      </c>
      <c r="B4" s="453" t="s">
        <v>59</v>
      </c>
      <c r="C4" s="453" t="s">
        <v>20</v>
      </c>
      <c r="D4" s="454"/>
      <c r="E4" s="76"/>
      <c r="F4" s="77"/>
    </row>
    <row r="5" spans="1:7" x14ac:dyDescent="0.25">
      <c r="A5" s="86" t="s">
        <v>3</v>
      </c>
      <c r="B5" s="453" t="s">
        <v>26</v>
      </c>
      <c r="C5" s="453" t="s">
        <v>20</v>
      </c>
      <c r="D5" s="454"/>
      <c r="E5" s="76"/>
      <c r="F5" s="77"/>
    </row>
    <row r="6" spans="1:7" x14ac:dyDescent="0.25">
      <c r="A6" s="86" t="s">
        <v>4</v>
      </c>
      <c r="B6" s="453" t="s">
        <v>27</v>
      </c>
      <c r="C6" s="453" t="s">
        <v>20</v>
      </c>
      <c r="D6" s="454"/>
      <c r="E6" s="76"/>
      <c r="F6" s="77"/>
    </row>
    <row r="7" spans="1:7" ht="19.5" x14ac:dyDescent="0.3">
      <c r="A7" s="86" t="s">
        <v>5</v>
      </c>
      <c r="B7" s="453" t="s">
        <v>60</v>
      </c>
      <c r="C7" s="453" t="s">
        <v>20</v>
      </c>
      <c r="D7" s="454"/>
      <c r="E7" s="76"/>
      <c r="F7" s="77"/>
      <c r="G7" s="97" t="s">
        <v>61</v>
      </c>
    </row>
    <row r="8" spans="1:7" x14ac:dyDescent="0.25">
      <c r="A8" s="86" t="s">
        <v>6</v>
      </c>
      <c r="B8" s="453" t="s">
        <v>29</v>
      </c>
      <c r="C8" s="453" t="s">
        <v>21</v>
      </c>
      <c r="D8" s="454"/>
      <c r="E8" s="76"/>
      <c r="F8" s="77"/>
    </row>
    <row r="9" spans="1:7" ht="15.75" customHeight="1" x14ac:dyDescent="0.25">
      <c r="A9" s="86" t="s">
        <v>7</v>
      </c>
      <c r="B9" s="453" t="s">
        <v>30</v>
      </c>
      <c r="C9" s="453" t="s">
        <v>21</v>
      </c>
      <c r="D9" s="454"/>
      <c r="E9" s="76"/>
      <c r="F9" s="77"/>
    </row>
    <row r="10" spans="1:7" x14ac:dyDescent="0.25">
      <c r="A10" s="86" t="s">
        <v>8</v>
      </c>
      <c r="B10" s="107" t="s">
        <v>62</v>
      </c>
      <c r="C10" s="453" t="s">
        <v>21</v>
      </c>
      <c r="D10" s="454"/>
      <c r="E10" s="76"/>
      <c r="F10" s="77"/>
    </row>
    <row r="11" spans="1:7" ht="20.25" customHeight="1" x14ac:dyDescent="0.25">
      <c r="A11" s="87" t="s">
        <v>9</v>
      </c>
      <c r="B11" s="453" t="s">
        <v>31</v>
      </c>
      <c r="C11" s="453" t="s">
        <v>22</v>
      </c>
      <c r="D11" s="454"/>
      <c r="E11" s="76"/>
      <c r="F11" s="77"/>
    </row>
    <row r="12" spans="1:7" ht="25.5" x14ac:dyDescent="0.25">
      <c r="A12" s="86" t="s">
        <v>63</v>
      </c>
      <c r="B12" s="453" t="s">
        <v>32</v>
      </c>
      <c r="C12" s="453" t="s">
        <v>23</v>
      </c>
      <c r="D12" s="454"/>
      <c r="E12" s="76"/>
      <c r="F12" s="77"/>
    </row>
    <row r="13" spans="1:7" ht="27" customHeight="1" x14ac:dyDescent="0.25">
      <c r="A13" s="86" t="s">
        <v>64</v>
      </c>
      <c r="B13" s="453" t="s">
        <v>65</v>
      </c>
      <c r="C13" s="453" t="s">
        <v>21</v>
      </c>
      <c r="D13" s="454"/>
      <c r="E13" s="76"/>
      <c r="F13" s="77"/>
    </row>
    <row r="14" spans="1:7" ht="25.5" x14ac:dyDescent="0.25">
      <c r="A14" s="88" t="s">
        <v>67</v>
      </c>
      <c r="B14" s="453" t="s">
        <v>68</v>
      </c>
      <c r="C14" s="453" t="s">
        <v>20</v>
      </c>
      <c r="D14" s="454"/>
      <c r="E14" s="76"/>
      <c r="F14" s="77"/>
    </row>
    <row r="15" spans="1:7" ht="25.5" x14ac:dyDescent="0.25">
      <c r="A15" s="88" t="s">
        <v>70</v>
      </c>
      <c r="B15" s="453" t="s">
        <v>71</v>
      </c>
      <c r="C15" s="453" t="s">
        <v>69</v>
      </c>
      <c r="D15" s="454"/>
      <c r="E15" s="76"/>
      <c r="F15" s="77"/>
    </row>
    <row r="16" spans="1:7" ht="25.5" x14ac:dyDescent="0.25">
      <c r="A16" s="88" t="s">
        <v>1521</v>
      </c>
      <c r="B16" s="453" t="s">
        <v>72</v>
      </c>
      <c r="C16" s="453" t="s">
        <v>69</v>
      </c>
      <c r="D16" s="454"/>
      <c r="E16" s="76"/>
      <c r="F16" s="77"/>
    </row>
    <row r="17" spans="1:8" ht="26.25" x14ac:dyDescent="0.25">
      <c r="A17" s="89" t="s">
        <v>73</v>
      </c>
      <c r="B17" s="455" t="s">
        <v>74</v>
      </c>
      <c r="C17" s="455" t="s">
        <v>21</v>
      </c>
      <c r="D17" s="456" t="s">
        <v>75</v>
      </c>
      <c r="E17" s="108" t="s">
        <v>76</v>
      </c>
      <c r="F17" s="162" t="s">
        <v>76</v>
      </c>
      <c r="G17" s="163" t="s">
        <v>77</v>
      </c>
      <c r="H17" s="457" t="s">
        <v>1502</v>
      </c>
    </row>
    <row r="18" spans="1:8" ht="38.25" x14ac:dyDescent="0.25">
      <c r="A18" s="90" t="s">
        <v>78</v>
      </c>
      <c r="B18" s="458" t="s">
        <v>79</v>
      </c>
      <c r="C18" s="458" t="s">
        <v>21</v>
      </c>
      <c r="D18" s="456" t="s">
        <v>80</v>
      </c>
      <c r="E18" s="108"/>
      <c r="F18" s="162" t="s">
        <v>76</v>
      </c>
      <c r="G18" s="164"/>
      <c r="H18" s="457" t="s">
        <v>1502</v>
      </c>
    </row>
    <row r="19" spans="1:8" ht="51" x14ac:dyDescent="0.25">
      <c r="A19" s="90" t="s">
        <v>240</v>
      </c>
      <c r="B19" s="459" t="s">
        <v>81</v>
      </c>
      <c r="C19" s="458" t="s">
        <v>21</v>
      </c>
      <c r="D19" s="460" t="s">
        <v>3184</v>
      </c>
      <c r="E19" s="108" t="s">
        <v>76</v>
      </c>
      <c r="F19" s="162" t="s">
        <v>76</v>
      </c>
      <c r="G19" s="164"/>
      <c r="H19" s="457" t="s">
        <v>1502</v>
      </c>
    </row>
    <row r="20" spans="1:8" ht="46.5" customHeight="1" x14ac:dyDescent="0.25">
      <c r="A20" s="90" t="s">
        <v>241</v>
      </c>
      <c r="B20" s="461" t="s">
        <v>1484</v>
      </c>
      <c r="C20" s="462" t="s">
        <v>21</v>
      </c>
      <c r="D20" s="456" t="s">
        <v>83</v>
      </c>
      <c r="E20" s="108" t="s">
        <v>84</v>
      </c>
      <c r="F20" s="162" t="s">
        <v>84</v>
      </c>
      <c r="G20" s="165" t="s">
        <v>85</v>
      </c>
      <c r="H20" s="457" t="s">
        <v>1503</v>
      </c>
    </row>
    <row r="21" spans="1:8" ht="38.25" x14ac:dyDescent="0.25">
      <c r="A21" s="92" t="s">
        <v>91</v>
      </c>
      <c r="B21" s="461" t="s">
        <v>87</v>
      </c>
      <c r="C21" s="463" t="s">
        <v>21</v>
      </c>
      <c r="D21" s="456" t="s">
        <v>88</v>
      </c>
      <c r="E21" s="76"/>
      <c r="F21" s="77"/>
    </row>
    <row r="22" spans="1:8" ht="42.75" customHeight="1" x14ac:dyDescent="0.25">
      <c r="A22" s="92" t="s">
        <v>86</v>
      </c>
      <c r="B22" s="464" t="s">
        <v>2692</v>
      </c>
      <c r="C22" s="465" t="s">
        <v>21</v>
      </c>
      <c r="D22" s="460" t="s">
        <v>3193</v>
      </c>
      <c r="E22" s="76"/>
      <c r="F22" s="77"/>
    </row>
    <row r="23" spans="1:8" ht="42.75" customHeight="1" x14ac:dyDescent="0.25">
      <c r="A23" s="92" t="s">
        <v>95</v>
      </c>
      <c r="B23" s="464" t="s">
        <v>89</v>
      </c>
      <c r="C23" s="465" t="s">
        <v>21</v>
      </c>
      <c r="D23" s="460" t="s">
        <v>3185</v>
      </c>
      <c r="E23" s="110"/>
      <c r="F23" s="78"/>
    </row>
    <row r="24" spans="1:8" ht="51" x14ac:dyDescent="0.25">
      <c r="A24" s="91" t="s">
        <v>1327</v>
      </c>
      <c r="B24" s="464" t="s">
        <v>90</v>
      </c>
      <c r="C24" s="465" t="s">
        <v>21</v>
      </c>
      <c r="D24" s="460" t="s">
        <v>3186</v>
      </c>
      <c r="E24" s="110"/>
      <c r="F24" s="78"/>
    </row>
    <row r="25" spans="1:8" ht="25.5" x14ac:dyDescent="0.25">
      <c r="A25" s="91" t="s">
        <v>105</v>
      </c>
      <c r="B25" s="464" t="s">
        <v>92</v>
      </c>
      <c r="C25" s="466" t="s">
        <v>21</v>
      </c>
      <c r="D25" s="460" t="s">
        <v>3187</v>
      </c>
      <c r="E25" s="76"/>
      <c r="F25" s="77"/>
    </row>
    <row r="26" spans="1:8" ht="51" x14ac:dyDescent="0.25">
      <c r="A26" s="90" t="s">
        <v>108</v>
      </c>
      <c r="B26" s="464" t="s">
        <v>93</v>
      </c>
      <c r="C26" s="466" t="s">
        <v>21</v>
      </c>
      <c r="D26" s="460" t="s">
        <v>3188</v>
      </c>
      <c r="E26" s="76"/>
      <c r="F26" s="77"/>
    </row>
    <row r="27" spans="1:8" ht="38.25" x14ac:dyDescent="0.25">
      <c r="A27" s="92" t="s">
        <v>111</v>
      </c>
      <c r="B27" s="467" t="s">
        <v>1485</v>
      </c>
      <c r="C27" s="463" t="s">
        <v>21</v>
      </c>
      <c r="D27" s="460" t="s">
        <v>3194</v>
      </c>
      <c r="E27" s="76"/>
      <c r="F27" s="77"/>
    </row>
    <row r="28" spans="1:8" ht="38.25" x14ac:dyDescent="0.25">
      <c r="A28" s="90"/>
      <c r="B28" s="461" t="s">
        <v>94</v>
      </c>
      <c r="C28" s="461" t="s">
        <v>22</v>
      </c>
      <c r="D28" s="456"/>
      <c r="E28" s="145"/>
      <c r="F28" s="146"/>
    </row>
    <row r="29" spans="1:8" ht="89.25" x14ac:dyDescent="0.25">
      <c r="A29" s="80" t="s">
        <v>116</v>
      </c>
      <c r="B29" s="468" t="s">
        <v>96</v>
      </c>
      <c r="C29" s="469" t="s">
        <v>21</v>
      </c>
      <c r="D29" s="470" t="s">
        <v>1487</v>
      </c>
      <c r="E29" s="156" t="s">
        <v>97</v>
      </c>
      <c r="F29" s="157" t="s">
        <v>97</v>
      </c>
      <c r="G29" s="158" t="s">
        <v>98</v>
      </c>
      <c r="H29" s="457" t="s">
        <v>184</v>
      </c>
    </row>
    <row r="30" spans="1:8" ht="63.75" x14ac:dyDescent="0.25">
      <c r="A30" s="80" t="s">
        <v>1328</v>
      </c>
      <c r="B30" s="468" t="s">
        <v>99</v>
      </c>
      <c r="C30" s="469" t="s">
        <v>21</v>
      </c>
      <c r="D30" s="471" t="s">
        <v>100</v>
      </c>
      <c r="E30" s="159"/>
      <c r="F30" s="160"/>
    </row>
    <row r="31" spans="1:8" ht="39" x14ac:dyDescent="0.25">
      <c r="A31" s="81" t="s">
        <v>122</v>
      </c>
      <c r="B31" s="472" t="s">
        <v>101</v>
      </c>
      <c r="C31" s="473" t="s">
        <v>21</v>
      </c>
      <c r="D31" s="470" t="s">
        <v>1488</v>
      </c>
      <c r="E31" s="156" t="s">
        <v>102</v>
      </c>
      <c r="F31" s="157" t="s">
        <v>103</v>
      </c>
      <c r="G31" s="161" t="s">
        <v>104</v>
      </c>
      <c r="H31" s="457" t="s">
        <v>187</v>
      </c>
    </row>
    <row r="32" spans="1:8" x14ac:dyDescent="0.25">
      <c r="A32" s="81" t="s">
        <v>2693</v>
      </c>
      <c r="B32" s="472" t="s">
        <v>2694</v>
      </c>
      <c r="C32" s="473" t="s">
        <v>20</v>
      </c>
      <c r="D32" s="471" t="s">
        <v>2695</v>
      </c>
      <c r="E32" s="474"/>
      <c r="F32" s="475"/>
      <c r="G32" s="476"/>
      <c r="H32" s="477"/>
    </row>
    <row r="33" spans="1:7" ht="38.25" x14ac:dyDescent="0.25">
      <c r="A33" s="80" t="s">
        <v>127</v>
      </c>
      <c r="B33" s="469" t="s">
        <v>106</v>
      </c>
      <c r="C33" s="469" t="s">
        <v>21</v>
      </c>
      <c r="D33" s="478" t="s">
        <v>107</v>
      </c>
      <c r="E33" s="154"/>
      <c r="F33" s="155"/>
    </row>
    <row r="34" spans="1:7" ht="38.25" x14ac:dyDescent="0.25">
      <c r="A34" s="80" t="s">
        <v>131</v>
      </c>
      <c r="B34" s="479" t="s">
        <v>109</v>
      </c>
      <c r="C34" s="479" t="s">
        <v>20</v>
      </c>
      <c r="D34" s="480" t="s">
        <v>110</v>
      </c>
      <c r="E34" s="112"/>
      <c r="F34" s="79"/>
    </row>
    <row r="35" spans="1:7" ht="63.75" x14ac:dyDescent="0.25">
      <c r="A35" s="82" t="s">
        <v>133</v>
      </c>
      <c r="B35" s="481" t="s">
        <v>112</v>
      </c>
      <c r="C35" s="481" t="s">
        <v>20</v>
      </c>
      <c r="D35" s="480" t="s">
        <v>113</v>
      </c>
      <c r="E35" s="112"/>
      <c r="F35" s="79"/>
    </row>
    <row r="36" spans="1:7" x14ac:dyDescent="0.25">
      <c r="A36" s="82" t="s">
        <v>1490</v>
      </c>
      <c r="B36" s="482" t="s">
        <v>1489</v>
      </c>
      <c r="C36" s="481" t="s">
        <v>21</v>
      </c>
      <c r="D36" s="480" t="s">
        <v>1486</v>
      </c>
      <c r="E36" s="112"/>
      <c r="F36" s="79"/>
    </row>
    <row r="37" spans="1:7" ht="38.25" x14ac:dyDescent="0.25">
      <c r="A37" s="82" t="s">
        <v>1491</v>
      </c>
      <c r="B37" s="482" t="s">
        <v>1505</v>
      </c>
      <c r="C37" s="481" t="s">
        <v>21</v>
      </c>
      <c r="D37" s="480" t="s">
        <v>3195</v>
      </c>
      <c r="E37" s="112"/>
      <c r="F37" s="79"/>
    </row>
    <row r="38" spans="1:7" ht="38.25" x14ac:dyDescent="0.25">
      <c r="A38" s="82"/>
      <c r="B38" s="481" t="s">
        <v>115</v>
      </c>
      <c r="C38" s="481" t="s">
        <v>22</v>
      </c>
      <c r="D38" s="478"/>
      <c r="E38" s="112"/>
      <c r="F38" s="79"/>
    </row>
    <row r="39" spans="1:7" ht="25.5" x14ac:dyDescent="0.25">
      <c r="A39" s="483" t="s">
        <v>1492</v>
      </c>
      <c r="B39" s="484" t="s">
        <v>117</v>
      </c>
      <c r="C39" s="484" t="s">
        <v>21</v>
      </c>
      <c r="D39" s="485" t="s">
        <v>3191</v>
      </c>
      <c r="E39" s="76"/>
      <c r="F39" s="77"/>
    </row>
    <row r="40" spans="1:7" ht="25.5" x14ac:dyDescent="0.25">
      <c r="A40" s="483" t="s">
        <v>1493</v>
      </c>
      <c r="B40" s="484" t="s">
        <v>118</v>
      </c>
      <c r="C40" s="484" t="s">
        <v>20</v>
      </c>
      <c r="D40" s="486"/>
      <c r="E40" s="76"/>
      <c r="F40" s="77"/>
    </row>
    <row r="41" spans="1:7" x14ac:dyDescent="0.25">
      <c r="A41" s="483" t="s">
        <v>1494</v>
      </c>
      <c r="B41" s="487" t="s">
        <v>119</v>
      </c>
      <c r="C41" s="487" t="s">
        <v>21</v>
      </c>
      <c r="D41" s="957" t="s">
        <v>120</v>
      </c>
      <c r="E41" s="76"/>
      <c r="F41" s="77"/>
    </row>
    <row r="42" spans="1:7" x14ac:dyDescent="0.25">
      <c r="A42" s="483" t="s">
        <v>1495</v>
      </c>
      <c r="B42" s="487" t="s">
        <v>121</v>
      </c>
      <c r="C42" s="487" t="s">
        <v>21</v>
      </c>
      <c r="D42" s="957"/>
      <c r="E42" s="145"/>
      <c r="F42" s="146"/>
    </row>
    <row r="43" spans="1:7" ht="42" customHeight="1" x14ac:dyDescent="0.25">
      <c r="A43" s="483" t="s">
        <v>1496</v>
      </c>
      <c r="B43" s="488" t="s">
        <v>123</v>
      </c>
      <c r="C43" s="487" t="s">
        <v>21</v>
      </c>
      <c r="D43" s="489" t="s">
        <v>124</v>
      </c>
      <c r="E43" s="147" t="s">
        <v>125</v>
      </c>
      <c r="F43" s="148" t="s">
        <v>125</v>
      </c>
      <c r="G43" s="149" t="s">
        <v>126</v>
      </c>
    </row>
    <row r="44" spans="1:7" ht="42" customHeight="1" x14ac:dyDescent="0.25">
      <c r="A44" s="483" t="s">
        <v>1497</v>
      </c>
      <c r="B44" s="487" t="s">
        <v>128</v>
      </c>
      <c r="C44" s="490" t="s">
        <v>21</v>
      </c>
      <c r="D44" s="489" t="s">
        <v>1501</v>
      </c>
      <c r="E44" s="150" t="s">
        <v>2612</v>
      </c>
      <c r="F44" s="148" t="s">
        <v>103</v>
      </c>
      <c r="G44" s="151" t="s">
        <v>130</v>
      </c>
    </row>
    <row r="45" spans="1:7" ht="51" x14ac:dyDescent="0.25">
      <c r="A45" s="483" t="s">
        <v>1498</v>
      </c>
      <c r="B45" s="487" t="s">
        <v>132</v>
      </c>
      <c r="C45" s="490" t="s">
        <v>21</v>
      </c>
      <c r="D45" s="489" t="s">
        <v>1500</v>
      </c>
      <c r="E45" s="150" t="s">
        <v>2612</v>
      </c>
      <c r="F45" s="148" t="s">
        <v>103</v>
      </c>
    </row>
    <row r="46" spans="1:7" x14ac:dyDescent="0.25">
      <c r="A46" s="483" t="s">
        <v>1499</v>
      </c>
      <c r="B46" s="491" t="s">
        <v>134</v>
      </c>
      <c r="C46" s="492" t="s">
        <v>20</v>
      </c>
      <c r="D46" s="489"/>
      <c r="E46" s="150"/>
      <c r="F46" s="148"/>
    </row>
    <row r="47" spans="1:7" ht="25.5" x14ac:dyDescent="0.25">
      <c r="A47" s="483" t="s">
        <v>2696</v>
      </c>
      <c r="B47" s="491" t="s">
        <v>3196</v>
      </c>
      <c r="C47" s="492" t="s">
        <v>21</v>
      </c>
      <c r="D47" s="489" t="s">
        <v>3197</v>
      </c>
      <c r="E47" s="496"/>
      <c r="F47" s="497"/>
    </row>
    <row r="48" spans="1:7" x14ac:dyDescent="0.25">
      <c r="A48" s="483" t="s">
        <v>2699</v>
      </c>
      <c r="B48" s="493" t="s">
        <v>2697</v>
      </c>
      <c r="C48" s="494" t="s">
        <v>21</v>
      </c>
      <c r="D48" s="489" t="s">
        <v>2698</v>
      </c>
      <c r="E48" s="496"/>
      <c r="F48" s="497"/>
    </row>
    <row r="49" spans="1:6" x14ac:dyDescent="0.25">
      <c r="A49" s="483" t="s">
        <v>3198</v>
      </c>
      <c r="B49" s="493" t="s">
        <v>2700</v>
      </c>
      <c r="C49" s="494" t="s">
        <v>21</v>
      </c>
      <c r="D49" s="489" t="s">
        <v>2701</v>
      </c>
      <c r="E49" s="496"/>
      <c r="F49" s="497"/>
    </row>
    <row r="50" spans="1:6" ht="38.25" x14ac:dyDescent="0.25">
      <c r="A50" s="483"/>
      <c r="B50" s="492" t="s">
        <v>135</v>
      </c>
      <c r="C50" s="492" t="s">
        <v>22</v>
      </c>
      <c r="D50" s="486"/>
      <c r="E50" s="152"/>
      <c r="F50" s="153"/>
    </row>
    <row r="55" spans="1:6" x14ac:dyDescent="0.25">
      <c r="B55" s="498" t="s">
        <v>2139</v>
      </c>
    </row>
  </sheetData>
  <autoFilter ref="A2:H50"/>
  <mergeCells count="2">
    <mergeCell ref="A1:D1"/>
    <mergeCell ref="D41:D4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[3]Lookup!#REF!</xm:f>
          </x14:formula1>
          <xm:sqref>A4:A6</xm:sqref>
        </x14:dataValidation>
        <x14:dataValidation type="list" allowBlank="1" showInputMessage="1" showErrorMessage="1">
          <x14:formula1>
            <xm:f>[3]SiteDatabase!#REF!</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topLeftCell="A43" zoomScale="110" zoomScaleNormal="110" workbookViewId="0">
      <selection activeCell="D49" sqref="D49"/>
    </sheetView>
  </sheetViews>
  <sheetFormatPr defaultColWidth="0" defaultRowHeight="15" x14ac:dyDescent="0.25"/>
  <cols>
    <col min="1" max="1" width="4.75" style="22" customWidth="1"/>
    <col min="2" max="2" width="55.375" style="498" customWidth="1"/>
    <col min="3" max="3" width="8.5" style="499" customWidth="1"/>
    <col min="4" max="4" width="44.5" style="498" customWidth="1"/>
    <col min="5" max="5" width="23" style="451" hidden="1" customWidth="1"/>
    <col min="6" max="6" width="26.5" style="451" hidden="1" customWidth="1"/>
    <col min="7" max="7" width="56.875" style="22" hidden="1" customWidth="1"/>
    <col min="8" max="16384" width="0" style="451" hidden="1"/>
  </cols>
  <sheetData>
    <row r="1" spans="1:7" ht="32.25" customHeight="1" x14ac:dyDescent="0.25">
      <c r="B1" s="958" t="s">
        <v>136</v>
      </c>
      <c r="C1" s="958"/>
      <c r="D1" s="958"/>
      <c r="E1" s="450" t="s">
        <v>53</v>
      </c>
      <c r="F1" s="450" t="s">
        <v>53</v>
      </c>
    </row>
    <row r="2" spans="1:7" ht="51" x14ac:dyDescent="0.3">
      <c r="A2" s="117" t="s">
        <v>54</v>
      </c>
      <c r="B2" s="500" t="s">
        <v>55</v>
      </c>
      <c r="C2" s="452"/>
      <c r="D2" s="500" t="s">
        <v>56</v>
      </c>
      <c r="E2" s="118" t="s">
        <v>57</v>
      </c>
      <c r="F2" s="119" t="s">
        <v>58</v>
      </c>
      <c r="G2" s="97" t="s">
        <v>61</v>
      </c>
    </row>
    <row r="3" spans="1:7" x14ac:dyDescent="0.25">
      <c r="A3" s="85" t="s">
        <v>1</v>
      </c>
      <c r="B3" s="501" t="s">
        <v>24</v>
      </c>
      <c r="C3" s="453"/>
      <c r="D3" s="502"/>
      <c r="E3" s="120"/>
      <c r="F3" s="121"/>
      <c r="G3" s="122"/>
    </row>
    <row r="4" spans="1:7" x14ac:dyDescent="0.25">
      <c r="A4" s="86" t="s">
        <v>2</v>
      </c>
      <c r="B4" s="501" t="s">
        <v>59</v>
      </c>
      <c r="C4" s="453" t="s">
        <v>20</v>
      </c>
      <c r="D4" s="502"/>
      <c r="E4" s="120"/>
      <c r="F4" s="121"/>
      <c r="G4" s="122"/>
    </row>
    <row r="5" spans="1:7" x14ac:dyDescent="0.25">
      <c r="A5" s="86" t="s">
        <v>3</v>
      </c>
      <c r="B5" s="501" t="s">
        <v>26</v>
      </c>
      <c r="C5" s="453" t="s">
        <v>20</v>
      </c>
      <c r="D5" s="502"/>
      <c r="E5" s="120"/>
      <c r="F5" s="121"/>
      <c r="G5" s="122"/>
    </row>
    <row r="6" spans="1:7" x14ac:dyDescent="0.25">
      <c r="A6" s="86" t="s">
        <v>4</v>
      </c>
      <c r="B6" s="501" t="s">
        <v>27</v>
      </c>
      <c r="C6" s="453" t="s">
        <v>20</v>
      </c>
      <c r="D6" s="502"/>
      <c r="E6" s="120"/>
      <c r="F6" s="121"/>
      <c r="G6" s="122"/>
    </row>
    <row r="7" spans="1:7" x14ac:dyDescent="0.25">
      <c r="A7" s="86" t="s">
        <v>5</v>
      </c>
      <c r="B7" s="501" t="s">
        <v>60</v>
      </c>
      <c r="C7" s="453" t="s">
        <v>20</v>
      </c>
      <c r="D7" s="502"/>
      <c r="E7" s="120"/>
      <c r="F7" s="121"/>
    </row>
    <row r="8" spans="1:7" x14ac:dyDescent="0.25">
      <c r="A8" s="86" t="s">
        <v>6</v>
      </c>
      <c r="B8" s="501" t="s">
        <v>29</v>
      </c>
      <c r="C8" s="453" t="s">
        <v>21</v>
      </c>
      <c r="D8" s="502"/>
      <c r="E8" s="120"/>
      <c r="F8" s="121"/>
      <c r="G8" s="122"/>
    </row>
    <row r="9" spans="1:7" ht="15.75" customHeight="1" x14ac:dyDescent="0.25">
      <c r="A9" s="86" t="s">
        <v>7</v>
      </c>
      <c r="B9" s="501" t="s">
        <v>30</v>
      </c>
      <c r="C9" s="453" t="s">
        <v>21</v>
      </c>
      <c r="D9" s="502"/>
      <c r="E9" s="120"/>
      <c r="F9" s="121"/>
      <c r="G9" s="122"/>
    </row>
    <row r="10" spans="1:7" x14ac:dyDescent="0.25">
      <c r="A10" s="86" t="s">
        <v>8</v>
      </c>
      <c r="B10" s="107" t="s">
        <v>1516</v>
      </c>
      <c r="C10" s="453" t="s">
        <v>22</v>
      </c>
      <c r="D10" s="502"/>
      <c r="E10" s="120"/>
      <c r="F10" s="121"/>
      <c r="G10" s="122"/>
    </row>
    <row r="11" spans="1:7" ht="20.25" customHeight="1" x14ac:dyDescent="0.25">
      <c r="A11" s="87" t="s">
        <v>9</v>
      </c>
      <c r="B11" s="503" t="s">
        <v>137</v>
      </c>
      <c r="C11" s="453" t="s">
        <v>23</v>
      </c>
      <c r="D11" s="502"/>
      <c r="E11" s="120"/>
      <c r="F11" s="121"/>
      <c r="G11" s="122"/>
    </row>
    <row r="12" spans="1:7" x14ac:dyDescent="0.25">
      <c r="A12" s="86" t="s">
        <v>63</v>
      </c>
      <c r="B12" s="503" t="s">
        <v>138</v>
      </c>
      <c r="C12" s="453" t="s">
        <v>21</v>
      </c>
      <c r="D12" s="502"/>
      <c r="E12" s="120"/>
      <c r="F12" s="121"/>
      <c r="G12" s="122"/>
    </row>
    <row r="13" spans="1:7" ht="27" customHeight="1" x14ac:dyDescent="0.25">
      <c r="A13" s="86" t="s">
        <v>64</v>
      </c>
      <c r="B13" s="503" t="s">
        <v>139</v>
      </c>
      <c r="C13" s="453" t="s">
        <v>21</v>
      </c>
      <c r="D13" s="502"/>
      <c r="E13" s="120"/>
      <c r="F13" s="121"/>
      <c r="G13" s="122"/>
    </row>
    <row r="14" spans="1:7" x14ac:dyDescent="0.25">
      <c r="A14" s="88" t="s">
        <v>67</v>
      </c>
      <c r="B14" s="503" t="s">
        <v>140</v>
      </c>
      <c r="C14" s="453" t="s">
        <v>20</v>
      </c>
      <c r="D14" s="502"/>
      <c r="E14" s="120"/>
      <c r="F14" s="121"/>
      <c r="G14" s="122"/>
    </row>
    <row r="15" spans="1:7" x14ac:dyDescent="0.25">
      <c r="A15" s="88" t="s">
        <v>70</v>
      </c>
      <c r="B15" s="503" t="s">
        <v>141</v>
      </c>
      <c r="C15" s="453" t="s">
        <v>69</v>
      </c>
      <c r="D15" s="502"/>
      <c r="E15" s="120"/>
      <c r="F15" s="121"/>
      <c r="G15" s="122"/>
    </row>
    <row r="16" spans="1:7" x14ac:dyDescent="0.25">
      <c r="A16" s="88" t="s">
        <v>1521</v>
      </c>
      <c r="B16" s="503" t="s">
        <v>142</v>
      </c>
      <c r="C16" s="453" t="s">
        <v>69</v>
      </c>
      <c r="D16" s="502"/>
      <c r="E16" s="120"/>
      <c r="F16" s="121"/>
      <c r="G16" s="122"/>
    </row>
    <row r="17" spans="1:7" ht="26.25" x14ac:dyDescent="0.25">
      <c r="A17" s="89" t="s">
        <v>73</v>
      </c>
      <c r="B17" s="504" t="s">
        <v>143</v>
      </c>
      <c r="C17" s="455" t="s">
        <v>21</v>
      </c>
      <c r="D17" s="505" t="s">
        <v>1509</v>
      </c>
      <c r="E17" s="108" t="s">
        <v>76</v>
      </c>
      <c r="F17" s="109" t="s">
        <v>76</v>
      </c>
      <c r="G17" s="104" t="s">
        <v>77</v>
      </c>
    </row>
    <row r="18" spans="1:7" ht="36" x14ac:dyDescent="0.25">
      <c r="A18" s="90" t="s">
        <v>78</v>
      </c>
      <c r="B18" s="506" t="s">
        <v>144</v>
      </c>
      <c r="C18" s="458" t="s">
        <v>21</v>
      </c>
      <c r="D18" s="505" t="s">
        <v>1510</v>
      </c>
      <c r="E18" s="108"/>
      <c r="F18" s="109" t="s">
        <v>76</v>
      </c>
    </row>
    <row r="19" spans="1:7" ht="24" x14ac:dyDescent="0.25">
      <c r="A19" s="90" t="s">
        <v>240</v>
      </c>
      <c r="B19" s="507" t="s">
        <v>145</v>
      </c>
      <c r="C19" s="458" t="s">
        <v>21</v>
      </c>
      <c r="D19" s="508" t="s">
        <v>146</v>
      </c>
      <c r="E19" s="108" t="s">
        <v>76</v>
      </c>
      <c r="F19" s="109" t="s">
        <v>76</v>
      </c>
    </row>
    <row r="20" spans="1:7" ht="46.5" customHeight="1" x14ac:dyDescent="0.25">
      <c r="A20" s="90" t="s">
        <v>241</v>
      </c>
      <c r="B20" s="509" t="s">
        <v>147</v>
      </c>
      <c r="C20" s="462" t="s">
        <v>21</v>
      </c>
      <c r="D20" s="505" t="s">
        <v>148</v>
      </c>
      <c r="E20" s="108" t="s">
        <v>84</v>
      </c>
      <c r="F20" s="109" t="s">
        <v>84</v>
      </c>
      <c r="G20" s="98" t="s">
        <v>85</v>
      </c>
    </row>
    <row r="21" spans="1:7" ht="24" x14ac:dyDescent="0.25">
      <c r="A21" s="92" t="s">
        <v>91</v>
      </c>
      <c r="B21" s="510" t="s">
        <v>149</v>
      </c>
      <c r="C21" s="463" t="s">
        <v>21</v>
      </c>
      <c r="D21" s="511" t="s">
        <v>149</v>
      </c>
      <c r="E21" s="120"/>
      <c r="F21" s="121"/>
      <c r="G21" s="122"/>
    </row>
    <row r="22" spans="1:7" ht="33" x14ac:dyDescent="0.25">
      <c r="A22" s="92" t="s">
        <v>86</v>
      </c>
      <c r="B22" s="512" t="s">
        <v>2702</v>
      </c>
      <c r="C22" s="463" t="s">
        <v>21</v>
      </c>
      <c r="D22" s="824" t="s">
        <v>3199</v>
      </c>
      <c r="E22" s="120"/>
      <c r="F22" s="121"/>
      <c r="G22" s="122"/>
    </row>
    <row r="23" spans="1:7" ht="42.75" customHeight="1" x14ac:dyDescent="0.25">
      <c r="A23" s="92" t="s">
        <v>95</v>
      </c>
      <c r="B23" s="513" t="s">
        <v>150</v>
      </c>
      <c r="C23" s="465" t="s">
        <v>21</v>
      </c>
      <c r="D23" s="508" t="s">
        <v>150</v>
      </c>
      <c r="E23" s="123"/>
      <c r="F23" s="124"/>
      <c r="G23" s="122"/>
    </row>
    <row r="24" spans="1:7" ht="42.75" customHeight="1" x14ac:dyDescent="0.25">
      <c r="A24" s="91" t="s">
        <v>1327</v>
      </c>
      <c r="B24" s="513" t="s">
        <v>151</v>
      </c>
      <c r="C24" s="465" t="s">
        <v>21</v>
      </c>
      <c r="D24" s="508" t="s">
        <v>3189</v>
      </c>
      <c r="E24" s="123"/>
      <c r="F24" s="124"/>
      <c r="G24" s="122"/>
    </row>
    <row r="25" spans="1:7" x14ac:dyDescent="0.25">
      <c r="A25" s="91" t="s">
        <v>105</v>
      </c>
      <c r="B25" s="513" t="s">
        <v>152</v>
      </c>
      <c r="C25" s="465" t="s">
        <v>21</v>
      </c>
      <c r="D25" s="508" t="s">
        <v>152</v>
      </c>
      <c r="E25" s="120"/>
      <c r="F25" s="121"/>
      <c r="G25" s="122"/>
    </row>
    <row r="26" spans="1:7" ht="72" x14ac:dyDescent="0.25">
      <c r="A26" s="90" t="s">
        <v>108</v>
      </c>
      <c r="B26" s="514" t="s">
        <v>153</v>
      </c>
      <c r="C26" s="465" t="s">
        <v>21</v>
      </c>
      <c r="D26" s="508" t="s">
        <v>3190</v>
      </c>
      <c r="E26" s="120"/>
      <c r="F26" s="121"/>
      <c r="G26" s="122"/>
    </row>
    <row r="27" spans="1:7" ht="33" x14ac:dyDescent="0.25">
      <c r="A27" s="92" t="s">
        <v>111</v>
      </c>
      <c r="B27" s="515" t="s">
        <v>1517</v>
      </c>
      <c r="C27" s="463" t="s">
        <v>21</v>
      </c>
      <c r="D27" s="824" t="s">
        <v>3200</v>
      </c>
      <c r="E27" s="120"/>
      <c r="F27" s="121"/>
      <c r="G27" s="122"/>
    </row>
    <row r="28" spans="1:7" ht="24" x14ac:dyDescent="0.25">
      <c r="A28" s="90"/>
      <c r="B28" s="516" t="s">
        <v>154</v>
      </c>
      <c r="C28" s="461" t="s">
        <v>22</v>
      </c>
      <c r="D28" s="505"/>
      <c r="E28" s="120"/>
      <c r="F28" s="121"/>
      <c r="G28" s="122"/>
    </row>
    <row r="29" spans="1:7" ht="72" x14ac:dyDescent="0.25">
      <c r="A29" s="80" t="s">
        <v>116</v>
      </c>
      <c r="B29" s="125" t="s">
        <v>155</v>
      </c>
      <c r="C29" s="469" t="s">
        <v>21</v>
      </c>
      <c r="D29" s="517" t="s">
        <v>156</v>
      </c>
      <c r="E29" s="111" t="s">
        <v>97</v>
      </c>
      <c r="F29" s="95" t="s">
        <v>97</v>
      </c>
      <c r="G29" s="105" t="s">
        <v>98</v>
      </c>
    </row>
    <row r="30" spans="1:7" ht="36" x14ac:dyDescent="0.25">
      <c r="A30" s="80" t="s">
        <v>1328</v>
      </c>
      <c r="B30" s="125" t="s">
        <v>157</v>
      </c>
      <c r="C30" s="469" t="s">
        <v>21</v>
      </c>
      <c r="D30" s="517" t="s">
        <v>158</v>
      </c>
      <c r="E30" s="120"/>
      <c r="F30" s="121"/>
      <c r="G30" s="122"/>
    </row>
    <row r="31" spans="1:7" ht="26.25" x14ac:dyDescent="0.25">
      <c r="A31" s="81" t="s">
        <v>122</v>
      </c>
      <c r="B31" s="126" t="s">
        <v>1518</v>
      </c>
      <c r="C31" s="473" t="s">
        <v>21</v>
      </c>
      <c r="D31" s="518" t="s">
        <v>1511</v>
      </c>
      <c r="E31" s="111" t="s">
        <v>102</v>
      </c>
      <c r="F31" s="95" t="s">
        <v>103</v>
      </c>
      <c r="G31" s="99" t="s">
        <v>104</v>
      </c>
    </row>
    <row r="32" spans="1:7" ht="18.75" x14ac:dyDescent="0.25">
      <c r="A32" s="81" t="s">
        <v>2693</v>
      </c>
      <c r="B32" s="519" t="s">
        <v>2703</v>
      </c>
      <c r="C32" s="479" t="s">
        <v>20</v>
      </c>
      <c r="D32" s="825" t="s">
        <v>2704</v>
      </c>
      <c r="E32" s="111"/>
      <c r="F32" s="95"/>
      <c r="G32" s="99"/>
    </row>
    <row r="33" spans="1:7" ht="24" x14ac:dyDescent="0.25">
      <c r="A33" s="80" t="s">
        <v>127</v>
      </c>
      <c r="B33" s="127" t="s">
        <v>159</v>
      </c>
      <c r="C33" s="469" t="s">
        <v>21</v>
      </c>
      <c r="D33" s="520" t="s">
        <v>1512</v>
      </c>
      <c r="E33" s="120"/>
      <c r="F33" s="121"/>
      <c r="G33" s="122"/>
    </row>
    <row r="34" spans="1:7" ht="24" x14ac:dyDescent="0.25">
      <c r="A34" s="80" t="s">
        <v>131</v>
      </c>
      <c r="B34" s="128" t="s">
        <v>160</v>
      </c>
      <c r="C34" s="479" t="s">
        <v>20</v>
      </c>
      <c r="D34" s="521" t="s">
        <v>161</v>
      </c>
      <c r="E34" s="120"/>
      <c r="F34" s="121"/>
      <c r="G34" s="122"/>
    </row>
    <row r="35" spans="1:7" ht="24" x14ac:dyDescent="0.25">
      <c r="A35" s="82" t="s">
        <v>133</v>
      </c>
      <c r="B35" s="129" t="s">
        <v>162</v>
      </c>
      <c r="C35" s="481" t="s">
        <v>20</v>
      </c>
      <c r="D35" s="522" t="s">
        <v>163</v>
      </c>
      <c r="E35" s="120"/>
      <c r="F35" s="121"/>
      <c r="G35" s="122"/>
    </row>
    <row r="36" spans="1:7" x14ac:dyDescent="0.25">
      <c r="A36" s="82" t="s">
        <v>1490</v>
      </c>
      <c r="B36" s="523" t="s">
        <v>1519</v>
      </c>
      <c r="C36" s="481"/>
      <c r="D36" s="480" t="s">
        <v>1486</v>
      </c>
      <c r="E36" s="524"/>
      <c r="F36" s="121"/>
      <c r="G36" s="122"/>
    </row>
    <row r="37" spans="1:7" ht="33" x14ac:dyDescent="0.25">
      <c r="A37" s="82" t="s">
        <v>1491</v>
      </c>
      <c r="B37" s="523" t="s">
        <v>1520</v>
      </c>
      <c r="C37" s="481"/>
      <c r="D37" s="826" t="s">
        <v>3201</v>
      </c>
      <c r="E37" s="524"/>
      <c r="F37" s="121"/>
      <c r="G37" s="122"/>
    </row>
    <row r="38" spans="1:7" ht="24" customHeight="1" x14ac:dyDescent="0.25">
      <c r="A38" s="82"/>
      <c r="B38" s="525" t="s">
        <v>164</v>
      </c>
      <c r="C38" s="481" t="s">
        <v>22</v>
      </c>
      <c r="D38" s="471" t="s">
        <v>2695</v>
      </c>
      <c r="E38" s="120"/>
      <c r="F38" s="121"/>
      <c r="G38" s="122"/>
    </row>
    <row r="39" spans="1:7" ht="36" x14ac:dyDescent="0.25">
      <c r="A39" s="483" t="s">
        <v>1492</v>
      </c>
      <c r="B39" s="526" t="s">
        <v>1526</v>
      </c>
      <c r="C39" s="484" t="s">
        <v>21</v>
      </c>
      <c r="D39" s="527" t="s">
        <v>165</v>
      </c>
      <c r="E39" s="120"/>
      <c r="F39" s="121"/>
      <c r="G39" s="122"/>
    </row>
    <row r="40" spans="1:7" x14ac:dyDescent="0.25">
      <c r="A40" s="483" t="s">
        <v>1493</v>
      </c>
      <c r="B40" s="528" t="s">
        <v>166</v>
      </c>
      <c r="C40" s="484" t="s">
        <v>20</v>
      </c>
      <c r="D40" s="529"/>
      <c r="E40" s="120"/>
      <c r="F40" s="121"/>
      <c r="G40" s="122"/>
    </row>
    <row r="41" spans="1:7" ht="34.5" customHeight="1" x14ac:dyDescent="0.25">
      <c r="A41" s="483" t="s">
        <v>1494</v>
      </c>
      <c r="B41" s="530" t="s">
        <v>167</v>
      </c>
      <c r="C41" s="487" t="s">
        <v>21</v>
      </c>
      <c r="D41" s="531" t="s">
        <v>168</v>
      </c>
      <c r="E41" s="120"/>
      <c r="F41" s="121"/>
      <c r="G41" s="122"/>
    </row>
    <row r="42" spans="1:7" ht="29.25" customHeight="1" x14ac:dyDescent="0.25">
      <c r="A42" s="483" t="s">
        <v>1495</v>
      </c>
      <c r="B42" s="530" t="s">
        <v>169</v>
      </c>
      <c r="C42" s="487" t="s">
        <v>21</v>
      </c>
      <c r="D42" s="531" t="s">
        <v>168</v>
      </c>
      <c r="E42" s="120"/>
      <c r="F42" s="121"/>
      <c r="G42" s="122"/>
    </row>
    <row r="43" spans="1:7" ht="39" x14ac:dyDescent="0.25">
      <c r="A43" s="483" t="s">
        <v>1496</v>
      </c>
      <c r="B43" s="532" t="s">
        <v>170</v>
      </c>
      <c r="C43" s="487" t="s">
        <v>21</v>
      </c>
      <c r="D43" s="533" t="s">
        <v>1513</v>
      </c>
      <c r="E43" s="113" t="s">
        <v>125</v>
      </c>
      <c r="F43" s="114" t="s">
        <v>125</v>
      </c>
      <c r="G43" s="106" t="s">
        <v>126</v>
      </c>
    </row>
    <row r="44" spans="1:7" ht="30" x14ac:dyDescent="0.25">
      <c r="A44" s="483" t="s">
        <v>1497</v>
      </c>
      <c r="B44" s="534" t="s">
        <v>1527</v>
      </c>
      <c r="C44" s="490" t="s">
        <v>21</v>
      </c>
      <c r="D44" s="535" t="s">
        <v>1514</v>
      </c>
      <c r="E44" s="115" t="s">
        <v>129</v>
      </c>
      <c r="F44" s="114" t="s">
        <v>103</v>
      </c>
      <c r="G44" s="100" t="s">
        <v>130</v>
      </c>
    </row>
    <row r="45" spans="1:7" ht="48" x14ac:dyDescent="0.25">
      <c r="A45" s="483" t="s">
        <v>1498</v>
      </c>
      <c r="B45" s="536" t="s">
        <v>1528</v>
      </c>
      <c r="C45" s="490" t="s">
        <v>21</v>
      </c>
      <c r="D45" s="535" t="s">
        <v>1515</v>
      </c>
      <c r="E45" s="115" t="s">
        <v>129</v>
      </c>
      <c r="F45" s="114" t="s">
        <v>103</v>
      </c>
    </row>
    <row r="46" spans="1:7" x14ac:dyDescent="0.25">
      <c r="A46" s="483" t="s">
        <v>1499</v>
      </c>
      <c r="B46" s="537" t="s">
        <v>1508</v>
      </c>
      <c r="C46" s="492" t="s">
        <v>1506</v>
      </c>
      <c r="D46" s="537" t="s">
        <v>1508</v>
      </c>
      <c r="E46" s="115"/>
      <c r="F46" s="114"/>
    </row>
    <row r="47" spans="1:7" ht="37.5" x14ac:dyDescent="0.5">
      <c r="A47" s="483" t="s">
        <v>2696</v>
      </c>
      <c r="B47" s="827" t="s">
        <v>3202</v>
      </c>
      <c r="C47" s="492" t="s">
        <v>21</v>
      </c>
      <c r="D47" s="828" t="s">
        <v>3203</v>
      </c>
      <c r="E47" s="115"/>
      <c r="F47" s="114"/>
    </row>
    <row r="48" spans="1:7" ht="51.75" x14ac:dyDescent="0.25">
      <c r="A48" s="483" t="s">
        <v>2699</v>
      </c>
      <c r="B48" s="538" t="s">
        <v>2705</v>
      </c>
      <c r="C48" s="492" t="s">
        <v>21</v>
      </c>
      <c r="D48" s="538" t="s">
        <v>2706</v>
      </c>
      <c r="E48" s="115"/>
      <c r="F48" s="114"/>
    </row>
    <row r="49" spans="1:7" ht="51.75" x14ac:dyDescent="0.25">
      <c r="A49" s="483" t="s">
        <v>3198</v>
      </c>
      <c r="B49" s="538" t="s">
        <v>2707</v>
      </c>
      <c r="C49" s="492" t="s">
        <v>21</v>
      </c>
      <c r="D49" s="538" t="s">
        <v>2708</v>
      </c>
      <c r="E49" s="115"/>
      <c r="F49" s="114"/>
    </row>
    <row r="50" spans="1:7" x14ac:dyDescent="0.25">
      <c r="A50" s="483"/>
      <c r="B50" s="536" t="s">
        <v>171</v>
      </c>
      <c r="C50" s="492" t="s">
        <v>22</v>
      </c>
      <c r="D50" s="495"/>
      <c r="E50" s="120"/>
      <c r="F50" s="121"/>
      <c r="G50" s="122"/>
    </row>
    <row r="51" spans="1:7" x14ac:dyDescent="0.25">
      <c r="B51" s="498" t="s">
        <v>1507</v>
      </c>
    </row>
    <row r="53" spans="1:7" x14ac:dyDescent="0.25">
      <c r="B53" s="498" t="s">
        <v>2139</v>
      </c>
    </row>
  </sheetData>
  <mergeCells count="1">
    <mergeCell ref="B1:D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[3]SiteDatabase!#REF!</xm:f>
          </x14:formula1>
          <xm:sqref>A7</xm:sqref>
        </x14:dataValidation>
        <x14:dataValidation type="list" allowBlank="1" showInputMessage="1" showErrorMessage="1">
          <x14:formula1>
            <xm:f>[3]Lookup!#REF!</xm:f>
          </x14:formula1>
          <xm:sqref>A4:A6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
  <sheetViews>
    <sheetView zoomScale="80" zoomScaleNormal="80" zoomScaleSheetLayoutView="89" workbookViewId="0">
      <selection activeCell="E3" sqref="E3"/>
    </sheetView>
  </sheetViews>
  <sheetFormatPr defaultColWidth="6.875" defaultRowHeight="15.75" x14ac:dyDescent="0.25"/>
  <cols>
    <col min="1" max="1" width="11" style="30" customWidth="1"/>
    <col min="2" max="2" width="40.5" style="30" customWidth="1"/>
    <col min="3" max="3" width="19.625" style="30" customWidth="1"/>
    <col min="4" max="4" width="48.875" style="30" customWidth="1"/>
    <col min="5" max="5" width="35.25" style="20" customWidth="1"/>
    <col min="6" max="6" width="26.125" style="20" customWidth="1"/>
    <col min="7" max="16384" width="6.875" style="20"/>
  </cols>
  <sheetData>
    <row r="1" spans="1:7" ht="23.25" customHeight="1" x14ac:dyDescent="0.25">
      <c r="B1" s="57" t="s">
        <v>172</v>
      </c>
      <c r="C1" s="57"/>
      <c r="D1" s="57"/>
    </row>
    <row r="2" spans="1:7" ht="19.5" x14ac:dyDescent="0.4">
      <c r="A2" s="25" t="s">
        <v>173</v>
      </c>
      <c r="B2" s="25" t="s">
        <v>1480</v>
      </c>
      <c r="C2" s="25" t="s">
        <v>174</v>
      </c>
      <c r="D2" s="25" t="s">
        <v>175</v>
      </c>
      <c r="E2" s="18" t="s">
        <v>1481</v>
      </c>
      <c r="F2" s="18" t="s">
        <v>176</v>
      </c>
    </row>
    <row r="3" spans="1:7" ht="103.5" customHeight="1" x14ac:dyDescent="0.25">
      <c r="A3" s="26" t="s">
        <v>177</v>
      </c>
      <c r="B3" s="26" t="s">
        <v>1478</v>
      </c>
      <c r="C3" s="26" t="s">
        <v>178</v>
      </c>
      <c r="D3" s="26" t="s">
        <v>179</v>
      </c>
      <c r="E3" s="116" t="s">
        <v>180</v>
      </c>
      <c r="F3" s="26" t="s">
        <v>181</v>
      </c>
    </row>
    <row r="4" spans="1:7" ht="80.25" customHeight="1" x14ac:dyDescent="0.25">
      <c r="A4" s="26" t="s">
        <v>182</v>
      </c>
      <c r="B4" s="26" t="s">
        <v>1479</v>
      </c>
      <c r="C4" s="26" t="s">
        <v>82</v>
      </c>
      <c r="D4" s="26" t="s">
        <v>1484</v>
      </c>
      <c r="E4" s="116" t="s">
        <v>183</v>
      </c>
      <c r="F4" s="26" t="s">
        <v>1482</v>
      </c>
    </row>
    <row r="5" spans="1:7" s="30" customFormat="1" ht="58.5" x14ac:dyDescent="0.25">
      <c r="A5" s="27" t="s">
        <v>184</v>
      </c>
      <c r="B5" s="27" t="s">
        <v>185</v>
      </c>
      <c r="C5" s="27" t="s">
        <v>116</v>
      </c>
      <c r="D5" s="27" t="s">
        <v>96</v>
      </c>
      <c r="E5" s="27" t="s">
        <v>1483</v>
      </c>
      <c r="F5" s="27" t="s">
        <v>186</v>
      </c>
      <c r="G5" s="29"/>
    </row>
    <row r="6" spans="1:7" s="30" customFormat="1" ht="78" x14ac:dyDescent="0.25">
      <c r="A6" s="27" t="s">
        <v>187</v>
      </c>
      <c r="B6" s="27" t="s">
        <v>188</v>
      </c>
      <c r="C6" s="27" t="s">
        <v>122</v>
      </c>
      <c r="D6" s="27" t="s">
        <v>101</v>
      </c>
      <c r="E6" s="27" t="s">
        <v>189</v>
      </c>
      <c r="F6" s="27" t="s">
        <v>186</v>
      </c>
    </row>
    <row r="7" spans="1:7" ht="45" customHeight="1" x14ac:dyDescent="0.25">
      <c r="A7" s="28" t="s">
        <v>190</v>
      </c>
      <c r="B7" s="28" t="s">
        <v>191</v>
      </c>
      <c r="C7" s="28" t="s">
        <v>1496</v>
      </c>
      <c r="D7" s="28" t="s">
        <v>123</v>
      </c>
      <c r="E7" s="28" t="s">
        <v>192</v>
      </c>
      <c r="F7" s="28" t="s">
        <v>193</v>
      </c>
    </row>
    <row r="8" spans="1:7" ht="63" customHeight="1" x14ac:dyDescent="0.4">
      <c r="A8" s="28" t="s">
        <v>194</v>
      </c>
      <c r="B8" s="28" t="s">
        <v>195</v>
      </c>
      <c r="C8" s="28" t="s">
        <v>1504</v>
      </c>
      <c r="D8" s="28" t="s">
        <v>196</v>
      </c>
      <c r="E8" s="17" t="s">
        <v>197</v>
      </c>
      <c r="F8" s="16" t="s">
        <v>198</v>
      </c>
    </row>
  </sheetData>
  <pageMargins left="0" right="0" top="0.5" bottom="0.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51"/>
  <sheetViews>
    <sheetView showGridLines="0" tabSelected="1" topLeftCell="A23" zoomScale="90" zoomScaleNormal="90" workbookViewId="0">
      <selection activeCell="G42" sqref="G42"/>
    </sheetView>
  </sheetViews>
  <sheetFormatPr defaultRowHeight="15.75" x14ac:dyDescent="0.25"/>
  <cols>
    <col min="1" max="1" width="9.625" style="173" customWidth="1"/>
    <col min="2" max="2" width="12.375" style="173" customWidth="1"/>
    <col min="3" max="3" width="23.75" style="173" customWidth="1"/>
    <col min="4" max="5" width="25.25" style="173" customWidth="1"/>
    <col min="6" max="6" width="27.875" style="173" customWidth="1"/>
    <col min="7" max="7" width="16.375" style="173" customWidth="1"/>
    <col min="8" max="8" width="13.125" style="173" customWidth="1"/>
    <col min="9" max="9" width="13.375" style="173" customWidth="1"/>
    <col min="10" max="12" width="9.625" style="173" customWidth="1"/>
    <col min="13" max="13" width="14.25" style="173" customWidth="1"/>
    <col min="14" max="15" width="17" style="173" customWidth="1"/>
    <col min="16" max="17" width="9.625" style="173" customWidth="1"/>
    <col min="18" max="18" width="17.125" style="173" customWidth="1"/>
    <col min="19" max="19" width="19" style="173" customWidth="1"/>
    <col min="20" max="21" width="16.125" style="173" customWidth="1"/>
    <col min="22" max="22" width="21.625" style="173" customWidth="1"/>
    <col min="23" max="23" width="19.25" style="173" bestFit="1" customWidth="1"/>
    <col min="24" max="24" width="9.625" style="173" customWidth="1"/>
    <col min="25" max="25" width="30.125" style="173" bestFit="1" customWidth="1"/>
    <col min="26" max="26" width="10.75" style="173" bestFit="1" customWidth="1"/>
    <col min="27" max="41" width="9.25" style="173" customWidth="1"/>
    <col min="42" max="42" width="22.375" style="173" customWidth="1"/>
    <col min="43" max="43" width="19.25" style="173" bestFit="1" customWidth="1"/>
    <col min="44" max="44" width="9.25" style="173" customWidth="1"/>
    <col min="45" max="45" width="23" style="173" customWidth="1"/>
    <col min="46" max="46" width="9.25" style="173" customWidth="1"/>
    <col min="47" max="47" width="10.375" style="173" customWidth="1"/>
    <col min="48" max="16384" width="9" style="173"/>
  </cols>
  <sheetData>
    <row r="1" spans="2:24" x14ac:dyDescent="0.25">
      <c r="B1"/>
      <c r="C1"/>
    </row>
    <row r="2" spans="2:24" x14ac:dyDescent="0.25">
      <c r="B2" s="897" t="s">
        <v>24</v>
      </c>
      <c r="C2" s="173" t="s">
        <v>3206</v>
      </c>
      <c r="K2" s="897" t="s">
        <v>40</v>
      </c>
      <c r="L2" s="173" t="s">
        <v>40</v>
      </c>
      <c r="P2" s="897" t="s">
        <v>40</v>
      </c>
      <c r="Q2" s="173" t="s">
        <v>40</v>
      </c>
    </row>
    <row r="3" spans="2:24" s="174" customFormat="1" x14ac:dyDescent="0.25">
      <c r="B3" s="897" t="s">
        <v>40</v>
      </c>
      <c r="C3" s="173" t="s">
        <v>40</v>
      </c>
      <c r="D3" s="173"/>
      <c r="E3" s="173"/>
      <c r="F3" s="173"/>
      <c r="G3" s="173"/>
      <c r="H3" s="173"/>
      <c r="K3" s="897" t="s">
        <v>280</v>
      </c>
      <c r="L3" s="173" t="s">
        <v>2149</v>
      </c>
      <c r="M3" s="173"/>
      <c r="N3" s="173"/>
      <c r="O3" s="173"/>
      <c r="P3" s="897" t="s">
        <v>280</v>
      </c>
      <c r="Q3" s="173" t="s">
        <v>2149</v>
      </c>
      <c r="R3" s="173"/>
      <c r="S3" s="173"/>
      <c r="U3" s="173"/>
    </row>
    <row r="4" spans="2:24" x14ac:dyDescent="0.25">
      <c r="B4" s="897" t="s">
        <v>280</v>
      </c>
      <c r="C4" s="173" t="s">
        <v>2149</v>
      </c>
      <c r="K4" s="897" t="s">
        <v>26</v>
      </c>
      <c r="L4" s="173" t="s">
        <v>44</v>
      </c>
      <c r="P4" s="897" t="s">
        <v>26</v>
      </c>
      <c r="Q4" s="173" t="s">
        <v>866</v>
      </c>
    </row>
    <row r="5" spans="2:24" x14ac:dyDescent="0.25">
      <c r="B5"/>
      <c r="C5"/>
      <c r="D5"/>
      <c r="E5"/>
      <c r="F5"/>
      <c r="G5"/>
      <c r="H5"/>
      <c r="I5"/>
      <c r="K5"/>
      <c r="L5"/>
      <c r="M5"/>
      <c r="N5"/>
      <c r="O5"/>
      <c r="P5"/>
      <c r="Q5"/>
      <c r="R5"/>
      <c r="S5"/>
      <c r="U5"/>
    </row>
    <row r="6" spans="2:24" ht="94.5" x14ac:dyDescent="0.25">
      <c r="C6" s="174" t="s">
        <v>2172</v>
      </c>
      <c r="D6" s="906" t="s">
        <v>2166</v>
      </c>
      <c r="E6" s="906" t="s">
        <v>2167</v>
      </c>
      <c r="F6" s="907" t="s">
        <v>2168</v>
      </c>
      <c r="G6" s="909" t="s">
        <v>2537</v>
      </c>
      <c r="H6"/>
      <c r="I6"/>
      <c r="L6" s="174" t="s">
        <v>2172</v>
      </c>
      <c r="M6" s="908" t="s">
        <v>2536</v>
      </c>
      <c r="N6" s="909" t="s">
        <v>2559</v>
      </c>
      <c r="O6"/>
      <c r="Q6" s="174" t="s">
        <v>2172</v>
      </c>
      <c r="R6" s="908" t="s">
        <v>2536</v>
      </c>
      <c r="S6" s="909" t="s">
        <v>2559</v>
      </c>
      <c r="U6"/>
      <c r="V6"/>
      <c r="W6"/>
    </row>
    <row r="7" spans="2:24" x14ac:dyDescent="0.25">
      <c r="B7" s="898" t="s">
        <v>44</v>
      </c>
      <c r="C7" s="899">
        <v>93450</v>
      </c>
      <c r="D7" s="902">
        <v>88001.666666666672</v>
      </c>
      <c r="E7" s="902">
        <v>88001.666666666672</v>
      </c>
      <c r="F7" s="903">
        <v>74441</v>
      </c>
      <c r="G7" s="905">
        <v>52868</v>
      </c>
      <c r="H7"/>
      <c r="I7"/>
      <c r="K7" s="173" t="s">
        <v>1388</v>
      </c>
      <c r="L7" s="899">
        <v>87718</v>
      </c>
      <c r="M7" s="904">
        <v>8845</v>
      </c>
      <c r="N7" s="911">
        <v>19340</v>
      </c>
      <c r="O7"/>
      <c r="P7" s="173" t="s">
        <v>1388</v>
      </c>
      <c r="Q7" s="899">
        <v>9753</v>
      </c>
      <c r="R7" s="904">
        <v>140</v>
      </c>
      <c r="S7" s="911">
        <v>5550</v>
      </c>
      <c r="U7"/>
      <c r="V7"/>
      <c r="W7"/>
    </row>
    <row r="8" spans="2:24" x14ac:dyDescent="0.25">
      <c r="B8" s="898" t="s">
        <v>454</v>
      </c>
      <c r="C8" s="899">
        <v>122993</v>
      </c>
      <c r="D8" s="902">
        <v>109906.12454212454</v>
      </c>
      <c r="E8" s="902">
        <v>113237.12454212455</v>
      </c>
      <c r="F8" s="903">
        <v>87766</v>
      </c>
      <c r="G8" s="905">
        <v>85701</v>
      </c>
      <c r="H8"/>
      <c r="I8"/>
      <c r="K8" s="173" t="s">
        <v>2691</v>
      </c>
      <c r="L8" s="899">
        <v>93496</v>
      </c>
      <c r="M8" s="904">
        <v>11478</v>
      </c>
      <c r="N8" s="911">
        <v>33085</v>
      </c>
      <c r="O8"/>
      <c r="P8" s="173" t="s">
        <v>2691</v>
      </c>
      <c r="Q8" s="899">
        <v>10388</v>
      </c>
      <c r="R8" s="904">
        <v>294</v>
      </c>
      <c r="S8" s="911">
        <v>4030</v>
      </c>
      <c r="U8"/>
      <c r="V8"/>
      <c r="W8"/>
    </row>
    <row r="9" spans="2:24" x14ac:dyDescent="0.25">
      <c r="B9" s="898" t="s">
        <v>866</v>
      </c>
      <c r="C9" s="899">
        <v>10473</v>
      </c>
      <c r="D9" s="902">
        <v>9547</v>
      </c>
      <c r="E9" s="902">
        <v>9547</v>
      </c>
      <c r="F9" s="903">
        <v>8649</v>
      </c>
      <c r="G9" s="905">
        <v>8565</v>
      </c>
      <c r="H9"/>
      <c r="I9"/>
      <c r="K9" s="173" t="s">
        <v>3206</v>
      </c>
      <c r="L9" s="899">
        <v>93450</v>
      </c>
      <c r="M9" s="904">
        <v>14658</v>
      </c>
      <c r="N9" s="911">
        <v>32990</v>
      </c>
      <c r="O9"/>
      <c r="P9" s="173" t="s">
        <v>3206</v>
      </c>
      <c r="Q9" s="899">
        <v>10473</v>
      </c>
      <c r="R9" s="904">
        <v>508</v>
      </c>
      <c r="S9" s="911">
        <v>2870</v>
      </c>
      <c r="U9"/>
      <c r="V9"/>
      <c r="W9"/>
    </row>
    <row r="10" spans="2:24" x14ac:dyDescent="0.25">
      <c r="B10" s="898" t="s">
        <v>2150</v>
      </c>
      <c r="C10" s="899">
        <v>226916</v>
      </c>
      <c r="D10" s="902">
        <v>207454.7912087912</v>
      </c>
      <c r="E10" s="902">
        <v>210785.79120879123</v>
      </c>
      <c r="F10" s="903">
        <v>170856</v>
      </c>
      <c r="G10" s="905">
        <v>147134</v>
      </c>
      <c r="H10"/>
      <c r="I10"/>
      <c r="K10" s="173" t="s">
        <v>2150</v>
      </c>
      <c r="L10" s="899">
        <v>274664</v>
      </c>
      <c r="M10" s="904">
        <v>34981</v>
      </c>
      <c r="N10" s="911">
        <v>85415</v>
      </c>
      <c r="O10"/>
      <c r="P10" s="173" t="s">
        <v>2150</v>
      </c>
      <c r="Q10" s="899">
        <v>30614</v>
      </c>
      <c r="R10" s="904">
        <v>942</v>
      </c>
      <c r="S10" s="911">
        <v>12450</v>
      </c>
      <c r="T10"/>
      <c r="U10"/>
      <c r="V10"/>
      <c r="W10"/>
    </row>
    <row r="11" spans="2:24" x14ac:dyDescent="0.25">
      <c r="D11" s="766" t="e">
        <f>GETPIVOTDATA("Number of people with equitable and safe access to sufficient quantity of drinking water_1",$B$6)+GETPIVOTDATA("Number of people with equitable and safe access to sufficient quantity of domestic water_2",$B$6)+GETPIVOTDATA("Number of people with access to functional sanitation facilities_3",$B$6)+GETPIVOTDATA("Number of people with access to continuous sanitation services_4",$B$6)+GETPIVOTDATA("Number of people reached by regular dedicated hygiene promotion_5",$B$6)+GETPIVOTDATA("Number of People received regular supply of hygiene items_6",$B$6)</f>
        <v>#REF!</v>
      </c>
      <c r="K11"/>
      <c r="L11"/>
      <c r="M11"/>
      <c r="N11"/>
      <c r="O11"/>
      <c r="P11"/>
      <c r="Q11"/>
      <c r="R11"/>
      <c r="S11"/>
      <c r="T11"/>
      <c r="U11"/>
    </row>
    <row r="12" spans="2:24" x14ac:dyDescent="0.25">
      <c r="K12"/>
      <c r="L12"/>
      <c r="M12"/>
      <c r="N12"/>
      <c r="O12"/>
      <c r="Q12"/>
      <c r="R12"/>
      <c r="S12"/>
      <c r="T12"/>
      <c r="U12"/>
    </row>
    <row r="13" spans="2:24" x14ac:dyDescent="0.25">
      <c r="B13" s="916" t="s">
        <v>24</v>
      </c>
      <c r="C13" s="173" t="s">
        <v>3206</v>
      </c>
      <c r="K13" s="897" t="s">
        <v>40</v>
      </c>
      <c r="L13" s="173" t="s">
        <v>40</v>
      </c>
      <c r="O13"/>
      <c r="P13" s="897" t="s">
        <v>40</v>
      </c>
      <c r="Q13" s="173" t="s">
        <v>40</v>
      </c>
      <c r="T13"/>
      <c r="U13" s="897" t="s">
        <v>40</v>
      </c>
      <c r="V13" s="173" t="s">
        <v>40</v>
      </c>
    </row>
    <row r="14" spans="2:24" x14ac:dyDescent="0.25">
      <c r="B14" s="897" t="s">
        <v>40</v>
      </c>
      <c r="C14" s="173" t="s">
        <v>40</v>
      </c>
      <c r="K14" s="897" t="s">
        <v>280</v>
      </c>
      <c r="L14" s="173" t="s">
        <v>2149</v>
      </c>
      <c r="O14"/>
      <c r="P14" s="897" t="s">
        <v>280</v>
      </c>
      <c r="Q14" s="173" t="s">
        <v>2149</v>
      </c>
      <c r="T14"/>
      <c r="U14" s="897" t="s">
        <v>280</v>
      </c>
      <c r="V14" s="173" t="s">
        <v>969</v>
      </c>
    </row>
    <row r="15" spans="2:24" x14ac:dyDescent="0.25">
      <c r="B15" s="897" t="s">
        <v>280</v>
      </c>
      <c r="C15" s="173" t="s">
        <v>969</v>
      </c>
      <c r="I15" s="174"/>
      <c r="J15" s="174"/>
      <c r="K15" s="897" t="s">
        <v>26</v>
      </c>
      <c r="L15" s="173" t="s">
        <v>454</v>
      </c>
      <c r="O15"/>
      <c r="P15" s="897" t="s">
        <v>26</v>
      </c>
      <c r="Q15" s="173" t="s">
        <v>454</v>
      </c>
      <c r="T15"/>
      <c r="U15" s="897" t="s">
        <v>26</v>
      </c>
      <c r="V15" s="173" t="s">
        <v>454</v>
      </c>
    </row>
    <row r="16" spans="2:24" x14ac:dyDescent="0.25">
      <c r="K16"/>
      <c r="L16"/>
      <c r="M16" t="s">
        <v>2930</v>
      </c>
      <c r="N16"/>
      <c r="O16"/>
      <c r="P16"/>
      <c r="Q16"/>
      <c r="R16" t="s">
        <v>2931</v>
      </c>
      <c r="S16"/>
      <c r="T16"/>
      <c r="U16"/>
      <c r="V16"/>
      <c r="W16" t="s">
        <v>2932</v>
      </c>
      <c r="X16"/>
    </row>
    <row r="17" spans="2:24" ht="110.25" x14ac:dyDescent="0.25">
      <c r="B17" s="915" t="s">
        <v>2142</v>
      </c>
      <c r="C17" s="174" t="s">
        <v>2172</v>
      </c>
      <c r="D17" s="906" t="s">
        <v>2166</v>
      </c>
      <c r="E17" s="906" t="s">
        <v>2167</v>
      </c>
      <c r="F17" s="907" t="s">
        <v>2168</v>
      </c>
      <c r="G17" s="909" t="s">
        <v>2537</v>
      </c>
      <c r="H17"/>
      <c r="I17"/>
      <c r="L17" s="174" t="s">
        <v>2172</v>
      </c>
      <c r="M17" s="908" t="s">
        <v>2536</v>
      </c>
      <c r="N17" s="909" t="s">
        <v>2559</v>
      </c>
      <c r="O17"/>
      <c r="Q17" s="174" t="s">
        <v>2172</v>
      </c>
      <c r="R17" s="908" t="s">
        <v>2536</v>
      </c>
      <c r="S17" s="909" t="s">
        <v>2559</v>
      </c>
      <c r="V17" s="174" t="s">
        <v>2172</v>
      </c>
      <c r="W17" s="908" t="s">
        <v>2536</v>
      </c>
      <c r="X17" s="909" t="s">
        <v>2559</v>
      </c>
    </row>
    <row r="18" spans="2:24" x14ac:dyDescent="0.25">
      <c r="B18" s="898" t="s">
        <v>454</v>
      </c>
      <c r="C18" s="899">
        <v>72755</v>
      </c>
      <c r="D18" s="902">
        <v>30820</v>
      </c>
      <c r="E18" s="902">
        <v>38481</v>
      </c>
      <c r="F18" s="903">
        <v>17393</v>
      </c>
      <c r="G18" s="905">
        <v>41157</v>
      </c>
      <c r="H18"/>
      <c r="I18"/>
      <c r="K18" s="173" t="s">
        <v>1388</v>
      </c>
      <c r="L18" s="899">
        <v>182505</v>
      </c>
      <c r="M18" s="904">
        <v>15540</v>
      </c>
      <c r="N18" s="911">
        <v>99870</v>
      </c>
      <c r="P18" s="173" t="s">
        <v>1388</v>
      </c>
      <c r="Q18" s="899">
        <v>121491</v>
      </c>
      <c r="R18" s="904">
        <v>15540</v>
      </c>
      <c r="S18" s="911">
        <v>95695</v>
      </c>
      <c r="U18" s="173" t="s">
        <v>1388</v>
      </c>
      <c r="V18" s="899">
        <v>61014</v>
      </c>
      <c r="W18" s="904">
        <v>0</v>
      </c>
      <c r="X18" s="911">
        <v>4175</v>
      </c>
    </row>
    <row r="19" spans="2:24" x14ac:dyDescent="0.25">
      <c r="B19" s="898" t="s">
        <v>2150</v>
      </c>
      <c r="C19" s="899">
        <v>72755</v>
      </c>
      <c r="D19" s="902">
        <v>30820</v>
      </c>
      <c r="E19" s="902">
        <v>38481</v>
      </c>
      <c r="F19" s="903">
        <v>17393</v>
      </c>
      <c r="G19" s="905">
        <v>41157</v>
      </c>
      <c r="H19"/>
      <c r="I19"/>
      <c r="K19" s="173" t="s">
        <v>2691</v>
      </c>
      <c r="L19" s="899">
        <v>189777</v>
      </c>
      <c r="M19" s="904">
        <v>50932</v>
      </c>
      <c r="N19" s="911">
        <v>137085</v>
      </c>
      <c r="P19" s="173" t="s">
        <v>2691</v>
      </c>
      <c r="Q19" s="899">
        <v>122989</v>
      </c>
      <c r="R19" s="904">
        <v>50932</v>
      </c>
      <c r="S19" s="911">
        <v>119750</v>
      </c>
      <c r="U19" s="173" t="s">
        <v>2691</v>
      </c>
      <c r="V19" s="899">
        <v>66788</v>
      </c>
      <c r="W19" s="904">
        <v>0</v>
      </c>
      <c r="X19" s="911">
        <v>17335</v>
      </c>
    </row>
    <row r="20" spans="2:24" x14ac:dyDescent="0.25">
      <c r="K20" s="173" t="s">
        <v>3206</v>
      </c>
      <c r="L20" s="899">
        <v>195748</v>
      </c>
      <c r="M20" s="904">
        <v>55258</v>
      </c>
      <c r="N20" s="911">
        <v>137970</v>
      </c>
      <c r="P20" s="173" t="s">
        <v>3206</v>
      </c>
      <c r="Q20" s="899">
        <v>122993</v>
      </c>
      <c r="R20" s="904">
        <v>55258</v>
      </c>
      <c r="S20" s="911">
        <v>121645</v>
      </c>
      <c r="U20" s="173" t="s">
        <v>3206</v>
      </c>
      <c r="V20" s="899">
        <v>72755</v>
      </c>
      <c r="W20" s="904">
        <v>0</v>
      </c>
      <c r="X20" s="911">
        <v>16325</v>
      </c>
    </row>
    <row r="21" spans="2:24" x14ac:dyDescent="0.25">
      <c r="K21" s="173" t="s">
        <v>2150</v>
      </c>
      <c r="L21" s="899">
        <v>568030</v>
      </c>
      <c r="M21" s="904">
        <v>121730</v>
      </c>
      <c r="N21" s="911">
        <v>374925</v>
      </c>
      <c r="P21" s="173" t="s">
        <v>2150</v>
      </c>
      <c r="Q21" s="899">
        <v>367473</v>
      </c>
      <c r="R21" s="904">
        <v>121730</v>
      </c>
      <c r="S21" s="911">
        <v>337090</v>
      </c>
      <c r="U21" s="173" t="s">
        <v>2150</v>
      </c>
      <c r="V21" s="899">
        <v>200557</v>
      </c>
      <c r="W21" s="904">
        <v>0</v>
      </c>
      <c r="X21" s="911">
        <v>37835</v>
      </c>
    </row>
    <row r="23" spans="2:24" ht="16.5" thickBot="1" x14ac:dyDescent="0.3"/>
    <row r="24" spans="2:24" ht="32.25" thickBot="1" x14ac:dyDescent="0.3">
      <c r="J24" s="662" t="s">
        <v>2543</v>
      </c>
      <c r="K24" s="663"/>
      <c r="L24" s="963" t="s">
        <v>2544</v>
      </c>
      <c r="M24" s="963"/>
      <c r="N24" s="964"/>
    </row>
    <row r="25" spans="2:24" ht="60" customHeight="1" x14ac:dyDescent="0.25">
      <c r="C25" s="381" t="s">
        <v>2151</v>
      </c>
      <c r="D25" s="382" t="s">
        <v>2152</v>
      </c>
      <c r="E25" s="382" t="s">
        <v>2153</v>
      </c>
      <c r="F25" s="383" t="s">
        <v>2173</v>
      </c>
      <c r="G25" s="384" t="s">
        <v>2154</v>
      </c>
      <c r="H25" s="384" t="s">
        <v>2744</v>
      </c>
      <c r="I25" s="384" t="s">
        <v>2745</v>
      </c>
      <c r="J25" s="369" t="s">
        <v>2155</v>
      </c>
      <c r="K25" s="370" t="s">
        <v>2156</v>
      </c>
      <c r="L25" s="370" t="s">
        <v>2157</v>
      </c>
      <c r="M25" s="370" t="s">
        <v>2158</v>
      </c>
      <c r="N25" s="371" t="s">
        <v>2159</v>
      </c>
      <c r="O25" s="384" t="s">
        <v>2161</v>
      </c>
    </row>
    <row r="26" spans="2:24" ht="17.25" customHeight="1" x14ac:dyDescent="0.25">
      <c r="C26" s="959" t="s">
        <v>2162</v>
      </c>
      <c r="D26" s="363" t="s">
        <v>44</v>
      </c>
      <c r="E26" s="364">
        <v>124903</v>
      </c>
      <c r="F26" s="364">
        <v>116862</v>
      </c>
      <c r="G26" s="373">
        <f>GETPIVOTDATA("Number of people with equitable and safe access to sufficient quantity of drinking water_1",$B$5,"State","Kachin")</f>
        <v>88001.666666666672</v>
      </c>
      <c r="H26" s="664">
        <f>G26/F26</f>
        <v>0.75303919722978108</v>
      </c>
      <c r="I26" s="664">
        <f>1-H26</f>
        <v>0.24696080277021892</v>
      </c>
      <c r="J26" s="372">
        <f t="shared" ref="J26:J43" si="0">G26*0.45</f>
        <v>39600.75</v>
      </c>
      <c r="K26" s="364">
        <f t="shared" ref="K26:K43" si="1">G26*0.55</f>
        <v>48400.916666666672</v>
      </c>
      <c r="L26" s="364">
        <f t="shared" ref="L26:L43" si="2">G26*0.35</f>
        <v>30800.583333333332</v>
      </c>
      <c r="M26" s="364">
        <f t="shared" ref="M26:M43" si="3">G26*0.4</f>
        <v>35200.666666666672</v>
      </c>
      <c r="N26" s="373">
        <f t="shared" ref="N26:N43" si="4">G26*0.25</f>
        <v>22000.416666666668</v>
      </c>
      <c r="O26" s="373">
        <f t="shared" ref="O26:O43" si="5">F26-G26</f>
        <v>28860.333333333328</v>
      </c>
    </row>
    <row r="27" spans="2:24" ht="17.25" customHeight="1" x14ac:dyDescent="0.25">
      <c r="C27" s="959"/>
      <c r="D27" s="363" t="s">
        <v>454</v>
      </c>
      <c r="E27" s="364">
        <v>689126</v>
      </c>
      <c r="F27" s="364">
        <v>379137</v>
      </c>
      <c r="G27" s="373">
        <f>GETPIVOTDATA("Number of people with equitable and safe access to sufficient quantity of drinking water_1",$B$5,"State","Rakhine")+GETPIVOTDATA("Number of people with equitable and safe access to sufficient quantity of drinking water_1",$B$17,"State","Rakhine")</f>
        <v>140726.12454212454</v>
      </c>
      <c r="H27" s="664">
        <f t="shared" ref="H27:H43" si="6">G27/F27</f>
        <v>0.37117486434224184</v>
      </c>
      <c r="I27" s="664">
        <f t="shared" ref="I27:I43" si="7">1-H27</f>
        <v>0.62882513565775811</v>
      </c>
      <c r="J27" s="372">
        <f t="shared" si="0"/>
        <v>63326.756043956048</v>
      </c>
      <c r="K27" s="364">
        <f t="shared" si="1"/>
        <v>77399.368498168507</v>
      </c>
      <c r="L27" s="364">
        <f t="shared" si="2"/>
        <v>49254.143589743588</v>
      </c>
      <c r="M27" s="364">
        <f t="shared" si="3"/>
        <v>56290.449816849818</v>
      </c>
      <c r="N27" s="373">
        <f t="shared" si="4"/>
        <v>35181.531135531135</v>
      </c>
      <c r="O27" s="373">
        <f t="shared" si="5"/>
        <v>238410.87545787546</v>
      </c>
    </row>
    <row r="28" spans="2:24" ht="17.25" customHeight="1" x14ac:dyDescent="0.25">
      <c r="C28" s="959"/>
      <c r="D28" s="363" t="s">
        <v>866</v>
      </c>
      <c r="E28" s="364">
        <v>27308</v>
      </c>
      <c r="F28" s="364">
        <v>20479</v>
      </c>
      <c r="G28" s="373">
        <f>GETPIVOTDATA("Number of people with equitable and safe access to sufficient quantity of drinking water_1",$B$5,"State","Shan (North)")</f>
        <v>9547</v>
      </c>
      <c r="H28" s="664">
        <f t="shared" si="6"/>
        <v>0.4661848723082182</v>
      </c>
      <c r="I28" s="664">
        <f t="shared" si="7"/>
        <v>0.53381512769178174</v>
      </c>
      <c r="J28" s="372">
        <f t="shared" si="0"/>
        <v>4296.1500000000005</v>
      </c>
      <c r="K28" s="364">
        <f t="shared" si="1"/>
        <v>5250.85</v>
      </c>
      <c r="L28" s="364">
        <f t="shared" si="2"/>
        <v>3341.45</v>
      </c>
      <c r="M28" s="364">
        <f t="shared" si="3"/>
        <v>3818.8</v>
      </c>
      <c r="N28" s="373">
        <f t="shared" si="4"/>
        <v>2386.75</v>
      </c>
      <c r="O28" s="373">
        <f t="shared" si="5"/>
        <v>10932</v>
      </c>
    </row>
    <row r="29" spans="2:24" x14ac:dyDescent="0.25">
      <c r="C29" s="960" t="s">
        <v>2163</v>
      </c>
      <c r="D29" s="363" t="s">
        <v>44</v>
      </c>
      <c r="E29" s="364">
        <v>124903</v>
      </c>
      <c r="F29" s="364">
        <v>116862</v>
      </c>
      <c r="G29" s="703">
        <f>GETPIVOTDATA("Number of people with equitable and safe access to sufficient quantity of domestic water_2",$B$5,"State","Kachin")</f>
        <v>88001.666666666672</v>
      </c>
      <c r="H29" s="664">
        <f t="shared" si="6"/>
        <v>0.75303919722978108</v>
      </c>
      <c r="I29" s="664">
        <f t="shared" si="7"/>
        <v>0.24696080277021892</v>
      </c>
      <c r="J29" s="372">
        <f t="shared" si="0"/>
        <v>39600.75</v>
      </c>
      <c r="K29" s="364">
        <f t="shared" si="1"/>
        <v>48400.916666666672</v>
      </c>
      <c r="L29" s="364">
        <f t="shared" si="2"/>
        <v>30800.583333333332</v>
      </c>
      <c r="M29" s="364">
        <f t="shared" si="3"/>
        <v>35200.666666666672</v>
      </c>
      <c r="N29" s="373">
        <f t="shared" si="4"/>
        <v>22000.416666666668</v>
      </c>
      <c r="O29" s="373">
        <f t="shared" si="5"/>
        <v>28860.333333333328</v>
      </c>
    </row>
    <row r="30" spans="2:24" x14ac:dyDescent="0.25">
      <c r="C30" s="960"/>
      <c r="D30" s="363" t="s">
        <v>454</v>
      </c>
      <c r="E30" s="364">
        <v>689126</v>
      </c>
      <c r="F30" s="364">
        <v>379137</v>
      </c>
      <c r="G30" s="703">
        <f>GETPIVOTDATA("Number of people with equitable and safe access to sufficient quantity of domestic water_2",$B$5,"State","Rakhine")+GETPIVOTDATA("Number of people with equitable and safe access to sufficient quantity of domestic water_2",$B$17,"State","Rakhine")</f>
        <v>151718.12454212457</v>
      </c>
      <c r="H30" s="664">
        <f t="shared" si="6"/>
        <v>0.40016702284958883</v>
      </c>
      <c r="I30" s="664">
        <f t="shared" si="7"/>
        <v>0.59983297715041117</v>
      </c>
      <c r="J30" s="372">
        <f t="shared" si="0"/>
        <v>68273.156043956056</v>
      </c>
      <c r="K30" s="364">
        <f t="shared" si="1"/>
        <v>83444.968498168513</v>
      </c>
      <c r="L30" s="364">
        <f t="shared" si="2"/>
        <v>53101.343589743599</v>
      </c>
      <c r="M30" s="364">
        <f t="shared" si="3"/>
        <v>60687.249816849828</v>
      </c>
      <c r="N30" s="373">
        <f t="shared" si="4"/>
        <v>37929.531135531142</v>
      </c>
      <c r="O30" s="373">
        <f t="shared" si="5"/>
        <v>227418.87545787543</v>
      </c>
    </row>
    <row r="31" spans="2:24" x14ac:dyDescent="0.25">
      <c r="C31" s="960"/>
      <c r="D31" s="363" t="s">
        <v>866</v>
      </c>
      <c r="E31" s="364">
        <v>27308</v>
      </c>
      <c r="F31" s="364">
        <v>20479</v>
      </c>
      <c r="G31" s="703">
        <f>GETPIVOTDATA("Number of people with equitable and safe access to sufficient quantity of domestic water_2",$B$5,"State","Shan (North)")</f>
        <v>9547</v>
      </c>
      <c r="H31" s="664">
        <f t="shared" si="6"/>
        <v>0.4661848723082182</v>
      </c>
      <c r="I31" s="664">
        <f t="shared" si="7"/>
        <v>0.53381512769178174</v>
      </c>
      <c r="J31" s="372">
        <f t="shared" si="0"/>
        <v>4296.1500000000005</v>
      </c>
      <c r="K31" s="364">
        <f t="shared" si="1"/>
        <v>5250.85</v>
      </c>
      <c r="L31" s="364">
        <f t="shared" si="2"/>
        <v>3341.45</v>
      </c>
      <c r="M31" s="364">
        <f t="shared" si="3"/>
        <v>3818.8</v>
      </c>
      <c r="N31" s="373">
        <f t="shared" si="4"/>
        <v>2386.75</v>
      </c>
      <c r="O31" s="373">
        <f t="shared" si="5"/>
        <v>10932</v>
      </c>
    </row>
    <row r="32" spans="2:24" x14ac:dyDescent="0.25">
      <c r="C32" s="961" t="s">
        <v>185</v>
      </c>
      <c r="D32" s="365" t="s">
        <v>44</v>
      </c>
      <c r="E32" s="366">
        <v>124903</v>
      </c>
      <c r="F32" s="366">
        <v>116862</v>
      </c>
      <c r="G32" s="704">
        <f>GETPIVOTDATA("Number of people with access to functional sanitation facilities_3",$B$5,"State","Kachin")</f>
        <v>74441</v>
      </c>
      <c r="H32" s="665">
        <f t="shared" si="6"/>
        <v>0.63699919563245533</v>
      </c>
      <c r="I32" s="665">
        <f t="shared" si="7"/>
        <v>0.36300080436754467</v>
      </c>
      <c r="J32" s="374">
        <f t="shared" si="0"/>
        <v>33498.450000000004</v>
      </c>
      <c r="K32" s="366">
        <f t="shared" si="1"/>
        <v>40942.550000000003</v>
      </c>
      <c r="L32" s="366">
        <f t="shared" si="2"/>
        <v>26054.35</v>
      </c>
      <c r="M32" s="366">
        <f t="shared" si="3"/>
        <v>29776.400000000001</v>
      </c>
      <c r="N32" s="375">
        <f t="shared" si="4"/>
        <v>18610.25</v>
      </c>
      <c r="O32" s="375">
        <f t="shared" si="5"/>
        <v>42421</v>
      </c>
    </row>
    <row r="33" spans="3:18" x14ac:dyDescent="0.25">
      <c r="C33" s="961"/>
      <c r="D33" s="365" t="s">
        <v>454</v>
      </c>
      <c r="E33" s="366">
        <v>689126</v>
      </c>
      <c r="F33" s="366">
        <v>379137</v>
      </c>
      <c r="G33" s="704">
        <f>GETPIVOTDATA("Number of people with access to functional sanitation facilities_3",$B$5,"State","Rakhine")+GETPIVOTDATA("Number of people with access to functional sanitation facilities_3",$B$17,"State","Rakhine")</f>
        <v>105159</v>
      </c>
      <c r="H33" s="665">
        <f t="shared" si="6"/>
        <v>0.27736411903876435</v>
      </c>
      <c r="I33" s="665">
        <f t="shared" si="7"/>
        <v>0.72263588096123565</v>
      </c>
      <c r="J33" s="374">
        <f t="shared" si="0"/>
        <v>47321.55</v>
      </c>
      <c r="K33" s="366">
        <f t="shared" si="1"/>
        <v>57837.450000000004</v>
      </c>
      <c r="L33" s="366">
        <f t="shared" si="2"/>
        <v>36805.649999999994</v>
      </c>
      <c r="M33" s="366">
        <f t="shared" si="3"/>
        <v>42063.600000000006</v>
      </c>
      <c r="N33" s="375">
        <f t="shared" si="4"/>
        <v>26289.75</v>
      </c>
      <c r="O33" s="375">
        <f t="shared" si="5"/>
        <v>273978</v>
      </c>
    </row>
    <row r="34" spans="3:18" x14ac:dyDescent="0.25">
      <c r="C34" s="961"/>
      <c r="D34" s="365" t="s">
        <v>866</v>
      </c>
      <c r="E34" s="366">
        <v>27308</v>
      </c>
      <c r="F34" s="366">
        <v>20479</v>
      </c>
      <c r="G34" s="704">
        <f>GETPIVOTDATA("Number of people with access to functional sanitation facilities_3",$B$5,"State","Shan (North)")</f>
        <v>8649</v>
      </c>
      <c r="H34" s="665">
        <f t="shared" si="6"/>
        <v>0.4223350749548318</v>
      </c>
      <c r="I34" s="665">
        <f t="shared" si="7"/>
        <v>0.5776649250451682</v>
      </c>
      <c r="J34" s="374">
        <f t="shared" si="0"/>
        <v>3892.05</v>
      </c>
      <c r="K34" s="366">
        <f t="shared" si="1"/>
        <v>4756.9500000000007</v>
      </c>
      <c r="L34" s="366">
        <f t="shared" si="2"/>
        <v>3027.1499999999996</v>
      </c>
      <c r="M34" s="366">
        <f t="shared" si="3"/>
        <v>3459.6000000000004</v>
      </c>
      <c r="N34" s="375">
        <f t="shared" si="4"/>
        <v>2162.25</v>
      </c>
      <c r="O34" s="375">
        <f t="shared" si="5"/>
        <v>11830</v>
      </c>
    </row>
    <row r="35" spans="3:18" x14ac:dyDescent="0.25">
      <c r="C35" s="961" t="s">
        <v>2165</v>
      </c>
      <c r="D35" s="365" t="s">
        <v>44</v>
      </c>
      <c r="E35" s="366">
        <v>124903</v>
      </c>
      <c r="F35" s="366">
        <f>116862</f>
        <v>116862</v>
      </c>
      <c r="G35" s="375">
        <f>GETPIVOTDATA("Number of people with access to continuous sanitation services_4",$K$6)</f>
        <v>34981</v>
      </c>
      <c r="H35" s="665">
        <f t="shared" si="6"/>
        <v>0.29933596892060721</v>
      </c>
      <c r="I35" s="665">
        <f t="shared" si="7"/>
        <v>0.70066403107939279</v>
      </c>
      <c r="J35" s="374">
        <f t="shared" si="0"/>
        <v>15741.45</v>
      </c>
      <c r="K35" s="366">
        <f t="shared" si="1"/>
        <v>19239.550000000003</v>
      </c>
      <c r="L35" s="366">
        <f t="shared" si="2"/>
        <v>12243.349999999999</v>
      </c>
      <c r="M35" s="366">
        <f t="shared" si="3"/>
        <v>13992.400000000001</v>
      </c>
      <c r="N35" s="375">
        <f t="shared" si="4"/>
        <v>8745.25</v>
      </c>
      <c r="O35" s="375">
        <f t="shared" si="5"/>
        <v>81881</v>
      </c>
    </row>
    <row r="36" spans="3:18" x14ac:dyDescent="0.25">
      <c r="C36" s="961"/>
      <c r="D36" s="365" t="s">
        <v>454</v>
      </c>
      <c r="E36" s="366">
        <v>689126</v>
      </c>
      <c r="F36" s="366">
        <f>379137</f>
        <v>379137</v>
      </c>
      <c r="G36" s="375">
        <f>GETPIVOTDATA("Number of people with access to continuous sanitation services_4",$K$17)</f>
        <v>121730</v>
      </c>
      <c r="H36" s="665">
        <f t="shared" si="6"/>
        <v>0.32107127502723293</v>
      </c>
      <c r="I36" s="665">
        <f t="shared" si="7"/>
        <v>0.67892872497276713</v>
      </c>
      <c r="J36" s="374">
        <f t="shared" si="0"/>
        <v>54778.5</v>
      </c>
      <c r="K36" s="366">
        <f t="shared" si="1"/>
        <v>66951.5</v>
      </c>
      <c r="L36" s="366">
        <f t="shared" si="2"/>
        <v>42605.5</v>
      </c>
      <c r="M36" s="366">
        <f t="shared" si="3"/>
        <v>48692</v>
      </c>
      <c r="N36" s="375">
        <f t="shared" si="4"/>
        <v>30432.5</v>
      </c>
      <c r="O36" s="375">
        <f t="shared" si="5"/>
        <v>257407</v>
      </c>
    </row>
    <row r="37" spans="3:18" x14ac:dyDescent="0.25">
      <c r="C37" s="961"/>
      <c r="D37" s="365" t="s">
        <v>866</v>
      </c>
      <c r="E37" s="366">
        <v>27308</v>
      </c>
      <c r="F37" s="366">
        <f>20479</f>
        <v>20479</v>
      </c>
      <c r="G37" s="375">
        <f>GETPIVOTDATA("Number of people with access to continuous sanitation services_4",$P$6)</f>
        <v>942</v>
      </c>
      <c r="H37" s="665">
        <f t="shared" si="6"/>
        <v>4.5998339762683728E-2</v>
      </c>
      <c r="I37" s="665">
        <f t="shared" si="7"/>
        <v>0.95400166023731625</v>
      </c>
      <c r="J37" s="374">
        <f t="shared" si="0"/>
        <v>423.90000000000003</v>
      </c>
      <c r="K37" s="366">
        <f t="shared" si="1"/>
        <v>518.1</v>
      </c>
      <c r="L37" s="366">
        <f t="shared" si="2"/>
        <v>329.7</v>
      </c>
      <c r="M37" s="366">
        <f t="shared" si="3"/>
        <v>376.8</v>
      </c>
      <c r="N37" s="375">
        <f t="shared" si="4"/>
        <v>235.5</v>
      </c>
      <c r="O37" s="375">
        <f t="shared" si="5"/>
        <v>19537</v>
      </c>
    </row>
    <row r="38" spans="3:18" x14ac:dyDescent="0.25">
      <c r="C38" s="975" t="s">
        <v>191</v>
      </c>
      <c r="D38" s="367" t="s">
        <v>44</v>
      </c>
      <c r="E38" s="368">
        <v>124903</v>
      </c>
      <c r="F38" s="368">
        <v>116862</v>
      </c>
      <c r="G38" s="702">
        <f>GETPIVOTDATA("Number of people reached by regular dedicated hygiene promotion_5",$B$6,"State","Kachin")</f>
        <v>52868</v>
      </c>
      <c r="H38" s="666">
        <f t="shared" si="6"/>
        <v>0.4523968441409526</v>
      </c>
      <c r="I38" s="666">
        <f t="shared" si="7"/>
        <v>0.5476031558590474</v>
      </c>
      <c r="J38" s="376">
        <f t="shared" si="0"/>
        <v>23790.600000000002</v>
      </c>
      <c r="K38" s="368">
        <f t="shared" si="1"/>
        <v>29077.4</v>
      </c>
      <c r="L38" s="368">
        <f t="shared" si="2"/>
        <v>18503.8</v>
      </c>
      <c r="M38" s="368">
        <f t="shared" si="3"/>
        <v>21147.200000000001</v>
      </c>
      <c r="N38" s="377">
        <f t="shared" si="4"/>
        <v>13217</v>
      </c>
      <c r="O38" s="377">
        <f t="shared" si="5"/>
        <v>63994</v>
      </c>
    </row>
    <row r="39" spans="3:18" x14ac:dyDescent="0.25">
      <c r="C39" s="975"/>
      <c r="D39" s="367" t="s">
        <v>454</v>
      </c>
      <c r="E39" s="368">
        <v>689126</v>
      </c>
      <c r="F39" s="368">
        <v>379137</v>
      </c>
      <c r="G39" s="702">
        <f>GETPIVOTDATA("Number of people reached by regular dedicated hygiene promotion_5",$B$6,"State","Rakhine")+GETPIVOTDATA("Number of people reached by regular dedicated hygiene promotion_5",$B$17,"State","Rakhine")</f>
        <v>126858</v>
      </c>
      <c r="H39" s="666">
        <f t="shared" si="6"/>
        <v>0.33459672888691949</v>
      </c>
      <c r="I39" s="666">
        <f t="shared" si="7"/>
        <v>0.66540327111308051</v>
      </c>
      <c r="J39" s="376">
        <f t="shared" si="0"/>
        <v>57086.1</v>
      </c>
      <c r="K39" s="368">
        <f t="shared" si="1"/>
        <v>69771.900000000009</v>
      </c>
      <c r="L39" s="368">
        <f t="shared" si="2"/>
        <v>44400.299999999996</v>
      </c>
      <c r="M39" s="368">
        <f t="shared" si="3"/>
        <v>50743.200000000004</v>
      </c>
      <c r="N39" s="377">
        <f t="shared" si="4"/>
        <v>31714.5</v>
      </c>
      <c r="O39" s="377">
        <f t="shared" si="5"/>
        <v>252279</v>
      </c>
    </row>
    <row r="40" spans="3:18" x14ac:dyDescent="0.25">
      <c r="C40" s="975"/>
      <c r="D40" s="367" t="s">
        <v>866</v>
      </c>
      <c r="E40" s="368">
        <v>27308</v>
      </c>
      <c r="F40" s="368">
        <v>20479</v>
      </c>
      <c r="G40" s="702">
        <f>GETPIVOTDATA("Number of people reached by regular dedicated hygiene promotion_5",$B$6,"State","Shan (North)")</f>
        <v>8565</v>
      </c>
      <c r="H40" s="666">
        <f t="shared" si="6"/>
        <v>0.41823331217344595</v>
      </c>
      <c r="I40" s="666">
        <f t="shared" si="7"/>
        <v>0.58176668782655405</v>
      </c>
      <c r="J40" s="376">
        <f t="shared" si="0"/>
        <v>3854.25</v>
      </c>
      <c r="K40" s="368">
        <f t="shared" si="1"/>
        <v>4710.75</v>
      </c>
      <c r="L40" s="368">
        <f t="shared" si="2"/>
        <v>2997.75</v>
      </c>
      <c r="M40" s="368">
        <f t="shared" si="3"/>
        <v>3426</v>
      </c>
      <c r="N40" s="377">
        <f t="shared" si="4"/>
        <v>2141.25</v>
      </c>
      <c r="O40" s="377">
        <f t="shared" si="5"/>
        <v>11914</v>
      </c>
    </row>
    <row r="41" spans="3:18" x14ac:dyDescent="0.25">
      <c r="C41" s="975" t="s">
        <v>2164</v>
      </c>
      <c r="D41" s="367" t="s">
        <v>44</v>
      </c>
      <c r="E41" s="368">
        <v>124903</v>
      </c>
      <c r="F41" s="368">
        <f>116862</f>
        <v>116862</v>
      </c>
      <c r="G41" s="377">
        <f>GETPIVOTDATA("Number of People received regular supply of hygiene items_6",$K$6,"Reporting Period","2018_Q2")</f>
        <v>33085</v>
      </c>
      <c r="H41" s="666">
        <f t="shared" si="6"/>
        <v>0.28311170440348443</v>
      </c>
      <c r="I41" s="666">
        <f t="shared" si="7"/>
        <v>0.71688829559651557</v>
      </c>
      <c r="J41" s="376">
        <f t="shared" si="0"/>
        <v>14888.25</v>
      </c>
      <c r="K41" s="368">
        <f t="shared" si="1"/>
        <v>18196.75</v>
      </c>
      <c r="L41" s="368">
        <f t="shared" si="2"/>
        <v>11579.75</v>
      </c>
      <c r="M41" s="368">
        <f t="shared" si="3"/>
        <v>13234</v>
      </c>
      <c r="N41" s="377">
        <f t="shared" si="4"/>
        <v>8271.25</v>
      </c>
      <c r="O41" s="377">
        <f t="shared" si="5"/>
        <v>83777</v>
      </c>
    </row>
    <row r="42" spans="3:18" x14ac:dyDescent="0.25">
      <c r="C42" s="975"/>
      <c r="D42" s="367" t="s">
        <v>454</v>
      </c>
      <c r="E42" s="368">
        <v>689126</v>
      </c>
      <c r="F42" s="368">
        <f>379137*89%</f>
        <v>337431.93</v>
      </c>
      <c r="G42" s="702">
        <f>GETPIVOTDATA("Number of People received regular supply of hygiene items_6",$K$17,"Reporting Period","2018_Q2")</f>
        <v>137085</v>
      </c>
      <c r="H42" s="666">
        <f t="shared" si="6"/>
        <v>0.4062597158484676</v>
      </c>
      <c r="I42" s="666">
        <f t="shared" si="7"/>
        <v>0.59374028415153246</v>
      </c>
      <c r="J42" s="376">
        <f t="shared" si="0"/>
        <v>61688.25</v>
      </c>
      <c r="K42" s="368">
        <f t="shared" si="1"/>
        <v>75396.75</v>
      </c>
      <c r="L42" s="368">
        <f t="shared" si="2"/>
        <v>47979.75</v>
      </c>
      <c r="M42" s="368">
        <f t="shared" si="3"/>
        <v>54834</v>
      </c>
      <c r="N42" s="377">
        <f t="shared" si="4"/>
        <v>34271.25</v>
      </c>
      <c r="O42" s="377">
        <f t="shared" si="5"/>
        <v>200346.93</v>
      </c>
    </row>
    <row r="43" spans="3:18" ht="16.5" thickBot="1" x14ac:dyDescent="0.3">
      <c r="C43" s="976"/>
      <c r="D43" s="385" t="s">
        <v>866</v>
      </c>
      <c r="E43" s="379">
        <v>27308</v>
      </c>
      <c r="F43" s="379">
        <v>20479</v>
      </c>
      <c r="G43" s="380">
        <f>GETPIVOTDATA("Number of People received regular supply of hygiene items_6",$P$6,"Reporting Period","2018_Q1")</f>
        <v>5550</v>
      </c>
      <c r="H43" s="667">
        <f t="shared" si="6"/>
        <v>0.27100932662727673</v>
      </c>
      <c r="I43" s="667">
        <f t="shared" si="7"/>
        <v>0.72899067337272327</v>
      </c>
      <c r="J43" s="378">
        <f t="shared" si="0"/>
        <v>2497.5</v>
      </c>
      <c r="K43" s="379">
        <f t="shared" si="1"/>
        <v>3052.5000000000005</v>
      </c>
      <c r="L43" s="379">
        <f t="shared" si="2"/>
        <v>1942.4999999999998</v>
      </c>
      <c r="M43" s="379">
        <f t="shared" si="3"/>
        <v>2220</v>
      </c>
      <c r="N43" s="380">
        <f t="shared" si="4"/>
        <v>1387.5</v>
      </c>
      <c r="O43" s="380">
        <f t="shared" si="5"/>
        <v>14929</v>
      </c>
    </row>
    <row r="44" spans="3:18" x14ac:dyDescent="0.25">
      <c r="G44" s="178">
        <f>SUM(G26:G43)</f>
        <v>1197454.5824175824</v>
      </c>
    </row>
    <row r="46" spans="3:18" x14ac:dyDescent="0.25">
      <c r="C46" s="360" t="s">
        <v>50</v>
      </c>
      <c r="D46" s="361"/>
      <c r="E46" s="361"/>
      <c r="F46" s="361"/>
      <c r="G46" s="361"/>
      <c r="H46" s="361"/>
      <c r="I46" s="361"/>
      <c r="J46" s="361"/>
      <c r="K46" s="361"/>
      <c r="L46" s="361"/>
      <c r="M46" s="361"/>
      <c r="N46" s="361"/>
      <c r="O46" s="361"/>
      <c r="P46" s="361"/>
      <c r="Q46" s="361"/>
      <c r="R46" s="362"/>
    </row>
    <row r="47" spans="3:18" s="683" customFormat="1" x14ac:dyDescent="0.25"/>
    <row r="48" spans="3:18" x14ac:dyDescent="0.25">
      <c r="C48" s="967" t="s">
        <v>2162</v>
      </c>
      <c r="D48" s="968"/>
      <c r="E48" s="968"/>
    </row>
    <row r="49" spans="2:6" x14ac:dyDescent="0.25">
      <c r="C49" s="356" t="s">
        <v>2170</v>
      </c>
      <c r="D49" s="668" t="s">
        <v>2160</v>
      </c>
      <c r="E49" s="670" t="s">
        <v>2161</v>
      </c>
    </row>
    <row r="50" spans="2:6" ht="15.75" customHeight="1" x14ac:dyDescent="0.25">
      <c r="B50" s="359" t="s">
        <v>44</v>
      </c>
      <c r="C50" s="175">
        <v>116862</v>
      </c>
      <c r="D50" s="669">
        <f>G26</f>
        <v>88001.666666666672</v>
      </c>
      <c r="E50" s="670">
        <f>C50-D50</f>
        <v>28860.333333333328</v>
      </c>
      <c r="F50" s="192"/>
    </row>
    <row r="51" spans="2:6" ht="15.75" customHeight="1" x14ac:dyDescent="0.25">
      <c r="B51" s="359" t="s">
        <v>454</v>
      </c>
      <c r="C51" s="175">
        <f>379137</f>
        <v>379137</v>
      </c>
      <c r="D51" s="669">
        <f>G27</f>
        <v>140726.12454212454</v>
      </c>
      <c r="E51" s="670">
        <f t="shared" ref="E51:E82" si="8">C51-D51</f>
        <v>238410.87545787546</v>
      </c>
      <c r="F51" s="192"/>
    </row>
    <row r="52" spans="2:6" ht="15.75" customHeight="1" x14ac:dyDescent="0.25">
      <c r="B52" s="359" t="s">
        <v>866</v>
      </c>
      <c r="C52" s="175">
        <v>20479</v>
      </c>
      <c r="D52" s="669">
        <f>G28</f>
        <v>9547</v>
      </c>
      <c r="E52" s="670">
        <f t="shared" si="8"/>
        <v>10932</v>
      </c>
      <c r="F52" s="192"/>
    </row>
    <row r="53" spans="2:6" ht="15.75" customHeight="1" x14ac:dyDescent="0.25">
      <c r="E53" s="178"/>
      <c r="F53" s="192"/>
    </row>
    <row r="54" spans="2:6" ht="27.75" customHeight="1" x14ac:dyDescent="0.25">
      <c r="C54" s="969" t="s">
        <v>2163</v>
      </c>
      <c r="D54" s="970"/>
      <c r="E54" s="970"/>
      <c r="F54" s="192"/>
    </row>
    <row r="55" spans="2:6" x14ac:dyDescent="0.25">
      <c r="C55" s="356" t="s">
        <v>2170</v>
      </c>
      <c r="D55" s="668" t="s">
        <v>2160</v>
      </c>
      <c r="E55" s="670" t="s">
        <v>2161</v>
      </c>
      <c r="F55" s="192"/>
    </row>
    <row r="56" spans="2:6" x14ac:dyDescent="0.25">
      <c r="B56" s="359" t="s">
        <v>44</v>
      </c>
      <c r="C56" s="175">
        <v>116862</v>
      </c>
      <c r="D56" s="669">
        <f>G29</f>
        <v>88001.666666666672</v>
      </c>
      <c r="E56" s="670">
        <f t="shared" si="8"/>
        <v>28860.333333333328</v>
      </c>
      <c r="F56" s="192"/>
    </row>
    <row r="57" spans="2:6" ht="15.75" customHeight="1" x14ac:dyDescent="0.25">
      <c r="B57" s="359" t="s">
        <v>454</v>
      </c>
      <c r="C57" s="175">
        <f>379137</f>
        <v>379137</v>
      </c>
      <c r="D57" s="669">
        <f>G30</f>
        <v>151718.12454212457</v>
      </c>
      <c r="E57" s="670">
        <f t="shared" si="8"/>
        <v>227418.87545787543</v>
      </c>
      <c r="F57" s="192"/>
    </row>
    <row r="58" spans="2:6" x14ac:dyDescent="0.25">
      <c r="B58" s="359" t="s">
        <v>866</v>
      </c>
      <c r="C58" s="175">
        <v>20479</v>
      </c>
      <c r="D58" s="669">
        <f>G31</f>
        <v>9547</v>
      </c>
      <c r="E58" s="670">
        <f t="shared" si="8"/>
        <v>10932</v>
      </c>
      <c r="F58" s="192"/>
    </row>
    <row r="59" spans="2:6" ht="15.75" customHeight="1" x14ac:dyDescent="0.25">
      <c r="E59" s="178"/>
      <c r="F59" s="192"/>
    </row>
    <row r="60" spans="2:6" ht="15.75" customHeight="1" x14ac:dyDescent="0.25">
      <c r="C60" s="971" t="s">
        <v>185</v>
      </c>
      <c r="D60" s="972"/>
      <c r="E60" s="972"/>
      <c r="F60" s="192"/>
    </row>
    <row r="61" spans="2:6" x14ac:dyDescent="0.25">
      <c r="C61" s="357" t="s">
        <v>2170</v>
      </c>
      <c r="D61" s="672" t="s">
        <v>2160</v>
      </c>
      <c r="E61" s="357" t="s">
        <v>2161</v>
      </c>
      <c r="F61" s="192"/>
    </row>
    <row r="62" spans="2:6" ht="15.75" customHeight="1" x14ac:dyDescent="0.25">
      <c r="B62" s="359" t="s">
        <v>44</v>
      </c>
      <c r="C62" s="175">
        <v>116862</v>
      </c>
      <c r="D62" s="673">
        <f>G32</f>
        <v>74441</v>
      </c>
      <c r="E62" s="671">
        <f t="shared" si="8"/>
        <v>42421</v>
      </c>
      <c r="F62" s="192"/>
    </row>
    <row r="63" spans="2:6" x14ac:dyDescent="0.25">
      <c r="B63" s="359" t="s">
        <v>454</v>
      </c>
      <c r="C63" s="175">
        <f>379137</f>
        <v>379137</v>
      </c>
      <c r="D63" s="673">
        <f>G33</f>
        <v>105159</v>
      </c>
      <c r="E63" s="671">
        <f t="shared" si="8"/>
        <v>273978</v>
      </c>
      <c r="F63" s="192"/>
    </row>
    <row r="64" spans="2:6" ht="15.75" customHeight="1" x14ac:dyDescent="0.25">
      <c r="B64" s="359" t="s">
        <v>866</v>
      </c>
      <c r="C64" s="175">
        <v>20479</v>
      </c>
      <c r="D64" s="673">
        <f>G34</f>
        <v>8649</v>
      </c>
      <c r="E64" s="671">
        <f t="shared" si="8"/>
        <v>11830</v>
      </c>
      <c r="F64" s="192"/>
    </row>
    <row r="65" spans="2:6" ht="15.75" customHeight="1" x14ac:dyDescent="0.25">
      <c r="E65" s="178"/>
      <c r="F65" s="192"/>
    </row>
    <row r="66" spans="2:6" ht="15.75" customHeight="1" x14ac:dyDescent="0.25">
      <c r="C66" s="971" t="s">
        <v>2165</v>
      </c>
      <c r="D66" s="972"/>
      <c r="E66" s="972"/>
      <c r="F66" s="192"/>
    </row>
    <row r="67" spans="2:6" x14ac:dyDescent="0.25">
      <c r="C67" s="357" t="s">
        <v>2170</v>
      </c>
      <c r="D67" s="672" t="s">
        <v>2160</v>
      </c>
      <c r="E67" s="357" t="s">
        <v>2161</v>
      </c>
      <c r="F67" s="192"/>
    </row>
    <row r="68" spans="2:6" ht="15.75" customHeight="1" x14ac:dyDescent="0.25">
      <c r="B68" s="359" t="s">
        <v>44</v>
      </c>
      <c r="C68" s="175">
        <f>116862*25%</f>
        <v>29215.5</v>
      </c>
      <c r="D68" s="673">
        <f>G35</f>
        <v>34981</v>
      </c>
      <c r="E68" s="671">
        <f t="shared" si="8"/>
        <v>-5765.5</v>
      </c>
      <c r="F68" s="192"/>
    </row>
    <row r="69" spans="2:6" ht="15.75" customHeight="1" x14ac:dyDescent="0.25">
      <c r="B69" s="359" t="s">
        <v>454</v>
      </c>
      <c r="C69" s="175">
        <f>379137*25%</f>
        <v>94784.25</v>
      </c>
      <c r="D69" s="673">
        <f>G36</f>
        <v>121730</v>
      </c>
      <c r="E69" s="671">
        <f t="shared" si="8"/>
        <v>-26945.75</v>
      </c>
      <c r="F69" s="192"/>
    </row>
    <row r="70" spans="2:6" x14ac:dyDescent="0.25">
      <c r="B70" s="359" t="s">
        <v>866</v>
      </c>
      <c r="C70" s="175">
        <f>20479*25%</f>
        <v>5119.75</v>
      </c>
      <c r="D70" s="673">
        <f>G37</f>
        <v>942</v>
      </c>
      <c r="E70" s="671">
        <f t="shared" si="8"/>
        <v>4177.75</v>
      </c>
      <c r="F70" s="192"/>
    </row>
    <row r="71" spans="2:6" x14ac:dyDescent="0.25">
      <c r="E71" s="178"/>
      <c r="F71" s="192"/>
    </row>
    <row r="72" spans="2:6" x14ac:dyDescent="0.25">
      <c r="C72" s="973" t="s">
        <v>191</v>
      </c>
      <c r="D72" s="974"/>
      <c r="E72" s="974"/>
      <c r="F72" s="192"/>
    </row>
    <row r="73" spans="2:6" x14ac:dyDescent="0.25">
      <c r="C73" s="358" t="s">
        <v>2170</v>
      </c>
      <c r="D73" s="674" t="s">
        <v>2160</v>
      </c>
      <c r="E73" s="358" t="s">
        <v>2161</v>
      </c>
      <c r="F73" s="192"/>
    </row>
    <row r="74" spans="2:6" x14ac:dyDescent="0.25">
      <c r="B74" s="359" t="s">
        <v>44</v>
      </c>
      <c r="C74" s="175">
        <v>116862</v>
      </c>
      <c r="D74" s="675">
        <f>G38</f>
        <v>52868</v>
      </c>
      <c r="E74" s="676">
        <f t="shared" si="8"/>
        <v>63994</v>
      </c>
      <c r="F74" s="192"/>
    </row>
    <row r="75" spans="2:6" x14ac:dyDescent="0.25">
      <c r="B75" s="359" t="s">
        <v>454</v>
      </c>
      <c r="C75" s="175">
        <f>379137</f>
        <v>379137</v>
      </c>
      <c r="D75" s="675">
        <f>G39</f>
        <v>126858</v>
      </c>
      <c r="E75" s="676">
        <f t="shared" si="8"/>
        <v>252279</v>
      </c>
      <c r="F75" s="192"/>
    </row>
    <row r="76" spans="2:6" x14ac:dyDescent="0.25">
      <c r="B76" s="359" t="s">
        <v>866</v>
      </c>
      <c r="C76" s="175">
        <v>20479</v>
      </c>
      <c r="D76" s="675">
        <f>G40</f>
        <v>8565</v>
      </c>
      <c r="E76" s="676">
        <f t="shared" si="8"/>
        <v>11914</v>
      </c>
      <c r="F76" s="192"/>
    </row>
    <row r="77" spans="2:6" x14ac:dyDescent="0.25">
      <c r="E77" s="178"/>
      <c r="F77" s="192"/>
    </row>
    <row r="78" spans="2:6" x14ac:dyDescent="0.25">
      <c r="C78" s="973" t="s">
        <v>2164</v>
      </c>
      <c r="D78" s="974"/>
      <c r="E78" s="974"/>
      <c r="F78" s="192"/>
    </row>
    <row r="79" spans="2:6" x14ac:dyDescent="0.25">
      <c r="C79" s="358" t="s">
        <v>2170</v>
      </c>
      <c r="D79" s="674" t="s">
        <v>2160</v>
      </c>
      <c r="E79" s="358" t="s">
        <v>2161</v>
      </c>
      <c r="F79" s="192"/>
    </row>
    <row r="80" spans="2:6" x14ac:dyDescent="0.25">
      <c r="B80" s="359" t="s">
        <v>44</v>
      </c>
      <c r="C80" s="175">
        <v>116862</v>
      </c>
      <c r="D80" s="675">
        <f>G41</f>
        <v>33085</v>
      </c>
      <c r="E80" s="676">
        <f t="shared" si="8"/>
        <v>83777</v>
      </c>
      <c r="F80" s="192"/>
    </row>
    <row r="81" spans="2:48" x14ac:dyDescent="0.25">
      <c r="B81" s="359" t="s">
        <v>454</v>
      </c>
      <c r="C81" s="175">
        <f>379137*89%</f>
        <v>337431.93</v>
      </c>
      <c r="D81" s="675">
        <f>G42</f>
        <v>137085</v>
      </c>
      <c r="E81" s="676">
        <f t="shared" si="8"/>
        <v>200346.93</v>
      </c>
      <c r="F81" s="192"/>
    </row>
    <row r="82" spans="2:48" x14ac:dyDescent="0.25">
      <c r="B82" s="359" t="s">
        <v>866</v>
      </c>
      <c r="C82" s="175">
        <v>20479</v>
      </c>
      <c r="D82" s="675">
        <f>G43</f>
        <v>5550</v>
      </c>
      <c r="E82" s="676">
        <f t="shared" si="8"/>
        <v>14929</v>
      </c>
      <c r="F82" s="192"/>
    </row>
    <row r="84" spans="2:48" x14ac:dyDescent="0.25">
      <c r="D84" s="178">
        <f>D50+D51+D52+D56+D57+D58+D62+D63+D64+D68+D69+D70+D74+D75+D76+D80+D81+D82</f>
        <v>1197454.5824175824</v>
      </c>
    </row>
    <row r="85" spans="2:48" x14ac:dyDescent="0.25">
      <c r="D85" s="178">
        <f>D84-G44</f>
        <v>0</v>
      </c>
    </row>
    <row r="86" spans="2:48" hidden="1" x14ac:dyDescent="0.25">
      <c r="B86" s="965" t="s">
        <v>2410</v>
      </c>
      <c r="C86" s="966"/>
      <c r="D86" s="966"/>
      <c r="E86" s="966"/>
      <c r="F86" s="966"/>
      <c r="G86" s="966"/>
      <c r="H86" s="966"/>
      <c r="J86" s="965" t="s">
        <v>2437</v>
      </c>
      <c r="K86" s="966"/>
      <c r="L86" s="966"/>
      <c r="M86" s="966"/>
      <c r="N86" s="966"/>
      <c r="O86" s="966"/>
      <c r="P86" s="966"/>
    </row>
    <row r="87" spans="2:48" ht="79.5" hidden="1" customHeight="1" x14ac:dyDescent="0.25">
      <c r="B87" s="359" t="s">
        <v>26</v>
      </c>
      <c r="C87" s="356" t="s">
        <v>2162</v>
      </c>
      <c r="D87" s="356" t="s">
        <v>2163</v>
      </c>
      <c r="E87" s="357" t="s">
        <v>185</v>
      </c>
      <c r="F87" s="357" t="s">
        <v>2165</v>
      </c>
      <c r="G87" s="358" t="s">
        <v>191</v>
      </c>
      <c r="H87" s="358" t="s">
        <v>2164</v>
      </c>
      <c r="J87" s="359" t="s">
        <v>26</v>
      </c>
      <c r="K87" s="668" t="s">
        <v>2162</v>
      </c>
      <c r="L87" s="668" t="s">
        <v>2163</v>
      </c>
      <c r="M87" s="672" t="s">
        <v>185</v>
      </c>
      <c r="N87" s="672" t="s">
        <v>2165</v>
      </c>
      <c r="O87" s="674" t="s">
        <v>191</v>
      </c>
      <c r="P87" s="674" t="s">
        <v>2164</v>
      </c>
    </row>
    <row r="88" spans="2:48" hidden="1" x14ac:dyDescent="0.25">
      <c r="B88" s="359" t="s">
        <v>44</v>
      </c>
      <c r="C88" s="677">
        <f>$E$50/$C$50</f>
        <v>0.24696080277021895</v>
      </c>
      <c r="D88" s="677">
        <f>$E$56/$C$56</f>
        <v>0.24696080277021895</v>
      </c>
      <c r="E88" s="678">
        <f>$E$62/$C$62</f>
        <v>0.36300080436754462</v>
      </c>
      <c r="F88" s="678">
        <f>$E$68/$C$68</f>
        <v>-0.19734387568242884</v>
      </c>
      <c r="G88" s="679">
        <f>$E$74/$C$74</f>
        <v>0.5476031558590474</v>
      </c>
      <c r="H88" s="679">
        <f>$E$80/$C$80</f>
        <v>0.71688829559651557</v>
      </c>
      <c r="J88" s="359" t="s">
        <v>44</v>
      </c>
      <c r="K88" s="680">
        <f>D50/C50</f>
        <v>0.75303919722978108</v>
      </c>
      <c r="L88" s="680">
        <f>D56/C56</f>
        <v>0.75303919722978108</v>
      </c>
      <c r="M88" s="681">
        <f>D62/C62</f>
        <v>0.63699919563245533</v>
      </c>
      <c r="N88" s="681">
        <f>D68/C68</f>
        <v>1.1973438756824288</v>
      </c>
      <c r="O88" s="682">
        <f>D74/C74</f>
        <v>0.4523968441409526</v>
      </c>
      <c r="P88" s="682">
        <f>D80/C80</f>
        <v>0.28311170440348443</v>
      </c>
    </row>
    <row r="89" spans="2:48" hidden="1" x14ac:dyDescent="0.25">
      <c r="B89" s="359" t="s">
        <v>454</v>
      </c>
      <c r="C89" s="677">
        <f>$E$51/$C$51</f>
        <v>0.62882513565775822</v>
      </c>
      <c r="D89" s="677">
        <f>$E$57/$C$57</f>
        <v>0.59983297715041117</v>
      </c>
      <c r="E89" s="678">
        <f>$E$63/$C$63</f>
        <v>0.72263588096123565</v>
      </c>
      <c r="F89" s="678">
        <f>$E$69/$C$69</f>
        <v>-0.2842851001089316</v>
      </c>
      <c r="G89" s="679">
        <f>$E$75/$C$75</f>
        <v>0.66540327111308051</v>
      </c>
      <c r="H89" s="679">
        <f>$E$81/$C$81</f>
        <v>0.59374028415153246</v>
      </c>
      <c r="J89" s="359" t="s">
        <v>454</v>
      </c>
      <c r="K89" s="680">
        <f>D51/C51</f>
        <v>0.37117486434224184</v>
      </c>
      <c r="L89" s="680">
        <f>D57/C57</f>
        <v>0.40016702284958883</v>
      </c>
      <c r="M89" s="681">
        <f>D63/C63</f>
        <v>0.27736411903876435</v>
      </c>
      <c r="N89" s="681">
        <f>D69/C69</f>
        <v>1.2842851001089317</v>
      </c>
      <c r="O89" s="682">
        <f>D75/C75</f>
        <v>0.33459672888691949</v>
      </c>
      <c r="P89" s="682">
        <f>D81/C81</f>
        <v>0.4062597158484676</v>
      </c>
    </row>
    <row r="90" spans="2:48" ht="31.5" hidden="1" x14ac:dyDescent="0.25">
      <c r="B90" s="359" t="s">
        <v>866</v>
      </c>
      <c r="C90" s="677">
        <f>$E$52/$C$52</f>
        <v>0.53381512769178185</v>
      </c>
      <c r="D90" s="677">
        <f>$E$58/$C$58</f>
        <v>0.53381512769178185</v>
      </c>
      <c r="E90" s="678">
        <f>$E$64/$C$64</f>
        <v>0.5776649250451682</v>
      </c>
      <c r="F90" s="678">
        <f>$E$70/$C$70</f>
        <v>0.81600664094926512</v>
      </c>
      <c r="G90" s="679">
        <f>$E$76/$C$76</f>
        <v>0.58176668782655405</v>
      </c>
      <c r="H90" s="679">
        <f>$E$82/$C$82</f>
        <v>0.72899067337272327</v>
      </c>
      <c r="J90" s="359" t="s">
        <v>866</v>
      </c>
      <c r="K90" s="680">
        <f>D52/C52</f>
        <v>0.4661848723082182</v>
      </c>
      <c r="L90" s="680">
        <f>D58/C58</f>
        <v>0.4661848723082182</v>
      </c>
      <c r="M90" s="681">
        <f>D64/C64</f>
        <v>0.4223350749548318</v>
      </c>
      <c r="N90" s="681">
        <f>D70/C70</f>
        <v>0.18399335905073491</v>
      </c>
      <c r="O90" s="682">
        <f>D76/C76</f>
        <v>0.41823331217344595</v>
      </c>
      <c r="P90" s="682">
        <f>D82/C82</f>
        <v>0.27100932662727673</v>
      </c>
    </row>
    <row r="92" spans="2:48" x14ac:dyDescent="0.25">
      <c r="C92" s="897" t="s">
        <v>24</v>
      </c>
      <c r="D92" s="173" t="s">
        <v>3206</v>
      </c>
      <c r="V92" s="897" t="s">
        <v>24</v>
      </c>
      <c r="W92" s="173" t="s">
        <v>3206</v>
      </c>
      <c r="AP92" s="897" t="s">
        <v>24</v>
      </c>
      <c r="AQ92" s="173" t="s">
        <v>2691</v>
      </c>
    </row>
    <row r="93" spans="2:48" x14ac:dyDescent="0.25">
      <c r="C93" s="897" t="s">
        <v>40</v>
      </c>
      <c r="D93" s="173" t="s">
        <v>40</v>
      </c>
      <c r="J93" s="174"/>
      <c r="V93" s="897" t="s">
        <v>40</v>
      </c>
      <c r="W93" s="173" t="s">
        <v>40</v>
      </c>
      <c r="AP93" s="897" t="s">
        <v>40</v>
      </c>
      <c r="AQ93" s="173" t="s">
        <v>40</v>
      </c>
    </row>
    <row r="94" spans="2:48" x14ac:dyDescent="0.25">
      <c r="C94" s="897" t="s">
        <v>280</v>
      </c>
      <c r="D94" s="173" t="s">
        <v>2149</v>
      </c>
      <c r="V94" s="897" t="s">
        <v>280</v>
      </c>
      <c r="W94" s="173" t="s">
        <v>969</v>
      </c>
      <c r="AP94" s="897" t="s">
        <v>280</v>
      </c>
      <c r="AQ94" s="173" t="s">
        <v>2149</v>
      </c>
    </row>
    <row r="95" spans="2:48" x14ac:dyDescent="0.25">
      <c r="C95"/>
      <c r="D95"/>
      <c r="E95"/>
      <c r="F95" s="684" t="s">
        <v>2746</v>
      </c>
      <c r="G95"/>
      <c r="H95"/>
      <c r="I95"/>
      <c r="J95"/>
      <c r="V95" s="202"/>
      <c r="W95"/>
      <c r="X95"/>
      <c r="Y95"/>
      <c r="Z95"/>
      <c r="AA95"/>
      <c r="AB95"/>
      <c r="AP95" s="202"/>
      <c r="AQ95"/>
      <c r="AR95"/>
      <c r="AS95"/>
      <c r="AT95"/>
      <c r="AU95"/>
      <c r="AV95"/>
    </row>
    <row r="96" spans="2:48" x14ac:dyDescent="0.25">
      <c r="C96" s="901" t="s">
        <v>2172</v>
      </c>
      <c r="D96" s="899">
        <v>226916</v>
      </c>
      <c r="E96"/>
      <c r="F96" s="403" t="s">
        <v>2151</v>
      </c>
      <c r="G96" s="404" t="s">
        <v>2574</v>
      </c>
      <c r="H96" s="406" t="s">
        <v>2160</v>
      </c>
      <c r="I96" s="406" t="s">
        <v>2161</v>
      </c>
      <c r="J96"/>
      <c r="V96" s="901" t="s">
        <v>2172</v>
      </c>
      <c r="W96" s="899">
        <v>72755</v>
      </c>
      <c r="X96"/>
      <c r="Y96" s="403" t="s">
        <v>2151</v>
      </c>
      <c r="Z96" s="404" t="s">
        <v>2574</v>
      </c>
      <c r="AA96" s="406" t="s">
        <v>2160</v>
      </c>
      <c r="AB96" s="406" t="s">
        <v>2161</v>
      </c>
      <c r="AP96" s="901" t="s">
        <v>2172</v>
      </c>
      <c r="AQ96" s="899">
        <v>293661</v>
      </c>
      <c r="AR96"/>
      <c r="AS96" s="403" t="s">
        <v>2151</v>
      </c>
      <c r="AT96" s="404" t="s">
        <v>2574</v>
      </c>
      <c r="AU96" s="406" t="s">
        <v>2160</v>
      </c>
      <c r="AV96" s="406" t="s">
        <v>2161</v>
      </c>
    </row>
    <row r="97" spans="3:48" ht="78.75" x14ac:dyDescent="0.25">
      <c r="C97" s="906" t="s">
        <v>2166</v>
      </c>
      <c r="D97" s="912">
        <v>207454.79120879123</v>
      </c>
      <c r="E97"/>
      <c r="F97" s="402" t="s">
        <v>2596</v>
      </c>
      <c r="G97" s="409">
        <v>219600</v>
      </c>
      <c r="H97" s="409">
        <f>GETPIVOTDATA("Number of people reached by regular dedicated hygiene promotion_5",$C$96)</f>
        <v>147134</v>
      </c>
      <c r="I97" s="409">
        <f>G97-H97</f>
        <v>72466</v>
      </c>
      <c r="J97"/>
      <c r="K97"/>
      <c r="V97" s="906" t="s">
        <v>2166</v>
      </c>
      <c r="W97" s="910">
        <v>30820</v>
      </c>
      <c r="X97"/>
      <c r="Y97" s="402" t="s">
        <v>2573</v>
      </c>
      <c r="Z97" s="411">
        <f t="shared" ref="Z97:Z100" si="9">516478-219600</f>
        <v>296878</v>
      </c>
      <c r="AA97" s="415">
        <f>GETPIVOTDATA("Number of people reached by regular dedicated hygiene promotion_5",$V$96)</f>
        <v>41157</v>
      </c>
      <c r="AB97" s="415">
        <f>Z97-AA97</f>
        <v>255721</v>
      </c>
      <c r="AP97" s="906" t="s">
        <v>2166</v>
      </c>
      <c r="AQ97" s="902">
        <v>232625.25787545787</v>
      </c>
      <c r="AR97"/>
      <c r="AS97" s="402" t="s">
        <v>2596</v>
      </c>
      <c r="AT97" s="412">
        <v>516478</v>
      </c>
      <c r="AU97" s="796">
        <f>GETPIVOTDATA("Number of people reached by regular dedicated hygiene promotion_5",$AP$96)</f>
        <v>194188</v>
      </c>
      <c r="AV97" s="796">
        <f>AT97-AU97</f>
        <v>322290</v>
      </c>
    </row>
    <row r="98" spans="3:48" ht="78.75" x14ac:dyDescent="0.25">
      <c r="C98" s="906" t="s">
        <v>2167</v>
      </c>
      <c r="D98" s="912">
        <v>210785.79120879123</v>
      </c>
      <c r="E98"/>
      <c r="F98" s="402" t="s">
        <v>2610</v>
      </c>
      <c r="G98" s="410">
        <v>219600</v>
      </c>
      <c r="H98" s="410">
        <f>G41+G42+G43</f>
        <v>175720</v>
      </c>
      <c r="I98" s="410">
        <f>G98-H98</f>
        <v>43880</v>
      </c>
      <c r="J98"/>
      <c r="K98"/>
      <c r="V98" s="906" t="s">
        <v>2167</v>
      </c>
      <c r="W98" s="910">
        <v>38481</v>
      </c>
      <c r="X98"/>
      <c r="Y98" s="401" t="s">
        <v>185</v>
      </c>
      <c r="Z98" s="401">
        <f t="shared" si="9"/>
        <v>296878</v>
      </c>
      <c r="AA98" s="414">
        <f>GETPIVOTDATA("Number of people with access to functional sanitation facilities_3",$V$96)</f>
        <v>17393</v>
      </c>
      <c r="AB98" s="414">
        <f>Z98-AA98</f>
        <v>279485</v>
      </c>
      <c r="AP98" s="906" t="s">
        <v>2167</v>
      </c>
      <c r="AQ98" s="902">
        <v>243617.25787545787</v>
      </c>
      <c r="AR98"/>
      <c r="AS98" s="402" t="s">
        <v>2597</v>
      </c>
      <c r="AT98" s="412">
        <v>516478</v>
      </c>
      <c r="AU98" s="412">
        <f>G41+G42+G43</f>
        <v>175720</v>
      </c>
      <c r="AV98" s="412">
        <f>AT98-AU98</f>
        <v>340758</v>
      </c>
    </row>
    <row r="99" spans="3:48" ht="47.25" x14ac:dyDescent="0.25">
      <c r="C99" s="907" t="s">
        <v>2168</v>
      </c>
      <c r="D99" s="913">
        <v>170856</v>
      </c>
      <c r="E99"/>
      <c r="F99" s="401" t="s">
        <v>2594</v>
      </c>
      <c r="G99" s="408">
        <v>219600</v>
      </c>
      <c r="H99" s="408">
        <f>GETPIVOTDATA("Number of people with access to functional sanitation facilities_3",$C$96)</f>
        <v>170856</v>
      </c>
      <c r="I99" s="408">
        <f t="shared" ref="I99:I100" si="10">G99-H99</f>
        <v>48744</v>
      </c>
      <c r="J99"/>
      <c r="K99"/>
      <c r="V99" s="907" t="s">
        <v>2168</v>
      </c>
      <c r="W99" s="904">
        <v>17393</v>
      </c>
      <c r="X99"/>
      <c r="Y99" s="405" t="s">
        <v>2162</v>
      </c>
      <c r="Z99" s="411">
        <f t="shared" si="9"/>
        <v>296878</v>
      </c>
      <c r="AA99" s="413">
        <f>GETPIVOTDATA("Number of people with equitable and safe access to sufficient quantity of drinking water_1",$V$96)</f>
        <v>30820</v>
      </c>
      <c r="AB99" s="413">
        <f>Z99-AA99</f>
        <v>266058</v>
      </c>
      <c r="AP99" s="907" t="s">
        <v>2168</v>
      </c>
      <c r="AQ99" s="903">
        <v>184716</v>
      </c>
      <c r="AR99"/>
      <c r="AS99" s="401" t="s">
        <v>2594</v>
      </c>
      <c r="AT99" s="799">
        <v>516478</v>
      </c>
      <c r="AU99" s="797">
        <f>GETPIVOTDATA("Number of people with access to functional sanitation facilities_3",$AP$96)</f>
        <v>184716</v>
      </c>
      <c r="AV99" s="797">
        <f t="shared" ref="AV99:AV100" si="11">AT99-AU99</f>
        <v>331762</v>
      </c>
    </row>
    <row r="100" spans="3:48" ht="63" x14ac:dyDescent="0.25">
      <c r="C100" s="909" t="s">
        <v>2537</v>
      </c>
      <c r="D100" s="914">
        <v>147134</v>
      </c>
      <c r="E100"/>
      <c r="F100" s="401" t="s">
        <v>2595</v>
      </c>
      <c r="G100" s="408">
        <f>219600</f>
        <v>219600</v>
      </c>
      <c r="H100" s="408">
        <f>G35+G36+G37</f>
        <v>157653</v>
      </c>
      <c r="I100" s="408">
        <f t="shared" si="10"/>
        <v>61947</v>
      </c>
      <c r="J100"/>
      <c r="K100"/>
      <c r="V100" s="908" t="s">
        <v>2536</v>
      </c>
      <c r="W100" s="904">
        <v>0</v>
      </c>
      <c r="X100"/>
      <c r="Y100" s="405" t="s">
        <v>2163</v>
      </c>
      <c r="Z100" s="411">
        <f t="shared" si="9"/>
        <v>296878</v>
      </c>
      <c r="AA100" s="413">
        <f>GETPIVOTDATA("Number of people with equitable and safe access to sufficient quantity of domestic water_2",$V$96)</f>
        <v>38481</v>
      </c>
      <c r="AB100" s="413">
        <f>Z100-AA100</f>
        <v>258397</v>
      </c>
      <c r="AP100" s="909" t="s">
        <v>2537</v>
      </c>
      <c r="AQ100" s="905">
        <v>194188</v>
      </c>
      <c r="AR100"/>
      <c r="AS100" s="401" t="s">
        <v>2595</v>
      </c>
      <c r="AT100" s="799">
        <v>516478</v>
      </c>
      <c r="AU100" s="797">
        <f>G35+G36+G37</f>
        <v>157653</v>
      </c>
      <c r="AV100" s="797">
        <f t="shared" si="11"/>
        <v>358825</v>
      </c>
    </row>
    <row r="101" spans="3:48" ht="63" x14ac:dyDescent="0.25">
      <c r="C101"/>
      <c r="D101"/>
      <c r="F101" s="405" t="s">
        <v>2611</v>
      </c>
      <c r="G101" s="407">
        <v>219600</v>
      </c>
      <c r="H101" s="407">
        <f>GETPIVOTDATA("Number of people with equitable and safe access to sufficient quantity of drinking water_1",$C$96)</f>
        <v>207454.79120879123</v>
      </c>
      <c r="I101" s="407">
        <f>G101-H101</f>
        <v>12145.208791208774</v>
      </c>
      <c r="V101" s="909" t="s">
        <v>2537</v>
      </c>
      <c r="W101" s="905">
        <v>41157</v>
      </c>
      <c r="AP101"/>
      <c r="AQ101"/>
      <c r="AS101" s="405" t="s">
        <v>2592</v>
      </c>
      <c r="AT101" s="411">
        <v>516478</v>
      </c>
      <c r="AU101" s="798">
        <f>GETPIVOTDATA("Number of people with equitable and safe access to sufficient quantity of drinking water_1",$AP$96)</f>
        <v>232625.25787545787</v>
      </c>
      <c r="AV101" s="798">
        <f>AT101-AU101</f>
        <v>283852.74212454213</v>
      </c>
    </row>
    <row r="102" spans="3:48" ht="47.25" x14ac:dyDescent="0.25">
      <c r="C102"/>
      <c r="D102"/>
      <c r="F102" s="405" t="s">
        <v>2593</v>
      </c>
      <c r="G102" s="407">
        <v>219600</v>
      </c>
      <c r="H102" s="407">
        <f>GETPIVOTDATA("Number of people with equitable and safe access to sufficient quantity of domestic water_2",$C$96)</f>
        <v>210785.79120879123</v>
      </c>
      <c r="I102" s="407">
        <f>G102-H102</f>
        <v>8814.2087912087736</v>
      </c>
      <c r="V102" s="909" t="s">
        <v>2559</v>
      </c>
      <c r="W102" s="911">
        <v>16325</v>
      </c>
      <c r="AP102"/>
      <c r="AQ102"/>
      <c r="AS102" s="405" t="s">
        <v>2593</v>
      </c>
      <c r="AT102" s="411">
        <v>516478</v>
      </c>
      <c r="AU102" s="798">
        <f>GETPIVOTDATA("Number of people with equitable and safe access to sufficient quantity of domestic water_2",$AP$96)</f>
        <v>243617.25787545787</v>
      </c>
      <c r="AV102" s="798">
        <f>AT102-AU102</f>
        <v>272860.74212454213</v>
      </c>
    </row>
    <row r="103" spans="3:48" x14ac:dyDescent="0.25">
      <c r="H103" s="178">
        <f>SUM(H97:H102)</f>
        <v>1069603.5824175824</v>
      </c>
    </row>
    <row r="104" spans="3:48" x14ac:dyDescent="0.25">
      <c r="H104" s="178" t="e">
        <f>D11-H103</f>
        <v>#REF!</v>
      </c>
    </row>
    <row r="105" spans="3:48" x14ac:dyDescent="0.25">
      <c r="C105" s="897" t="s">
        <v>24</v>
      </c>
      <c r="D105" s="173" t="s">
        <v>3206</v>
      </c>
    </row>
    <row r="106" spans="3:48" x14ac:dyDescent="0.25">
      <c r="C106" s="897" t="s">
        <v>40</v>
      </c>
      <c r="D106" s="173" t="s">
        <v>40</v>
      </c>
    </row>
    <row r="107" spans="3:48" x14ac:dyDescent="0.25">
      <c r="C107" s="897" t="s">
        <v>280</v>
      </c>
      <c r="D107" s="173" t="s">
        <v>2149</v>
      </c>
    </row>
    <row r="108" spans="3:48" x14ac:dyDescent="0.25">
      <c r="C108" s="897" t="s">
        <v>26</v>
      </c>
      <c r="D108" s="173" t="s">
        <v>44</v>
      </c>
    </row>
    <row r="109" spans="3:48" x14ac:dyDescent="0.25">
      <c r="C109" s="202"/>
      <c r="D109"/>
      <c r="F109" s="684" t="s">
        <v>44</v>
      </c>
      <c r="H109" s="962"/>
      <c r="I109" s="962"/>
    </row>
    <row r="110" spans="3:48" x14ac:dyDescent="0.25">
      <c r="C110" s="901" t="s">
        <v>2172</v>
      </c>
      <c r="D110" s="899">
        <v>93450</v>
      </c>
      <c r="F110" s="403" t="s">
        <v>2151</v>
      </c>
      <c r="G110" s="404" t="s">
        <v>2574</v>
      </c>
      <c r="H110" s="406" t="s">
        <v>2160</v>
      </c>
      <c r="I110" s="406" t="s">
        <v>2161</v>
      </c>
    </row>
    <row r="111" spans="3:48" ht="63" x14ac:dyDescent="0.25">
      <c r="C111" s="906" t="s">
        <v>2166</v>
      </c>
      <c r="D111" s="902">
        <v>88001.666666666657</v>
      </c>
      <c r="F111" s="402" t="s">
        <v>2596</v>
      </c>
      <c r="G111" s="409">
        <v>87847</v>
      </c>
      <c r="H111" s="409">
        <f>GETPIVOTDATA("Number of people reached by regular dedicated hygiene promotion_5",$C$110)</f>
        <v>52868</v>
      </c>
      <c r="I111" s="409">
        <f t="shared" ref="I111:I116" si="12">G111-H111</f>
        <v>34979</v>
      </c>
    </row>
    <row r="112" spans="3:48" ht="63" x14ac:dyDescent="0.25">
      <c r="C112" s="906" t="s">
        <v>2167</v>
      </c>
      <c r="D112" s="902">
        <v>88001.666666666657</v>
      </c>
      <c r="F112" s="402" t="s">
        <v>2597</v>
      </c>
      <c r="G112" s="410">
        <v>87847</v>
      </c>
      <c r="H112" s="410">
        <f>G41</f>
        <v>33085</v>
      </c>
      <c r="I112" s="410">
        <f t="shared" si="12"/>
        <v>54762</v>
      </c>
    </row>
    <row r="113" spans="3:28" ht="47.25" x14ac:dyDescent="0.25">
      <c r="C113" s="907" t="s">
        <v>2168</v>
      </c>
      <c r="D113" s="903">
        <v>74441</v>
      </c>
      <c r="F113" s="401" t="s">
        <v>2594</v>
      </c>
      <c r="G113" s="408">
        <v>87847</v>
      </c>
      <c r="H113" s="408">
        <f>GETPIVOTDATA("Number of people with access to functional sanitation facilities_3",$C$110)</f>
        <v>74441</v>
      </c>
      <c r="I113" s="408">
        <f t="shared" si="12"/>
        <v>13406</v>
      </c>
    </row>
    <row r="114" spans="3:28" ht="47.25" x14ac:dyDescent="0.25">
      <c r="C114" s="908" t="s">
        <v>2536</v>
      </c>
      <c r="D114" s="904">
        <v>14658</v>
      </c>
      <c r="F114" s="401" t="s">
        <v>2595</v>
      </c>
      <c r="G114" s="408">
        <f>87847</f>
        <v>87847</v>
      </c>
      <c r="H114" s="408">
        <f>G35</f>
        <v>34981</v>
      </c>
      <c r="I114" s="408">
        <f t="shared" si="12"/>
        <v>52866</v>
      </c>
    </row>
    <row r="115" spans="3:28" ht="47.25" x14ac:dyDescent="0.25">
      <c r="C115" s="909" t="s">
        <v>2537</v>
      </c>
      <c r="D115" s="905">
        <v>52868</v>
      </c>
      <c r="F115" s="405" t="s">
        <v>2592</v>
      </c>
      <c r="G115" s="407">
        <v>87847</v>
      </c>
      <c r="H115" s="407">
        <f>GETPIVOTDATA("Number of people with equitable and safe access to sufficient quantity of drinking water_1",$C$110)</f>
        <v>88001.666666666657</v>
      </c>
      <c r="I115" s="407">
        <f t="shared" si="12"/>
        <v>-154.66666666665697</v>
      </c>
    </row>
    <row r="116" spans="3:28" ht="47.25" x14ac:dyDescent="0.25">
      <c r="C116" s="909" t="s">
        <v>2559</v>
      </c>
      <c r="D116" s="911">
        <v>32990</v>
      </c>
      <c r="F116" s="405" t="s">
        <v>2593</v>
      </c>
      <c r="G116" s="407">
        <v>87847</v>
      </c>
      <c r="H116" s="407">
        <f>GETPIVOTDATA("Number of people with equitable and safe access to sufficient quantity of domestic water_2",$C$110)</f>
        <v>88001.666666666657</v>
      </c>
      <c r="I116" s="407">
        <f t="shared" si="12"/>
        <v>-154.66666666665697</v>
      </c>
    </row>
    <row r="123" spans="3:28" x14ac:dyDescent="0.25">
      <c r="C123" s="897" t="s">
        <v>24</v>
      </c>
      <c r="D123" s="173" t="s">
        <v>3206</v>
      </c>
      <c r="V123" s="897" t="s">
        <v>24</v>
      </c>
      <c r="W123" s="173" t="s">
        <v>3206</v>
      </c>
    </row>
    <row r="124" spans="3:28" x14ac:dyDescent="0.25">
      <c r="C124" s="897" t="s">
        <v>40</v>
      </c>
      <c r="D124" s="173" t="s">
        <v>40</v>
      </c>
      <c r="V124" s="897" t="s">
        <v>40</v>
      </c>
      <c r="W124" s="173" t="s">
        <v>40</v>
      </c>
    </row>
    <row r="125" spans="3:28" x14ac:dyDescent="0.25">
      <c r="C125" s="897" t="s">
        <v>280</v>
      </c>
      <c r="D125" s="173" t="s">
        <v>2149</v>
      </c>
      <c r="V125" s="897" t="s">
        <v>280</v>
      </c>
      <c r="W125" s="173" t="s">
        <v>969</v>
      </c>
    </row>
    <row r="126" spans="3:28" x14ac:dyDescent="0.25">
      <c r="C126" s="897" t="s">
        <v>26</v>
      </c>
      <c r="D126" s="173" t="s">
        <v>454</v>
      </c>
      <c r="V126" s="897" t="s">
        <v>26</v>
      </c>
      <c r="W126" s="173" t="s">
        <v>454</v>
      </c>
    </row>
    <row r="127" spans="3:28" x14ac:dyDescent="0.25">
      <c r="C127" s="202"/>
      <c r="D127"/>
      <c r="H127" s="962" t="s">
        <v>454</v>
      </c>
      <c r="I127" s="962"/>
      <c r="V127" s="202"/>
      <c r="W127"/>
      <c r="AA127" s="962" t="s">
        <v>454</v>
      </c>
      <c r="AB127" s="962"/>
    </row>
    <row r="128" spans="3:28" x14ac:dyDescent="0.25">
      <c r="C128" s="901" t="s">
        <v>2172</v>
      </c>
      <c r="D128" s="899">
        <v>122993</v>
      </c>
      <c r="F128" s="403" t="s">
        <v>2151</v>
      </c>
      <c r="G128" s="404" t="s">
        <v>2574</v>
      </c>
      <c r="H128" s="406" t="s">
        <v>2160</v>
      </c>
      <c r="I128" s="406" t="s">
        <v>2161</v>
      </c>
      <c r="V128" s="901" t="s">
        <v>2172</v>
      </c>
      <c r="W128" s="899">
        <v>72755</v>
      </c>
      <c r="Y128" s="403" t="s">
        <v>2151</v>
      </c>
      <c r="Z128" s="404" t="s">
        <v>2574</v>
      </c>
      <c r="AA128" s="406" t="s">
        <v>2160</v>
      </c>
      <c r="AB128" s="406" t="s">
        <v>2161</v>
      </c>
    </row>
    <row r="129" spans="3:28" ht="78.75" x14ac:dyDescent="0.25">
      <c r="C129" s="906" t="s">
        <v>2166</v>
      </c>
      <c r="D129" s="910">
        <v>109906.12454212454</v>
      </c>
      <c r="F129" s="402" t="s">
        <v>2596</v>
      </c>
      <c r="G129" s="409">
        <v>120103</v>
      </c>
      <c r="H129" s="409">
        <f>GETPIVOTDATA("Number of people reached by regular dedicated hygiene promotion_5",$C$128)</f>
        <v>85701</v>
      </c>
      <c r="I129" s="409">
        <f t="shared" ref="I129:I134" si="13">G129-H129</f>
        <v>34402</v>
      </c>
      <c r="V129" s="906" t="s">
        <v>2166</v>
      </c>
      <c r="W129" s="910">
        <v>30820</v>
      </c>
      <c r="Y129" s="402" t="s">
        <v>2573</v>
      </c>
      <c r="Z129" s="411">
        <f t="shared" ref="Z129:Z134" si="14">379137-120103</f>
        <v>259034</v>
      </c>
      <c r="AA129" s="409">
        <f>GETPIVOTDATA("Number of people reached by regular dedicated hygiene promotion_5",$V$128)</f>
        <v>41157</v>
      </c>
      <c r="AB129" s="409">
        <f>Z129-AA129</f>
        <v>217877</v>
      </c>
    </row>
    <row r="130" spans="3:28" ht="78.75" x14ac:dyDescent="0.25">
      <c r="C130" s="906" t="s">
        <v>2167</v>
      </c>
      <c r="D130" s="910">
        <v>113237.12454212455</v>
      </c>
      <c r="F130" s="402" t="s">
        <v>2597</v>
      </c>
      <c r="G130" s="409">
        <v>120103</v>
      </c>
      <c r="H130" s="410">
        <f>GETPIVOTDATA("Number of People received regular supply of hygiene items_6",$C$128)</f>
        <v>121645</v>
      </c>
      <c r="I130" s="410">
        <f t="shared" si="13"/>
        <v>-1542</v>
      </c>
      <c r="V130" s="906" t="s">
        <v>2167</v>
      </c>
      <c r="W130" s="910">
        <v>38481</v>
      </c>
      <c r="Y130" s="402"/>
      <c r="Z130" s="411"/>
      <c r="AA130" s="410"/>
      <c r="AB130" s="410"/>
    </row>
    <row r="131" spans="3:28" ht="47.25" x14ac:dyDescent="0.25">
      <c r="C131" s="907" t="s">
        <v>2168</v>
      </c>
      <c r="D131" s="904">
        <v>87766</v>
      </c>
      <c r="F131" s="401" t="s">
        <v>2594</v>
      </c>
      <c r="G131" s="408">
        <v>120103</v>
      </c>
      <c r="H131" s="408">
        <f>GETPIVOTDATA("Number of people with access to functional sanitation facilities_3",$C$128)</f>
        <v>87766</v>
      </c>
      <c r="I131" s="408">
        <f t="shared" si="13"/>
        <v>32337</v>
      </c>
      <c r="V131" s="907" t="s">
        <v>2168</v>
      </c>
      <c r="W131" s="904">
        <v>17393</v>
      </c>
      <c r="Y131" s="401" t="s">
        <v>185</v>
      </c>
      <c r="Z131" s="411">
        <f t="shared" si="14"/>
        <v>259034</v>
      </c>
      <c r="AA131" s="408">
        <f>GETPIVOTDATA("Number of people with access to functional sanitation facilities_3",$V$128)</f>
        <v>17393</v>
      </c>
      <c r="AB131" s="408">
        <f t="shared" ref="AB131" si="15">Z131-AA131</f>
        <v>241641</v>
      </c>
    </row>
    <row r="132" spans="3:28" ht="47.25" x14ac:dyDescent="0.25">
      <c r="C132" s="908" t="s">
        <v>2536</v>
      </c>
      <c r="D132" s="904">
        <v>55258</v>
      </c>
      <c r="F132" s="401" t="s">
        <v>2595</v>
      </c>
      <c r="G132" s="408">
        <f>120103</f>
        <v>120103</v>
      </c>
      <c r="H132" s="408">
        <f>G36</f>
        <v>121730</v>
      </c>
      <c r="I132" s="408">
        <f t="shared" si="13"/>
        <v>-1627</v>
      </c>
      <c r="V132" s="908" t="s">
        <v>2536</v>
      </c>
      <c r="W132" s="904">
        <v>0</v>
      </c>
      <c r="Y132" s="401"/>
      <c r="Z132" s="411"/>
      <c r="AA132" s="408"/>
      <c r="AB132" s="408"/>
    </row>
    <row r="133" spans="3:28" ht="63" x14ac:dyDescent="0.25">
      <c r="C133" s="909" t="s">
        <v>2537</v>
      </c>
      <c r="D133" s="905">
        <v>85701</v>
      </c>
      <c r="F133" s="405" t="s">
        <v>2592</v>
      </c>
      <c r="G133" s="407">
        <v>120103</v>
      </c>
      <c r="H133" s="407">
        <f>GETPIVOTDATA("Number of people with equitable and safe access to sufficient quantity of drinking water_1",$C$128)</f>
        <v>109906.12454212454</v>
      </c>
      <c r="I133" s="407">
        <f t="shared" si="13"/>
        <v>10196.87545787546</v>
      </c>
      <c r="V133" s="909" t="s">
        <v>2537</v>
      </c>
      <c r="W133" s="905">
        <v>41157</v>
      </c>
      <c r="Y133" s="405" t="s">
        <v>2592</v>
      </c>
      <c r="Z133" s="411">
        <f t="shared" si="14"/>
        <v>259034</v>
      </c>
      <c r="AA133" s="407">
        <f>GETPIVOTDATA("Number of people with equitable and safe access to sufficient quantity of drinking water_1",$V$128)</f>
        <v>30820</v>
      </c>
      <c r="AB133" s="407">
        <f>Z133-AA133</f>
        <v>228214</v>
      </c>
    </row>
    <row r="134" spans="3:28" ht="47.25" x14ac:dyDescent="0.25">
      <c r="C134" s="909" t="s">
        <v>2559</v>
      </c>
      <c r="D134" s="911">
        <v>121645</v>
      </c>
      <c r="F134" s="405" t="s">
        <v>2593</v>
      </c>
      <c r="G134" s="407">
        <v>120103</v>
      </c>
      <c r="H134" s="407">
        <f>GETPIVOTDATA("Number of people with equitable and safe access to sufficient quantity of domestic water_2",$C$128)</f>
        <v>113237.12454212455</v>
      </c>
      <c r="I134" s="407">
        <f t="shared" si="13"/>
        <v>6865.8754578754451</v>
      </c>
      <c r="V134" s="909" t="s">
        <v>2559</v>
      </c>
      <c r="W134" s="911">
        <v>16325</v>
      </c>
      <c r="Y134" s="405" t="s">
        <v>2593</v>
      </c>
      <c r="Z134" s="411">
        <f t="shared" si="14"/>
        <v>259034</v>
      </c>
      <c r="AA134" s="407">
        <f>GETPIVOTDATA("Number of people with equitable and safe access to sufficient quantity of domestic water_2",$V$128)</f>
        <v>38481</v>
      </c>
      <c r="AB134" s="407">
        <f>Z134-AA134</f>
        <v>220553</v>
      </c>
    </row>
    <row r="140" spans="3:28" x14ac:dyDescent="0.25">
      <c r="C140" s="897" t="s">
        <v>24</v>
      </c>
      <c r="D140" s="173" t="s">
        <v>3206</v>
      </c>
    </row>
    <row r="141" spans="3:28" x14ac:dyDescent="0.25">
      <c r="C141" s="897" t="s">
        <v>40</v>
      </c>
      <c r="D141" s="173" t="s">
        <v>40</v>
      </c>
    </row>
    <row r="142" spans="3:28" x14ac:dyDescent="0.25">
      <c r="C142" s="897" t="s">
        <v>280</v>
      </c>
      <c r="D142" s="173" t="s">
        <v>2149</v>
      </c>
    </row>
    <row r="143" spans="3:28" x14ac:dyDescent="0.25">
      <c r="C143" s="897" t="s">
        <v>26</v>
      </c>
      <c r="D143" s="173" t="s">
        <v>866</v>
      </c>
    </row>
    <row r="144" spans="3:28" x14ac:dyDescent="0.25">
      <c r="C144" s="202"/>
      <c r="D144"/>
      <c r="F144" s="684" t="s">
        <v>866</v>
      </c>
      <c r="H144" s="962"/>
      <c r="I144" s="962"/>
    </row>
    <row r="145" spans="3:9" x14ac:dyDescent="0.25">
      <c r="C145" s="901" t="s">
        <v>2172</v>
      </c>
      <c r="D145" s="899">
        <v>10385</v>
      </c>
      <c r="F145" s="403" t="s">
        <v>2151</v>
      </c>
      <c r="G145" s="404" t="s">
        <v>2574</v>
      </c>
      <c r="H145" s="406" t="s">
        <v>2160</v>
      </c>
      <c r="I145" s="406" t="s">
        <v>2161</v>
      </c>
    </row>
    <row r="146" spans="3:9" ht="63" x14ac:dyDescent="0.25">
      <c r="C146" s="906" t="s">
        <v>2166</v>
      </c>
      <c r="D146" s="902">
        <v>9547</v>
      </c>
      <c r="F146" s="402" t="s">
        <v>2596</v>
      </c>
      <c r="G146" s="409">
        <v>11650</v>
      </c>
      <c r="H146" s="409">
        <f>GETPIVOTDATA("Number of people reached by regular dedicated hygiene promotion_5",$C$145)</f>
        <v>8565</v>
      </c>
      <c r="I146" s="409">
        <f t="shared" ref="I146:I151" si="16">G146-H146</f>
        <v>3085</v>
      </c>
    </row>
    <row r="147" spans="3:9" ht="63" x14ac:dyDescent="0.25">
      <c r="C147" s="906" t="s">
        <v>2167</v>
      </c>
      <c r="D147" s="902">
        <v>9547</v>
      </c>
      <c r="F147" s="402" t="s">
        <v>2597</v>
      </c>
      <c r="G147" s="410">
        <v>11650</v>
      </c>
      <c r="H147" s="410">
        <f>G43</f>
        <v>5550</v>
      </c>
      <c r="I147" s="410">
        <f t="shared" si="16"/>
        <v>6100</v>
      </c>
    </row>
    <row r="148" spans="3:9" ht="47.25" x14ac:dyDescent="0.25">
      <c r="C148" s="907" t="s">
        <v>2168</v>
      </c>
      <c r="D148" s="903">
        <v>8649</v>
      </c>
      <c r="F148" s="401" t="s">
        <v>2594</v>
      </c>
      <c r="G148" s="408">
        <v>11650</v>
      </c>
      <c r="H148" s="408">
        <f>GETPIVOTDATA("Number of people with access to functional sanitation facilities_3",$C$145)</f>
        <v>8649</v>
      </c>
      <c r="I148" s="408">
        <f t="shared" si="16"/>
        <v>3001</v>
      </c>
    </row>
    <row r="149" spans="3:9" ht="47.25" x14ac:dyDescent="0.25">
      <c r="C149" s="908" t="s">
        <v>2536</v>
      </c>
      <c r="D149" s="904">
        <v>508</v>
      </c>
      <c r="F149" s="401" t="s">
        <v>2595</v>
      </c>
      <c r="G149" s="408">
        <f>11650</f>
        <v>11650</v>
      </c>
      <c r="H149" s="408">
        <f>G37</f>
        <v>942</v>
      </c>
      <c r="I149" s="408">
        <f t="shared" si="16"/>
        <v>10708</v>
      </c>
    </row>
    <row r="150" spans="3:9" ht="47.25" x14ac:dyDescent="0.25">
      <c r="C150" s="909" t="s">
        <v>2537</v>
      </c>
      <c r="D150" s="905">
        <v>8565</v>
      </c>
      <c r="F150" s="405" t="s">
        <v>2592</v>
      </c>
      <c r="G150" s="407">
        <v>11650</v>
      </c>
      <c r="H150" s="407">
        <f>GETPIVOTDATA("Number of people with equitable and safe access to sufficient quantity of drinking water_1",$C$145)</f>
        <v>9547</v>
      </c>
      <c r="I150" s="407">
        <f t="shared" si="16"/>
        <v>2103</v>
      </c>
    </row>
    <row r="151" spans="3:9" ht="47.25" x14ac:dyDescent="0.25">
      <c r="C151" s="909" t="s">
        <v>2559</v>
      </c>
      <c r="D151" s="911">
        <v>2870</v>
      </c>
      <c r="F151" s="405" t="s">
        <v>2593</v>
      </c>
      <c r="G151" s="407">
        <v>11650</v>
      </c>
      <c r="H151" s="407">
        <f>GETPIVOTDATA("Number of people with equitable and safe access to sufficient quantity of domestic water_2",$C$145)</f>
        <v>9547</v>
      </c>
      <c r="I151" s="407">
        <f t="shared" si="16"/>
        <v>2103</v>
      </c>
    </row>
  </sheetData>
  <mergeCells count="19">
    <mergeCell ref="H144:I144"/>
    <mergeCell ref="AA127:AB127"/>
    <mergeCell ref="L24:N24"/>
    <mergeCell ref="B86:H86"/>
    <mergeCell ref="J86:P86"/>
    <mergeCell ref="C48:E48"/>
    <mergeCell ref="C54:E54"/>
    <mergeCell ref="C60:E60"/>
    <mergeCell ref="C66:E66"/>
    <mergeCell ref="C72:E72"/>
    <mergeCell ref="C78:E78"/>
    <mergeCell ref="C35:C37"/>
    <mergeCell ref="C38:C40"/>
    <mergeCell ref="C41:C43"/>
    <mergeCell ref="C26:C28"/>
    <mergeCell ref="C29:C31"/>
    <mergeCell ref="C32:C34"/>
    <mergeCell ref="H109:I109"/>
    <mergeCell ref="H127:I127"/>
  </mergeCells>
  <pageMargins left="0.7" right="0.7" top="0.75" bottom="0.75" header="0.3" footer="0.3"/>
  <pageSetup orientation="portrait" r:id="rId15"/>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2652"/>
  <sheetViews>
    <sheetView showGridLines="0" zoomScale="90" zoomScaleNormal="90" workbookViewId="0">
      <selection activeCell="I28" sqref="I28"/>
    </sheetView>
  </sheetViews>
  <sheetFormatPr defaultRowHeight="15" x14ac:dyDescent="0.25"/>
  <cols>
    <col min="1" max="1" width="9.625" style="547" customWidth="1"/>
    <col min="2" max="2" width="11" style="547" customWidth="1"/>
    <col min="3" max="3" width="17.25" style="547" customWidth="1"/>
    <col min="4" max="4" width="30.75" style="547" customWidth="1"/>
    <col min="5" max="5" width="29.75" style="547" customWidth="1"/>
    <col min="6" max="6" width="16.875" style="547" customWidth="1"/>
    <col min="7" max="7" width="12.5" style="547" customWidth="1"/>
    <col min="8" max="8" width="14.5" style="547" customWidth="1"/>
    <col min="9" max="9" width="17.25" style="547" customWidth="1"/>
    <col min="10" max="10" width="9.625" style="547" customWidth="1"/>
    <col min="11" max="11" width="12.125" style="547" customWidth="1"/>
    <col min="12" max="12" width="9.625" style="547" customWidth="1"/>
    <col min="13" max="13" width="12.875" style="547" customWidth="1"/>
    <col min="14" max="14" width="17.75" style="547" customWidth="1"/>
    <col min="15" max="15" width="13.375" style="547" customWidth="1"/>
    <col min="16" max="18" width="9.625" style="547" customWidth="1"/>
    <col min="19" max="19" width="13.125" style="547" customWidth="1"/>
    <col min="20" max="23" width="9.625" style="547" customWidth="1"/>
    <col min="24" max="24" width="11.75" style="547" customWidth="1"/>
    <col min="25" max="33" width="9.625" style="547" customWidth="1"/>
    <col min="34" max="37" width="9" style="547"/>
    <col min="38" max="38" width="14.875" style="547" customWidth="1"/>
    <col min="39" max="16384" width="9" style="547"/>
  </cols>
  <sheetData>
    <row r="2" spans="1:42" s="595" customFormat="1" ht="18.75" x14ac:dyDescent="0.3">
      <c r="A2" s="546" t="s">
        <v>2715</v>
      </c>
      <c r="B2" s="546"/>
      <c r="C2" s="546"/>
      <c r="D2" s="546"/>
      <c r="E2" s="546"/>
      <c r="F2" s="546"/>
      <c r="G2" s="546"/>
      <c r="H2" s="546"/>
      <c r="I2" s="546"/>
      <c r="J2" s="546"/>
      <c r="K2" s="546"/>
      <c r="L2" s="546"/>
      <c r="M2" s="546"/>
      <c r="N2" s="546"/>
      <c r="O2" s="546"/>
      <c r="P2" s="546"/>
      <c r="Q2" s="546"/>
      <c r="R2" s="546"/>
      <c r="S2" s="546"/>
      <c r="T2" s="546"/>
      <c r="U2" s="546"/>
      <c r="V2" s="546"/>
      <c r="W2" s="546"/>
      <c r="X2" s="546"/>
      <c r="Y2" s="546"/>
      <c r="Z2" s="546"/>
    </row>
    <row r="3" spans="1:42" x14ac:dyDescent="0.25">
      <c r="C3" s="548"/>
      <c r="K3" s="548"/>
      <c r="R3" s="548"/>
    </row>
    <row r="4" spans="1:42" x14ac:dyDescent="0.25">
      <c r="C4" s="549"/>
      <c r="D4" s="550"/>
      <c r="E4" s="550"/>
      <c r="F4" s="550"/>
      <c r="G4" s="551"/>
    </row>
    <row r="5" spans="1:42" x14ac:dyDescent="0.25">
      <c r="C5" s="917" t="s">
        <v>24</v>
      </c>
      <c r="D5" s="547" t="s">
        <v>3206</v>
      </c>
      <c r="I5" s="917" t="s">
        <v>24</v>
      </c>
      <c r="J5" s="547" t="s">
        <v>3206</v>
      </c>
      <c r="O5" s="917" t="s">
        <v>24</v>
      </c>
      <c r="P5" s="547" t="s">
        <v>3206</v>
      </c>
      <c r="V5" s="917" t="s">
        <v>24</v>
      </c>
      <c r="W5" s="547" t="s">
        <v>3206</v>
      </c>
      <c r="AF5" s="917" t="s">
        <v>24</v>
      </c>
      <c r="AG5" s="547" t="s">
        <v>3206</v>
      </c>
      <c r="AL5" s="917" t="s">
        <v>24</v>
      </c>
      <c r="AM5" s="547" t="s">
        <v>3206</v>
      </c>
    </row>
    <row r="6" spans="1:42" x14ac:dyDescent="0.25">
      <c r="C6" s="917" t="s">
        <v>40</v>
      </c>
      <c r="D6" s="547" t="s">
        <v>40</v>
      </c>
      <c r="I6" s="917" t="s">
        <v>40</v>
      </c>
      <c r="J6" s="547" t="s">
        <v>40</v>
      </c>
      <c r="O6" s="917" t="s">
        <v>40</v>
      </c>
      <c r="P6" s="547" t="s">
        <v>40</v>
      </c>
      <c r="V6" s="917" t="s">
        <v>40</v>
      </c>
      <c r="W6" s="547" t="s">
        <v>40</v>
      </c>
      <c r="AF6" s="917" t="s">
        <v>40</v>
      </c>
      <c r="AG6" s="547" t="s">
        <v>40</v>
      </c>
      <c r="AL6" s="917" t="s">
        <v>40</v>
      </c>
      <c r="AM6" s="547" t="s">
        <v>40</v>
      </c>
    </row>
    <row r="7" spans="1:42" x14ac:dyDescent="0.25">
      <c r="C7" s="917" t="s">
        <v>280</v>
      </c>
      <c r="D7" s="547" t="s">
        <v>2149</v>
      </c>
      <c r="I7" s="917" t="s">
        <v>280</v>
      </c>
      <c r="J7" s="547" t="s">
        <v>2149</v>
      </c>
      <c r="O7" s="917" t="s">
        <v>280</v>
      </c>
      <c r="P7" s="547" t="s">
        <v>969</v>
      </c>
      <c r="V7" s="917" t="s">
        <v>280</v>
      </c>
      <c r="W7" s="547" t="s">
        <v>2149</v>
      </c>
      <c r="AF7" s="917" t="s">
        <v>280</v>
      </c>
      <c r="AG7" s="547" t="s">
        <v>2149</v>
      </c>
      <c r="AL7" s="917" t="s">
        <v>280</v>
      </c>
      <c r="AM7" s="547" t="s">
        <v>969</v>
      </c>
    </row>
    <row r="8" spans="1:42" x14ac:dyDescent="0.25">
      <c r="C8" s="925" t="s">
        <v>26</v>
      </c>
      <c r="D8" s="547" t="s">
        <v>44</v>
      </c>
      <c r="I8" s="925" t="s">
        <v>26</v>
      </c>
      <c r="J8" s="925" t="s">
        <v>454</v>
      </c>
      <c r="O8" s="925" t="s">
        <v>26</v>
      </c>
      <c r="P8" s="925" t="s">
        <v>454</v>
      </c>
      <c r="V8" s="925" t="s">
        <v>26</v>
      </c>
      <c r="W8" s="925" t="s">
        <v>866</v>
      </c>
      <c r="AF8" s="925" t="s">
        <v>26</v>
      </c>
      <c r="AG8" s="925" t="s">
        <v>454</v>
      </c>
      <c r="AL8" s="925" t="s">
        <v>26</v>
      </c>
      <c r="AM8" s="547" t="s">
        <v>454</v>
      </c>
    </row>
    <row r="9" spans="1:42" s="552" customFormat="1" ht="16.5" customHeight="1" x14ac:dyDescent="0.25">
      <c r="C9" s="547"/>
      <c r="D9" s="547"/>
      <c r="E9" s="630" t="s">
        <v>50</v>
      </c>
      <c r="F9" s="547"/>
      <c r="G9" s="547"/>
      <c r="I9" s="547"/>
      <c r="J9" s="547"/>
      <c r="K9" s="630" t="s">
        <v>50</v>
      </c>
      <c r="L9" s="547"/>
      <c r="M9" s="547"/>
      <c r="O9" s="547"/>
      <c r="P9" s="547"/>
      <c r="Q9" s="630" t="s">
        <v>969</v>
      </c>
      <c r="R9" s="547"/>
      <c r="S9" s="547"/>
      <c r="V9" s="547"/>
      <c r="W9" s="547"/>
      <c r="X9" s="630" t="s">
        <v>50</v>
      </c>
      <c r="Y9" s="547"/>
      <c r="Z9" s="547"/>
      <c r="AF9" s="547"/>
      <c r="AG9" s="547"/>
      <c r="AH9" s="630" t="s">
        <v>50</v>
      </c>
      <c r="AI9" s="547"/>
      <c r="AJ9" s="547"/>
      <c r="AL9" s="547"/>
      <c r="AM9" s="547"/>
      <c r="AN9" s="630" t="s">
        <v>969</v>
      </c>
      <c r="AO9" s="547"/>
      <c r="AP9" s="547"/>
    </row>
    <row r="10" spans="1:42" s="552" customFormat="1" ht="30" x14ac:dyDescent="0.25">
      <c r="C10" s="918" t="s">
        <v>27</v>
      </c>
      <c r="D10" s="552" t="s">
        <v>2430</v>
      </c>
      <c r="E10" s="552" t="s">
        <v>2425</v>
      </c>
      <c r="F10" s="552" t="s">
        <v>2426</v>
      </c>
      <c r="G10" s="552" t="s">
        <v>2427</v>
      </c>
      <c r="I10" s="918" t="s">
        <v>27</v>
      </c>
      <c r="J10" s="552" t="s">
        <v>2430</v>
      </c>
      <c r="K10" s="552" t="s">
        <v>2428</v>
      </c>
      <c r="L10" s="552" t="s">
        <v>2429</v>
      </c>
      <c r="M10" s="552" t="s">
        <v>2427</v>
      </c>
      <c r="O10" s="918" t="s">
        <v>27</v>
      </c>
      <c r="P10" s="552" t="s">
        <v>2430</v>
      </c>
      <c r="Q10" s="552" t="s">
        <v>2428</v>
      </c>
      <c r="R10" s="552" t="s">
        <v>2429</v>
      </c>
      <c r="S10" s="552" t="s">
        <v>2427</v>
      </c>
      <c r="V10" s="918" t="s">
        <v>2142</v>
      </c>
      <c r="W10" s="552" t="s">
        <v>2430</v>
      </c>
      <c r="X10" s="552" t="s">
        <v>2431</v>
      </c>
      <c r="Y10" s="552" t="s">
        <v>2432</v>
      </c>
      <c r="Z10" s="552" t="s">
        <v>2427</v>
      </c>
      <c r="AF10" s="918" t="s">
        <v>27</v>
      </c>
      <c r="AG10" s="917" t="s">
        <v>25</v>
      </c>
      <c r="AH10"/>
      <c r="AI10"/>
      <c r="AJ10"/>
      <c r="AL10" s="918" t="s">
        <v>27</v>
      </c>
      <c r="AM10" s="917" t="s">
        <v>25</v>
      </c>
      <c r="AN10"/>
      <c r="AO10"/>
      <c r="AP10"/>
    </row>
    <row r="11" spans="1:42" ht="15.75" x14ac:dyDescent="0.25">
      <c r="C11" s="549" t="s">
        <v>341</v>
      </c>
      <c r="D11" s="553">
        <v>8807</v>
      </c>
      <c r="E11" s="550">
        <v>0.25</v>
      </c>
      <c r="F11" s="550">
        <v>0.34731664738371615</v>
      </c>
      <c r="G11" s="550">
        <v>0.5</v>
      </c>
      <c r="I11" s="549" t="s">
        <v>518</v>
      </c>
      <c r="J11" s="553">
        <v>981</v>
      </c>
      <c r="K11" s="550">
        <v>0</v>
      </c>
      <c r="L11" s="550">
        <v>0</v>
      </c>
      <c r="M11" s="550">
        <v>0</v>
      </c>
      <c r="O11" s="549" t="s">
        <v>480</v>
      </c>
      <c r="P11" s="553">
        <v>7015</v>
      </c>
      <c r="Q11" s="550">
        <v>0.58633247643530417</v>
      </c>
      <c r="R11" s="550">
        <v>0.96935067697369171</v>
      </c>
      <c r="S11" s="550">
        <v>0.16666666666666666</v>
      </c>
      <c r="V11" s="549" t="s">
        <v>888</v>
      </c>
      <c r="W11" s="551">
        <v>313</v>
      </c>
      <c r="X11" s="550">
        <v>0</v>
      </c>
      <c r="Y11" s="550">
        <v>0</v>
      </c>
      <c r="Z11" s="550">
        <v>1</v>
      </c>
      <c r="AF11" s="547" t="s">
        <v>518</v>
      </c>
      <c r="AG11" s="547" t="s">
        <v>527</v>
      </c>
      <c r="AH11"/>
      <c r="AI11"/>
      <c r="AJ11"/>
      <c r="AL11" s="547" t="s">
        <v>480</v>
      </c>
      <c r="AM11" s="547" t="s">
        <v>530</v>
      </c>
      <c r="AN11"/>
      <c r="AO11"/>
      <c r="AP11"/>
    </row>
    <row r="12" spans="1:42" ht="15.75" x14ac:dyDescent="0.25">
      <c r="C12" s="549" t="s">
        <v>292</v>
      </c>
      <c r="D12" s="553">
        <v>2422</v>
      </c>
      <c r="E12" s="550">
        <v>0.4</v>
      </c>
      <c r="F12" s="550">
        <v>4.374240583232078E-2</v>
      </c>
      <c r="G12" s="550">
        <v>1</v>
      </c>
      <c r="I12" s="549" t="s">
        <v>463</v>
      </c>
      <c r="J12" s="553">
        <v>581</v>
      </c>
      <c r="K12" s="550">
        <v>0</v>
      </c>
      <c r="L12" s="550">
        <v>0.55077452667814109</v>
      </c>
      <c r="M12" s="550">
        <v>1</v>
      </c>
      <c r="O12" s="549" t="s">
        <v>463</v>
      </c>
      <c r="P12" s="553">
        <v>10250</v>
      </c>
      <c r="Q12" s="550">
        <v>1</v>
      </c>
      <c r="R12" s="550">
        <v>0.86182149330792646</v>
      </c>
      <c r="S12" s="550">
        <v>1</v>
      </c>
      <c r="V12" s="549" t="s">
        <v>870</v>
      </c>
      <c r="W12" s="551">
        <v>4822</v>
      </c>
      <c r="X12" s="550">
        <v>6.6666666666666666E-2</v>
      </c>
      <c r="Y12" s="550">
        <v>7.0684424853862282E-2</v>
      </c>
      <c r="Z12" s="550">
        <v>1</v>
      </c>
      <c r="AF12" s="547" t="s">
        <v>463</v>
      </c>
      <c r="AG12" s="547" t="s">
        <v>453</v>
      </c>
      <c r="AH12"/>
      <c r="AI12"/>
      <c r="AJ12"/>
      <c r="AL12" s="547" t="s">
        <v>463</v>
      </c>
      <c r="AM12" s="547" t="s">
        <v>479</v>
      </c>
      <c r="AN12"/>
      <c r="AO12"/>
      <c r="AP12"/>
    </row>
    <row r="13" spans="1:42" ht="15.75" x14ac:dyDescent="0.25">
      <c r="C13" s="549" t="s">
        <v>294</v>
      </c>
      <c r="D13" s="553">
        <v>3938</v>
      </c>
      <c r="E13" s="550">
        <v>0.11697174052665382</v>
      </c>
      <c r="F13" s="550">
        <v>0.14123629122350467</v>
      </c>
      <c r="G13" s="550">
        <v>1</v>
      </c>
      <c r="I13" s="549" t="s">
        <v>560</v>
      </c>
      <c r="J13" s="553">
        <v>2835</v>
      </c>
      <c r="K13" s="550">
        <v>0</v>
      </c>
      <c r="L13" s="550">
        <v>0</v>
      </c>
      <c r="M13" s="550">
        <v>0</v>
      </c>
      <c r="O13" s="549" t="s">
        <v>466</v>
      </c>
      <c r="P13" s="553">
        <v>8977</v>
      </c>
      <c r="Q13" s="550">
        <v>0.75143953934740881</v>
      </c>
      <c r="R13" s="550">
        <v>0.96248619433687743</v>
      </c>
      <c r="S13" s="550">
        <v>0.21428571428571427</v>
      </c>
      <c r="V13" s="549" t="s">
        <v>873</v>
      </c>
      <c r="W13" s="551">
        <v>618</v>
      </c>
      <c r="X13" s="550">
        <v>0</v>
      </c>
      <c r="Y13" s="550">
        <v>3.8986354775828458E-2</v>
      </c>
      <c r="Z13" s="550">
        <v>1</v>
      </c>
      <c r="AF13" s="547" t="s">
        <v>560</v>
      </c>
      <c r="AG13" s="547" t="s">
        <v>559</v>
      </c>
      <c r="AH13"/>
      <c r="AI13"/>
      <c r="AJ13"/>
      <c r="AM13" s="547" t="s">
        <v>453</v>
      </c>
      <c r="AN13"/>
      <c r="AO13"/>
      <c r="AP13"/>
    </row>
    <row r="14" spans="1:42" ht="15.75" x14ac:dyDescent="0.25">
      <c r="C14" s="549" t="s">
        <v>45</v>
      </c>
      <c r="D14" s="553">
        <v>11970</v>
      </c>
      <c r="E14" s="550">
        <v>0</v>
      </c>
      <c r="F14" s="550">
        <v>4.3276661514683151E-2</v>
      </c>
      <c r="G14" s="550">
        <v>0.8</v>
      </c>
      <c r="I14" s="549" t="s">
        <v>563</v>
      </c>
      <c r="J14" s="553">
        <v>22088</v>
      </c>
      <c r="K14" s="550">
        <v>0.36253810636653705</v>
      </c>
      <c r="L14" s="550">
        <v>0.31542268721093464</v>
      </c>
      <c r="M14" s="550">
        <v>0.2</v>
      </c>
      <c r="O14" s="549" t="s">
        <v>560</v>
      </c>
      <c r="P14" s="553">
        <v>217</v>
      </c>
      <c r="Q14" s="550">
        <v>0</v>
      </c>
      <c r="R14" s="550">
        <v>0</v>
      </c>
      <c r="S14" s="550">
        <v>0</v>
      </c>
      <c r="V14" s="549" t="s">
        <v>876</v>
      </c>
      <c r="W14" s="551">
        <v>1658</v>
      </c>
      <c r="X14" s="550">
        <v>0.25</v>
      </c>
      <c r="Y14" s="550">
        <v>0.27808988764044945</v>
      </c>
      <c r="Z14" s="550">
        <v>1</v>
      </c>
      <c r="AF14" s="547" t="s">
        <v>563</v>
      </c>
      <c r="AG14" s="547" t="s">
        <v>571</v>
      </c>
      <c r="AH14"/>
      <c r="AI14"/>
      <c r="AJ14"/>
      <c r="AM14" s="547" t="s">
        <v>1373</v>
      </c>
      <c r="AN14"/>
      <c r="AO14"/>
      <c r="AP14"/>
    </row>
    <row r="15" spans="1:42" ht="15.75" x14ac:dyDescent="0.25">
      <c r="C15" s="549" t="s">
        <v>298</v>
      </c>
      <c r="D15" s="553">
        <v>1696</v>
      </c>
      <c r="E15" s="550">
        <v>0</v>
      </c>
      <c r="F15" s="550">
        <v>0.2877297764765866</v>
      </c>
      <c r="G15" s="550">
        <v>1</v>
      </c>
      <c r="I15" s="549" t="s">
        <v>455</v>
      </c>
      <c r="J15" s="553">
        <v>96508</v>
      </c>
      <c r="K15" s="550">
        <v>6.25E-2</v>
      </c>
      <c r="L15" s="550">
        <v>0.11415086394786192</v>
      </c>
      <c r="M15" s="550">
        <v>0.125</v>
      </c>
      <c r="O15" s="549" t="s">
        <v>563</v>
      </c>
      <c r="P15" s="553">
        <v>8949</v>
      </c>
      <c r="Q15" s="550">
        <v>0.28355420523258407</v>
      </c>
      <c r="R15" s="550">
        <v>0.39890830061610516</v>
      </c>
      <c r="S15" s="550">
        <v>1</v>
      </c>
      <c r="V15" s="549" t="s">
        <v>867</v>
      </c>
      <c r="W15" s="551">
        <v>1901</v>
      </c>
      <c r="X15" s="550">
        <v>0</v>
      </c>
      <c r="Y15" s="550">
        <v>0.19406259621787667</v>
      </c>
      <c r="Z15" s="550">
        <v>0.33333333333333331</v>
      </c>
      <c r="AC15"/>
      <c r="AD15"/>
      <c r="AE15"/>
      <c r="AG15" s="547" t="s">
        <v>447</v>
      </c>
      <c r="AH15"/>
      <c r="AI15"/>
      <c r="AJ15"/>
      <c r="AL15" s="547" t="s">
        <v>466</v>
      </c>
      <c r="AM15" s="547" t="s">
        <v>469</v>
      </c>
      <c r="AN15"/>
      <c r="AO15"/>
      <c r="AP15"/>
    </row>
    <row r="16" spans="1:42" ht="15.75" x14ac:dyDescent="0.25">
      <c r="C16" s="549" t="s">
        <v>303</v>
      </c>
      <c r="D16" s="553">
        <v>286</v>
      </c>
      <c r="E16" s="550">
        <v>0.33333333333333331</v>
      </c>
      <c r="F16" s="550">
        <v>0.38854952688944788</v>
      </c>
      <c r="G16" s="550">
        <v>1</v>
      </c>
      <c r="I16" s="549" t="s">
        <v>2150</v>
      </c>
      <c r="J16" s="553">
        <v>122993</v>
      </c>
      <c r="K16" s="550">
        <v>0.11719543882636189</v>
      </c>
      <c r="L16" s="550">
        <v>0.16476257441244188</v>
      </c>
      <c r="M16" s="550">
        <v>0.16666666666666666</v>
      </c>
      <c r="O16" s="549" t="s">
        <v>498</v>
      </c>
      <c r="P16" s="553">
        <v>7185</v>
      </c>
      <c r="Q16" s="550">
        <v>0.21904761904761905</v>
      </c>
      <c r="R16" s="550">
        <v>0.72630664061749584</v>
      </c>
      <c r="S16" s="550">
        <v>1</v>
      </c>
      <c r="V16" s="549" t="s">
        <v>890</v>
      </c>
      <c r="W16" s="551">
        <v>1073</v>
      </c>
      <c r="X16" s="550">
        <v>0</v>
      </c>
      <c r="Y16" s="550">
        <v>5.9520246290674303E-2</v>
      </c>
      <c r="Z16" s="550">
        <v>1</v>
      </c>
      <c r="AC16"/>
      <c r="AD16"/>
      <c r="AE16"/>
      <c r="AG16" s="547" t="s">
        <v>426</v>
      </c>
      <c r="AH16"/>
      <c r="AI16"/>
      <c r="AJ16"/>
      <c r="AM16" s="547" t="s">
        <v>530</v>
      </c>
      <c r="AN16"/>
      <c r="AO16"/>
      <c r="AP16"/>
    </row>
    <row r="17" spans="1:42" ht="15.75" x14ac:dyDescent="0.25">
      <c r="C17" s="549" t="s">
        <v>351</v>
      </c>
      <c r="D17" s="553">
        <v>27276</v>
      </c>
      <c r="E17" s="550">
        <v>0</v>
      </c>
      <c r="F17" s="550">
        <v>0.17904311585639093</v>
      </c>
      <c r="G17" s="550">
        <v>0.68421052631578949</v>
      </c>
      <c r="I17"/>
      <c r="J17"/>
      <c r="K17"/>
      <c r="L17"/>
      <c r="M17"/>
      <c r="O17" s="549" t="s">
        <v>455</v>
      </c>
      <c r="P17" s="553">
        <v>30162</v>
      </c>
      <c r="Q17" s="550">
        <v>0.17945275003991323</v>
      </c>
      <c r="R17" s="550">
        <v>0.53977965949143558</v>
      </c>
      <c r="S17" s="550">
        <v>1</v>
      </c>
      <c r="V17" s="549" t="s">
        <v>1449</v>
      </c>
      <c r="W17" s="551">
        <v>88</v>
      </c>
      <c r="X17" s="550">
        <v>1</v>
      </c>
      <c r="Y17" s="550">
        <v>0.90909090909090906</v>
      </c>
      <c r="Z17" s="550">
        <v>1</v>
      </c>
      <c r="AC17"/>
      <c r="AD17"/>
      <c r="AE17"/>
      <c r="AF17" s="547" t="s">
        <v>455</v>
      </c>
      <c r="AG17" s="547" t="s">
        <v>479</v>
      </c>
      <c r="AH17"/>
      <c r="AI17"/>
      <c r="AJ17"/>
      <c r="AL17" s="547" t="s">
        <v>560</v>
      </c>
      <c r="AM17" s="547" t="s">
        <v>559</v>
      </c>
      <c r="AN17"/>
      <c r="AO17"/>
      <c r="AP17"/>
    </row>
    <row r="18" spans="1:42" ht="15.75" x14ac:dyDescent="0.25">
      <c r="C18" s="549" t="s">
        <v>305</v>
      </c>
      <c r="D18" s="553">
        <v>9067</v>
      </c>
      <c r="E18" s="550">
        <v>0.11538461538461539</v>
      </c>
      <c r="F18" s="550">
        <v>0.29048580990882999</v>
      </c>
      <c r="G18" s="550">
        <v>1</v>
      </c>
      <c r="O18" s="549" t="s">
        <v>2150</v>
      </c>
      <c r="P18" s="553">
        <v>72755</v>
      </c>
      <c r="Q18" s="550">
        <v>0.45379129708997279</v>
      </c>
      <c r="R18" s="550">
        <v>0.71948592266946365</v>
      </c>
      <c r="S18" s="550">
        <v>0.78749999999999998</v>
      </c>
      <c r="V18" s="549" t="s">
        <v>2150</v>
      </c>
      <c r="W18" s="551">
        <v>10473</v>
      </c>
      <c r="X18" s="550">
        <v>8.3333333333333329E-2</v>
      </c>
      <c r="Y18" s="550">
        <v>0.12946257515413218</v>
      </c>
      <c r="Z18" s="550">
        <v>0.88888888888888884</v>
      </c>
      <c r="AC18"/>
      <c r="AD18"/>
      <c r="AE18"/>
      <c r="AG18" s="547" t="s">
        <v>571</v>
      </c>
      <c r="AL18" s="547" t="s">
        <v>563</v>
      </c>
      <c r="AM18" s="547" t="s">
        <v>447</v>
      </c>
      <c r="AN18"/>
      <c r="AO18"/>
      <c r="AP18"/>
    </row>
    <row r="19" spans="1:42" ht="15.75" x14ac:dyDescent="0.25">
      <c r="C19" s="549" t="s">
        <v>319</v>
      </c>
      <c r="D19" s="553">
        <v>281</v>
      </c>
      <c r="E19" s="550">
        <v>0</v>
      </c>
      <c r="F19" s="550">
        <v>0.42704626334519569</v>
      </c>
      <c r="G19" s="550">
        <v>1</v>
      </c>
      <c r="O19"/>
      <c r="P19"/>
      <c r="Q19"/>
      <c r="R19"/>
      <c r="S19"/>
      <c r="AG19" s="547" t="s">
        <v>527</v>
      </c>
      <c r="AM19" s="547" t="s">
        <v>426</v>
      </c>
    </row>
    <row r="20" spans="1:42" x14ac:dyDescent="0.25">
      <c r="C20" s="549" t="s">
        <v>360</v>
      </c>
      <c r="D20" s="553">
        <v>2418</v>
      </c>
      <c r="E20" s="550">
        <v>0.5</v>
      </c>
      <c r="F20" s="550">
        <v>0.61244747024757284</v>
      </c>
      <c r="G20" s="550">
        <v>0.66666666666666663</v>
      </c>
      <c r="AG20" s="547" t="s">
        <v>2774</v>
      </c>
      <c r="AL20" s="547" t="s">
        <v>498</v>
      </c>
      <c r="AM20" s="547" t="s">
        <v>530</v>
      </c>
    </row>
    <row r="21" spans="1:42" x14ac:dyDescent="0.25">
      <c r="C21" s="549" t="s">
        <v>330</v>
      </c>
      <c r="D21" s="553">
        <v>815</v>
      </c>
      <c r="E21" s="550">
        <v>1</v>
      </c>
      <c r="F21" s="550">
        <v>0</v>
      </c>
      <c r="G21" s="550">
        <v>1</v>
      </c>
      <c r="I21" s="550"/>
      <c r="J21" s="550"/>
      <c r="N21" s="554"/>
      <c r="O21" s="554"/>
      <c r="AG21" s="547" t="s">
        <v>426</v>
      </c>
      <c r="AL21" s="547" t="s">
        <v>455</v>
      </c>
      <c r="AM21" s="547" t="s">
        <v>479</v>
      </c>
    </row>
    <row r="22" spans="1:42" ht="15.75" x14ac:dyDescent="0.25">
      <c r="C22" s="549" t="s">
        <v>1311</v>
      </c>
      <c r="D22" s="553">
        <v>936</v>
      </c>
      <c r="E22" s="550">
        <v>8.7398373983739813E-2</v>
      </c>
      <c r="F22" s="550">
        <v>0.23956639566395665</v>
      </c>
      <c r="G22" s="550">
        <v>1</v>
      </c>
      <c r="K22" s="630"/>
      <c r="N22" s="554"/>
      <c r="O22" s="554"/>
      <c r="AF22"/>
      <c r="AG22"/>
      <c r="AM22" s="547" t="s">
        <v>453</v>
      </c>
    </row>
    <row r="23" spans="1:42" ht="15.75" x14ac:dyDescent="0.25">
      <c r="C23" s="549" t="s">
        <v>288</v>
      </c>
      <c r="D23" s="553">
        <v>23538</v>
      </c>
      <c r="E23" s="550">
        <v>0</v>
      </c>
      <c r="F23" s="550">
        <v>0.21428956305623242</v>
      </c>
      <c r="G23" s="550">
        <v>0.92</v>
      </c>
      <c r="I23" s="552"/>
      <c r="J23" s="552"/>
      <c r="K23" s="552"/>
      <c r="L23" s="552"/>
      <c r="M23" s="552"/>
      <c r="AF23"/>
      <c r="AG23"/>
      <c r="AM23" s="547" t="s">
        <v>527</v>
      </c>
    </row>
    <row r="24" spans="1:42" ht="15.75" x14ac:dyDescent="0.25">
      <c r="C24" s="549" t="s">
        <v>2150</v>
      </c>
      <c r="D24" s="553">
        <v>93450</v>
      </c>
      <c r="E24" s="550">
        <v>0.11671370931003164</v>
      </c>
      <c r="F24" s="550">
        <v>0.22873184864288873</v>
      </c>
      <c r="G24" s="550">
        <v>0.87755102040816324</v>
      </c>
      <c r="I24" s="549"/>
      <c r="J24" s="550"/>
      <c r="K24" s="550"/>
      <c r="L24" s="550"/>
      <c r="M24" s="553"/>
      <c r="AF24"/>
      <c r="AG24"/>
      <c r="AM24" s="547" t="s">
        <v>447</v>
      </c>
    </row>
    <row r="25" spans="1:42" ht="15.75" x14ac:dyDescent="0.25">
      <c r="C25"/>
      <c r="D25"/>
      <c r="E25"/>
      <c r="F25"/>
      <c r="G25"/>
      <c r="I25" s="549"/>
      <c r="J25" s="550"/>
      <c r="K25" s="550"/>
      <c r="L25" s="550"/>
      <c r="M25" s="553"/>
      <c r="AF25"/>
      <c r="AG25"/>
      <c r="AM25" s="547" t="s">
        <v>2779</v>
      </c>
    </row>
    <row r="26" spans="1:42" ht="15.75" x14ac:dyDescent="0.25">
      <c r="C26" s="554"/>
      <c r="D26" s="554"/>
      <c r="E26" s="554"/>
      <c r="F26" s="554"/>
      <c r="G26" s="554"/>
      <c r="I26" s="549"/>
      <c r="J26" s="550"/>
      <c r="K26" s="550"/>
      <c r="L26" s="550"/>
      <c r="M26" s="553"/>
      <c r="AF26"/>
      <c r="AG26"/>
      <c r="AM26" s="547" t="s">
        <v>426</v>
      </c>
    </row>
    <row r="27" spans="1:42" ht="15.75" x14ac:dyDescent="0.25">
      <c r="C27" s="554"/>
      <c r="D27" s="554"/>
      <c r="E27" s="554"/>
      <c r="F27" s="554"/>
      <c r="G27" s="554"/>
      <c r="I27" s="549"/>
      <c r="J27" s="550"/>
      <c r="K27" s="550"/>
      <c r="L27" s="550"/>
      <c r="M27" s="553"/>
      <c r="AF27"/>
      <c r="AG27"/>
      <c r="AL27"/>
      <c r="AM27"/>
    </row>
    <row r="28" spans="1:42" ht="15.75" x14ac:dyDescent="0.25">
      <c r="C28" s="554"/>
      <c r="D28" s="554"/>
      <c r="E28" s="554"/>
      <c r="F28" s="554"/>
      <c r="G28" s="554"/>
      <c r="AF28"/>
      <c r="AL28"/>
      <c r="AM28"/>
    </row>
    <row r="29" spans="1:42" ht="15.75" x14ac:dyDescent="0.25">
      <c r="C29" s="554"/>
      <c r="D29" s="554"/>
      <c r="E29" s="554"/>
      <c r="F29" s="554"/>
      <c r="G29" s="554"/>
      <c r="AF29"/>
      <c r="AL29"/>
      <c r="AM29"/>
    </row>
    <row r="30" spans="1:42" ht="15.75" x14ac:dyDescent="0.25">
      <c r="AF30"/>
      <c r="AL30"/>
      <c r="AM30"/>
    </row>
    <row r="31" spans="1:42" ht="18.75" x14ac:dyDescent="0.3">
      <c r="A31" s="624" t="s">
        <v>2724</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F31"/>
      <c r="AL31"/>
      <c r="AM31"/>
    </row>
    <row r="32" spans="1:42" ht="15.75" x14ac:dyDescent="0.25">
      <c r="AF32"/>
      <c r="AL32"/>
      <c r="AM32"/>
    </row>
    <row r="33" spans="2:39" ht="15.75" x14ac:dyDescent="0.25">
      <c r="AL33"/>
      <c r="AM33"/>
    </row>
    <row r="34" spans="2:39" ht="15.75" x14ac:dyDescent="0.25">
      <c r="AL34"/>
    </row>
    <row r="35" spans="2:39" ht="15.75" x14ac:dyDescent="0.25">
      <c r="B35" s="917" t="s">
        <v>24</v>
      </c>
      <c r="C35" s="547" t="s">
        <v>3206</v>
      </c>
      <c r="P35" s="917" t="s">
        <v>24</v>
      </c>
      <c r="Q35" s="547" t="s">
        <v>3206</v>
      </c>
      <c r="AL35"/>
    </row>
    <row r="36" spans="2:39" ht="15.75" x14ac:dyDescent="0.25">
      <c r="B36" s="917" t="s">
        <v>280</v>
      </c>
      <c r="C36" s="547" t="s">
        <v>2149</v>
      </c>
      <c r="I36" s="917" t="s">
        <v>24</v>
      </c>
      <c r="J36" s="547" t="s">
        <v>3206</v>
      </c>
      <c r="P36" s="917" t="s">
        <v>280</v>
      </c>
      <c r="Q36" s="547" t="s">
        <v>2149</v>
      </c>
      <c r="AL36"/>
    </row>
    <row r="37" spans="2:39" ht="15.75" x14ac:dyDescent="0.25">
      <c r="B37" s="925" t="s">
        <v>26</v>
      </c>
      <c r="C37" s="925" t="s">
        <v>44</v>
      </c>
      <c r="I37" s="925" t="s">
        <v>26</v>
      </c>
      <c r="J37" s="925" t="s">
        <v>454</v>
      </c>
      <c r="P37" s="925" t="s">
        <v>26</v>
      </c>
      <c r="Q37" s="925" t="s">
        <v>866</v>
      </c>
      <c r="AL37"/>
    </row>
    <row r="38" spans="2:39" ht="15.75" x14ac:dyDescent="0.25">
      <c r="B38" s="917" t="s">
        <v>40</v>
      </c>
      <c r="C38" s="547" t="s">
        <v>40</v>
      </c>
      <c r="I38" s="917" t="s">
        <v>40</v>
      </c>
      <c r="J38" s="547" t="s">
        <v>40</v>
      </c>
      <c r="P38" s="917" t="s">
        <v>40</v>
      </c>
      <c r="Q38" s="547" t="s">
        <v>40</v>
      </c>
      <c r="AL38"/>
    </row>
    <row r="39" spans="2:39" ht="15.75" x14ac:dyDescent="0.25">
      <c r="AL39"/>
    </row>
    <row r="40" spans="2:39" ht="15.75" x14ac:dyDescent="0.25">
      <c r="B40" s="918" t="s">
        <v>2142</v>
      </c>
      <c r="C40" s="552" t="s">
        <v>2160</v>
      </c>
      <c r="D40" s="552" t="s">
        <v>2161</v>
      </c>
      <c r="E40" s="554"/>
      <c r="I40" s="918" t="s">
        <v>2142</v>
      </c>
      <c r="J40" s="552" t="s">
        <v>2160</v>
      </c>
      <c r="K40" s="552" t="s">
        <v>2161</v>
      </c>
      <c r="P40" s="918" t="s">
        <v>2142</v>
      </c>
      <c r="Q40" s="552" t="s">
        <v>2160</v>
      </c>
      <c r="R40" s="552" t="s">
        <v>2161</v>
      </c>
      <c r="AL40"/>
    </row>
    <row r="41" spans="2:39" x14ac:dyDescent="0.25">
      <c r="B41" s="549" t="s">
        <v>2750</v>
      </c>
      <c r="C41" s="556">
        <v>98.045333333333332</v>
      </c>
      <c r="D41" s="556">
        <v>62.796666666666638</v>
      </c>
      <c r="E41" s="554"/>
      <c r="I41" s="549" t="s">
        <v>2748</v>
      </c>
      <c r="J41" s="556">
        <v>227.05800000000002</v>
      </c>
      <c r="K41" s="556">
        <v>20.216000000000001</v>
      </c>
      <c r="P41" s="549" t="s">
        <v>2750</v>
      </c>
      <c r="Q41" s="556">
        <v>19.093999999999998</v>
      </c>
      <c r="R41" s="556">
        <v>19.753999999999998</v>
      </c>
    </row>
    <row r="42" spans="2:39" ht="15.75" x14ac:dyDescent="0.25">
      <c r="B42" s="549" t="s">
        <v>2751</v>
      </c>
      <c r="C42" s="556">
        <v>78.998000000000005</v>
      </c>
      <c r="D42" s="556">
        <v>9.4759999999999991</v>
      </c>
      <c r="E42" s="554"/>
      <c r="I42" s="549" t="s">
        <v>2749</v>
      </c>
      <c r="J42" s="556">
        <v>77.408000000000001</v>
      </c>
      <c r="K42" s="556">
        <v>81.783999999999992</v>
      </c>
      <c r="P42"/>
      <c r="Q42"/>
      <c r="R42"/>
    </row>
    <row r="43" spans="2:39" ht="15.75" x14ac:dyDescent="0.25">
      <c r="B43"/>
      <c r="C43"/>
      <c r="D43"/>
      <c r="E43" s="554"/>
      <c r="F43" s="554"/>
      <c r="G43" s="554"/>
      <c r="H43" s="554"/>
      <c r="I43" s="554"/>
    </row>
    <row r="44" spans="2:39" x14ac:dyDescent="0.25">
      <c r="F44" s="554"/>
      <c r="G44" s="554"/>
      <c r="H44" s="554"/>
      <c r="I44" s="554"/>
    </row>
    <row r="48" spans="2:39" x14ac:dyDescent="0.25">
      <c r="B48" s="554"/>
      <c r="C48" s="554"/>
      <c r="D48" s="554"/>
      <c r="F48" s="554"/>
      <c r="G48" s="554"/>
      <c r="H48" s="554"/>
      <c r="J48" s="554"/>
      <c r="K48" s="554"/>
      <c r="L48" s="554"/>
    </row>
    <row r="49" spans="2:16" x14ac:dyDescent="0.25">
      <c r="B49" s="554"/>
      <c r="C49" s="554"/>
      <c r="D49" s="554"/>
      <c r="F49" s="554"/>
      <c r="G49" s="554"/>
      <c r="H49" s="554"/>
      <c r="J49" s="554"/>
      <c r="K49" s="554"/>
      <c r="L49" s="554"/>
    </row>
    <row r="50" spans="2:16" x14ac:dyDescent="0.25">
      <c r="B50" s="917" t="s">
        <v>24</v>
      </c>
      <c r="C50" s="547" t="s">
        <v>3206</v>
      </c>
      <c r="D50" s="554"/>
      <c r="E50" s="867" t="s">
        <v>3211</v>
      </c>
      <c r="F50" s="554"/>
      <c r="G50" s="554"/>
      <c r="H50" s="554"/>
      <c r="J50" s="554"/>
      <c r="K50" s="554"/>
      <c r="L50" s="554"/>
    </row>
    <row r="51" spans="2:16" x14ac:dyDescent="0.25">
      <c r="B51" s="917" t="s">
        <v>40</v>
      </c>
      <c r="C51" s="547" t="s">
        <v>40</v>
      </c>
      <c r="D51" s="554"/>
      <c r="F51" s="554"/>
      <c r="G51" s="554"/>
      <c r="H51" s="554"/>
      <c r="J51" s="554"/>
      <c r="K51" s="554"/>
      <c r="L51" s="554"/>
    </row>
    <row r="52" spans="2:16" x14ac:dyDescent="0.25">
      <c r="B52" s="917" t="s">
        <v>280</v>
      </c>
      <c r="C52" s="547" t="s">
        <v>2149</v>
      </c>
      <c r="D52" s="554"/>
      <c r="F52" s="554"/>
      <c r="G52" s="554"/>
      <c r="H52" s="554"/>
      <c r="J52" s="554"/>
      <c r="K52" s="554"/>
      <c r="L52" s="554"/>
    </row>
    <row r="53" spans="2:16" ht="15.75" thickBot="1" x14ac:dyDescent="0.3">
      <c r="B53" s="554"/>
      <c r="C53" s="554"/>
      <c r="D53" s="554"/>
      <c r="F53" s="554"/>
      <c r="G53" s="554"/>
      <c r="H53" s="554"/>
      <c r="J53" s="554"/>
      <c r="K53" s="554"/>
      <c r="L53" s="554"/>
    </row>
    <row r="54" spans="2:16" ht="45" x14ac:dyDescent="0.25">
      <c r="B54" s="918" t="s">
        <v>26</v>
      </c>
      <c r="C54" s="552" t="s">
        <v>2417</v>
      </c>
      <c r="D54" s="552" t="s">
        <v>2575</v>
      </c>
      <c r="E54" s="552" t="s">
        <v>2416</v>
      </c>
      <c r="F54" s="554"/>
      <c r="G54" s="557" t="s">
        <v>26</v>
      </c>
      <c r="H54" s="558" t="s">
        <v>2608</v>
      </c>
      <c r="I54" s="559" t="s">
        <v>2609</v>
      </c>
      <c r="K54" s="554"/>
      <c r="L54" s="554"/>
    </row>
    <row r="55" spans="2:16" x14ac:dyDescent="0.25">
      <c r="B55" s="549" t="s">
        <v>44</v>
      </c>
      <c r="C55" s="550">
        <v>0.32352448410983253</v>
      </c>
      <c r="D55" s="550">
        <v>0.18137254901960786</v>
      </c>
      <c r="E55" s="551">
        <v>147</v>
      </c>
      <c r="F55" s="554"/>
      <c r="G55" s="560" t="s">
        <v>44</v>
      </c>
      <c r="H55" s="561">
        <f>1-GETPIVOTDATA("Average of %Water samples which passed at HH",$B$54,"State","Kachin")</f>
        <v>0.67647551589016741</v>
      </c>
      <c r="I55" s="562">
        <f>1-GETPIVOTDATA("Average of %of Water samples which passed at water source",$B$54,"State","Kachin")</f>
        <v>0.81862745098039214</v>
      </c>
      <c r="K55" s="554"/>
      <c r="P55" s="563"/>
    </row>
    <row r="56" spans="2:16" x14ac:dyDescent="0.25">
      <c r="B56" s="549" t="s">
        <v>454</v>
      </c>
      <c r="C56" s="550">
        <v>0.41795242736702493</v>
      </c>
      <c r="D56" s="550">
        <v>0.69340853608078723</v>
      </c>
      <c r="E56" s="551">
        <v>24</v>
      </c>
      <c r="F56" s="554"/>
      <c r="G56" s="560" t="s">
        <v>454</v>
      </c>
      <c r="H56" s="561">
        <f>1-GETPIVOTDATA("Average of %Water samples which passed at HH",$B$54,"State","Rakhine")</f>
        <v>0.58204757263297502</v>
      </c>
      <c r="I56" s="562">
        <f>1-GETPIVOTDATA("Average of %of Water samples which passed at water source",$B$54,"State","Rakhine")</f>
        <v>0.30659146391921277</v>
      </c>
      <c r="L56" s="550"/>
      <c r="O56" s="550"/>
      <c r="P56" s="563"/>
    </row>
    <row r="57" spans="2:16" ht="15.75" thickBot="1" x14ac:dyDescent="0.3">
      <c r="B57" s="549" t="s">
        <v>866</v>
      </c>
      <c r="C57" s="550">
        <v>0.54757885876306933</v>
      </c>
      <c r="D57" s="550">
        <v>0.52083333333333326</v>
      </c>
      <c r="E57" s="551">
        <v>36</v>
      </c>
      <c r="F57" s="554"/>
      <c r="G57" s="564" t="s">
        <v>866</v>
      </c>
      <c r="H57" s="565">
        <f>1-GETPIVOTDATA("Average of %Water samples which passed at HH",$B$54,"State","Shan (North)")</f>
        <v>0.45242114123693067</v>
      </c>
      <c r="I57" s="566">
        <f>1-GETPIVOTDATA("Average of %of Water samples which passed at water source",$B$54,"State","Shan (North)")</f>
        <v>0.47916666666666674</v>
      </c>
    </row>
    <row r="58" spans="2:16" x14ac:dyDescent="0.25">
      <c r="B58" s="554"/>
      <c r="C58" s="554"/>
      <c r="D58" s="554"/>
      <c r="E58" s="554"/>
      <c r="F58" s="554"/>
      <c r="I58" s="567"/>
    </row>
    <row r="59" spans="2:16" x14ac:dyDescent="0.25">
      <c r="B59" s="554"/>
      <c r="C59" s="554"/>
      <c r="D59" s="554"/>
    </row>
    <row r="60" spans="2:16" x14ac:dyDescent="0.25">
      <c r="B60" s="917" t="s">
        <v>24</v>
      </c>
      <c r="C60" s="547" t="s">
        <v>3206</v>
      </c>
      <c r="D60" s="554"/>
    </row>
    <row r="61" spans="2:16" x14ac:dyDescent="0.25">
      <c r="B61" s="917" t="s">
        <v>40</v>
      </c>
      <c r="C61" s="547" t="s">
        <v>40</v>
      </c>
      <c r="D61" s="554"/>
      <c r="E61" s="867" t="s">
        <v>3211</v>
      </c>
    </row>
    <row r="62" spans="2:16" x14ac:dyDescent="0.25">
      <c r="B62" s="917" t="s">
        <v>280</v>
      </c>
      <c r="C62" s="547" t="s">
        <v>2149</v>
      </c>
      <c r="D62" s="554"/>
    </row>
    <row r="63" spans="2:16" x14ac:dyDescent="0.25">
      <c r="B63" s="554"/>
      <c r="C63" s="554"/>
      <c r="D63" s="554"/>
    </row>
    <row r="64" spans="2:16" x14ac:dyDescent="0.25">
      <c r="B64" s="917" t="s">
        <v>2606</v>
      </c>
      <c r="C64" s="917" t="s">
        <v>2606</v>
      </c>
    </row>
    <row r="65" spans="2:15" x14ac:dyDescent="0.25">
      <c r="B65" s="918" t="s">
        <v>26</v>
      </c>
      <c r="C65" s="547" t="s">
        <v>2576</v>
      </c>
      <c r="D65" s="547" t="s">
        <v>2577</v>
      </c>
    </row>
    <row r="66" spans="2:15" x14ac:dyDescent="0.25">
      <c r="B66" s="549" t="s">
        <v>44</v>
      </c>
      <c r="C66" s="551">
        <v>98</v>
      </c>
      <c r="D66" s="551">
        <v>49</v>
      </c>
    </row>
    <row r="67" spans="2:15" x14ac:dyDescent="0.25">
      <c r="B67" s="549" t="s">
        <v>454</v>
      </c>
      <c r="C67" s="551">
        <v>11</v>
      </c>
      <c r="D67" s="551">
        <v>13</v>
      </c>
    </row>
    <row r="68" spans="2:15" x14ac:dyDescent="0.25">
      <c r="B68" s="549" t="s">
        <v>866</v>
      </c>
      <c r="C68" s="551">
        <v>24</v>
      </c>
      <c r="D68" s="551">
        <v>12</v>
      </c>
    </row>
    <row r="69" spans="2:15" ht="15.75" thickBot="1" x14ac:dyDescent="0.3">
      <c r="B69" s="554"/>
      <c r="C69" s="554"/>
      <c r="D69" s="554"/>
    </row>
    <row r="70" spans="2:15" x14ac:dyDescent="0.25">
      <c r="B70" s="557"/>
      <c r="C70" s="568" t="s">
        <v>2576</v>
      </c>
      <c r="D70" s="569" t="s">
        <v>2577</v>
      </c>
      <c r="E70" s="554"/>
      <c r="F70" s="554"/>
      <c r="G70" s="554"/>
    </row>
    <row r="71" spans="2:15" x14ac:dyDescent="0.25">
      <c r="B71" s="560" t="s">
        <v>44</v>
      </c>
      <c r="C71" s="570">
        <f>GETPIVOTDATA("Warter quality test made",$B$64,"State","Kachin","Warter quality test made","No Test")</f>
        <v>98</v>
      </c>
      <c r="D71" s="571">
        <f>GETPIVOTDATA("Warter quality test made",$B$64,"State","Kachin","Warter quality test made","Tested")</f>
        <v>49</v>
      </c>
      <c r="E71" s="554"/>
      <c r="F71" s="554"/>
      <c r="G71" s="554"/>
    </row>
    <row r="72" spans="2:15" x14ac:dyDescent="0.25">
      <c r="B72" s="560" t="s">
        <v>454</v>
      </c>
      <c r="C72" s="570">
        <f>GETPIVOTDATA("Warter quality test made",$B$64,"State","Rakhine","Warter quality test made","No Test")</f>
        <v>11</v>
      </c>
      <c r="D72" s="571">
        <f>GETPIVOTDATA("Warter quality test made",$B$64,"State","Rakhine","Warter quality test made","Tested")</f>
        <v>13</v>
      </c>
      <c r="E72" s="554"/>
      <c r="F72" s="554"/>
      <c r="G72" s="554"/>
    </row>
    <row r="73" spans="2:15" ht="15.75" thickBot="1" x14ac:dyDescent="0.3">
      <c r="B73" s="564" t="s">
        <v>866</v>
      </c>
      <c r="C73" s="572">
        <f>GETPIVOTDATA("Warter quality test made",$B$64,"State","Shan (North)","Warter quality test made","No Test")</f>
        <v>24</v>
      </c>
      <c r="D73" s="573">
        <f>GETPIVOTDATA("Warter quality test made",$B$64,"State","Shan (North)","Warter quality test made","Tested")</f>
        <v>12</v>
      </c>
      <c r="E73" s="550"/>
      <c r="F73" s="550"/>
      <c r="G73" s="551"/>
    </row>
    <row r="74" spans="2:15" s="574" customFormat="1" x14ac:dyDescent="0.25">
      <c r="B74" s="575"/>
      <c r="C74" s="576"/>
      <c r="D74" s="576"/>
      <c r="E74" s="577"/>
      <c r="F74" s="577"/>
      <c r="G74" s="578"/>
    </row>
    <row r="75" spans="2:15" s="574" customFormat="1" x14ac:dyDescent="0.25">
      <c r="B75" s="575"/>
      <c r="C75" s="576"/>
      <c r="D75" s="576"/>
      <c r="E75" s="577"/>
      <c r="F75" s="577"/>
      <c r="G75" s="578"/>
    </row>
    <row r="76" spans="2:15" s="574" customFormat="1" x14ac:dyDescent="0.25">
      <c r="B76" s="575"/>
      <c r="C76" s="576"/>
      <c r="D76" s="576"/>
      <c r="E76" s="577"/>
      <c r="F76" s="577"/>
      <c r="G76" s="578"/>
    </row>
    <row r="77" spans="2:15" s="574" customFormat="1" x14ac:dyDescent="0.25">
      <c r="B77" s="917" t="s">
        <v>24</v>
      </c>
      <c r="C77" s="547" t="s">
        <v>3206</v>
      </c>
      <c r="D77" s="576"/>
      <c r="E77" s="577"/>
      <c r="F77" s="577"/>
      <c r="G77" s="578"/>
      <c r="M77" s="917" t="s">
        <v>24</v>
      </c>
      <c r="N77" s="547" t="s">
        <v>3206</v>
      </c>
      <c r="O77" s="576"/>
    </row>
    <row r="78" spans="2:15" s="574" customFormat="1" x14ac:dyDescent="0.25">
      <c r="B78" s="917" t="s">
        <v>40</v>
      </c>
      <c r="C78" s="547" t="s">
        <v>40</v>
      </c>
      <c r="D78" s="554"/>
      <c r="E78" s="577"/>
      <c r="F78" s="577"/>
      <c r="G78" s="578"/>
      <c r="M78" s="917" t="s">
        <v>40</v>
      </c>
      <c r="N78" s="547" t="s">
        <v>40</v>
      </c>
      <c r="O78" s="554"/>
    </row>
    <row r="79" spans="2:15" s="574" customFormat="1" x14ac:dyDescent="0.25">
      <c r="B79" s="917" t="s">
        <v>280</v>
      </c>
      <c r="C79" s="547" t="s">
        <v>2149</v>
      </c>
      <c r="D79" s="554"/>
      <c r="E79" s="577"/>
      <c r="F79" s="577"/>
      <c r="G79" s="578"/>
      <c r="M79" s="917" t="s">
        <v>280</v>
      </c>
      <c r="N79" s="547" t="s">
        <v>2716</v>
      </c>
      <c r="O79" s="554"/>
    </row>
    <row r="80" spans="2:15" s="574" customFormat="1" x14ac:dyDescent="0.25">
      <c r="B80" s="918" t="s">
        <v>26</v>
      </c>
      <c r="C80" s="547" t="s">
        <v>44</v>
      </c>
      <c r="D80" s="554"/>
      <c r="E80" s="577"/>
      <c r="F80" s="577"/>
      <c r="G80" s="578"/>
      <c r="M80" s="922" t="s">
        <v>26</v>
      </c>
      <c r="N80" s="922" t="s">
        <v>44</v>
      </c>
      <c r="O80" s="554"/>
    </row>
    <row r="81" spans="2:15" s="574" customFormat="1" x14ac:dyDescent="0.25">
      <c r="B81" s="554"/>
      <c r="C81" s="554"/>
      <c r="D81" s="554"/>
      <c r="E81" s="577"/>
      <c r="F81" s="577"/>
      <c r="G81" s="578"/>
      <c r="M81" s="554"/>
      <c r="N81" s="554"/>
      <c r="O81" s="554"/>
    </row>
    <row r="82" spans="2:15" s="574" customFormat="1" x14ac:dyDescent="0.25">
      <c r="B82" s="919" t="s">
        <v>26</v>
      </c>
      <c r="C82" s="920" t="s">
        <v>2728</v>
      </c>
      <c r="D82" s="920" t="s">
        <v>2580</v>
      </c>
      <c r="E82" s="577"/>
      <c r="F82" s="577"/>
      <c r="G82" s="578"/>
      <c r="M82" s="917" t="s">
        <v>26</v>
      </c>
      <c r="N82" s="920" t="s">
        <v>2728</v>
      </c>
      <c r="O82" s="920" t="s">
        <v>2580</v>
      </c>
    </row>
    <row r="83" spans="2:15" s="574" customFormat="1" ht="15.75" x14ac:dyDescent="0.25">
      <c r="B83" s="549" t="s">
        <v>341</v>
      </c>
      <c r="C83" s="550">
        <v>0.75</v>
      </c>
      <c r="D83" s="550">
        <v>0.25</v>
      </c>
      <c r="E83" s="577"/>
      <c r="F83" s="577"/>
      <c r="G83" s="578"/>
      <c r="M83"/>
      <c r="N83"/>
      <c r="O83"/>
    </row>
    <row r="84" spans="2:15" s="574" customFormat="1" ht="15.75" x14ac:dyDescent="0.25">
      <c r="B84" s="549" t="s">
        <v>292</v>
      </c>
      <c r="C84" s="550">
        <v>0.6</v>
      </c>
      <c r="D84" s="550">
        <v>0.4</v>
      </c>
      <c r="E84" s="577"/>
      <c r="F84" s="577"/>
      <c r="G84" s="578"/>
      <c r="M84"/>
      <c r="N84"/>
      <c r="O84"/>
    </row>
    <row r="85" spans="2:15" s="574" customFormat="1" ht="15.75" x14ac:dyDescent="0.25">
      <c r="B85" s="549" t="s">
        <v>294</v>
      </c>
      <c r="C85" s="550">
        <v>0.88302825947334618</v>
      </c>
      <c r="D85" s="550">
        <v>0.11697174052665382</v>
      </c>
      <c r="E85" s="577"/>
      <c r="F85" s="577"/>
      <c r="G85" s="578"/>
      <c r="M85"/>
      <c r="N85"/>
      <c r="O85"/>
    </row>
    <row r="86" spans="2:15" s="574" customFormat="1" ht="15.75" x14ac:dyDescent="0.25">
      <c r="B86" s="549" t="s">
        <v>45</v>
      </c>
      <c r="C86" s="550">
        <v>1</v>
      </c>
      <c r="D86" s="550">
        <v>0</v>
      </c>
      <c r="E86" s="577"/>
      <c r="F86" s="577"/>
      <c r="G86" s="578"/>
      <c r="M86"/>
      <c r="N86"/>
      <c r="O86"/>
    </row>
    <row r="87" spans="2:15" s="574" customFormat="1" ht="15.75" x14ac:dyDescent="0.25">
      <c r="B87" s="549" t="s">
        <v>298</v>
      </c>
      <c r="C87" s="550">
        <v>1</v>
      </c>
      <c r="D87" s="550">
        <v>0</v>
      </c>
      <c r="E87" s="577"/>
      <c r="F87" s="577"/>
      <c r="G87" s="578"/>
      <c r="M87"/>
      <c r="N87"/>
      <c r="O87"/>
    </row>
    <row r="88" spans="2:15" s="574" customFormat="1" ht="15.75" x14ac:dyDescent="0.25">
      <c r="B88" s="549" t="s">
        <v>303</v>
      </c>
      <c r="C88" s="550">
        <v>0.66666666666666663</v>
      </c>
      <c r="D88" s="550">
        <v>0.33333333333333331</v>
      </c>
      <c r="E88" s="577"/>
      <c r="F88" s="577"/>
      <c r="G88" s="578"/>
      <c r="M88"/>
      <c r="N88"/>
      <c r="O88"/>
    </row>
    <row r="89" spans="2:15" s="574" customFormat="1" ht="15.75" x14ac:dyDescent="0.25">
      <c r="B89" s="549" t="s">
        <v>351</v>
      </c>
      <c r="C89" s="550">
        <v>1</v>
      </c>
      <c r="D89" s="550">
        <v>0</v>
      </c>
      <c r="E89" s="577"/>
      <c r="F89" s="577"/>
      <c r="G89" s="578"/>
      <c r="M89"/>
      <c r="N89"/>
      <c r="O89"/>
    </row>
    <row r="90" spans="2:15" s="574" customFormat="1" ht="15.75" x14ac:dyDescent="0.25">
      <c r="B90" s="549" t="s">
        <v>305</v>
      </c>
      <c r="C90" s="550">
        <v>0.88461538461538458</v>
      </c>
      <c r="D90" s="550">
        <v>0.11538461538461539</v>
      </c>
      <c r="E90" s="577"/>
      <c r="F90" s="577"/>
      <c r="G90" s="578"/>
      <c r="M90"/>
      <c r="N90"/>
      <c r="O90"/>
    </row>
    <row r="91" spans="2:15" s="574" customFormat="1" ht="15.75" x14ac:dyDescent="0.25">
      <c r="B91" s="549" t="s">
        <v>319</v>
      </c>
      <c r="C91" s="550">
        <v>1</v>
      </c>
      <c r="D91" s="550">
        <v>0</v>
      </c>
      <c r="E91" s="577"/>
      <c r="F91" s="577"/>
      <c r="G91" s="578"/>
      <c r="M91"/>
      <c r="N91"/>
      <c r="O91"/>
    </row>
    <row r="92" spans="2:15" s="574" customFormat="1" ht="15.75" x14ac:dyDescent="0.25">
      <c r="B92" s="549" t="s">
        <v>360</v>
      </c>
      <c r="C92" s="550">
        <v>0.5</v>
      </c>
      <c r="D92" s="550">
        <v>0.5</v>
      </c>
      <c r="E92" s="577"/>
      <c r="F92" s="577"/>
      <c r="G92" s="578"/>
      <c r="M92"/>
      <c r="N92"/>
      <c r="O92"/>
    </row>
    <row r="93" spans="2:15" s="574" customFormat="1" ht="15.75" x14ac:dyDescent="0.25">
      <c r="B93" s="549" t="s">
        <v>330</v>
      </c>
      <c r="C93" s="550">
        <v>0</v>
      </c>
      <c r="D93" s="550">
        <v>1</v>
      </c>
      <c r="E93" s="577"/>
      <c r="F93" s="577"/>
      <c r="G93" s="578"/>
      <c r="M93"/>
      <c r="N93"/>
      <c r="O93"/>
    </row>
    <row r="94" spans="2:15" s="574" customFormat="1" ht="15.75" x14ac:dyDescent="0.25">
      <c r="B94" s="549" t="s">
        <v>1311</v>
      </c>
      <c r="C94" s="550">
        <v>0.91260162601626016</v>
      </c>
      <c r="D94" s="550">
        <v>8.7398373983739813E-2</v>
      </c>
      <c r="E94" s="577"/>
      <c r="F94" s="577"/>
      <c r="G94" s="578"/>
      <c r="M94"/>
      <c r="N94"/>
      <c r="O94"/>
    </row>
    <row r="95" spans="2:15" s="574" customFormat="1" ht="15.75" x14ac:dyDescent="0.25">
      <c r="B95" s="549" t="s">
        <v>288</v>
      </c>
      <c r="C95" s="550">
        <v>1</v>
      </c>
      <c r="D95" s="550">
        <v>0</v>
      </c>
      <c r="E95" s="577"/>
      <c r="F95" s="577"/>
      <c r="G95" s="578"/>
      <c r="M95"/>
      <c r="N95"/>
      <c r="O95"/>
    </row>
    <row r="96" spans="2:15" s="574" customFormat="1" ht="15.75" x14ac:dyDescent="0.25">
      <c r="B96"/>
      <c r="C96"/>
      <c r="D96"/>
      <c r="E96" s="577"/>
      <c r="F96" s="577"/>
      <c r="G96" s="578"/>
    </row>
    <row r="97" spans="2:25" s="574" customFormat="1" ht="15.75" x14ac:dyDescent="0.25">
      <c r="B97"/>
      <c r="C97"/>
      <c r="D97"/>
      <c r="E97" s="577"/>
      <c r="F97" s="577"/>
      <c r="G97" s="578"/>
      <c r="K97" s="917" t="s">
        <v>24</v>
      </c>
      <c r="L97" s="547" t="s">
        <v>3206</v>
      </c>
      <c r="M97" s="576"/>
      <c r="T97" s="917" t="s">
        <v>24</v>
      </c>
      <c r="U97" s="547" t="s">
        <v>3206</v>
      </c>
      <c r="V97" s="576"/>
    </row>
    <row r="98" spans="2:25" s="574" customFormat="1" x14ac:dyDescent="0.25">
      <c r="B98" s="917" t="s">
        <v>24</v>
      </c>
      <c r="C98" s="547" t="s">
        <v>3206</v>
      </c>
      <c r="D98" s="576"/>
      <c r="E98" s="577"/>
      <c r="F98" s="577"/>
      <c r="G98" s="578"/>
      <c r="K98" s="917" t="s">
        <v>40</v>
      </c>
      <c r="L98" s="547" t="s">
        <v>40</v>
      </c>
      <c r="M98" s="554"/>
      <c r="T98" s="917" t="s">
        <v>40</v>
      </c>
      <c r="U98" s="547" t="s">
        <v>40</v>
      </c>
      <c r="V98" s="554"/>
    </row>
    <row r="99" spans="2:25" s="574" customFormat="1" x14ac:dyDescent="0.25">
      <c r="B99" s="917" t="s">
        <v>40</v>
      </c>
      <c r="C99" s="547" t="s">
        <v>40</v>
      </c>
      <c r="D99" s="554"/>
      <c r="E99" s="577"/>
      <c r="F99" s="577"/>
      <c r="G99" s="578"/>
      <c r="K99" s="917" t="s">
        <v>280</v>
      </c>
      <c r="L99" s="547" t="s">
        <v>969</v>
      </c>
      <c r="M99" s="554"/>
      <c r="T99" s="917" t="s">
        <v>280</v>
      </c>
      <c r="U99" s="547" t="s">
        <v>2149</v>
      </c>
      <c r="V99" s="554"/>
    </row>
    <row r="100" spans="2:25" s="574" customFormat="1" ht="30" x14ac:dyDescent="0.25">
      <c r="B100" s="917" t="s">
        <v>280</v>
      </c>
      <c r="C100" s="547" t="s">
        <v>2149</v>
      </c>
      <c r="D100" s="554"/>
      <c r="E100" s="577"/>
      <c r="F100" s="577"/>
      <c r="G100" s="578"/>
      <c r="K100" s="922" t="s">
        <v>26</v>
      </c>
      <c r="L100" s="922" t="s">
        <v>454</v>
      </c>
      <c r="M100" s="554"/>
      <c r="T100" s="922" t="s">
        <v>26</v>
      </c>
      <c r="U100" s="922" t="s">
        <v>866</v>
      </c>
      <c r="V100" s="554"/>
    </row>
    <row r="101" spans="2:25" s="574" customFormat="1" x14ac:dyDescent="0.25">
      <c r="B101" s="922" t="s">
        <v>26</v>
      </c>
      <c r="C101" s="922" t="s">
        <v>454</v>
      </c>
      <c r="D101" s="554"/>
      <c r="E101" s="577"/>
      <c r="F101" s="577"/>
      <c r="G101" s="578"/>
      <c r="K101" s="554"/>
      <c r="L101" s="554"/>
      <c r="M101" s="554"/>
      <c r="T101" s="554"/>
      <c r="U101" s="554"/>
      <c r="V101" s="554"/>
    </row>
    <row r="102" spans="2:25" s="574" customFormat="1" ht="30" x14ac:dyDescent="0.25">
      <c r="B102" s="554"/>
      <c r="C102" s="554"/>
      <c r="D102" s="554"/>
      <c r="E102" s="577"/>
      <c r="F102" s="577"/>
      <c r="G102" s="578"/>
      <c r="K102" s="919" t="s">
        <v>26</v>
      </c>
      <c r="L102" s="921" t="s">
        <v>2728</v>
      </c>
      <c r="M102" s="920" t="s">
        <v>2580</v>
      </c>
      <c r="T102" s="919" t="s">
        <v>26</v>
      </c>
      <c r="U102" s="921" t="s">
        <v>2728</v>
      </c>
      <c r="V102" s="920" t="s">
        <v>2580</v>
      </c>
    </row>
    <row r="103" spans="2:25" s="574" customFormat="1" x14ac:dyDescent="0.25">
      <c r="B103" s="919" t="s">
        <v>26</v>
      </c>
      <c r="C103" s="921" t="s">
        <v>2728</v>
      </c>
      <c r="D103" s="920" t="s">
        <v>2580</v>
      </c>
      <c r="E103" s="577"/>
      <c r="F103" s="577"/>
      <c r="G103" s="578"/>
      <c r="K103" s="549" t="s">
        <v>480</v>
      </c>
      <c r="L103" s="550">
        <v>0.41366752356469583</v>
      </c>
      <c r="M103" s="550">
        <v>0.58633247643530417</v>
      </c>
      <c r="T103" s="549" t="s">
        <v>888</v>
      </c>
      <c r="U103" s="550">
        <v>1</v>
      </c>
      <c r="V103" s="550">
        <v>0</v>
      </c>
    </row>
    <row r="104" spans="2:25" s="574" customFormat="1" x14ac:dyDescent="0.25">
      <c r="B104" s="549" t="s">
        <v>518</v>
      </c>
      <c r="C104" s="550">
        <v>1</v>
      </c>
      <c r="D104" s="550">
        <v>0</v>
      </c>
      <c r="E104" s="577"/>
      <c r="F104" s="577"/>
      <c r="G104" s="578"/>
      <c r="K104" s="549" t="s">
        <v>463</v>
      </c>
      <c r="L104" s="550">
        <v>0</v>
      </c>
      <c r="M104" s="550">
        <v>1</v>
      </c>
      <c r="T104" s="549" t="s">
        <v>870</v>
      </c>
      <c r="U104" s="550">
        <v>0.93333333333333335</v>
      </c>
      <c r="V104" s="550">
        <v>6.6666666666666666E-2</v>
      </c>
    </row>
    <row r="105" spans="2:25" s="574" customFormat="1" x14ac:dyDescent="0.25">
      <c r="B105" s="549" t="s">
        <v>463</v>
      </c>
      <c r="C105" s="550">
        <v>1</v>
      </c>
      <c r="D105" s="550">
        <v>0</v>
      </c>
      <c r="E105" s="577"/>
      <c r="F105" s="577"/>
      <c r="G105" s="578"/>
      <c r="K105" s="549" t="s">
        <v>466</v>
      </c>
      <c r="L105" s="550">
        <v>0.24856046065259116</v>
      </c>
      <c r="M105" s="550">
        <v>0.75143953934740881</v>
      </c>
      <c r="T105" s="549" t="s">
        <v>873</v>
      </c>
      <c r="U105" s="550">
        <v>1</v>
      </c>
      <c r="V105" s="550">
        <v>0</v>
      </c>
    </row>
    <row r="106" spans="2:25" s="574" customFormat="1" x14ac:dyDescent="0.25">
      <c r="B106" s="549" t="s">
        <v>560</v>
      </c>
      <c r="C106" s="550">
        <v>1</v>
      </c>
      <c r="D106" s="550">
        <v>0</v>
      </c>
      <c r="E106" s="577"/>
      <c r="F106" s="577"/>
      <c r="G106" s="578"/>
      <c r="K106" s="549" t="s">
        <v>560</v>
      </c>
      <c r="L106" s="550">
        <v>1</v>
      </c>
      <c r="M106" s="550">
        <v>0</v>
      </c>
      <c r="T106" s="549" t="s">
        <v>876</v>
      </c>
      <c r="U106" s="550">
        <v>0.75</v>
      </c>
      <c r="V106" s="550">
        <v>0.25</v>
      </c>
    </row>
    <row r="107" spans="2:25" s="574" customFormat="1" x14ac:dyDescent="0.25">
      <c r="B107" s="549" t="s">
        <v>563</v>
      </c>
      <c r="C107" s="550">
        <v>0.63746189363346295</v>
      </c>
      <c r="D107" s="550">
        <v>0.36253810636653705</v>
      </c>
      <c r="E107" s="577"/>
      <c r="F107" s="577"/>
      <c r="G107" s="578"/>
      <c r="K107" s="549" t="s">
        <v>563</v>
      </c>
      <c r="L107" s="550">
        <v>0.71644579476741599</v>
      </c>
      <c r="M107" s="550">
        <v>0.28355420523258407</v>
      </c>
      <c r="T107" s="549" t="s">
        <v>867</v>
      </c>
      <c r="U107" s="550">
        <v>1</v>
      </c>
      <c r="V107" s="550">
        <v>0</v>
      </c>
    </row>
    <row r="108" spans="2:25" s="574" customFormat="1" x14ac:dyDescent="0.25">
      <c r="B108" s="549" t="s">
        <v>455</v>
      </c>
      <c r="C108" s="550">
        <v>0.9375</v>
      </c>
      <c r="D108" s="550">
        <v>6.25E-2</v>
      </c>
      <c r="E108" s="577"/>
      <c r="F108" s="577"/>
      <c r="G108" s="578"/>
      <c r="K108" s="549" t="s">
        <v>498</v>
      </c>
      <c r="L108" s="550">
        <v>0.78095238095238106</v>
      </c>
      <c r="M108" s="550">
        <v>0.21904761904761905</v>
      </c>
      <c r="T108" s="549" t="s">
        <v>890</v>
      </c>
      <c r="U108" s="550">
        <v>1</v>
      </c>
      <c r="V108" s="550">
        <v>0</v>
      </c>
    </row>
    <row r="109" spans="2:25" s="574" customFormat="1" ht="15.75" x14ac:dyDescent="0.25">
      <c r="B109" s="575"/>
      <c r="C109" s="576"/>
      <c r="D109" s="576"/>
      <c r="E109" s="577"/>
      <c r="F109" s="577"/>
      <c r="G109" s="578"/>
      <c r="K109" s="549" t="s">
        <v>455</v>
      </c>
      <c r="L109" s="550">
        <v>0.82054724996008677</v>
      </c>
      <c r="M109" s="550">
        <v>0.17945275003991323</v>
      </c>
      <c r="T109" s="549" t="s">
        <v>1449</v>
      </c>
      <c r="U109" s="550">
        <v>0</v>
      </c>
      <c r="V109" s="550">
        <v>1</v>
      </c>
      <c r="W109"/>
      <c r="X109"/>
      <c r="Y109"/>
    </row>
    <row r="110" spans="2:25" s="574" customFormat="1" x14ac:dyDescent="0.25">
      <c r="B110" s="575"/>
      <c r="C110" s="576"/>
      <c r="D110" s="576"/>
      <c r="E110" s="577"/>
      <c r="F110" s="577"/>
      <c r="G110" s="578"/>
    </row>
    <row r="111" spans="2:25" s="574" customFormat="1" x14ac:dyDescent="0.25">
      <c r="B111" s="575"/>
      <c r="C111" s="576"/>
      <c r="D111" s="576"/>
      <c r="E111" s="577"/>
      <c r="F111" s="577"/>
      <c r="G111" s="578"/>
    </row>
    <row r="112" spans="2:25" s="574" customFormat="1" x14ac:dyDescent="0.25">
      <c r="B112" s="575"/>
      <c r="C112" s="576"/>
      <c r="D112" s="576"/>
      <c r="E112" s="577"/>
      <c r="F112" s="577"/>
      <c r="G112" s="578"/>
    </row>
    <row r="113" spans="1:30" s="574" customFormat="1" x14ac:dyDescent="0.25">
      <c r="B113" s="575"/>
      <c r="C113" s="576"/>
      <c r="D113" s="576"/>
      <c r="E113" s="577"/>
      <c r="F113" s="577"/>
      <c r="G113" s="578"/>
    </row>
    <row r="114" spans="1:30" s="574" customFormat="1" x14ac:dyDescent="0.25">
      <c r="B114" s="575"/>
      <c r="C114" s="576"/>
      <c r="D114" s="576"/>
      <c r="E114" s="577"/>
      <c r="F114" s="577"/>
      <c r="G114" s="578"/>
    </row>
    <row r="115" spans="1:30" s="594" customFormat="1" ht="18.75" x14ac:dyDescent="0.3">
      <c r="A115" s="545" t="s">
        <v>2725</v>
      </c>
      <c r="B115" s="545"/>
      <c r="C115" s="591"/>
      <c r="D115" s="592"/>
      <c r="E115" s="592"/>
      <c r="F115" s="592"/>
      <c r="G115" s="593"/>
      <c r="H115" s="545"/>
      <c r="I115" s="545"/>
      <c r="J115" s="545"/>
      <c r="K115" s="545"/>
      <c r="L115" s="545"/>
      <c r="M115" s="545"/>
      <c r="N115" s="545"/>
      <c r="O115" s="545"/>
      <c r="P115" s="545"/>
      <c r="Q115" s="545"/>
      <c r="R115" s="545"/>
      <c r="S115" s="545"/>
      <c r="T115" s="545"/>
      <c r="U115" s="545"/>
      <c r="V115" s="545"/>
      <c r="W115" s="545"/>
      <c r="X115" s="545"/>
      <c r="Y115" s="545"/>
      <c r="Z115" s="545"/>
    </row>
    <row r="116" spans="1:30" x14ac:dyDescent="0.25">
      <c r="C116" s="549"/>
      <c r="D116" s="550"/>
      <c r="E116" s="550"/>
      <c r="F116" s="550"/>
      <c r="G116" s="551"/>
    </row>
    <row r="117" spans="1:30" x14ac:dyDescent="0.25">
      <c r="F117" s="550"/>
      <c r="G117" s="551"/>
    </row>
    <row r="118" spans="1:30" x14ac:dyDescent="0.25">
      <c r="C118" s="917" t="s">
        <v>24</v>
      </c>
      <c r="D118" s="547" t="s">
        <v>3206</v>
      </c>
      <c r="E118" s="550"/>
      <c r="K118" s="917" t="s">
        <v>24</v>
      </c>
      <c r="L118" s="547" t="s">
        <v>3206</v>
      </c>
      <c r="S118" s="917" t="s">
        <v>24</v>
      </c>
      <c r="T118" s="547" t="s">
        <v>3206</v>
      </c>
    </row>
    <row r="119" spans="1:30" ht="30" x14ac:dyDescent="0.25">
      <c r="C119" s="918" t="s">
        <v>26</v>
      </c>
      <c r="D119" s="547" t="s">
        <v>44</v>
      </c>
      <c r="K119" s="928" t="s">
        <v>26</v>
      </c>
      <c r="L119" s="928" t="s">
        <v>454</v>
      </c>
      <c r="S119" s="928" t="s">
        <v>26</v>
      </c>
      <c r="T119" s="928" t="s">
        <v>866</v>
      </c>
    </row>
    <row r="120" spans="1:30" x14ac:dyDescent="0.25">
      <c r="C120" s="917" t="s">
        <v>40</v>
      </c>
      <c r="D120" s="547" t="s">
        <v>40</v>
      </c>
      <c r="K120" s="917" t="s">
        <v>40</v>
      </c>
      <c r="L120" s="547" t="s">
        <v>40</v>
      </c>
      <c r="S120" s="917" t="s">
        <v>40</v>
      </c>
      <c r="T120" s="547" t="s">
        <v>40</v>
      </c>
    </row>
    <row r="121" spans="1:30" s="552" customFormat="1" x14ac:dyDescent="0.25">
      <c r="C121" s="547"/>
      <c r="D121" s="547"/>
      <c r="E121" s="547"/>
      <c r="F121" s="554"/>
      <c r="G121" s="554"/>
      <c r="H121" s="547"/>
      <c r="I121" s="547"/>
      <c r="K121" s="547"/>
      <c r="L121" s="547"/>
      <c r="M121" s="547"/>
      <c r="S121" s="547"/>
      <c r="T121" s="547"/>
      <c r="U121" s="547"/>
      <c r="V121" s="547"/>
      <c r="W121" s="547"/>
      <c r="Y121" s="547"/>
      <c r="AC121" s="547"/>
      <c r="AD121" s="547"/>
    </row>
    <row r="122" spans="1:30" ht="30" x14ac:dyDescent="0.25">
      <c r="D122" s="917" t="s">
        <v>2411</v>
      </c>
      <c r="F122"/>
      <c r="G122"/>
      <c r="L122" s="918" t="s">
        <v>2411</v>
      </c>
      <c r="Q122" s="554"/>
      <c r="T122" s="917" t="s">
        <v>2411</v>
      </c>
      <c r="U122"/>
    </row>
    <row r="123" spans="1:30" ht="15.75" x14ac:dyDescent="0.25">
      <c r="C123" s="917" t="s">
        <v>2412</v>
      </c>
      <c r="D123" s="547" t="s">
        <v>2568</v>
      </c>
      <c r="E123" s="547" t="s">
        <v>2569</v>
      </c>
      <c r="F123"/>
      <c r="G123"/>
      <c r="K123" s="917" t="s">
        <v>2412</v>
      </c>
      <c r="L123" s="547" t="s">
        <v>2570</v>
      </c>
      <c r="M123" s="547" t="s">
        <v>2571</v>
      </c>
      <c r="Q123" s="554"/>
      <c r="S123" s="917" t="s">
        <v>2412</v>
      </c>
      <c r="T123" s="547" t="s">
        <v>2568</v>
      </c>
      <c r="U123"/>
    </row>
    <row r="124" spans="1:30" ht="15.75" x14ac:dyDescent="0.25">
      <c r="C124" s="549" t="s">
        <v>2563</v>
      </c>
      <c r="D124" s="551">
        <v>2613</v>
      </c>
      <c r="E124" s="551">
        <v>2371</v>
      </c>
      <c r="F124"/>
      <c r="G124"/>
      <c r="K124" s="549" t="s">
        <v>2563</v>
      </c>
      <c r="L124" s="551">
        <v>6150</v>
      </c>
      <c r="M124" s="551">
        <v>12131</v>
      </c>
      <c r="Q124" s="554"/>
      <c r="S124" s="549" t="s">
        <v>2563</v>
      </c>
      <c r="T124" s="551">
        <v>818</v>
      </c>
      <c r="U124"/>
    </row>
    <row r="125" spans="1:30" ht="30" x14ac:dyDescent="0.25">
      <c r="C125" s="927" t="s">
        <v>2564</v>
      </c>
      <c r="D125" s="551">
        <v>611</v>
      </c>
      <c r="E125" s="551">
        <v>283</v>
      </c>
      <c r="F125"/>
      <c r="G125"/>
      <c r="K125" s="927" t="s">
        <v>2564</v>
      </c>
      <c r="L125" s="551">
        <v>960</v>
      </c>
      <c r="M125" s="551">
        <v>9032</v>
      </c>
      <c r="Q125" s="554"/>
      <c r="S125" s="927" t="s">
        <v>2564</v>
      </c>
      <c r="T125" s="551">
        <v>81</v>
      </c>
      <c r="U125"/>
    </row>
    <row r="126" spans="1:30" ht="30" x14ac:dyDescent="0.25">
      <c r="C126" s="927" t="s">
        <v>2588</v>
      </c>
      <c r="D126" s="551">
        <v>107</v>
      </c>
      <c r="E126" s="551">
        <v>212</v>
      </c>
      <c r="F126"/>
      <c r="G126"/>
      <c r="K126" s="927" t="s">
        <v>2567</v>
      </c>
      <c r="L126" s="551">
        <v>1200</v>
      </c>
      <c r="M126" s="551">
        <v>200</v>
      </c>
      <c r="Q126" s="554"/>
      <c r="S126" s="927" t="s">
        <v>2572</v>
      </c>
      <c r="T126" s="551">
        <v>107</v>
      </c>
      <c r="U126"/>
    </row>
    <row r="127" spans="1:30" ht="30" x14ac:dyDescent="0.25">
      <c r="C127" s="927" t="s">
        <v>2566</v>
      </c>
      <c r="D127" s="551">
        <v>461</v>
      </c>
      <c r="E127" s="551">
        <v>278</v>
      </c>
      <c r="F127"/>
      <c r="G127"/>
      <c r="K127" s="927" t="s">
        <v>2566</v>
      </c>
      <c r="L127" s="551">
        <v>2885</v>
      </c>
      <c r="M127" s="551">
        <v>0</v>
      </c>
      <c r="Q127" s="554"/>
      <c r="S127" s="927" t="s">
        <v>2413</v>
      </c>
      <c r="T127" s="551">
        <v>29</v>
      </c>
      <c r="U127"/>
    </row>
    <row r="128" spans="1:30" ht="15.75" x14ac:dyDescent="0.25">
      <c r="B128" s="554"/>
      <c r="C128" s="927" t="s">
        <v>2565</v>
      </c>
      <c r="D128" s="551">
        <v>699</v>
      </c>
      <c r="E128" s="551">
        <v>383</v>
      </c>
      <c r="F128"/>
      <c r="G128"/>
      <c r="K128" s="927" t="s">
        <v>2565</v>
      </c>
      <c r="L128" s="551">
        <v>4268</v>
      </c>
      <c r="M128" s="551">
        <v>2665</v>
      </c>
      <c r="Q128" s="554"/>
      <c r="S128" s="927" t="s">
        <v>2565</v>
      </c>
      <c r="T128" s="551">
        <v>933</v>
      </c>
      <c r="U128"/>
    </row>
    <row r="129" spans="2:24" ht="15.75" x14ac:dyDescent="0.25">
      <c r="B129" s="554"/>
      <c r="C129" s="549" t="s">
        <v>2587</v>
      </c>
      <c r="D129" s="551">
        <v>2473</v>
      </c>
      <c r="E129" s="551">
        <v>3644</v>
      </c>
      <c r="F129"/>
      <c r="G129"/>
      <c r="K129" s="549" t="s">
        <v>2598</v>
      </c>
      <c r="L129" s="551">
        <v>6151</v>
      </c>
      <c r="M129" s="551">
        <v>3773</v>
      </c>
      <c r="Q129" s="554"/>
      <c r="S129" s="549" t="s">
        <v>2598</v>
      </c>
      <c r="T129" s="551">
        <v>1047</v>
      </c>
      <c r="U129"/>
    </row>
    <row r="130" spans="2:24" ht="15.75" x14ac:dyDescent="0.25">
      <c r="B130" s="554"/>
      <c r="C130" s="549" t="s">
        <v>2599</v>
      </c>
      <c r="D130" s="551">
        <v>2366</v>
      </c>
      <c r="E130" s="551">
        <v>3432</v>
      </c>
      <c r="F130"/>
      <c r="G130"/>
      <c r="J130" s="549"/>
      <c r="K130" s="549" t="s">
        <v>2599</v>
      </c>
      <c r="L130" s="551">
        <v>4951</v>
      </c>
      <c r="M130" s="551">
        <v>3573</v>
      </c>
      <c r="Q130" s="554"/>
      <c r="R130" s="554"/>
      <c r="S130" s="549" t="s">
        <v>2599</v>
      </c>
      <c r="T130" s="551">
        <v>940</v>
      </c>
      <c r="U130"/>
    </row>
    <row r="131" spans="2:24" ht="15.75" thickBot="1" x14ac:dyDescent="0.3">
      <c r="B131" s="554"/>
      <c r="C131" s="549"/>
      <c r="D131" s="551"/>
      <c r="E131" s="551"/>
      <c r="F131" s="554"/>
      <c r="G131" s="554"/>
      <c r="S131" s="554"/>
    </row>
    <row r="132" spans="2:24" x14ac:dyDescent="0.25">
      <c r="B132" s="596" t="s">
        <v>44</v>
      </c>
      <c r="C132" s="598" t="s">
        <v>2568</v>
      </c>
      <c r="D132" s="599" t="s">
        <v>2569</v>
      </c>
      <c r="F132" s="554"/>
      <c r="G132" s="554"/>
      <c r="K132" s="597" t="s">
        <v>454</v>
      </c>
      <c r="L132" s="598" t="s">
        <v>2570</v>
      </c>
      <c r="M132" s="599" t="s">
        <v>2571</v>
      </c>
      <c r="S132" s="606" t="s">
        <v>866</v>
      </c>
      <c r="T132" s="598" t="s">
        <v>2568</v>
      </c>
      <c r="U132" s="599" t="s">
        <v>2569</v>
      </c>
    </row>
    <row r="133" spans="2:24" x14ac:dyDescent="0.25">
      <c r="B133" s="600" t="s">
        <v>2160</v>
      </c>
      <c r="C133" s="601">
        <f>GETPIVOTDATA("Sum of # Existing functional latrines",$C$122,"Ethnic or GCA/NGCA","# in GCA (20:1)")</f>
        <v>2366</v>
      </c>
      <c r="D133" s="602">
        <f>GETPIVOTDATA("Sum of # Existing functional latrines",$C$122,"Ethnic or GCA/NGCA","# in NGCA (20:1)")</f>
        <v>3432</v>
      </c>
      <c r="F133" s="554" t="s">
        <v>2603</v>
      </c>
      <c r="G133" s="554">
        <f>SUM(C133:D133)</f>
        <v>5798</v>
      </c>
      <c r="K133" s="600" t="s">
        <v>2160</v>
      </c>
      <c r="L133" s="601">
        <f>GETPIVOTDATA("Sum of # Existing functional latrines",$K$122,"Location Type","# in active camps (20:1)")</f>
        <v>4951</v>
      </c>
      <c r="M133" s="602">
        <f>GETPIVOTDATA("Sum of # Existing functional latrines",$K$122,"Location Type","# in villages (6:1)")</f>
        <v>3573</v>
      </c>
      <c r="O133" s="554" t="s">
        <v>2603</v>
      </c>
      <c r="P133" s="553">
        <f>L133</f>
        <v>4951</v>
      </c>
      <c r="S133" s="600" t="s">
        <v>2160</v>
      </c>
      <c r="T133" s="601">
        <f>GETPIVOTDATA("Sum of # Existing functional latrines",$S$122,"Ethnic or GCA/NGCA","# in GCA (20:1)")</f>
        <v>940</v>
      </c>
      <c r="U133" s="602" t="e">
        <f>GETPIVOTDATA("Sum of # Existing functional latrines",$S$122,"Ethnic or GCA/NGCA","# in NGCA (20:1)")</f>
        <v>#REF!</v>
      </c>
      <c r="W133" s="554" t="s">
        <v>2603</v>
      </c>
      <c r="X133" s="553">
        <f>T133</f>
        <v>940</v>
      </c>
    </row>
    <row r="134" spans="2:24" x14ac:dyDescent="0.25">
      <c r="B134" s="600" t="s">
        <v>2589</v>
      </c>
      <c r="C134" s="601">
        <f>GETPIVOTDATA("# latrines (target)",$C$122,"Ethnic or GCA/NGCA","# in GCA (20:1)")-GETPIVOTDATA("Sum of # Existing functional latrines",$C$122,"Ethnic or GCA/NGCA","# in GCA (20:1)")</f>
        <v>247</v>
      </c>
      <c r="D134" s="602">
        <f>IF(GETPIVOTDATA("# latrines (target)",$C$122,"Ethnic or GCA/NGCA","# in NGCA (20:1)")-GETPIVOTDATA("Sum of # Existing functional latrines",$C$122,"Ethnic or GCA/NGCA","# in NGCA (20:1)")&lt;0,0,GETPIVOTDATA("# latrines (target)",$C$122,"Ethnic or GCA/NGCA","# in NGCA (20:1)")-GETPIVOTDATA("Sum of # Existing functional latrines",$C$122,"Ethnic or GCA/NGCA","# in NGCA (20:1)"))</f>
        <v>0</v>
      </c>
      <c r="F134" s="554" t="s">
        <v>2604</v>
      </c>
      <c r="G134" s="580">
        <f>SUM(C137:D137)</f>
        <v>319</v>
      </c>
      <c r="K134" s="600" t="s">
        <v>2589</v>
      </c>
      <c r="L134" s="601">
        <f>GETPIVOTDATA("# latrines (target)",$K$122,"Location Type","# in active camps (20:1)")-GETPIVOTDATA("Sum of # Existing functional latrines",$K$122,"Location Type","# in active camps (20:1)")</f>
        <v>1199</v>
      </c>
      <c r="M134" s="602">
        <f>GETPIVOTDATA("# latrines (target)",$K$122,"Location Type","# in villages (6:1)")-GETPIVOTDATA("Sum of # Existing functional latrines",$K$122,"Location Type","# in villages (6:1)")</f>
        <v>8558</v>
      </c>
      <c r="O134" s="554" t="s">
        <v>2604</v>
      </c>
      <c r="P134" s="553">
        <f>L137</f>
        <v>1200</v>
      </c>
      <c r="S134" s="600" t="s">
        <v>2589</v>
      </c>
      <c r="T134" s="601">
        <v>0</v>
      </c>
      <c r="U134" s="602">
        <v>0</v>
      </c>
      <c r="W134" s="554" t="s">
        <v>3259</v>
      </c>
      <c r="X134" s="553">
        <f>T137</f>
        <v>107</v>
      </c>
    </row>
    <row r="135" spans="2:24" ht="30" x14ac:dyDescent="0.25">
      <c r="B135" s="600" t="s">
        <v>2590</v>
      </c>
      <c r="C135" s="601">
        <f>GETPIVOTDATA("# handed over",$C$122,"Ethnic or GCA/NGCA","# in GCA (20:1)")</f>
        <v>699</v>
      </c>
      <c r="D135" s="602">
        <f>GETPIVOTDATA("# handed over",$C$122,"Ethnic or GCA/NGCA","# in NGCA (20:1)")</f>
        <v>383</v>
      </c>
      <c r="F135" s="554" t="s">
        <v>2605</v>
      </c>
      <c r="G135" s="554">
        <f>SUM(C138:D138)</f>
        <v>739</v>
      </c>
      <c r="K135" s="600" t="s">
        <v>2590</v>
      </c>
      <c r="L135" s="601">
        <f>GETPIVOTDATA("# handed over",$K$122,"Location Type","# in active camps (20:1)")</f>
        <v>4268</v>
      </c>
      <c r="M135" s="602">
        <f>GETPIVOTDATA("# handed over",$K$122,"Location Type","# in villages (6:1)")</f>
        <v>2665</v>
      </c>
      <c r="O135" s="554" t="s">
        <v>2605</v>
      </c>
      <c r="P135" s="553">
        <f>L138</f>
        <v>2885</v>
      </c>
      <c r="S135" s="600" t="s">
        <v>2590</v>
      </c>
      <c r="T135" s="601">
        <f>GETPIVOTDATA("# handed over",$S$122,"Ethnic or GCA/NGCA","# in GCA (20:1)")</f>
        <v>933</v>
      </c>
      <c r="U135" s="602" t="e">
        <f>GETPIVOTDATA("# handed over",$S$122,"Ethnic or GCA/NGCA","# in NGCA (20:1)")</f>
        <v>#REF!</v>
      </c>
      <c r="W135" s="554" t="s">
        <v>2605</v>
      </c>
      <c r="X135" s="553">
        <f>T138</f>
        <v>29</v>
      </c>
    </row>
    <row r="136" spans="2:24" ht="30" x14ac:dyDescent="0.25">
      <c r="B136" s="600" t="s">
        <v>2591</v>
      </c>
      <c r="C136" s="601">
        <f>GETPIVOTDATA("# latrines (target)",$C$122,"Ethnic or GCA/NGCA","# in GCA (20:1)")-GETPIVOTDATA("# handed over",$C$122,"Ethnic or GCA/NGCA","# in GCA (20:1)")</f>
        <v>1914</v>
      </c>
      <c r="D136" s="602">
        <f>D133-D135</f>
        <v>3049</v>
      </c>
      <c r="G136" s="554"/>
      <c r="H136" s="554"/>
      <c r="K136" s="600" t="s">
        <v>2591</v>
      </c>
      <c r="L136" s="601">
        <f>GETPIVOTDATA("# latrines (target)",$K$122,"Location Type","# in active camps (20:1)")-GETPIVOTDATA("# handed over",$K$122,"Location Type","# in active camps (20:1)")</f>
        <v>1882</v>
      </c>
      <c r="M136" s="602">
        <f>GETPIVOTDATA("# latrines (target)",$K$122,"Location Type","# in villages (6:1)")-GETPIVOTDATA("# handed over",$K$122,"Location Type","# in villages (6:1)")</f>
        <v>9466</v>
      </c>
      <c r="S136" s="600" t="s">
        <v>2591</v>
      </c>
      <c r="T136" s="601">
        <f>GETPIVOTDATA("Sum of # Existing functional latrines",$S$122,"Ethnic or GCA/NGCA","# in GCA (20:1)")-GETPIVOTDATA("# handed over",$S$122,"Ethnic or GCA/NGCA","# in GCA (20:1)")</f>
        <v>7</v>
      </c>
      <c r="U136" s="602" t="e">
        <f>GETPIVOTDATA("Sum of # Existing functional latrines",$S$122,"Ethnic or GCA/NGCA","# in NGCA (20:1)")-GETPIVOTDATA("# handed over",$S$122,"Ethnic or GCA/NGCA","# in NGCA (20:1)")</f>
        <v>#REF!</v>
      </c>
    </row>
    <row r="137" spans="2:24" ht="30" x14ac:dyDescent="0.25">
      <c r="B137" s="600" t="s">
        <v>2588</v>
      </c>
      <c r="C137" s="601">
        <f>GETPIVOTDATA("# latrines repairs",$C$122,"Ethnic or GCA/NGCA","# in GCA (20:1)")</f>
        <v>107</v>
      </c>
      <c r="D137" s="602">
        <f>GETPIVOTDATA("# latrines repairs",$C$122,"Ethnic or GCA/NGCA","# in NGCA (20:1)")</f>
        <v>212</v>
      </c>
      <c r="G137" s="554"/>
      <c r="K137" s="600" t="s">
        <v>2588</v>
      </c>
      <c r="L137" s="601">
        <f>GETPIVOTDATA("# latrines dysfunctional",$K$122,"Location Type","# in active camps (20:1)")</f>
        <v>1200</v>
      </c>
      <c r="M137" s="602">
        <f>GETPIVOTDATA("# latrines dysfunctional",$K$122,"Location Type","# in villages (6:1)")</f>
        <v>200</v>
      </c>
      <c r="S137" s="600" t="s">
        <v>2588</v>
      </c>
      <c r="T137" s="601">
        <f>GETPIVOTDATA("#latrines dysfunctional",$S$122,"Ethnic or GCA/NGCA","# in GCA (20:1)")</f>
        <v>107</v>
      </c>
      <c r="U137" s="602" t="e">
        <f>GETPIVOTDATA("#latrines dysfunctional",$S$122,"Ethnic or GCA/NGCA","# in NGCA (20:1)")</f>
        <v>#REF!</v>
      </c>
    </row>
    <row r="138" spans="2:24" ht="30" x14ac:dyDescent="0.25">
      <c r="B138" s="600" t="s">
        <v>2566</v>
      </c>
      <c r="C138" s="601">
        <f>GETPIVOTDATA("# latrines desludged",$C$122,"Ethnic or GCA/NGCA","# in GCA (20:1)")</f>
        <v>461</v>
      </c>
      <c r="D138" s="602">
        <f>GETPIVOTDATA("# latrines desludged",$C$122,"Ethnic or GCA/NGCA","# in NGCA (20:1)")</f>
        <v>278</v>
      </c>
      <c r="G138" s="554"/>
      <c r="K138" s="600" t="s">
        <v>2566</v>
      </c>
      <c r="L138" s="601">
        <f>GETPIVOTDATA("# latrines desludged",$K$122,"Location Type","# in active camps (20:1)")</f>
        <v>2885</v>
      </c>
      <c r="M138" s="602">
        <f>GETPIVOTDATA("# latrines desludged",$K$122,"Location Type","# in villages (6:1)")</f>
        <v>0</v>
      </c>
      <c r="S138" s="600" t="s">
        <v>2566</v>
      </c>
      <c r="T138" s="601">
        <f>GETPIVOTDATA("# latrines desludged.",$S$122,"Ethnic or GCA/NGCA","# in GCA (20:1)")</f>
        <v>29</v>
      </c>
      <c r="U138" s="602" t="e">
        <f>GETPIVOTDATA("# latrines desludged.",$S$122,"Ethnic or GCA/NGCA","# in NGCA (20:1)")</f>
        <v>#REF!</v>
      </c>
    </row>
    <row r="139" spans="2:24" ht="15.75" thickBot="1" x14ac:dyDescent="0.3">
      <c r="B139" s="603" t="s">
        <v>2563</v>
      </c>
      <c r="C139" s="604">
        <f>GETPIVOTDATA("# latrines (target)",$C$122,"Ethnic or GCA/NGCA","# in GCA (20:1)")</f>
        <v>2613</v>
      </c>
      <c r="D139" s="605">
        <f>GETPIVOTDATA("# latrines (target)",$C$122,"Ethnic or GCA/NGCA","# in NGCA (20:1)")</f>
        <v>2371</v>
      </c>
      <c r="G139" s="554"/>
      <c r="K139" s="603" t="s">
        <v>2563</v>
      </c>
      <c r="L139" s="604">
        <f>GETPIVOTDATA("# latrines (target)",$K$122,"Location Type","# in active camps (20:1)")</f>
        <v>6150</v>
      </c>
      <c r="M139" s="605">
        <f>GETPIVOTDATA("# latrines (target)",$K$122,"Location Type","# in villages (6:1)")</f>
        <v>12131</v>
      </c>
      <c r="Q139" s="554"/>
      <c r="R139" s="554"/>
      <c r="S139" s="603" t="s">
        <v>2563</v>
      </c>
      <c r="T139" s="604">
        <f>GETPIVOTDATA("# latrines (target)",$S$122,"Ethnic or GCA/NGCA","# in GCA (20:1)")</f>
        <v>818</v>
      </c>
      <c r="U139" s="605" t="e">
        <f>GETPIVOTDATA("# latrines (target)",$S$122,"Ethnic or GCA/NGCA","# in NGCA (20:1)")</f>
        <v>#REF!</v>
      </c>
    </row>
    <row r="140" spans="2:24" x14ac:dyDescent="0.25">
      <c r="B140" s="554"/>
      <c r="C140" s="607"/>
      <c r="D140" s="608"/>
      <c r="E140" s="608"/>
      <c r="G140" s="554"/>
      <c r="K140" s="607"/>
      <c r="L140" s="608"/>
      <c r="M140" s="608"/>
      <c r="Q140" s="554"/>
      <c r="R140" s="554"/>
      <c r="S140" s="607"/>
      <c r="T140" s="608"/>
      <c r="U140" s="608"/>
    </row>
    <row r="141" spans="2:24" x14ac:dyDescent="0.25">
      <c r="B141" s="554"/>
      <c r="C141" s="607"/>
      <c r="D141" s="608"/>
      <c r="E141" s="608"/>
      <c r="G141" s="554"/>
      <c r="K141" s="607"/>
      <c r="L141" s="608"/>
      <c r="M141" s="608"/>
      <c r="Q141" s="554"/>
      <c r="R141" s="554"/>
      <c r="S141" s="607"/>
      <c r="T141" s="608"/>
      <c r="U141" s="608"/>
    </row>
    <row r="142" spans="2:24" x14ac:dyDescent="0.25">
      <c r="B142" s="554"/>
      <c r="C142" s="607"/>
      <c r="D142" s="608"/>
      <c r="E142" s="608"/>
      <c r="G142" s="554"/>
      <c r="K142" s="607"/>
      <c r="L142" s="608"/>
      <c r="M142" s="608"/>
      <c r="Q142" s="554"/>
      <c r="R142" s="554"/>
      <c r="S142" s="607"/>
      <c r="T142" s="608"/>
      <c r="U142" s="608"/>
    </row>
    <row r="143" spans="2:24" x14ac:dyDescent="0.25">
      <c r="B143" s="554"/>
      <c r="C143" s="549"/>
      <c r="D143" s="551"/>
      <c r="E143" s="551"/>
      <c r="F143" s="554"/>
      <c r="G143" s="554"/>
      <c r="J143" s="554"/>
      <c r="K143" s="554"/>
      <c r="L143" s="554"/>
      <c r="Q143" s="554"/>
      <c r="R143" s="554"/>
      <c r="S143" s="554"/>
    </row>
    <row r="144" spans="2:24" x14ac:dyDescent="0.25">
      <c r="B144" s="554"/>
      <c r="C144" s="549"/>
      <c r="D144" s="551"/>
      <c r="E144" s="551"/>
      <c r="F144" s="554"/>
      <c r="G144" s="554"/>
      <c r="J144" s="554"/>
      <c r="K144" s="554"/>
      <c r="L144" s="554"/>
      <c r="Q144" s="554"/>
      <c r="R144" s="554"/>
      <c r="S144" s="554"/>
    </row>
    <row r="145" spans="2:19" x14ac:dyDescent="0.25">
      <c r="B145" s="554"/>
      <c r="C145" s="549"/>
      <c r="D145" s="551"/>
      <c r="E145" s="551"/>
      <c r="F145" s="554"/>
      <c r="G145" s="554"/>
      <c r="J145" s="554"/>
      <c r="K145" s="554"/>
      <c r="L145" s="554"/>
      <c r="Q145" s="554"/>
      <c r="R145" s="554"/>
      <c r="S145" s="554"/>
    </row>
    <row r="146" spans="2:19" x14ac:dyDescent="0.25">
      <c r="B146" s="554"/>
      <c r="C146" s="549"/>
      <c r="D146" s="551"/>
      <c r="E146" s="551"/>
      <c r="F146" s="554"/>
      <c r="G146" s="554"/>
      <c r="J146" s="554"/>
      <c r="K146" s="554"/>
      <c r="L146" s="554"/>
      <c r="Q146" s="554"/>
      <c r="R146" s="554"/>
      <c r="S146" s="554"/>
    </row>
    <row r="147" spans="2:19" x14ac:dyDescent="0.25">
      <c r="B147" s="554"/>
      <c r="C147" s="549"/>
      <c r="D147" s="551"/>
      <c r="E147" s="551"/>
      <c r="F147" s="554"/>
      <c r="G147" s="554"/>
      <c r="J147" s="554"/>
      <c r="K147" s="554"/>
      <c r="L147" s="554"/>
      <c r="Q147" s="554"/>
      <c r="R147" s="554"/>
      <c r="S147" s="554"/>
    </row>
    <row r="148" spans="2:19" x14ac:dyDescent="0.25">
      <c r="B148" s="554"/>
      <c r="C148" s="549"/>
      <c r="D148" s="551"/>
      <c r="E148" s="551"/>
      <c r="F148" s="554"/>
      <c r="G148" s="554"/>
      <c r="J148" s="554"/>
      <c r="K148" s="554"/>
      <c r="L148" s="554"/>
      <c r="Q148" s="554"/>
      <c r="R148" s="554"/>
      <c r="S148" s="554"/>
    </row>
    <row r="149" spans="2:19" x14ac:dyDescent="0.25">
      <c r="B149" s="554"/>
      <c r="C149" s="549"/>
      <c r="D149" s="551"/>
      <c r="E149" s="551"/>
      <c r="F149" s="554"/>
      <c r="G149" s="554"/>
      <c r="J149" s="554"/>
      <c r="K149" s="554"/>
      <c r="L149" s="554"/>
      <c r="Q149" s="554"/>
      <c r="R149" s="554"/>
      <c r="S149" s="554"/>
    </row>
    <row r="150" spans="2:19" x14ac:dyDescent="0.25">
      <c r="B150" s="554"/>
      <c r="C150" s="549"/>
      <c r="D150" s="551"/>
      <c r="E150" s="551"/>
      <c r="F150" s="554"/>
      <c r="G150" s="554"/>
      <c r="J150" s="554"/>
      <c r="K150" s="554"/>
      <c r="L150" s="554"/>
      <c r="Q150" s="554"/>
      <c r="R150" s="554"/>
      <c r="S150" s="554"/>
    </row>
    <row r="151" spans="2:19" x14ac:dyDescent="0.25">
      <c r="B151" s="917" t="s">
        <v>24</v>
      </c>
      <c r="C151" s="547" t="s">
        <v>3206</v>
      </c>
      <c r="D151" s="551"/>
      <c r="E151" s="551"/>
      <c r="F151" s="554"/>
      <c r="G151" s="554"/>
      <c r="J151" s="554"/>
      <c r="K151" s="554"/>
      <c r="L151" s="554"/>
      <c r="Q151" s="554"/>
      <c r="R151" s="554"/>
      <c r="S151" s="554"/>
    </row>
    <row r="152" spans="2:19" x14ac:dyDescent="0.25">
      <c r="B152" s="917" t="s">
        <v>280</v>
      </c>
      <c r="C152" s="547" t="s">
        <v>2149</v>
      </c>
      <c r="D152" s="551"/>
      <c r="E152" s="551"/>
      <c r="F152" s="554"/>
      <c r="G152" s="554"/>
      <c r="J152" s="554"/>
      <c r="K152" s="554"/>
      <c r="L152" s="554"/>
      <c r="Q152" s="554"/>
      <c r="R152" s="554"/>
      <c r="S152" s="554"/>
    </row>
    <row r="153" spans="2:19" x14ac:dyDescent="0.25">
      <c r="B153" s="917" t="s">
        <v>40</v>
      </c>
      <c r="C153" s="547" t="s">
        <v>40</v>
      </c>
    </row>
    <row r="155" spans="2:19" x14ac:dyDescent="0.25">
      <c r="B155" s="917" t="s">
        <v>2436</v>
      </c>
      <c r="C155" s="917" t="s">
        <v>2411</v>
      </c>
      <c r="G155" s="554"/>
    </row>
    <row r="156" spans="2:19" x14ac:dyDescent="0.25">
      <c r="B156" s="917" t="s">
        <v>26</v>
      </c>
      <c r="C156" s="547" t="s">
        <v>283</v>
      </c>
      <c r="D156" s="547" t="s">
        <v>286</v>
      </c>
      <c r="E156" s="547" t="s">
        <v>1358</v>
      </c>
      <c r="F156" s="547" t="s">
        <v>332</v>
      </c>
      <c r="G156" s="554"/>
    </row>
    <row r="157" spans="2:19" x14ac:dyDescent="0.25">
      <c r="B157" s="549" t="s">
        <v>44</v>
      </c>
      <c r="C157" s="551">
        <v>77</v>
      </c>
      <c r="D157" s="551">
        <v>1</v>
      </c>
      <c r="E157" s="551">
        <v>51</v>
      </c>
      <c r="F157" s="551">
        <v>6</v>
      </c>
      <c r="G157" s="554"/>
    </row>
    <row r="158" spans="2:19" x14ac:dyDescent="0.25">
      <c r="B158" s="549" t="s">
        <v>454</v>
      </c>
      <c r="C158" s="551">
        <v>12</v>
      </c>
      <c r="D158" s="551">
        <v>1</v>
      </c>
      <c r="E158" s="551">
        <v>10</v>
      </c>
      <c r="F158" s="551">
        <v>1</v>
      </c>
      <c r="G158" s="554"/>
    </row>
    <row r="159" spans="2:19" x14ac:dyDescent="0.25">
      <c r="B159" s="549" t="s">
        <v>866</v>
      </c>
      <c r="C159" s="551">
        <v>19</v>
      </c>
      <c r="D159" s="551">
        <v>5</v>
      </c>
      <c r="E159" s="551">
        <v>3</v>
      </c>
      <c r="F159" s="551">
        <v>8</v>
      </c>
      <c r="G159" s="554"/>
    </row>
    <row r="160" spans="2:19" x14ac:dyDescent="0.25">
      <c r="B160" s="554"/>
      <c r="C160" s="554"/>
      <c r="D160" s="554"/>
      <c r="E160" s="554"/>
      <c r="F160" s="554"/>
      <c r="G160" s="554"/>
      <c r="Q160" s="554"/>
      <c r="R160" s="554"/>
      <c r="S160" s="554"/>
    </row>
    <row r="161" spans="2:11" x14ac:dyDescent="0.25">
      <c r="B161" s="611"/>
      <c r="C161" s="611" t="s">
        <v>283</v>
      </c>
      <c r="D161" s="611" t="s">
        <v>286</v>
      </c>
      <c r="E161" s="611" t="s">
        <v>1358</v>
      </c>
      <c r="F161" s="611" t="s">
        <v>332</v>
      </c>
    </row>
    <row r="162" spans="2:11" x14ac:dyDescent="0.25">
      <c r="B162" s="612" t="s">
        <v>44</v>
      </c>
      <c r="C162" s="613">
        <f>GETPIVOTDATA("Does the camp have surface water drainage",$B$155,"State","Kachin","Does the camp have surface water drainage","Functional")</f>
        <v>77</v>
      </c>
      <c r="D162" s="613">
        <f>GETPIVOTDATA("Does the camp have surface water drainage",$B$155,"State","Kachin","Does the camp have surface water drainage","NA")</f>
        <v>1</v>
      </c>
      <c r="E162" s="613">
        <f>GETPIVOTDATA("Does the camp have surface water drainage",$B$155,"State","Kachin","Does the camp have surface water drainage","Not_Functional")</f>
        <v>51</v>
      </c>
      <c r="F162" s="613">
        <f>GETPIVOTDATA("Does the camp have surface water drainage",$B$155,"State","Kachin","Does the camp have surface water drainage","Not_inPlace")</f>
        <v>6</v>
      </c>
    </row>
    <row r="163" spans="2:11" x14ac:dyDescent="0.25">
      <c r="B163" s="612" t="s">
        <v>454</v>
      </c>
      <c r="C163" s="613">
        <f>GETPIVOTDATA("Does the camp have surface water drainage",$B$155,"State","Rakhine","Does the camp have surface water drainage","Functional")</f>
        <v>12</v>
      </c>
      <c r="D163" s="613">
        <f>GETPIVOTDATA("Does the camp have surface water drainage",$B$155,"State","Rakhine","Does the camp have surface water drainage","NA")</f>
        <v>1</v>
      </c>
      <c r="E163" s="613">
        <f>GETPIVOTDATA("Does the camp have surface water drainage",$B$155,"State","Rakhine","Does the camp have surface water drainage","Not_Functional")</f>
        <v>10</v>
      </c>
      <c r="F163" s="613">
        <f>GETPIVOTDATA("Does the camp have surface water drainage",$B$155,"State","Rakhine","Does the camp have surface water drainage","Not_inPlace")</f>
        <v>1</v>
      </c>
    </row>
    <row r="164" spans="2:11" x14ac:dyDescent="0.25">
      <c r="B164" s="612" t="s">
        <v>866</v>
      </c>
      <c r="C164" s="613">
        <f>GETPIVOTDATA("Does the camp have surface water drainage",$B$155,"State","Shan (North)","Does the camp have surface water drainage","Functional")</f>
        <v>19</v>
      </c>
      <c r="D164" s="613">
        <f>GETPIVOTDATA("Does the camp have surface water drainage",$B$155,"State","Shan (North)","Does the camp have surface water drainage","NA")</f>
        <v>5</v>
      </c>
      <c r="E164" s="613">
        <f>GETPIVOTDATA("Does the camp have surface water drainage",$B$155,"State","Shan (North)","Does the camp have surface water drainage","Not_Functional")</f>
        <v>3</v>
      </c>
      <c r="F164" s="613">
        <f>GETPIVOTDATA("Does the camp have surface water drainage",$B$155,"State","Shan (North)","Does the camp have surface water drainage","Not_inPlace")</f>
        <v>8</v>
      </c>
    </row>
    <row r="165" spans="2:11" x14ac:dyDescent="0.25">
      <c r="B165" s="607"/>
      <c r="C165" s="608"/>
      <c r="D165" s="608"/>
      <c r="E165" s="608"/>
      <c r="F165" s="608"/>
    </row>
    <row r="166" spans="2:11" x14ac:dyDescent="0.25">
      <c r="B166" s="607"/>
      <c r="C166" s="608"/>
      <c r="D166" s="608"/>
      <c r="E166" s="608"/>
      <c r="F166" s="608"/>
    </row>
    <row r="167" spans="2:11" x14ac:dyDescent="0.25">
      <c r="B167" s="917" t="s">
        <v>24</v>
      </c>
      <c r="C167" s="547" t="s">
        <v>3206</v>
      </c>
    </row>
    <row r="168" spans="2:11" x14ac:dyDescent="0.25">
      <c r="B168" s="917" t="s">
        <v>280</v>
      </c>
      <c r="C168" s="547" t="s">
        <v>2149</v>
      </c>
    </row>
    <row r="169" spans="2:11" x14ac:dyDescent="0.25">
      <c r="B169" s="917" t="s">
        <v>40</v>
      </c>
      <c r="C169" s="547" t="s">
        <v>40</v>
      </c>
    </row>
    <row r="171" spans="2:11" x14ac:dyDescent="0.25">
      <c r="B171" s="917" t="s">
        <v>2438</v>
      </c>
      <c r="C171" s="917" t="s">
        <v>2411</v>
      </c>
      <c r="H171" s="554"/>
      <c r="I171" s="554"/>
      <c r="J171" s="554"/>
      <c r="K171" s="554"/>
    </row>
    <row r="172" spans="2:11" x14ac:dyDescent="0.25">
      <c r="B172" s="917" t="s">
        <v>26</v>
      </c>
      <c r="C172" s="547" t="s">
        <v>283</v>
      </c>
      <c r="D172" s="547" t="s">
        <v>286</v>
      </c>
      <c r="E172" s="547" t="s">
        <v>1358</v>
      </c>
      <c r="F172" s="547" t="s">
        <v>332</v>
      </c>
      <c r="G172" s="547" t="s">
        <v>2713</v>
      </c>
      <c r="H172" s="554"/>
      <c r="I172" s="554"/>
      <c r="J172" s="554"/>
      <c r="K172" s="554"/>
    </row>
    <row r="173" spans="2:11" x14ac:dyDescent="0.25">
      <c r="B173" s="549" t="s">
        <v>44</v>
      </c>
      <c r="C173" s="551">
        <v>122</v>
      </c>
      <c r="D173" s="551">
        <v>1</v>
      </c>
      <c r="E173" s="551">
        <v>2</v>
      </c>
      <c r="F173" s="551">
        <v>10</v>
      </c>
      <c r="G173" s="551"/>
      <c r="H173" s="554"/>
      <c r="I173" s="554"/>
      <c r="J173" s="554"/>
      <c r="K173" s="554"/>
    </row>
    <row r="174" spans="2:11" x14ac:dyDescent="0.25">
      <c r="B174" s="549" t="s">
        <v>454</v>
      </c>
      <c r="C174" s="551">
        <v>19</v>
      </c>
      <c r="D174" s="551">
        <v>1</v>
      </c>
      <c r="E174" s="551">
        <v>3</v>
      </c>
      <c r="F174" s="551">
        <v>1</v>
      </c>
      <c r="G174" s="551"/>
      <c r="H174" s="554"/>
      <c r="I174" s="554"/>
      <c r="J174" s="554"/>
      <c r="K174" s="554"/>
    </row>
    <row r="175" spans="2:11" x14ac:dyDescent="0.25">
      <c r="B175" s="549" t="s">
        <v>866</v>
      </c>
      <c r="C175" s="551">
        <v>24</v>
      </c>
      <c r="D175" s="551">
        <v>5</v>
      </c>
      <c r="E175" s="551">
        <v>2</v>
      </c>
      <c r="F175" s="551">
        <v>4</v>
      </c>
      <c r="G175" s="551"/>
      <c r="H175" s="554"/>
      <c r="I175" s="554"/>
      <c r="J175" s="554"/>
      <c r="K175" s="554"/>
    </row>
    <row r="176" spans="2:11" x14ac:dyDescent="0.25">
      <c r="B176" s="554"/>
      <c r="C176" s="554"/>
      <c r="D176" s="554"/>
      <c r="E176" s="554"/>
      <c r="F176" s="554"/>
      <c r="G176" s="554"/>
      <c r="H176" s="554"/>
      <c r="I176" s="554"/>
    </row>
    <row r="177" spans="2:14" x14ac:dyDescent="0.25">
      <c r="B177" s="621" t="s">
        <v>2142</v>
      </c>
      <c r="C177" s="614" t="s">
        <v>283</v>
      </c>
      <c r="D177" s="614" t="s">
        <v>286</v>
      </c>
      <c r="E177" s="614" t="s">
        <v>1358</v>
      </c>
      <c r="F177" s="614" t="s">
        <v>332</v>
      </c>
    </row>
    <row r="178" spans="2:14" x14ac:dyDescent="0.25">
      <c r="B178" s="617" t="s">
        <v>44</v>
      </c>
      <c r="C178" s="619">
        <f>GETPIVOTDATA("effective solid waste management system",$B$171,"State","Kachin","effective solid waste management system","Functional")</f>
        <v>122</v>
      </c>
      <c r="D178" s="618">
        <f>GETPIVOTDATA("effective solid waste management system",$B$171,"State","Kachin","effective solid waste management system","NA")</f>
        <v>1</v>
      </c>
      <c r="E178" s="619">
        <f>GETPIVOTDATA("effective solid waste management system",$B$171,"State","Kachin","effective solid waste management system","Not_Functional")</f>
        <v>2</v>
      </c>
      <c r="F178" s="618">
        <f>GETPIVOTDATA("effective solid waste management system",$B$171,"State","Kachin","effective solid waste management system","Not_inPlace")</f>
        <v>10</v>
      </c>
    </row>
    <row r="179" spans="2:14" x14ac:dyDescent="0.25">
      <c r="B179" s="615" t="s">
        <v>454</v>
      </c>
      <c r="C179" s="620">
        <f>GETPIVOTDATA("effective solid waste management system",$B$171,"State","Rakhine","effective solid waste management system","Functional")</f>
        <v>19</v>
      </c>
      <c r="D179" s="616">
        <f>GETPIVOTDATA("effective solid waste management system",$B$171,"State","Rakhine","effective solid waste management system","NA")</f>
        <v>1</v>
      </c>
      <c r="E179" s="620">
        <f>GETPIVOTDATA("effective solid waste management system",$B$171,"State","Rakhine","effective solid waste management system","Not_Functional")</f>
        <v>3</v>
      </c>
      <c r="F179" s="616">
        <f>GETPIVOTDATA("effective solid waste management system",$B$171,"State","Rakhine","effective solid waste management system","Not_inPlace")</f>
        <v>1</v>
      </c>
    </row>
    <row r="180" spans="2:14" x14ac:dyDescent="0.25">
      <c r="B180" s="617" t="s">
        <v>866</v>
      </c>
      <c r="C180" s="619">
        <f>GETPIVOTDATA("effective solid waste management system",$B$171,"State","Shan (North)","effective solid waste management system","Functional")</f>
        <v>24</v>
      </c>
      <c r="D180" s="618">
        <f>GETPIVOTDATA("effective solid waste management system",$B$171,"State","Shan (North)","effective solid waste management system","NA")</f>
        <v>5</v>
      </c>
      <c r="E180" s="619">
        <f>GETPIVOTDATA("effective solid waste management system",$B$171,"State","Shan (North)","effective solid waste management system","Not_Functional")</f>
        <v>2</v>
      </c>
      <c r="F180" s="618">
        <f>GETPIVOTDATA("effective solid waste management system",$B$171,"State","Shan (North)","effective solid waste management system","Not_inPlace")</f>
        <v>4</v>
      </c>
    </row>
    <row r="184" spans="2:14" x14ac:dyDescent="0.25">
      <c r="B184" s="917" t="s">
        <v>24</v>
      </c>
      <c r="C184" s="547" t="s">
        <v>3206</v>
      </c>
      <c r="D184" s="576"/>
    </row>
    <row r="185" spans="2:14" x14ac:dyDescent="0.25">
      <c r="B185" s="917" t="s">
        <v>40</v>
      </c>
      <c r="C185" s="547" t="s">
        <v>40</v>
      </c>
      <c r="D185" s="554"/>
      <c r="L185" s="917" t="s">
        <v>24</v>
      </c>
      <c r="M185" s="547" t="s">
        <v>3206</v>
      </c>
      <c r="N185" s="576"/>
    </row>
    <row r="186" spans="2:14" x14ac:dyDescent="0.25">
      <c r="B186" s="917" t="s">
        <v>280</v>
      </c>
      <c r="C186" s="547" t="s">
        <v>2149</v>
      </c>
      <c r="D186" s="554"/>
      <c r="L186" s="917" t="s">
        <v>40</v>
      </c>
      <c r="M186" s="547" t="s">
        <v>40</v>
      </c>
      <c r="N186" s="554"/>
    </row>
    <row r="187" spans="2:14" x14ac:dyDescent="0.25">
      <c r="B187" s="924" t="s">
        <v>26</v>
      </c>
      <c r="C187" s="923" t="s">
        <v>44</v>
      </c>
      <c r="D187" s="554"/>
      <c r="L187" s="917" t="s">
        <v>280</v>
      </c>
      <c r="M187" s="547" t="s">
        <v>2716</v>
      </c>
      <c r="N187" s="554"/>
    </row>
    <row r="188" spans="2:14" x14ac:dyDescent="0.25">
      <c r="B188" s="554"/>
      <c r="C188" s="554"/>
      <c r="D188" s="554"/>
      <c r="L188" s="924" t="s">
        <v>26</v>
      </c>
      <c r="M188" s="923" t="s">
        <v>44</v>
      </c>
      <c r="N188" s="554"/>
    </row>
    <row r="189" spans="2:14" x14ac:dyDescent="0.25">
      <c r="B189" s="919" t="s">
        <v>26</v>
      </c>
      <c r="C189" s="547" t="s">
        <v>2730</v>
      </c>
      <c r="D189" s="547" t="s">
        <v>2731</v>
      </c>
      <c r="L189" s="554"/>
      <c r="M189" s="554"/>
      <c r="N189" s="554"/>
    </row>
    <row r="190" spans="2:14" x14ac:dyDescent="0.25">
      <c r="B190" s="549" t="s">
        <v>341</v>
      </c>
      <c r="C190" s="550">
        <v>0.67606993648366431</v>
      </c>
      <c r="D190" s="550">
        <v>0.34731664738371615</v>
      </c>
      <c r="L190" s="917" t="s">
        <v>26</v>
      </c>
      <c r="M190" s="547" t="s">
        <v>2730</v>
      </c>
      <c r="N190" s="547" t="s">
        <v>2729</v>
      </c>
    </row>
    <row r="191" spans="2:14" ht="15.75" x14ac:dyDescent="0.25">
      <c r="B191" s="549" t="s">
        <v>292</v>
      </c>
      <c r="C191" s="550">
        <v>0.95552855407047388</v>
      </c>
      <c r="D191" s="550">
        <v>4.374240583232078E-2</v>
      </c>
      <c r="L191"/>
      <c r="M191"/>
      <c r="N191"/>
    </row>
    <row r="192" spans="2:14" ht="15.75" x14ac:dyDescent="0.25">
      <c r="B192" s="549" t="s">
        <v>294</v>
      </c>
      <c r="C192" s="550">
        <v>0.82262229565084832</v>
      </c>
      <c r="D192" s="550">
        <v>0.14123629122350467</v>
      </c>
      <c r="L192"/>
      <c r="M192"/>
      <c r="N192"/>
    </row>
    <row r="193" spans="2:21" ht="15.75" x14ac:dyDescent="0.25">
      <c r="B193" s="549" t="s">
        <v>45</v>
      </c>
      <c r="C193" s="550">
        <v>0.93623034097108404</v>
      </c>
      <c r="D193" s="550">
        <v>4.3276661514683151E-2</v>
      </c>
      <c r="L193"/>
      <c r="M193"/>
      <c r="N193"/>
    </row>
    <row r="194" spans="2:21" ht="15.75" x14ac:dyDescent="0.25">
      <c r="B194" s="549" t="s">
        <v>298</v>
      </c>
      <c r="C194" s="550">
        <v>0.71423719762686488</v>
      </c>
      <c r="D194" s="550">
        <v>0.2877297764765866</v>
      </c>
      <c r="L194"/>
      <c r="M194"/>
      <c r="N194"/>
    </row>
    <row r="195" spans="2:21" ht="15.75" x14ac:dyDescent="0.25">
      <c r="B195" s="549" t="s">
        <v>303</v>
      </c>
      <c r="C195" s="550">
        <v>0.62318840579710144</v>
      </c>
      <c r="D195" s="550">
        <v>0.38854952688944788</v>
      </c>
      <c r="L195"/>
      <c r="M195"/>
      <c r="N195"/>
    </row>
    <row r="196" spans="2:21" ht="15.75" x14ac:dyDescent="0.25">
      <c r="B196" s="549" t="s">
        <v>351</v>
      </c>
      <c r="C196" s="550">
        <v>0.8200435465112863</v>
      </c>
      <c r="D196" s="550">
        <v>0.17904311585639093</v>
      </c>
      <c r="L196"/>
      <c r="M196"/>
      <c r="N196"/>
    </row>
    <row r="197" spans="2:21" ht="15.75" x14ac:dyDescent="0.25">
      <c r="B197" s="549" t="s">
        <v>305</v>
      </c>
      <c r="C197" s="550">
        <v>0.68924531171301395</v>
      </c>
      <c r="D197" s="550">
        <v>0.29048580990882999</v>
      </c>
      <c r="L197"/>
      <c r="M197"/>
      <c r="N197"/>
    </row>
    <row r="198" spans="2:21" ht="15.75" x14ac:dyDescent="0.25">
      <c r="B198" s="549" t="s">
        <v>319</v>
      </c>
      <c r="C198" s="550">
        <v>0.56939501779359436</v>
      </c>
      <c r="D198" s="550">
        <v>0.42704626334519569</v>
      </c>
      <c r="L198"/>
      <c r="M198"/>
      <c r="N198"/>
    </row>
    <row r="199" spans="2:21" ht="15.75" x14ac:dyDescent="0.25">
      <c r="B199" s="549" t="s">
        <v>360</v>
      </c>
      <c r="C199" s="550">
        <v>0.38587848932676522</v>
      </c>
      <c r="D199" s="550">
        <v>0.61244747024757284</v>
      </c>
      <c r="L199"/>
      <c r="M199"/>
      <c r="N199"/>
    </row>
    <row r="200" spans="2:21" ht="15.75" x14ac:dyDescent="0.25">
      <c r="B200" s="549" t="s">
        <v>330</v>
      </c>
      <c r="C200" s="550">
        <v>1</v>
      </c>
      <c r="D200" s="550">
        <v>0</v>
      </c>
      <c r="L200"/>
      <c r="M200"/>
      <c r="N200"/>
    </row>
    <row r="201" spans="2:21" ht="15.75" x14ac:dyDescent="0.25">
      <c r="B201" s="549" t="s">
        <v>1311</v>
      </c>
      <c r="C201" s="550">
        <v>0.75989159891598912</v>
      </c>
      <c r="D201" s="550">
        <v>0.23956639566395665</v>
      </c>
      <c r="L201"/>
      <c r="M201"/>
      <c r="N201"/>
    </row>
    <row r="202" spans="2:21" ht="15.75" x14ac:dyDescent="0.25">
      <c r="B202" s="549" t="s">
        <v>288</v>
      </c>
      <c r="C202" s="550">
        <v>0.75323119789416526</v>
      </c>
      <c r="D202" s="550">
        <v>0.21428956305623242</v>
      </c>
      <c r="L202"/>
      <c r="M202"/>
      <c r="N202"/>
    </row>
    <row r="203" spans="2:21" ht="15.75" x14ac:dyDescent="0.25">
      <c r="B203"/>
      <c r="C203"/>
      <c r="D203"/>
      <c r="L203"/>
      <c r="M203"/>
      <c r="N203"/>
    </row>
    <row r="204" spans="2:21" ht="15.75" x14ac:dyDescent="0.25">
      <c r="B204" s="549"/>
      <c r="C204" s="550"/>
      <c r="D204" s="550"/>
      <c r="L204"/>
      <c r="M204"/>
      <c r="N204"/>
    </row>
    <row r="205" spans="2:21" ht="15.75" x14ac:dyDescent="0.25">
      <c r="L205"/>
      <c r="M205"/>
      <c r="N205"/>
    </row>
    <row r="206" spans="2:21" ht="15.75" x14ac:dyDescent="0.25">
      <c r="L206"/>
      <c r="M206"/>
      <c r="N206"/>
    </row>
    <row r="207" spans="2:21" ht="15.75" x14ac:dyDescent="0.25">
      <c r="B207" s="917" t="s">
        <v>24</v>
      </c>
      <c r="C207" s="547" t="s">
        <v>3206</v>
      </c>
      <c r="D207" s="576"/>
      <c r="J207" s="917" t="s">
        <v>24</v>
      </c>
      <c r="K207" s="547" t="s">
        <v>3206</v>
      </c>
      <c r="L207" s="576"/>
      <c r="M207"/>
      <c r="N207"/>
      <c r="S207" s="917" t="s">
        <v>24</v>
      </c>
      <c r="T207" s="547" t="s">
        <v>3206</v>
      </c>
      <c r="U207" s="576"/>
    </row>
    <row r="208" spans="2:21" ht="15.75" x14ac:dyDescent="0.25">
      <c r="B208" s="917" t="s">
        <v>40</v>
      </c>
      <c r="C208" s="547" t="s">
        <v>40</v>
      </c>
      <c r="D208" s="554"/>
      <c r="J208" s="917" t="s">
        <v>40</v>
      </c>
      <c r="K208" s="547" t="s">
        <v>40</v>
      </c>
      <c r="L208" s="554"/>
      <c r="M208"/>
      <c r="N208"/>
      <c r="S208" s="917" t="s">
        <v>40</v>
      </c>
      <c r="T208" s="547" t="s">
        <v>40</v>
      </c>
      <c r="U208" s="554"/>
    </row>
    <row r="209" spans="1:26" ht="15.75" x14ac:dyDescent="0.25">
      <c r="B209" s="917" t="s">
        <v>280</v>
      </c>
      <c r="C209" s="547" t="s">
        <v>2149</v>
      </c>
      <c r="D209" s="554"/>
      <c r="J209" s="917" t="s">
        <v>280</v>
      </c>
      <c r="K209" s="547" t="s">
        <v>969</v>
      </c>
      <c r="L209" s="554"/>
      <c r="M209"/>
      <c r="N209"/>
      <c r="S209" s="917" t="s">
        <v>280</v>
      </c>
      <c r="T209" s="547" t="s">
        <v>2149</v>
      </c>
      <c r="U209" s="554"/>
    </row>
    <row r="210" spans="1:26" ht="30" x14ac:dyDescent="0.25">
      <c r="B210" s="922" t="s">
        <v>26</v>
      </c>
      <c r="C210" s="547" t="s">
        <v>454</v>
      </c>
      <c r="D210" s="554"/>
      <c r="J210" s="922" t="s">
        <v>26</v>
      </c>
      <c r="K210" s="922" t="s">
        <v>454</v>
      </c>
      <c r="L210" s="554"/>
      <c r="M210"/>
      <c r="N210"/>
      <c r="S210" s="922" t="s">
        <v>26</v>
      </c>
      <c r="T210" s="922" t="s">
        <v>866</v>
      </c>
      <c r="U210" s="554"/>
    </row>
    <row r="211" spans="1:26" ht="15.75" x14ac:dyDescent="0.25">
      <c r="B211" s="554"/>
      <c r="C211" s="554"/>
      <c r="D211" s="554"/>
      <c r="J211" s="554"/>
      <c r="K211" s="554"/>
      <c r="L211" s="554"/>
      <c r="M211"/>
      <c r="N211"/>
      <c r="S211" s="554"/>
      <c r="T211" s="554"/>
      <c r="U211" s="554"/>
    </row>
    <row r="212" spans="1:26" ht="15.75" x14ac:dyDescent="0.25">
      <c r="B212" s="919" t="s">
        <v>26</v>
      </c>
      <c r="C212" s="547" t="s">
        <v>2730</v>
      </c>
      <c r="D212" s="547" t="s">
        <v>2731</v>
      </c>
      <c r="J212" s="919" t="s">
        <v>26</v>
      </c>
      <c r="K212" s="547" t="s">
        <v>2730</v>
      </c>
      <c r="L212" s="547" t="s">
        <v>2731</v>
      </c>
      <c r="M212"/>
      <c r="N212"/>
      <c r="S212" s="919" t="s">
        <v>26</v>
      </c>
      <c r="T212" s="547" t="s">
        <v>2730</v>
      </c>
      <c r="U212" s="547" t="s">
        <v>2731</v>
      </c>
    </row>
    <row r="213" spans="1:26" ht="15.75" x14ac:dyDescent="0.25">
      <c r="B213" s="549" t="s">
        <v>518</v>
      </c>
      <c r="C213" s="550">
        <v>1</v>
      </c>
      <c r="D213" s="550">
        <v>0</v>
      </c>
      <c r="J213" s="549" t="s">
        <v>480</v>
      </c>
      <c r="K213" s="550">
        <v>3.2322319182179017E-2</v>
      </c>
      <c r="L213" s="550">
        <v>0.96935067697369171</v>
      </c>
      <c r="M213"/>
      <c r="N213"/>
      <c r="S213" s="549" t="s">
        <v>888</v>
      </c>
      <c r="T213" s="550">
        <v>1</v>
      </c>
      <c r="U213" s="550">
        <v>0</v>
      </c>
    </row>
    <row r="214" spans="1:26" ht="15.75" x14ac:dyDescent="0.25">
      <c r="B214" s="549" t="s">
        <v>463</v>
      </c>
      <c r="C214" s="550">
        <v>0.44750430292598969</v>
      </c>
      <c r="D214" s="550">
        <v>0.55077452667814109</v>
      </c>
      <c r="J214" s="549" t="s">
        <v>463</v>
      </c>
      <c r="K214" s="550">
        <v>0.13811198827563295</v>
      </c>
      <c r="L214" s="550">
        <v>0.86182149330792646</v>
      </c>
      <c r="M214"/>
      <c r="N214"/>
      <c r="S214" s="549" t="s">
        <v>870</v>
      </c>
      <c r="T214" s="550">
        <v>0.91358594258650305</v>
      </c>
      <c r="U214" s="550">
        <v>7.0684424853862282E-2</v>
      </c>
    </row>
    <row r="215" spans="1:26" ht="15.75" x14ac:dyDescent="0.25">
      <c r="B215" s="549" t="s">
        <v>560</v>
      </c>
      <c r="C215" s="550">
        <v>1</v>
      </c>
      <c r="D215" s="550">
        <v>0</v>
      </c>
      <c r="J215" s="549" t="s">
        <v>466</v>
      </c>
      <c r="K215" s="550">
        <v>3.5669235972803505E-2</v>
      </c>
      <c r="L215" s="550">
        <v>0.96248619433687743</v>
      </c>
      <c r="M215"/>
      <c r="N215"/>
      <c r="S215" s="549" t="s">
        <v>873</v>
      </c>
      <c r="T215" s="550">
        <v>0.97855750487329429</v>
      </c>
      <c r="U215" s="550">
        <v>3.8986354775828458E-2</v>
      </c>
    </row>
    <row r="216" spans="1:26" ht="15.75" x14ac:dyDescent="0.25">
      <c r="B216" s="549" t="s">
        <v>563</v>
      </c>
      <c r="C216" s="550">
        <v>0.61196110973216467</v>
      </c>
      <c r="D216" s="550">
        <v>0.31542268721093464</v>
      </c>
      <c r="J216" s="549" t="s">
        <v>560</v>
      </c>
      <c r="K216" s="550">
        <v>1</v>
      </c>
      <c r="L216" s="550">
        <v>0</v>
      </c>
      <c r="M216"/>
      <c r="N216"/>
      <c r="S216" s="549" t="s">
        <v>876</v>
      </c>
      <c r="T216" s="550">
        <v>0.7247191011235955</v>
      </c>
      <c r="U216" s="550">
        <v>0.27808988764044945</v>
      </c>
    </row>
    <row r="217" spans="1:26" ht="15.75" x14ac:dyDescent="0.25">
      <c r="B217" s="549" t="s">
        <v>455</v>
      </c>
      <c r="C217" s="550">
        <v>0.76799042837568421</v>
      </c>
      <c r="D217" s="550">
        <v>0.11415086394786192</v>
      </c>
      <c r="J217" s="549" t="s">
        <v>563</v>
      </c>
      <c r="K217" s="550">
        <v>0.48157430389314593</v>
      </c>
      <c r="L217" s="550">
        <v>0.39890830061610516</v>
      </c>
      <c r="M217"/>
      <c r="N217"/>
      <c r="S217" s="549" t="s">
        <v>867</v>
      </c>
      <c r="T217" s="550">
        <v>0.80775877089345072</v>
      </c>
      <c r="U217" s="550">
        <v>0.19406259621787667</v>
      </c>
    </row>
    <row r="218" spans="1:26" ht="15.75" x14ac:dyDescent="0.25">
      <c r="B218"/>
      <c r="C218"/>
      <c r="D218"/>
      <c r="J218" s="549" t="s">
        <v>498</v>
      </c>
      <c r="K218" s="550">
        <v>0.27257982261269037</v>
      </c>
      <c r="L218" s="550">
        <v>0.72630664061749584</v>
      </c>
      <c r="M218"/>
      <c r="N218"/>
      <c r="S218" s="549" t="s">
        <v>890</v>
      </c>
      <c r="T218" s="550">
        <v>0.94061658186171804</v>
      </c>
      <c r="U218" s="550">
        <v>5.9520246290674303E-2</v>
      </c>
    </row>
    <row r="219" spans="1:26" ht="15.75" x14ac:dyDescent="0.25">
      <c r="B219"/>
      <c r="C219"/>
      <c r="D219"/>
      <c r="J219" s="549" t="s">
        <v>455</v>
      </c>
      <c r="K219" s="550">
        <v>0.45658538915961661</v>
      </c>
      <c r="L219" s="550">
        <v>0.53977965949143558</v>
      </c>
      <c r="M219"/>
      <c r="N219"/>
      <c r="S219" s="549" t="s">
        <v>1449</v>
      </c>
      <c r="T219" s="550">
        <v>0</v>
      </c>
      <c r="U219" s="550">
        <v>0.90909090909090906</v>
      </c>
    </row>
    <row r="220" spans="1:26" ht="15.75" x14ac:dyDescent="0.25">
      <c r="B220"/>
      <c r="C220"/>
      <c r="D220"/>
      <c r="L220"/>
      <c r="M220"/>
      <c r="N220"/>
    </row>
    <row r="221" spans="1:26" ht="15.75" x14ac:dyDescent="0.25">
      <c r="B221"/>
      <c r="C221"/>
      <c r="D221"/>
      <c r="L221"/>
      <c r="M221"/>
      <c r="N221"/>
    </row>
    <row r="223" spans="1:26" x14ac:dyDescent="0.25">
      <c r="B223" s="554"/>
      <c r="C223" s="554"/>
      <c r="D223" s="554"/>
    </row>
    <row r="224" spans="1:26" ht="18.75" x14ac:dyDescent="0.3">
      <c r="A224" s="625" t="s">
        <v>2726</v>
      </c>
      <c r="B224" s="622"/>
      <c r="C224" s="622"/>
      <c r="D224" s="622"/>
      <c r="E224" s="622"/>
      <c r="F224" s="622"/>
      <c r="G224" s="622"/>
      <c r="H224" s="622"/>
      <c r="I224" s="622"/>
      <c r="J224" s="622"/>
      <c r="K224" s="622"/>
      <c r="L224" s="622"/>
      <c r="M224" s="622"/>
      <c r="N224" s="622"/>
      <c r="O224" s="622"/>
      <c r="P224" s="622"/>
      <c r="Q224" s="622"/>
      <c r="R224" s="622"/>
      <c r="S224" s="622"/>
      <c r="T224" s="622"/>
      <c r="U224" s="622"/>
      <c r="V224" s="622"/>
      <c r="W224" s="622"/>
      <c r="X224" s="622"/>
      <c r="Y224" s="622"/>
      <c r="Z224" s="622"/>
    </row>
    <row r="227" spans="2:25" x14ac:dyDescent="0.25">
      <c r="B227" s="917" t="s">
        <v>24</v>
      </c>
      <c r="C227" s="547" t="s">
        <v>3206</v>
      </c>
      <c r="D227" s="554"/>
    </row>
    <row r="228" spans="2:25" x14ac:dyDescent="0.25">
      <c r="B228" s="917" t="s">
        <v>40</v>
      </c>
      <c r="C228" s="547" t="s">
        <v>40</v>
      </c>
      <c r="J228" s="581" t="s">
        <v>44</v>
      </c>
      <c r="K228" s="550"/>
      <c r="L228" s="550"/>
      <c r="M228" s="551"/>
      <c r="Q228" s="581" t="s">
        <v>454</v>
      </c>
      <c r="X228" s="581" t="s">
        <v>2414</v>
      </c>
    </row>
    <row r="229" spans="2:25" x14ac:dyDescent="0.25">
      <c r="B229" s="917" t="s">
        <v>280</v>
      </c>
      <c r="C229" s="547" t="s">
        <v>2149</v>
      </c>
      <c r="D229" s="554"/>
      <c r="I229" s="579" t="s">
        <v>29</v>
      </c>
      <c r="K229" s="547">
        <f>GETPIVOTDATA("Sum of Total HH",$B$231,"State","Kachin")</f>
        <v>18586</v>
      </c>
      <c r="P229" s="579" t="s">
        <v>29</v>
      </c>
      <c r="R229" s="547">
        <f>GETPIVOTDATA("Sum of Total HH",$B$231,"State","Rakhine")</f>
        <v>24419</v>
      </c>
      <c r="W229" s="579" t="s">
        <v>29</v>
      </c>
      <c r="Y229" s="547">
        <f>GETPIVOTDATA("Sum of Total HH",$B$231,"State","Shan (North)")</f>
        <v>2224</v>
      </c>
    </row>
    <row r="231" spans="2:25" x14ac:dyDescent="0.25">
      <c r="B231" s="917" t="s">
        <v>2142</v>
      </c>
      <c r="C231" s="547" t="s">
        <v>2420</v>
      </c>
      <c r="D231" s="547" t="s">
        <v>2550</v>
      </c>
      <c r="E231" s="547" t="s">
        <v>2421</v>
      </c>
      <c r="F231" s="547" t="s">
        <v>2422</v>
      </c>
      <c r="G231" s="547" t="s">
        <v>2423</v>
      </c>
      <c r="J231" s="581" t="s">
        <v>40</v>
      </c>
      <c r="K231" s="581" t="s">
        <v>2161</v>
      </c>
      <c r="Q231" s="581" t="s">
        <v>40</v>
      </c>
      <c r="R231" s="581" t="s">
        <v>2161</v>
      </c>
      <c r="X231" s="581" t="s">
        <v>40</v>
      </c>
      <c r="Y231" s="581" t="s">
        <v>2161</v>
      </c>
    </row>
    <row r="232" spans="2:25" x14ac:dyDescent="0.25">
      <c r="B232" s="549" t="s">
        <v>44</v>
      </c>
      <c r="C232" s="926">
        <v>18586</v>
      </c>
      <c r="D232" s="551">
        <v>52868</v>
      </c>
      <c r="E232" s="926">
        <v>12160.459999999997</v>
      </c>
      <c r="F232" s="926">
        <v>6453</v>
      </c>
      <c r="G232" s="926">
        <v>3484</v>
      </c>
      <c r="I232" s="579" t="s">
        <v>2424</v>
      </c>
      <c r="J232" s="582">
        <f>GETPIVOTDATA("Sum of # people reached by regular dedicated hygiene promotion_5",$B$231,"State","Kachin")/5</f>
        <v>10573.6</v>
      </c>
      <c r="K232" s="582">
        <f>$K$229-J232</f>
        <v>8012.4</v>
      </c>
      <c r="P232" s="579" t="s">
        <v>2424</v>
      </c>
      <c r="Q232" s="583">
        <f>GETPIVOTDATA("Sum of # people reached by regular dedicated hygiene promotion_5",$B$231,"State","Rakhine")/5</f>
        <v>17140.2</v>
      </c>
      <c r="R232" s="583">
        <f>$R$229-Q232</f>
        <v>7278.7999999999993</v>
      </c>
      <c r="W232" s="579" t="s">
        <v>2424</v>
      </c>
      <c r="X232" s="556">
        <f>GETPIVOTDATA("Sum of # people reached by regular dedicated hygiene promotion_5",$B$231,"State","Shan (North)")/5</f>
        <v>1713</v>
      </c>
      <c r="Y232" s="556">
        <f>$Y$229-X232</f>
        <v>511</v>
      </c>
    </row>
    <row r="233" spans="2:25" x14ac:dyDescent="0.25">
      <c r="B233" s="549" t="s">
        <v>454</v>
      </c>
      <c r="C233" s="926">
        <v>24419</v>
      </c>
      <c r="D233" s="551">
        <v>85701</v>
      </c>
      <c r="E233" s="926">
        <v>15779.2</v>
      </c>
      <c r="F233" s="926">
        <v>24329</v>
      </c>
      <c r="G233" s="926">
        <v>24238</v>
      </c>
      <c r="I233" s="579" t="s">
        <v>2137</v>
      </c>
      <c r="J233" s="582">
        <f>GETPIVOTDATA("Sum of #HH with access to Hand Washing Station",$B$231,"State","Kachin")</f>
        <v>12160.459999999997</v>
      </c>
      <c r="K233" s="582">
        <f>$K$229-J233</f>
        <v>6425.5400000000027</v>
      </c>
      <c r="P233" s="579" t="s">
        <v>2137</v>
      </c>
      <c r="Q233" s="583">
        <f>GETPIVOTDATA("Sum of #HH with access to Hand Washing Station",$B$231,"State","Rakhine")</f>
        <v>15779.2</v>
      </c>
      <c r="R233" s="583">
        <f>$R$229-Q233</f>
        <v>8639.7999999999993</v>
      </c>
      <c r="W233" s="579" t="s">
        <v>2137</v>
      </c>
      <c r="X233" s="556">
        <f>GETPIVOTDATA("Sum of #HH with access to Hand Washing Station",$B$231,"State","Shan (North)")</f>
        <v>1180.3999999999999</v>
      </c>
      <c r="Y233" s="556">
        <f>$Y$229-X233</f>
        <v>1043.6000000000001</v>
      </c>
    </row>
    <row r="234" spans="2:25" x14ac:dyDescent="0.25">
      <c r="B234" s="549" t="s">
        <v>866</v>
      </c>
      <c r="C234" s="926">
        <v>2224</v>
      </c>
      <c r="D234" s="551">
        <v>8565</v>
      </c>
      <c r="E234" s="926">
        <v>1180.3999999999999</v>
      </c>
      <c r="F234" s="926">
        <v>574</v>
      </c>
      <c r="G234" s="926">
        <v>0</v>
      </c>
      <c r="I234" s="579" t="s">
        <v>2119</v>
      </c>
      <c r="J234" s="582">
        <f>GETPIVOTDATA("Sum of # HH received soaps",$B$231,"State","Kachin")</f>
        <v>6453</v>
      </c>
      <c r="K234" s="582">
        <f>$K$229-J234</f>
        <v>12133</v>
      </c>
      <c r="P234" s="579" t="s">
        <v>2119</v>
      </c>
      <c r="Q234" s="583">
        <f>GETPIVOTDATA("Sum of # HH received soaps",$B$231,"State","Rakhine")</f>
        <v>24329</v>
      </c>
      <c r="R234" s="583">
        <f>$R$229-Q234</f>
        <v>90</v>
      </c>
      <c r="W234" s="579" t="s">
        <v>2119</v>
      </c>
      <c r="X234" s="556">
        <f>GETPIVOTDATA("Sum of # HH received soaps",$B$231,"State","Shan (North)")</f>
        <v>574</v>
      </c>
      <c r="Y234" s="556">
        <f>$Y$229-X234</f>
        <v>1650</v>
      </c>
    </row>
    <row r="235" spans="2:25" x14ac:dyDescent="0.25">
      <c r="B235" s="549" t="s">
        <v>2150</v>
      </c>
      <c r="C235" s="926">
        <v>45229</v>
      </c>
      <c r="D235" s="551">
        <v>147134</v>
      </c>
      <c r="E235" s="926">
        <v>29120.059999999998</v>
      </c>
      <c r="F235" s="926">
        <v>31356</v>
      </c>
      <c r="G235" s="926">
        <v>27722</v>
      </c>
      <c r="I235" s="579" t="s">
        <v>2118</v>
      </c>
      <c r="J235" s="582">
        <f>GETPIVOTDATA("Sum of # HH received Sanitary Pads",$B$231,"State","Kachin")</f>
        <v>3484</v>
      </c>
      <c r="K235" s="582">
        <f>$K$229-J235</f>
        <v>15102</v>
      </c>
      <c r="P235" s="579" t="s">
        <v>2118</v>
      </c>
      <c r="Q235" s="583">
        <f>GETPIVOTDATA("Sum of # HH received Sanitary Pads",$B$231,"State","Rakhine")</f>
        <v>24238</v>
      </c>
      <c r="R235" s="583">
        <f>$R$229-Q235</f>
        <v>181</v>
      </c>
      <c r="W235" s="579" t="s">
        <v>2118</v>
      </c>
      <c r="X235" s="556">
        <f>GETPIVOTDATA("Sum of # HH received Sanitary Pads",$B$231,"State","Shan (North)")</f>
        <v>0</v>
      </c>
      <c r="Y235" s="556">
        <f>$Y$229-X235</f>
        <v>2224</v>
      </c>
    </row>
    <row r="236" spans="2:25" x14ac:dyDescent="0.25">
      <c r="B236" s="554"/>
      <c r="C236" s="554"/>
      <c r="D236" s="554"/>
      <c r="Q236" s="556"/>
      <c r="R236" s="556"/>
    </row>
    <row r="237" spans="2:25" x14ac:dyDescent="0.25">
      <c r="B237" s="554"/>
      <c r="C237" s="554"/>
      <c r="D237" s="554"/>
    </row>
    <row r="238" spans="2:25" x14ac:dyDescent="0.25">
      <c r="B238" s="554"/>
      <c r="C238" s="554"/>
      <c r="D238" s="554"/>
    </row>
    <row r="239" spans="2:25" x14ac:dyDescent="0.25">
      <c r="B239" s="554"/>
      <c r="C239" s="554"/>
      <c r="D239" s="554"/>
    </row>
    <row r="240" spans="2:25" x14ac:dyDescent="0.25">
      <c r="B240" s="554"/>
      <c r="C240" s="554"/>
      <c r="D240" s="554"/>
    </row>
    <row r="241" spans="2:13" x14ac:dyDescent="0.25">
      <c r="B241" s="917" t="s">
        <v>24</v>
      </c>
      <c r="C241" s="547" t="s">
        <v>3206</v>
      </c>
      <c r="D241" s="576"/>
      <c r="K241" s="917" t="s">
        <v>24</v>
      </c>
      <c r="L241" s="547" t="s">
        <v>3206</v>
      </c>
      <c r="M241" s="576"/>
    </row>
    <row r="242" spans="2:13" x14ac:dyDescent="0.25">
      <c r="B242" s="917" t="s">
        <v>40</v>
      </c>
      <c r="C242" s="547" t="s">
        <v>40</v>
      </c>
      <c r="D242" s="554"/>
      <c r="K242" s="917" t="s">
        <v>40</v>
      </c>
      <c r="L242" s="547" t="s">
        <v>40</v>
      </c>
      <c r="M242" s="554"/>
    </row>
    <row r="243" spans="2:13" x14ac:dyDescent="0.25">
      <c r="B243" s="917" t="s">
        <v>280</v>
      </c>
      <c r="C243" s="547" t="s">
        <v>2149</v>
      </c>
      <c r="D243" s="554"/>
      <c r="K243" s="917" t="s">
        <v>280</v>
      </c>
      <c r="L243" s="547" t="s">
        <v>2716</v>
      </c>
      <c r="M243" s="554"/>
    </row>
    <row r="244" spans="2:13" x14ac:dyDescent="0.25">
      <c r="B244" s="924" t="s">
        <v>26</v>
      </c>
      <c r="C244" s="923" t="s">
        <v>44</v>
      </c>
      <c r="D244" s="554"/>
      <c r="K244" s="924" t="s">
        <v>26</v>
      </c>
      <c r="L244" s="923" t="s">
        <v>44</v>
      </c>
      <c r="M244" s="554"/>
    </row>
    <row r="245" spans="2:13" x14ac:dyDescent="0.25">
      <c r="B245" s="554"/>
      <c r="C245" s="554"/>
      <c r="D245" s="554"/>
      <c r="K245" s="554"/>
      <c r="L245" s="554"/>
      <c r="M245" s="554"/>
    </row>
    <row r="246" spans="2:13" x14ac:dyDescent="0.25">
      <c r="B246" s="919" t="s">
        <v>26</v>
      </c>
      <c r="C246" s="547" t="s">
        <v>2732</v>
      </c>
      <c r="D246" s="547" t="s">
        <v>2733</v>
      </c>
      <c r="K246" s="917" t="s">
        <v>26</v>
      </c>
      <c r="L246" s="547" t="s">
        <v>2732</v>
      </c>
      <c r="M246" s="547" t="s">
        <v>2733</v>
      </c>
    </row>
    <row r="247" spans="2:13" ht="15.75" x14ac:dyDescent="0.25">
      <c r="B247" s="549" t="s">
        <v>341</v>
      </c>
      <c r="C247" s="550">
        <v>0.5</v>
      </c>
      <c r="D247" s="550">
        <v>0.5</v>
      </c>
      <c r="K247"/>
      <c r="L247"/>
      <c r="M247"/>
    </row>
    <row r="248" spans="2:13" ht="15.75" x14ac:dyDescent="0.25">
      <c r="B248" s="549" t="s">
        <v>292</v>
      </c>
      <c r="C248" s="550">
        <v>0</v>
      </c>
      <c r="D248" s="550">
        <v>1</v>
      </c>
      <c r="K248"/>
      <c r="L248"/>
      <c r="M248"/>
    </row>
    <row r="249" spans="2:13" ht="15.75" x14ac:dyDescent="0.25">
      <c r="B249" s="549" t="s">
        <v>294</v>
      </c>
      <c r="C249" s="550">
        <v>0</v>
      </c>
      <c r="D249" s="550">
        <v>1</v>
      </c>
      <c r="K249"/>
      <c r="L249"/>
      <c r="M249"/>
    </row>
    <row r="250" spans="2:13" ht="15.75" x14ac:dyDescent="0.25">
      <c r="B250" s="549" t="s">
        <v>45</v>
      </c>
      <c r="C250" s="550">
        <v>0.2</v>
      </c>
      <c r="D250" s="550">
        <v>0.8</v>
      </c>
      <c r="K250"/>
      <c r="L250"/>
      <c r="M250"/>
    </row>
    <row r="251" spans="2:13" ht="15.75" x14ac:dyDescent="0.25">
      <c r="B251" s="549" t="s">
        <v>298</v>
      </c>
      <c r="C251" s="550">
        <v>0</v>
      </c>
      <c r="D251" s="550">
        <v>1</v>
      </c>
      <c r="K251"/>
      <c r="L251"/>
      <c r="M251"/>
    </row>
    <row r="252" spans="2:13" ht="15.75" x14ac:dyDescent="0.25">
      <c r="B252" s="549" t="s">
        <v>303</v>
      </c>
      <c r="C252" s="550">
        <v>0</v>
      </c>
      <c r="D252" s="550">
        <v>1</v>
      </c>
      <c r="K252"/>
      <c r="L252"/>
      <c r="M252"/>
    </row>
    <row r="253" spans="2:13" ht="15.75" x14ac:dyDescent="0.25">
      <c r="B253" s="549" t="s">
        <v>351</v>
      </c>
      <c r="C253" s="550">
        <v>0.31578947368421051</v>
      </c>
      <c r="D253" s="550">
        <v>0.68421052631578949</v>
      </c>
      <c r="K253"/>
      <c r="L253"/>
      <c r="M253"/>
    </row>
    <row r="254" spans="2:13" ht="15.75" x14ac:dyDescent="0.25">
      <c r="B254" s="549" t="s">
        <v>305</v>
      </c>
      <c r="C254" s="550">
        <v>0</v>
      </c>
      <c r="D254" s="550">
        <v>1</v>
      </c>
      <c r="K254"/>
      <c r="L254"/>
      <c r="M254"/>
    </row>
    <row r="255" spans="2:13" ht="15.75" x14ac:dyDescent="0.25">
      <c r="B255" s="549" t="s">
        <v>319</v>
      </c>
      <c r="C255" s="550">
        <v>0</v>
      </c>
      <c r="D255" s="550">
        <v>1</v>
      </c>
      <c r="K255"/>
      <c r="L255"/>
      <c r="M255"/>
    </row>
    <row r="256" spans="2:13" ht="15.75" x14ac:dyDescent="0.25">
      <c r="B256" s="549" t="s">
        <v>360</v>
      </c>
      <c r="C256" s="550">
        <v>0.33333333333333331</v>
      </c>
      <c r="D256" s="550">
        <v>0.66666666666666663</v>
      </c>
      <c r="K256"/>
      <c r="L256"/>
      <c r="M256"/>
    </row>
    <row r="257" spans="2:22" ht="15.75" x14ac:dyDescent="0.25">
      <c r="B257" s="549" t="s">
        <v>330</v>
      </c>
      <c r="C257" s="550">
        <v>0</v>
      </c>
      <c r="D257" s="550">
        <v>1</v>
      </c>
      <c r="K257"/>
      <c r="L257"/>
      <c r="M257"/>
    </row>
    <row r="258" spans="2:22" ht="15.75" x14ac:dyDescent="0.25">
      <c r="B258" s="549" t="s">
        <v>1311</v>
      </c>
      <c r="C258" s="550">
        <v>0</v>
      </c>
      <c r="D258" s="550">
        <v>1</v>
      </c>
      <c r="K258"/>
      <c r="L258"/>
      <c r="M258"/>
    </row>
    <row r="259" spans="2:22" ht="15.75" x14ac:dyDescent="0.25">
      <c r="B259" s="549" t="s">
        <v>288</v>
      </c>
      <c r="C259" s="550">
        <v>0.08</v>
      </c>
      <c r="D259" s="550">
        <v>0.92</v>
      </c>
      <c r="K259"/>
      <c r="L259"/>
      <c r="M259"/>
    </row>
    <row r="260" spans="2:22" ht="15.75" x14ac:dyDescent="0.25">
      <c r="B260"/>
      <c r="C260"/>
      <c r="D260"/>
    </row>
    <row r="261" spans="2:22" x14ac:dyDescent="0.25">
      <c r="B261" s="554"/>
      <c r="C261" s="554"/>
      <c r="D261" s="554"/>
    </row>
    <row r="262" spans="2:22" x14ac:dyDescent="0.25">
      <c r="B262" s="554"/>
      <c r="C262" s="554"/>
      <c r="D262" s="554"/>
    </row>
    <row r="263" spans="2:22" x14ac:dyDescent="0.25">
      <c r="B263" s="917" t="s">
        <v>24</v>
      </c>
      <c r="C263" s="547" t="s">
        <v>3206</v>
      </c>
      <c r="D263" s="576"/>
      <c r="K263" s="917" t="s">
        <v>24</v>
      </c>
      <c r="L263" s="547" t="s">
        <v>3206</v>
      </c>
      <c r="M263" s="576"/>
      <c r="T263" s="917" t="s">
        <v>24</v>
      </c>
      <c r="U263" s="547" t="s">
        <v>3206</v>
      </c>
      <c r="V263" s="576"/>
    </row>
    <row r="264" spans="2:22" x14ac:dyDescent="0.25">
      <c r="B264" s="917" t="s">
        <v>40</v>
      </c>
      <c r="C264" s="547" t="s">
        <v>40</v>
      </c>
      <c r="D264" s="554"/>
      <c r="K264" s="917" t="s">
        <v>40</v>
      </c>
      <c r="L264" s="547" t="s">
        <v>40</v>
      </c>
      <c r="M264" s="554"/>
      <c r="T264" s="917" t="s">
        <v>40</v>
      </c>
      <c r="U264" s="547" t="s">
        <v>40</v>
      </c>
      <c r="V264" s="554"/>
    </row>
    <row r="265" spans="2:22" x14ac:dyDescent="0.25">
      <c r="B265" s="917" t="s">
        <v>280</v>
      </c>
      <c r="C265" s="547" t="s">
        <v>2149</v>
      </c>
      <c r="D265" s="554"/>
      <c r="K265" s="917" t="s">
        <v>280</v>
      </c>
      <c r="L265" s="547" t="s">
        <v>969</v>
      </c>
      <c r="M265" s="554"/>
      <c r="T265" s="917" t="s">
        <v>280</v>
      </c>
      <c r="U265" s="547" t="s">
        <v>2149</v>
      </c>
      <c r="V265" s="554"/>
    </row>
    <row r="266" spans="2:22" x14ac:dyDescent="0.25">
      <c r="B266" s="924" t="s">
        <v>26</v>
      </c>
      <c r="C266" s="923" t="s">
        <v>454</v>
      </c>
      <c r="D266" s="554"/>
      <c r="K266" s="924" t="s">
        <v>26</v>
      </c>
      <c r="L266" s="923" t="s">
        <v>454</v>
      </c>
      <c r="M266" s="554"/>
      <c r="T266" s="924" t="s">
        <v>26</v>
      </c>
      <c r="U266" s="923" t="s">
        <v>866</v>
      </c>
      <c r="V266" s="554"/>
    </row>
    <row r="267" spans="2:22" x14ac:dyDescent="0.25">
      <c r="B267" s="554"/>
      <c r="C267" s="554"/>
      <c r="D267" s="554"/>
      <c r="K267" s="554"/>
      <c r="L267" s="554"/>
      <c r="M267" s="554"/>
      <c r="T267" s="554"/>
      <c r="U267" s="554"/>
      <c r="V267" s="554"/>
    </row>
    <row r="268" spans="2:22" x14ac:dyDescent="0.25">
      <c r="B268" s="919" t="s">
        <v>26</v>
      </c>
      <c r="C268" s="547" t="s">
        <v>2732</v>
      </c>
      <c r="D268" s="547" t="s">
        <v>2733</v>
      </c>
      <c r="K268" s="919" t="s">
        <v>26</v>
      </c>
      <c r="L268" s="547" t="s">
        <v>2732</v>
      </c>
      <c r="M268" s="547" t="s">
        <v>2733</v>
      </c>
      <c r="T268" s="919" t="s">
        <v>26</v>
      </c>
      <c r="U268" s="547" t="s">
        <v>2732</v>
      </c>
      <c r="V268" s="547" t="s">
        <v>2733</v>
      </c>
    </row>
    <row r="269" spans="2:22" x14ac:dyDescent="0.25">
      <c r="B269" s="549" t="s">
        <v>518</v>
      </c>
      <c r="C269" s="550">
        <v>1</v>
      </c>
      <c r="D269" s="550">
        <v>0</v>
      </c>
      <c r="K269" s="549" t="s">
        <v>480</v>
      </c>
      <c r="L269" s="550">
        <v>0.83333333333333337</v>
      </c>
      <c r="M269" s="550">
        <v>0.16666666666666666</v>
      </c>
      <c r="T269" s="549" t="s">
        <v>888</v>
      </c>
      <c r="U269" s="550">
        <v>0</v>
      </c>
      <c r="V269" s="550">
        <v>1</v>
      </c>
    </row>
    <row r="270" spans="2:22" x14ac:dyDescent="0.25">
      <c r="B270" s="549" t="s">
        <v>463</v>
      </c>
      <c r="C270" s="550">
        <v>0</v>
      </c>
      <c r="D270" s="550">
        <v>1</v>
      </c>
      <c r="K270" s="549" t="s">
        <v>463</v>
      </c>
      <c r="L270" s="550">
        <v>0</v>
      </c>
      <c r="M270" s="550">
        <v>1</v>
      </c>
      <c r="T270" s="549" t="s">
        <v>870</v>
      </c>
      <c r="U270" s="550">
        <v>0</v>
      </c>
      <c r="V270" s="550">
        <v>1</v>
      </c>
    </row>
    <row r="271" spans="2:22" x14ac:dyDescent="0.25">
      <c r="B271" s="549" t="s">
        <v>560</v>
      </c>
      <c r="C271" s="550">
        <v>1</v>
      </c>
      <c r="D271" s="550">
        <v>0</v>
      </c>
      <c r="K271" s="549" t="s">
        <v>466</v>
      </c>
      <c r="L271" s="550">
        <v>0.7857142857142857</v>
      </c>
      <c r="M271" s="550">
        <v>0.21428571428571427</v>
      </c>
      <c r="T271" s="549" t="s">
        <v>873</v>
      </c>
      <c r="U271" s="550">
        <v>0</v>
      </c>
      <c r="V271" s="550">
        <v>1</v>
      </c>
    </row>
    <row r="272" spans="2:22" x14ac:dyDescent="0.25">
      <c r="B272" s="549" t="s">
        <v>563</v>
      </c>
      <c r="C272" s="550">
        <v>0.8</v>
      </c>
      <c r="D272" s="550">
        <v>0.2</v>
      </c>
      <c r="K272" s="549" t="s">
        <v>560</v>
      </c>
      <c r="L272" s="550">
        <v>1</v>
      </c>
      <c r="M272" s="550">
        <v>0</v>
      </c>
      <c r="T272" s="549" t="s">
        <v>876</v>
      </c>
      <c r="U272" s="550">
        <v>0</v>
      </c>
      <c r="V272" s="550">
        <v>1</v>
      </c>
    </row>
    <row r="273" spans="1:26" x14ac:dyDescent="0.25">
      <c r="B273" s="549" t="s">
        <v>455</v>
      </c>
      <c r="C273" s="550">
        <v>0.875</v>
      </c>
      <c r="D273" s="550">
        <v>0.125</v>
      </c>
      <c r="K273" s="549" t="s">
        <v>563</v>
      </c>
      <c r="L273" s="550">
        <v>0</v>
      </c>
      <c r="M273" s="550">
        <v>1</v>
      </c>
      <c r="T273" s="549" t="s">
        <v>867</v>
      </c>
      <c r="U273" s="550">
        <v>0.66666666666666663</v>
      </c>
      <c r="V273" s="550">
        <v>0.33333333333333331</v>
      </c>
    </row>
    <row r="274" spans="1:26" ht="15.75" x14ac:dyDescent="0.25">
      <c r="B274"/>
      <c r="C274"/>
      <c r="D274"/>
      <c r="K274" s="549" t="s">
        <v>498</v>
      </c>
      <c r="L274" s="550">
        <v>0</v>
      </c>
      <c r="M274" s="550">
        <v>1</v>
      </c>
      <c r="T274" s="549" t="s">
        <v>890</v>
      </c>
      <c r="U274" s="550">
        <v>0</v>
      </c>
      <c r="V274" s="550">
        <v>1</v>
      </c>
    </row>
    <row r="275" spans="1:26" ht="15.75" x14ac:dyDescent="0.25">
      <c r="B275"/>
      <c r="C275"/>
      <c r="D275"/>
      <c r="K275" s="549" t="s">
        <v>455</v>
      </c>
      <c r="L275" s="550">
        <v>0</v>
      </c>
      <c r="M275" s="550">
        <v>1</v>
      </c>
      <c r="T275" s="549" t="s">
        <v>1449</v>
      </c>
      <c r="U275" s="550">
        <v>0</v>
      </c>
      <c r="V275" s="550">
        <v>1</v>
      </c>
    </row>
    <row r="276" spans="1:26" ht="15.75" x14ac:dyDescent="0.25">
      <c r="B276"/>
      <c r="C276"/>
      <c r="D276"/>
    </row>
    <row r="277" spans="1:26" ht="15.75" x14ac:dyDescent="0.25">
      <c r="B277"/>
      <c r="C277"/>
      <c r="D277"/>
    </row>
    <row r="278" spans="1:26" x14ac:dyDescent="0.25">
      <c r="B278" s="554"/>
      <c r="C278" s="554"/>
      <c r="D278" s="554"/>
    </row>
    <row r="279" spans="1:26" x14ac:dyDescent="0.25">
      <c r="B279" s="554"/>
      <c r="C279" s="554"/>
      <c r="D279" s="554"/>
    </row>
    <row r="280" spans="1:26" ht="18.75" x14ac:dyDescent="0.3">
      <c r="A280" s="626" t="s">
        <v>2160</v>
      </c>
      <c r="B280" s="584"/>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row>
    <row r="281" spans="1:26" x14ac:dyDescent="0.25">
      <c r="B281" s="554"/>
      <c r="C281" s="554"/>
      <c r="D281" s="554"/>
    </row>
    <row r="282" spans="1:26" x14ac:dyDescent="0.25">
      <c r="B282" s="554"/>
      <c r="C282" s="554"/>
      <c r="D282" s="554"/>
    </row>
    <row r="283" spans="1:26" x14ac:dyDescent="0.25">
      <c r="C283" s="917" t="s">
        <v>24</v>
      </c>
      <c r="D283" s="547" t="s">
        <v>3206</v>
      </c>
      <c r="H283" s="917" t="s">
        <v>24</v>
      </c>
      <c r="I283" s="547" t="s">
        <v>3206</v>
      </c>
      <c r="N283" s="917" t="s">
        <v>24</v>
      </c>
      <c r="O283" s="547" t="s">
        <v>3206</v>
      </c>
    </row>
    <row r="284" spans="1:26" x14ac:dyDescent="0.25">
      <c r="C284" s="923" t="s">
        <v>26</v>
      </c>
      <c r="D284" s="923" t="s">
        <v>44</v>
      </c>
      <c r="H284" s="923" t="s">
        <v>26</v>
      </c>
      <c r="I284" s="923" t="s">
        <v>454</v>
      </c>
      <c r="N284" s="923" t="s">
        <v>26</v>
      </c>
      <c r="O284" s="923" t="s">
        <v>866</v>
      </c>
    </row>
    <row r="286" spans="1:26" x14ac:dyDescent="0.25">
      <c r="C286" s="917" t="s">
        <v>2416</v>
      </c>
      <c r="D286" s="917" t="s">
        <v>2411</v>
      </c>
      <c r="H286" s="917" t="s">
        <v>2416</v>
      </c>
      <c r="I286" s="917" t="s">
        <v>2411</v>
      </c>
      <c r="N286" s="917" t="s">
        <v>2416</v>
      </c>
      <c r="O286" s="917" t="s">
        <v>2411</v>
      </c>
    </row>
    <row r="287" spans="1:26" x14ac:dyDescent="0.25">
      <c r="C287" s="917" t="s">
        <v>2142</v>
      </c>
      <c r="D287" s="547" t="s">
        <v>40</v>
      </c>
      <c r="E287" s="547" t="s">
        <v>2161</v>
      </c>
      <c r="H287" s="917" t="s">
        <v>2142</v>
      </c>
      <c r="I287" s="547" t="s">
        <v>40</v>
      </c>
      <c r="J287" s="547" t="s">
        <v>2161</v>
      </c>
      <c r="N287" s="917" t="s">
        <v>2142</v>
      </c>
      <c r="O287" s="547" t="s">
        <v>40</v>
      </c>
      <c r="P287" s="547" t="s">
        <v>2161</v>
      </c>
    </row>
    <row r="288" spans="1:26" x14ac:dyDescent="0.25">
      <c r="C288" s="549" t="s">
        <v>50</v>
      </c>
      <c r="D288" s="551">
        <v>125</v>
      </c>
      <c r="E288" s="551">
        <v>19</v>
      </c>
      <c r="H288" s="549" t="s">
        <v>50</v>
      </c>
      <c r="I288" s="551">
        <v>24</v>
      </c>
      <c r="J288" s="551"/>
      <c r="N288" s="549" t="s">
        <v>50</v>
      </c>
      <c r="O288" s="551">
        <v>34</v>
      </c>
      <c r="P288" s="551">
        <v>1</v>
      </c>
    </row>
    <row r="289" spans="1:26" x14ac:dyDescent="0.25">
      <c r="C289" s="549" t="s">
        <v>1921</v>
      </c>
      <c r="D289" s="551">
        <v>22</v>
      </c>
      <c r="E289" s="551">
        <v>3</v>
      </c>
      <c r="H289" s="549" t="s">
        <v>975</v>
      </c>
      <c r="I289" s="551">
        <v>50</v>
      </c>
      <c r="J289" s="551"/>
      <c r="N289" s="549" t="s">
        <v>1921</v>
      </c>
      <c r="O289" s="551">
        <v>1</v>
      </c>
      <c r="P289" s="551"/>
    </row>
    <row r="290" spans="1:26" ht="15.75" x14ac:dyDescent="0.25">
      <c r="C290"/>
      <c r="D290"/>
      <c r="E290"/>
      <c r="H290" s="549" t="s">
        <v>969</v>
      </c>
      <c r="I290" s="551">
        <v>80</v>
      </c>
      <c r="J290" s="551">
        <v>58</v>
      </c>
      <c r="N290" s="549" t="s">
        <v>2716</v>
      </c>
      <c r="O290" s="551">
        <v>1</v>
      </c>
      <c r="P290" s="551"/>
    </row>
    <row r="291" spans="1:26" ht="15.75" x14ac:dyDescent="0.25">
      <c r="C291"/>
      <c r="D291"/>
      <c r="E291"/>
      <c r="H291" s="554"/>
      <c r="I291" s="554"/>
      <c r="J291" s="554"/>
    </row>
    <row r="302" spans="1:26" ht="18.75" x14ac:dyDescent="0.3">
      <c r="A302" s="627" t="s">
        <v>2727</v>
      </c>
      <c r="B302" s="623"/>
      <c r="C302" s="623"/>
      <c r="D302" s="623"/>
      <c r="E302" s="623"/>
      <c r="F302" s="623"/>
      <c r="G302" s="623"/>
      <c r="H302" s="623"/>
      <c r="I302" s="623"/>
      <c r="J302" s="623"/>
      <c r="K302" s="623"/>
      <c r="L302" s="623"/>
      <c r="M302" s="623"/>
      <c r="N302" s="623"/>
      <c r="O302" s="623"/>
      <c r="P302" s="623"/>
      <c r="Q302" s="623"/>
      <c r="R302" s="623"/>
      <c r="S302" s="623"/>
      <c r="T302" s="623"/>
      <c r="U302" s="623"/>
      <c r="V302" s="623"/>
      <c r="W302" s="623"/>
      <c r="X302" s="623"/>
      <c r="Y302" s="623"/>
      <c r="Z302" s="623"/>
    </row>
    <row r="305" spans="3:12" x14ac:dyDescent="0.25">
      <c r="C305" s="917" t="s">
        <v>24</v>
      </c>
      <c r="D305" s="547" t="s">
        <v>3206</v>
      </c>
    </row>
    <row r="306" spans="3:12" x14ac:dyDescent="0.25">
      <c r="C306" s="917" t="s">
        <v>40</v>
      </c>
      <c r="D306" s="547" t="s">
        <v>2161</v>
      </c>
    </row>
    <row r="308" spans="3:12" x14ac:dyDescent="0.25">
      <c r="C308" s="917" t="s">
        <v>26</v>
      </c>
      <c r="D308" s="917" t="s">
        <v>27</v>
      </c>
      <c r="E308" s="917" t="s">
        <v>28</v>
      </c>
      <c r="F308" s="917" t="s">
        <v>35</v>
      </c>
      <c r="G308" s="547" t="s">
        <v>2416</v>
      </c>
      <c r="H308" s="547" t="s">
        <v>2578</v>
      </c>
      <c r="I308" s="547" t="s">
        <v>2579</v>
      </c>
      <c r="J308" s="547" t="s">
        <v>2580</v>
      </c>
      <c r="K308" s="547" t="s">
        <v>2581</v>
      </c>
      <c r="L308" s="547" t="s">
        <v>2582</v>
      </c>
    </row>
    <row r="309" spans="3:12" x14ac:dyDescent="0.25">
      <c r="C309" s="547" t="s">
        <v>44</v>
      </c>
      <c r="D309" s="547" t="s">
        <v>341</v>
      </c>
      <c r="E309" s="547" t="s">
        <v>1180</v>
      </c>
      <c r="F309" s="547" t="s">
        <v>942</v>
      </c>
      <c r="G309" s="551">
        <v>1</v>
      </c>
      <c r="H309" s="553">
        <v>190</v>
      </c>
      <c r="I309" s="553">
        <v>928</v>
      </c>
      <c r="J309" s="550">
        <v>1</v>
      </c>
      <c r="K309" s="550">
        <v>0.99137931034482762</v>
      </c>
      <c r="L309" s="550">
        <v>1</v>
      </c>
    </row>
    <row r="310" spans="3:12" x14ac:dyDescent="0.25">
      <c r="D310" s="547" t="s">
        <v>294</v>
      </c>
      <c r="E310" s="547" t="s">
        <v>2684</v>
      </c>
      <c r="F310" s="547" t="s">
        <v>946</v>
      </c>
      <c r="G310" s="551">
        <v>1</v>
      </c>
      <c r="H310" s="553">
        <v>39</v>
      </c>
      <c r="I310" s="553">
        <v>171</v>
      </c>
      <c r="J310" s="550">
        <v>1</v>
      </c>
      <c r="K310" s="550">
        <v>1</v>
      </c>
      <c r="L310" s="550">
        <v>1</v>
      </c>
    </row>
    <row r="311" spans="3:12" x14ac:dyDescent="0.25">
      <c r="E311" s="547" t="s">
        <v>2686</v>
      </c>
      <c r="F311" s="547" t="s">
        <v>946</v>
      </c>
      <c r="G311" s="551">
        <v>1</v>
      </c>
      <c r="H311" s="553">
        <v>13</v>
      </c>
      <c r="I311" s="553">
        <v>56</v>
      </c>
      <c r="J311" s="550">
        <v>1</v>
      </c>
      <c r="K311" s="550">
        <v>1</v>
      </c>
      <c r="L311" s="550">
        <v>1</v>
      </c>
    </row>
    <row r="312" spans="3:12" x14ac:dyDescent="0.25">
      <c r="D312" s="547" t="s">
        <v>45</v>
      </c>
      <c r="E312" s="547" t="s">
        <v>1148</v>
      </c>
      <c r="F312" s="547" t="s">
        <v>942</v>
      </c>
      <c r="G312" s="551">
        <v>1</v>
      </c>
      <c r="H312" s="553">
        <v>175</v>
      </c>
      <c r="I312" s="553">
        <v>834</v>
      </c>
      <c r="J312" s="550">
        <v>1</v>
      </c>
      <c r="K312" s="550">
        <v>1</v>
      </c>
      <c r="L312" s="550">
        <v>1</v>
      </c>
    </row>
    <row r="313" spans="3:12" x14ac:dyDescent="0.25">
      <c r="E313" s="547" t="s">
        <v>1166</v>
      </c>
      <c r="F313" s="547" t="s">
        <v>942</v>
      </c>
      <c r="G313" s="551">
        <v>1</v>
      </c>
      <c r="H313" s="553">
        <v>80</v>
      </c>
      <c r="I313" s="553">
        <v>290</v>
      </c>
      <c r="J313" s="550">
        <v>1</v>
      </c>
      <c r="K313" s="550">
        <v>1</v>
      </c>
      <c r="L313" s="550">
        <v>1</v>
      </c>
    </row>
    <row r="314" spans="3:12" x14ac:dyDescent="0.25">
      <c r="D314" s="547" t="s">
        <v>298</v>
      </c>
      <c r="E314" s="547" t="s">
        <v>2717</v>
      </c>
      <c r="F314" s="547" t="s">
        <v>946</v>
      </c>
      <c r="G314" s="551">
        <v>1</v>
      </c>
      <c r="H314" s="553">
        <v>79</v>
      </c>
      <c r="I314" s="553">
        <v>419</v>
      </c>
      <c r="J314" s="550">
        <v>1</v>
      </c>
      <c r="K314" s="550">
        <v>1</v>
      </c>
      <c r="L314" s="550">
        <v>1</v>
      </c>
    </row>
    <row r="315" spans="3:12" x14ac:dyDescent="0.25">
      <c r="D315" s="547" t="s">
        <v>303</v>
      </c>
      <c r="E315" s="547" t="s">
        <v>1205</v>
      </c>
      <c r="F315" s="547" t="s">
        <v>942</v>
      </c>
      <c r="G315" s="551">
        <v>1</v>
      </c>
      <c r="H315" s="553">
        <v>27</v>
      </c>
      <c r="I315" s="553">
        <v>121</v>
      </c>
      <c r="J315" s="550">
        <v>1</v>
      </c>
      <c r="K315" s="550">
        <v>0.99173553719008267</v>
      </c>
      <c r="L315" s="550">
        <v>1</v>
      </c>
    </row>
    <row r="316" spans="3:12" x14ac:dyDescent="0.25">
      <c r="E316" s="547" t="s">
        <v>1201</v>
      </c>
      <c r="F316" s="547" t="s">
        <v>942</v>
      </c>
      <c r="G316" s="551">
        <v>1</v>
      </c>
      <c r="H316" s="553">
        <v>14</v>
      </c>
      <c r="I316" s="553">
        <v>63</v>
      </c>
      <c r="J316" s="550">
        <v>1</v>
      </c>
      <c r="K316" s="550">
        <v>0.95238095238095244</v>
      </c>
      <c r="L316" s="550">
        <v>1</v>
      </c>
    </row>
    <row r="317" spans="3:12" x14ac:dyDescent="0.25">
      <c r="D317" s="547" t="s">
        <v>351</v>
      </c>
      <c r="E317" s="547" t="s">
        <v>1183</v>
      </c>
      <c r="F317" s="547" t="s">
        <v>942</v>
      </c>
      <c r="G317" s="551">
        <v>1</v>
      </c>
      <c r="H317" s="553">
        <v>3</v>
      </c>
      <c r="I317" s="553">
        <v>18</v>
      </c>
      <c r="J317" s="550">
        <v>1</v>
      </c>
      <c r="K317" s="550">
        <v>1</v>
      </c>
      <c r="L317" s="550">
        <v>1</v>
      </c>
    </row>
    <row r="318" spans="3:12" x14ac:dyDescent="0.25">
      <c r="E318" s="547" t="s">
        <v>1175</v>
      </c>
      <c r="F318" s="547" t="s">
        <v>942</v>
      </c>
      <c r="G318" s="551">
        <v>1</v>
      </c>
      <c r="H318" s="553">
        <v>223</v>
      </c>
      <c r="I318" s="553">
        <v>1067</v>
      </c>
      <c r="J318" s="550">
        <v>1</v>
      </c>
      <c r="K318" s="550">
        <v>0.99343955014058105</v>
      </c>
      <c r="L318" s="550">
        <v>1</v>
      </c>
    </row>
    <row r="319" spans="3:12" x14ac:dyDescent="0.25">
      <c r="E319" s="547" t="s">
        <v>1185</v>
      </c>
      <c r="F319" s="547" t="s">
        <v>942</v>
      </c>
      <c r="G319" s="551">
        <v>1</v>
      </c>
      <c r="H319" s="553">
        <v>47</v>
      </c>
      <c r="I319" s="553">
        <v>153</v>
      </c>
      <c r="J319" s="550">
        <v>1</v>
      </c>
      <c r="K319" s="550">
        <v>1</v>
      </c>
      <c r="L319" s="550">
        <v>1</v>
      </c>
    </row>
    <row r="320" spans="3:12" x14ac:dyDescent="0.25">
      <c r="D320" s="547" t="s">
        <v>305</v>
      </c>
      <c r="E320" s="547" t="s">
        <v>941</v>
      </c>
      <c r="F320" s="547" t="s">
        <v>942</v>
      </c>
      <c r="G320" s="551">
        <v>1</v>
      </c>
      <c r="H320" s="553">
        <v>375</v>
      </c>
      <c r="I320" s="553">
        <v>1691</v>
      </c>
      <c r="J320" s="550">
        <v>1</v>
      </c>
      <c r="K320" s="550">
        <v>1</v>
      </c>
      <c r="L320" s="550">
        <v>1</v>
      </c>
    </row>
    <row r="321" spans="3:12" x14ac:dyDescent="0.25">
      <c r="E321" s="547" t="s">
        <v>2670</v>
      </c>
      <c r="F321" s="547" t="s">
        <v>946</v>
      </c>
      <c r="G321" s="551">
        <v>1</v>
      </c>
      <c r="H321" s="553">
        <v>235</v>
      </c>
      <c r="I321" s="553">
        <v>1043</v>
      </c>
      <c r="J321" s="550">
        <v>1</v>
      </c>
      <c r="K321" s="550">
        <v>0.99712368168744014</v>
      </c>
      <c r="L321" s="550">
        <v>1</v>
      </c>
    </row>
    <row r="322" spans="3:12" x14ac:dyDescent="0.25">
      <c r="E322" s="547" t="s">
        <v>1274</v>
      </c>
      <c r="F322" s="547" t="s">
        <v>946</v>
      </c>
      <c r="G322" s="551">
        <v>1</v>
      </c>
      <c r="H322" s="553">
        <v>19</v>
      </c>
      <c r="I322" s="553">
        <v>46</v>
      </c>
      <c r="J322" s="550">
        <v>1</v>
      </c>
      <c r="K322" s="550">
        <v>0.86956521739130443</v>
      </c>
      <c r="L322" s="550">
        <v>1</v>
      </c>
    </row>
    <row r="323" spans="3:12" x14ac:dyDescent="0.25">
      <c r="E323" s="547" t="s">
        <v>2944</v>
      </c>
      <c r="F323" s="547" t="s">
        <v>946</v>
      </c>
      <c r="G323" s="551">
        <v>1</v>
      </c>
      <c r="H323" s="553">
        <v>46</v>
      </c>
      <c r="I323" s="553">
        <v>212</v>
      </c>
      <c r="J323" s="550">
        <v>1</v>
      </c>
      <c r="K323" s="550">
        <v>1</v>
      </c>
      <c r="L323" s="550">
        <v>1</v>
      </c>
    </row>
    <row r="324" spans="3:12" x14ac:dyDescent="0.25">
      <c r="D324" s="547" t="s">
        <v>319</v>
      </c>
      <c r="E324" s="547" t="s">
        <v>1246</v>
      </c>
      <c r="F324" s="547" t="s">
        <v>942</v>
      </c>
      <c r="G324" s="551">
        <v>1</v>
      </c>
      <c r="H324" s="553">
        <v>10</v>
      </c>
      <c r="I324" s="553">
        <v>56</v>
      </c>
      <c r="J324" s="550">
        <v>1</v>
      </c>
      <c r="K324" s="550">
        <v>1</v>
      </c>
      <c r="L324" s="550">
        <v>1</v>
      </c>
    </row>
    <row r="325" spans="3:12" x14ac:dyDescent="0.25">
      <c r="E325" s="547" t="s">
        <v>1252</v>
      </c>
      <c r="F325" s="547" t="s">
        <v>942</v>
      </c>
      <c r="G325" s="551">
        <v>1</v>
      </c>
      <c r="H325" s="553">
        <v>14</v>
      </c>
      <c r="I325" s="553">
        <v>75</v>
      </c>
      <c r="J325" s="550">
        <v>1</v>
      </c>
      <c r="K325" s="550">
        <v>1</v>
      </c>
      <c r="L325" s="550">
        <v>1</v>
      </c>
    </row>
    <row r="326" spans="3:12" x14ac:dyDescent="0.25">
      <c r="D326" s="547" t="s">
        <v>330</v>
      </c>
      <c r="E326" s="547" t="s">
        <v>330</v>
      </c>
      <c r="F326" s="547" t="s">
        <v>946</v>
      </c>
      <c r="G326" s="551">
        <v>1</v>
      </c>
      <c r="H326" s="553">
        <v>5</v>
      </c>
      <c r="I326" s="553">
        <v>32</v>
      </c>
      <c r="J326" s="550">
        <v>1</v>
      </c>
      <c r="K326" s="550">
        <v>1</v>
      </c>
      <c r="L326" s="550">
        <v>1</v>
      </c>
    </row>
    <row r="327" spans="3:12" x14ac:dyDescent="0.25">
      <c r="D327" s="547" t="s">
        <v>1311</v>
      </c>
      <c r="E327" s="547" t="s">
        <v>2718</v>
      </c>
      <c r="F327" s="547" t="s">
        <v>946</v>
      </c>
      <c r="G327" s="551">
        <v>1</v>
      </c>
      <c r="H327" s="553">
        <v>72</v>
      </c>
      <c r="I327" s="553">
        <v>228</v>
      </c>
      <c r="J327" s="550">
        <v>1</v>
      </c>
      <c r="K327" s="550">
        <v>0.96491228070175439</v>
      </c>
      <c r="L327" s="550">
        <v>1</v>
      </c>
    </row>
    <row r="328" spans="3:12" x14ac:dyDescent="0.25">
      <c r="E328" s="547" t="s">
        <v>2719</v>
      </c>
      <c r="F328" s="547" t="s">
        <v>946</v>
      </c>
      <c r="G328" s="551">
        <v>1</v>
      </c>
      <c r="H328" s="553">
        <v>110</v>
      </c>
      <c r="I328" s="553">
        <v>566</v>
      </c>
      <c r="J328" s="550">
        <v>1</v>
      </c>
      <c r="K328" s="550">
        <v>0.98939929328621901</v>
      </c>
      <c r="L328" s="550">
        <v>1</v>
      </c>
    </row>
    <row r="329" spans="3:12" x14ac:dyDescent="0.25">
      <c r="D329" s="547" t="s">
        <v>288</v>
      </c>
      <c r="E329" s="547" t="s">
        <v>1215</v>
      </c>
      <c r="F329" s="547" t="s">
        <v>946</v>
      </c>
      <c r="G329" s="551">
        <v>1</v>
      </c>
      <c r="H329" s="553">
        <v>62</v>
      </c>
      <c r="I329" s="553">
        <v>410</v>
      </c>
      <c r="J329" s="550">
        <v>0</v>
      </c>
      <c r="K329" s="550">
        <v>0.53658536585365857</v>
      </c>
      <c r="L329" s="550">
        <v>1</v>
      </c>
    </row>
    <row r="330" spans="3:12" x14ac:dyDescent="0.25">
      <c r="E330" s="547" t="s">
        <v>1222</v>
      </c>
      <c r="F330" s="547" t="s">
        <v>946</v>
      </c>
      <c r="G330" s="551">
        <v>1</v>
      </c>
      <c r="H330" s="553">
        <v>80</v>
      </c>
      <c r="I330" s="553">
        <v>449</v>
      </c>
      <c r="J330" s="550">
        <v>1</v>
      </c>
      <c r="K330" s="550">
        <v>0.97995545657015593</v>
      </c>
      <c r="L330" s="550">
        <v>1</v>
      </c>
    </row>
    <row r="331" spans="3:12" x14ac:dyDescent="0.25">
      <c r="C331" s="547" t="s">
        <v>2442</v>
      </c>
      <c r="G331" s="551">
        <v>22</v>
      </c>
      <c r="H331" s="553">
        <v>1918</v>
      </c>
      <c r="I331" s="553">
        <v>8928</v>
      </c>
      <c r="J331" s="550">
        <v>0.95454545454545459</v>
      </c>
      <c r="K331" s="550">
        <v>0.96665802934304423</v>
      </c>
      <c r="L331" s="550">
        <v>1</v>
      </c>
    </row>
    <row r="332" spans="3:12" x14ac:dyDescent="0.25">
      <c r="C332" s="547" t="s">
        <v>454</v>
      </c>
      <c r="D332" s="547" t="s">
        <v>480</v>
      </c>
      <c r="E332" s="547" t="s">
        <v>825</v>
      </c>
      <c r="F332" s="547" t="s">
        <v>969</v>
      </c>
      <c r="G332" s="551">
        <v>1</v>
      </c>
      <c r="H332" s="553">
        <v>360</v>
      </c>
      <c r="I332" s="553">
        <v>1544</v>
      </c>
      <c r="J332" s="550">
        <v>0.19041450777202074</v>
      </c>
      <c r="K332" s="550">
        <v>0.99870466321243534</v>
      </c>
      <c r="L332" s="550">
        <v>1</v>
      </c>
    </row>
    <row r="333" spans="3:12" x14ac:dyDescent="0.25">
      <c r="D333" s="547" t="s">
        <v>518</v>
      </c>
      <c r="E333" s="547" t="s">
        <v>528</v>
      </c>
      <c r="F333" s="547" t="s">
        <v>992</v>
      </c>
      <c r="G333" s="551">
        <v>1</v>
      </c>
      <c r="H333" s="553">
        <v>65</v>
      </c>
      <c r="I333" s="553">
        <v>211</v>
      </c>
      <c r="J333" s="550">
        <v>0</v>
      </c>
      <c r="K333" s="550">
        <v>0</v>
      </c>
      <c r="L333" s="550">
        <v>1</v>
      </c>
    </row>
    <row r="334" spans="3:12" x14ac:dyDescent="0.25">
      <c r="D334" s="547" t="s">
        <v>463</v>
      </c>
      <c r="E334" s="547" t="s">
        <v>464</v>
      </c>
      <c r="F334" s="547" t="s">
        <v>969</v>
      </c>
      <c r="G334" s="551">
        <v>1</v>
      </c>
      <c r="H334" s="553">
        <v>167</v>
      </c>
      <c r="I334" s="553">
        <v>836</v>
      </c>
      <c r="J334" s="550">
        <v>1</v>
      </c>
      <c r="K334" s="550">
        <v>0.61722488038277512</v>
      </c>
      <c r="L334" s="550">
        <v>1</v>
      </c>
    </row>
    <row r="335" spans="3:12" x14ac:dyDescent="0.25">
      <c r="E335" s="547" t="s">
        <v>732</v>
      </c>
      <c r="F335" s="547" t="s">
        <v>1054</v>
      </c>
      <c r="G335" s="551">
        <v>1</v>
      </c>
      <c r="H335" s="553">
        <v>92</v>
      </c>
      <c r="I335" s="553">
        <v>559</v>
      </c>
      <c r="J335" s="550">
        <v>1</v>
      </c>
      <c r="K335" s="550">
        <v>0</v>
      </c>
      <c r="L335" s="550">
        <v>1</v>
      </c>
    </row>
    <row r="336" spans="3:12" x14ac:dyDescent="0.25">
      <c r="E336" s="547" t="s">
        <v>864</v>
      </c>
      <c r="F336" s="547" t="s">
        <v>969</v>
      </c>
      <c r="G336" s="551">
        <v>1</v>
      </c>
      <c r="H336" s="553">
        <v>175</v>
      </c>
      <c r="I336" s="553">
        <v>855</v>
      </c>
      <c r="J336" s="550">
        <v>1</v>
      </c>
      <c r="K336" s="550">
        <v>1</v>
      </c>
      <c r="L336" s="550">
        <v>1</v>
      </c>
    </row>
    <row r="337" spans="4:12" x14ac:dyDescent="0.25">
      <c r="E337" s="547" t="s">
        <v>680</v>
      </c>
      <c r="F337" s="547" t="s">
        <v>969</v>
      </c>
      <c r="G337" s="551">
        <v>1</v>
      </c>
      <c r="H337" s="553">
        <v>165</v>
      </c>
      <c r="I337" s="553">
        <v>786</v>
      </c>
      <c r="J337" s="550">
        <v>1</v>
      </c>
      <c r="K337" s="550">
        <v>1</v>
      </c>
      <c r="L337" s="550">
        <v>1</v>
      </c>
    </row>
    <row r="338" spans="4:12" x14ac:dyDescent="0.25">
      <c r="E338" s="547" t="s">
        <v>722</v>
      </c>
      <c r="F338" s="547" t="s">
        <v>1054</v>
      </c>
      <c r="G338" s="551">
        <v>1</v>
      </c>
      <c r="H338" s="553">
        <v>116</v>
      </c>
      <c r="I338" s="553">
        <v>802</v>
      </c>
      <c r="J338" s="550">
        <v>1</v>
      </c>
      <c r="K338" s="550">
        <v>0.70324189526184544</v>
      </c>
      <c r="L338" s="550">
        <v>1</v>
      </c>
    </row>
    <row r="339" spans="4:12" x14ac:dyDescent="0.25">
      <c r="E339" s="547" t="s">
        <v>720</v>
      </c>
      <c r="F339" s="547" t="s">
        <v>969</v>
      </c>
      <c r="G339" s="551">
        <v>1</v>
      </c>
      <c r="H339" s="553">
        <v>314</v>
      </c>
      <c r="I339" s="553">
        <v>1569</v>
      </c>
      <c r="J339" s="550">
        <v>1</v>
      </c>
      <c r="K339" s="550">
        <v>0.39005736137667302</v>
      </c>
      <c r="L339" s="550">
        <v>1</v>
      </c>
    </row>
    <row r="340" spans="4:12" x14ac:dyDescent="0.25">
      <c r="E340" s="547" t="s">
        <v>811</v>
      </c>
      <c r="F340" s="547" t="s">
        <v>992</v>
      </c>
      <c r="G340" s="551">
        <v>1</v>
      </c>
      <c r="H340" s="553">
        <v>97</v>
      </c>
      <c r="I340" s="553">
        <v>557</v>
      </c>
      <c r="J340" s="550">
        <v>1</v>
      </c>
      <c r="K340" s="550">
        <v>0</v>
      </c>
      <c r="L340" s="550">
        <v>1</v>
      </c>
    </row>
    <row r="341" spans="4:12" x14ac:dyDescent="0.25">
      <c r="E341" s="547" t="s">
        <v>865</v>
      </c>
      <c r="F341" s="547" t="s">
        <v>969</v>
      </c>
      <c r="G341" s="551">
        <v>1</v>
      </c>
      <c r="H341" s="553">
        <v>130</v>
      </c>
      <c r="I341" s="553">
        <v>664</v>
      </c>
      <c r="J341" s="550">
        <v>1</v>
      </c>
      <c r="K341" s="550">
        <v>1</v>
      </c>
      <c r="L341" s="550">
        <v>1</v>
      </c>
    </row>
    <row r="342" spans="4:12" x14ac:dyDescent="0.25">
      <c r="E342" s="547" t="s">
        <v>863</v>
      </c>
      <c r="F342" s="547" t="s">
        <v>969</v>
      </c>
      <c r="G342" s="551">
        <v>1</v>
      </c>
      <c r="H342" s="553">
        <v>289</v>
      </c>
      <c r="I342" s="553">
        <v>1419</v>
      </c>
      <c r="J342" s="550">
        <v>1</v>
      </c>
      <c r="K342" s="550">
        <v>1</v>
      </c>
      <c r="L342" s="550">
        <v>1</v>
      </c>
    </row>
    <row r="343" spans="4:12" x14ac:dyDescent="0.25">
      <c r="E343" s="547" t="s">
        <v>776</v>
      </c>
      <c r="F343" s="547" t="s">
        <v>1054</v>
      </c>
      <c r="G343" s="551">
        <v>1</v>
      </c>
      <c r="H343" s="553">
        <v>18</v>
      </c>
      <c r="I343" s="553">
        <v>157</v>
      </c>
      <c r="J343" s="550">
        <v>1</v>
      </c>
      <c r="K343" s="550">
        <v>0</v>
      </c>
      <c r="L343" s="550">
        <v>1</v>
      </c>
    </row>
    <row r="344" spans="4:12" x14ac:dyDescent="0.25">
      <c r="E344" s="547" t="s">
        <v>823</v>
      </c>
      <c r="F344" s="547" t="s">
        <v>969</v>
      </c>
      <c r="G344" s="551">
        <v>1</v>
      </c>
      <c r="H344" s="553">
        <v>167</v>
      </c>
      <c r="I344" s="553">
        <v>833</v>
      </c>
      <c r="J344" s="550">
        <v>0.69987995198079234</v>
      </c>
      <c r="K344" s="550">
        <v>1</v>
      </c>
      <c r="L344" s="550">
        <v>1</v>
      </c>
    </row>
    <row r="345" spans="4:12" x14ac:dyDescent="0.25">
      <c r="E345" s="547" t="s">
        <v>861</v>
      </c>
      <c r="F345" s="547" t="s">
        <v>969</v>
      </c>
      <c r="G345" s="551">
        <v>1</v>
      </c>
      <c r="H345" s="553">
        <v>118</v>
      </c>
      <c r="I345" s="553">
        <v>665</v>
      </c>
      <c r="J345" s="550">
        <v>1</v>
      </c>
      <c r="K345" s="550">
        <v>1</v>
      </c>
      <c r="L345" s="550">
        <v>1</v>
      </c>
    </row>
    <row r="346" spans="4:12" x14ac:dyDescent="0.25">
      <c r="E346" s="547" t="s">
        <v>504</v>
      </c>
      <c r="F346" s="547" t="s">
        <v>969</v>
      </c>
      <c r="G346" s="551">
        <v>1</v>
      </c>
      <c r="H346" s="553">
        <v>395</v>
      </c>
      <c r="I346" s="553">
        <v>1687</v>
      </c>
      <c r="J346" s="550">
        <v>1</v>
      </c>
      <c r="K346" s="550">
        <v>0.99940723177237689</v>
      </c>
      <c r="L346" s="550">
        <v>1</v>
      </c>
    </row>
    <row r="347" spans="4:12" x14ac:dyDescent="0.25">
      <c r="E347" s="547" t="s">
        <v>759</v>
      </c>
      <c r="F347" s="547" t="s">
        <v>1054</v>
      </c>
      <c r="G347" s="551">
        <v>1</v>
      </c>
      <c r="H347" s="553">
        <v>144</v>
      </c>
      <c r="I347" s="553">
        <v>1006</v>
      </c>
      <c r="J347" s="550">
        <v>1</v>
      </c>
      <c r="K347" s="550">
        <v>0.80516898608349907</v>
      </c>
      <c r="L347" s="550">
        <v>1</v>
      </c>
    </row>
    <row r="348" spans="4:12" x14ac:dyDescent="0.25">
      <c r="E348" s="547" t="s">
        <v>780</v>
      </c>
      <c r="F348" s="547" t="s">
        <v>969</v>
      </c>
      <c r="G348" s="551">
        <v>1</v>
      </c>
      <c r="H348" s="553">
        <v>181</v>
      </c>
      <c r="I348" s="553">
        <v>907</v>
      </c>
      <c r="J348" s="550">
        <v>1</v>
      </c>
      <c r="K348" s="550">
        <v>0.72767364939360535</v>
      </c>
      <c r="L348" s="550">
        <v>1</v>
      </c>
    </row>
    <row r="349" spans="4:12" x14ac:dyDescent="0.25">
      <c r="E349" s="547" t="s">
        <v>735</v>
      </c>
      <c r="F349" s="547" t="s">
        <v>969</v>
      </c>
      <c r="G349" s="551">
        <v>1</v>
      </c>
      <c r="H349" s="553">
        <v>139</v>
      </c>
      <c r="I349" s="553">
        <v>695</v>
      </c>
      <c r="J349" s="550">
        <v>1</v>
      </c>
      <c r="K349" s="550">
        <v>0.37122302158273385</v>
      </c>
      <c r="L349" s="550">
        <v>1</v>
      </c>
    </row>
    <row r="350" spans="4:12" x14ac:dyDescent="0.25">
      <c r="D350" s="547" t="s">
        <v>466</v>
      </c>
      <c r="E350" s="547" t="s">
        <v>837</v>
      </c>
      <c r="F350" s="547" t="s">
        <v>969</v>
      </c>
      <c r="G350" s="551">
        <v>1</v>
      </c>
      <c r="H350" s="553">
        <v>173</v>
      </c>
      <c r="I350" s="553">
        <v>1205</v>
      </c>
      <c r="J350" s="550">
        <v>0</v>
      </c>
      <c r="K350" s="550">
        <v>1</v>
      </c>
      <c r="L350" s="550">
        <v>1</v>
      </c>
    </row>
    <row r="351" spans="4:12" x14ac:dyDescent="0.25">
      <c r="D351" s="547" t="s">
        <v>473</v>
      </c>
      <c r="E351" s="547" t="s">
        <v>628</v>
      </c>
      <c r="F351" s="547" t="s">
        <v>969</v>
      </c>
      <c r="G351" s="551">
        <v>1</v>
      </c>
      <c r="H351" s="553">
        <v>124</v>
      </c>
      <c r="I351" s="553">
        <v>479</v>
      </c>
      <c r="J351" s="550">
        <v>1</v>
      </c>
      <c r="K351" s="550">
        <v>0.90187891440501045</v>
      </c>
      <c r="L351" s="550">
        <v>1</v>
      </c>
    </row>
    <row r="352" spans="4:12" x14ac:dyDescent="0.25">
      <c r="E352" s="547" t="s">
        <v>474</v>
      </c>
      <c r="F352" s="547" t="s">
        <v>969</v>
      </c>
      <c r="G352" s="551">
        <v>1</v>
      </c>
      <c r="H352" s="553">
        <v>178</v>
      </c>
      <c r="I352" s="553">
        <v>763</v>
      </c>
      <c r="J352" s="550">
        <v>1</v>
      </c>
      <c r="K352" s="550">
        <v>0.95937090432503269</v>
      </c>
      <c r="L352" s="550">
        <v>1</v>
      </c>
    </row>
    <row r="353" spans="4:12" x14ac:dyDescent="0.25">
      <c r="E353" s="547" t="s">
        <v>630</v>
      </c>
      <c r="F353" s="547" t="s">
        <v>969</v>
      </c>
      <c r="G353" s="551">
        <v>1</v>
      </c>
      <c r="H353" s="553">
        <v>42</v>
      </c>
      <c r="I353" s="553">
        <v>183</v>
      </c>
      <c r="J353" s="550">
        <v>0</v>
      </c>
      <c r="K353" s="550">
        <v>1</v>
      </c>
      <c r="L353" s="550">
        <v>1</v>
      </c>
    </row>
    <row r="354" spans="4:12" x14ac:dyDescent="0.25">
      <c r="E354" s="547" t="s">
        <v>610</v>
      </c>
      <c r="F354" s="547" t="s">
        <v>969</v>
      </c>
      <c r="G354" s="551">
        <v>1</v>
      </c>
      <c r="H354" s="553">
        <v>415</v>
      </c>
      <c r="I354" s="553">
        <v>1628</v>
      </c>
      <c r="J354" s="550">
        <v>1</v>
      </c>
      <c r="K354" s="550">
        <v>0.83292383292383299</v>
      </c>
      <c r="L354" s="550">
        <v>1</v>
      </c>
    </row>
    <row r="355" spans="4:12" x14ac:dyDescent="0.25">
      <c r="E355" s="547" t="s">
        <v>631</v>
      </c>
      <c r="F355" s="547" t="s">
        <v>1054</v>
      </c>
      <c r="G355" s="551">
        <v>1</v>
      </c>
      <c r="H355" s="553">
        <v>150</v>
      </c>
      <c r="I355" s="553">
        <v>730</v>
      </c>
      <c r="J355" s="550">
        <v>0.31506849315068497</v>
      </c>
      <c r="K355" s="550">
        <v>0.55068493150684927</v>
      </c>
      <c r="L355" s="550">
        <v>1</v>
      </c>
    </row>
    <row r="356" spans="4:12" x14ac:dyDescent="0.25">
      <c r="E356" s="547" t="s">
        <v>656</v>
      </c>
      <c r="F356" s="547" t="s">
        <v>969</v>
      </c>
      <c r="G356" s="551">
        <v>1</v>
      </c>
      <c r="H356" s="553">
        <v>175</v>
      </c>
      <c r="I356" s="553">
        <v>659</v>
      </c>
      <c r="J356" s="550">
        <v>0.24127465857359631</v>
      </c>
      <c r="K356" s="550">
        <v>0.89226100151745069</v>
      </c>
      <c r="L356" s="550">
        <v>1</v>
      </c>
    </row>
    <row r="357" spans="4:12" x14ac:dyDescent="0.25">
      <c r="E357" s="547" t="s">
        <v>629</v>
      </c>
      <c r="F357" s="547" t="s">
        <v>969</v>
      </c>
      <c r="G357" s="551">
        <v>1</v>
      </c>
      <c r="H357" s="553">
        <v>41</v>
      </c>
      <c r="I357" s="553">
        <v>146</v>
      </c>
      <c r="J357" s="550">
        <v>0</v>
      </c>
      <c r="K357" s="550">
        <v>0.90410958904109595</v>
      </c>
      <c r="L357" s="550">
        <v>1</v>
      </c>
    </row>
    <row r="358" spans="4:12" x14ac:dyDescent="0.25">
      <c r="E358" s="547" t="s">
        <v>626</v>
      </c>
      <c r="F358" s="547" t="s">
        <v>1054</v>
      </c>
      <c r="G358" s="551">
        <v>1</v>
      </c>
      <c r="H358" s="553">
        <v>280</v>
      </c>
      <c r="I358" s="553">
        <v>1423</v>
      </c>
      <c r="J358" s="550">
        <v>0.64862965565706254</v>
      </c>
      <c r="K358" s="550">
        <v>0.74631061138439914</v>
      </c>
      <c r="L358" s="550">
        <v>1</v>
      </c>
    </row>
    <row r="359" spans="4:12" x14ac:dyDescent="0.25">
      <c r="D359" s="547" t="s">
        <v>637</v>
      </c>
      <c r="E359" s="547" t="s">
        <v>714</v>
      </c>
      <c r="F359" s="547" t="s">
        <v>969</v>
      </c>
      <c r="G359" s="551">
        <v>1</v>
      </c>
      <c r="H359" s="553">
        <v>146</v>
      </c>
      <c r="I359" s="553">
        <v>731</v>
      </c>
      <c r="J359" s="550">
        <v>0.65800273597811221</v>
      </c>
      <c r="K359" s="550">
        <v>0.96032831737346103</v>
      </c>
      <c r="L359" s="550">
        <v>1</v>
      </c>
    </row>
    <row r="360" spans="4:12" x14ac:dyDescent="0.25">
      <c r="E360" s="547" t="s">
        <v>649</v>
      </c>
      <c r="F360" s="547" t="s">
        <v>969</v>
      </c>
      <c r="G360" s="551">
        <v>1</v>
      </c>
      <c r="H360" s="553">
        <v>23</v>
      </c>
      <c r="I360" s="553">
        <v>117</v>
      </c>
      <c r="J360" s="550">
        <v>0</v>
      </c>
      <c r="K360" s="550">
        <v>1</v>
      </c>
      <c r="L360" s="550">
        <v>1</v>
      </c>
    </row>
    <row r="361" spans="4:12" x14ac:dyDescent="0.25">
      <c r="E361" s="547" t="s">
        <v>640</v>
      </c>
      <c r="F361" s="547" t="s">
        <v>969</v>
      </c>
      <c r="G361" s="551">
        <v>1</v>
      </c>
      <c r="H361" s="553">
        <v>44</v>
      </c>
      <c r="I361" s="553">
        <v>221</v>
      </c>
      <c r="J361" s="550">
        <v>0</v>
      </c>
      <c r="K361" s="550">
        <v>0.92307692307692302</v>
      </c>
      <c r="L361" s="550">
        <v>1</v>
      </c>
    </row>
    <row r="362" spans="4:12" x14ac:dyDescent="0.25">
      <c r="E362" s="547" t="s">
        <v>638</v>
      </c>
      <c r="F362" s="547" t="s">
        <v>969</v>
      </c>
      <c r="G362" s="551">
        <v>1</v>
      </c>
      <c r="H362" s="553">
        <v>161</v>
      </c>
      <c r="I362" s="553">
        <v>807</v>
      </c>
      <c r="J362" s="550">
        <v>0.69021065675340765</v>
      </c>
      <c r="K362" s="550">
        <v>0.97397769516728627</v>
      </c>
      <c r="L362" s="550">
        <v>1</v>
      </c>
    </row>
    <row r="363" spans="4:12" x14ac:dyDescent="0.25">
      <c r="E363" s="547" t="s">
        <v>715</v>
      </c>
      <c r="F363" s="547" t="s">
        <v>969</v>
      </c>
      <c r="G363" s="551">
        <v>1</v>
      </c>
      <c r="H363" s="553">
        <v>211</v>
      </c>
      <c r="I363" s="553">
        <v>1055</v>
      </c>
      <c r="J363" s="550">
        <v>0.76303317535545023</v>
      </c>
      <c r="K363" s="550">
        <v>0.97251184834123217</v>
      </c>
      <c r="L363" s="550">
        <v>1</v>
      </c>
    </row>
    <row r="364" spans="4:12" x14ac:dyDescent="0.25">
      <c r="D364" s="547" t="s">
        <v>618</v>
      </c>
      <c r="E364" s="547" t="s">
        <v>650</v>
      </c>
      <c r="F364" s="547" t="s">
        <v>969</v>
      </c>
      <c r="G364" s="551">
        <v>1</v>
      </c>
      <c r="H364" s="553">
        <v>72</v>
      </c>
      <c r="I364" s="553">
        <v>360</v>
      </c>
      <c r="J364" s="550">
        <v>1</v>
      </c>
      <c r="K364" s="550">
        <v>0.91666666666666663</v>
      </c>
      <c r="L364" s="550">
        <v>1</v>
      </c>
    </row>
    <row r="365" spans="4:12" x14ac:dyDescent="0.25">
      <c r="E365" s="547" t="s">
        <v>674</v>
      </c>
      <c r="F365" s="547" t="s">
        <v>969</v>
      </c>
      <c r="G365" s="551">
        <v>1</v>
      </c>
      <c r="H365" s="553">
        <v>324</v>
      </c>
      <c r="I365" s="553">
        <v>1618</v>
      </c>
      <c r="J365" s="550">
        <v>1</v>
      </c>
      <c r="K365" s="550">
        <v>0.83436341161928296</v>
      </c>
      <c r="L365" s="550">
        <v>1</v>
      </c>
    </row>
    <row r="366" spans="4:12" x14ac:dyDescent="0.25">
      <c r="E366" s="547" t="s">
        <v>675</v>
      </c>
      <c r="F366" s="547" t="s">
        <v>969</v>
      </c>
      <c r="G366" s="551">
        <v>1</v>
      </c>
      <c r="H366" s="553">
        <v>149</v>
      </c>
      <c r="I366" s="553">
        <v>747</v>
      </c>
      <c r="J366" s="550">
        <v>1</v>
      </c>
      <c r="K366" s="550">
        <v>1</v>
      </c>
      <c r="L366" s="550">
        <v>1</v>
      </c>
    </row>
    <row r="367" spans="4:12" x14ac:dyDescent="0.25">
      <c r="E367" s="547" t="s">
        <v>681</v>
      </c>
      <c r="F367" s="547" t="s">
        <v>969</v>
      </c>
      <c r="G367" s="551">
        <v>1</v>
      </c>
      <c r="H367" s="553">
        <v>83</v>
      </c>
      <c r="I367" s="553">
        <v>417</v>
      </c>
      <c r="J367" s="550">
        <v>1</v>
      </c>
      <c r="K367" s="550">
        <v>0.86330935251798557</v>
      </c>
      <c r="L367" s="550">
        <v>1</v>
      </c>
    </row>
    <row r="368" spans="4:12" x14ac:dyDescent="0.25">
      <c r="E368" s="547" t="s">
        <v>647</v>
      </c>
      <c r="F368" s="547" t="s">
        <v>969</v>
      </c>
      <c r="G368" s="551">
        <v>1</v>
      </c>
      <c r="H368" s="553">
        <v>130</v>
      </c>
      <c r="I368" s="553">
        <v>650</v>
      </c>
      <c r="J368" s="550">
        <v>1</v>
      </c>
      <c r="K368" s="550">
        <v>0.7846153846153846</v>
      </c>
      <c r="L368" s="550">
        <v>1</v>
      </c>
    </row>
    <row r="369" spans="4:12" x14ac:dyDescent="0.25">
      <c r="E369" s="547" t="s">
        <v>676</v>
      </c>
      <c r="F369" s="547" t="s">
        <v>969</v>
      </c>
      <c r="G369" s="551">
        <v>1</v>
      </c>
      <c r="H369" s="553">
        <v>82</v>
      </c>
      <c r="I369" s="553">
        <v>408</v>
      </c>
      <c r="J369" s="550">
        <v>1</v>
      </c>
      <c r="K369" s="550">
        <v>1</v>
      </c>
      <c r="L369" s="550">
        <v>1</v>
      </c>
    </row>
    <row r="370" spans="4:12" x14ac:dyDescent="0.25">
      <c r="E370" s="547" t="s">
        <v>673</v>
      </c>
      <c r="F370" s="547" t="s">
        <v>969</v>
      </c>
      <c r="G370" s="551">
        <v>1</v>
      </c>
      <c r="H370" s="553">
        <v>246</v>
      </c>
      <c r="I370" s="553">
        <v>1232</v>
      </c>
      <c r="J370" s="550">
        <v>1</v>
      </c>
      <c r="K370" s="550">
        <v>0.79383116883116878</v>
      </c>
      <c r="L370" s="550">
        <v>1</v>
      </c>
    </row>
    <row r="371" spans="4:12" x14ac:dyDescent="0.25">
      <c r="E371" s="547" t="s">
        <v>619</v>
      </c>
      <c r="F371" s="547" t="s">
        <v>969</v>
      </c>
      <c r="G371" s="551">
        <v>1</v>
      </c>
      <c r="H371" s="553">
        <v>362</v>
      </c>
      <c r="I371" s="553">
        <v>1811</v>
      </c>
      <c r="J371" s="550">
        <v>0.44781888459414687</v>
      </c>
      <c r="K371" s="550">
        <v>0.53340695748205413</v>
      </c>
      <c r="L371" s="550">
        <v>1</v>
      </c>
    </row>
    <row r="372" spans="4:12" x14ac:dyDescent="0.25">
      <c r="E372" s="547" t="s">
        <v>622</v>
      </c>
      <c r="F372" s="547" t="s">
        <v>969</v>
      </c>
      <c r="G372" s="551">
        <v>1</v>
      </c>
      <c r="H372" s="553">
        <v>139</v>
      </c>
      <c r="I372" s="553">
        <v>695</v>
      </c>
      <c r="J372" s="550">
        <v>1</v>
      </c>
      <c r="K372" s="550">
        <v>0.62158273381294971</v>
      </c>
      <c r="L372" s="550">
        <v>1</v>
      </c>
    </row>
    <row r="373" spans="4:12" x14ac:dyDescent="0.25">
      <c r="E373" s="547" t="s">
        <v>653</v>
      </c>
      <c r="F373" s="547" t="s">
        <v>969</v>
      </c>
      <c r="G373" s="551">
        <v>1</v>
      </c>
      <c r="H373" s="553">
        <v>91</v>
      </c>
      <c r="I373" s="553">
        <v>456</v>
      </c>
      <c r="J373" s="550">
        <v>1</v>
      </c>
      <c r="K373" s="550">
        <v>0.92105263157894735</v>
      </c>
      <c r="L373" s="550">
        <v>1</v>
      </c>
    </row>
    <row r="374" spans="4:12" x14ac:dyDescent="0.25">
      <c r="E374" s="547" t="s">
        <v>625</v>
      </c>
      <c r="F374" s="547" t="s">
        <v>969</v>
      </c>
      <c r="G374" s="551">
        <v>1</v>
      </c>
      <c r="H374" s="553">
        <v>97</v>
      </c>
      <c r="I374" s="553">
        <v>487</v>
      </c>
      <c r="J374" s="550">
        <v>1</v>
      </c>
      <c r="K374" s="550">
        <v>0.93634496919917864</v>
      </c>
      <c r="L374" s="550">
        <v>1</v>
      </c>
    </row>
    <row r="375" spans="4:12" x14ac:dyDescent="0.25">
      <c r="E375" s="547" t="s">
        <v>652</v>
      </c>
      <c r="F375" s="547" t="s">
        <v>969</v>
      </c>
      <c r="G375" s="551">
        <v>1</v>
      </c>
      <c r="H375" s="553">
        <v>26</v>
      </c>
      <c r="I375" s="553">
        <v>130</v>
      </c>
      <c r="J375" s="550">
        <v>1</v>
      </c>
      <c r="K375" s="550">
        <v>0.7846153846153846</v>
      </c>
      <c r="L375" s="550">
        <v>1</v>
      </c>
    </row>
    <row r="376" spans="4:12" x14ac:dyDescent="0.25">
      <c r="E376" s="547" t="s">
        <v>666</v>
      </c>
      <c r="F376" s="547" t="s">
        <v>969</v>
      </c>
      <c r="G376" s="551">
        <v>1</v>
      </c>
      <c r="H376" s="553">
        <v>97</v>
      </c>
      <c r="I376" s="553">
        <v>484</v>
      </c>
      <c r="J376" s="550">
        <v>1</v>
      </c>
      <c r="K376" s="550">
        <v>0.8801652892561983</v>
      </c>
      <c r="L376" s="550">
        <v>1</v>
      </c>
    </row>
    <row r="377" spans="4:12" x14ac:dyDescent="0.25">
      <c r="E377" s="547" t="s">
        <v>634</v>
      </c>
      <c r="F377" s="547" t="s">
        <v>969</v>
      </c>
      <c r="G377" s="551">
        <v>1</v>
      </c>
      <c r="H377" s="553">
        <v>291</v>
      </c>
      <c r="I377" s="553">
        <v>1455</v>
      </c>
      <c r="J377" s="550">
        <v>1</v>
      </c>
      <c r="K377" s="550">
        <v>0.8206185567010309</v>
      </c>
      <c r="L377" s="550">
        <v>1</v>
      </c>
    </row>
    <row r="378" spans="4:12" x14ac:dyDescent="0.25">
      <c r="D378" s="547" t="s">
        <v>498</v>
      </c>
      <c r="E378" s="547" t="s">
        <v>664</v>
      </c>
      <c r="F378" s="547" t="s">
        <v>969</v>
      </c>
      <c r="G378" s="551">
        <v>1</v>
      </c>
      <c r="H378" s="553">
        <v>367</v>
      </c>
      <c r="I378" s="553">
        <v>1768</v>
      </c>
      <c r="J378" s="550">
        <v>0.57579185520361986</v>
      </c>
      <c r="K378" s="550">
        <v>1</v>
      </c>
      <c r="L378" s="550">
        <v>1</v>
      </c>
    </row>
    <row r="379" spans="4:12" x14ac:dyDescent="0.25">
      <c r="E379" s="547" t="s">
        <v>632</v>
      </c>
      <c r="F379" s="547" t="s">
        <v>1054</v>
      </c>
      <c r="G379" s="551">
        <v>1</v>
      </c>
      <c r="H379" s="553">
        <v>425</v>
      </c>
      <c r="I379" s="553">
        <v>2552</v>
      </c>
      <c r="J379" s="550">
        <v>0</v>
      </c>
      <c r="K379" s="550">
        <v>0.2280564263322884</v>
      </c>
      <c r="L379" s="550">
        <v>1</v>
      </c>
    </row>
    <row r="380" spans="4:12" x14ac:dyDescent="0.25">
      <c r="E380" s="547" t="s">
        <v>669</v>
      </c>
      <c r="F380" s="547" t="s">
        <v>969</v>
      </c>
      <c r="G380" s="551">
        <v>1</v>
      </c>
      <c r="H380" s="553">
        <v>280</v>
      </c>
      <c r="I380" s="553">
        <v>2030</v>
      </c>
      <c r="J380" s="550">
        <v>0.63054187192118227</v>
      </c>
      <c r="K380" s="550">
        <v>0.9990147783251232</v>
      </c>
      <c r="L380" s="550">
        <v>1</v>
      </c>
    </row>
    <row r="381" spans="4:12" x14ac:dyDescent="0.25">
      <c r="E381" s="547" t="s">
        <v>668</v>
      </c>
      <c r="F381" s="547" t="s">
        <v>969</v>
      </c>
      <c r="G381" s="551">
        <v>1</v>
      </c>
      <c r="H381" s="553">
        <v>245</v>
      </c>
      <c r="I381" s="553">
        <v>1292</v>
      </c>
      <c r="J381" s="550">
        <v>0.61300309597523217</v>
      </c>
      <c r="K381" s="550">
        <v>0.99845201238390091</v>
      </c>
      <c r="L381" s="550">
        <v>1</v>
      </c>
    </row>
    <row r="382" spans="4:12" x14ac:dyDescent="0.25">
      <c r="E382" s="547" t="s">
        <v>623</v>
      </c>
      <c r="F382" s="547" t="s">
        <v>1054</v>
      </c>
      <c r="G382" s="551">
        <v>1</v>
      </c>
      <c r="H382" s="553">
        <v>292</v>
      </c>
      <c r="I382" s="553">
        <v>1751</v>
      </c>
      <c r="J382" s="550">
        <v>0</v>
      </c>
      <c r="K382" s="550">
        <v>0.10279840091376358</v>
      </c>
      <c r="L382" s="550">
        <v>1</v>
      </c>
    </row>
    <row r="383" spans="4:12" x14ac:dyDescent="0.25">
      <c r="E383" s="547" t="s">
        <v>624</v>
      </c>
      <c r="F383" s="547" t="s">
        <v>969</v>
      </c>
      <c r="G383" s="551">
        <v>1</v>
      </c>
      <c r="H383" s="553">
        <v>46</v>
      </c>
      <c r="I383" s="553">
        <v>227</v>
      </c>
      <c r="J383" s="550">
        <v>0</v>
      </c>
      <c r="K383" s="550">
        <v>0</v>
      </c>
      <c r="L383" s="550">
        <v>1</v>
      </c>
    </row>
    <row r="384" spans="4:12" x14ac:dyDescent="0.25">
      <c r="D384" s="547" t="s">
        <v>455</v>
      </c>
      <c r="E384" s="547" t="s">
        <v>593</v>
      </c>
      <c r="F384" s="547" t="s">
        <v>942</v>
      </c>
      <c r="G384" s="551">
        <v>1</v>
      </c>
      <c r="H384" s="553">
        <v>22</v>
      </c>
      <c r="I384" s="553">
        <v>114</v>
      </c>
      <c r="J384" s="550">
        <v>1</v>
      </c>
      <c r="K384" s="550">
        <v>1</v>
      </c>
      <c r="L384" s="550">
        <v>1</v>
      </c>
    </row>
    <row r="385" spans="1:25" x14ac:dyDescent="0.25">
      <c r="E385" s="547" t="s">
        <v>2447</v>
      </c>
      <c r="F385" s="547" t="s">
        <v>969</v>
      </c>
      <c r="G385" s="551">
        <v>1</v>
      </c>
      <c r="H385" s="553">
        <v>14</v>
      </c>
      <c r="I385" s="553">
        <v>93</v>
      </c>
      <c r="J385" s="550">
        <v>1</v>
      </c>
      <c r="K385" s="550">
        <v>1</v>
      </c>
      <c r="L385" s="550">
        <v>1</v>
      </c>
    </row>
    <row r="386" spans="1:25" x14ac:dyDescent="0.25">
      <c r="E386" s="547" t="s">
        <v>459</v>
      </c>
      <c r="F386" s="547" t="s">
        <v>969</v>
      </c>
      <c r="G386" s="551">
        <v>1</v>
      </c>
      <c r="H386" s="553">
        <v>357</v>
      </c>
      <c r="I386" s="553">
        <v>2743</v>
      </c>
      <c r="J386" s="550">
        <v>0</v>
      </c>
      <c r="K386" s="550">
        <v>0.91432737878235504</v>
      </c>
      <c r="L386" s="550">
        <v>1</v>
      </c>
    </row>
    <row r="387" spans="1:25" x14ac:dyDescent="0.25">
      <c r="E387" s="547" t="s">
        <v>616</v>
      </c>
      <c r="F387" s="547" t="s">
        <v>969</v>
      </c>
      <c r="G387" s="551">
        <v>1</v>
      </c>
      <c r="H387" s="553">
        <v>197</v>
      </c>
      <c r="I387" s="553">
        <v>488</v>
      </c>
      <c r="J387" s="550">
        <v>0</v>
      </c>
      <c r="K387" s="550">
        <v>0</v>
      </c>
      <c r="L387" s="550">
        <v>1</v>
      </c>
    </row>
    <row r="388" spans="1:25" x14ac:dyDescent="0.25">
      <c r="E388" s="547" t="s">
        <v>461</v>
      </c>
      <c r="F388" s="547" t="s">
        <v>969</v>
      </c>
      <c r="G388" s="551">
        <v>1</v>
      </c>
      <c r="H388" s="553">
        <v>87</v>
      </c>
      <c r="I388" s="553">
        <v>447</v>
      </c>
      <c r="J388" s="550">
        <v>0</v>
      </c>
      <c r="K388" s="550">
        <v>4.0268456375838924E-2</v>
      </c>
      <c r="L388" s="550">
        <v>1</v>
      </c>
    </row>
    <row r="389" spans="1:25" x14ac:dyDescent="0.25">
      <c r="E389" s="547" t="s">
        <v>583</v>
      </c>
      <c r="F389" s="547" t="s">
        <v>969</v>
      </c>
      <c r="G389" s="551">
        <v>1</v>
      </c>
      <c r="H389" s="553">
        <v>251</v>
      </c>
      <c r="I389" s="553">
        <v>1820</v>
      </c>
      <c r="J389" s="550">
        <v>0</v>
      </c>
      <c r="K389" s="550">
        <v>0.99890109890109902</v>
      </c>
      <c r="L389" s="550">
        <v>1</v>
      </c>
    </row>
    <row r="390" spans="1:25" x14ac:dyDescent="0.25">
      <c r="C390" s="547" t="s">
        <v>2534</v>
      </c>
      <c r="G390" s="551">
        <v>58</v>
      </c>
      <c r="H390" s="553">
        <v>10067</v>
      </c>
      <c r="I390" s="553">
        <v>52174</v>
      </c>
      <c r="J390" s="550">
        <v>0.68058050936060865</v>
      </c>
      <c r="K390" s="550">
        <v>0.74487116063860537</v>
      </c>
      <c r="L390" s="550">
        <v>1</v>
      </c>
    </row>
    <row r="391" spans="1:25" x14ac:dyDescent="0.25">
      <c r="C391" s="547" t="s">
        <v>866</v>
      </c>
      <c r="D391" s="547" t="s">
        <v>911</v>
      </c>
      <c r="E391" s="547" t="s">
        <v>912</v>
      </c>
      <c r="F391" s="547" t="s">
        <v>946</v>
      </c>
      <c r="G391" s="551">
        <v>1</v>
      </c>
      <c r="H391" s="553">
        <v>37</v>
      </c>
      <c r="I391" s="553">
        <v>120</v>
      </c>
      <c r="J391" s="550">
        <v>1</v>
      </c>
      <c r="K391" s="550">
        <v>1</v>
      </c>
      <c r="L391" s="550">
        <v>1</v>
      </c>
    </row>
    <row r="392" spans="1:25" x14ac:dyDescent="0.25">
      <c r="C392" s="547" t="s">
        <v>2535</v>
      </c>
      <c r="G392" s="551">
        <v>1</v>
      </c>
      <c r="H392" s="553">
        <v>37</v>
      </c>
      <c r="I392" s="553">
        <v>120</v>
      </c>
      <c r="J392" s="550">
        <v>1</v>
      </c>
      <c r="K392" s="550">
        <v>1</v>
      </c>
      <c r="L392" s="550">
        <v>1</v>
      </c>
    </row>
    <row r="393" spans="1:25" ht="15.75" x14ac:dyDescent="0.25">
      <c r="C393"/>
      <c r="D393"/>
      <c r="E393"/>
      <c r="F393"/>
      <c r="G393"/>
      <c r="H393"/>
      <c r="I393"/>
      <c r="J393"/>
      <c r="K393"/>
    </row>
    <row r="394" spans="1:25" x14ac:dyDescent="0.25">
      <c r="C394" s="554"/>
      <c r="D394" s="554"/>
      <c r="E394" s="554"/>
      <c r="F394" s="554"/>
      <c r="G394" s="554"/>
      <c r="H394" s="554"/>
      <c r="I394" s="554"/>
      <c r="J394" s="554"/>
      <c r="K394" s="554"/>
    </row>
    <row r="395" spans="1:25" ht="18.75" x14ac:dyDescent="0.3">
      <c r="A395" s="628" t="s">
        <v>2583</v>
      </c>
      <c r="B395" s="585"/>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row>
    <row r="396" spans="1:25" x14ac:dyDescent="0.25">
      <c r="C396" s="554"/>
      <c r="D396" s="554"/>
      <c r="E396" s="554"/>
      <c r="F396" s="554"/>
      <c r="G396" s="554"/>
      <c r="H396" s="554"/>
      <c r="I396" s="554"/>
      <c r="J396" s="554"/>
      <c r="K396" s="554"/>
    </row>
    <row r="397" spans="1:25" x14ac:dyDescent="0.25">
      <c r="C397" s="554"/>
      <c r="D397" s="554"/>
      <c r="E397" s="554"/>
      <c r="F397" s="554"/>
      <c r="G397" s="554"/>
      <c r="H397" s="554"/>
      <c r="I397" s="554"/>
      <c r="J397" s="554"/>
      <c r="K397" s="554"/>
    </row>
    <row r="398" spans="1:25" x14ac:dyDescent="0.25">
      <c r="C398" s="554"/>
      <c r="D398" s="554"/>
      <c r="E398" s="554"/>
      <c r="F398" s="554"/>
      <c r="G398" s="554"/>
      <c r="H398" s="554"/>
      <c r="I398" s="554"/>
      <c r="J398" s="554"/>
      <c r="K398" s="554"/>
    </row>
    <row r="399" spans="1:25" x14ac:dyDescent="0.25">
      <c r="C399" s="917" t="s">
        <v>24</v>
      </c>
      <c r="D399" s="547" t="s">
        <v>3206</v>
      </c>
      <c r="F399" s="554"/>
      <c r="G399" s="554"/>
      <c r="H399" s="554"/>
      <c r="I399" s="554"/>
      <c r="J399" s="554"/>
      <c r="K399" s="554"/>
    </row>
    <row r="400" spans="1:25" x14ac:dyDescent="0.25">
      <c r="C400" s="917" t="s">
        <v>40</v>
      </c>
      <c r="D400" s="547" t="s">
        <v>40</v>
      </c>
      <c r="F400" s="554"/>
      <c r="G400" s="554"/>
      <c r="H400" s="554"/>
      <c r="I400" s="554"/>
      <c r="J400" s="554"/>
      <c r="K400" s="554"/>
    </row>
    <row r="401" spans="3:11" x14ac:dyDescent="0.25">
      <c r="F401" s="554"/>
      <c r="G401" s="554"/>
      <c r="H401" s="554"/>
      <c r="I401" s="554"/>
      <c r="J401" s="554"/>
      <c r="K401" s="554"/>
    </row>
    <row r="402" spans="3:11" x14ac:dyDescent="0.25">
      <c r="C402" s="917" t="s">
        <v>26</v>
      </c>
      <c r="D402" s="547" t="s">
        <v>3250</v>
      </c>
      <c r="E402" s="547" t="s">
        <v>2584</v>
      </c>
      <c r="F402" s="547" t="s">
        <v>2586</v>
      </c>
      <c r="G402" s="547" t="s">
        <v>2585</v>
      </c>
      <c r="H402" s="547" t="s">
        <v>3249</v>
      </c>
      <c r="I402" s="547" t="s">
        <v>2441</v>
      </c>
      <c r="J402" s="554"/>
      <c r="K402" s="554"/>
    </row>
    <row r="403" spans="3:11" x14ac:dyDescent="0.25">
      <c r="C403" s="549" t="s">
        <v>44</v>
      </c>
      <c r="D403" s="553">
        <v>26</v>
      </c>
      <c r="E403" s="553">
        <v>4</v>
      </c>
      <c r="F403" s="553">
        <v>55</v>
      </c>
      <c r="G403" s="553">
        <v>139</v>
      </c>
      <c r="H403" s="553">
        <v>38</v>
      </c>
      <c r="I403" s="553">
        <v>25</v>
      </c>
      <c r="J403" s="554"/>
      <c r="K403" s="554"/>
    </row>
    <row r="404" spans="3:11" x14ac:dyDescent="0.25">
      <c r="C404" s="549" t="s">
        <v>454</v>
      </c>
      <c r="D404" s="553">
        <v>11</v>
      </c>
      <c r="E404" s="553">
        <v>112.53410293410293</v>
      </c>
      <c r="F404" s="553">
        <v>87</v>
      </c>
      <c r="G404" s="553">
        <v>79</v>
      </c>
      <c r="H404" s="553">
        <v>2</v>
      </c>
      <c r="I404" s="553">
        <v>16</v>
      </c>
      <c r="J404" s="554"/>
      <c r="K404" s="554"/>
    </row>
    <row r="405" spans="3:11" x14ac:dyDescent="0.25">
      <c r="C405" s="549" t="s">
        <v>866</v>
      </c>
      <c r="D405" s="553">
        <v>0</v>
      </c>
      <c r="E405" s="553">
        <v>6</v>
      </c>
      <c r="F405" s="553">
        <v>1</v>
      </c>
      <c r="G405" s="553">
        <v>0</v>
      </c>
      <c r="H405" s="553"/>
      <c r="I405" s="553"/>
      <c r="J405" s="554"/>
      <c r="K405" s="554"/>
    </row>
    <row r="406" spans="3:11" ht="15.75" thickBot="1" x14ac:dyDescent="0.3">
      <c r="C406" s="554"/>
      <c r="D406" s="554"/>
      <c r="E406" s="554"/>
      <c r="F406" s="554"/>
      <c r="G406" s="554"/>
      <c r="H406" s="554"/>
      <c r="I406" s="554"/>
      <c r="J406" s="554"/>
      <c r="K406" s="554"/>
    </row>
    <row r="407" spans="3:11" ht="15.75" thickBot="1" x14ac:dyDescent="0.3">
      <c r="C407" s="586" t="s">
        <v>26</v>
      </c>
      <c r="D407" s="587" t="s">
        <v>2607</v>
      </c>
      <c r="E407" s="587" t="s">
        <v>2585</v>
      </c>
      <c r="F407" s="587" t="s">
        <v>2939</v>
      </c>
      <c r="G407" s="588" t="s">
        <v>2586</v>
      </c>
      <c r="H407" s="588" t="s">
        <v>2709</v>
      </c>
      <c r="I407" s="554"/>
      <c r="J407" s="554"/>
      <c r="K407" s="554"/>
    </row>
    <row r="408" spans="3:11" x14ac:dyDescent="0.25">
      <c r="C408" s="589" t="s">
        <v>44</v>
      </c>
      <c r="D408" s="869">
        <f>GETPIVOTDATA("Count of Is sufficient soap available for TLS?",$C$402,"State","Kachin")</f>
        <v>25</v>
      </c>
      <c r="E408" s="869">
        <f>GETPIVOTDATA(" # of hand washing stations for TLS",$C$402,"State","Kachin")</f>
        <v>139</v>
      </c>
      <c r="F408" s="869">
        <f>GETPIVOTDATA(" # of children Latrine s",$C$402,"State","Kachin")</f>
        <v>4</v>
      </c>
      <c r="G408" s="869">
        <f>GETPIVOTDATA(" # of latrines in TLS (schools)",$C$402,"State","Kachin")</f>
        <v>55</v>
      </c>
      <c r="H408" s="869">
        <f>GETPIVOTDATA("Sum of # Water points in TLS",$C$402,"State","Kachin")</f>
        <v>26</v>
      </c>
      <c r="I408" s="554"/>
      <c r="J408" s="554"/>
      <c r="K408" s="554"/>
    </row>
    <row r="409" spans="3:11" x14ac:dyDescent="0.25">
      <c r="C409" s="590" t="s">
        <v>454</v>
      </c>
      <c r="D409" s="869">
        <f>GETPIVOTDATA("Count of Is sufficient soap available for TLS?",$C$402,"State","Rakhine")</f>
        <v>16</v>
      </c>
      <c r="E409" s="870">
        <f>GETPIVOTDATA(" # of hand washing stations for TLS",$C$402,"State","Rakhine")</f>
        <v>79</v>
      </c>
      <c r="F409" s="870">
        <f>GETPIVOTDATA(" # of children Latrine s",$C$402,"State","Rakhine")</f>
        <v>112.53410293410293</v>
      </c>
      <c r="G409" s="871">
        <f>GETPIVOTDATA(" # of latrines in TLS (schools)",$C$402,"State","Rakhine")</f>
        <v>87</v>
      </c>
      <c r="H409" s="871">
        <f>GETPIVOTDATA("Sum of # Water points in TLS",$C$402,"State","Rakhine")</f>
        <v>11</v>
      </c>
      <c r="I409" s="554"/>
      <c r="J409" s="554"/>
      <c r="K409" s="554"/>
    </row>
    <row r="410" spans="3:11" x14ac:dyDescent="0.25">
      <c r="C410" s="589" t="s">
        <v>866</v>
      </c>
      <c r="D410" s="869">
        <f>GETPIVOTDATA("Count of Is sufficient soap available for TLS?",$C$402,"State","Shan (North)")</f>
        <v>0</v>
      </c>
      <c r="E410" s="869">
        <f>GETPIVOTDATA(" # of hand washing stations for TLS",$C$402,"State","Shan (North)")</f>
        <v>0</v>
      </c>
      <c r="F410" s="869">
        <f>GETPIVOTDATA(" # of children Latrine s",$C$402,"State","Shan (North)")</f>
        <v>6</v>
      </c>
      <c r="G410" s="869">
        <f>GETPIVOTDATA(" # of latrines in TLS (schools)",$C$402,"State","Shan (North)")</f>
        <v>1</v>
      </c>
      <c r="H410" s="869">
        <f>GETPIVOTDATA("Sum of # Water points in TLS",$C$402,"State","Shan (North)")</f>
        <v>0</v>
      </c>
      <c r="I410" s="554"/>
      <c r="J410" s="554"/>
      <c r="K410" s="554"/>
    </row>
    <row r="411" spans="3:11" x14ac:dyDescent="0.25">
      <c r="C411" s="554"/>
      <c r="D411" s="554"/>
      <c r="E411" s="554"/>
      <c r="F411" s="554"/>
      <c r="G411" s="554"/>
      <c r="H411" s="554"/>
      <c r="I411" s="554"/>
      <c r="J411" s="554"/>
      <c r="K411" s="554"/>
    </row>
    <row r="412" spans="3:11" x14ac:dyDescent="0.25">
      <c r="C412" s="554"/>
      <c r="D412" s="554"/>
      <c r="E412" s="554"/>
      <c r="F412" s="554"/>
      <c r="G412" s="554"/>
      <c r="H412" s="554"/>
      <c r="I412" s="554"/>
      <c r="J412" s="554"/>
      <c r="K412" s="554"/>
    </row>
    <row r="413" spans="3:11" x14ac:dyDescent="0.25">
      <c r="C413" s="554"/>
      <c r="D413" s="554"/>
      <c r="E413" s="554"/>
      <c r="F413" s="554"/>
      <c r="G413" s="554"/>
      <c r="H413" s="554"/>
      <c r="I413" s="554"/>
      <c r="J413" s="554"/>
      <c r="K413" s="554"/>
    </row>
    <row r="414" spans="3:11" x14ac:dyDescent="0.25">
      <c r="C414" s="554"/>
      <c r="D414" s="554"/>
      <c r="E414" s="554"/>
      <c r="F414" s="554"/>
      <c r="G414" s="554"/>
      <c r="H414" s="554"/>
      <c r="I414" s="554"/>
      <c r="J414" s="554"/>
      <c r="K414" s="554"/>
    </row>
    <row r="415" spans="3:11" x14ac:dyDescent="0.25">
      <c r="C415" s="554"/>
      <c r="D415" s="554"/>
      <c r="E415" s="554"/>
      <c r="F415" s="554"/>
      <c r="G415" s="554"/>
      <c r="H415" s="554"/>
      <c r="I415" s="554"/>
      <c r="J415" s="554"/>
      <c r="K415" s="554"/>
    </row>
    <row r="416" spans="3:11" x14ac:dyDescent="0.25">
      <c r="C416" s="554"/>
      <c r="D416" s="554"/>
      <c r="E416" s="554"/>
      <c r="F416" s="554"/>
      <c r="G416" s="554"/>
      <c r="H416" s="554"/>
      <c r="I416" s="554"/>
      <c r="J416" s="554"/>
      <c r="K416" s="554"/>
    </row>
    <row r="417" spans="3:11" x14ac:dyDescent="0.25">
      <c r="C417" s="554"/>
      <c r="D417" s="554"/>
      <c r="E417" s="554"/>
      <c r="F417" s="554"/>
      <c r="G417" s="554"/>
      <c r="H417" s="554"/>
      <c r="I417" s="554"/>
      <c r="J417" s="554"/>
      <c r="K417" s="554"/>
    </row>
    <row r="418" spans="3:11" x14ac:dyDescent="0.25">
      <c r="C418" s="554"/>
      <c r="D418" s="554"/>
      <c r="E418" s="554"/>
      <c r="F418" s="554"/>
      <c r="G418" s="554"/>
      <c r="H418" s="554"/>
      <c r="I418" s="554"/>
      <c r="J418" s="554"/>
      <c r="K418" s="554"/>
    </row>
    <row r="419" spans="3:11" x14ac:dyDescent="0.25">
      <c r="C419" s="554"/>
      <c r="D419" s="554"/>
      <c r="E419" s="554"/>
      <c r="F419" s="554"/>
      <c r="G419" s="554"/>
      <c r="H419" s="554"/>
      <c r="I419" s="554"/>
      <c r="J419" s="554"/>
      <c r="K419" s="554"/>
    </row>
    <row r="420" spans="3:11" x14ac:dyDescent="0.25">
      <c r="C420" s="554"/>
      <c r="D420" s="554"/>
      <c r="E420" s="554"/>
      <c r="F420" s="554"/>
      <c r="G420" s="554"/>
      <c r="H420" s="554"/>
      <c r="I420" s="554"/>
      <c r="J420" s="554"/>
      <c r="K420" s="554"/>
    </row>
    <row r="421" spans="3:11" x14ac:dyDescent="0.25">
      <c r="C421" s="554"/>
      <c r="D421" s="554"/>
      <c r="E421" s="554"/>
      <c r="F421" s="554"/>
      <c r="G421" s="554"/>
      <c r="H421" s="554"/>
      <c r="I421" s="554"/>
      <c r="J421" s="554"/>
      <c r="K421" s="554"/>
    </row>
    <row r="422" spans="3:11" x14ac:dyDescent="0.25">
      <c r="C422" s="554"/>
      <c r="D422" s="554"/>
      <c r="E422" s="554"/>
      <c r="F422" s="554"/>
      <c r="G422" s="554"/>
      <c r="H422" s="554"/>
      <c r="I422" s="554"/>
      <c r="J422" s="554"/>
      <c r="K422" s="554"/>
    </row>
    <row r="423" spans="3:11" x14ac:dyDescent="0.25">
      <c r="C423" s="554"/>
      <c r="D423" s="554"/>
      <c r="E423" s="554"/>
      <c r="F423" s="554"/>
      <c r="G423" s="554"/>
      <c r="H423" s="554"/>
      <c r="I423" s="554"/>
      <c r="J423" s="554"/>
      <c r="K423" s="554"/>
    </row>
    <row r="424" spans="3:11" x14ac:dyDescent="0.25">
      <c r="C424" s="554"/>
      <c r="D424" s="554"/>
      <c r="E424" s="554"/>
      <c r="F424" s="554"/>
      <c r="G424" s="554"/>
      <c r="H424" s="554"/>
      <c r="I424" s="554"/>
      <c r="J424" s="554"/>
      <c r="K424" s="554"/>
    </row>
    <row r="425" spans="3:11" x14ac:dyDescent="0.25">
      <c r="C425" s="554"/>
      <c r="D425" s="554"/>
      <c r="E425" s="554"/>
      <c r="F425" s="554"/>
      <c r="G425" s="554"/>
      <c r="H425" s="554"/>
      <c r="I425" s="554"/>
      <c r="J425" s="554"/>
      <c r="K425" s="554"/>
    </row>
    <row r="426" spans="3:11" x14ac:dyDescent="0.25">
      <c r="C426" s="554"/>
      <c r="D426" s="554"/>
      <c r="E426" s="554"/>
      <c r="F426" s="554"/>
      <c r="G426" s="554"/>
      <c r="H426" s="554"/>
      <c r="I426" s="554"/>
      <c r="J426" s="554"/>
      <c r="K426" s="554"/>
    </row>
    <row r="427" spans="3:11" x14ac:dyDescent="0.25">
      <c r="C427" s="554"/>
      <c r="D427" s="554"/>
      <c r="E427" s="554"/>
      <c r="F427" s="554"/>
      <c r="G427" s="554"/>
      <c r="H427" s="554"/>
      <c r="I427" s="554"/>
      <c r="J427" s="554"/>
      <c r="K427" s="554"/>
    </row>
    <row r="428" spans="3:11" x14ac:dyDescent="0.25">
      <c r="C428" s="554"/>
      <c r="D428" s="554"/>
      <c r="E428" s="554"/>
      <c r="F428" s="554"/>
      <c r="G428" s="554"/>
      <c r="H428" s="554"/>
      <c r="I428" s="554"/>
      <c r="J428" s="554"/>
      <c r="K428" s="554"/>
    </row>
    <row r="429" spans="3:11" x14ac:dyDescent="0.25">
      <c r="C429" s="554"/>
      <c r="D429" s="554"/>
      <c r="E429" s="554"/>
      <c r="F429" s="554"/>
      <c r="G429" s="554"/>
      <c r="H429" s="554"/>
      <c r="I429" s="554"/>
      <c r="J429" s="554"/>
      <c r="K429" s="554"/>
    </row>
    <row r="430" spans="3:11" x14ac:dyDescent="0.25">
      <c r="C430" s="917" t="s">
        <v>24</v>
      </c>
      <c r="D430" s="547" t="s">
        <v>3206</v>
      </c>
      <c r="F430" s="554"/>
      <c r="G430" s="554"/>
      <c r="H430" s="554"/>
      <c r="I430" s="554"/>
      <c r="J430" s="554"/>
      <c r="K430" s="554"/>
    </row>
    <row r="431" spans="3:11" x14ac:dyDescent="0.25">
      <c r="C431" s="917" t="s">
        <v>40</v>
      </c>
      <c r="D431" s="547" t="s">
        <v>40</v>
      </c>
      <c r="F431" s="554"/>
      <c r="G431" s="554"/>
      <c r="H431" s="554"/>
      <c r="I431" s="554"/>
      <c r="J431" s="554"/>
      <c r="K431" s="554"/>
    </row>
    <row r="432" spans="3:11" x14ac:dyDescent="0.25">
      <c r="F432" s="554"/>
      <c r="G432" s="554"/>
      <c r="H432" s="554"/>
      <c r="I432" s="554"/>
      <c r="J432" s="554"/>
      <c r="K432" s="554"/>
    </row>
    <row r="433" spans="3:11" ht="15.75" x14ac:dyDescent="0.25">
      <c r="C433" s="917" t="s">
        <v>2441</v>
      </c>
      <c r="D433" s="917" t="s">
        <v>2411</v>
      </c>
      <c r="F433"/>
      <c r="G433"/>
      <c r="H433"/>
      <c r="I433" s="554"/>
      <c r="J433" s="554"/>
      <c r="K433" s="554"/>
    </row>
    <row r="434" spans="3:11" ht="15.75" x14ac:dyDescent="0.25">
      <c r="C434" s="917" t="s">
        <v>26</v>
      </c>
      <c r="D434" s="547" t="s">
        <v>282</v>
      </c>
      <c r="E434" s="547" t="s">
        <v>2713</v>
      </c>
      <c r="F434"/>
      <c r="G434"/>
      <c r="H434"/>
      <c r="I434" s="554"/>
      <c r="J434" s="554"/>
      <c r="K434" s="554"/>
    </row>
    <row r="435" spans="3:11" ht="15.75" x14ac:dyDescent="0.25">
      <c r="C435" s="549" t="s">
        <v>44</v>
      </c>
      <c r="D435" s="553">
        <v>25</v>
      </c>
      <c r="E435" s="553"/>
      <c r="F435"/>
      <c r="G435"/>
      <c r="H435"/>
      <c r="I435" s="554"/>
      <c r="J435" s="554"/>
      <c r="K435" s="554"/>
    </row>
    <row r="436" spans="3:11" ht="15.75" x14ac:dyDescent="0.25">
      <c r="C436" s="549" t="s">
        <v>454</v>
      </c>
      <c r="D436" s="553">
        <v>16</v>
      </c>
      <c r="E436" s="553"/>
      <c r="F436"/>
      <c r="G436"/>
      <c r="H436"/>
      <c r="I436" s="554"/>
      <c r="J436" s="554"/>
      <c r="K436" s="554"/>
    </row>
    <row r="437" spans="3:11" ht="15.75" x14ac:dyDescent="0.25">
      <c r="C437" s="549" t="s">
        <v>866</v>
      </c>
      <c r="D437" s="553"/>
      <c r="E437" s="553"/>
      <c r="F437"/>
      <c r="G437" s="554"/>
      <c r="H437" s="554"/>
      <c r="I437" s="554"/>
      <c r="J437" s="554"/>
      <c r="K437" s="554"/>
    </row>
    <row r="438" spans="3:11" x14ac:dyDescent="0.25">
      <c r="C438" s="554"/>
      <c r="D438" s="554"/>
      <c r="E438" s="554"/>
      <c r="F438" s="554"/>
      <c r="G438" s="554"/>
      <c r="H438" s="554"/>
      <c r="I438" s="554"/>
      <c r="J438" s="554"/>
      <c r="K438" s="554"/>
    </row>
    <row r="439" spans="3:11" x14ac:dyDescent="0.25">
      <c r="C439" s="554"/>
      <c r="D439" s="554"/>
      <c r="E439" s="554"/>
      <c r="F439" s="554"/>
      <c r="G439" s="554"/>
      <c r="H439" s="554"/>
      <c r="I439" s="554"/>
      <c r="J439" s="554"/>
      <c r="K439" s="554"/>
    </row>
    <row r="440" spans="3:11" x14ac:dyDescent="0.25">
      <c r="C440" s="554"/>
      <c r="D440" s="554"/>
      <c r="E440" s="554"/>
      <c r="F440" s="554"/>
      <c r="G440" s="554"/>
      <c r="H440" s="554"/>
      <c r="I440" s="554"/>
      <c r="J440" s="554"/>
      <c r="K440" s="554"/>
    </row>
    <row r="441" spans="3:11" x14ac:dyDescent="0.25">
      <c r="C441" s="554"/>
      <c r="D441" s="554"/>
      <c r="E441" s="554"/>
      <c r="F441" s="554"/>
      <c r="G441" s="554"/>
      <c r="H441" s="554"/>
      <c r="I441" s="554"/>
      <c r="J441" s="554"/>
      <c r="K441" s="554"/>
    </row>
    <row r="442" spans="3:11" x14ac:dyDescent="0.25">
      <c r="C442" s="554"/>
      <c r="D442" s="554"/>
      <c r="E442" s="554"/>
      <c r="F442" s="554"/>
      <c r="G442" s="554"/>
      <c r="H442" s="554"/>
      <c r="I442" s="554"/>
      <c r="J442" s="554"/>
      <c r="K442" s="554"/>
    </row>
    <row r="443" spans="3:11" x14ac:dyDescent="0.25">
      <c r="C443" s="554"/>
      <c r="D443" s="554"/>
      <c r="E443" s="554"/>
      <c r="F443" s="554"/>
      <c r="G443" s="554"/>
      <c r="H443" s="554"/>
      <c r="I443" s="554"/>
      <c r="J443" s="554"/>
      <c r="K443" s="554"/>
    </row>
    <row r="444" spans="3:11" x14ac:dyDescent="0.25">
      <c r="C444" s="554"/>
      <c r="D444" s="554"/>
      <c r="E444" s="554"/>
      <c r="F444" s="554"/>
      <c r="G444" s="554"/>
      <c r="H444" s="554"/>
      <c r="I444" s="554"/>
      <c r="J444" s="554"/>
      <c r="K444" s="554"/>
    </row>
    <row r="445" spans="3:11" x14ac:dyDescent="0.25">
      <c r="C445" s="554"/>
      <c r="D445" s="554"/>
      <c r="E445" s="554"/>
      <c r="F445" s="554"/>
      <c r="G445" s="554"/>
      <c r="H445" s="554"/>
      <c r="I445" s="554"/>
      <c r="J445" s="554"/>
      <c r="K445" s="554"/>
    </row>
    <row r="446" spans="3:11" x14ac:dyDescent="0.25">
      <c r="C446" s="554"/>
      <c r="D446" s="554"/>
      <c r="E446" s="554"/>
      <c r="F446" s="554"/>
      <c r="G446" s="554"/>
      <c r="H446" s="554"/>
      <c r="I446" s="554"/>
      <c r="J446" s="554"/>
      <c r="K446" s="554"/>
    </row>
    <row r="447" spans="3:11" x14ac:dyDescent="0.25">
      <c r="C447" s="554"/>
      <c r="D447" s="554"/>
      <c r="E447" s="554"/>
      <c r="F447" s="554"/>
      <c r="G447" s="554"/>
      <c r="H447" s="554"/>
      <c r="I447" s="554"/>
      <c r="J447" s="554"/>
      <c r="K447" s="554"/>
    </row>
    <row r="448" spans="3:11" x14ac:dyDescent="0.25">
      <c r="C448" s="554"/>
      <c r="D448" s="554"/>
      <c r="E448" s="554"/>
      <c r="F448" s="554"/>
      <c r="G448" s="554"/>
      <c r="H448" s="554"/>
      <c r="I448" s="554"/>
      <c r="J448" s="554"/>
      <c r="K448" s="554"/>
    </row>
    <row r="449" spans="3:11" x14ac:dyDescent="0.25">
      <c r="C449" s="554"/>
      <c r="D449" s="554"/>
      <c r="E449" s="554"/>
      <c r="F449" s="554"/>
      <c r="G449" s="554"/>
      <c r="H449" s="554"/>
      <c r="I449" s="554"/>
      <c r="J449" s="554"/>
      <c r="K449" s="554"/>
    </row>
    <row r="450" spans="3:11" x14ac:dyDescent="0.25">
      <c r="C450" s="554"/>
      <c r="D450" s="554"/>
      <c r="E450" s="554"/>
      <c r="F450" s="554"/>
      <c r="G450" s="554"/>
      <c r="H450" s="554"/>
      <c r="I450" s="554"/>
      <c r="J450" s="554"/>
      <c r="K450" s="554"/>
    </row>
    <row r="451" spans="3:11" x14ac:dyDescent="0.25">
      <c r="C451" s="554"/>
      <c r="D451" s="554"/>
      <c r="E451" s="554"/>
      <c r="F451" s="554"/>
      <c r="G451" s="554"/>
      <c r="H451" s="554"/>
      <c r="I451" s="554"/>
      <c r="J451" s="554"/>
      <c r="K451" s="554"/>
    </row>
    <row r="452" spans="3:11" x14ac:dyDescent="0.25">
      <c r="C452" s="554"/>
      <c r="D452" s="554"/>
      <c r="E452" s="554"/>
      <c r="F452" s="554"/>
      <c r="G452" s="554"/>
      <c r="H452" s="554"/>
      <c r="I452" s="554"/>
      <c r="J452" s="554"/>
      <c r="K452" s="554"/>
    </row>
    <row r="453" spans="3:11" x14ac:dyDescent="0.25">
      <c r="C453" s="554"/>
      <c r="D453" s="554"/>
      <c r="E453" s="554"/>
      <c r="F453" s="554"/>
      <c r="G453" s="554"/>
      <c r="H453" s="554"/>
      <c r="I453" s="554"/>
      <c r="J453" s="554"/>
      <c r="K453" s="554"/>
    </row>
    <row r="454" spans="3:11" x14ac:dyDescent="0.25">
      <c r="C454" s="554"/>
      <c r="D454" s="554"/>
      <c r="E454" s="554"/>
      <c r="F454" s="554"/>
      <c r="G454" s="554"/>
      <c r="H454" s="554"/>
      <c r="I454" s="554"/>
      <c r="J454" s="554"/>
      <c r="K454" s="554"/>
    </row>
    <row r="455" spans="3:11" x14ac:dyDescent="0.25">
      <c r="C455" s="554"/>
      <c r="D455" s="554"/>
      <c r="E455" s="554"/>
      <c r="F455" s="554"/>
      <c r="G455" s="554"/>
      <c r="H455" s="554"/>
      <c r="I455" s="554"/>
      <c r="J455" s="554"/>
      <c r="K455" s="554"/>
    </row>
    <row r="456" spans="3:11" x14ac:dyDescent="0.25">
      <c r="C456" s="554"/>
      <c r="D456" s="554"/>
      <c r="E456" s="554"/>
      <c r="F456" s="554"/>
      <c r="G456" s="554"/>
      <c r="H456" s="554"/>
      <c r="I456" s="554"/>
      <c r="J456" s="554"/>
      <c r="K456" s="554"/>
    </row>
    <row r="457" spans="3:11" x14ac:dyDescent="0.25">
      <c r="C457" s="554"/>
      <c r="D457" s="554"/>
      <c r="E457" s="554"/>
      <c r="F457" s="554"/>
      <c r="G457" s="554"/>
      <c r="H457" s="554"/>
      <c r="I457" s="554"/>
      <c r="J457" s="554"/>
      <c r="K457" s="554"/>
    </row>
    <row r="458" spans="3:11" x14ac:dyDescent="0.25">
      <c r="C458" s="554"/>
      <c r="D458" s="554"/>
      <c r="E458" s="554"/>
      <c r="F458" s="554"/>
      <c r="G458" s="554"/>
      <c r="H458" s="554"/>
      <c r="I458" s="554"/>
      <c r="J458" s="554"/>
      <c r="K458" s="554"/>
    </row>
    <row r="459" spans="3:11" x14ac:dyDescent="0.25">
      <c r="C459" s="554"/>
      <c r="D459" s="554"/>
      <c r="E459" s="554"/>
      <c r="F459" s="554"/>
      <c r="G459" s="554"/>
      <c r="H459" s="554"/>
      <c r="I459" s="554"/>
      <c r="J459" s="554"/>
      <c r="K459" s="554"/>
    </row>
    <row r="460" spans="3:11" x14ac:dyDescent="0.25">
      <c r="C460" s="554"/>
      <c r="D460" s="554"/>
      <c r="E460" s="554"/>
      <c r="F460" s="554"/>
      <c r="G460" s="554"/>
      <c r="H460" s="554"/>
      <c r="I460" s="554"/>
      <c r="J460" s="554"/>
      <c r="K460" s="554"/>
    </row>
    <row r="461" spans="3:11" x14ac:dyDescent="0.25">
      <c r="C461" s="554"/>
      <c r="D461" s="554"/>
      <c r="E461" s="554"/>
      <c r="F461" s="554"/>
      <c r="G461" s="554"/>
      <c r="H461" s="554"/>
      <c r="I461" s="554"/>
      <c r="J461" s="554"/>
      <c r="K461" s="554"/>
    </row>
    <row r="462" spans="3:11" x14ac:dyDescent="0.25">
      <c r="C462" s="554"/>
      <c r="D462" s="554"/>
      <c r="E462" s="554"/>
      <c r="F462" s="554"/>
      <c r="G462" s="554"/>
      <c r="H462" s="554"/>
      <c r="I462" s="554"/>
      <c r="J462" s="554"/>
      <c r="K462" s="554"/>
    </row>
    <row r="463" spans="3:11" x14ac:dyDescent="0.25">
      <c r="C463" s="554"/>
      <c r="D463" s="554"/>
      <c r="E463" s="554"/>
      <c r="F463" s="554"/>
      <c r="G463" s="554"/>
      <c r="H463" s="554"/>
      <c r="I463" s="554"/>
      <c r="J463" s="554"/>
      <c r="K463" s="554"/>
    </row>
    <row r="464" spans="3:11" x14ac:dyDescent="0.25">
      <c r="C464" s="554"/>
      <c r="D464" s="554"/>
      <c r="E464" s="554"/>
      <c r="F464" s="554"/>
      <c r="G464" s="554"/>
      <c r="H464" s="554"/>
      <c r="I464" s="554"/>
      <c r="J464" s="554"/>
      <c r="K464" s="554"/>
    </row>
    <row r="465" spans="3:11" x14ac:dyDescent="0.25">
      <c r="C465" s="554"/>
      <c r="D465" s="554"/>
      <c r="E465" s="554"/>
      <c r="F465" s="554"/>
      <c r="G465" s="554"/>
      <c r="H465" s="554"/>
      <c r="I465" s="554"/>
      <c r="J465" s="554"/>
      <c r="K465" s="554"/>
    </row>
    <row r="466" spans="3:11" x14ac:dyDescent="0.25">
      <c r="C466" s="554"/>
      <c r="D466" s="554"/>
      <c r="E466" s="554"/>
      <c r="F466" s="554"/>
      <c r="G466" s="554"/>
      <c r="H466" s="554"/>
      <c r="I466" s="554"/>
      <c r="J466" s="554"/>
      <c r="K466" s="554"/>
    </row>
    <row r="467" spans="3:11" x14ac:dyDescent="0.25">
      <c r="C467" s="554"/>
      <c r="D467" s="554"/>
      <c r="E467" s="554"/>
      <c r="F467" s="554"/>
      <c r="G467" s="554"/>
      <c r="H467" s="554"/>
      <c r="I467" s="554"/>
      <c r="J467" s="554"/>
      <c r="K467" s="554"/>
    </row>
    <row r="468" spans="3:11" x14ac:dyDescent="0.25">
      <c r="C468" s="554"/>
      <c r="D468" s="554"/>
      <c r="E468" s="554"/>
      <c r="F468" s="554"/>
      <c r="G468" s="554"/>
      <c r="H468" s="554"/>
      <c r="I468" s="554"/>
      <c r="J468" s="554"/>
      <c r="K468" s="554"/>
    </row>
    <row r="469" spans="3:11" x14ac:dyDescent="0.25">
      <c r="C469" s="554"/>
      <c r="D469" s="554"/>
      <c r="E469" s="554"/>
      <c r="F469" s="554"/>
      <c r="G469" s="554"/>
      <c r="H469" s="554"/>
      <c r="I469" s="554"/>
      <c r="J469" s="554"/>
      <c r="K469" s="554"/>
    </row>
    <row r="470" spans="3:11" x14ac:dyDescent="0.25">
      <c r="C470" s="554"/>
      <c r="D470" s="554"/>
      <c r="E470" s="554"/>
      <c r="F470" s="554"/>
      <c r="G470" s="554"/>
      <c r="H470" s="554"/>
      <c r="I470" s="554"/>
      <c r="J470" s="554"/>
      <c r="K470" s="554"/>
    </row>
    <row r="471" spans="3:11" x14ac:dyDescent="0.25">
      <c r="C471" s="554"/>
      <c r="D471" s="554"/>
      <c r="E471" s="554"/>
      <c r="F471" s="554"/>
      <c r="G471" s="554"/>
      <c r="H471" s="554"/>
      <c r="I471" s="554"/>
      <c r="J471" s="554"/>
      <c r="K471" s="554"/>
    </row>
    <row r="472" spans="3:11" x14ac:dyDescent="0.25">
      <c r="C472" s="554"/>
      <c r="D472" s="554"/>
      <c r="E472" s="554"/>
      <c r="F472" s="554"/>
      <c r="G472" s="554"/>
      <c r="H472" s="554"/>
      <c r="I472" s="554"/>
      <c r="J472" s="554"/>
      <c r="K472" s="554"/>
    </row>
    <row r="473" spans="3:11" x14ac:dyDescent="0.25">
      <c r="C473" s="554"/>
      <c r="D473" s="554"/>
      <c r="E473" s="554"/>
      <c r="F473" s="554"/>
      <c r="G473" s="554"/>
      <c r="H473" s="554"/>
      <c r="I473" s="554"/>
      <c r="J473" s="554"/>
      <c r="K473" s="554"/>
    </row>
    <row r="474" spans="3:11" x14ac:dyDescent="0.25">
      <c r="C474" s="554"/>
      <c r="D474" s="554"/>
      <c r="E474" s="554"/>
      <c r="F474" s="554"/>
      <c r="G474" s="554"/>
      <c r="H474" s="554"/>
      <c r="I474" s="554"/>
      <c r="J474" s="554"/>
      <c r="K474" s="554"/>
    </row>
    <row r="475" spans="3:11" x14ac:dyDescent="0.25">
      <c r="C475" s="554"/>
      <c r="D475" s="554"/>
      <c r="E475" s="554"/>
      <c r="F475" s="554"/>
      <c r="G475" s="554"/>
      <c r="H475" s="554"/>
      <c r="I475" s="554"/>
      <c r="J475" s="554"/>
      <c r="K475" s="554"/>
    </row>
    <row r="476" spans="3:11" x14ac:dyDescent="0.25">
      <c r="C476" s="554"/>
      <c r="D476" s="554"/>
      <c r="E476" s="554"/>
      <c r="F476" s="554"/>
      <c r="G476" s="554"/>
      <c r="H476" s="554"/>
      <c r="I476" s="554"/>
      <c r="J476" s="554"/>
      <c r="K476" s="554"/>
    </row>
    <row r="477" spans="3:11" x14ac:dyDescent="0.25">
      <c r="C477" s="554"/>
      <c r="D477" s="554"/>
      <c r="E477" s="554"/>
      <c r="F477" s="554"/>
      <c r="G477" s="554"/>
      <c r="H477" s="554"/>
      <c r="I477" s="554"/>
      <c r="J477" s="554"/>
      <c r="K477" s="554"/>
    </row>
    <row r="478" spans="3:11" x14ac:dyDescent="0.25">
      <c r="C478" s="554"/>
      <c r="D478" s="554"/>
      <c r="E478" s="554"/>
      <c r="F478" s="554"/>
      <c r="G478" s="554"/>
      <c r="H478" s="554"/>
      <c r="I478" s="554"/>
      <c r="J478" s="554"/>
      <c r="K478" s="554"/>
    </row>
    <row r="479" spans="3:11" x14ac:dyDescent="0.25">
      <c r="C479" s="554"/>
      <c r="D479" s="554"/>
      <c r="E479" s="554"/>
      <c r="F479" s="554"/>
      <c r="G479" s="554"/>
      <c r="H479" s="554"/>
      <c r="I479" s="554"/>
      <c r="J479" s="554"/>
      <c r="K479" s="554"/>
    </row>
    <row r="480" spans="3:11" x14ac:dyDescent="0.25">
      <c r="C480" s="554"/>
      <c r="D480" s="554"/>
      <c r="E480" s="554"/>
      <c r="F480" s="554"/>
      <c r="G480" s="554"/>
      <c r="H480" s="554"/>
      <c r="I480" s="554"/>
      <c r="J480" s="554"/>
      <c r="K480" s="554"/>
    </row>
    <row r="481" spans="3:11" x14ac:dyDescent="0.25">
      <c r="C481" s="554"/>
      <c r="D481" s="554"/>
      <c r="E481" s="554"/>
      <c r="F481" s="554"/>
      <c r="G481" s="554"/>
      <c r="H481" s="554"/>
      <c r="I481" s="554"/>
      <c r="J481" s="554"/>
      <c r="K481" s="554"/>
    </row>
    <row r="482" spans="3:11" x14ac:dyDescent="0.25">
      <c r="C482" s="554"/>
      <c r="D482" s="554"/>
      <c r="E482" s="554"/>
      <c r="F482" s="554"/>
      <c r="G482" s="554"/>
      <c r="H482" s="554"/>
      <c r="I482" s="554"/>
      <c r="J482" s="554"/>
      <c r="K482" s="554"/>
    </row>
    <row r="483" spans="3:11" x14ac:dyDescent="0.25">
      <c r="C483" s="554"/>
      <c r="D483" s="554"/>
      <c r="E483" s="554"/>
      <c r="F483" s="554"/>
      <c r="G483" s="554"/>
      <c r="H483" s="554"/>
      <c r="I483" s="554"/>
      <c r="J483" s="554"/>
      <c r="K483" s="554"/>
    </row>
    <row r="484" spans="3:11" x14ac:dyDescent="0.25">
      <c r="C484" s="554"/>
      <c r="D484" s="554"/>
      <c r="E484" s="554"/>
      <c r="F484" s="554"/>
      <c r="G484" s="554"/>
      <c r="H484" s="554"/>
      <c r="I484" s="554"/>
      <c r="J484" s="554"/>
      <c r="K484" s="554"/>
    </row>
    <row r="485" spans="3:11" x14ac:dyDescent="0.25">
      <c r="C485" s="554"/>
      <c r="D485" s="554"/>
      <c r="E485" s="554"/>
      <c r="F485" s="554"/>
      <c r="G485" s="554"/>
      <c r="H485" s="554"/>
      <c r="I485" s="554"/>
      <c r="J485" s="554"/>
      <c r="K485" s="554"/>
    </row>
    <row r="486" spans="3:11" x14ac:dyDescent="0.25">
      <c r="C486" s="554"/>
      <c r="D486" s="554"/>
      <c r="E486" s="554"/>
      <c r="F486" s="554"/>
      <c r="G486" s="554"/>
      <c r="H486" s="554"/>
      <c r="I486" s="554"/>
      <c r="J486" s="554"/>
      <c r="K486" s="554"/>
    </row>
    <row r="487" spans="3:11" x14ac:dyDescent="0.25">
      <c r="C487" s="554"/>
      <c r="D487" s="554"/>
      <c r="E487" s="554"/>
      <c r="F487" s="554"/>
      <c r="G487" s="554"/>
      <c r="H487" s="554"/>
      <c r="I487" s="554"/>
      <c r="J487" s="554"/>
      <c r="K487" s="554"/>
    </row>
    <row r="488" spans="3:11" x14ac:dyDescent="0.25">
      <c r="C488" s="554"/>
      <c r="D488" s="554"/>
      <c r="E488" s="554"/>
      <c r="F488" s="554"/>
      <c r="G488" s="554"/>
      <c r="H488" s="554"/>
      <c r="I488" s="554"/>
      <c r="J488" s="554"/>
      <c r="K488" s="554"/>
    </row>
    <row r="489" spans="3:11" x14ac:dyDescent="0.25">
      <c r="C489" s="554"/>
      <c r="D489" s="554"/>
      <c r="E489" s="554"/>
      <c r="F489" s="554"/>
      <c r="G489" s="554"/>
      <c r="H489" s="554"/>
      <c r="I489" s="554"/>
      <c r="J489" s="554"/>
      <c r="K489" s="554"/>
    </row>
    <row r="490" spans="3:11" x14ac:dyDescent="0.25">
      <c r="C490" s="554"/>
      <c r="D490" s="554"/>
      <c r="E490" s="554"/>
      <c r="F490" s="554"/>
      <c r="G490" s="554"/>
      <c r="H490" s="554"/>
      <c r="I490" s="554"/>
      <c r="J490" s="554"/>
      <c r="K490" s="554"/>
    </row>
    <row r="491" spans="3:11" x14ac:dyDescent="0.25">
      <c r="C491" s="554"/>
      <c r="D491" s="554"/>
      <c r="E491" s="554"/>
      <c r="F491" s="554"/>
      <c r="G491" s="554"/>
      <c r="H491" s="554"/>
      <c r="I491" s="554"/>
      <c r="J491" s="554"/>
      <c r="K491" s="554"/>
    </row>
    <row r="492" spans="3:11" x14ac:dyDescent="0.25">
      <c r="C492" s="554"/>
      <c r="D492" s="554"/>
      <c r="E492" s="554"/>
      <c r="F492" s="554"/>
      <c r="G492" s="554"/>
      <c r="H492" s="554"/>
      <c r="I492" s="554"/>
      <c r="J492" s="554"/>
      <c r="K492" s="554"/>
    </row>
    <row r="493" spans="3:11" x14ac:dyDescent="0.25">
      <c r="C493" s="554"/>
      <c r="D493" s="554"/>
      <c r="E493" s="554"/>
      <c r="F493" s="554"/>
      <c r="G493" s="554"/>
      <c r="H493" s="554"/>
      <c r="I493" s="554"/>
      <c r="J493" s="554"/>
      <c r="K493" s="554"/>
    </row>
    <row r="494" spans="3:11" x14ac:dyDescent="0.25">
      <c r="C494" s="554"/>
      <c r="D494" s="554"/>
      <c r="E494" s="554"/>
      <c r="F494" s="554"/>
      <c r="G494" s="554"/>
      <c r="H494" s="554"/>
      <c r="I494" s="554"/>
      <c r="J494" s="554"/>
      <c r="K494" s="554"/>
    </row>
    <row r="495" spans="3:11" x14ac:dyDescent="0.25">
      <c r="C495" s="554"/>
      <c r="D495" s="554"/>
      <c r="E495" s="554"/>
      <c r="F495" s="554"/>
      <c r="G495" s="554"/>
      <c r="H495" s="554"/>
      <c r="I495" s="554"/>
      <c r="J495" s="554"/>
      <c r="K495" s="554"/>
    </row>
    <row r="496" spans="3:11" x14ac:dyDescent="0.25">
      <c r="C496" s="554"/>
      <c r="D496" s="554"/>
      <c r="E496" s="554"/>
      <c r="F496" s="554"/>
      <c r="G496" s="554"/>
      <c r="H496" s="554"/>
      <c r="I496" s="554"/>
      <c r="J496" s="554"/>
      <c r="K496" s="554"/>
    </row>
    <row r="497" spans="3:11" x14ac:dyDescent="0.25">
      <c r="C497" s="554"/>
      <c r="D497" s="554"/>
      <c r="E497" s="554"/>
      <c r="F497" s="554"/>
      <c r="G497" s="554"/>
      <c r="H497" s="554"/>
      <c r="I497" s="554"/>
      <c r="J497" s="554"/>
      <c r="K497" s="554"/>
    </row>
    <row r="498" spans="3:11" x14ac:dyDescent="0.25">
      <c r="C498" s="554"/>
      <c r="D498" s="554"/>
      <c r="E498" s="554"/>
      <c r="F498" s="554"/>
      <c r="G498" s="554"/>
      <c r="H498" s="554"/>
      <c r="I498" s="554"/>
      <c r="J498" s="554"/>
      <c r="K498" s="554"/>
    </row>
    <row r="499" spans="3:11" x14ac:dyDescent="0.25">
      <c r="C499" s="554"/>
      <c r="D499" s="554"/>
      <c r="E499" s="554"/>
      <c r="F499" s="554"/>
      <c r="G499" s="554"/>
      <c r="H499" s="554"/>
      <c r="I499" s="554"/>
      <c r="J499" s="554"/>
      <c r="K499" s="554"/>
    </row>
    <row r="500" spans="3:11" x14ac:dyDescent="0.25">
      <c r="C500" s="554"/>
      <c r="D500" s="554"/>
      <c r="E500" s="554"/>
      <c r="F500" s="554"/>
      <c r="G500" s="554"/>
      <c r="H500" s="554"/>
      <c r="I500" s="554"/>
      <c r="J500" s="554"/>
      <c r="K500" s="554"/>
    </row>
    <row r="501" spans="3:11" x14ac:dyDescent="0.25">
      <c r="C501" s="554"/>
      <c r="D501" s="554"/>
      <c r="E501" s="554"/>
      <c r="F501" s="554"/>
      <c r="G501" s="554"/>
      <c r="H501" s="554"/>
      <c r="I501" s="554"/>
      <c r="J501" s="554"/>
      <c r="K501" s="554"/>
    </row>
    <row r="502" spans="3:11" x14ac:dyDescent="0.25">
      <c r="C502" s="554"/>
      <c r="D502" s="554"/>
      <c r="E502" s="554"/>
      <c r="F502" s="554"/>
      <c r="G502" s="554"/>
      <c r="H502" s="554"/>
      <c r="I502" s="554"/>
      <c r="J502" s="554"/>
      <c r="K502" s="554"/>
    </row>
    <row r="503" spans="3:11" x14ac:dyDescent="0.25">
      <c r="C503" s="554"/>
      <c r="D503" s="554"/>
      <c r="E503" s="554"/>
      <c r="F503" s="554"/>
      <c r="G503" s="554"/>
      <c r="H503" s="554"/>
      <c r="I503" s="554"/>
      <c r="J503" s="554"/>
      <c r="K503" s="554"/>
    </row>
    <row r="504" spans="3:11" x14ac:dyDescent="0.25">
      <c r="C504" s="554"/>
      <c r="D504" s="554"/>
      <c r="E504" s="554"/>
      <c r="F504" s="554"/>
      <c r="G504" s="554"/>
      <c r="H504" s="554"/>
      <c r="I504" s="554"/>
      <c r="J504" s="554"/>
      <c r="K504" s="554"/>
    </row>
    <row r="505" spans="3:11" x14ac:dyDescent="0.25">
      <c r="C505" s="554"/>
      <c r="D505" s="554"/>
      <c r="E505" s="554"/>
      <c r="F505" s="554"/>
      <c r="G505" s="554"/>
      <c r="H505" s="554"/>
      <c r="I505" s="554"/>
      <c r="J505" s="554"/>
      <c r="K505" s="554"/>
    </row>
    <row r="506" spans="3:11" x14ac:dyDescent="0.25">
      <c r="C506" s="554"/>
      <c r="D506" s="554"/>
      <c r="E506" s="554"/>
      <c r="F506" s="554"/>
      <c r="G506" s="554"/>
      <c r="H506" s="554"/>
      <c r="I506" s="554"/>
      <c r="J506" s="554"/>
      <c r="K506" s="554"/>
    </row>
    <row r="507" spans="3:11" x14ac:dyDescent="0.25">
      <c r="C507" s="554"/>
      <c r="D507" s="554"/>
      <c r="E507" s="554"/>
      <c r="F507" s="554"/>
      <c r="G507" s="554"/>
      <c r="H507" s="554"/>
      <c r="I507" s="554"/>
      <c r="J507" s="554"/>
      <c r="K507" s="554"/>
    </row>
    <row r="508" spans="3:11" x14ac:dyDescent="0.25">
      <c r="C508" s="554"/>
      <c r="D508" s="554"/>
      <c r="E508" s="554"/>
      <c r="F508" s="554"/>
      <c r="G508" s="554"/>
      <c r="H508" s="554"/>
      <c r="I508" s="554"/>
      <c r="J508" s="554"/>
      <c r="K508" s="554"/>
    </row>
    <row r="509" spans="3:11" x14ac:dyDescent="0.25">
      <c r="C509" s="554"/>
      <c r="D509" s="554"/>
      <c r="E509" s="554"/>
      <c r="F509" s="554"/>
      <c r="G509" s="554"/>
      <c r="H509" s="554"/>
      <c r="I509" s="554"/>
      <c r="J509" s="554"/>
      <c r="K509" s="554"/>
    </row>
    <row r="510" spans="3:11" x14ac:dyDescent="0.25">
      <c r="C510" s="554"/>
      <c r="D510" s="554"/>
      <c r="E510" s="554"/>
      <c r="F510" s="554"/>
      <c r="G510" s="554"/>
      <c r="H510" s="554"/>
      <c r="I510" s="554"/>
      <c r="J510" s="554"/>
      <c r="K510" s="554"/>
    </row>
    <row r="511" spans="3:11" x14ac:dyDescent="0.25">
      <c r="C511" s="554"/>
      <c r="D511" s="554"/>
      <c r="E511" s="554"/>
      <c r="F511" s="554"/>
      <c r="G511" s="554"/>
      <c r="H511" s="554"/>
      <c r="I511" s="554"/>
      <c r="J511" s="554"/>
      <c r="K511" s="554"/>
    </row>
    <row r="512" spans="3:11" x14ac:dyDescent="0.25">
      <c r="C512" s="554"/>
      <c r="D512" s="554"/>
      <c r="E512" s="554"/>
      <c r="F512" s="554"/>
      <c r="G512" s="554"/>
      <c r="H512" s="554"/>
      <c r="I512" s="554"/>
      <c r="J512" s="554"/>
      <c r="K512" s="554"/>
    </row>
    <row r="513" spans="3:11" x14ac:dyDescent="0.25">
      <c r="C513" s="554"/>
      <c r="D513" s="554"/>
      <c r="E513" s="554"/>
      <c r="F513" s="554"/>
      <c r="G513" s="554"/>
      <c r="H513" s="554"/>
      <c r="I513" s="554"/>
      <c r="J513" s="554"/>
      <c r="K513" s="554"/>
    </row>
    <row r="514" spans="3:11" x14ac:dyDescent="0.25">
      <c r="C514" s="554"/>
      <c r="D514" s="554"/>
      <c r="E514" s="554"/>
      <c r="F514" s="554"/>
      <c r="G514" s="554"/>
      <c r="H514" s="554"/>
      <c r="I514" s="554"/>
      <c r="J514" s="554"/>
      <c r="K514" s="554"/>
    </row>
    <row r="515" spans="3:11" x14ac:dyDescent="0.25">
      <c r="C515" s="554"/>
      <c r="D515" s="554"/>
      <c r="E515" s="554"/>
      <c r="F515" s="554"/>
      <c r="G515" s="554"/>
      <c r="H515" s="554"/>
      <c r="I515" s="554"/>
      <c r="J515" s="554"/>
      <c r="K515" s="554"/>
    </row>
    <row r="516" spans="3:11" x14ac:dyDescent="0.25">
      <c r="C516" s="554"/>
      <c r="D516" s="554"/>
      <c r="E516" s="554"/>
      <c r="F516" s="554"/>
      <c r="G516" s="554"/>
      <c r="H516" s="554"/>
      <c r="I516" s="554"/>
      <c r="J516" s="554"/>
      <c r="K516" s="554"/>
    </row>
    <row r="517" spans="3:11" x14ac:dyDescent="0.25">
      <c r="C517" s="554"/>
      <c r="D517" s="554"/>
      <c r="E517" s="554"/>
      <c r="F517" s="554"/>
      <c r="G517" s="554"/>
      <c r="H517" s="554"/>
      <c r="I517" s="554"/>
      <c r="J517" s="554"/>
      <c r="K517" s="554"/>
    </row>
    <row r="518" spans="3:11" x14ac:dyDescent="0.25">
      <c r="C518" s="554"/>
      <c r="D518" s="554"/>
      <c r="E518" s="554"/>
      <c r="F518" s="554"/>
      <c r="G518" s="554"/>
      <c r="H518" s="554"/>
      <c r="I518" s="554"/>
      <c r="J518" s="554"/>
      <c r="K518" s="554"/>
    </row>
    <row r="519" spans="3:11" x14ac:dyDescent="0.25">
      <c r="C519" s="554"/>
      <c r="D519" s="554"/>
      <c r="E519" s="554"/>
      <c r="F519" s="554"/>
      <c r="G519" s="554"/>
      <c r="H519" s="554"/>
      <c r="I519" s="554"/>
      <c r="J519" s="554"/>
      <c r="K519" s="554"/>
    </row>
    <row r="520" spans="3:11" x14ac:dyDescent="0.25">
      <c r="C520" s="554"/>
      <c r="D520" s="554"/>
      <c r="E520" s="554"/>
      <c r="F520" s="554"/>
      <c r="G520" s="554"/>
      <c r="H520" s="554"/>
      <c r="I520" s="554"/>
      <c r="J520" s="554"/>
      <c r="K520" s="554"/>
    </row>
    <row r="521" spans="3:11" x14ac:dyDescent="0.25">
      <c r="C521" s="554"/>
      <c r="D521" s="554"/>
      <c r="E521" s="554"/>
      <c r="F521" s="554"/>
      <c r="G521" s="554"/>
      <c r="H521" s="554"/>
      <c r="I521" s="554"/>
      <c r="J521" s="554"/>
      <c r="K521" s="554"/>
    </row>
    <row r="522" spans="3:11" x14ac:dyDescent="0.25">
      <c r="C522" s="554"/>
      <c r="D522" s="554"/>
      <c r="E522" s="554"/>
      <c r="F522" s="554"/>
      <c r="G522" s="554"/>
      <c r="H522" s="554"/>
      <c r="I522" s="554"/>
      <c r="J522" s="554"/>
      <c r="K522" s="554"/>
    </row>
    <row r="523" spans="3:11" x14ac:dyDescent="0.25">
      <c r="C523" s="554"/>
      <c r="D523" s="554"/>
      <c r="E523" s="554"/>
      <c r="F523" s="554"/>
      <c r="G523" s="554"/>
      <c r="H523" s="554"/>
      <c r="I523" s="554"/>
      <c r="J523" s="554"/>
      <c r="K523" s="554"/>
    </row>
    <row r="524" spans="3:11" x14ac:dyDescent="0.25">
      <c r="C524" s="554"/>
      <c r="D524" s="554"/>
      <c r="E524" s="554"/>
      <c r="F524" s="554"/>
      <c r="G524" s="554"/>
      <c r="H524" s="554"/>
      <c r="I524" s="554"/>
      <c r="J524" s="554"/>
      <c r="K524" s="554"/>
    </row>
    <row r="525" spans="3:11" x14ac:dyDescent="0.25">
      <c r="C525" s="554"/>
      <c r="D525" s="554"/>
      <c r="E525" s="554"/>
      <c r="F525" s="554"/>
      <c r="G525" s="554"/>
      <c r="H525" s="554"/>
      <c r="I525" s="554"/>
      <c r="J525" s="554"/>
      <c r="K525" s="554"/>
    </row>
    <row r="526" spans="3:11" x14ac:dyDescent="0.25">
      <c r="C526" s="554"/>
      <c r="D526" s="554"/>
      <c r="E526" s="554"/>
      <c r="F526" s="554"/>
      <c r="G526" s="554"/>
      <c r="H526" s="554"/>
      <c r="I526" s="554"/>
      <c r="J526" s="554"/>
      <c r="K526" s="554"/>
    </row>
    <row r="527" spans="3:11" x14ac:dyDescent="0.25">
      <c r="C527" s="554"/>
      <c r="D527" s="554"/>
      <c r="E527" s="554"/>
      <c r="F527" s="554"/>
      <c r="G527" s="554"/>
      <c r="H527" s="554"/>
      <c r="I527" s="554"/>
      <c r="J527" s="554"/>
      <c r="K527" s="554"/>
    </row>
    <row r="528" spans="3:11" x14ac:dyDescent="0.25">
      <c r="C528" s="554"/>
      <c r="D528" s="554"/>
      <c r="E528" s="554"/>
      <c r="F528" s="554"/>
      <c r="G528" s="554"/>
      <c r="H528" s="554"/>
      <c r="I528" s="554"/>
      <c r="J528" s="554"/>
      <c r="K528" s="554"/>
    </row>
    <row r="529" spans="3:11" x14ac:dyDescent="0.25">
      <c r="C529" s="554"/>
      <c r="D529" s="554"/>
      <c r="E529" s="554"/>
      <c r="F529" s="554"/>
      <c r="G529" s="554"/>
      <c r="H529" s="554"/>
      <c r="I529" s="554"/>
      <c r="J529" s="554"/>
      <c r="K529" s="554"/>
    </row>
    <row r="530" spans="3:11" x14ac:dyDescent="0.25">
      <c r="C530" s="554"/>
      <c r="D530" s="554"/>
      <c r="E530" s="554"/>
      <c r="F530" s="554"/>
      <c r="G530" s="554"/>
      <c r="H530" s="554"/>
      <c r="I530" s="554"/>
      <c r="J530" s="554"/>
      <c r="K530" s="554"/>
    </row>
    <row r="531" spans="3:11" x14ac:dyDescent="0.25">
      <c r="C531" s="554"/>
      <c r="D531" s="554"/>
      <c r="E531" s="554"/>
      <c r="F531" s="554"/>
      <c r="G531" s="554"/>
      <c r="H531" s="554"/>
      <c r="I531" s="554"/>
      <c r="J531" s="554"/>
      <c r="K531" s="554"/>
    </row>
    <row r="532" spans="3:11" x14ac:dyDescent="0.25">
      <c r="C532" s="554"/>
      <c r="D532" s="554"/>
      <c r="E532" s="554"/>
      <c r="F532" s="554"/>
      <c r="G532" s="554"/>
      <c r="H532" s="554"/>
      <c r="I532" s="554"/>
      <c r="J532" s="554"/>
      <c r="K532" s="554"/>
    </row>
    <row r="533" spans="3:11" x14ac:dyDescent="0.25">
      <c r="C533" s="554"/>
      <c r="D533" s="554"/>
      <c r="E533" s="554"/>
      <c r="F533" s="554"/>
      <c r="G533" s="554"/>
      <c r="H533" s="554"/>
      <c r="I533" s="554"/>
      <c r="J533" s="554"/>
      <c r="K533" s="554"/>
    </row>
    <row r="534" spans="3:11" x14ac:dyDescent="0.25">
      <c r="C534" s="554"/>
      <c r="D534" s="554"/>
      <c r="E534" s="554"/>
      <c r="F534" s="554"/>
      <c r="G534" s="554"/>
      <c r="H534" s="554"/>
      <c r="I534" s="554"/>
      <c r="J534" s="554"/>
      <c r="K534" s="554"/>
    </row>
    <row r="535" spans="3:11" x14ac:dyDescent="0.25">
      <c r="C535" s="554"/>
      <c r="D535" s="554"/>
      <c r="E535" s="554"/>
      <c r="F535" s="554"/>
      <c r="G535" s="554"/>
      <c r="H535" s="554"/>
      <c r="I535" s="554"/>
      <c r="J535" s="554"/>
      <c r="K535" s="554"/>
    </row>
    <row r="536" spans="3:11" x14ac:dyDescent="0.25">
      <c r="C536" s="554"/>
      <c r="D536" s="554"/>
      <c r="E536" s="554"/>
      <c r="F536" s="554"/>
      <c r="G536" s="554"/>
      <c r="H536" s="554"/>
      <c r="I536" s="554"/>
      <c r="J536" s="554"/>
      <c r="K536" s="554"/>
    </row>
    <row r="537" spans="3:11" x14ac:dyDescent="0.25">
      <c r="C537" s="554"/>
      <c r="D537" s="554"/>
      <c r="E537" s="554"/>
      <c r="F537" s="554"/>
      <c r="G537" s="554"/>
      <c r="H537" s="554"/>
      <c r="I537" s="554"/>
      <c r="J537" s="554"/>
      <c r="K537" s="554"/>
    </row>
    <row r="538" spans="3:11" x14ac:dyDescent="0.25">
      <c r="C538" s="554"/>
      <c r="D538" s="554"/>
      <c r="E538" s="554"/>
      <c r="F538" s="554"/>
      <c r="G538" s="554"/>
      <c r="H538" s="554"/>
      <c r="I538" s="554"/>
      <c r="J538" s="554"/>
      <c r="K538" s="554"/>
    </row>
    <row r="539" spans="3:11" x14ac:dyDescent="0.25">
      <c r="C539" s="554"/>
      <c r="D539" s="554"/>
      <c r="E539" s="554"/>
      <c r="F539" s="554"/>
      <c r="G539" s="554"/>
      <c r="H539" s="554"/>
      <c r="I539" s="554"/>
      <c r="J539" s="554"/>
      <c r="K539" s="554"/>
    </row>
    <row r="540" spans="3:11" x14ac:dyDescent="0.25">
      <c r="C540" s="554"/>
      <c r="D540" s="554"/>
      <c r="E540" s="554"/>
      <c r="F540" s="554"/>
      <c r="G540" s="554"/>
      <c r="H540" s="554"/>
      <c r="I540" s="554"/>
      <c r="J540" s="554"/>
      <c r="K540" s="554"/>
    </row>
    <row r="541" spans="3:11" x14ac:dyDescent="0.25">
      <c r="C541" s="554"/>
      <c r="D541" s="554"/>
      <c r="E541" s="554"/>
      <c r="F541" s="554"/>
      <c r="G541" s="554"/>
      <c r="H541" s="554"/>
      <c r="I541" s="554"/>
      <c r="J541" s="554"/>
      <c r="K541" s="554"/>
    </row>
    <row r="542" spans="3:11" x14ac:dyDescent="0.25">
      <c r="C542" s="554"/>
      <c r="D542" s="554"/>
      <c r="E542" s="554"/>
      <c r="F542" s="554"/>
      <c r="G542" s="554"/>
      <c r="H542" s="554"/>
      <c r="I542" s="554"/>
      <c r="J542" s="554"/>
      <c r="K542" s="554"/>
    </row>
    <row r="543" spans="3:11" x14ac:dyDescent="0.25">
      <c r="C543" s="554"/>
      <c r="D543" s="554"/>
      <c r="E543" s="554"/>
      <c r="F543" s="554"/>
      <c r="G543" s="554"/>
      <c r="H543" s="554"/>
      <c r="I543" s="554"/>
      <c r="J543" s="554"/>
      <c r="K543" s="554"/>
    </row>
    <row r="544" spans="3:11" x14ac:dyDescent="0.25">
      <c r="C544" s="554"/>
      <c r="D544" s="554"/>
      <c r="E544" s="554"/>
      <c r="F544" s="554"/>
      <c r="G544" s="554"/>
      <c r="H544" s="554"/>
      <c r="I544" s="554"/>
      <c r="J544" s="554"/>
      <c r="K544" s="554"/>
    </row>
    <row r="545" spans="3:11" x14ac:dyDescent="0.25">
      <c r="C545" s="554"/>
      <c r="D545" s="554"/>
      <c r="E545" s="554"/>
      <c r="F545" s="554"/>
      <c r="G545" s="554"/>
      <c r="H545" s="554"/>
      <c r="I545" s="554"/>
      <c r="J545" s="554"/>
      <c r="K545" s="554"/>
    </row>
    <row r="546" spans="3:11" x14ac:dyDescent="0.25">
      <c r="C546" s="554"/>
      <c r="D546" s="554"/>
      <c r="E546" s="554"/>
      <c r="F546" s="554"/>
      <c r="G546" s="554"/>
      <c r="H546" s="554"/>
      <c r="I546" s="554"/>
      <c r="J546" s="554"/>
      <c r="K546" s="554"/>
    </row>
    <row r="547" spans="3:11" x14ac:dyDescent="0.25">
      <c r="C547" s="554"/>
      <c r="D547" s="554"/>
      <c r="E547" s="554"/>
      <c r="F547" s="554"/>
      <c r="G547" s="554"/>
      <c r="H547" s="554"/>
      <c r="I547" s="554"/>
      <c r="J547" s="554"/>
      <c r="K547" s="554"/>
    </row>
    <row r="548" spans="3:11" x14ac:dyDescent="0.25">
      <c r="C548" s="554"/>
      <c r="D548" s="554"/>
      <c r="E548" s="554"/>
      <c r="F548" s="554"/>
      <c r="G548" s="554"/>
      <c r="H548" s="554"/>
      <c r="I548" s="554"/>
      <c r="J548" s="554"/>
      <c r="K548" s="554"/>
    </row>
    <row r="549" spans="3:11" x14ac:dyDescent="0.25">
      <c r="C549" s="554"/>
      <c r="D549" s="554"/>
      <c r="E549" s="554"/>
      <c r="F549" s="554"/>
      <c r="G549" s="554"/>
      <c r="H549" s="554"/>
      <c r="I549" s="554"/>
      <c r="J549" s="554"/>
      <c r="K549" s="554"/>
    </row>
    <row r="550" spans="3:11" x14ac:dyDescent="0.25">
      <c r="C550" s="554"/>
      <c r="D550" s="554"/>
      <c r="E550" s="554"/>
      <c r="F550" s="554"/>
      <c r="G550" s="554"/>
      <c r="H550" s="554"/>
      <c r="I550" s="554"/>
      <c r="J550" s="554"/>
      <c r="K550" s="554"/>
    </row>
    <row r="551" spans="3:11" x14ac:dyDescent="0.25">
      <c r="C551" s="554"/>
      <c r="D551" s="554"/>
      <c r="E551" s="554"/>
      <c r="F551" s="554"/>
      <c r="G551" s="554"/>
      <c r="H551" s="554"/>
      <c r="I551" s="554"/>
      <c r="J551" s="554"/>
      <c r="K551" s="554"/>
    </row>
    <row r="552" spans="3:11" x14ac:dyDescent="0.25">
      <c r="C552" s="554"/>
      <c r="D552" s="554"/>
      <c r="E552" s="554"/>
      <c r="F552" s="554"/>
      <c r="G552" s="554"/>
      <c r="H552" s="554"/>
      <c r="I552" s="554"/>
      <c r="J552" s="554"/>
      <c r="K552" s="554"/>
    </row>
    <row r="553" spans="3:11" x14ac:dyDescent="0.25">
      <c r="C553" s="554"/>
      <c r="D553" s="554"/>
      <c r="E553" s="554"/>
      <c r="F553" s="554"/>
      <c r="G553" s="554"/>
      <c r="H553" s="554"/>
      <c r="I553" s="554"/>
      <c r="J553" s="554"/>
      <c r="K553" s="554"/>
    </row>
    <row r="554" spans="3:11" x14ac:dyDescent="0.25">
      <c r="C554" s="554"/>
      <c r="D554" s="554"/>
      <c r="E554" s="554"/>
      <c r="F554" s="554"/>
      <c r="G554" s="554"/>
      <c r="H554" s="554"/>
      <c r="I554" s="554"/>
      <c r="J554" s="554"/>
      <c r="K554" s="554"/>
    </row>
    <row r="555" spans="3:11" x14ac:dyDescent="0.25">
      <c r="C555" s="554"/>
      <c r="D555" s="554"/>
      <c r="E555" s="554"/>
      <c r="F555" s="554"/>
      <c r="G555" s="554"/>
      <c r="H555" s="554"/>
      <c r="I555" s="554"/>
      <c r="J555" s="554"/>
      <c r="K555" s="554"/>
    </row>
    <row r="556" spans="3:11" x14ac:dyDescent="0.25">
      <c r="C556" s="554"/>
      <c r="D556" s="554"/>
      <c r="E556" s="554"/>
      <c r="F556" s="554"/>
      <c r="G556" s="554"/>
      <c r="H556" s="554"/>
      <c r="I556" s="554"/>
      <c r="J556" s="554"/>
      <c r="K556" s="554"/>
    </row>
    <row r="557" spans="3:11" x14ac:dyDescent="0.25">
      <c r="C557" s="554"/>
      <c r="D557" s="554"/>
      <c r="E557" s="554"/>
      <c r="F557" s="554"/>
      <c r="G557" s="554"/>
      <c r="H557" s="554"/>
      <c r="I557" s="554"/>
      <c r="J557" s="554"/>
      <c r="K557" s="554"/>
    </row>
    <row r="558" spans="3:11" x14ac:dyDescent="0.25">
      <c r="C558" s="554"/>
      <c r="D558" s="554"/>
      <c r="E558" s="554"/>
      <c r="F558" s="554"/>
      <c r="G558" s="554"/>
      <c r="H558" s="554"/>
      <c r="I558" s="554"/>
      <c r="J558" s="554"/>
      <c r="K558" s="554"/>
    </row>
    <row r="559" spans="3:11" x14ac:dyDescent="0.25">
      <c r="C559" s="554"/>
      <c r="D559" s="554"/>
      <c r="E559" s="554"/>
      <c r="F559" s="554"/>
      <c r="G559" s="554"/>
      <c r="H559" s="554"/>
      <c r="I559" s="554"/>
      <c r="J559" s="554"/>
      <c r="K559" s="554"/>
    </row>
    <row r="560" spans="3:11" x14ac:dyDescent="0.25">
      <c r="C560" s="554"/>
      <c r="D560" s="554"/>
      <c r="E560" s="554"/>
      <c r="F560" s="554"/>
      <c r="G560" s="554"/>
      <c r="H560" s="554"/>
      <c r="I560" s="554"/>
      <c r="J560" s="554"/>
      <c r="K560" s="554"/>
    </row>
    <row r="561" spans="3:11" x14ac:dyDescent="0.25">
      <c r="C561" s="554"/>
      <c r="D561" s="554"/>
      <c r="E561" s="554"/>
      <c r="F561" s="554"/>
      <c r="G561" s="554"/>
      <c r="H561" s="554"/>
      <c r="I561" s="554"/>
      <c r="J561" s="554"/>
      <c r="K561" s="554"/>
    </row>
    <row r="562" spans="3:11" x14ac:dyDescent="0.25">
      <c r="C562" s="554"/>
      <c r="D562" s="554"/>
      <c r="E562" s="554"/>
      <c r="F562" s="554"/>
      <c r="G562" s="554"/>
      <c r="H562" s="554"/>
      <c r="I562" s="554"/>
      <c r="J562" s="554"/>
      <c r="K562" s="554"/>
    </row>
    <row r="563" spans="3:11" x14ac:dyDescent="0.25">
      <c r="C563" s="554"/>
      <c r="D563" s="554"/>
      <c r="E563" s="554"/>
      <c r="F563" s="554"/>
      <c r="G563" s="554"/>
      <c r="H563" s="554"/>
      <c r="I563" s="554"/>
      <c r="J563" s="554"/>
      <c r="K563" s="554"/>
    </row>
    <row r="564" spans="3:11" x14ac:dyDescent="0.25">
      <c r="C564" s="554"/>
      <c r="D564" s="554"/>
      <c r="E564" s="554"/>
      <c r="F564" s="554"/>
      <c r="G564" s="554"/>
      <c r="H564" s="554"/>
      <c r="I564" s="554"/>
      <c r="J564" s="554"/>
      <c r="K564" s="554"/>
    </row>
    <row r="565" spans="3:11" x14ac:dyDescent="0.25">
      <c r="C565" s="554"/>
      <c r="D565" s="554"/>
      <c r="E565" s="554"/>
      <c r="F565" s="554"/>
      <c r="G565" s="554"/>
      <c r="H565" s="554"/>
      <c r="I565" s="554"/>
      <c r="J565" s="554"/>
      <c r="K565" s="554"/>
    </row>
    <row r="566" spans="3:11" x14ac:dyDescent="0.25">
      <c r="C566" s="554"/>
      <c r="D566" s="554"/>
      <c r="E566" s="554"/>
      <c r="F566" s="554"/>
      <c r="G566" s="554"/>
      <c r="H566" s="554"/>
      <c r="I566" s="554"/>
      <c r="J566" s="554"/>
      <c r="K566" s="554"/>
    </row>
    <row r="567" spans="3:11" x14ac:dyDescent="0.25">
      <c r="C567" s="554"/>
      <c r="D567" s="554"/>
      <c r="E567" s="554"/>
      <c r="F567" s="554"/>
      <c r="G567" s="554"/>
      <c r="H567" s="554"/>
      <c r="I567" s="554"/>
      <c r="J567" s="554"/>
      <c r="K567" s="554"/>
    </row>
    <row r="568" spans="3:11" x14ac:dyDescent="0.25">
      <c r="C568" s="554"/>
      <c r="D568" s="554"/>
      <c r="E568" s="554"/>
      <c r="F568" s="554"/>
      <c r="G568" s="554"/>
      <c r="H568" s="554"/>
      <c r="I568" s="554"/>
      <c r="J568" s="554"/>
      <c r="K568" s="554"/>
    </row>
    <row r="569" spans="3:11" x14ac:dyDescent="0.25">
      <c r="C569" s="554"/>
      <c r="D569" s="554"/>
      <c r="E569" s="554"/>
      <c r="F569" s="554"/>
      <c r="G569" s="554"/>
      <c r="H569" s="554"/>
      <c r="I569" s="554"/>
      <c r="J569" s="554"/>
      <c r="K569" s="554"/>
    </row>
    <row r="570" spans="3:11" x14ac:dyDescent="0.25">
      <c r="C570" s="554"/>
      <c r="D570" s="554"/>
      <c r="E570" s="554"/>
      <c r="F570" s="554"/>
      <c r="G570" s="554"/>
      <c r="H570" s="554"/>
      <c r="I570" s="554"/>
      <c r="J570" s="554"/>
      <c r="K570" s="554"/>
    </row>
    <row r="571" spans="3:11" x14ac:dyDescent="0.25">
      <c r="C571" s="554"/>
      <c r="D571" s="554"/>
      <c r="E571" s="554"/>
      <c r="F571" s="554"/>
      <c r="G571" s="554"/>
      <c r="H571" s="554"/>
      <c r="I571" s="554"/>
      <c r="J571" s="554"/>
      <c r="K571" s="554"/>
    </row>
    <row r="572" spans="3:11" x14ac:dyDescent="0.25">
      <c r="C572" s="554"/>
      <c r="D572" s="554"/>
      <c r="E572" s="554"/>
      <c r="F572" s="554"/>
      <c r="G572" s="554"/>
      <c r="H572" s="554"/>
      <c r="I572" s="554"/>
      <c r="J572" s="554"/>
      <c r="K572" s="554"/>
    </row>
    <row r="573" spans="3:11" x14ac:dyDescent="0.25">
      <c r="C573" s="554"/>
      <c r="D573" s="554"/>
      <c r="E573" s="554"/>
      <c r="F573" s="554"/>
      <c r="G573" s="554"/>
      <c r="H573" s="554"/>
      <c r="I573" s="554"/>
      <c r="J573" s="554"/>
      <c r="K573" s="554"/>
    </row>
    <row r="574" spans="3:11" x14ac:dyDescent="0.25">
      <c r="C574" s="554"/>
      <c r="D574" s="554"/>
      <c r="E574" s="554"/>
      <c r="F574" s="554"/>
      <c r="G574" s="554"/>
      <c r="H574" s="554"/>
      <c r="I574" s="554"/>
      <c r="J574" s="554"/>
      <c r="K574" s="554"/>
    </row>
    <row r="575" spans="3:11" x14ac:dyDescent="0.25">
      <c r="C575" s="554"/>
      <c r="D575" s="554"/>
      <c r="E575" s="554"/>
      <c r="F575" s="554"/>
      <c r="G575" s="554"/>
      <c r="H575" s="554"/>
      <c r="I575" s="554"/>
      <c r="J575" s="554"/>
      <c r="K575" s="554"/>
    </row>
    <row r="576" spans="3:11" x14ac:dyDescent="0.25">
      <c r="C576" s="554"/>
      <c r="D576" s="554"/>
      <c r="E576" s="554"/>
      <c r="F576" s="554"/>
      <c r="G576" s="554"/>
      <c r="H576" s="554"/>
      <c r="I576" s="554"/>
      <c r="J576" s="554"/>
      <c r="K576" s="554"/>
    </row>
    <row r="577" spans="3:11" x14ac:dyDescent="0.25">
      <c r="C577" s="554"/>
      <c r="D577" s="554"/>
      <c r="E577" s="554"/>
      <c r="F577" s="554"/>
      <c r="G577" s="554"/>
      <c r="H577" s="554"/>
      <c r="I577" s="554"/>
      <c r="J577" s="554"/>
      <c r="K577" s="554"/>
    </row>
    <row r="578" spans="3:11" x14ac:dyDescent="0.25">
      <c r="C578" s="554"/>
      <c r="D578" s="554"/>
      <c r="E578" s="554"/>
      <c r="F578" s="554"/>
      <c r="G578" s="554"/>
      <c r="H578" s="554"/>
      <c r="I578" s="554"/>
      <c r="J578" s="554"/>
      <c r="K578" s="554"/>
    </row>
    <row r="579" spans="3:11" x14ac:dyDescent="0.25">
      <c r="C579" s="554"/>
      <c r="D579" s="554"/>
      <c r="E579" s="554"/>
      <c r="F579" s="554"/>
      <c r="G579" s="554"/>
      <c r="H579" s="554"/>
      <c r="I579" s="554"/>
      <c r="J579" s="554"/>
      <c r="K579" s="554"/>
    </row>
    <row r="580" spans="3:11" x14ac:dyDescent="0.25">
      <c r="C580" s="554"/>
      <c r="D580" s="554"/>
      <c r="E580" s="554"/>
      <c r="F580" s="554"/>
      <c r="G580" s="554"/>
      <c r="H580" s="554"/>
      <c r="I580" s="554"/>
      <c r="J580" s="554"/>
      <c r="K580" s="554"/>
    </row>
    <row r="581" spans="3:11" x14ac:dyDescent="0.25">
      <c r="C581" s="554"/>
      <c r="D581" s="554"/>
      <c r="E581" s="554"/>
      <c r="F581" s="554"/>
      <c r="G581" s="554"/>
      <c r="H581" s="554"/>
      <c r="I581" s="554"/>
      <c r="J581" s="554"/>
      <c r="K581" s="554"/>
    </row>
    <row r="582" spans="3:11" x14ac:dyDescent="0.25">
      <c r="C582" s="554"/>
      <c r="D582" s="554"/>
      <c r="E582" s="554"/>
      <c r="F582" s="554"/>
      <c r="G582" s="554"/>
      <c r="H582" s="554"/>
      <c r="I582" s="554"/>
      <c r="J582" s="554"/>
      <c r="K582" s="554"/>
    </row>
    <row r="583" spans="3:11" x14ac:dyDescent="0.25">
      <c r="C583" s="554"/>
      <c r="D583" s="554"/>
      <c r="E583" s="554"/>
      <c r="F583" s="554"/>
      <c r="G583" s="554"/>
      <c r="H583" s="554"/>
      <c r="I583" s="554"/>
      <c r="J583" s="554"/>
      <c r="K583" s="554"/>
    </row>
    <row r="584" spans="3:11" x14ac:dyDescent="0.25">
      <c r="C584" s="554"/>
      <c r="D584" s="554"/>
      <c r="E584" s="554"/>
      <c r="F584" s="554"/>
      <c r="G584" s="554"/>
      <c r="H584" s="554"/>
      <c r="I584" s="554"/>
      <c r="J584" s="554"/>
      <c r="K584" s="554"/>
    </row>
    <row r="585" spans="3:11" x14ac:dyDescent="0.25">
      <c r="C585" s="554"/>
      <c r="D585" s="554"/>
      <c r="E585" s="554"/>
      <c r="F585" s="554"/>
      <c r="G585" s="554"/>
      <c r="H585" s="554"/>
      <c r="I585" s="554"/>
      <c r="J585" s="554"/>
      <c r="K585" s="554"/>
    </row>
    <row r="586" spans="3:11" x14ac:dyDescent="0.25">
      <c r="C586" s="554"/>
      <c r="D586" s="554"/>
      <c r="E586" s="554"/>
      <c r="F586" s="554"/>
      <c r="G586" s="554"/>
      <c r="H586" s="554"/>
      <c r="I586" s="554"/>
      <c r="J586" s="554"/>
      <c r="K586" s="554"/>
    </row>
    <row r="587" spans="3:11" x14ac:dyDescent="0.25">
      <c r="C587" s="554"/>
      <c r="D587" s="554"/>
      <c r="E587" s="554"/>
      <c r="F587" s="554"/>
      <c r="G587" s="554"/>
      <c r="H587" s="554"/>
      <c r="I587" s="554"/>
      <c r="J587" s="554"/>
      <c r="K587" s="554"/>
    </row>
    <row r="588" spans="3:11" x14ac:dyDescent="0.25">
      <c r="C588" s="554"/>
      <c r="D588" s="554"/>
      <c r="E588" s="554"/>
      <c r="F588" s="554"/>
      <c r="G588" s="554"/>
      <c r="H588" s="554"/>
      <c r="I588" s="554"/>
      <c r="J588" s="554"/>
      <c r="K588" s="554"/>
    </row>
    <row r="589" spans="3:11" x14ac:dyDescent="0.25">
      <c r="C589" s="554"/>
      <c r="D589" s="554"/>
      <c r="E589" s="554"/>
      <c r="F589" s="554"/>
      <c r="G589" s="554"/>
      <c r="H589" s="554"/>
      <c r="I589" s="554"/>
      <c r="J589" s="554"/>
      <c r="K589" s="554"/>
    </row>
    <row r="590" spans="3:11" x14ac:dyDescent="0.25">
      <c r="C590" s="554"/>
      <c r="D590" s="554"/>
      <c r="E590" s="554"/>
      <c r="F590" s="554"/>
      <c r="G590" s="554"/>
      <c r="H590" s="554"/>
      <c r="I590" s="554"/>
      <c r="J590" s="554"/>
      <c r="K590" s="554"/>
    </row>
    <row r="591" spans="3:11" x14ac:dyDescent="0.25">
      <c r="C591" s="554"/>
      <c r="D591" s="554"/>
      <c r="E591" s="554"/>
      <c r="F591" s="554"/>
      <c r="G591" s="554"/>
      <c r="H591" s="554"/>
      <c r="I591" s="554"/>
      <c r="J591" s="554"/>
      <c r="K591" s="554"/>
    </row>
    <row r="592" spans="3:11" x14ac:dyDescent="0.25">
      <c r="C592" s="554"/>
      <c r="D592" s="554"/>
      <c r="E592" s="554"/>
      <c r="F592" s="554"/>
      <c r="G592" s="554"/>
      <c r="H592" s="554"/>
      <c r="I592" s="554"/>
      <c r="J592" s="554"/>
      <c r="K592" s="554"/>
    </row>
    <row r="593" spans="3:11" x14ac:dyDescent="0.25">
      <c r="C593" s="554"/>
      <c r="D593" s="554"/>
      <c r="E593" s="554"/>
      <c r="F593" s="554"/>
      <c r="G593" s="554"/>
      <c r="H593" s="554"/>
      <c r="I593" s="554"/>
      <c r="J593" s="554"/>
      <c r="K593" s="554"/>
    </row>
    <row r="594" spans="3:11" x14ac:dyDescent="0.25">
      <c r="C594" s="554"/>
      <c r="D594" s="554"/>
      <c r="E594" s="554"/>
      <c r="F594" s="554"/>
      <c r="G594" s="554"/>
      <c r="H594" s="554"/>
      <c r="I594" s="554"/>
      <c r="J594" s="554"/>
      <c r="K594" s="554"/>
    </row>
    <row r="595" spans="3:11" x14ac:dyDescent="0.25">
      <c r="C595" s="554"/>
      <c r="D595" s="554"/>
      <c r="E595" s="554"/>
      <c r="F595" s="554"/>
      <c r="G595" s="554"/>
      <c r="H595" s="554"/>
      <c r="I595" s="554"/>
      <c r="J595" s="554"/>
      <c r="K595" s="554"/>
    </row>
    <row r="596" spans="3:11" x14ac:dyDescent="0.25">
      <c r="C596" s="554"/>
      <c r="D596" s="554"/>
      <c r="E596" s="554"/>
      <c r="F596" s="554"/>
      <c r="G596" s="554"/>
      <c r="H596" s="554"/>
      <c r="I596" s="554"/>
      <c r="J596" s="554"/>
      <c r="K596" s="554"/>
    </row>
    <row r="597" spans="3:11" x14ac:dyDescent="0.25">
      <c r="C597" s="554"/>
      <c r="D597" s="554"/>
      <c r="E597" s="554"/>
      <c r="F597" s="554"/>
      <c r="G597" s="554"/>
      <c r="H597" s="554"/>
      <c r="I597" s="554"/>
      <c r="J597" s="554"/>
      <c r="K597" s="554"/>
    </row>
    <row r="598" spans="3:11" x14ac:dyDescent="0.25">
      <c r="C598" s="554"/>
      <c r="D598" s="554"/>
      <c r="E598" s="554"/>
      <c r="F598" s="554"/>
      <c r="G598" s="554"/>
      <c r="H598" s="554"/>
      <c r="I598" s="554"/>
      <c r="J598" s="554"/>
      <c r="K598" s="554"/>
    </row>
    <row r="599" spans="3:11" x14ac:dyDescent="0.25">
      <c r="C599" s="554"/>
      <c r="D599" s="554"/>
      <c r="E599" s="554"/>
      <c r="F599" s="554"/>
      <c r="G599" s="554"/>
      <c r="H599" s="554"/>
      <c r="I599" s="554"/>
      <c r="J599" s="554"/>
      <c r="K599" s="554"/>
    </row>
    <row r="600" spans="3:11" x14ac:dyDescent="0.25">
      <c r="C600" s="554"/>
      <c r="D600" s="554"/>
      <c r="E600" s="554"/>
      <c r="F600" s="554"/>
      <c r="G600" s="554"/>
      <c r="H600" s="554"/>
      <c r="I600" s="554"/>
      <c r="J600" s="554"/>
      <c r="K600" s="554"/>
    </row>
    <row r="601" spans="3:11" x14ac:dyDescent="0.25">
      <c r="C601" s="554"/>
      <c r="D601" s="554"/>
      <c r="E601" s="554"/>
      <c r="F601" s="554"/>
      <c r="G601" s="554"/>
      <c r="H601" s="554"/>
      <c r="I601" s="554"/>
      <c r="J601" s="554"/>
      <c r="K601" s="554"/>
    </row>
    <row r="602" spans="3:11" x14ac:dyDescent="0.25">
      <c r="C602" s="554"/>
      <c r="D602" s="554"/>
      <c r="E602" s="554"/>
      <c r="F602" s="554"/>
      <c r="G602" s="554"/>
      <c r="H602" s="554"/>
      <c r="I602" s="554"/>
      <c r="J602" s="554"/>
      <c r="K602" s="554"/>
    </row>
    <row r="603" spans="3:11" x14ac:dyDescent="0.25">
      <c r="C603" s="554"/>
      <c r="D603" s="554"/>
      <c r="E603" s="554"/>
      <c r="F603" s="554"/>
      <c r="G603" s="554"/>
      <c r="H603" s="554"/>
      <c r="I603" s="554"/>
      <c r="J603" s="554"/>
      <c r="K603" s="554"/>
    </row>
    <row r="604" spans="3:11" x14ac:dyDescent="0.25">
      <c r="C604" s="554"/>
      <c r="D604" s="554"/>
      <c r="E604" s="554"/>
      <c r="F604" s="554"/>
      <c r="G604" s="554"/>
      <c r="H604" s="554"/>
      <c r="I604" s="554"/>
      <c r="J604" s="554"/>
      <c r="K604" s="554"/>
    </row>
    <row r="605" spans="3:11" x14ac:dyDescent="0.25">
      <c r="C605" s="554"/>
      <c r="D605" s="554"/>
      <c r="E605" s="554"/>
      <c r="F605" s="554"/>
      <c r="G605" s="554"/>
      <c r="H605" s="554"/>
      <c r="I605" s="554"/>
      <c r="J605" s="554"/>
      <c r="K605" s="554"/>
    </row>
    <row r="606" spans="3:11" x14ac:dyDescent="0.25">
      <c r="C606" s="554"/>
      <c r="D606" s="554"/>
      <c r="E606" s="554"/>
      <c r="F606" s="554"/>
      <c r="G606" s="554"/>
      <c r="H606" s="554"/>
      <c r="I606" s="554"/>
      <c r="J606" s="554"/>
      <c r="K606" s="554"/>
    </row>
    <row r="607" spans="3:11" x14ac:dyDescent="0.25">
      <c r="C607" s="554"/>
      <c r="D607" s="554"/>
      <c r="E607" s="554"/>
      <c r="F607" s="554"/>
      <c r="G607" s="554"/>
      <c r="H607" s="554"/>
      <c r="I607" s="554"/>
      <c r="J607" s="554"/>
      <c r="K607" s="554"/>
    </row>
    <row r="608" spans="3:11" x14ac:dyDescent="0.25">
      <c r="C608" s="554"/>
      <c r="D608" s="554"/>
      <c r="E608" s="554"/>
      <c r="F608" s="554"/>
      <c r="G608" s="554"/>
      <c r="H608" s="554"/>
      <c r="I608" s="554"/>
      <c r="J608" s="554"/>
      <c r="K608" s="554"/>
    </row>
    <row r="609" spans="3:8" x14ac:dyDescent="0.25">
      <c r="C609" s="554"/>
      <c r="D609" s="554"/>
      <c r="E609" s="554"/>
      <c r="F609" s="554"/>
      <c r="G609" s="554"/>
      <c r="H609" s="554"/>
    </row>
    <row r="610" spans="3:8" x14ac:dyDescent="0.25">
      <c r="C610" s="554"/>
      <c r="D610" s="554"/>
      <c r="E610" s="554"/>
      <c r="F610" s="554"/>
      <c r="G610" s="554"/>
      <c r="H610" s="554"/>
    </row>
    <row r="611" spans="3:8" x14ac:dyDescent="0.25">
      <c r="C611" s="554"/>
      <c r="D611" s="554"/>
      <c r="E611" s="554"/>
      <c r="F611" s="554"/>
      <c r="G611" s="554"/>
      <c r="H611" s="554"/>
    </row>
    <row r="612" spans="3:8" x14ac:dyDescent="0.25">
      <c r="C612" s="554"/>
      <c r="D612" s="554"/>
      <c r="E612" s="554"/>
      <c r="F612" s="554"/>
      <c r="G612" s="554"/>
      <c r="H612" s="554"/>
    </row>
    <row r="613" spans="3:8" x14ac:dyDescent="0.25">
      <c r="C613" s="554"/>
      <c r="D613" s="554"/>
      <c r="E613" s="554"/>
      <c r="F613" s="554"/>
      <c r="G613" s="554"/>
      <c r="H613" s="554"/>
    </row>
    <row r="614" spans="3:8" x14ac:dyDescent="0.25">
      <c r="C614" s="554"/>
      <c r="D614" s="554"/>
      <c r="E614" s="554"/>
      <c r="F614" s="554"/>
      <c r="G614" s="554"/>
      <c r="H614" s="554"/>
    </row>
    <row r="615" spans="3:8" x14ac:dyDescent="0.25">
      <c r="C615" s="554"/>
      <c r="D615" s="554"/>
      <c r="E615" s="554"/>
      <c r="F615" s="554"/>
      <c r="G615" s="554"/>
      <c r="H615" s="554"/>
    </row>
    <row r="616" spans="3:8" x14ac:dyDescent="0.25">
      <c r="C616" s="554"/>
      <c r="D616" s="554"/>
      <c r="E616" s="554"/>
      <c r="F616" s="554"/>
      <c r="G616" s="554"/>
      <c r="H616" s="554"/>
    </row>
    <row r="617" spans="3:8" x14ac:dyDescent="0.25">
      <c r="C617" s="554"/>
      <c r="D617" s="554"/>
      <c r="E617" s="554"/>
      <c r="F617" s="554"/>
      <c r="G617" s="554"/>
      <c r="H617" s="554"/>
    </row>
    <row r="618" spans="3:8" x14ac:dyDescent="0.25">
      <c r="C618" s="554"/>
      <c r="D618" s="554"/>
      <c r="E618" s="554"/>
      <c r="F618" s="554"/>
      <c r="G618" s="554"/>
      <c r="H618" s="554"/>
    </row>
    <row r="619" spans="3:8" x14ac:dyDescent="0.25">
      <c r="C619" s="554"/>
      <c r="D619" s="554"/>
      <c r="E619" s="554"/>
      <c r="F619" s="554"/>
      <c r="G619" s="554"/>
      <c r="H619" s="554"/>
    </row>
    <row r="620" spans="3:8" x14ac:dyDescent="0.25">
      <c r="C620" s="554"/>
      <c r="D620" s="554"/>
      <c r="E620" s="554"/>
      <c r="F620" s="554"/>
      <c r="G620" s="554"/>
      <c r="H620" s="554"/>
    </row>
    <row r="621" spans="3:8" x14ac:dyDescent="0.25">
      <c r="C621" s="554"/>
      <c r="D621" s="554"/>
      <c r="E621" s="554"/>
      <c r="F621" s="554"/>
      <c r="G621" s="554"/>
      <c r="H621" s="554"/>
    </row>
    <row r="622" spans="3:8" x14ac:dyDescent="0.25">
      <c r="C622" s="554"/>
      <c r="D622" s="554"/>
      <c r="E622" s="554"/>
      <c r="F622" s="554"/>
      <c r="G622" s="554"/>
      <c r="H622" s="554"/>
    </row>
    <row r="623" spans="3:8" x14ac:dyDescent="0.25">
      <c r="C623" s="554"/>
      <c r="D623" s="554"/>
      <c r="E623" s="554"/>
      <c r="F623" s="554"/>
      <c r="G623" s="554"/>
      <c r="H623" s="554"/>
    </row>
    <row r="624" spans="3:8" x14ac:dyDescent="0.25">
      <c r="C624" s="554"/>
      <c r="D624" s="554"/>
      <c r="E624" s="554"/>
      <c r="F624" s="554"/>
      <c r="G624" s="554"/>
      <c r="H624" s="554"/>
    </row>
    <row r="625" spans="3:8" x14ac:dyDescent="0.25">
      <c r="C625" s="554"/>
      <c r="D625" s="554"/>
      <c r="E625" s="554"/>
      <c r="F625" s="554"/>
      <c r="G625" s="554"/>
      <c r="H625" s="554"/>
    </row>
    <row r="626" spans="3:8" x14ac:dyDescent="0.25">
      <c r="C626" s="554"/>
      <c r="D626" s="554"/>
      <c r="E626" s="554"/>
      <c r="F626" s="554"/>
      <c r="G626" s="554"/>
      <c r="H626" s="554"/>
    </row>
    <row r="627" spans="3:8" x14ac:dyDescent="0.25">
      <c r="C627" s="554"/>
      <c r="D627" s="554"/>
      <c r="E627" s="554"/>
      <c r="F627" s="554"/>
      <c r="G627" s="554"/>
      <c r="H627" s="554"/>
    </row>
    <row r="628" spans="3:8" x14ac:dyDescent="0.25">
      <c r="C628" s="554"/>
      <c r="D628" s="554"/>
      <c r="E628" s="554"/>
      <c r="F628" s="554"/>
      <c r="G628" s="554"/>
      <c r="H628" s="554"/>
    </row>
    <row r="629" spans="3:8" x14ac:dyDescent="0.25">
      <c r="C629" s="554"/>
      <c r="D629" s="554"/>
      <c r="E629" s="554"/>
      <c r="F629" s="554"/>
      <c r="G629" s="554"/>
      <c r="H629" s="554"/>
    </row>
    <row r="630" spans="3:8" x14ac:dyDescent="0.25">
      <c r="C630" s="554"/>
      <c r="D630" s="554"/>
      <c r="E630" s="554"/>
      <c r="F630" s="554"/>
      <c r="G630" s="554"/>
      <c r="H630" s="554"/>
    </row>
    <row r="631" spans="3:8" x14ac:dyDescent="0.25">
      <c r="C631" s="554"/>
      <c r="D631" s="554"/>
      <c r="E631" s="554"/>
      <c r="F631" s="554"/>
      <c r="G631" s="554"/>
      <c r="H631" s="554"/>
    </row>
    <row r="632" spans="3:8" x14ac:dyDescent="0.25">
      <c r="C632" s="554"/>
      <c r="D632" s="554"/>
      <c r="E632" s="554"/>
      <c r="F632" s="554"/>
      <c r="G632" s="554"/>
      <c r="H632" s="554"/>
    </row>
    <row r="633" spans="3:8" x14ac:dyDescent="0.25">
      <c r="C633" s="554"/>
      <c r="D633" s="554"/>
      <c r="E633" s="554"/>
      <c r="F633" s="554"/>
      <c r="G633" s="554"/>
      <c r="H633" s="554"/>
    </row>
    <row r="634" spans="3:8" x14ac:dyDescent="0.25">
      <c r="C634" s="554"/>
      <c r="D634" s="554"/>
      <c r="E634" s="554"/>
      <c r="F634" s="554"/>
      <c r="G634" s="554"/>
      <c r="H634" s="554"/>
    </row>
    <row r="635" spans="3:8" x14ac:dyDescent="0.25">
      <c r="C635" s="554"/>
      <c r="D635" s="554"/>
      <c r="E635" s="554"/>
      <c r="F635" s="554"/>
      <c r="G635" s="554"/>
      <c r="H635" s="554"/>
    </row>
    <row r="636" spans="3:8" x14ac:dyDescent="0.25">
      <c r="C636" s="554"/>
      <c r="D636" s="554"/>
      <c r="E636" s="554"/>
      <c r="F636" s="554"/>
      <c r="G636" s="554"/>
      <c r="H636" s="554"/>
    </row>
    <row r="637" spans="3:8" x14ac:dyDescent="0.25">
      <c r="C637" s="554"/>
      <c r="D637" s="554"/>
      <c r="E637" s="554"/>
      <c r="F637" s="554"/>
      <c r="G637" s="554"/>
      <c r="H637" s="554"/>
    </row>
    <row r="638" spans="3:8" x14ac:dyDescent="0.25">
      <c r="C638" s="554"/>
      <c r="D638" s="554"/>
      <c r="E638" s="554"/>
      <c r="F638" s="554"/>
      <c r="G638" s="554"/>
      <c r="H638" s="554"/>
    </row>
    <row r="639" spans="3:8" x14ac:dyDescent="0.25">
      <c r="C639" s="554"/>
      <c r="D639" s="554"/>
      <c r="E639" s="554"/>
      <c r="F639" s="554"/>
      <c r="G639" s="554"/>
      <c r="H639" s="554"/>
    </row>
    <row r="640" spans="3:8" x14ac:dyDescent="0.25">
      <c r="C640" s="554"/>
      <c r="D640" s="554"/>
      <c r="E640" s="554"/>
      <c r="F640" s="554"/>
      <c r="G640" s="554"/>
      <c r="H640" s="554"/>
    </row>
    <row r="641" spans="3:8" x14ac:dyDescent="0.25">
      <c r="C641" s="554"/>
      <c r="D641" s="554"/>
      <c r="E641" s="554"/>
      <c r="F641" s="554"/>
      <c r="G641" s="554"/>
      <c r="H641" s="554"/>
    </row>
    <row r="642" spans="3:8" x14ac:dyDescent="0.25">
      <c r="C642" s="554"/>
      <c r="D642" s="554"/>
      <c r="E642" s="554"/>
      <c r="F642" s="554"/>
      <c r="G642" s="554"/>
      <c r="H642" s="554"/>
    </row>
    <row r="643" spans="3:8" x14ac:dyDescent="0.25">
      <c r="C643" s="554"/>
      <c r="D643" s="554"/>
      <c r="E643" s="554"/>
      <c r="F643" s="554"/>
      <c r="G643" s="554"/>
      <c r="H643" s="554"/>
    </row>
    <row r="644" spans="3:8" x14ac:dyDescent="0.25">
      <c r="C644" s="554"/>
      <c r="D644" s="554"/>
      <c r="E644" s="554"/>
      <c r="F644" s="554"/>
      <c r="G644" s="554"/>
      <c r="H644" s="554"/>
    </row>
    <row r="645" spans="3:8" x14ac:dyDescent="0.25">
      <c r="C645" s="554"/>
      <c r="D645" s="554"/>
      <c r="E645" s="554"/>
      <c r="F645" s="554"/>
      <c r="G645" s="554"/>
      <c r="H645" s="554"/>
    </row>
    <row r="646" spans="3:8" x14ac:dyDescent="0.25">
      <c r="C646" s="554"/>
      <c r="D646" s="554"/>
      <c r="E646" s="554"/>
      <c r="F646" s="554"/>
      <c r="G646" s="554"/>
      <c r="H646" s="554"/>
    </row>
    <row r="647" spans="3:8" x14ac:dyDescent="0.25">
      <c r="C647" s="554"/>
      <c r="D647" s="554"/>
      <c r="E647" s="554"/>
      <c r="F647" s="554"/>
      <c r="G647" s="554"/>
      <c r="H647" s="554"/>
    </row>
    <row r="648" spans="3:8" x14ac:dyDescent="0.25">
      <c r="C648" s="554"/>
      <c r="D648" s="554"/>
      <c r="E648" s="554"/>
      <c r="F648" s="554"/>
      <c r="G648" s="554"/>
      <c r="H648" s="554"/>
    </row>
    <row r="649" spans="3:8" x14ac:dyDescent="0.25">
      <c r="C649" s="554"/>
      <c r="D649" s="554"/>
      <c r="E649" s="554"/>
      <c r="F649" s="554"/>
      <c r="G649" s="554"/>
      <c r="H649" s="554"/>
    </row>
    <row r="650" spans="3:8" x14ac:dyDescent="0.25">
      <c r="C650" s="554"/>
      <c r="D650" s="554"/>
      <c r="E650" s="554"/>
      <c r="F650" s="554"/>
      <c r="G650" s="554"/>
      <c r="H650" s="554"/>
    </row>
    <row r="651" spans="3:8" x14ac:dyDescent="0.25">
      <c r="C651" s="554"/>
      <c r="D651" s="554"/>
      <c r="E651" s="554"/>
      <c r="F651" s="554"/>
      <c r="G651" s="554"/>
      <c r="H651" s="554"/>
    </row>
    <row r="652" spans="3:8" x14ac:dyDescent="0.25">
      <c r="C652" s="554"/>
      <c r="D652" s="554"/>
      <c r="E652" s="554"/>
      <c r="F652" s="554"/>
      <c r="G652" s="554"/>
      <c r="H652" s="554"/>
    </row>
    <row r="653" spans="3:8" x14ac:dyDescent="0.25">
      <c r="C653" s="554"/>
      <c r="D653" s="554"/>
      <c r="E653" s="554"/>
      <c r="F653" s="554"/>
      <c r="G653" s="554"/>
      <c r="H653" s="554"/>
    </row>
    <row r="654" spans="3:8" x14ac:dyDescent="0.25">
      <c r="C654" s="554"/>
      <c r="D654" s="554"/>
      <c r="E654" s="554"/>
      <c r="F654" s="554"/>
      <c r="G654" s="554"/>
      <c r="H654" s="554"/>
    </row>
    <row r="655" spans="3:8" x14ac:dyDescent="0.25">
      <c r="C655" s="554"/>
      <c r="D655" s="554"/>
      <c r="E655" s="554"/>
      <c r="F655" s="554"/>
      <c r="G655" s="554"/>
      <c r="H655" s="554"/>
    </row>
    <row r="656" spans="3:8" x14ac:dyDescent="0.25">
      <c r="C656" s="554"/>
      <c r="D656" s="554"/>
      <c r="E656" s="554"/>
      <c r="F656" s="554"/>
      <c r="G656" s="554"/>
      <c r="H656" s="554"/>
    </row>
    <row r="657" spans="3:8" x14ac:dyDescent="0.25">
      <c r="C657" s="554"/>
      <c r="D657" s="554"/>
      <c r="E657" s="554"/>
      <c r="F657" s="554"/>
      <c r="G657" s="554"/>
      <c r="H657" s="554"/>
    </row>
    <row r="658" spans="3:8" x14ac:dyDescent="0.25">
      <c r="C658" s="554"/>
      <c r="D658" s="554"/>
      <c r="E658" s="554"/>
      <c r="F658" s="554"/>
      <c r="G658" s="554"/>
      <c r="H658" s="554"/>
    </row>
    <row r="659" spans="3:8" x14ac:dyDescent="0.25">
      <c r="C659" s="554"/>
      <c r="D659" s="554"/>
      <c r="E659" s="554"/>
      <c r="F659" s="554"/>
      <c r="G659" s="554"/>
      <c r="H659" s="554"/>
    </row>
    <row r="660" spans="3:8" x14ac:dyDescent="0.25">
      <c r="C660" s="554"/>
      <c r="D660" s="554"/>
      <c r="E660" s="554"/>
      <c r="F660" s="554"/>
      <c r="G660" s="554"/>
      <c r="H660" s="554"/>
    </row>
    <row r="661" spans="3:8" x14ac:dyDescent="0.25">
      <c r="C661" s="554"/>
      <c r="D661" s="554"/>
      <c r="E661" s="554"/>
      <c r="F661" s="554"/>
      <c r="G661" s="554"/>
      <c r="H661" s="554"/>
    </row>
    <row r="662" spans="3:8" x14ac:dyDescent="0.25">
      <c r="C662" s="554"/>
      <c r="D662" s="554"/>
      <c r="E662" s="554"/>
      <c r="F662" s="554"/>
      <c r="G662" s="554"/>
      <c r="H662" s="554"/>
    </row>
    <row r="663" spans="3:8" x14ac:dyDescent="0.25">
      <c r="C663" s="554"/>
      <c r="D663" s="554"/>
      <c r="E663" s="554"/>
      <c r="F663" s="554"/>
      <c r="G663" s="554"/>
      <c r="H663" s="554"/>
    </row>
    <row r="664" spans="3:8" x14ac:dyDescent="0.25">
      <c r="C664" s="554"/>
      <c r="D664" s="554"/>
      <c r="E664" s="554"/>
      <c r="F664" s="554"/>
      <c r="G664" s="554"/>
      <c r="H664" s="554"/>
    </row>
    <row r="665" spans="3:8" x14ac:dyDescent="0.25">
      <c r="C665" s="554"/>
      <c r="D665" s="554"/>
      <c r="E665" s="554"/>
      <c r="F665" s="554"/>
      <c r="G665" s="554"/>
      <c r="H665" s="554"/>
    </row>
    <row r="666" spans="3:8" x14ac:dyDescent="0.25">
      <c r="C666" s="554"/>
      <c r="D666" s="554"/>
      <c r="E666" s="554"/>
      <c r="F666" s="554"/>
      <c r="G666" s="554"/>
      <c r="H666" s="554"/>
    </row>
    <row r="667" spans="3:8" x14ac:dyDescent="0.25">
      <c r="C667" s="554"/>
      <c r="D667" s="554"/>
      <c r="E667" s="554"/>
      <c r="F667" s="554"/>
      <c r="G667" s="554"/>
      <c r="H667" s="554"/>
    </row>
    <row r="668" spans="3:8" x14ac:dyDescent="0.25">
      <c r="C668" s="554"/>
      <c r="D668" s="554"/>
      <c r="E668" s="554"/>
      <c r="F668" s="554"/>
      <c r="G668" s="554"/>
      <c r="H668" s="554"/>
    </row>
    <row r="669" spans="3:8" x14ac:dyDescent="0.25">
      <c r="C669" s="554"/>
      <c r="D669" s="554"/>
      <c r="E669" s="554"/>
      <c r="F669" s="554"/>
      <c r="G669" s="554"/>
      <c r="H669" s="554"/>
    </row>
    <row r="670" spans="3:8" x14ac:dyDescent="0.25">
      <c r="C670" s="554"/>
      <c r="D670" s="554"/>
      <c r="E670" s="554"/>
      <c r="F670" s="554"/>
      <c r="G670" s="554"/>
      <c r="H670" s="554"/>
    </row>
    <row r="671" spans="3:8" x14ac:dyDescent="0.25">
      <c r="C671" s="554"/>
      <c r="D671" s="554"/>
      <c r="E671" s="554"/>
      <c r="F671" s="554"/>
      <c r="G671" s="554"/>
      <c r="H671" s="554"/>
    </row>
    <row r="672" spans="3:8" x14ac:dyDescent="0.25">
      <c r="C672" s="554"/>
      <c r="D672" s="554"/>
      <c r="E672" s="554"/>
      <c r="F672" s="554"/>
      <c r="G672" s="554"/>
      <c r="H672" s="554"/>
    </row>
    <row r="673" spans="3:8" x14ac:dyDescent="0.25">
      <c r="C673" s="554"/>
      <c r="D673" s="554"/>
      <c r="E673" s="554"/>
      <c r="F673" s="554"/>
      <c r="G673" s="554"/>
      <c r="H673" s="554"/>
    </row>
    <row r="674" spans="3:8" x14ac:dyDescent="0.25">
      <c r="C674" s="554"/>
      <c r="D674" s="554"/>
      <c r="E674" s="554"/>
      <c r="F674" s="554"/>
      <c r="G674" s="554"/>
      <c r="H674" s="554"/>
    </row>
    <row r="675" spans="3:8" x14ac:dyDescent="0.25">
      <c r="C675" s="554"/>
      <c r="D675" s="554"/>
      <c r="E675" s="554"/>
      <c r="F675" s="554"/>
      <c r="G675" s="554"/>
      <c r="H675" s="554"/>
    </row>
    <row r="676" spans="3:8" x14ac:dyDescent="0.25">
      <c r="C676" s="554"/>
      <c r="D676" s="554"/>
      <c r="E676" s="554"/>
      <c r="F676" s="554"/>
      <c r="G676" s="554"/>
      <c r="H676" s="554"/>
    </row>
    <row r="677" spans="3:8" x14ac:dyDescent="0.25">
      <c r="C677" s="554"/>
      <c r="D677" s="554"/>
      <c r="E677" s="554"/>
      <c r="F677" s="554"/>
      <c r="G677" s="554"/>
      <c r="H677" s="554"/>
    </row>
    <row r="678" spans="3:8" x14ac:dyDescent="0.25">
      <c r="C678" s="554"/>
      <c r="D678" s="554"/>
      <c r="E678" s="554"/>
      <c r="F678" s="554"/>
      <c r="G678" s="554"/>
      <c r="H678" s="554"/>
    </row>
    <row r="679" spans="3:8" x14ac:dyDescent="0.25">
      <c r="C679" s="554"/>
      <c r="D679" s="554"/>
      <c r="E679" s="554"/>
      <c r="F679" s="554"/>
      <c r="G679" s="554"/>
      <c r="H679" s="554"/>
    </row>
    <row r="680" spans="3:8" x14ac:dyDescent="0.25">
      <c r="C680" s="554"/>
      <c r="D680" s="554"/>
      <c r="E680" s="554"/>
      <c r="F680" s="554"/>
      <c r="G680" s="554"/>
      <c r="H680" s="554"/>
    </row>
    <row r="681" spans="3:8" x14ac:dyDescent="0.25">
      <c r="C681" s="554"/>
      <c r="D681" s="554"/>
      <c r="E681" s="554"/>
      <c r="F681" s="554"/>
      <c r="G681" s="554"/>
      <c r="H681" s="554"/>
    </row>
    <row r="682" spans="3:8" x14ac:dyDescent="0.25">
      <c r="C682" s="554"/>
      <c r="D682" s="554"/>
      <c r="E682" s="554"/>
      <c r="F682" s="554"/>
      <c r="G682" s="554"/>
      <c r="H682" s="554"/>
    </row>
    <row r="683" spans="3:8" x14ac:dyDescent="0.25">
      <c r="C683" s="554"/>
      <c r="D683" s="554"/>
      <c r="E683" s="554"/>
      <c r="F683" s="554"/>
      <c r="G683" s="554"/>
      <c r="H683" s="554"/>
    </row>
    <row r="684" spans="3:8" x14ac:dyDescent="0.25">
      <c r="C684" s="554"/>
      <c r="D684" s="554"/>
      <c r="E684" s="554"/>
      <c r="F684" s="554"/>
      <c r="G684" s="554"/>
      <c r="H684" s="554"/>
    </row>
    <row r="685" spans="3:8" x14ac:dyDescent="0.25">
      <c r="C685" s="554"/>
      <c r="D685" s="554"/>
      <c r="E685" s="554"/>
      <c r="F685" s="554"/>
      <c r="G685" s="554"/>
      <c r="H685" s="554"/>
    </row>
    <row r="686" spans="3:8" x14ac:dyDescent="0.25">
      <c r="C686" s="554"/>
      <c r="D686" s="554"/>
      <c r="E686" s="554"/>
      <c r="F686" s="554"/>
      <c r="G686" s="554"/>
      <c r="H686" s="554"/>
    </row>
    <row r="687" spans="3:8" x14ac:dyDescent="0.25">
      <c r="C687" s="554"/>
      <c r="D687" s="554"/>
      <c r="E687" s="554"/>
      <c r="F687" s="554"/>
      <c r="G687" s="554"/>
      <c r="H687" s="554"/>
    </row>
    <row r="688" spans="3:8" x14ac:dyDescent="0.25">
      <c r="C688" s="554"/>
      <c r="D688" s="554"/>
      <c r="E688" s="554"/>
      <c r="F688" s="554"/>
      <c r="G688" s="554"/>
      <c r="H688" s="554"/>
    </row>
    <row r="689" spans="3:8" x14ac:dyDescent="0.25">
      <c r="C689" s="554"/>
      <c r="D689" s="554"/>
      <c r="E689" s="554"/>
      <c r="F689" s="554"/>
      <c r="G689" s="554"/>
      <c r="H689" s="554"/>
    </row>
    <row r="690" spans="3:8" x14ac:dyDescent="0.25">
      <c r="C690" s="554"/>
      <c r="D690" s="554"/>
      <c r="E690" s="554"/>
      <c r="F690" s="554"/>
      <c r="G690" s="554"/>
      <c r="H690" s="554"/>
    </row>
    <row r="691" spans="3:8" x14ac:dyDescent="0.25">
      <c r="C691" s="554"/>
      <c r="D691" s="554"/>
      <c r="E691" s="554"/>
      <c r="F691" s="554"/>
      <c r="G691" s="554"/>
      <c r="H691" s="554"/>
    </row>
    <row r="692" spans="3:8" x14ac:dyDescent="0.25">
      <c r="C692" s="554"/>
      <c r="D692" s="554"/>
      <c r="E692" s="554"/>
      <c r="F692" s="554"/>
      <c r="G692" s="554"/>
      <c r="H692" s="554"/>
    </row>
    <row r="693" spans="3:8" x14ac:dyDescent="0.25">
      <c r="C693" s="554"/>
      <c r="D693" s="554"/>
      <c r="E693" s="554"/>
      <c r="F693" s="554"/>
      <c r="G693" s="554"/>
      <c r="H693" s="554"/>
    </row>
    <row r="694" spans="3:8" x14ac:dyDescent="0.25">
      <c r="C694" s="554"/>
      <c r="D694" s="554"/>
      <c r="E694" s="554"/>
      <c r="F694" s="554"/>
      <c r="G694" s="554"/>
      <c r="H694" s="554"/>
    </row>
    <row r="695" spans="3:8" x14ac:dyDescent="0.25">
      <c r="C695" s="554"/>
      <c r="D695" s="554"/>
      <c r="E695" s="554"/>
      <c r="F695" s="554"/>
      <c r="G695" s="554"/>
      <c r="H695" s="554"/>
    </row>
    <row r="696" spans="3:8" x14ac:dyDescent="0.25">
      <c r="C696" s="554"/>
      <c r="D696" s="554"/>
      <c r="E696" s="554"/>
      <c r="F696" s="554"/>
      <c r="G696" s="554"/>
      <c r="H696" s="554"/>
    </row>
    <row r="697" spans="3:8" x14ac:dyDescent="0.25">
      <c r="C697" s="554"/>
      <c r="D697" s="554"/>
      <c r="E697" s="554"/>
      <c r="F697" s="554"/>
      <c r="G697" s="554"/>
      <c r="H697" s="554"/>
    </row>
    <row r="698" spans="3:8" x14ac:dyDescent="0.25">
      <c r="C698" s="554"/>
      <c r="D698" s="554"/>
      <c r="E698" s="554"/>
      <c r="F698" s="554"/>
      <c r="G698" s="554"/>
      <c r="H698" s="554"/>
    </row>
    <row r="699" spans="3:8" x14ac:dyDescent="0.25">
      <c r="C699" s="554"/>
      <c r="D699" s="554"/>
      <c r="E699" s="554"/>
      <c r="F699" s="554"/>
      <c r="G699" s="554"/>
      <c r="H699" s="554"/>
    </row>
    <row r="700" spans="3:8" x14ac:dyDescent="0.25">
      <c r="C700" s="554"/>
      <c r="D700" s="554"/>
      <c r="E700" s="554"/>
      <c r="F700" s="554"/>
      <c r="G700" s="554"/>
      <c r="H700" s="554"/>
    </row>
    <row r="701" spans="3:8" x14ac:dyDescent="0.25">
      <c r="C701" s="554"/>
      <c r="D701" s="554"/>
      <c r="E701" s="554"/>
      <c r="F701" s="554"/>
      <c r="G701" s="554"/>
      <c r="H701" s="554"/>
    </row>
    <row r="702" spans="3:8" x14ac:dyDescent="0.25">
      <c r="C702" s="554"/>
      <c r="D702" s="554"/>
      <c r="E702" s="554"/>
      <c r="F702" s="554"/>
      <c r="G702" s="554"/>
      <c r="H702" s="554"/>
    </row>
    <row r="703" spans="3:8" x14ac:dyDescent="0.25">
      <c r="C703" s="554"/>
      <c r="D703" s="554"/>
      <c r="E703" s="554"/>
      <c r="F703" s="554"/>
      <c r="G703" s="554"/>
      <c r="H703" s="554"/>
    </row>
    <row r="704" spans="3:8" x14ac:dyDescent="0.25">
      <c r="C704" s="554"/>
      <c r="D704" s="554"/>
      <c r="E704" s="554"/>
      <c r="F704" s="554"/>
      <c r="G704" s="554"/>
      <c r="H704" s="554"/>
    </row>
    <row r="705" spans="3:8" x14ac:dyDescent="0.25">
      <c r="C705" s="554"/>
      <c r="D705" s="554"/>
      <c r="E705" s="554"/>
      <c r="F705" s="554"/>
      <c r="G705" s="554"/>
      <c r="H705" s="554"/>
    </row>
    <row r="706" spans="3:8" x14ac:dyDescent="0.25">
      <c r="C706" s="554"/>
      <c r="D706" s="554"/>
      <c r="E706" s="554"/>
      <c r="F706" s="554"/>
      <c r="G706" s="554"/>
      <c r="H706" s="554"/>
    </row>
    <row r="707" spans="3:8" x14ac:dyDescent="0.25">
      <c r="C707" s="554"/>
      <c r="D707" s="554"/>
      <c r="E707" s="554"/>
      <c r="F707" s="554"/>
      <c r="G707" s="554"/>
      <c r="H707" s="554"/>
    </row>
    <row r="708" spans="3:8" x14ac:dyDescent="0.25">
      <c r="C708" s="554"/>
      <c r="D708" s="554"/>
      <c r="E708" s="554"/>
      <c r="F708" s="554"/>
      <c r="G708" s="554"/>
      <c r="H708" s="554"/>
    </row>
    <row r="709" spans="3:8" x14ac:dyDescent="0.25">
      <c r="C709" s="554"/>
      <c r="D709" s="554"/>
      <c r="E709" s="554"/>
      <c r="F709" s="554"/>
      <c r="G709" s="554"/>
      <c r="H709" s="554"/>
    </row>
    <row r="710" spans="3:8" x14ac:dyDescent="0.25">
      <c r="C710" s="554"/>
      <c r="D710" s="554"/>
      <c r="E710" s="554"/>
      <c r="F710" s="554"/>
      <c r="G710" s="554"/>
      <c r="H710" s="554"/>
    </row>
    <row r="711" spans="3:8" x14ac:dyDescent="0.25">
      <c r="C711" s="554"/>
      <c r="D711" s="554"/>
      <c r="E711" s="554"/>
      <c r="F711" s="554"/>
      <c r="G711" s="554"/>
      <c r="H711" s="554"/>
    </row>
    <row r="712" spans="3:8" x14ac:dyDescent="0.25">
      <c r="C712" s="554"/>
      <c r="D712" s="554"/>
      <c r="E712" s="554"/>
      <c r="F712" s="554"/>
      <c r="G712" s="554"/>
      <c r="H712" s="554"/>
    </row>
    <row r="713" spans="3:8" x14ac:dyDescent="0.25">
      <c r="C713" s="554"/>
      <c r="D713" s="554"/>
      <c r="E713" s="554"/>
      <c r="F713" s="554"/>
      <c r="G713" s="554"/>
      <c r="H713" s="554"/>
    </row>
    <row r="714" spans="3:8" x14ac:dyDescent="0.25">
      <c r="C714" s="554"/>
      <c r="D714" s="554"/>
      <c r="E714" s="554"/>
      <c r="F714" s="554"/>
      <c r="G714" s="554"/>
      <c r="H714" s="554"/>
    </row>
    <row r="715" spans="3:8" x14ac:dyDescent="0.25">
      <c r="C715" s="554"/>
      <c r="D715" s="554"/>
      <c r="E715" s="554"/>
      <c r="F715" s="554"/>
      <c r="G715" s="554"/>
      <c r="H715" s="554"/>
    </row>
    <row r="716" spans="3:8" x14ac:dyDescent="0.25">
      <c r="C716" s="554"/>
      <c r="D716" s="554"/>
      <c r="E716" s="554"/>
      <c r="F716" s="554"/>
      <c r="G716" s="554"/>
      <c r="H716" s="554"/>
    </row>
    <row r="717" spans="3:8" x14ac:dyDescent="0.25">
      <c r="C717" s="554"/>
      <c r="D717" s="554"/>
      <c r="E717" s="554"/>
      <c r="F717" s="554"/>
      <c r="G717" s="554"/>
      <c r="H717" s="554"/>
    </row>
    <row r="718" spans="3:8" x14ac:dyDescent="0.25">
      <c r="C718" s="554"/>
      <c r="D718" s="554"/>
      <c r="E718" s="554"/>
      <c r="F718" s="554"/>
      <c r="G718" s="554"/>
      <c r="H718" s="554"/>
    </row>
    <row r="719" spans="3:8" x14ac:dyDescent="0.25">
      <c r="C719" s="554"/>
      <c r="D719" s="554"/>
      <c r="E719" s="554"/>
      <c r="F719" s="554"/>
      <c r="G719" s="554"/>
      <c r="H719" s="554"/>
    </row>
    <row r="720" spans="3:8" x14ac:dyDescent="0.25">
      <c r="C720" s="554"/>
      <c r="D720" s="554"/>
      <c r="E720" s="554"/>
      <c r="F720" s="554"/>
      <c r="G720" s="554"/>
      <c r="H720" s="554"/>
    </row>
    <row r="721" spans="3:8" x14ac:dyDescent="0.25">
      <c r="C721" s="554"/>
      <c r="D721" s="554"/>
      <c r="E721" s="554"/>
      <c r="F721" s="554"/>
      <c r="G721" s="554"/>
      <c r="H721" s="554"/>
    </row>
    <row r="722" spans="3:8" x14ac:dyDescent="0.25">
      <c r="C722" s="554"/>
      <c r="D722" s="554"/>
      <c r="E722" s="554"/>
      <c r="F722" s="554"/>
      <c r="G722" s="554"/>
      <c r="H722" s="554"/>
    </row>
    <row r="723" spans="3:8" x14ac:dyDescent="0.25">
      <c r="C723" s="554"/>
      <c r="D723" s="554"/>
      <c r="E723" s="554"/>
      <c r="F723" s="554"/>
      <c r="G723" s="554"/>
      <c r="H723" s="554"/>
    </row>
    <row r="724" spans="3:8" x14ac:dyDescent="0.25">
      <c r="C724" s="554"/>
      <c r="D724" s="554"/>
      <c r="E724" s="554"/>
      <c r="F724" s="554"/>
      <c r="G724" s="554"/>
      <c r="H724" s="554"/>
    </row>
    <row r="725" spans="3:8" x14ac:dyDescent="0.25">
      <c r="C725" s="554"/>
      <c r="D725" s="554"/>
      <c r="E725" s="554"/>
      <c r="F725" s="554"/>
      <c r="G725" s="554"/>
      <c r="H725" s="554"/>
    </row>
    <row r="726" spans="3:8" x14ac:dyDescent="0.25">
      <c r="C726" s="554"/>
      <c r="D726" s="554"/>
      <c r="E726" s="554"/>
      <c r="F726" s="554"/>
      <c r="G726" s="554"/>
      <c r="H726" s="554"/>
    </row>
    <row r="727" spans="3:8" x14ac:dyDescent="0.25">
      <c r="C727" s="554"/>
      <c r="D727" s="554"/>
      <c r="E727" s="554"/>
      <c r="F727" s="554"/>
      <c r="G727" s="554"/>
      <c r="H727" s="554"/>
    </row>
    <row r="728" spans="3:8" x14ac:dyDescent="0.25">
      <c r="C728" s="554"/>
      <c r="D728" s="554"/>
      <c r="E728" s="554"/>
      <c r="F728" s="554"/>
      <c r="G728" s="554"/>
      <c r="H728" s="554"/>
    </row>
    <row r="729" spans="3:8" x14ac:dyDescent="0.25">
      <c r="C729" s="554"/>
      <c r="D729" s="554"/>
      <c r="E729" s="554"/>
      <c r="F729" s="554"/>
      <c r="G729" s="554"/>
      <c r="H729" s="554"/>
    </row>
    <row r="730" spans="3:8" x14ac:dyDescent="0.25">
      <c r="C730" s="554"/>
      <c r="D730" s="554"/>
      <c r="E730" s="554"/>
      <c r="F730" s="554"/>
      <c r="G730" s="554"/>
      <c r="H730" s="554"/>
    </row>
    <row r="731" spans="3:8" x14ac:dyDescent="0.25">
      <c r="C731" s="554"/>
      <c r="D731" s="554"/>
      <c r="E731" s="554"/>
      <c r="F731" s="554"/>
      <c r="G731" s="554"/>
      <c r="H731" s="554"/>
    </row>
    <row r="732" spans="3:8" x14ac:dyDescent="0.25">
      <c r="C732" s="554"/>
      <c r="D732" s="554"/>
      <c r="E732" s="554"/>
      <c r="F732" s="554"/>
      <c r="G732" s="554"/>
      <c r="H732" s="554"/>
    </row>
    <row r="733" spans="3:8" x14ac:dyDescent="0.25">
      <c r="C733" s="554"/>
      <c r="D733" s="554"/>
      <c r="E733" s="554"/>
      <c r="F733" s="554"/>
      <c r="G733" s="554"/>
      <c r="H733" s="554"/>
    </row>
    <row r="734" spans="3:8" x14ac:dyDescent="0.25">
      <c r="C734" s="554"/>
      <c r="D734" s="554"/>
      <c r="E734" s="554"/>
      <c r="F734" s="554"/>
      <c r="G734" s="554"/>
      <c r="H734" s="554"/>
    </row>
    <row r="735" spans="3:8" x14ac:dyDescent="0.25">
      <c r="C735" s="554"/>
      <c r="D735" s="554"/>
      <c r="E735" s="554"/>
      <c r="F735" s="554"/>
      <c r="G735" s="554"/>
      <c r="H735" s="554"/>
    </row>
    <row r="736" spans="3:8" x14ac:dyDescent="0.25">
      <c r="C736" s="554"/>
      <c r="D736" s="554"/>
      <c r="E736" s="554"/>
      <c r="F736" s="554"/>
      <c r="G736" s="554"/>
      <c r="H736" s="554"/>
    </row>
    <row r="737" spans="3:8" x14ac:dyDescent="0.25">
      <c r="C737" s="554"/>
      <c r="D737" s="554"/>
      <c r="E737" s="554"/>
      <c r="F737" s="554"/>
      <c r="G737" s="554"/>
      <c r="H737" s="554"/>
    </row>
    <row r="738" spans="3:8" x14ac:dyDescent="0.25">
      <c r="C738" s="554"/>
      <c r="D738" s="554"/>
      <c r="E738" s="554"/>
      <c r="F738" s="554"/>
      <c r="G738" s="554"/>
      <c r="H738" s="554"/>
    </row>
    <row r="739" spans="3:8" x14ac:dyDescent="0.25">
      <c r="C739" s="554"/>
      <c r="D739" s="554"/>
      <c r="E739" s="554"/>
      <c r="F739" s="554"/>
      <c r="G739" s="554"/>
      <c r="H739" s="554"/>
    </row>
    <row r="740" spans="3:8" x14ac:dyDescent="0.25">
      <c r="C740" s="554"/>
      <c r="D740" s="554"/>
      <c r="E740" s="554"/>
      <c r="F740" s="554"/>
      <c r="G740" s="554"/>
      <c r="H740" s="554"/>
    </row>
    <row r="741" spans="3:8" x14ac:dyDescent="0.25">
      <c r="C741" s="554"/>
      <c r="D741" s="554"/>
      <c r="E741" s="554"/>
      <c r="F741" s="554"/>
      <c r="G741" s="554"/>
      <c r="H741" s="554"/>
    </row>
    <row r="742" spans="3:8" x14ac:dyDescent="0.25">
      <c r="C742" s="554"/>
      <c r="D742" s="554"/>
      <c r="E742" s="554"/>
      <c r="F742" s="554"/>
      <c r="G742" s="554"/>
      <c r="H742" s="554"/>
    </row>
    <row r="743" spans="3:8" x14ac:dyDescent="0.25">
      <c r="C743" s="554"/>
      <c r="D743" s="554"/>
      <c r="E743" s="554"/>
      <c r="F743" s="554"/>
      <c r="G743" s="554"/>
      <c r="H743" s="554"/>
    </row>
    <row r="744" spans="3:8" x14ac:dyDescent="0.25">
      <c r="C744" s="554"/>
      <c r="D744" s="554"/>
      <c r="E744" s="554"/>
      <c r="F744" s="554"/>
      <c r="G744" s="554"/>
      <c r="H744" s="554"/>
    </row>
    <row r="745" spans="3:8" x14ac:dyDescent="0.25">
      <c r="C745" s="554"/>
      <c r="D745" s="554"/>
      <c r="E745" s="554"/>
      <c r="F745" s="554"/>
      <c r="G745" s="554"/>
      <c r="H745" s="554"/>
    </row>
    <row r="746" spans="3:8" x14ac:dyDescent="0.25">
      <c r="C746" s="554"/>
      <c r="D746" s="554"/>
      <c r="E746" s="554"/>
      <c r="F746" s="554"/>
      <c r="G746" s="554"/>
      <c r="H746" s="554"/>
    </row>
    <row r="747" spans="3:8" x14ac:dyDescent="0.25">
      <c r="C747" s="554"/>
      <c r="D747" s="554"/>
      <c r="E747" s="554"/>
      <c r="F747" s="554"/>
      <c r="G747" s="554"/>
      <c r="H747" s="554"/>
    </row>
    <row r="748" spans="3:8" x14ac:dyDescent="0.25">
      <c r="C748" s="554"/>
      <c r="D748" s="554"/>
      <c r="E748" s="554"/>
      <c r="F748" s="554"/>
      <c r="G748" s="554"/>
      <c r="H748" s="554"/>
    </row>
    <row r="749" spans="3:8" x14ac:dyDescent="0.25">
      <c r="C749" s="554"/>
      <c r="D749" s="554"/>
      <c r="E749" s="554"/>
      <c r="F749" s="554"/>
      <c r="G749" s="554"/>
      <c r="H749" s="554"/>
    </row>
    <row r="750" spans="3:8" x14ac:dyDescent="0.25">
      <c r="C750" s="554"/>
      <c r="D750" s="554"/>
      <c r="E750" s="554"/>
      <c r="F750" s="554"/>
      <c r="G750" s="554"/>
      <c r="H750" s="554"/>
    </row>
    <row r="751" spans="3:8" x14ac:dyDescent="0.25">
      <c r="C751" s="554"/>
      <c r="D751" s="554"/>
      <c r="E751" s="554"/>
      <c r="F751" s="554"/>
      <c r="G751" s="554"/>
      <c r="H751" s="554"/>
    </row>
    <row r="752" spans="3:8" x14ac:dyDescent="0.25">
      <c r="C752" s="554"/>
      <c r="D752" s="554"/>
      <c r="E752" s="554"/>
      <c r="F752" s="554"/>
      <c r="G752" s="554"/>
      <c r="H752" s="554"/>
    </row>
    <row r="753" spans="3:8" x14ac:dyDescent="0.25">
      <c r="C753" s="554"/>
      <c r="D753" s="554"/>
      <c r="E753" s="554"/>
      <c r="F753" s="554"/>
      <c r="G753" s="554"/>
      <c r="H753" s="554"/>
    </row>
    <row r="754" spans="3:8" x14ac:dyDescent="0.25">
      <c r="C754" s="554"/>
      <c r="D754" s="554"/>
      <c r="E754" s="554"/>
      <c r="F754" s="554"/>
      <c r="G754" s="554"/>
      <c r="H754" s="554"/>
    </row>
    <row r="755" spans="3:8" x14ac:dyDescent="0.25">
      <c r="C755" s="554"/>
      <c r="D755" s="554"/>
      <c r="E755" s="554"/>
      <c r="F755" s="554"/>
      <c r="G755" s="554"/>
      <c r="H755" s="554"/>
    </row>
    <row r="756" spans="3:8" x14ac:dyDescent="0.25">
      <c r="C756" s="554"/>
      <c r="D756" s="554"/>
      <c r="E756" s="554"/>
      <c r="F756" s="554"/>
      <c r="G756" s="554"/>
      <c r="H756" s="554"/>
    </row>
    <row r="757" spans="3:8" x14ac:dyDescent="0.25">
      <c r="C757" s="554"/>
      <c r="D757" s="554"/>
      <c r="E757" s="554"/>
      <c r="F757" s="554"/>
      <c r="G757" s="554"/>
      <c r="H757" s="554"/>
    </row>
    <row r="758" spans="3:8" x14ac:dyDescent="0.25">
      <c r="C758" s="554"/>
      <c r="D758" s="554"/>
      <c r="E758" s="554"/>
      <c r="F758" s="554"/>
      <c r="G758" s="554"/>
      <c r="H758" s="554"/>
    </row>
    <row r="759" spans="3:8" x14ac:dyDescent="0.25">
      <c r="C759" s="554"/>
      <c r="D759" s="554"/>
      <c r="E759" s="554"/>
      <c r="F759" s="554"/>
      <c r="G759" s="554"/>
      <c r="H759" s="554"/>
    </row>
    <row r="760" spans="3:8" x14ac:dyDescent="0.25">
      <c r="C760" s="554"/>
      <c r="D760" s="554"/>
      <c r="E760" s="554"/>
      <c r="F760" s="554"/>
      <c r="G760" s="554"/>
      <c r="H760" s="554"/>
    </row>
    <row r="761" spans="3:8" x14ac:dyDescent="0.25">
      <c r="C761" s="554"/>
      <c r="D761" s="554"/>
      <c r="E761" s="554"/>
      <c r="F761" s="554"/>
      <c r="G761" s="554"/>
      <c r="H761" s="554"/>
    </row>
    <row r="762" spans="3:8" x14ac:dyDescent="0.25">
      <c r="C762" s="554"/>
      <c r="D762" s="554"/>
      <c r="E762" s="554"/>
      <c r="F762" s="554"/>
      <c r="G762" s="554"/>
      <c r="H762" s="554"/>
    </row>
    <row r="763" spans="3:8" x14ac:dyDescent="0.25">
      <c r="C763" s="554"/>
      <c r="D763" s="554"/>
      <c r="E763" s="554"/>
      <c r="F763" s="554"/>
      <c r="G763" s="554"/>
      <c r="H763" s="554"/>
    </row>
    <row r="764" spans="3:8" x14ac:dyDescent="0.25">
      <c r="C764" s="554"/>
      <c r="D764" s="554"/>
      <c r="E764" s="554"/>
      <c r="F764" s="554"/>
      <c r="G764" s="554"/>
      <c r="H764" s="554"/>
    </row>
    <row r="765" spans="3:8" x14ac:dyDescent="0.25">
      <c r="C765" s="554"/>
      <c r="D765" s="554"/>
      <c r="E765" s="554"/>
      <c r="F765" s="554"/>
      <c r="G765" s="554"/>
      <c r="H765" s="554"/>
    </row>
    <row r="766" spans="3:8" x14ac:dyDescent="0.25">
      <c r="C766" s="554"/>
      <c r="D766" s="554"/>
      <c r="E766" s="554"/>
      <c r="F766" s="554"/>
      <c r="G766" s="554"/>
      <c r="H766" s="554"/>
    </row>
    <row r="767" spans="3:8" x14ac:dyDescent="0.25">
      <c r="C767" s="554"/>
      <c r="D767" s="554"/>
      <c r="E767" s="554"/>
      <c r="F767" s="554"/>
      <c r="G767" s="554"/>
      <c r="H767" s="554"/>
    </row>
    <row r="768" spans="3:8" x14ac:dyDescent="0.25">
      <c r="C768" s="554"/>
      <c r="D768" s="554"/>
      <c r="E768" s="554"/>
      <c r="F768" s="554"/>
      <c r="G768" s="554"/>
      <c r="H768" s="554"/>
    </row>
    <row r="769" spans="3:8" x14ac:dyDescent="0.25">
      <c r="C769" s="554"/>
      <c r="D769" s="554"/>
      <c r="E769" s="554"/>
      <c r="F769" s="554"/>
      <c r="G769" s="554"/>
      <c r="H769" s="554"/>
    </row>
    <row r="770" spans="3:8" x14ac:dyDescent="0.25">
      <c r="C770" s="554"/>
      <c r="D770" s="554"/>
      <c r="E770" s="554"/>
      <c r="F770" s="554"/>
      <c r="G770" s="554"/>
      <c r="H770" s="554"/>
    </row>
    <row r="771" spans="3:8" x14ac:dyDescent="0.25">
      <c r="C771" s="554"/>
      <c r="D771" s="554"/>
      <c r="E771" s="554"/>
      <c r="F771" s="554"/>
      <c r="G771" s="554"/>
      <c r="H771" s="554"/>
    </row>
    <row r="772" spans="3:8" x14ac:dyDescent="0.25">
      <c r="C772" s="554"/>
      <c r="D772" s="554"/>
      <c r="E772" s="554"/>
      <c r="F772" s="554"/>
      <c r="G772" s="554"/>
      <c r="H772" s="554"/>
    </row>
    <row r="773" spans="3:8" x14ac:dyDescent="0.25">
      <c r="C773" s="554"/>
      <c r="D773" s="554"/>
      <c r="E773" s="554"/>
      <c r="F773" s="554"/>
      <c r="G773" s="554"/>
      <c r="H773" s="554"/>
    </row>
    <row r="774" spans="3:8" x14ac:dyDescent="0.25">
      <c r="C774" s="554"/>
      <c r="D774" s="554"/>
      <c r="E774" s="554"/>
      <c r="F774" s="554"/>
      <c r="G774" s="554"/>
      <c r="H774" s="554"/>
    </row>
    <row r="775" spans="3:8" x14ac:dyDescent="0.25">
      <c r="C775" s="554"/>
      <c r="D775" s="554"/>
      <c r="E775" s="554"/>
      <c r="F775" s="554"/>
      <c r="G775" s="554"/>
      <c r="H775" s="554"/>
    </row>
    <row r="776" spans="3:8" x14ac:dyDescent="0.25">
      <c r="C776" s="554"/>
      <c r="D776" s="554"/>
      <c r="E776" s="554"/>
      <c r="F776" s="554"/>
      <c r="G776" s="554"/>
      <c r="H776" s="554"/>
    </row>
    <row r="777" spans="3:8" x14ac:dyDescent="0.25">
      <c r="C777" s="554"/>
      <c r="D777" s="554"/>
      <c r="E777" s="554"/>
      <c r="F777" s="554"/>
      <c r="G777" s="554"/>
      <c r="H777" s="554"/>
    </row>
    <row r="778" spans="3:8" x14ac:dyDescent="0.25">
      <c r="C778" s="554"/>
      <c r="D778" s="554"/>
      <c r="E778" s="554"/>
      <c r="F778" s="554"/>
      <c r="G778" s="554"/>
      <c r="H778" s="554"/>
    </row>
    <row r="779" spans="3:8" x14ac:dyDescent="0.25">
      <c r="C779" s="554"/>
      <c r="D779" s="554"/>
      <c r="E779" s="554"/>
      <c r="F779" s="554"/>
      <c r="G779" s="554"/>
      <c r="H779" s="554"/>
    </row>
    <row r="780" spans="3:8" x14ac:dyDescent="0.25">
      <c r="C780" s="554"/>
      <c r="D780" s="554"/>
      <c r="E780" s="554"/>
      <c r="F780" s="554"/>
      <c r="G780" s="554"/>
      <c r="H780" s="554"/>
    </row>
    <row r="781" spans="3:8" x14ac:dyDescent="0.25">
      <c r="C781" s="554"/>
      <c r="D781" s="554"/>
      <c r="E781" s="554"/>
      <c r="F781" s="554"/>
      <c r="G781" s="554"/>
      <c r="H781" s="554"/>
    </row>
    <row r="782" spans="3:8" x14ac:dyDescent="0.25">
      <c r="C782" s="554"/>
      <c r="D782" s="554"/>
      <c r="E782" s="554"/>
      <c r="F782" s="554"/>
      <c r="G782" s="554"/>
      <c r="H782" s="554"/>
    </row>
    <row r="783" spans="3:8" x14ac:dyDescent="0.25">
      <c r="C783" s="554"/>
      <c r="D783" s="554"/>
      <c r="E783" s="554"/>
      <c r="F783" s="554"/>
      <c r="G783" s="554"/>
      <c r="H783" s="554"/>
    </row>
    <row r="784" spans="3:8" x14ac:dyDescent="0.25">
      <c r="C784" s="554"/>
      <c r="D784" s="554"/>
      <c r="E784" s="554"/>
      <c r="F784" s="554"/>
      <c r="G784" s="554"/>
      <c r="H784" s="554"/>
    </row>
    <row r="785" spans="3:8" x14ac:dyDescent="0.25">
      <c r="C785" s="554"/>
      <c r="D785" s="554"/>
      <c r="E785" s="554"/>
      <c r="F785" s="554"/>
      <c r="G785" s="554"/>
      <c r="H785" s="554"/>
    </row>
    <row r="786" spans="3:8" x14ac:dyDescent="0.25">
      <c r="C786" s="554"/>
      <c r="D786" s="554"/>
      <c r="E786" s="554"/>
      <c r="F786" s="554"/>
      <c r="G786" s="554"/>
      <c r="H786" s="554"/>
    </row>
    <row r="787" spans="3:8" x14ac:dyDescent="0.25">
      <c r="C787" s="554"/>
      <c r="D787" s="554"/>
      <c r="E787" s="554"/>
      <c r="F787" s="554"/>
      <c r="G787" s="554"/>
      <c r="H787" s="554"/>
    </row>
    <row r="788" spans="3:8" x14ac:dyDescent="0.25">
      <c r="C788" s="554"/>
      <c r="D788" s="554"/>
      <c r="E788" s="554"/>
      <c r="F788" s="554"/>
      <c r="G788" s="554"/>
      <c r="H788" s="554"/>
    </row>
    <row r="789" spans="3:8" x14ac:dyDescent="0.25">
      <c r="C789" s="554"/>
      <c r="D789" s="554"/>
      <c r="E789" s="554"/>
      <c r="F789" s="554"/>
      <c r="G789" s="554"/>
      <c r="H789" s="554"/>
    </row>
    <row r="790" spans="3:8" x14ac:dyDescent="0.25">
      <c r="C790" s="554"/>
      <c r="D790" s="554"/>
      <c r="E790" s="554"/>
      <c r="F790" s="554"/>
      <c r="G790" s="554"/>
      <c r="H790" s="554"/>
    </row>
    <row r="791" spans="3:8" x14ac:dyDescent="0.25">
      <c r="C791" s="554"/>
      <c r="D791" s="554"/>
      <c r="E791" s="554"/>
      <c r="F791" s="554"/>
      <c r="G791" s="554"/>
      <c r="H791" s="554"/>
    </row>
    <row r="792" spans="3:8" x14ac:dyDescent="0.25">
      <c r="C792" s="554"/>
      <c r="D792" s="554"/>
      <c r="E792" s="554"/>
      <c r="F792" s="554"/>
      <c r="G792" s="554"/>
      <c r="H792" s="554"/>
    </row>
    <row r="793" spans="3:8" x14ac:dyDescent="0.25">
      <c r="C793" s="554"/>
      <c r="D793" s="554"/>
      <c r="E793" s="554"/>
      <c r="F793" s="554"/>
      <c r="G793" s="554"/>
      <c r="H793" s="554"/>
    </row>
    <row r="794" spans="3:8" x14ac:dyDescent="0.25">
      <c r="C794" s="554"/>
      <c r="D794" s="554"/>
      <c r="E794" s="554"/>
      <c r="F794" s="554"/>
      <c r="G794" s="554"/>
      <c r="H794" s="554"/>
    </row>
    <row r="795" spans="3:8" x14ac:dyDescent="0.25">
      <c r="C795" s="554"/>
      <c r="D795" s="554"/>
      <c r="E795" s="554"/>
      <c r="F795" s="554"/>
      <c r="G795" s="554"/>
      <c r="H795" s="554"/>
    </row>
    <row r="796" spans="3:8" x14ac:dyDescent="0.25">
      <c r="C796" s="554"/>
      <c r="D796" s="554"/>
      <c r="E796" s="554"/>
      <c r="F796" s="554"/>
      <c r="G796" s="554"/>
      <c r="H796" s="554"/>
    </row>
    <row r="797" spans="3:8" x14ac:dyDescent="0.25">
      <c r="C797" s="554"/>
      <c r="D797" s="554"/>
      <c r="E797" s="554"/>
      <c r="F797" s="554"/>
      <c r="G797" s="554"/>
      <c r="H797" s="554"/>
    </row>
    <row r="798" spans="3:8" x14ac:dyDescent="0.25">
      <c r="C798" s="554"/>
      <c r="D798" s="554"/>
      <c r="E798" s="554"/>
      <c r="F798" s="554"/>
      <c r="G798" s="554"/>
      <c r="H798" s="554"/>
    </row>
    <row r="799" spans="3:8" x14ac:dyDescent="0.25">
      <c r="C799" s="554"/>
      <c r="D799" s="554"/>
      <c r="E799" s="554"/>
      <c r="F799" s="554"/>
      <c r="G799" s="554"/>
      <c r="H799" s="554"/>
    </row>
    <row r="800" spans="3:8" x14ac:dyDescent="0.25">
      <c r="C800" s="554"/>
      <c r="D800" s="554"/>
      <c r="E800" s="554"/>
      <c r="F800" s="554"/>
      <c r="G800" s="554"/>
      <c r="H800" s="554"/>
    </row>
    <row r="801" spans="3:8" x14ac:dyDescent="0.25">
      <c r="C801" s="554"/>
      <c r="D801" s="554"/>
      <c r="E801" s="554"/>
      <c r="F801" s="554"/>
      <c r="G801" s="554"/>
      <c r="H801" s="554"/>
    </row>
    <row r="802" spans="3:8" x14ac:dyDescent="0.25">
      <c r="C802" s="554"/>
      <c r="D802" s="554"/>
      <c r="E802" s="554"/>
      <c r="F802" s="554"/>
      <c r="G802" s="554"/>
      <c r="H802" s="554"/>
    </row>
    <row r="803" spans="3:8" x14ac:dyDescent="0.25">
      <c r="C803" s="554"/>
      <c r="D803" s="554"/>
      <c r="E803" s="554"/>
      <c r="F803" s="554"/>
      <c r="G803" s="554"/>
      <c r="H803" s="554"/>
    </row>
    <row r="804" spans="3:8" x14ac:dyDescent="0.25">
      <c r="C804" s="554"/>
      <c r="D804" s="554"/>
      <c r="E804" s="554"/>
      <c r="F804" s="554"/>
      <c r="G804" s="554"/>
      <c r="H804" s="554"/>
    </row>
    <row r="805" spans="3:8" x14ac:dyDescent="0.25">
      <c r="C805" s="554"/>
      <c r="D805" s="554"/>
      <c r="E805" s="554"/>
      <c r="F805" s="554"/>
      <c r="G805" s="554"/>
      <c r="H805" s="554"/>
    </row>
    <row r="806" spans="3:8" x14ac:dyDescent="0.25">
      <c r="C806" s="554"/>
      <c r="D806" s="554"/>
      <c r="E806" s="554"/>
      <c r="F806" s="554"/>
      <c r="G806" s="554"/>
      <c r="H806" s="554"/>
    </row>
    <row r="807" spans="3:8" x14ac:dyDescent="0.25">
      <c r="C807" s="554"/>
      <c r="D807" s="554"/>
      <c r="E807" s="554"/>
      <c r="F807" s="554"/>
      <c r="G807" s="554"/>
      <c r="H807" s="554"/>
    </row>
    <row r="808" spans="3:8" x14ac:dyDescent="0.25">
      <c r="C808" s="554"/>
      <c r="D808" s="554"/>
      <c r="E808" s="554"/>
      <c r="F808" s="554"/>
      <c r="G808" s="554"/>
      <c r="H808" s="554"/>
    </row>
    <row r="809" spans="3:8" x14ac:dyDescent="0.25">
      <c r="C809" s="554"/>
      <c r="D809" s="554"/>
      <c r="E809" s="554"/>
      <c r="F809" s="554"/>
      <c r="G809" s="554"/>
      <c r="H809" s="554"/>
    </row>
    <row r="810" spans="3:8" x14ac:dyDescent="0.25">
      <c r="C810" s="554"/>
      <c r="D810" s="554"/>
      <c r="E810" s="554"/>
      <c r="F810" s="554"/>
      <c r="G810" s="554"/>
      <c r="H810" s="554"/>
    </row>
    <row r="811" spans="3:8" x14ac:dyDescent="0.25">
      <c r="C811" s="554"/>
      <c r="D811" s="554"/>
      <c r="E811" s="554"/>
      <c r="F811" s="554"/>
      <c r="G811" s="554"/>
      <c r="H811" s="554"/>
    </row>
    <row r="812" spans="3:8" x14ac:dyDescent="0.25">
      <c r="C812" s="554"/>
      <c r="D812" s="554"/>
      <c r="E812" s="554"/>
      <c r="F812" s="554"/>
      <c r="G812" s="554"/>
      <c r="H812" s="554"/>
    </row>
    <row r="813" spans="3:8" x14ac:dyDescent="0.25">
      <c r="C813" s="554"/>
      <c r="D813" s="554"/>
      <c r="E813" s="554"/>
      <c r="F813" s="554"/>
      <c r="G813" s="554"/>
      <c r="H813" s="554"/>
    </row>
    <row r="814" spans="3:8" x14ac:dyDescent="0.25">
      <c r="C814" s="554"/>
      <c r="D814" s="554"/>
      <c r="E814" s="554"/>
      <c r="F814" s="554"/>
      <c r="G814" s="554"/>
      <c r="H814" s="554"/>
    </row>
    <row r="815" spans="3:8" x14ac:dyDescent="0.25">
      <c r="C815" s="554"/>
      <c r="D815" s="554"/>
      <c r="E815" s="554"/>
      <c r="F815" s="554"/>
      <c r="G815" s="554"/>
      <c r="H815" s="554"/>
    </row>
    <row r="816" spans="3:8" x14ac:dyDescent="0.25">
      <c r="C816" s="554"/>
      <c r="D816" s="554"/>
      <c r="E816" s="554"/>
      <c r="F816" s="554"/>
      <c r="G816" s="554"/>
      <c r="H816" s="554"/>
    </row>
    <row r="817" spans="3:8" x14ac:dyDescent="0.25">
      <c r="C817" s="554"/>
      <c r="D817" s="554"/>
      <c r="E817" s="554"/>
      <c r="F817" s="554"/>
      <c r="G817" s="554"/>
      <c r="H817" s="554"/>
    </row>
    <row r="818" spans="3:8" x14ac:dyDescent="0.25">
      <c r="C818" s="554"/>
      <c r="D818" s="554"/>
      <c r="E818" s="554"/>
      <c r="F818" s="554"/>
      <c r="G818" s="554"/>
      <c r="H818" s="554"/>
    </row>
    <row r="819" spans="3:8" x14ac:dyDescent="0.25">
      <c r="C819" s="554"/>
      <c r="D819" s="554"/>
      <c r="E819" s="554"/>
      <c r="F819" s="554"/>
      <c r="G819" s="554"/>
      <c r="H819" s="554"/>
    </row>
    <row r="820" spans="3:8" x14ac:dyDescent="0.25">
      <c r="C820" s="554"/>
      <c r="D820" s="554"/>
      <c r="E820" s="554"/>
      <c r="F820" s="554"/>
      <c r="G820" s="554"/>
      <c r="H820" s="554"/>
    </row>
    <row r="821" spans="3:8" x14ac:dyDescent="0.25">
      <c r="C821" s="554"/>
      <c r="D821" s="554"/>
      <c r="E821" s="554"/>
      <c r="F821" s="554"/>
      <c r="G821" s="554"/>
      <c r="H821" s="554"/>
    </row>
    <row r="822" spans="3:8" x14ac:dyDescent="0.25">
      <c r="C822" s="554"/>
      <c r="D822" s="554"/>
      <c r="E822" s="554"/>
      <c r="F822" s="554"/>
      <c r="G822" s="554"/>
      <c r="H822" s="554"/>
    </row>
    <row r="823" spans="3:8" x14ac:dyDescent="0.25">
      <c r="C823" s="554"/>
      <c r="D823" s="554"/>
      <c r="E823" s="554"/>
      <c r="F823" s="554"/>
      <c r="G823" s="554"/>
      <c r="H823" s="554"/>
    </row>
    <row r="824" spans="3:8" x14ac:dyDescent="0.25">
      <c r="C824" s="554"/>
      <c r="D824" s="554"/>
      <c r="E824" s="554"/>
      <c r="F824" s="554"/>
      <c r="G824" s="554"/>
      <c r="H824" s="554"/>
    </row>
    <row r="825" spans="3:8" x14ac:dyDescent="0.25">
      <c r="C825" s="554"/>
      <c r="D825" s="554"/>
      <c r="E825" s="554"/>
      <c r="F825" s="554"/>
      <c r="G825" s="554"/>
      <c r="H825" s="554"/>
    </row>
    <row r="826" spans="3:8" x14ac:dyDescent="0.25">
      <c r="C826" s="554"/>
      <c r="D826" s="554"/>
      <c r="E826" s="554"/>
      <c r="F826" s="554"/>
      <c r="G826" s="554"/>
      <c r="H826" s="554"/>
    </row>
    <row r="827" spans="3:8" x14ac:dyDescent="0.25">
      <c r="C827" s="554"/>
      <c r="D827" s="554"/>
      <c r="E827" s="554"/>
      <c r="F827" s="554"/>
      <c r="G827" s="554"/>
      <c r="H827" s="554"/>
    </row>
    <row r="828" spans="3:8" x14ac:dyDescent="0.25">
      <c r="C828" s="554"/>
      <c r="D828" s="554"/>
      <c r="E828" s="554"/>
      <c r="F828" s="554"/>
      <c r="G828" s="554"/>
      <c r="H828" s="554"/>
    </row>
    <row r="829" spans="3:8" x14ac:dyDescent="0.25">
      <c r="C829" s="554"/>
      <c r="D829" s="554"/>
      <c r="E829" s="554"/>
      <c r="F829" s="554"/>
      <c r="G829" s="554"/>
      <c r="H829" s="554"/>
    </row>
    <row r="830" spans="3:8" x14ac:dyDescent="0.25">
      <c r="C830" s="554"/>
      <c r="D830" s="554"/>
      <c r="E830" s="554"/>
      <c r="F830" s="554"/>
      <c r="G830" s="554"/>
      <c r="H830" s="554"/>
    </row>
    <row r="831" spans="3:8" x14ac:dyDescent="0.25">
      <c r="C831" s="554"/>
      <c r="D831" s="554"/>
      <c r="E831" s="554"/>
      <c r="F831" s="554"/>
      <c r="G831" s="554"/>
      <c r="H831" s="554"/>
    </row>
    <row r="832" spans="3:8" x14ac:dyDescent="0.25">
      <c r="C832" s="554"/>
      <c r="D832" s="554"/>
      <c r="E832" s="554"/>
      <c r="F832" s="554"/>
      <c r="G832" s="554"/>
      <c r="H832" s="554"/>
    </row>
    <row r="833" spans="3:8" x14ac:dyDescent="0.25">
      <c r="C833" s="554"/>
      <c r="D833" s="554"/>
      <c r="E833" s="554"/>
      <c r="F833" s="554"/>
      <c r="G833" s="554"/>
      <c r="H833" s="554"/>
    </row>
    <row r="834" spans="3:8" x14ac:dyDescent="0.25">
      <c r="C834" s="554"/>
      <c r="D834" s="554"/>
      <c r="E834" s="554"/>
      <c r="F834" s="554"/>
      <c r="G834" s="554"/>
      <c r="H834" s="554"/>
    </row>
    <row r="835" spans="3:8" x14ac:dyDescent="0.25">
      <c r="C835" s="554"/>
      <c r="D835" s="554"/>
      <c r="E835" s="554"/>
      <c r="F835" s="554"/>
      <c r="G835" s="554"/>
      <c r="H835" s="554"/>
    </row>
    <row r="836" spans="3:8" x14ac:dyDescent="0.25">
      <c r="C836" s="554"/>
      <c r="D836" s="554"/>
      <c r="E836" s="554"/>
      <c r="F836" s="554"/>
      <c r="G836" s="554"/>
      <c r="H836" s="554"/>
    </row>
    <row r="837" spans="3:8" x14ac:dyDescent="0.25">
      <c r="C837" s="554"/>
      <c r="D837" s="554"/>
      <c r="E837" s="554"/>
      <c r="F837" s="554"/>
      <c r="G837" s="554"/>
      <c r="H837" s="554"/>
    </row>
    <row r="838" spans="3:8" x14ac:dyDescent="0.25">
      <c r="C838" s="554"/>
      <c r="D838" s="554"/>
      <c r="E838" s="554"/>
      <c r="F838" s="554"/>
      <c r="G838" s="554"/>
      <c r="H838" s="554"/>
    </row>
    <row r="839" spans="3:8" x14ac:dyDescent="0.25">
      <c r="C839" s="554"/>
      <c r="D839" s="554"/>
      <c r="E839" s="554"/>
      <c r="F839" s="554"/>
      <c r="G839" s="554"/>
      <c r="H839" s="554"/>
    </row>
    <row r="840" spans="3:8" x14ac:dyDescent="0.25">
      <c r="C840" s="554"/>
      <c r="D840" s="554"/>
      <c r="E840" s="554"/>
      <c r="F840" s="554"/>
      <c r="G840" s="554"/>
      <c r="H840" s="554"/>
    </row>
    <row r="841" spans="3:8" x14ac:dyDescent="0.25">
      <c r="C841" s="554"/>
      <c r="D841" s="554"/>
      <c r="E841" s="554"/>
      <c r="F841" s="554"/>
      <c r="G841" s="554"/>
      <c r="H841" s="554"/>
    </row>
    <row r="842" spans="3:8" x14ac:dyDescent="0.25">
      <c r="C842" s="554"/>
      <c r="D842" s="554"/>
      <c r="E842" s="554"/>
      <c r="F842" s="554"/>
      <c r="G842" s="554"/>
      <c r="H842" s="554"/>
    </row>
    <row r="843" spans="3:8" x14ac:dyDescent="0.25">
      <c r="C843" s="554"/>
      <c r="D843" s="554"/>
      <c r="E843" s="554"/>
      <c r="F843" s="554"/>
      <c r="G843" s="554"/>
      <c r="H843" s="554"/>
    </row>
    <row r="844" spans="3:8" x14ac:dyDescent="0.25">
      <c r="C844" s="554"/>
      <c r="D844" s="554"/>
      <c r="E844" s="554"/>
      <c r="F844" s="554"/>
      <c r="G844" s="554"/>
      <c r="H844" s="554"/>
    </row>
    <row r="845" spans="3:8" x14ac:dyDescent="0.25">
      <c r="C845" s="554"/>
      <c r="D845" s="554"/>
      <c r="E845" s="554"/>
      <c r="F845" s="554"/>
      <c r="G845" s="554"/>
      <c r="H845" s="554"/>
    </row>
    <row r="846" spans="3:8" x14ac:dyDescent="0.25">
      <c r="C846" s="554"/>
      <c r="D846" s="554"/>
      <c r="E846" s="554"/>
      <c r="F846" s="554"/>
      <c r="G846" s="554"/>
      <c r="H846" s="554"/>
    </row>
    <row r="847" spans="3:8" x14ac:dyDescent="0.25">
      <c r="C847" s="554"/>
      <c r="D847" s="554"/>
      <c r="E847" s="554"/>
      <c r="F847" s="554"/>
      <c r="G847" s="554"/>
      <c r="H847" s="554"/>
    </row>
    <row r="848" spans="3:8" x14ac:dyDescent="0.25">
      <c r="C848" s="554"/>
      <c r="D848" s="554"/>
      <c r="E848" s="554"/>
      <c r="F848" s="554"/>
      <c r="G848" s="554"/>
      <c r="H848" s="554"/>
    </row>
    <row r="849" spans="3:8" x14ac:dyDescent="0.25">
      <c r="C849" s="554"/>
      <c r="D849" s="554"/>
      <c r="E849" s="554"/>
      <c r="F849" s="554"/>
      <c r="G849" s="554"/>
      <c r="H849" s="554"/>
    </row>
    <row r="850" spans="3:8" x14ac:dyDescent="0.25">
      <c r="C850" s="554"/>
      <c r="D850" s="554"/>
      <c r="E850" s="554"/>
      <c r="F850" s="554"/>
      <c r="G850" s="554"/>
      <c r="H850" s="554"/>
    </row>
    <row r="851" spans="3:8" x14ac:dyDescent="0.25">
      <c r="C851" s="554"/>
      <c r="D851" s="554"/>
      <c r="E851" s="554"/>
      <c r="F851" s="554"/>
      <c r="G851" s="554"/>
      <c r="H851" s="554"/>
    </row>
    <row r="852" spans="3:8" x14ac:dyDescent="0.25">
      <c r="C852" s="554"/>
      <c r="D852" s="554"/>
      <c r="E852" s="554"/>
      <c r="F852" s="554"/>
      <c r="G852" s="554"/>
      <c r="H852" s="554"/>
    </row>
    <row r="853" spans="3:8" x14ac:dyDescent="0.25">
      <c r="C853" s="554"/>
      <c r="D853" s="554"/>
      <c r="E853" s="554"/>
      <c r="F853" s="554"/>
      <c r="G853" s="554"/>
      <c r="H853" s="554"/>
    </row>
    <row r="854" spans="3:8" x14ac:dyDescent="0.25">
      <c r="C854" s="554"/>
      <c r="D854" s="554"/>
      <c r="E854" s="554"/>
      <c r="F854" s="554"/>
      <c r="G854" s="554"/>
      <c r="H854" s="554"/>
    </row>
    <row r="855" spans="3:8" x14ac:dyDescent="0.25">
      <c r="C855" s="554"/>
      <c r="D855" s="554"/>
      <c r="E855" s="554"/>
      <c r="F855" s="554"/>
      <c r="G855" s="554"/>
      <c r="H855" s="554"/>
    </row>
    <row r="856" spans="3:8" x14ac:dyDescent="0.25">
      <c r="C856" s="554"/>
      <c r="D856" s="554"/>
      <c r="E856" s="554"/>
      <c r="F856" s="554"/>
      <c r="G856" s="554"/>
      <c r="H856" s="554"/>
    </row>
    <row r="857" spans="3:8" x14ac:dyDescent="0.25">
      <c r="C857" s="554"/>
      <c r="D857" s="554"/>
      <c r="E857" s="554"/>
      <c r="F857" s="554"/>
      <c r="G857" s="554"/>
      <c r="H857" s="554"/>
    </row>
    <row r="858" spans="3:8" x14ac:dyDescent="0.25">
      <c r="C858" s="554"/>
      <c r="D858" s="554"/>
      <c r="E858" s="554"/>
      <c r="F858" s="554"/>
      <c r="G858" s="554"/>
      <c r="H858" s="554"/>
    </row>
    <row r="859" spans="3:8" x14ac:dyDescent="0.25">
      <c r="C859" s="554"/>
      <c r="D859" s="554"/>
      <c r="E859" s="554"/>
      <c r="F859" s="554"/>
      <c r="G859" s="554"/>
      <c r="H859" s="554"/>
    </row>
    <row r="860" spans="3:8" x14ac:dyDescent="0.25">
      <c r="C860" s="554"/>
      <c r="D860" s="554"/>
      <c r="E860" s="554"/>
      <c r="F860" s="554"/>
      <c r="G860" s="554"/>
      <c r="H860" s="554"/>
    </row>
    <row r="861" spans="3:8" x14ac:dyDescent="0.25">
      <c r="C861" s="554"/>
      <c r="D861" s="554"/>
      <c r="E861" s="554"/>
      <c r="F861" s="554"/>
      <c r="G861" s="554"/>
      <c r="H861" s="554"/>
    </row>
    <row r="862" spans="3:8" x14ac:dyDescent="0.25">
      <c r="C862" s="554"/>
      <c r="D862" s="554"/>
      <c r="E862" s="554"/>
      <c r="F862" s="554"/>
      <c r="G862" s="554"/>
      <c r="H862" s="554"/>
    </row>
    <row r="863" spans="3:8" x14ac:dyDescent="0.25">
      <c r="C863" s="554"/>
      <c r="D863" s="554"/>
      <c r="E863" s="554"/>
      <c r="F863" s="554"/>
      <c r="G863" s="554"/>
      <c r="H863" s="554"/>
    </row>
    <row r="864" spans="3:8" x14ac:dyDescent="0.25">
      <c r="C864" s="554"/>
      <c r="D864" s="554"/>
      <c r="E864" s="554"/>
      <c r="F864" s="554"/>
      <c r="G864" s="554"/>
      <c r="H864" s="554"/>
    </row>
    <row r="865" spans="3:8" x14ac:dyDescent="0.25">
      <c r="C865" s="554"/>
      <c r="D865" s="554"/>
      <c r="E865" s="554"/>
      <c r="F865" s="554"/>
      <c r="G865" s="554"/>
      <c r="H865" s="554"/>
    </row>
    <row r="866" spans="3:8" x14ac:dyDescent="0.25">
      <c r="C866" s="554"/>
      <c r="D866" s="554"/>
      <c r="E866" s="554"/>
      <c r="F866" s="554"/>
      <c r="G866" s="554"/>
      <c r="H866" s="554"/>
    </row>
    <row r="867" spans="3:8" x14ac:dyDescent="0.25">
      <c r="C867" s="554"/>
      <c r="D867" s="554"/>
      <c r="E867" s="554"/>
      <c r="F867" s="554"/>
      <c r="G867" s="554"/>
      <c r="H867" s="554"/>
    </row>
    <row r="868" spans="3:8" x14ac:dyDescent="0.25">
      <c r="C868" s="554"/>
      <c r="D868" s="554"/>
      <c r="E868" s="554"/>
      <c r="F868" s="554"/>
      <c r="G868" s="554"/>
      <c r="H868" s="554"/>
    </row>
    <row r="869" spans="3:8" x14ac:dyDescent="0.25">
      <c r="C869" s="554"/>
      <c r="D869" s="554"/>
      <c r="E869" s="554"/>
      <c r="F869" s="554"/>
      <c r="G869" s="554"/>
      <c r="H869" s="554"/>
    </row>
    <row r="870" spans="3:8" x14ac:dyDescent="0.25">
      <c r="C870" s="554"/>
      <c r="D870" s="554"/>
      <c r="E870" s="554"/>
      <c r="F870" s="554"/>
      <c r="G870" s="554"/>
      <c r="H870" s="554"/>
    </row>
    <row r="871" spans="3:8" x14ac:dyDescent="0.25">
      <c r="C871" s="554"/>
      <c r="D871" s="554"/>
      <c r="E871" s="554"/>
      <c r="F871" s="554"/>
      <c r="G871" s="554"/>
      <c r="H871" s="554"/>
    </row>
    <row r="872" spans="3:8" x14ac:dyDescent="0.25">
      <c r="C872" s="554"/>
      <c r="D872" s="554"/>
      <c r="E872" s="554"/>
      <c r="F872" s="554"/>
      <c r="G872" s="554"/>
      <c r="H872" s="554"/>
    </row>
    <row r="873" spans="3:8" x14ac:dyDescent="0.25">
      <c r="C873" s="554"/>
      <c r="D873" s="554"/>
      <c r="E873" s="554"/>
      <c r="F873" s="554"/>
      <c r="G873" s="554"/>
      <c r="H873" s="554"/>
    </row>
    <row r="874" spans="3:8" x14ac:dyDescent="0.25">
      <c r="C874" s="554"/>
      <c r="D874" s="554"/>
      <c r="E874" s="554"/>
      <c r="F874" s="554"/>
      <c r="G874" s="554"/>
      <c r="H874" s="554"/>
    </row>
    <row r="875" spans="3:8" x14ac:dyDescent="0.25">
      <c r="C875" s="554"/>
      <c r="D875" s="554"/>
      <c r="E875" s="554"/>
      <c r="F875" s="554"/>
      <c r="G875" s="554"/>
      <c r="H875" s="554"/>
    </row>
    <row r="876" spans="3:8" x14ac:dyDescent="0.25">
      <c r="C876" s="554"/>
      <c r="D876" s="554"/>
      <c r="E876" s="554"/>
      <c r="F876" s="554"/>
      <c r="G876" s="554"/>
      <c r="H876" s="554"/>
    </row>
    <row r="877" spans="3:8" x14ac:dyDescent="0.25">
      <c r="C877" s="554"/>
      <c r="D877" s="554"/>
      <c r="E877" s="554"/>
      <c r="F877" s="554"/>
      <c r="G877" s="554"/>
      <c r="H877" s="554"/>
    </row>
    <row r="878" spans="3:8" x14ac:dyDescent="0.25">
      <c r="C878" s="554"/>
      <c r="D878" s="554"/>
      <c r="E878" s="554"/>
      <c r="F878" s="554"/>
      <c r="G878" s="554"/>
      <c r="H878" s="554"/>
    </row>
    <row r="879" spans="3:8" x14ac:dyDescent="0.25">
      <c r="C879" s="554"/>
      <c r="D879" s="554"/>
      <c r="E879" s="554"/>
      <c r="F879" s="554"/>
      <c r="G879" s="554"/>
      <c r="H879" s="554"/>
    </row>
    <row r="880" spans="3:8" x14ac:dyDescent="0.25">
      <c r="C880" s="554"/>
      <c r="D880" s="554"/>
      <c r="E880" s="554"/>
      <c r="F880" s="554"/>
      <c r="G880" s="554"/>
      <c r="H880" s="554"/>
    </row>
    <row r="881" spans="3:8" x14ac:dyDescent="0.25">
      <c r="C881" s="554"/>
      <c r="D881" s="554"/>
      <c r="E881" s="554"/>
      <c r="F881" s="554"/>
      <c r="G881" s="554"/>
      <c r="H881" s="554"/>
    </row>
    <row r="882" spans="3:8" x14ac:dyDescent="0.25">
      <c r="C882" s="554"/>
      <c r="D882" s="554"/>
      <c r="E882" s="554"/>
      <c r="F882" s="554"/>
      <c r="G882" s="554"/>
      <c r="H882" s="554"/>
    </row>
    <row r="883" spans="3:8" x14ac:dyDescent="0.25">
      <c r="C883" s="554"/>
      <c r="D883" s="554"/>
      <c r="E883" s="554"/>
      <c r="F883" s="554"/>
      <c r="G883" s="554"/>
      <c r="H883" s="554"/>
    </row>
    <row r="884" spans="3:8" x14ac:dyDescent="0.25">
      <c r="C884" s="554"/>
      <c r="D884" s="554"/>
      <c r="E884" s="554"/>
      <c r="F884" s="554"/>
      <c r="G884" s="554"/>
      <c r="H884" s="554"/>
    </row>
    <row r="885" spans="3:8" x14ac:dyDescent="0.25">
      <c r="C885" s="554"/>
      <c r="D885" s="554"/>
      <c r="E885" s="554"/>
      <c r="F885" s="554"/>
      <c r="G885" s="554"/>
      <c r="H885" s="554"/>
    </row>
    <row r="886" spans="3:8" x14ac:dyDescent="0.25">
      <c r="C886" s="554"/>
      <c r="D886" s="554"/>
      <c r="E886" s="554"/>
      <c r="F886" s="554"/>
      <c r="G886" s="554"/>
      <c r="H886" s="554"/>
    </row>
    <row r="887" spans="3:8" x14ac:dyDescent="0.25">
      <c r="C887" s="554"/>
      <c r="D887" s="554"/>
      <c r="E887" s="554"/>
      <c r="F887" s="554"/>
      <c r="G887" s="554"/>
      <c r="H887" s="554"/>
    </row>
    <row r="888" spans="3:8" x14ac:dyDescent="0.25">
      <c r="C888" s="554"/>
      <c r="D888" s="554"/>
      <c r="E888" s="554"/>
      <c r="F888" s="554"/>
      <c r="G888" s="554"/>
      <c r="H888" s="554"/>
    </row>
    <row r="889" spans="3:8" x14ac:dyDescent="0.25">
      <c r="C889" s="554"/>
      <c r="D889" s="554"/>
      <c r="E889" s="554"/>
      <c r="F889" s="554"/>
      <c r="G889" s="554"/>
      <c r="H889" s="554"/>
    </row>
    <row r="890" spans="3:8" x14ac:dyDescent="0.25">
      <c r="C890" s="554"/>
      <c r="D890" s="554"/>
      <c r="E890" s="554"/>
      <c r="F890" s="554"/>
      <c r="G890" s="554"/>
      <c r="H890" s="554"/>
    </row>
    <row r="891" spans="3:8" x14ac:dyDescent="0.25">
      <c r="C891" s="554"/>
      <c r="D891" s="554"/>
      <c r="E891" s="554"/>
      <c r="F891" s="554"/>
      <c r="G891" s="554"/>
      <c r="H891" s="554"/>
    </row>
    <row r="892" spans="3:8" x14ac:dyDescent="0.25">
      <c r="C892" s="554"/>
      <c r="D892" s="554"/>
      <c r="E892" s="554"/>
      <c r="F892" s="554"/>
      <c r="G892" s="554"/>
      <c r="H892" s="554"/>
    </row>
    <row r="893" spans="3:8" x14ac:dyDescent="0.25">
      <c r="C893" s="554"/>
      <c r="D893" s="554"/>
      <c r="E893" s="554"/>
      <c r="F893" s="554"/>
      <c r="G893" s="554"/>
      <c r="H893" s="554"/>
    </row>
    <row r="894" spans="3:8" x14ac:dyDescent="0.25">
      <c r="C894" s="554"/>
      <c r="D894" s="554"/>
      <c r="E894" s="554"/>
      <c r="F894" s="554"/>
      <c r="G894" s="554"/>
      <c r="H894" s="554"/>
    </row>
    <row r="895" spans="3:8" x14ac:dyDescent="0.25">
      <c r="C895" s="554"/>
      <c r="D895" s="554"/>
      <c r="E895" s="554"/>
      <c r="F895" s="554"/>
      <c r="G895" s="554"/>
      <c r="H895" s="554"/>
    </row>
    <row r="896" spans="3:8" x14ac:dyDescent="0.25">
      <c r="C896" s="554"/>
      <c r="D896" s="554"/>
      <c r="E896" s="554"/>
      <c r="F896" s="554"/>
      <c r="G896" s="554"/>
      <c r="H896" s="554"/>
    </row>
    <row r="897" spans="3:8" x14ac:dyDescent="0.25">
      <c r="C897" s="554"/>
      <c r="D897" s="554"/>
      <c r="E897" s="554"/>
      <c r="F897" s="554"/>
      <c r="G897" s="554"/>
      <c r="H897" s="554"/>
    </row>
    <row r="898" spans="3:8" x14ac:dyDescent="0.25">
      <c r="C898" s="554"/>
      <c r="D898" s="554"/>
      <c r="E898" s="554"/>
      <c r="F898" s="554"/>
      <c r="G898" s="554"/>
      <c r="H898" s="554"/>
    </row>
    <row r="899" spans="3:8" x14ac:dyDescent="0.25">
      <c r="C899" s="554"/>
      <c r="D899" s="554"/>
      <c r="E899" s="554"/>
      <c r="F899" s="554"/>
      <c r="G899" s="554"/>
      <c r="H899" s="554"/>
    </row>
    <row r="900" spans="3:8" x14ac:dyDescent="0.25">
      <c r="C900" s="554"/>
      <c r="D900" s="554"/>
      <c r="E900" s="554"/>
      <c r="F900" s="554"/>
      <c r="G900" s="554"/>
      <c r="H900" s="554"/>
    </row>
    <row r="901" spans="3:8" x14ac:dyDescent="0.25">
      <c r="C901" s="554"/>
      <c r="D901" s="554"/>
      <c r="E901" s="554"/>
      <c r="F901" s="554"/>
      <c r="G901" s="554"/>
      <c r="H901" s="554"/>
    </row>
    <row r="902" spans="3:8" x14ac:dyDescent="0.25">
      <c r="C902" s="554"/>
      <c r="D902" s="554"/>
      <c r="E902" s="554"/>
      <c r="F902" s="554"/>
      <c r="G902" s="554"/>
      <c r="H902" s="554"/>
    </row>
    <row r="903" spans="3:8" x14ac:dyDescent="0.25">
      <c r="C903" s="554"/>
      <c r="D903" s="554"/>
      <c r="E903" s="554"/>
      <c r="F903" s="554"/>
      <c r="G903" s="554"/>
      <c r="H903" s="554"/>
    </row>
    <row r="904" spans="3:8" x14ac:dyDescent="0.25">
      <c r="C904" s="554"/>
      <c r="D904" s="554"/>
      <c r="E904" s="554"/>
      <c r="F904" s="554"/>
      <c r="G904" s="554"/>
      <c r="H904" s="554"/>
    </row>
    <row r="905" spans="3:8" x14ac:dyDescent="0.25">
      <c r="C905" s="554"/>
      <c r="D905" s="554"/>
      <c r="E905" s="554"/>
      <c r="F905" s="554"/>
      <c r="G905" s="554"/>
      <c r="H905" s="554"/>
    </row>
    <row r="906" spans="3:8" x14ac:dyDescent="0.25">
      <c r="C906" s="554"/>
      <c r="D906" s="554"/>
      <c r="E906" s="554"/>
      <c r="F906" s="554"/>
      <c r="G906" s="554"/>
      <c r="H906" s="554"/>
    </row>
    <row r="907" spans="3:8" x14ac:dyDescent="0.25">
      <c r="C907" s="554"/>
      <c r="D907" s="554"/>
      <c r="E907" s="554"/>
      <c r="F907" s="554"/>
      <c r="G907" s="554"/>
      <c r="H907" s="554"/>
    </row>
    <row r="908" spans="3:8" x14ac:dyDescent="0.25">
      <c r="C908" s="554"/>
      <c r="D908" s="554"/>
      <c r="E908" s="554"/>
      <c r="F908" s="554"/>
      <c r="G908" s="554"/>
      <c r="H908" s="554"/>
    </row>
    <row r="909" spans="3:8" x14ac:dyDescent="0.25">
      <c r="C909" s="554"/>
      <c r="D909" s="554"/>
      <c r="E909" s="554"/>
      <c r="F909" s="554"/>
      <c r="G909" s="554"/>
      <c r="H909" s="554"/>
    </row>
    <row r="910" spans="3:8" x14ac:dyDescent="0.25">
      <c r="C910" s="554"/>
      <c r="D910" s="554"/>
      <c r="E910" s="554"/>
      <c r="F910" s="554"/>
      <c r="G910" s="554"/>
      <c r="H910" s="554"/>
    </row>
    <row r="911" spans="3:8" x14ac:dyDescent="0.25">
      <c r="C911" s="554"/>
      <c r="D911" s="554"/>
      <c r="E911" s="554"/>
      <c r="F911" s="554"/>
      <c r="G911" s="554"/>
      <c r="H911" s="554"/>
    </row>
    <row r="912" spans="3:8" x14ac:dyDescent="0.25">
      <c r="C912" s="554"/>
      <c r="D912" s="554"/>
      <c r="E912" s="554"/>
      <c r="F912" s="554"/>
      <c r="G912" s="554"/>
      <c r="H912" s="554"/>
    </row>
    <row r="913" spans="3:8" x14ac:dyDescent="0.25">
      <c r="C913" s="554"/>
      <c r="D913" s="554"/>
      <c r="E913" s="554"/>
      <c r="F913" s="554"/>
      <c r="G913" s="554"/>
      <c r="H913" s="554"/>
    </row>
    <row r="914" spans="3:8" x14ac:dyDescent="0.25">
      <c r="C914" s="554"/>
      <c r="D914" s="554"/>
      <c r="E914" s="554"/>
      <c r="F914" s="554"/>
      <c r="G914" s="554"/>
      <c r="H914" s="554"/>
    </row>
    <row r="915" spans="3:8" x14ac:dyDescent="0.25">
      <c r="C915" s="554"/>
      <c r="D915" s="554"/>
      <c r="E915" s="554"/>
      <c r="F915" s="554"/>
      <c r="G915" s="554"/>
      <c r="H915" s="554"/>
    </row>
    <row r="916" spans="3:8" x14ac:dyDescent="0.25">
      <c r="C916" s="554"/>
      <c r="D916" s="554"/>
      <c r="E916" s="554"/>
      <c r="F916" s="554"/>
      <c r="G916" s="554"/>
      <c r="H916" s="554"/>
    </row>
    <row r="917" spans="3:8" x14ac:dyDescent="0.25">
      <c r="C917" s="554"/>
      <c r="D917" s="554"/>
      <c r="E917" s="554"/>
      <c r="F917" s="554"/>
      <c r="G917" s="554"/>
      <c r="H917" s="554"/>
    </row>
    <row r="918" spans="3:8" x14ac:dyDescent="0.25">
      <c r="C918" s="554"/>
      <c r="D918" s="554"/>
      <c r="E918" s="554"/>
      <c r="F918" s="554"/>
      <c r="G918" s="554"/>
      <c r="H918" s="554"/>
    </row>
    <row r="919" spans="3:8" x14ac:dyDescent="0.25">
      <c r="C919" s="554"/>
      <c r="D919" s="554"/>
      <c r="E919" s="554"/>
      <c r="F919" s="554"/>
      <c r="G919" s="554"/>
      <c r="H919" s="554"/>
    </row>
    <row r="920" spans="3:8" x14ac:dyDescent="0.25">
      <c r="C920" s="554"/>
      <c r="D920" s="554"/>
      <c r="E920" s="554"/>
      <c r="F920" s="554"/>
      <c r="G920" s="554"/>
      <c r="H920" s="554"/>
    </row>
    <row r="921" spans="3:8" x14ac:dyDescent="0.25">
      <c r="C921" s="554"/>
      <c r="D921" s="554"/>
      <c r="E921" s="554"/>
      <c r="F921" s="554"/>
      <c r="G921" s="554"/>
      <c r="H921" s="554"/>
    </row>
    <row r="922" spans="3:8" x14ac:dyDescent="0.25">
      <c r="C922" s="554"/>
      <c r="D922" s="554"/>
      <c r="E922" s="554"/>
      <c r="F922" s="554"/>
      <c r="G922" s="554"/>
      <c r="H922" s="554"/>
    </row>
    <row r="923" spans="3:8" x14ac:dyDescent="0.25">
      <c r="C923" s="554"/>
      <c r="D923" s="554"/>
      <c r="E923" s="554"/>
      <c r="F923" s="554"/>
      <c r="G923" s="554"/>
      <c r="H923" s="554"/>
    </row>
    <row r="924" spans="3:8" x14ac:dyDescent="0.25">
      <c r="C924" s="554"/>
      <c r="D924" s="554"/>
      <c r="E924" s="554"/>
      <c r="F924" s="554"/>
      <c r="G924" s="554"/>
      <c r="H924" s="554"/>
    </row>
    <row r="925" spans="3:8" x14ac:dyDescent="0.25">
      <c r="C925" s="554"/>
      <c r="D925" s="554"/>
      <c r="E925" s="554"/>
      <c r="F925" s="554"/>
      <c r="G925" s="554"/>
      <c r="H925" s="554"/>
    </row>
    <row r="926" spans="3:8" x14ac:dyDescent="0.25">
      <c r="C926" s="554"/>
      <c r="D926" s="554"/>
      <c r="E926" s="554"/>
      <c r="F926" s="554"/>
      <c r="G926" s="554"/>
      <c r="H926" s="554"/>
    </row>
    <row r="927" spans="3:8" x14ac:dyDescent="0.25">
      <c r="C927" s="554"/>
      <c r="D927" s="554"/>
      <c r="E927" s="554"/>
      <c r="F927" s="554"/>
      <c r="G927" s="554"/>
      <c r="H927" s="554"/>
    </row>
    <row r="928" spans="3:8" x14ac:dyDescent="0.25">
      <c r="C928" s="554"/>
      <c r="D928" s="554"/>
      <c r="E928" s="554"/>
      <c r="F928" s="554"/>
      <c r="G928" s="554"/>
      <c r="H928" s="554"/>
    </row>
    <row r="929" spans="3:8" x14ac:dyDescent="0.25">
      <c r="C929" s="554"/>
      <c r="D929" s="554"/>
      <c r="E929" s="554"/>
      <c r="F929" s="554"/>
      <c r="G929" s="554"/>
      <c r="H929" s="554"/>
    </row>
    <row r="930" spans="3:8" x14ac:dyDescent="0.25">
      <c r="C930" s="554"/>
      <c r="D930" s="554"/>
      <c r="E930" s="554"/>
      <c r="F930" s="554"/>
      <c r="G930" s="554"/>
      <c r="H930" s="554"/>
    </row>
    <row r="931" spans="3:8" x14ac:dyDescent="0.25">
      <c r="C931" s="554"/>
      <c r="D931" s="554"/>
      <c r="E931" s="554"/>
      <c r="F931" s="554"/>
      <c r="G931" s="554"/>
      <c r="H931" s="554"/>
    </row>
    <row r="932" spans="3:8" x14ac:dyDescent="0.25">
      <c r="C932" s="554"/>
      <c r="D932" s="554"/>
      <c r="E932" s="554"/>
      <c r="F932" s="554"/>
      <c r="G932" s="554"/>
      <c r="H932" s="554"/>
    </row>
    <row r="933" spans="3:8" x14ac:dyDescent="0.25">
      <c r="C933" s="554"/>
      <c r="D933" s="554"/>
      <c r="E933" s="554"/>
      <c r="F933" s="554"/>
      <c r="G933" s="554"/>
      <c r="H933" s="554"/>
    </row>
    <row r="934" spans="3:8" x14ac:dyDescent="0.25">
      <c r="C934" s="554"/>
      <c r="D934" s="554"/>
      <c r="E934" s="554"/>
      <c r="F934" s="554"/>
      <c r="G934" s="554"/>
      <c r="H934" s="554"/>
    </row>
    <row r="935" spans="3:8" x14ac:dyDescent="0.25">
      <c r="C935" s="554"/>
      <c r="D935" s="554"/>
      <c r="E935" s="554"/>
      <c r="F935" s="554"/>
      <c r="G935" s="554"/>
      <c r="H935" s="554"/>
    </row>
    <row r="936" spans="3:8" x14ac:dyDescent="0.25">
      <c r="C936" s="554"/>
      <c r="D936" s="554"/>
      <c r="E936" s="554"/>
      <c r="F936" s="554"/>
      <c r="G936" s="554"/>
      <c r="H936" s="554"/>
    </row>
    <row r="937" spans="3:8" x14ac:dyDescent="0.25">
      <c r="C937" s="554"/>
      <c r="D937" s="554"/>
      <c r="E937" s="554"/>
      <c r="F937" s="554"/>
      <c r="G937" s="554"/>
      <c r="H937" s="554"/>
    </row>
    <row r="938" spans="3:8" x14ac:dyDescent="0.25">
      <c r="C938" s="554"/>
      <c r="D938" s="554"/>
      <c r="E938" s="554"/>
      <c r="F938" s="554"/>
      <c r="G938" s="554"/>
      <c r="H938" s="554"/>
    </row>
    <row r="939" spans="3:8" x14ac:dyDescent="0.25">
      <c r="C939" s="554"/>
      <c r="D939" s="554"/>
      <c r="E939" s="554"/>
      <c r="F939" s="554"/>
      <c r="G939" s="554"/>
      <c r="H939" s="554"/>
    </row>
    <row r="940" spans="3:8" x14ac:dyDescent="0.25">
      <c r="C940" s="554"/>
      <c r="D940" s="554"/>
      <c r="E940" s="554"/>
      <c r="F940" s="554"/>
      <c r="G940" s="554"/>
      <c r="H940" s="554"/>
    </row>
    <row r="941" spans="3:8" x14ac:dyDescent="0.25">
      <c r="C941" s="554"/>
      <c r="D941" s="554"/>
      <c r="E941" s="554"/>
      <c r="F941" s="554"/>
      <c r="G941" s="554"/>
      <c r="H941" s="554"/>
    </row>
    <row r="942" spans="3:8" x14ac:dyDescent="0.25">
      <c r="C942" s="554"/>
      <c r="D942" s="554"/>
      <c r="E942" s="554"/>
      <c r="F942" s="554"/>
      <c r="G942" s="554"/>
      <c r="H942" s="554"/>
    </row>
    <row r="943" spans="3:8" x14ac:dyDescent="0.25">
      <c r="C943" s="554"/>
      <c r="D943" s="554"/>
      <c r="E943" s="554"/>
      <c r="F943" s="554"/>
      <c r="G943" s="554"/>
      <c r="H943" s="554"/>
    </row>
    <row r="944" spans="3:8" x14ac:dyDescent="0.25">
      <c r="C944" s="554"/>
      <c r="D944" s="554"/>
      <c r="E944" s="554"/>
      <c r="F944" s="554"/>
      <c r="G944" s="554"/>
      <c r="H944" s="554"/>
    </row>
    <row r="945" spans="3:8" x14ac:dyDescent="0.25">
      <c r="C945" s="554"/>
      <c r="D945" s="554"/>
      <c r="E945" s="554"/>
      <c r="F945" s="554"/>
      <c r="G945" s="554"/>
      <c r="H945" s="554"/>
    </row>
    <row r="946" spans="3:8" x14ac:dyDescent="0.25">
      <c r="C946" s="554"/>
      <c r="D946" s="554"/>
      <c r="E946" s="554"/>
      <c r="F946" s="554"/>
      <c r="G946" s="554"/>
      <c r="H946" s="554"/>
    </row>
    <row r="947" spans="3:8" x14ac:dyDescent="0.25">
      <c r="C947" s="554"/>
      <c r="D947" s="554"/>
      <c r="E947" s="554"/>
      <c r="F947" s="554"/>
      <c r="G947" s="554"/>
      <c r="H947" s="554"/>
    </row>
    <row r="948" spans="3:8" x14ac:dyDescent="0.25">
      <c r="C948" s="554"/>
      <c r="D948" s="554"/>
      <c r="E948" s="554"/>
      <c r="F948" s="554"/>
      <c r="G948" s="554"/>
      <c r="H948" s="554"/>
    </row>
    <row r="949" spans="3:8" x14ac:dyDescent="0.25">
      <c r="C949" s="554"/>
      <c r="D949" s="554"/>
      <c r="E949" s="554"/>
      <c r="F949" s="554"/>
      <c r="G949" s="554"/>
      <c r="H949" s="554"/>
    </row>
    <row r="950" spans="3:8" x14ac:dyDescent="0.25">
      <c r="C950" s="554"/>
      <c r="D950" s="554"/>
      <c r="E950" s="554"/>
      <c r="F950" s="554"/>
      <c r="G950" s="554"/>
      <c r="H950" s="554"/>
    </row>
    <row r="951" spans="3:8" x14ac:dyDescent="0.25">
      <c r="C951" s="554"/>
      <c r="D951" s="554"/>
      <c r="E951" s="554"/>
      <c r="F951" s="554"/>
      <c r="G951" s="554"/>
      <c r="H951" s="554"/>
    </row>
    <row r="952" spans="3:8" x14ac:dyDescent="0.25">
      <c r="C952" s="554"/>
      <c r="D952" s="554"/>
      <c r="E952" s="554"/>
      <c r="F952" s="554"/>
      <c r="G952" s="554"/>
      <c r="H952" s="554"/>
    </row>
    <row r="953" spans="3:8" x14ac:dyDescent="0.25">
      <c r="C953" s="554"/>
      <c r="D953" s="554"/>
      <c r="E953" s="554"/>
      <c r="F953" s="554"/>
      <c r="G953" s="554"/>
      <c r="H953" s="554"/>
    </row>
    <row r="954" spans="3:8" x14ac:dyDescent="0.25">
      <c r="C954" s="554"/>
      <c r="D954" s="554"/>
      <c r="E954" s="554"/>
      <c r="F954" s="554"/>
      <c r="G954" s="554"/>
      <c r="H954" s="554"/>
    </row>
    <row r="955" spans="3:8" x14ac:dyDescent="0.25">
      <c r="C955" s="554"/>
      <c r="D955" s="554"/>
      <c r="E955" s="554"/>
      <c r="F955" s="554"/>
      <c r="G955" s="554"/>
      <c r="H955" s="554"/>
    </row>
    <row r="956" spans="3:8" x14ac:dyDescent="0.25">
      <c r="C956" s="554"/>
      <c r="D956" s="554"/>
      <c r="E956" s="554"/>
      <c r="F956" s="554"/>
      <c r="G956" s="554"/>
      <c r="H956" s="554"/>
    </row>
    <row r="957" spans="3:8" x14ac:dyDescent="0.25">
      <c r="C957" s="554"/>
      <c r="D957" s="554"/>
      <c r="E957" s="554"/>
      <c r="F957" s="554"/>
      <c r="G957" s="554"/>
      <c r="H957" s="554"/>
    </row>
    <row r="958" spans="3:8" x14ac:dyDescent="0.25">
      <c r="C958" s="554"/>
      <c r="D958" s="554"/>
      <c r="E958" s="554"/>
      <c r="F958" s="554"/>
      <c r="G958" s="554"/>
      <c r="H958" s="554"/>
    </row>
    <row r="959" spans="3:8" x14ac:dyDescent="0.25">
      <c r="C959" s="554"/>
      <c r="D959" s="554"/>
      <c r="E959" s="554"/>
      <c r="F959" s="554"/>
      <c r="G959" s="554"/>
      <c r="H959" s="554"/>
    </row>
    <row r="960" spans="3:8" x14ac:dyDescent="0.25">
      <c r="C960" s="554"/>
      <c r="D960" s="554"/>
      <c r="E960" s="554"/>
      <c r="F960" s="554"/>
      <c r="G960" s="554"/>
      <c r="H960" s="554"/>
    </row>
    <row r="961" spans="3:8" x14ac:dyDescent="0.25">
      <c r="C961" s="554"/>
      <c r="D961" s="554"/>
      <c r="E961" s="554"/>
      <c r="F961" s="554"/>
      <c r="G961" s="554"/>
      <c r="H961" s="554"/>
    </row>
    <row r="962" spans="3:8" x14ac:dyDescent="0.25">
      <c r="C962" s="554"/>
      <c r="D962" s="554"/>
      <c r="E962" s="554"/>
      <c r="F962" s="554"/>
      <c r="G962" s="554"/>
      <c r="H962" s="554"/>
    </row>
    <row r="963" spans="3:8" x14ac:dyDescent="0.25">
      <c r="C963" s="554"/>
      <c r="D963" s="554"/>
      <c r="E963" s="554"/>
      <c r="F963" s="554"/>
      <c r="G963" s="554"/>
      <c r="H963" s="554"/>
    </row>
    <row r="964" spans="3:8" x14ac:dyDescent="0.25">
      <c r="C964" s="554"/>
      <c r="D964" s="554"/>
      <c r="E964" s="554"/>
      <c r="F964" s="554"/>
      <c r="G964" s="554"/>
      <c r="H964" s="554"/>
    </row>
    <row r="965" spans="3:8" x14ac:dyDescent="0.25">
      <c r="C965" s="554"/>
      <c r="D965" s="554"/>
      <c r="E965" s="554"/>
      <c r="F965" s="554"/>
      <c r="G965" s="554"/>
      <c r="H965" s="554"/>
    </row>
    <row r="966" spans="3:8" x14ac:dyDescent="0.25">
      <c r="C966" s="554"/>
      <c r="D966" s="554"/>
      <c r="E966" s="554"/>
      <c r="F966" s="554"/>
      <c r="G966" s="554"/>
      <c r="H966" s="554"/>
    </row>
    <row r="967" spans="3:8" x14ac:dyDescent="0.25">
      <c r="C967" s="554"/>
      <c r="D967" s="554"/>
      <c r="E967" s="554"/>
      <c r="F967" s="554"/>
      <c r="G967" s="554"/>
      <c r="H967" s="554"/>
    </row>
    <row r="968" spans="3:8" x14ac:dyDescent="0.25">
      <c r="C968" s="554"/>
      <c r="D968" s="554"/>
      <c r="E968" s="554"/>
      <c r="F968" s="554"/>
      <c r="G968" s="554"/>
      <c r="H968" s="554"/>
    </row>
    <row r="969" spans="3:8" x14ac:dyDescent="0.25">
      <c r="C969" s="554"/>
      <c r="D969" s="554"/>
      <c r="E969" s="554"/>
      <c r="F969" s="554"/>
      <c r="G969" s="554"/>
      <c r="H969" s="554"/>
    </row>
    <row r="970" spans="3:8" x14ac:dyDescent="0.25">
      <c r="C970" s="554"/>
      <c r="D970" s="554"/>
      <c r="E970" s="554"/>
      <c r="F970" s="554"/>
      <c r="G970" s="554"/>
      <c r="H970" s="554"/>
    </row>
    <row r="971" spans="3:8" x14ac:dyDescent="0.25">
      <c r="C971" s="554"/>
      <c r="D971" s="554"/>
      <c r="E971" s="554"/>
      <c r="F971" s="554"/>
      <c r="G971" s="554"/>
      <c r="H971" s="554"/>
    </row>
    <row r="972" spans="3:8" x14ac:dyDescent="0.25">
      <c r="C972" s="554"/>
      <c r="D972" s="554"/>
      <c r="E972" s="554"/>
      <c r="F972" s="554"/>
      <c r="G972" s="554"/>
      <c r="H972" s="554"/>
    </row>
    <row r="973" spans="3:8" x14ac:dyDescent="0.25">
      <c r="C973" s="554"/>
      <c r="D973" s="554"/>
      <c r="E973" s="554"/>
      <c r="F973" s="554"/>
      <c r="G973" s="554"/>
      <c r="H973" s="554"/>
    </row>
    <row r="974" spans="3:8" x14ac:dyDescent="0.25">
      <c r="C974" s="554"/>
      <c r="D974" s="554"/>
      <c r="E974" s="554"/>
      <c r="F974" s="554"/>
      <c r="G974" s="554"/>
      <c r="H974" s="554"/>
    </row>
    <row r="975" spans="3:8" x14ac:dyDescent="0.25">
      <c r="C975" s="554"/>
      <c r="D975" s="554"/>
      <c r="E975" s="554"/>
      <c r="F975" s="554"/>
      <c r="G975" s="554"/>
      <c r="H975" s="554"/>
    </row>
    <row r="976" spans="3:8" x14ac:dyDescent="0.25">
      <c r="C976" s="554"/>
      <c r="D976" s="554"/>
      <c r="E976" s="554"/>
      <c r="F976" s="554"/>
      <c r="G976" s="554"/>
      <c r="H976" s="554"/>
    </row>
    <row r="977" spans="3:8" x14ac:dyDescent="0.25">
      <c r="C977" s="554"/>
      <c r="D977" s="554"/>
      <c r="E977" s="554"/>
      <c r="F977" s="554"/>
      <c r="G977" s="554"/>
      <c r="H977" s="554"/>
    </row>
    <row r="978" spans="3:8" x14ac:dyDescent="0.25">
      <c r="C978" s="554"/>
      <c r="D978" s="554"/>
      <c r="E978" s="554"/>
      <c r="F978" s="554"/>
      <c r="G978" s="554"/>
      <c r="H978" s="554"/>
    </row>
    <row r="979" spans="3:8" x14ac:dyDescent="0.25">
      <c r="C979" s="554"/>
      <c r="D979" s="554"/>
      <c r="E979" s="554"/>
      <c r="F979" s="554"/>
      <c r="G979" s="554"/>
      <c r="H979" s="554"/>
    </row>
    <row r="980" spans="3:8" x14ac:dyDescent="0.25">
      <c r="C980" s="554"/>
      <c r="D980" s="554"/>
      <c r="E980" s="554"/>
      <c r="F980" s="554"/>
      <c r="G980" s="554"/>
      <c r="H980" s="554"/>
    </row>
    <row r="981" spans="3:8" x14ac:dyDescent="0.25">
      <c r="C981" s="554"/>
      <c r="D981" s="554"/>
      <c r="E981" s="554"/>
      <c r="F981" s="554"/>
      <c r="G981" s="554"/>
      <c r="H981" s="554"/>
    </row>
    <row r="982" spans="3:8" x14ac:dyDescent="0.25">
      <c r="C982" s="554"/>
      <c r="D982" s="554"/>
      <c r="E982" s="554"/>
      <c r="F982" s="554"/>
      <c r="G982" s="554"/>
      <c r="H982" s="554"/>
    </row>
    <row r="983" spans="3:8" x14ac:dyDescent="0.25">
      <c r="C983" s="554"/>
      <c r="D983" s="554"/>
      <c r="E983" s="554"/>
      <c r="F983" s="554"/>
      <c r="G983" s="554"/>
      <c r="H983" s="554"/>
    </row>
    <row r="984" spans="3:8" x14ac:dyDescent="0.25">
      <c r="C984" s="554"/>
      <c r="D984" s="554"/>
      <c r="E984" s="554"/>
      <c r="F984" s="554"/>
      <c r="G984" s="554"/>
      <c r="H984" s="554"/>
    </row>
    <row r="985" spans="3:8" x14ac:dyDescent="0.25">
      <c r="C985" s="554"/>
      <c r="D985" s="554"/>
      <c r="E985" s="554"/>
      <c r="F985" s="554"/>
      <c r="G985" s="554"/>
      <c r="H985" s="554"/>
    </row>
    <row r="986" spans="3:8" x14ac:dyDescent="0.25">
      <c r="C986" s="554"/>
      <c r="D986" s="554"/>
      <c r="E986" s="554"/>
      <c r="F986" s="554"/>
      <c r="G986" s="554"/>
      <c r="H986" s="554"/>
    </row>
    <row r="987" spans="3:8" x14ac:dyDescent="0.25">
      <c r="C987" s="554"/>
      <c r="D987" s="554"/>
      <c r="E987" s="554"/>
      <c r="F987" s="554"/>
      <c r="G987" s="554"/>
      <c r="H987" s="554"/>
    </row>
    <row r="988" spans="3:8" x14ac:dyDescent="0.25">
      <c r="C988" s="554"/>
      <c r="D988" s="554"/>
      <c r="E988" s="554"/>
      <c r="F988" s="554"/>
      <c r="G988" s="554"/>
      <c r="H988" s="554"/>
    </row>
    <row r="989" spans="3:8" x14ac:dyDescent="0.25">
      <c r="C989" s="554"/>
      <c r="D989" s="554"/>
      <c r="E989" s="554"/>
      <c r="F989" s="554"/>
      <c r="G989" s="554"/>
      <c r="H989" s="554"/>
    </row>
    <row r="990" spans="3:8" x14ac:dyDescent="0.25">
      <c r="C990" s="554"/>
      <c r="D990" s="554"/>
      <c r="E990" s="554"/>
      <c r="F990" s="554"/>
      <c r="G990" s="554"/>
      <c r="H990" s="554"/>
    </row>
    <row r="991" spans="3:8" x14ac:dyDescent="0.25">
      <c r="C991" s="554"/>
      <c r="D991" s="554"/>
      <c r="E991" s="554"/>
      <c r="F991" s="554"/>
      <c r="G991" s="554"/>
      <c r="H991" s="554"/>
    </row>
    <row r="992" spans="3:8" x14ac:dyDescent="0.25">
      <c r="C992" s="554"/>
      <c r="D992" s="554"/>
      <c r="E992" s="554"/>
      <c r="F992" s="554"/>
      <c r="G992" s="554"/>
      <c r="H992" s="554"/>
    </row>
    <row r="993" spans="3:8" x14ac:dyDescent="0.25">
      <c r="C993" s="554"/>
      <c r="D993" s="554"/>
      <c r="E993" s="554"/>
      <c r="F993" s="554"/>
      <c r="G993" s="554"/>
      <c r="H993" s="554"/>
    </row>
    <row r="994" spans="3:8" x14ac:dyDescent="0.25">
      <c r="C994" s="554"/>
      <c r="D994" s="554"/>
      <c r="E994" s="554"/>
      <c r="F994" s="554"/>
      <c r="G994" s="554"/>
      <c r="H994" s="554"/>
    </row>
    <row r="995" spans="3:8" x14ac:dyDescent="0.25">
      <c r="C995" s="554"/>
      <c r="D995" s="554"/>
      <c r="E995" s="554"/>
      <c r="F995" s="554"/>
      <c r="G995" s="554"/>
      <c r="H995" s="554"/>
    </row>
    <row r="996" spans="3:8" x14ac:dyDescent="0.25">
      <c r="C996" s="554"/>
      <c r="D996" s="554"/>
      <c r="E996" s="554"/>
      <c r="F996" s="554"/>
      <c r="G996" s="554"/>
      <c r="H996" s="554"/>
    </row>
    <row r="997" spans="3:8" x14ac:dyDescent="0.25">
      <c r="C997" s="554"/>
      <c r="D997" s="554"/>
      <c r="E997" s="554"/>
      <c r="F997" s="554"/>
      <c r="G997" s="554"/>
      <c r="H997" s="554"/>
    </row>
    <row r="998" spans="3:8" x14ac:dyDescent="0.25">
      <c r="C998" s="554"/>
      <c r="D998" s="554"/>
      <c r="E998" s="554"/>
      <c r="F998" s="554"/>
      <c r="G998" s="554"/>
      <c r="H998" s="554"/>
    </row>
    <row r="999" spans="3:8" x14ac:dyDescent="0.25">
      <c r="C999" s="554"/>
      <c r="D999" s="554"/>
      <c r="E999" s="554"/>
      <c r="F999" s="554"/>
      <c r="G999" s="554"/>
      <c r="H999" s="554"/>
    </row>
    <row r="1000" spans="3:8" x14ac:dyDescent="0.25">
      <c r="C1000" s="554"/>
      <c r="D1000" s="554"/>
      <c r="E1000" s="554"/>
      <c r="F1000" s="554"/>
      <c r="G1000" s="554"/>
      <c r="H1000" s="554"/>
    </row>
    <row r="1001" spans="3:8" x14ac:dyDescent="0.25">
      <c r="C1001" s="554"/>
      <c r="D1001" s="554"/>
      <c r="E1001" s="554"/>
      <c r="F1001" s="554"/>
      <c r="G1001" s="554"/>
      <c r="H1001" s="554"/>
    </row>
    <row r="1002" spans="3:8" x14ac:dyDescent="0.25">
      <c r="C1002" s="554"/>
      <c r="D1002" s="554"/>
      <c r="E1002" s="554"/>
      <c r="F1002" s="554"/>
      <c r="G1002" s="554"/>
      <c r="H1002" s="554"/>
    </row>
    <row r="1003" spans="3:8" x14ac:dyDescent="0.25">
      <c r="C1003" s="554"/>
      <c r="D1003" s="554"/>
      <c r="E1003" s="554"/>
      <c r="F1003" s="554"/>
      <c r="G1003" s="554"/>
      <c r="H1003" s="554"/>
    </row>
    <row r="1004" spans="3:8" x14ac:dyDescent="0.25">
      <c r="C1004" s="554"/>
      <c r="D1004" s="554"/>
      <c r="E1004" s="554"/>
      <c r="F1004" s="554"/>
      <c r="G1004" s="554"/>
      <c r="H1004" s="554"/>
    </row>
    <row r="1005" spans="3:8" x14ac:dyDescent="0.25">
      <c r="C1005" s="554"/>
      <c r="D1005" s="554"/>
      <c r="E1005" s="554"/>
      <c r="F1005" s="554"/>
      <c r="G1005" s="554"/>
      <c r="H1005" s="554"/>
    </row>
    <row r="1006" spans="3:8" x14ac:dyDescent="0.25">
      <c r="C1006" s="554"/>
      <c r="D1006" s="554"/>
      <c r="E1006" s="554"/>
      <c r="F1006" s="554"/>
      <c r="G1006" s="554"/>
      <c r="H1006" s="554"/>
    </row>
    <row r="1007" spans="3:8" x14ac:dyDescent="0.25">
      <c r="C1007" s="554"/>
      <c r="D1007" s="554"/>
      <c r="E1007" s="554"/>
      <c r="F1007" s="554"/>
      <c r="G1007" s="554"/>
      <c r="H1007" s="554"/>
    </row>
    <row r="1008" spans="3:8" x14ac:dyDescent="0.25">
      <c r="C1008" s="554"/>
      <c r="D1008" s="554"/>
      <c r="E1008" s="554"/>
      <c r="F1008" s="554"/>
      <c r="G1008" s="554"/>
      <c r="H1008" s="554"/>
    </row>
    <row r="1009" spans="3:8" x14ac:dyDescent="0.25">
      <c r="C1009" s="554"/>
      <c r="D1009" s="554"/>
      <c r="E1009" s="554"/>
      <c r="F1009" s="554"/>
      <c r="G1009" s="554"/>
      <c r="H1009" s="554"/>
    </row>
    <row r="1010" spans="3:8" x14ac:dyDescent="0.25">
      <c r="C1010" s="554"/>
      <c r="D1010" s="554"/>
      <c r="E1010" s="554"/>
      <c r="F1010" s="554"/>
      <c r="G1010" s="554"/>
      <c r="H1010" s="554"/>
    </row>
    <row r="1011" spans="3:8" x14ac:dyDescent="0.25">
      <c r="C1011" s="554"/>
      <c r="D1011" s="554"/>
      <c r="E1011" s="554"/>
      <c r="F1011" s="554"/>
      <c r="G1011" s="554"/>
      <c r="H1011" s="554"/>
    </row>
    <row r="1012" spans="3:8" x14ac:dyDescent="0.25">
      <c r="C1012" s="554"/>
      <c r="D1012" s="554"/>
      <c r="E1012" s="554"/>
      <c r="F1012" s="554"/>
      <c r="G1012" s="554"/>
      <c r="H1012" s="554"/>
    </row>
    <row r="1013" spans="3:8" x14ac:dyDescent="0.25">
      <c r="C1013" s="554"/>
      <c r="D1013" s="554"/>
      <c r="E1013" s="554"/>
      <c r="F1013" s="554"/>
      <c r="G1013" s="554"/>
      <c r="H1013" s="554"/>
    </row>
    <row r="1014" spans="3:8" x14ac:dyDescent="0.25">
      <c r="C1014" s="554"/>
      <c r="D1014" s="554"/>
      <c r="E1014" s="554"/>
      <c r="F1014" s="554"/>
      <c r="G1014" s="554"/>
      <c r="H1014" s="554"/>
    </row>
    <row r="1015" spans="3:8" x14ac:dyDescent="0.25">
      <c r="C1015" s="554"/>
      <c r="D1015" s="554"/>
      <c r="E1015" s="554"/>
      <c r="F1015" s="554"/>
      <c r="G1015" s="554"/>
      <c r="H1015" s="554"/>
    </row>
    <row r="1016" spans="3:8" x14ac:dyDescent="0.25">
      <c r="C1016" s="554"/>
      <c r="D1016" s="554"/>
      <c r="E1016" s="554"/>
      <c r="F1016" s="554"/>
      <c r="G1016" s="554"/>
      <c r="H1016" s="554"/>
    </row>
    <row r="1017" spans="3:8" x14ac:dyDescent="0.25">
      <c r="C1017" s="554"/>
      <c r="D1017" s="554"/>
      <c r="E1017" s="554"/>
      <c r="F1017" s="554"/>
      <c r="G1017" s="554"/>
      <c r="H1017" s="554"/>
    </row>
    <row r="1018" spans="3:8" x14ac:dyDescent="0.25">
      <c r="C1018" s="554"/>
      <c r="D1018" s="554"/>
      <c r="E1018" s="554"/>
      <c r="F1018" s="554"/>
      <c r="G1018" s="554"/>
      <c r="H1018" s="554"/>
    </row>
    <row r="1019" spans="3:8" x14ac:dyDescent="0.25">
      <c r="C1019" s="554"/>
      <c r="D1019" s="554"/>
      <c r="E1019" s="554"/>
      <c r="F1019" s="554"/>
      <c r="G1019" s="554"/>
      <c r="H1019" s="554"/>
    </row>
    <row r="1020" spans="3:8" x14ac:dyDescent="0.25">
      <c r="C1020" s="554"/>
      <c r="D1020" s="554"/>
      <c r="E1020" s="554"/>
      <c r="F1020" s="554"/>
      <c r="G1020" s="554"/>
      <c r="H1020" s="554"/>
    </row>
    <row r="1021" spans="3:8" x14ac:dyDescent="0.25">
      <c r="C1021" s="554"/>
      <c r="D1021" s="554"/>
      <c r="E1021" s="554"/>
      <c r="F1021" s="554"/>
      <c r="G1021" s="554"/>
      <c r="H1021" s="554"/>
    </row>
    <row r="1022" spans="3:8" x14ac:dyDescent="0.25">
      <c r="C1022" s="554"/>
      <c r="D1022" s="554"/>
      <c r="E1022" s="554"/>
      <c r="F1022" s="554"/>
      <c r="G1022" s="554"/>
      <c r="H1022" s="554"/>
    </row>
    <row r="1023" spans="3:8" x14ac:dyDescent="0.25">
      <c r="C1023" s="554"/>
      <c r="D1023" s="554"/>
      <c r="E1023" s="554"/>
      <c r="F1023" s="554"/>
      <c r="G1023" s="554"/>
      <c r="H1023" s="554"/>
    </row>
    <row r="1024" spans="3:8" x14ac:dyDescent="0.25">
      <c r="C1024" s="554"/>
      <c r="D1024" s="554"/>
      <c r="E1024" s="554"/>
      <c r="F1024" s="554"/>
      <c r="G1024" s="554"/>
      <c r="H1024" s="554"/>
    </row>
    <row r="1025" spans="3:8" x14ac:dyDescent="0.25">
      <c r="C1025" s="554"/>
      <c r="D1025" s="554"/>
      <c r="E1025" s="554"/>
      <c r="F1025" s="554"/>
      <c r="G1025" s="554"/>
      <c r="H1025" s="554"/>
    </row>
    <row r="1026" spans="3:8" x14ac:dyDescent="0.25">
      <c r="C1026" s="554"/>
      <c r="D1026" s="554"/>
      <c r="E1026" s="554"/>
      <c r="F1026" s="554"/>
      <c r="G1026" s="554"/>
      <c r="H1026" s="554"/>
    </row>
    <row r="1027" spans="3:8" x14ac:dyDescent="0.25">
      <c r="C1027" s="554"/>
      <c r="D1027" s="554"/>
      <c r="E1027" s="554"/>
      <c r="F1027" s="554"/>
      <c r="G1027" s="554"/>
      <c r="H1027" s="554"/>
    </row>
    <row r="1028" spans="3:8" x14ac:dyDescent="0.25">
      <c r="C1028" s="554"/>
      <c r="D1028" s="554"/>
      <c r="E1028" s="554"/>
      <c r="F1028" s="554"/>
      <c r="G1028" s="554"/>
      <c r="H1028" s="554"/>
    </row>
    <row r="1029" spans="3:8" x14ac:dyDescent="0.25">
      <c r="C1029" s="554"/>
      <c r="D1029" s="554"/>
      <c r="E1029" s="554"/>
      <c r="F1029" s="554"/>
      <c r="G1029" s="554"/>
      <c r="H1029" s="554"/>
    </row>
    <row r="1030" spans="3:8" x14ac:dyDescent="0.25">
      <c r="C1030" s="554"/>
      <c r="D1030" s="554"/>
      <c r="E1030" s="554"/>
      <c r="F1030" s="554"/>
      <c r="G1030" s="554"/>
      <c r="H1030" s="554"/>
    </row>
    <row r="1031" spans="3:8" x14ac:dyDescent="0.25">
      <c r="C1031" s="554"/>
      <c r="D1031" s="554"/>
      <c r="E1031" s="554"/>
      <c r="F1031" s="554"/>
      <c r="G1031" s="554"/>
      <c r="H1031" s="554"/>
    </row>
    <row r="1032" spans="3:8" x14ac:dyDescent="0.25">
      <c r="C1032" s="554"/>
      <c r="D1032" s="554"/>
      <c r="E1032" s="554"/>
      <c r="F1032" s="554"/>
      <c r="G1032" s="554"/>
      <c r="H1032" s="554"/>
    </row>
    <row r="1033" spans="3:8" x14ac:dyDescent="0.25">
      <c r="C1033" s="554"/>
      <c r="D1033" s="554"/>
      <c r="E1033" s="554"/>
      <c r="F1033" s="554"/>
      <c r="G1033" s="554"/>
      <c r="H1033" s="554"/>
    </row>
    <row r="1034" spans="3:8" x14ac:dyDescent="0.25">
      <c r="C1034" s="554"/>
      <c r="D1034" s="554"/>
      <c r="E1034" s="554"/>
      <c r="F1034" s="554"/>
      <c r="G1034" s="554"/>
      <c r="H1034" s="554"/>
    </row>
    <row r="1035" spans="3:8" x14ac:dyDescent="0.25">
      <c r="C1035" s="554"/>
      <c r="D1035" s="554"/>
      <c r="E1035" s="554"/>
      <c r="F1035" s="554"/>
      <c r="G1035" s="554"/>
      <c r="H1035" s="554"/>
    </row>
    <row r="1036" spans="3:8" x14ac:dyDescent="0.25">
      <c r="C1036" s="554"/>
      <c r="D1036" s="554"/>
      <c r="E1036" s="554"/>
      <c r="F1036" s="554"/>
      <c r="G1036" s="554"/>
      <c r="H1036" s="554"/>
    </row>
    <row r="1037" spans="3:8" x14ac:dyDescent="0.25">
      <c r="C1037" s="554"/>
      <c r="D1037" s="554"/>
      <c r="E1037" s="554"/>
      <c r="F1037" s="554"/>
      <c r="G1037" s="554"/>
      <c r="H1037" s="554"/>
    </row>
    <row r="1038" spans="3:8" x14ac:dyDescent="0.25">
      <c r="C1038" s="554"/>
      <c r="D1038" s="554"/>
      <c r="E1038" s="554"/>
      <c r="F1038" s="554"/>
      <c r="G1038" s="554"/>
      <c r="H1038" s="554"/>
    </row>
    <row r="1039" spans="3:8" x14ac:dyDescent="0.25">
      <c r="C1039" s="554"/>
      <c r="D1039" s="554"/>
      <c r="E1039" s="554"/>
      <c r="F1039" s="554"/>
      <c r="G1039" s="554"/>
      <c r="H1039" s="554"/>
    </row>
    <row r="1040" spans="3:8" x14ac:dyDescent="0.25">
      <c r="C1040" s="554"/>
      <c r="D1040" s="554"/>
      <c r="E1040" s="554"/>
      <c r="F1040" s="554"/>
      <c r="G1040" s="554"/>
      <c r="H1040" s="554"/>
    </row>
    <row r="1041" spans="3:8" x14ac:dyDescent="0.25">
      <c r="C1041" s="554"/>
      <c r="D1041" s="554"/>
      <c r="E1041" s="554"/>
      <c r="F1041" s="554"/>
      <c r="G1041" s="554"/>
      <c r="H1041" s="554"/>
    </row>
    <row r="1042" spans="3:8" x14ac:dyDescent="0.25">
      <c r="C1042" s="554"/>
      <c r="D1042" s="554"/>
      <c r="E1042" s="554"/>
      <c r="F1042" s="554"/>
      <c r="G1042" s="554"/>
      <c r="H1042" s="554"/>
    </row>
    <row r="1043" spans="3:8" x14ac:dyDescent="0.25">
      <c r="C1043" s="554"/>
      <c r="D1043" s="554"/>
      <c r="E1043" s="554"/>
      <c r="F1043" s="554"/>
      <c r="G1043" s="554"/>
      <c r="H1043" s="554"/>
    </row>
    <row r="1044" spans="3:8" x14ac:dyDescent="0.25">
      <c r="C1044" s="554"/>
      <c r="D1044" s="554"/>
      <c r="E1044" s="554"/>
      <c r="F1044" s="554"/>
      <c r="G1044" s="554"/>
      <c r="H1044" s="554"/>
    </row>
    <row r="1045" spans="3:8" x14ac:dyDescent="0.25">
      <c r="C1045" s="554"/>
      <c r="D1045" s="554"/>
      <c r="E1045" s="554"/>
      <c r="F1045" s="554"/>
      <c r="G1045" s="554"/>
      <c r="H1045" s="554"/>
    </row>
    <row r="1046" spans="3:8" x14ac:dyDescent="0.25">
      <c r="C1046" s="554"/>
      <c r="D1046" s="554"/>
      <c r="E1046" s="554"/>
      <c r="F1046" s="554"/>
      <c r="G1046" s="554"/>
      <c r="H1046" s="554"/>
    </row>
    <row r="1047" spans="3:8" x14ac:dyDescent="0.25">
      <c r="C1047" s="554"/>
      <c r="D1047" s="554"/>
      <c r="E1047" s="554"/>
      <c r="F1047" s="554"/>
      <c r="G1047" s="554"/>
      <c r="H1047" s="554"/>
    </row>
    <row r="1048" spans="3:8" x14ac:dyDescent="0.25">
      <c r="C1048" s="554"/>
      <c r="D1048" s="554"/>
      <c r="E1048" s="554"/>
      <c r="F1048" s="554"/>
      <c r="G1048" s="554"/>
      <c r="H1048" s="554"/>
    </row>
    <row r="1049" spans="3:8" x14ac:dyDescent="0.25">
      <c r="C1049" s="554"/>
      <c r="D1049" s="554"/>
      <c r="E1049" s="554"/>
      <c r="F1049" s="554"/>
      <c r="G1049" s="554"/>
      <c r="H1049" s="554"/>
    </row>
    <row r="1050" spans="3:8" x14ac:dyDescent="0.25">
      <c r="C1050" s="554"/>
      <c r="D1050" s="554"/>
      <c r="E1050" s="554"/>
      <c r="F1050" s="554"/>
      <c r="G1050" s="554"/>
      <c r="H1050" s="554"/>
    </row>
    <row r="1051" spans="3:8" x14ac:dyDescent="0.25">
      <c r="C1051" s="554"/>
      <c r="D1051" s="554"/>
      <c r="E1051" s="554"/>
      <c r="F1051" s="554"/>
      <c r="G1051" s="554"/>
      <c r="H1051" s="554"/>
    </row>
    <row r="1052" spans="3:8" x14ac:dyDescent="0.25">
      <c r="C1052" s="554"/>
      <c r="D1052" s="554"/>
      <c r="E1052" s="554"/>
      <c r="F1052" s="554"/>
      <c r="G1052" s="554"/>
      <c r="H1052" s="554"/>
    </row>
    <row r="1053" spans="3:8" x14ac:dyDescent="0.25">
      <c r="C1053" s="554"/>
      <c r="D1053" s="554"/>
      <c r="E1053" s="554"/>
      <c r="F1053" s="554"/>
      <c r="G1053" s="554"/>
      <c r="H1053" s="554"/>
    </row>
    <row r="1054" spans="3:8" x14ac:dyDescent="0.25">
      <c r="C1054" s="554"/>
      <c r="D1054" s="554"/>
      <c r="E1054" s="554"/>
      <c r="F1054" s="554"/>
      <c r="G1054" s="554"/>
      <c r="H1054" s="554"/>
    </row>
    <row r="1055" spans="3:8" x14ac:dyDescent="0.25">
      <c r="C1055" s="554"/>
      <c r="D1055" s="554"/>
      <c r="E1055" s="554"/>
      <c r="F1055" s="554"/>
      <c r="G1055" s="554"/>
      <c r="H1055" s="554"/>
    </row>
    <row r="1056" spans="3:8" x14ac:dyDescent="0.25">
      <c r="C1056" s="554"/>
      <c r="D1056" s="554"/>
      <c r="E1056" s="554"/>
      <c r="F1056" s="554"/>
      <c r="G1056" s="554"/>
      <c r="H1056" s="554"/>
    </row>
    <row r="1057" spans="3:8" x14ac:dyDescent="0.25">
      <c r="C1057" s="554"/>
      <c r="D1057" s="554"/>
      <c r="E1057" s="554"/>
      <c r="F1057" s="554"/>
      <c r="G1057" s="554"/>
      <c r="H1057" s="554"/>
    </row>
    <row r="1058" spans="3:8" x14ac:dyDescent="0.25">
      <c r="C1058" s="554"/>
      <c r="D1058" s="554"/>
      <c r="E1058" s="554"/>
      <c r="F1058" s="554"/>
      <c r="G1058" s="554"/>
      <c r="H1058" s="554"/>
    </row>
    <row r="1059" spans="3:8" x14ac:dyDescent="0.25">
      <c r="C1059" s="554"/>
      <c r="D1059" s="554"/>
      <c r="E1059" s="554"/>
      <c r="F1059" s="554"/>
      <c r="G1059" s="554"/>
      <c r="H1059" s="554"/>
    </row>
    <row r="1060" spans="3:8" x14ac:dyDescent="0.25">
      <c r="C1060" s="554"/>
      <c r="D1060" s="554"/>
      <c r="E1060" s="554"/>
      <c r="F1060" s="554"/>
      <c r="G1060" s="554"/>
      <c r="H1060" s="554"/>
    </row>
    <row r="1061" spans="3:8" x14ac:dyDescent="0.25">
      <c r="C1061" s="554"/>
      <c r="D1061" s="554"/>
      <c r="E1061" s="554"/>
      <c r="F1061" s="554"/>
      <c r="G1061" s="554"/>
      <c r="H1061" s="554"/>
    </row>
    <row r="1062" spans="3:8" x14ac:dyDescent="0.25">
      <c r="C1062" s="554"/>
      <c r="D1062" s="554"/>
      <c r="E1062" s="554"/>
      <c r="F1062" s="554"/>
      <c r="G1062" s="554"/>
      <c r="H1062" s="554"/>
    </row>
    <row r="1063" spans="3:8" x14ac:dyDescent="0.25">
      <c r="C1063" s="554"/>
      <c r="D1063" s="554"/>
      <c r="E1063" s="554"/>
      <c r="F1063" s="554"/>
      <c r="G1063" s="554"/>
      <c r="H1063" s="554"/>
    </row>
    <row r="1064" spans="3:8" x14ac:dyDescent="0.25">
      <c r="C1064" s="554"/>
      <c r="D1064" s="554"/>
      <c r="E1064" s="554"/>
      <c r="F1064" s="554"/>
      <c r="G1064" s="554"/>
      <c r="H1064" s="554"/>
    </row>
    <row r="1065" spans="3:8" x14ac:dyDescent="0.25">
      <c r="C1065" s="554"/>
      <c r="D1065" s="554"/>
      <c r="E1065" s="554"/>
      <c r="F1065" s="554"/>
      <c r="G1065" s="554"/>
      <c r="H1065" s="554"/>
    </row>
    <row r="1066" spans="3:8" x14ac:dyDescent="0.25">
      <c r="C1066" s="554"/>
      <c r="D1066" s="554"/>
      <c r="E1066" s="554"/>
      <c r="F1066" s="554"/>
      <c r="G1066" s="554"/>
      <c r="H1066" s="554"/>
    </row>
    <row r="1067" spans="3:8" x14ac:dyDescent="0.25">
      <c r="C1067" s="554"/>
      <c r="D1067" s="554"/>
      <c r="E1067" s="554"/>
      <c r="F1067" s="554"/>
      <c r="G1067" s="554"/>
      <c r="H1067" s="554"/>
    </row>
    <row r="1068" spans="3:8" x14ac:dyDescent="0.25">
      <c r="C1068" s="554"/>
      <c r="D1068" s="554"/>
      <c r="E1068" s="554"/>
      <c r="F1068" s="554"/>
      <c r="G1068" s="554"/>
      <c r="H1068" s="554"/>
    </row>
    <row r="1069" spans="3:8" x14ac:dyDescent="0.25">
      <c r="C1069" s="554"/>
      <c r="D1069" s="554"/>
      <c r="E1069" s="554"/>
      <c r="F1069" s="554"/>
      <c r="G1069" s="554"/>
      <c r="H1069" s="554"/>
    </row>
    <row r="1070" spans="3:8" x14ac:dyDescent="0.25">
      <c r="C1070" s="554"/>
      <c r="D1070" s="554"/>
      <c r="E1070" s="554"/>
      <c r="F1070" s="554"/>
      <c r="G1070" s="554"/>
      <c r="H1070" s="554"/>
    </row>
    <row r="1071" spans="3:8" x14ac:dyDescent="0.25">
      <c r="C1071" s="554"/>
      <c r="D1071" s="554"/>
      <c r="E1071" s="554"/>
      <c r="F1071" s="554"/>
      <c r="G1071" s="554"/>
      <c r="H1071" s="554"/>
    </row>
    <row r="1072" spans="3:8" x14ac:dyDescent="0.25">
      <c r="C1072" s="554"/>
      <c r="D1072" s="554"/>
      <c r="E1072" s="554"/>
      <c r="F1072" s="554"/>
      <c r="G1072" s="554"/>
      <c r="H1072" s="554"/>
    </row>
    <row r="1073" spans="3:8" x14ac:dyDescent="0.25">
      <c r="C1073" s="554"/>
      <c r="D1073" s="554"/>
      <c r="E1073" s="554"/>
      <c r="F1073" s="554"/>
      <c r="G1073" s="554"/>
      <c r="H1073" s="554"/>
    </row>
    <row r="1074" spans="3:8" x14ac:dyDescent="0.25">
      <c r="C1074" s="554"/>
      <c r="D1074" s="554"/>
      <c r="E1074" s="554"/>
      <c r="F1074" s="554"/>
      <c r="G1074" s="554"/>
      <c r="H1074" s="554"/>
    </row>
    <row r="1075" spans="3:8" x14ac:dyDescent="0.25">
      <c r="C1075" s="554"/>
      <c r="D1075" s="554"/>
      <c r="E1075" s="554"/>
      <c r="F1075" s="554"/>
      <c r="G1075" s="554"/>
      <c r="H1075" s="554"/>
    </row>
    <row r="1076" spans="3:8" x14ac:dyDescent="0.25">
      <c r="C1076" s="554"/>
      <c r="D1076" s="554"/>
      <c r="E1076" s="554"/>
      <c r="F1076" s="554"/>
      <c r="G1076" s="554"/>
      <c r="H1076" s="554"/>
    </row>
    <row r="1077" spans="3:8" x14ac:dyDescent="0.25">
      <c r="C1077" s="554"/>
      <c r="D1077" s="554"/>
      <c r="E1077" s="554"/>
      <c r="F1077" s="554"/>
      <c r="G1077" s="554"/>
      <c r="H1077" s="554"/>
    </row>
    <row r="1078" spans="3:8" x14ac:dyDescent="0.25">
      <c r="C1078" s="554"/>
      <c r="D1078" s="554"/>
      <c r="E1078" s="554"/>
      <c r="F1078" s="554"/>
      <c r="G1078" s="554"/>
      <c r="H1078" s="554"/>
    </row>
    <row r="1079" spans="3:8" x14ac:dyDescent="0.25">
      <c r="C1079" s="554"/>
      <c r="D1079" s="554"/>
      <c r="E1079" s="554"/>
      <c r="F1079" s="554"/>
      <c r="G1079" s="554"/>
      <c r="H1079" s="554"/>
    </row>
    <row r="1080" spans="3:8" x14ac:dyDescent="0.25">
      <c r="C1080" s="554"/>
      <c r="D1080" s="554"/>
      <c r="E1080" s="554"/>
      <c r="F1080" s="554"/>
      <c r="G1080" s="554"/>
      <c r="H1080" s="554"/>
    </row>
    <row r="1081" spans="3:8" x14ac:dyDescent="0.25">
      <c r="C1081" s="554"/>
      <c r="D1081" s="554"/>
      <c r="E1081" s="554"/>
      <c r="F1081" s="554"/>
      <c r="G1081" s="554"/>
      <c r="H1081" s="554"/>
    </row>
    <row r="1082" spans="3:8" x14ac:dyDescent="0.25">
      <c r="C1082" s="554"/>
      <c r="D1082" s="554"/>
      <c r="E1082" s="554"/>
      <c r="F1082" s="554"/>
      <c r="G1082" s="554"/>
      <c r="H1082" s="554"/>
    </row>
    <row r="1083" spans="3:8" x14ac:dyDescent="0.25">
      <c r="C1083" s="554"/>
      <c r="D1083" s="554"/>
      <c r="E1083" s="554"/>
      <c r="F1083" s="554"/>
      <c r="G1083" s="554"/>
      <c r="H1083" s="554"/>
    </row>
    <row r="1084" spans="3:8" x14ac:dyDescent="0.25">
      <c r="C1084" s="554"/>
      <c r="D1084" s="554"/>
      <c r="E1084" s="554"/>
      <c r="F1084" s="554"/>
      <c r="G1084" s="554"/>
      <c r="H1084" s="554"/>
    </row>
    <row r="1085" spans="3:8" x14ac:dyDescent="0.25">
      <c r="C1085" s="554"/>
      <c r="D1085" s="554"/>
      <c r="E1085" s="554"/>
      <c r="F1085" s="554"/>
      <c r="G1085" s="554"/>
      <c r="H1085" s="554"/>
    </row>
    <row r="1086" spans="3:8" x14ac:dyDescent="0.25">
      <c r="C1086" s="554"/>
      <c r="D1086" s="554"/>
      <c r="E1086" s="554"/>
      <c r="F1086" s="554"/>
      <c r="G1086" s="554"/>
      <c r="H1086" s="554"/>
    </row>
    <row r="1087" spans="3:8" x14ac:dyDescent="0.25">
      <c r="C1087" s="554"/>
      <c r="D1087" s="554"/>
      <c r="E1087" s="554"/>
      <c r="F1087" s="554"/>
      <c r="G1087" s="554"/>
      <c r="H1087" s="554"/>
    </row>
    <row r="1088" spans="3:8" x14ac:dyDescent="0.25">
      <c r="C1088" s="554"/>
      <c r="D1088" s="554"/>
      <c r="E1088" s="554"/>
      <c r="F1088" s="554"/>
      <c r="G1088" s="554"/>
      <c r="H1088" s="554"/>
    </row>
    <row r="1089" spans="3:8" x14ac:dyDescent="0.25">
      <c r="C1089" s="554"/>
      <c r="D1089" s="554"/>
      <c r="E1089" s="554"/>
      <c r="F1089" s="554"/>
      <c r="G1089" s="554"/>
      <c r="H1089" s="554"/>
    </row>
    <row r="1090" spans="3:8" x14ac:dyDescent="0.25">
      <c r="C1090" s="554"/>
      <c r="D1090" s="554"/>
      <c r="E1090" s="554"/>
      <c r="F1090" s="554"/>
      <c r="G1090" s="554"/>
      <c r="H1090" s="554"/>
    </row>
    <row r="1091" spans="3:8" x14ac:dyDescent="0.25">
      <c r="C1091" s="554"/>
      <c r="D1091" s="554"/>
      <c r="E1091" s="554"/>
      <c r="F1091" s="554"/>
      <c r="G1091" s="554"/>
      <c r="H1091" s="554"/>
    </row>
    <row r="1092" spans="3:8" x14ac:dyDescent="0.25">
      <c r="C1092" s="554"/>
      <c r="D1092" s="554"/>
      <c r="E1092" s="554"/>
      <c r="F1092" s="554"/>
      <c r="G1092" s="554"/>
      <c r="H1092" s="554"/>
    </row>
    <row r="1093" spans="3:8" x14ac:dyDescent="0.25">
      <c r="C1093" s="554"/>
      <c r="D1093" s="554"/>
      <c r="E1093" s="554"/>
      <c r="F1093" s="554"/>
      <c r="G1093" s="554"/>
      <c r="H1093" s="554"/>
    </row>
    <row r="1094" spans="3:8" x14ac:dyDescent="0.25">
      <c r="C1094" s="554"/>
      <c r="D1094" s="554"/>
      <c r="E1094" s="554"/>
      <c r="F1094" s="554"/>
      <c r="G1094" s="554"/>
      <c r="H1094" s="554"/>
    </row>
    <row r="1095" spans="3:8" x14ac:dyDescent="0.25">
      <c r="C1095" s="554"/>
      <c r="D1095" s="554"/>
      <c r="E1095" s="554"/>
      <c r="F1095" s="554"/>
      <c r="G1095" s="554"/>
      <c r="H1095" s="554"/>
    </row>
    <row r="1096" spans="3:8" x14ac:dyDescent="0.25">
      <c r="C1096" s="554"/>
      <c r="D1096" s="554"/>
      <c r="E1096" s="554"/>
      <c r="F1096" s="554"/>
      <c r="G1096" s="554"/>
      <c r="H1096" s="554"/>
    </row>
    <row r="1097" spans="3:8" x14ac:dyDescent="0.25">
      <c r="C1097" s="554"/>
      <c r="D1097" s="554"/>
      <c r="E1097" s="554"/>
      <c r="F1097" s="554"/>
      <c r="G1097" s="554"/>
      <c r="H1097" s="554"/>
    </row>
    <row r="1098" spans="3:8" x14ac:dyDescent="0.25">
      <c r="C1098" s="554"/>
      <c r="D1098" s="554"/>
      <c r="E1098" s="554"/>
      <c r="F1098" s="554"/>
      <c r="G1098" s="554"/>
      <c r="H1098" s="554"/>
    </row>
    <row r="1099" spans="3:8" x14ac:dyDescent="0.25">
      <c r="C1099" s="554"/>
      <c r="D1099" s="554"/>
      <c r="E1099" s="554"/>
      <c r="F1099" s="554"/>
      <c r="G1099" s="554"/>
      <c r="H1099" s="554"/>
    </row>
    <row r="1100" spans="3:8" x14ac:dyDescent="0.25">
      <c r="C1100" s="554"/>
      <c r="D1100" s="554"/>
      <c r="E1100" s="554"/>
      <c r="F1100" s="554"/>
      <c r="G1100" s="554"/>
      <c r="H1100" s="554"/>
    </row>
    <row r="1101" spans="3:8" x14ac:dyDescent="0.25">
      <c r="C1101" s="554"/>
      <c r="D1101" s="554"/>
      <c r="E1101" s="554"/>
      <c r="F1101" s="554"/>
      <c r="G1101" s="554"/>
      <c r="H1101" s="554"/>
    </row>
    <row r="1102" spans="3:8" x14ac:dyDescent="0.25">
      <c r="C1102" s="554"/>
      <c r="D1102" s="554"/>
      <c r="E1102" s="554"/>
      <c r="F1102" s="554"/>
      <c r="G1102" s="554"/>
      <c r="H1102" s="554"/>
    </row>
    <row r="1103" spans="3:8" x14ac:dyDescent="0.25">
      <c r="C1103" s="554"/>
      <c r="D1103" s="554"/>
      <c r="E1103" s="554"/>
      <c r="F1103" s="554"/>
      <c r="G1103" s="554"/>
      <c r="H1103" s="554"/>
    </row>
    <row r="1104" spans="3:8" x14ac:dyDescent="0.25">
      <c r="C1104" s="554"/>
      <c r="D1104" s="554"/>
      <c r="E1104" s="554"/>
      <c r="F1104" s="554"/>
      <c r="G1104" s="554"/>
      <c r="H1104" s="554"/>
    </row>
    <row r="1105" spans="3:8" x14ac:dyDescent="0.25">
      <c r="C1105" s="554"/>
      <c r="D1105" s="554"/>
      <c r="E1105" s="554"/>
      <c r="F1105" s="554"/>
      <c r="G1105" s="554"/>
      <c r="H1105" s="554"/>
    </row>
    <row r="1106" spans="3:8" x14ac:dyDescent="0.25">
      <c r="C1106" s="554"/>
      <c r="D1106" s="554"/>
      <c r="E1106" s="554"/>
      <c r="F1106" s="554"/>
      <c r="G1106" s="554"/>
      <c r="H1106" s="554"/>
    </row>
    <row r="1107" spans="3:8" x14ac:dyDescent="0.25">
      <c r="C1107" s="554"/>
      <c r="D1107" s="554"/>
      <c r="E1107" s="554"/>
      <c r="F1107" s="554"/>
      <c r="G1107" s="554"/>
      <c r="H1107" s="554"/>
    </row>
    <row r="1108" spans="3:8" x14ac:dyDescent="0.25">
      <c r="C1108" s="554"/>
      <c r="D1108" s="554"/>
      <c r="E1108" s="554"/>
      <c r="F1108" s="554"/>
      <c r="G1108" s="554"/>
      <c r="H1108" s="554"/>
    </row>
    <row r="1109" spans="3:8" x14ac:dyDescent="0.25">
      <c r="C1109" s="554"/>
      <c r="D1109" s="554"/>
      <c r="E1109" s="554"/>
      <c r="F1109" s="554"/>
      <c r="G1109" s="554"/>
      <c r="H1109" s="554"/>
    </row>
    <row r="1110" spans="3:8" x14ac:dyDescent="0.25">
      <c r="C1110" s="554"/>
      <c r="D1110" s="554"/>
      <c r="E1110" s="554"/>
      <c r="F1110" s="554"/>
      <c r="G1110" s="554"/>
      <c r="H1110" s="554"/>
    </row>
    <row r="1111" spans="3:8" x14ac:dyDescent="0.25">
      <c r="C1111" s="554"/>
      <c r="D1111" s="554"/>
      <c r="E1111" s="554"/>
      <c r="F1111" s="554"/>
      <c r="G1111" s="554"/>
      <c r="H1111" s="554"/>
    </row>
    <row r="1112" spans="3:8" x14ac:dyDescent="0.25">
      <c r="C1112" s="554"/>
      <c r="D1112" s="554"/>
      <c r="E1112" s="554"/>
      <c r="F1112" s="554"/>
      <c r="G1112" s="554"/>
      <c r="H1112" s="554"/>
    </row>
    <row r="1113" spans="3:8" x14ac:dyDescent="0.25">
      <c r="C1113" s="554"/>
      <c r="D1113" s="554"/>
      <c r="E1113" s="554"/>
      <c r="F1113" s="554"/>
      <c r="G1113" s="554"/>
      <c r="H1113" s="554"/>
    </row>
    <row r="1114" spans="3:8" x14ac:dyDescent="0.25">
      <c r="C1114" s="554"/>
      <c r="D1114" s="554"/>
      <c r="E1114" s="554"/>
      <c r="F1114" s="554"/>
      <c r="G1114" s="554"/>
      <c r="H1114" s="554"/>
    </row>
    <row r="1115" spans="3:8" x14ac:dyDescent="0.25">
      <c r="C1115" s="554"/>
      <c r="D1115" s="554"/>
      <c r="E1115" s="554"/>
      <c r="F1115" s="554"/>
      <c r="G1115" s="554"/>
      <c r="H1115" s="554"/>
    </row>
    <row r="1116" spans="3:8" x14ac:dyDescent="0.25">
      <c r="C1116" s="554"/>
      <c r="D1116" s="554"/>
      <c r="E1116" s="554"/>
      <c r="F1116" s="554"/>
      <c r="G1116" s="554"/>
      <c r="H1116" s="554"/>
    </row>
    <row r="1117" spans="3:8" x14ac:dyDescent="0.25">
      <c r="C1117" s="554"/>
      <c r="D1117" s="554"/>
      <c r="E1117" s="554"/>
      <c r="F1117" s="554"/>
      <c r="G1117" s="554"/>
      <c r="H1117" s="554"/>
    </row>
    <row r="1118" spans="3:8" x14ac:dyDescent="0.25">
      <c r="C1118" s="554"/>
      <c r="D1118" s="554"/>
      <c r="E1118" s="554"/>
      <c r="F1118" s="554"/>
      <c r="G1118" s="554"/>
      <c r="H1118" s="554"/>
    </row>
    <row r="1119" spans="3:8" x14ac:dyDescent="0.25">
      <c r="C1119" s="554"/>
      <c r="D1119" s="554"/>
      <c r="E1119" s="554"/>
      <c r="F1119" s="554"/>
      <c r="G1119" s="554"/>
      <c r="H1119" s="554"/>
    </row>
    <row r="1120" spans="3:8" x14ac:dyDescent="0.25">
      <c r="C1120" s="554"/>
      <c r="D1120" s="554"/>
      <c r="E1120" s="554"/>
      <c r="F1120" s="554"/>
      <c r="G1120" s="554"/>
      <c r="H1120" s="554"/>
    </row>
    <row r="1121" spans="3:8" x14ac:dyDescent="0.25">
      <c r="C1121" s="554"/>
      <c r="D1121" s="554"/>
      <c r="E1121" s="554"/>
      <c r="F1121" s="554"/>
      <c r="G1121" s="554"/>
      <c r="H1121" s="554"/>
    </row>
    <row r="1122" spans="3:8" x14ac:dyDescent="0.25">
      <c r="C1122" s="554"/>
      <c r="D1122" s="554"/>
      <c r="E1122" s="554"/>
      <c r="F1122" s="554"/>
      <c r="G1122" s="554"/>
      <c r="H1122" s="554"/>
    </row>
    <row r="1123" spans="3:8" x14ac:dyDescent="0.25">
      <c r="C1123" s="554"/>
      <c r="D1123" s="554"/>
      <c r="E1123" s="554"/>
      <c r="F1123" s="554"/>
      <c r="G1123" s="554"/>
      <c r="H1123" s="554"/>
    </row>
    <row r="1124" spans="3:8" x14ac:dyDescent="0.25">
      <c r="C1124" s="554"/>
      <c r="D1124" s="554"/>
      <c r="E1124" s="554"/>
      <c r="F1124" s="554"/>
      <c r="G1124" s="554"/>
      <c r="H1124" s="554"/>
    </row>
    <row r="1125" spans="3:8" x14ac:dyDescent="0.25">
      <c r="C1125" s="554"/>
      <c r="D1125" s="554"/>
      <c r="E1125" s="554"/>
      <c r="F1125" s="554"/>
      <c r="G1125" s="554"/>
      <c r="H1125" s="554"/>
    </row>
    <row r="1126" spans="3:8" x14ac:dyDescent="0.25">
      <c r="C1126" s="554"/>
      <c r="D1126" s="554"/>
      <c r="E1126" s="554"/>
      <c r="F1126" s="554"/>
      <c r="G1126" s="554"/>
      <c r="H1126" s="554"/>
    </row>
    <row r="1127" spans="3:8" x14ac:dyDescent="0.25">
      <c r="C1127" s="554"/>
      <c r="D1127" s="554"/>
      <c r="E1127" s="554"/>
      <c r="F1127" s="554"/>
      <c r="G1127" s="554"/>
      <c r="H1127" s="554"/>
    </row>
    <row r="1128" spans="3:8" x14ac:dyDescent="0.25">
      <c r="C1128" s="554"/>
      <c r="D1128" s="554"/>
      <c r="E1128" s="554"/>
      <c r="F1128" s="554"/>
      <c r="G1128" s="554"/>
      <c r="H1128" s="554"/>
    </row>
    <row r="1129" spans="3:8" x14ac:dyDescent="0.25">
      <c r="C1129" s="554"/>
      <c r="D1129" s="554"/>
      <c r="E1129" s="554"/>
      <c r="F1129" s="554"/>
      <c r="G1129" s="554"/>
      <c r="H1129" s="554"/>
    </row>
    <row r="1130" spans="3:8" x14ac:dyDescent="0.25">
      <c r="C1130" s="554"/>
      <c r="D1130" s="554"/>
      <c r="E1130" s="554"/>
      <c r="F1130" s="554"/>
      <c r="G1130" s="554"/>
      <c r="H1130" s="554"/>
    </row>
    <row r="1131" spans="3:8" x14ac:dyDescent="0.25">
      <c r="C1131" s="554"/>
      <c r="D1131" s="554"/>
      <c r="E1131" s="554"/>
      <c r="F1131" s="554"/>
      <c r="G1131" s="554"/>
      <c r="H1131" s="554"/>
    </row>
    <row r="1132" spans="3:8" x14ac:dyDescent="0.25">
      <c r="C1132" s="554"/>
      <c r="D1132" s="554"/>
      <c r="E1132" s="554"/>
      <c r="F1132" s="554"/>
      <c r="G1132" s="554"/>
      <c r="H1132" s="554"/>
    </row>
    <row r="1133" spans="3:8" x14ac:dyDescent="0.25">
      <c r="C1133" s="554"/>
      <c r="D1133" s="554"/>
      <c r="E1133" s="554"/>
      <c r="F1133" s="554"/>
      <c r="G1133" s="554"/>
      <c r="H1133" s="554"/>
    </row>
    <row r="1134" spans="3:8" x14ac:dyDescent="0.25">
      <c r="C1134" s="554"/>
      <c r="D1134" s="554"/>
      <c r="E1134" s="554"/>
      <c r="F1134" s="554"/>
      <c r="G1134" s="554"/>
      <c r="H1134" s="554"/>
    </row>
    <row r="1135" spans="3:8" x14ac:dyDescent="0.25">
      <c r="C1135" s="554"/>
      <c r="D1135" s="554"/>
      <c r="E1135" s="554"/>
      <c r="F1135" s="554"/>
      <c r="G1135" s="554"/>
      <c r="H1135" s="554"/>
    </row>
    <row r="1136" spans="3:8" x14ac:dyDescent="0.25">
      <c r="C1136" s="554"/>
      <c r="D1136" s="554"/>
      <c r="E1136" s="554"/>
      <c r="F1136" s="554"/>
      <c r="G1136" s="554"/>
      <c r="H1136" s="554"/>
    </row>
    <row r="1137" spans="3:8" x14ac:dyDescent="0.25">
      <c r="C1137" s="554"/>
      <c r="D1137" s="554"/>
      <c r="E1137" s="554"/>
      <c r="F1137" s="554"/>
      <c r="G1137" s="554"/>
      <c r="H1137" s="554"/>
    </row>
    <row r="1138" spans="3:8" x14ac:dyDescent="0.25">
      <c r="C1138" s="554"/>
      <c r="D1138" s="554"/>
      <c r="E1138" s="554"/>
      <c r="F1138" s="554"/>
      <c r="G1138" s="554"/>
      <c r="H1138" s="554"/>
    </row>
    <row r="1139" spans="3:8" x14ac:dyDescent="0.25">
      <c r="C1139" s="554"/>
      <c r="D1139" s="554"/>
      <c r="E1139" s="554"/>
      <c r="F1139" s="554"/>
      <c r="G1139" s="554"/>
      <c r="H1139" s="554"/>
    </row>
    <row r="1140" spans="3:8" x14ac:dyDescent="0.25">
      <c r="C1140" s="554"/>
      <c r="D1140" s="554"/>
      <c r="E1140" s="554"/>
      <c r="F1140" s="554"/>
      <c r="G1140" s="554"/>
      <c r="H1140" s="554"/>
    </row>
    <row r="1141" spans="3:8" x14ac:dyDescent="0.25">
      <c r="C1141" s="554"/>
      <c r="D1141" s="554"/>
      <c r="E1141" s="554"/>
      <c r="F1141" s="554"/>
      <c r="G1141" s="554"/>
      <c r="H1141" s="554"/>
    </row>
    <row r="1142" spans="3:8" x14ac:dyDescent="0.25">
      <c r="C1142" s="554"/>
      <c r="D1142" s="554"/>
      <c r="E1142" s="554"/>
      <c r="F1142" s="554"/>
      <c r="G1142" s="554"/>
      <c r="H1142" s="554"/>
    </row>
    <row r="1143" spans="3:8" x14ac:dyDescent="0.25">
      <c r="C1143" s="554"/>
      <c r="D1143" s="554"/>
      <c r="E1143" s="554"/>
      <c r="F1143" s="554"/>
      <c r="G1143" s="554"/>
      <c r="H1143" s="554"/>
    </row>
    <row r="1144" spans="3:8" x14ac:dyDescent="0.25">
      <c r="C1144" s="554"/>
      <c r="D1144" s="554"/>
      <c r="E1144" s="554"/>
      <c r="F1144" s="554"/>
      <c r="G1144" s="554"/>
      <c r="H1144" s="554"/>
    </row>
    <row r="1145" spans="3:8" x14ac:dyDescent="0.25">
      <c r="C1145" s="554"/>
      <c r="D1145" s="554"/>
      <c r="E1145" s="554"/>
      <c r="F1145" s="554"/>
      <c r="G1145" s="554"/>
      <c r="H1145" s="554"/>
    </row>
    <row r="1146" spans="3:8" x14ac:dyDescent="0.25">
      <c r="C1146" s="554"/>
      <c r="D1146" s="554"/>
      <c r="E1146" s="554"/>
      <c r="F1146" s="554"/>
      <c r="G1146" s="554"/>
      <c r="H1146" s="554"/>
    </row>
    <row r="1147" spans="3:8" x14ac:dyDescent="0.25">
      <c r="C1147" s="554"/>
      <c r="D1147" s="554"/>
      <c r="E1147" s="554"/>
      <c r="F1147" s="554"/>
      <c r="G1147" s="554"/>
      <c r="H1147" s="554"/>
    </row>
    <row r="1148" spans="3:8" x14ac:dyDescent="0.25">
      <c r="C1148" s="554"/>
      <c r="D1148" s="554"/>
      <c r="E1148" s="554"/>
      <c r="F1148" s="554"/>
      <c r="G1148" s="554"/>
      <c r="H1148" s="554"/>
    </row>
    <row r="1149" spans="3:8" x14ac:dyDescent="0.25">
      <c r="C1149" s="554"/>
      <c r="D1149" s="554"/>
      <c r="E1149" s="554"/>
      <c r="F1149" s="554"/>
      <c r="G1149" s="554"/>
      <c r="H1149" s="554"/>
    </row>
    <row r="1150" spans="3:8" x14ac:dyDescent="0.25">
      <c r="C1150" s="554"/>
      <c r="D1150" s="554"/>
      <c r="E1150" s="554"/>
      <c r="F1150" s="554"/>
      <c r="G1150" s="554"/>
      <c r="H1150" s="554"/>
    </row>
    <row r="1151" spans="3:8" x14ac:dyDescent="0.25">
      <c r="C1151" s="554"/>
      <c r="D1151" s="554"/>
      <c r="E1151" s="554"/>
      <c r="F1151" s="554"/>
      <c r="G1151" s="554"/>
      <c r="H1151" s="554"/>
    </row>
    <row r="1152" spans="3:8" x14ac:dyDescent="0.25">
      <c r="C1152" s="554"/>
      <c r="D1152" s="554"/>
      <c r="E1152" s="554"/>
      <c r="F1152" s="554"/>
      <c r="G1152" s="554"/>
      <c r="H1152" s="554"/>
    </row>
    <row r="1153" spans="3:8" x14ac:dyDescent="0.25">
      <c r="C1153" s="554"/>
      <c r="D1153" s="554"/>
      <c r="E1153" s="554"/>
      <c r="F1153" s="554"/>
      <c r="G1153" s="554"/>
      <c r="H1153" s="554"/>
    </row>
    <row r="1154" spans="3:8" x14ac:dyDescent="0.25">
      <c r="C1154" s="554"/>
      <c r="D1154" s="554"/>
      <c r="E1154" s="554"/>
      <c r="F1154" s="554"/>
      <c r="G1154" s="554"/>
      <c r="H1154" s="554"/>
    </row>
    <row r="1155" spans="3:8" x14ac:dyDescent="0.25">
      <c r="C1155" s="554"/>
      <c r="D1155" s="554"/>
      <c r="E1155" s="554"/>
      <c r="F1155" s="554"/>
      <c r="G1155" s="554"/>
      <c r="H1155" s="554"/>
    </row>
    <row r="1156" spans="3:8" x14ac:dyDescent="0.25">
      <c r="C1156" s="554"/>
      <c r="D1156" s="554"/>
      <c r="E1156" s="554"/>
      <c r="F1156" s="554"/>
      <c r="G1156" s="554"/>
      <c r="H1156" s="554"/>
    </row>
    <row r="1157" spans="3:8" x14ac:dyDescent="0.25">
      <c r="C1157" s="554"/>
      <c r="D1157" s="554"/>
      <c r="E1157" s="554"/>
      <c r="F1157" s="554"/>
      <c r="G1157" s="554"/>
      <c r="H1157" s="554"/>
    </row>
    <row r="1158" spans="3:8" x14ac:dyDescent="0.25">
      <c r="C1158" s="554"/>
      <c r="D1158" s="554"/>
      <c r="E1158" s="554"/>
      <c r="F1158" s="554"/>
      <c r="G1158" s="554"/>
      <c r="H1158" s="554"/>
    </row>
    <row r="1159" spans="3:8" x14ac:dyDescent="0.25">
      <c r="C1159" s="554"/>
      <c r="D1159" s="554"/>
      <c r="E1159" s="554"/>
      <c r="F1159" s="554"/>
      <c r="G1159" s="554"/>
      <c r="H1159" s="554"/>
    </row>
    <row r="1160" spans="3:8" x14ac:dyDescent="0.25">
      <c r="C1160" s="554"/>
      <c r="D1160" s="554"/>
      <c r="E1160" s="554"/>
      <c r="F1160" s="554"/>
      <c r="G1160" s="554"/>
      <c r="H1160" s="554"/>
    </row>
    <row r="1161" spans="3:8" x14ac:dyDescent="0.25">
      <c r="C1161" s="554"/>
      <c r="D1161" s="554"/>
      <c r="E1161" s="554"/>
      <c r="F1161" s="554"/>
      <c r="G1161" s="554"/>
      <c r="H1161" s="554"/>
    </row>
    <row r="1162" spans="3:8" x14ac:dyDescent="0.25">
      <c r="C1162" s="554"/>
      <c r="D1162" s="554"/>
      <c r="E1162" s="554"/>
      <c r="F1162" s="554"/>
      <c r="G1162" s="554"/>
      <c r="H1162" s="554"/>
    </row>
    <row r="1163" spans="3:8" x14ac:dyDescent="0.25">
      <c r="C1163" s="554"/>
      <c r="D1163" s="554"/>
      <c r="E1163" s="554"/>
      <c r="F1163" s="554"/>
      <c r="G1163" s="554"/>
      <c r="H1163" s="554"/>
    </row>
    <row r="1164" spans="3:8" x14ac:dyDescent="0.25">
      <c r="C1164" s="554"/>
      <c r="D1164" s="554"/>
      <c r="E1164" s="554"/>
      <c r="F1164" s="554"/>
      <c r="G1164" s="554"/>
      <c r="H1164" s="554"/>
    </row>
    <row r="1165" spans="3:8" x14ac:dyDescent="0.25">
      <c r="C1165" s="554"/>
      <c r="D1165" s="554"/>
      <c r="E1165" s="554"/>
      <c r="F1165" s="554"/>
      <c r="G1165" s="554"/>
      <c r="H1165" s="554"/>
    </row>
    <row r="1166" spans="3:8" x14ac:dyDescent="0.25">
      <c r="C1166" s="554"/>
      <c r="D1166" s="554"/>
      <c r="E1166" s="554"/>
      <c r="F1166" s="554"/>
      <c r="G1166" s="554"/>
      <c r="H1166" s="554"/>
    </row>
    <row r="1167" spans="3:8" x14ac:dyDescent="0.25">
      <c r="C1167" s="554"/>
      <c r="D1167" s="554"/>
      <c r="E1167" s="554"/>
      <c r="F1167" s="554"/>
      <c r="G1167" s="554"/>
      <c r="H1167" s="554"/>
    </row>
    <row r="1168" spans="3:8" x14ac:dyDescent="0.25">
      <c r="C1168" s="554"/>
      <c r="D1168" s="554"/>
      <c r="E1168" s="554"/>
      <c r="F1168" s="554"/>
      <c r="G1168" s="554"/>
      <c r="H1168" s="554"/>
    </row>
    <row r="1169" spans="3:8" x14ac:dyDescent="0.25">
      <c r="C1169" s="554"/>
      <c r="D1169" s="554"/>
      <c r="E1169" s="554"/>
      <c r="F1169" s="554"/>
      <c r="G1169" s="554"/>
      <c r="H1169" s="554"/>
    </row>
    <row r="1170" spans="3:8" x14ac:dyDescent="0.25">
      <c r="C1170" s="554"/>
      <c r="D1170" s="554"/>
      <c r="E1170" s="554"/>
      <c r="F1170" s="554"/>
      <c r="G1170" s="554"/>
      <c r="H1170" s="554"/>
    </row>
    <row r="1171" spans="3:8" x14ac:dyDescent="0.25">
      <c r="C1171" s="554"/>
      <c r="D1171" s="554"/>
      <c r="E1171" s="554"/>
      <c r="F1171" s="554"/>
      <c r="G1171" s="554"/>
      <c r="H1171" s="554"/>
    </row>
    <row r="1172" spans="3:8" x14ac:dyDescent="0.25">
      <c r="C1172" s="554"/>
      <c r="D1172" s="554"/>
      <c r="E1172" s="554"/>
      <c r="F1172" s="554"/>
      <c r="G1172" s="554"/>
      <c r="H1172" s="554"/>
    </row>
    <row r="1173" spans="3:8" x14ac:dyDescent="0.25">
      <c r="C1173" s="554"/>
      <c r="D1173" s="554"/>
      <c r="E1173" s="554"/>
      <c r="F1173" s="554"/>
      <c r="G1173" s="554"/>
      <c r="H1173" s="554"/>
    </row>
    <row r="1174" spans="3:8" x14ac:dyDescent="0.25">
      <c r="C1174" s="554"/>
      <c r="D1174" s="554"/>
      <c r="E1174" s="554"/>
      <c r="F1174" s="554"/>
      <c r="G1174" s="554"/>
      <c r="H1174" s="554"/>
    </row>
    <row r="1175" spans="3:8" x14ac:dyDescent="0.25">
      <c r="C1175" s="554"/>
      <c r="D1175" s="554"/>
      <c r="E1175" s="554"/>
      <c r="F1175" s="554"/>
      <c r="G1175" s="554"/>
      <c r="H1175" s="554"/>
    </row>
    <row r="1176" spans="3:8" x14ac:dyDescent="0.25">
      <c r="C1176" s="554"/>
      <c r="D1176" s="554"/>
      <c r="E1176" s="554"/>
      <c r="F1176" s="554"/>
      <c r="G1176" s="554"/>
      <c r="H1176" s="554"/>
    </row>
    <row r="1177" spans="3:8" x14ac:dyDescent="0.25">
      <c r="C1177" s="554"/>
      <c r="D1177" s="554"/>
      <c r="E1177" s="554"/>
      <c r="F1177" s="554"/>
      <c r="G1177" s="554"/>
      <c r="H1177" s="554"/>
    </row>
    <row r="1178" spans="3:8" x14ac:dyDescent="0.25">
      <c r="C1178" s="554"/>
      <c r="D1178" s="554"/>
      <c r="E1178" s="554"/>
      <c r="F1178" s="554"/>
      <c r="G1178" s="554"/>
      <c r="H1178" s="554"/>
    </row>
    <row r="1179" spans="3:8" x14ac:dyDescent="0.25">
      <c r="C1179" s="554"/>
      <c r="D1179" s="554"/>
      <c r="E1179" s="554"/>
      <c r="F1179" s="554"/>
      <c r="G1179" s="554"/>
      <c r="H1179" s="554"/>
    </row>
    <row r="1180" spans="3:8" x14ac:dyDescent="0.25">
      <c r="C1180" s="554"/>
      <c r="D1180" s="554"/>
      <c r="E1180" s="554"/>
      <c r="F1180" s="554"/>
      <c r="G1180" s="554"/>
      <c r="H1180" s="554"/>
    </row>
    <row r="1181" spans="3:8" x14ac:dyDescent="0.25">
      <c r="C1181" s="554"/>
      <c r="D1181" s="554"/>
      <c r="E1181" s="554"/>
      <c r="F1181" s="554"/>
      <c r="G1181" s="554"/>
      <c r="H1181" s="554"/>
    </row>
    <row r="1182" spans="3:8" x14ac:dyDescent="0.25">
      <c r="C1182" s="554"/>
      <c r="D1182" s="554"/>
      <c r="E1182" s="554"/>
      <c r="F1182" s="554"/>
      <c r="G1182" s="554"/>
      <c r="H1182" s="554"/>
    </row>
    <row r="1183" spans="3:8" x14ac:dyDescent="0.25">
      <c r="C1183" s="554"/>
      <c r="D1183" s="554"/>
      <c r="E1183" s="554"/>
      <c r="F1183" s="554"/>
      <c r="G1183" s="554"/>
      <c r="H1183" s="554"/>
    </row>
    <row r="1184" spans="3:8" x14ac:dyDescent="0.25">
      <c r="C1184" s="554"/>
      <c r="D1184" s="554"/>
      <c r="E1184" s="554"/>
      <c r="F1184" s="554"/>
      <c r="G1184" s="554"/>
      <c r="H1184" s="554"/>
    </row>
    <row r="1185" spans="3:8" x14ac:dyDescent="0.25">
      <c r="C1185" s="554"/>
      <c r="D1185" s="554"/>
      <c r="E1185" s="554"/>
      <c r="F1185" s="554"/>
      <c r="G1185" s="554"/>
      <c r="H1185" s="554"/>
    </row>
    <row r="1186" spans="3:8" x14ac:dyDescent="0.25">
      <c r="C1186" s="554"/>
      <c r="D1186" s="554"/>
      <c r="E1186" s="554"/>
      <c r="F1186" s="554"/>
      <c r="G1186" s="554"/>
      <c r="H1186" s="554"/>
    </row>
    <row r="1187" spans="3:8" x14ac:dyDescent="0.25">
      <c r="C1187" s="554"/>
      <c r="D1187" s="554"/>
      <c r="E1187" s="554"/>
      <c r="F1187" s="554"/>
      <c r="G1187" s="554"/>
      <c r="H1187" s="554"/>
    </row>
    <row r="1188" spans="3:8" x14ac:dyDescent="0.25">
      <c r="C1188" s="554"/>
      <c r="D1188" s="554"/>
      <c r="E1188" s="554"/>
      <c r="F1188" s="554"/>
      <c r="G1188" s="554"/>
      <c r="H1188" s="554"/>
    </row>
    <row r="1189" spans="3:8" x14ac:dyDescent="0.25">
      <c r="C1189" s="554"/>
      <c r="D1189" s="554"/>
      <c r="E1189" s="554"/>
      <c r="F1189" s="554"/>
      <c r="G1189" s="554"/>
      <c r="H1189" s="554"/>
    </row>
    <row r="1190" spans="3:8" x14ac:dyDescent="0.25">
      <c r="C1190" s="554"/>
      <c r="D1190" s="554"/>
      <c r="E1190" s="554"/>
      <c r="F1190" s="554"/>
      <c r="G1190" s="554"/>
      <c r="H1190" s="554"/>
    </row>
    <row r="1191" spans="3:8" x14ac:dyDescent="0.25">
      <c r="C1191" s="554"/>
      <c r="D1191" s="554"/>
      <c r="E1191" s="554"/>
      <c r="F1191" s="554"/>
      <c r="G1191" s="554"/>
      <c r="H1191" s="554"/>
    </row>
    <row r="1192" spans="3:8" x14ac:dyDescent="0.25">
      <c r="C1192" s="554"/>
      <c r="D1192" s="554"/>
      <c r="E1192" s="554"/>
      <c r="F1192" s="554"/>
      <c r="G1192" s="554"/>
      <c r="H1192" s="554"/>
    </row>
    <row r="1193" spans="3:8" x14ac:dyDescent="0.25">
      <c r="C1193" s="554"/>
      <c r="D1193" s="554"/>
      <c r="E1193" s="554"/>
      <c r="F1193" s="554"/>
      <c r="G1193" s="554"/>
      <c r="H1193" s="554"/>
    </row>
    <row r="1194" spans="3:8" x14ac:dyDescent="0.25">
      <c r="C1194" s="554"/>
      <c r="D1194" s="554"/>
      <c r="E1194" s="554"/>
      <c r="F1194" s="554"/>
      <c r="G1194" s="554"/>
      <c r="H1194" s="554"/>
    </row>
    <row r="1195" spans="3:8" x14ac:dyDescent="0.25">
      <c r="C1195" s="554"/>
      <c r="D1195" s="554"/>
      <c r="E1195" s="554"/>
      <c r="F1195" s="554"/>
      <c r="G1195" s="554"/>
      <c r="H1195" s="554"/>
    </row>
    <row r="1196" spans="3:8" x14ac:dyDescent="0.25">
      <c r="C1196" s="554"/>
      <c r="D1196" s="554"/>
      <c r="E1196" s="554"/>
      <c r="F1196" s="554"/>
      <c r="G1196" s="554"/>
      <c r="H1196" s="554"/>
    </row>
    <row r="1197" spans="3:8" x14ac:dyDescent="0.25">
      <c r="C1197" s="554"/>
      <c r="D1197" s="554"/>
      <c r="E1197" s="554"/>
      <c r="F1197" s="554"/>
      <c r="G1197" s="554"/>
      <c r="H1197" s="554"/>
    </row>
    <row r="1198" spans="3:8" x14ac:dyDescent="0.25">
      <c r="C1198" s="554"/>
      <c r="D1198" s="554"/>
      <c r="E1198" s="554"/>
      <c r="F1198" s="554"/>
      <c r="G1198" s="554"/>
      <c r="H1198" s="554"/>
    </row>
    <row r="1199" spans="3:8" x14ac:dyDescent="0.25">
      <c r="C1199" s="554"/>
      <c r="D1199" s="554"/>
      <c r="E1199" s="554"/>
      <c r="F1199" s="554"/>
      <c r="G1199" s="554"/>
      <c r="H1199" s="554"/>
    </row>
    <row r="1200" spans="3:8" x14ac:dyDescent="0.25">
      <c r="C1200" s="554"/>
      <c r="D1200" s="554"/>
      <c r="E1200" s="554"/>
      <c r="F1200" s="554"/>
      <c r="G1200" s="554"/>
      <c r="H1200" s="554"/>
    </row>
    <row r="1201" spans="3:8" x14ac:dyDescent="0.25">
      <c r="C1201" s="554"/>
      <c r="D1201" s="554"/>
      <c r="E1201" s="554"/>
      <c r="F1201" s="554"/>
      <c r="G1201" s="554"/>
      <c r="H1201" s="554"/>
    </row>
    <row r="1202" spans="3:8" x14ac:dyDescent="0.25">
      <c r="C1202" s="554"/>
      <c r="D1202" s="554"/>
      <c r="E1202" s="554"/>
      <c r="F1202" s="554"/>
      <c r="G1202" s="554"/>
      <c r="H1202" s="554"/>
    </row>
    <row r="1203" spans="3:8" x14ac:dyDescent="0.25">
      <c r="C1203" s="554"/>
      <c r="D1203" s="554"/>
      <c r="E1203" s="554"/>
      <c r="F1203" s="554"/>
      <c r="G1203" s="554"/>
      <c r="H1203" s="554"/>
    </row>
    <row r="1204" spans="3:8" x14ac:dyDescent="0.25">
      <c r="C1204" s="554"/>
      <c r="D1204" s="554"/>
      <c r="E1204" s="554"/>
      <c r="F1204" s="554"/>
      <c r="G1204" s="554"/>
      <c r="H1204" s="554"/>
    </row>
    <row r="1205" spans="3:8" x14ac:dyDescent="0.25">
      <c r="C1205" s="554"/>
      <c r="D1205" s="554"/>
      <c r="E1205" s="554"/>
      <c r="F1205" s="554"/>
      <c r="G1205" s="554"/>
      <c r="H1205" s="554"/>
    </row>
    <row r="1206" spans="3:8" x14ac:dyDescent="0.25">
      <c r="C1206" s="554"/>
      <c r="D1206" s="554"/>
      <c r="E1206" s="554"/>
      <c r="F1206" s="554"/>
      <c r="G1206" s="554"/>
      <c r="H1206" s="554"/>
    </row>
    <row r="1207" spans="3:8" x14ac:dyDescent="0.25">
      <c r="C1207" s="554"/>
      <c r="D1207" s="554"/>
      <c r="E1207" s="554"/>
      <c r="F1207" s="554"/>
      <c r="G1207" s="554"/>
      <c r="H1207" s="554"/>
    </row>
    <row r="1208" spans="3:8" x14ac:dyDescent="0.25">
      <c r="C1208" s="554"/>
      <c r="D1208" s="554"/>
      <c r="E1208" s="554"/>
      <c r="F1208" s="554"/>
      <c r="G1208" s="554"/>
      <c r="H1208" s="554"/>
    </row>
    <row r="1209" spans="3:8" x14ac:dyDescent="0.25">
      <c r="C1209" s="554"/>
      <c r="D1209" s="554"/>
      <c r="E1209" s="554"/>
      <c r="F1209" s="554"/>
      <c r="G1209" s="554"/>
      <c r="H1209" s="554"/>
    </row>
    <row r="1210" spans="3:8" x14ac:dyDescent="0.25">
      <c r="C1210" s="554"/>
      <c r="D1210" s="554"/>
      <c r="E1210" s="554"/>
      <c r="F1210" s="554"/>
      <c r="G1210" s="554"/>
      <c r="H1210" s="554"/>
    </row>
    <row r="1211" spans="3:8" x14ac:dyDescent="0.25">
      <c r="C1211" s="554"/>
      <c r="D1211" s="554"/>
      <c r="E1211" s="554"/>
      <c r="F1211" s="554"/>
      <c r="G1211" s="554"/>
      <c r="H1211" s="554"/>
    </row>
    <row r="1212" spans="3:8" x14ac:dyDescent="0.25">
      <c r="C1212" s="554"/>
      <c r="D1212" s="554"/>
      <c r="E1212" s="554"/>
      <c r="F1212" s="554"/>
      <c r="G1212" s="554"/>
      <c r="H1212" s="554"/>
    </row>
    <row r="1213" spans="3:8" x14ac:dyDescent="0.25">
      <c r="C1213" s="554"/>
      <c r="D1213" s="554"/>
      <c r="E1213" s="554"/>
      <c r="F1213" s="554"/>
      <c r="G1213" s="554"/>
      <c r="H1213" s="554"/>
    </row>
    <row r="1214" spans="3:8" x14ac:dyDescent="0.25">
      <c r="C1214" s="554"/>
      <c r="D1214" s="554"/>
      <c r="E1214" s="554"/>
      <c r="F1214" s="554"/>
      <c r="G1214" s="554"/>
      <c r="H1214" s="554"/>
    </row>
    <row r="1215" spans="3:8" x14ac:dyDescent="0.25">
      <c r="C1215" s="554"/>
      <c r="D1215" s="554"/>
      <c r="E1215" s="554"/>
      <c r="F1215" s="554"/>
      <c r="G1215" s="554"/>
      <c r="H1215" s="554"/>
    </row>
    <row r="1216" spans="3:8" x14ac:dyDescent="0.25">
      <c r="C1216" s="554"/>
      <c r="D1216" s="554"/>
      <c r="E1216" s="554"/>
      <c r="F1216" s="554"/>
      <c r="G1216" s="554"/>
      <c r="H1216" s="554"/>
    </row>
    <row r="1217" spans="3:8" x14ac:dyDescent="0.25">
      <c r="C1217" s="554"/>
      <c r="D1217" s="554"/>
      <c r="E1217" s="554"/>
      <c r="F1217" s="554"/>
      <c r="G1217" s="554"/>
      <c r="H1217" s="554"/>
    </row>
    <row r="1218" spans="3:8" x14ac:dyDescent="0.25">
      <c r="C1218" s="554"/>
      <c r="D1218" s="554"/>
      <c r="E1218" s="554"/>
      <c r="F1218" s="554"/>
      <c r="G1218" s="554"/>
      <c r="H1218" s="554"/>
    </row>
    <row r="1219" spans="3:8" x14ac:dyDescent="0.25">
      <c r="C1219" s="554"/>
      <c r="D1219" s="554"/>
      <c r="E1219" s="554"/>
      <c r="F1219" s="554"/>
      <c r="G1219" s="554"/>
      <c r="H1219" s="554"/>
    </row>
    <row r="1220" spans="3:8" x14ac:dyDescent="0.25">
      <c r="C1220" s="554"/>
      <c r="D1220" s="554"/>
      <c r="E1220" s="554"/>
      <c r="F1220" s="554"/>
      <c r="G1220" s="554"/>
      <c r="H1220" s="554"/>
    </row>
    <row r="1221" spans="3:8" x14ac:dyDescent="0.25">
      <c r="C1221" s="554"/>
      <c r="D1221" s="554"/>
      <c r="E1221" s="554"/>
      <c r="F1221" s="554"/>
      <c r="G1221" s="554"/>
      <c r="H1221" s="554"/>
    </row>
    <row r="1222" spans="3:8" x14ac:dyDescent="0.25">
      <c r="C1222" s="554"/>
      <c r="D1222" s="554"/>
      <c r="E1222" s="554"/>
      <c r="F1222" s="554"/>
      <c r="G1222" s="554"/>
      <c r="H1222" s="554"/>
    </row>
    <row r="1223" spans="3:8" x14ac:dyDescent="0.25">
      <c r="C1223" s="554"/>
      <c r="D1223" s="554"/>
      <c r="E1223" s="554"/>
      <c r="F1223" s="554"/>
      <c r="G1223" s="554"/>
      <c r="H1223" s="554"/>
    </row>
    <row r="1224" spans="3:8" x14ac:dyDescent="0.25">
      <c r="C1224" s="554"/>
      <c r="D1224" s="554"/>
      <c r="E1224" s="554"/>
      <c r="F1224" s="554"/>
      <c r="G1224" s="554"/>
      <c r="H1224" s="554"/>
    </row>
    <row r="1225" spans="3:8" x14ac:dyDescent="0.25">
      <c r="C1225" s="554"/>
      <c r="D1225" s="554"/>
      <c r="E1225" s="554"/>
      <c r="F1225" s="554"/>
      <c r="G1225" s="554"/>
      <c r="H1225" s="554"/>
    </row>
    <row r="1226" spans="3:8" x14ac:dyDescent="0.25">
      <c r="C1226" s="554"/>
      <c r="D1226" s="554"/>
      <c r="E1226" s="554"/>
      <c r="F1226" s="554"/>
      <c r="G1226" s="554"/>
      <c r="H1226" s="554"/>
    </row>
    <row r="1227" spans="3:8" x14ac:dyDescent="0.25">
      <c r="C1227" s="554"/>
      <c r="D1227" s="554"/>
      <c r="E1227" s="554"/>
      <c r="F1227" s="554"/>
      <c r="G1227" s="554"/>
      <c r="H1227" s="554"/>
    </row>
    <row r="1228" spans="3:8" x14ac:dyDescent="0.25">
      <c r="C1228" s="554"/>
      <c r="D1228" s="554"/>
      <c r="E1228" s="554"/>
      <c r="F1228" s="554"/>
      <c r="G1228" s="554"/>
      <c r="H1228" s="554"/>
    </row>
    <row r="1229" spans="3:8" x14ac:dyDescent="0.25">
      <c r="C1229" s="554"/>
      <c r="D1229" s="554"/>
      <c r="E1229" s="554"/>
      <c r="F1229" s="554"/>
      <c r="G1229" s="554"/>
      <c r="H1229" s="554"/>
    </row>
    <row r="1230" spans="3:8" x14ac:dyDescent="0.25">
      <c r="C1230" s="554"/>
      <c r="D1230" s="554"/>
      <c r="E1230" s="554"/>
      <c r="F1230" s="554"/>
      <c r="G1230" s="554"/>
      <c r="H1230" s="554"/>
    </row>
    <row r="1231" spans="3:8" x14ac:dyDescent="0.25">
      <c r="C1231" s="554"/>
      <c r="D1231" s="554"/>
      <c r="E1231" s="554"/>
      <c r="F1231" s="554"/>
      <c r="G1231" s="554"/>
      <c r="H1231" s="554"/>
    </row>
    <row r="1232" spans="3:8" x14ac:dyDescent="0.25">
      <c r="C1232" s="554"/>
      <c r="D1232" s="554"/>
      <c r="E1232" s="554"/>
      <c r="F1232" s="554"/>
      <c r="G1232" s="554"/>
      <c r="H1232" s="554"/>
    </row>
    <row r="1233" spans="3:8" x14ac:dyDescent="0.25">
      <c r="C1233" s="554"/>
      <c r="D1233" s="554"/>
      <c r="E1233" s="554"/>
      <c r="F1233" s="554"/>
      <c r="G1233" s="554"/>
      <c r="H1233" s="554"/>
    </row>
    <row r="1234" spans="3:8" x14ac:dyDescent="0.25">
      <c r="C1234" s="554"/>
      <c r="D1234" s="554"/>
      <c r="E1234" s="554"/>
      <c r="F1234" s="554"/>
      <c r="G1234" s="554"/>
      <c r="H1234" s="554"/>
    </row>
    <row r="1235" spans="3:8" x14ac:dyDescent="0.25">
      <c r="C1235" s="554"/>
      <c r="D1235" s="554"/>
      <c r="E1235" s="554"/>
      <c r="F1235" s="554"/>
      <c r="G1235" s="554"/>
      <c r="H1235" s="554"/>
    </row>
    <row r="1236" spans="3:8" x14ac:dyDescent="0.25">
      <c r="C1236" s="554"/>
      <c r="D1236" s="554"/>
      <c r="E1236" s="554"/>
      <c r="F1236" s="554"/>
      <c r="G1236" s="554"/>
      <c r="H1236" s="554"/>
    </row>
    <row r="1237" spans="3:8" x14ac:dyDescent="0.25">
      <c r="C1237" s="554"/>
      <c r="D1237" s="554"/>
      <c r="E1237" s="554"/>
      <c r="F1237" s="554"/>
      <c r="G1237" s="554"/>
      <c r="H1237" s="554"/>
    </row>
    <row r="1238" spans="3:8" x14ac:dyDescent="0.25">
      <c r="C1238" s="554"/>
      <c r="D1238" s="554"/>
      <c r="E1238" s="554"/>
      <c r="F1238" s="554"/>
      <c r="G1238" s="554"/>
      <c r="H1238" s="554"/>
    </row>
    <row r="1239" spans="3:8" x14ac:dyDescent="0.25">
      <c r="C1239" s="554"/>
      <c r="D1239" s="554"/>
      <c r="E1239" s="554"/>
      <c r="F1239" s="554"/>
      <c r="G1239" s="554"/>
      <c r="H1239" s="554"/>
    </row>
    <row r="1240" spans="3:8" x14ac:dyDescent="0.25">
      <c r="C1240" s="554"/>
      <c r="D1240" s="554"/>
      <c r="E1240" s="554"/>
      <c r="F1240" s="554"/>
      <c r="G1240" s="554"/>
      <c r="H1240" s="554"/>
    </row>
    <row r="1241" spans="3:8" x14ac:dyDescent="0.25">
      <c r="C1241" s="554"/>
      <c r="D1241" s="554"/>
      <c r="E1241" s="554"/>
      <c r="F1241" s="554"/>
      <c r="G1241" s="554"/>
      <c r="H1241" s="554"/>
    </row>
    <row r="1242" spans="3:8" x14ac:dyDescent="0.25">
      <c r="C1242" s="554"/>
      <c r="D1242" s="554"/>
      <c r="E1242" s="554"/>
      <c r="F1242" s="554"/>
      <c r="G1242" s="554"/>
      <c r="H1242" s="554"/>
    </row>
    <row r="1243" spans="3:8" x14ac:dyDescent="0.25">
      <c r="C1243" s="554"/>
      <c r="D1243" s="554"/>
      <c r="E1243" s="554"/>
      <c r="F1243" s="554"/>
      <c r="G1243" s="554"/>
      <c r="H1243" s="554"/>
    </row>
    <row r="1244" spans="3:8" x14ac:dyDescent="0.25">
      <c r="C1244" s="554"/>
      <c r="D1244" s="554"/>
      <c r="E1244" s="554"/>
      <c r="F1244" s="554"/>
      <c r="G1244" s="554"/>
      <c r="H1244" s="554"/>
    </row>
    <row r="1245" spans="3:8" x14ac:dyDescent="0.25">
      <c r="C1245" s="554"/>
      <c r="D1245" s="554"/>
      <c r="E1245" s="554"/>
      <c r="F1245" s="554"/>
      <c r="G1245" s="554"/>
      <c r="H1245" s="554"/>
    </row>
    <row r="1246" spans="3:8" x14ac:dyDescent="0.25">
      <c r="C1246" s="554"/>
      <c r="D1246" s="554"/>
      <c r="E1246" s="554"/>
      <c r="F1246" s="554"/>
      <c r="G1246" s="554"/>
      <c r="H1246" s="554"/>
    </row>
    <row r="1247" spans="3:8" x14ac:dyDescent="0.25">
      <c r="C1247" s="554"/>
      <c r="D1247" s="554"/>
      <c r="E1247" s="554"/>
      <c r="F1247" s="554"/>
      <c r="G1247" s="554"/>
      <c r="H1247" s="554"/>
    </row>
    <row r="1248" spans="3:8" x14ac:dyDescent="0.25">
      <c r="C1248" s="554"/>
      <c r="D1248" s="554"/>
      <c r="E1248" s="554"/>
      <c r="F1248" s="554"/>
      <c r="G1248" s="554"/>
      <c r="H1248" s="554"/>
    </row>
    <row r="1249" spans="3:8" x14ac:dyDescent="0.25">
      <c r="C1249" s="554"/>
      <c r="D1249" s="554"/>
      <c r="E1249" s="554"/>
      <c r="F1249" s="554"/>
      <c r="G1249" s="554"/>
      <c r="H1249" s="554"/>
    </row>
    <row r="1250" spans="3:8" x14ac:dyDescent="0.25">
      <c r="C1250" s="554"/>
      <c r="D1250" s="554"/>
      <c r="E1250" s="554"/>
      <c r="F1250" s="554"/>
      <c r="G1250" s="554"/>
      <c r="H1250" s="554"/>
    </row>
    <row r="1251" spans="3:8" x14ac:dyDescent="0.25">
      <c r="C1251" s="554"/>
      <c r="D1251" s="554"/>
      <c r="E1251" s="554"/>
      <c r="F1251" s="554"/>
      <c r="G1251" s="554"/>
      <c r="H1251" s="554"/>
    </row>
    <row r="1252" spans="3:8" x14ac:dyDescent="0.25">
      <c r="C1252" s="554"/>
      <c r="D1252" s="554"/>
      <c r="E1252" s="554"/>
      <c r="F1252" s="554"/>
      <c r="G1252" s="554"/>
      <c r="H1252" s="554"/>
    </row>
    <row r="1253" spans="3:8" x14ac:dyDescent="0.25">
      <c r="C1253" s="554"/>
      <c r="D1253" s="554"/>
      <c r="E1253" s="554"/>
      <c r="F1253" s="554"/>
      <c r="G1253" s="554"/>
      <c r="H1253" s="554"/>
    </row>
    <row r="1254" spans="3:8" x14ac:dyDescent="0.25">
      <c r="C1254" s="554"/>
      <c r="D1254" s="554"/>
      <c r="E1254" s="554"/>
      <c r="F1254" s="554"/>
      <c r="G1254" s="554"/>
      <c r="H1254" s="554"/>
    </row>
    <row r="1255" spans="3:8" x14ac:dyDescent="0.25">
      <c r="C1255" s="554"/>
      <c r="D1255" s="554"/>
      <c r="E1255" s="554"/>
      <c r="F1255" s="554"/>
      <c r="G1255" s="554"/>
      <c r="H1255" s="554"/>
    </row>
    <row r="1256" spans="3:8" x14ac:dyDescent="0.25">
      <c r="C1256" s="554"/>
      <c r="D1256" s="554"/>
      <c r="E1256" s="554"/>
      <c r="F1256" s="554"/>
      <c r="G1256" s="554"/>
      <c r="H1256" s="554"/>
    </row>
    <row r="1257" spans="3:8" x14ac:dyDescent="0.25">
      <c r="C1257" s="554"/>
      <c r="D1257" s="554"/>
      <c r="E1257" s="554"/>
      <c r="F1257" s="554"/>
      <c r="G1257" s="554"/>
      <c r="H1257" s="554"/>
    </row>
    <row r="1258" spans="3:8" x14ac:dyDescent="0.25">
      <c r="C1258" s="554"/>
      <c r="D1258" s="554"/>
      <c r="E1258" s="554"/>
      <c r="F1258" s="554"/>
      <c r="G1258" s="554"/>
      <c r="H1258" s="554"/>
    </row>
    <row r="1259" spans="3:8" x14ac:dyDescent="0.25">
      <c r="C1259" s="554"/>
      <c r="D1259" s="554"/>
      <c r="E1259" s="554"/>
      <c r="F1259" s="554"/>
      <c r="G1259" s="554"/>
      <c r="H1259" s="554"/>
    </row>
    <row r="1260" spans="3:8" x14ac:dyDescent="0.25">
      <c r="C1260" s="554"/>
      <c r="D1260" s="554"/>
      <c r="E1260" s="554"/>
      <c r="F1260" s="554"/>
      <c r="G1260" s="554"/>
      <c r="H1260" s="554"/>
    </row>
    <row r="1261" spans="3:8" x14ac:dyDescent="0.25">
      <c r="C1261" s="554"/>
      <c r="D1261" s="554"/>
      <c r="E1261" s="554"/>
      <c r="F1261" s="554"/>
      <c r="G1261" s="554"/>
      <c r="H1261" s="554"/>
    </row>
    <row r="1262" spans="3:8" x14ac:dyDescent="0.25">
      <c r="C1262" s="554"/>
      <c r="D1262" s="554"/>
      <c r="E1262" s="554"/>
      <c r="F1262" s="554"/>
      <c r="G1262" s="554"/>
      <c r="H1262" s="554"/>
    </row>
    <row r="1263" spans="3:8" x14ac:dyDescent="0.25">
      <c r="C1263" s="554"/>
      <c r="D1263" s="554"/>
      <c r="E1263" s="554"/>
      <c r="F1263" s="554"/>
      <c r="G1263" s="554"/>
      <c r="H1263" s="554"/>
    </row>
    <row r="1264" spans="3:8" x14ac:dyDescent="0.25">
      <c r="C1264" s="554"/>
      <c r="D1264" s="554"/>
      <c r="E1264" s="554"/>
      <c r="F1264" s="554"/>
      <c r="G1264" s="554"/>
      <c r="H1264" s="554"/>
    </row>
    <row r="1265" spans="3:8" x14ac:dyDescent="0.25">
      <c r="C1265" s="554"/>
      <c r="D1265" s="554"/>
      <c r="E1265" s="554"/>
      <c r="F1265" s="554"/>
      <c r="G1265" s="554"/>
      <c r="H1265" s="554"/>
    </row>
    <row r="1266" spans="3:8" x14ac:dyDescent="0.25">
      <c r="C1266" s="554"/>
      <c r="D1266" s="554"/>
      <c r="E1266" s="554"/>
      <c r="F1266" s="554"/>
      <c r="G1266" s="554"/>
      <c r="H1266" s="554"/>
    </row>
    <row r="1267" spans="3:8" x14ac:dyDescent="0.25">
      <c r="C1267" s="554"/>
      <c r="D1267" s="554"/>
      <c r="E1267" s="554"/>
      <c r="F1267" s="554"/>
      <c r="G1267" s="554"/>
      <c r="H1267" s="554"/>
    </row>
    <row r="1268" spans="3:8" x14ac:dyDescent="0.25">
      <c r="C1268" s="554"/>
      <c r="D1268" s="554"/>
      <c r="E1268" s="554"/>
      <c r="F1268" s="554"/>
      <c r="G1268" s="554"/>
      <c r="H1268" s="554"/>
    </row>
    <row r="1269" spans="3:8" x14ac:dyDescent="0.25">
      <c r="C1269" s="554"/>
      <c r="D1269" s="554"/>
      <c r="E1269" s="554"/>
      <c r="F1269" s="554"/>
      <c r="G1269" s="554"/>
      <c r="H1269" s="554"/>
    </row>
    <row r="1270" spans="3:8" x14ac:dyDescent="0.25">
      <c r="C1270" s="554"/>
      <c r="D1270" s="554"/>
      <c r="E1270" s="554"/>
      <c r="F1270" s="554"/>
      <c r="G1270" s="554"/>
      <c r="H1270" s="554"/>
    </row>
    <row r="1271" spans="3:8" x14ac:dyDescent="0.25">
      <c r="C1271" s="554"/>
      <c r="D1271" s="554"/>
      <c r="E1271" s="554"/>
      <c r="F1271" s="554"/>
      <c r="G1271" s="554"/>
      <c r="H1271" s="554"/>
    </row>
    <row r="1272" spans="3:8" x14ac:dyDescent="0.25">
      <c r="C1272" s="554"/>
      <c r="D1272" s="554"/>
      <c r="E1272" s="554"/>
      <c r="F1272" s="554"/>
      <c r="G1272" s="554"/>
      <c r="H1272" s="554"/>
    </row>
    <row r="1273" spans="3:8" x14ac:dyDescent="0.25">
      <c r="C1273" s="554"/>
      <c r="D1273" s="554"/>
      <c r="E1273" s="554"/>
      <c r="F1273" s="554"/>
      <c r="G1273" s="554"/>
      <c r="H1273" s="554"/>
    </row>
    <row r="1274" spans="3:8" x14ac:dyDescent="0.25">
      <c r="C1274" s="554"/>
      <c r="D1274" s="554"/>
      <c r="E1274" s="554"/>
      <c r="F1274" s="554"/>
      <c r="G1274" s="554"/>
      <c r="H1274" s="554"/>
    </row>
    <row r="1275" spans="3:8" x14ac:dyDescent="0.25">
      <c r="C1275" s="554"/>
      <c r="D1275" s="554"/>
      <c r="E1275" s="554"/>
      <c r="F1275" s="554"/>
      <c r="G1275" s="554"/>
      <c r="H1275" s="554"/>
    </row>
    <row r="1276" spans="3:8" x14ac:dyDescent="0.25">
      <c r="C1276" s="554"/>
      <c r="D1276" s="554"/>
      <c r="E1276" s="554"/>
      <c r="F1276" s="554"/>
      <c r="G1276" s="554"/>
      <c r="H1276" s="554"/>
    </row>
    <row r="1277" spans="3:8" x14ac:dyDescent="0.25">
      <c r="C1277" s="554"/>
      <c r="D1277" s="554"/>
      <c r="E1277" s="554"/>
      <c r="F1277" s="554"/>
      <c r="G1277" s="554"/>
      <c r="H1277" s="554"/>
    </row>
    <row r="1278" spans="3:8" x14ac:dyDescent="0.25">
      <c r="C1278" s="554"/>
      <c r="D1278" s="554"/>
      <c r="E1278" s="554"/>
      <c r="F1278" s="554"/>
      <c r="G1278" s="554"/>
      <c r="H1278" s="554"/>
    </row>
    <row r="1279" spans="3:8" x14ac:dyDescent="0.25">
      <c r="C1279" s="554"/>
      <c r="D1279" s="554"/>
      <c r="E1279" s="554"/>
      <c r="F1279" s="554"/>
      <c r="G1279" s="554"/>
      <c r="H1279" s="554"/>
    </row>
    <row r="1280" spans="3:8" x14ac:dyDescent="0.25">
      <c r="C1280" s="554"/>
      <c r="D1280" s="554"/>
      <c r="E1280" s="554"/>
      <c r="F1280" s="554"/>
      <c r="G1280" s="554"/>
      <c r="H1280" s="554"/>
    </row>
    <row r="1281" spans="3:8" x14ac:dyDescent="0.25">
      <c r="C1281" s="554"/>
      <c r="D1281" s="554"/>
      <c r="E1281" s="554"/>
      <c r="F1281" s="554"/>
      <c r="G1281" s="554"/>
      <c r="H1281" s="554"/>
    </row>
    <row r="1282" spans="3:8" x14ac:dyDescent="0.25">
      <c r="C1282" s="554"/>
      <c r="D1282" s="554"/>
      <c r="E1282" s="554"/>
      <c r="F1282" s="554"/>
      <c r="G1282" s="554"/>
      <c r="H1282" s="554"/>
    </row>
    <row r="1283" spans="3:8" x14ac:dyDescent="0.25">
      <c r="C1283" s="554"/>
      <c r="D1283" s="554"/>
      <c r="E1283" s="554"/>
      <c r="F1283" s="554"/>
      <c r="G1283" s="554"/>
      <c r="H1283" s="554"/>
    </row>
    <row r="1284" spans="3:8" x14ac:dyDescent="0.25">
      <c r="C1284" s="554"/>
      <c r="D1284" s="554"/>
      <c r="E1284" s="554"/>
      <c r="F1284" s="554"/>
      <c r="G1284" s="554"/>
      <c r="H1284" s="554"/>
    </row>
    <row r="1285" spans="3:8" x14ac:dyDescent="0.25">
      <c r="C1285" s="554"/>
      <c r="D1285" s="554"/>
      <c r="E1285" s="554"/>
      <c r="F1285" s="554"/>
      <c r="G1285" s="554"/>
      <c r="H1285" s="554"/>
    </row>
    <row r="1286" spans="3:8" x14ac:dyDescent="0.25">
      <c r="C1286" s="554"/>
      <c r="D1286" s="554"/>
      <c r="E1286" s="554"/>
      <c r="F1286" s="554"/>
      <c r="G1286" s="554"/>
      <c r="H1286" s="554"/>
    </row>
    <row r="1287" spans="3:8" x14ac:dyDescent="0.25">
      <c r="C1287" s="554"/>
      <c r="D1287" s="554"/>
      <c r="E1287" s="554"/>
      <c r="F1287" s="554"/>
      <c r="G1287" s="554"/>
      <c r="H1287" s="554"/>
    </row>
    <row r="1288" spans="3:8" x14ac:dyDescent="0.25">
      <c r="C1288" s="554"/>
      <c r="D1288" s="554"/>
      <c r="E1288" s="554"/>
      <c r="F1288" s="554"/>
      <c r="G1288" s="554"/>
      <c r="H1288" s="554"/>
    </row>
    <row r="1289" spans="3:8" x14ac:dyDescent="0.25">
      <c r="C1289" s="554"/>
      <c r="D1289" s="554"/>
      <c r="E1289" s="554"/>
      <c r="F1289" s="554"/>
      <c r="G1289" s="554"/>
      <c r="H1289" s="554"/>
    </row>
    <row r="1290" spans="3:8" x14ac:dyDescent="0.25">
      <c r="C1290" s="554"/>
      <c r="D1290" s="554"/>
      <c r="E1290" s="554"/>
      <c r="F1290" s="554"/>
      <c r="G1290" s="554"/>
      <c r="H1290" s="554"/>
    </row>
    <row r="1291" spans="3:8" x14ac:dyDescent="0.25">
      <c r="C1291" s="554"/>
      <c r="D1291" s="554"/>
      <c r="E1291" s="554"/>
      <c r="F1291" s="554"/>
      <c r="G1291" s="554"/>
      <c r="H1291" s="554"/>
    </row>
    <row r="1292" spans="3:8" x14ac:dyDescent="0.25">
      <c r="C1292" s="554"/>
      <c r="D1292" s="554"/>
      <c r="E1292" s="554"/>
      <c r="F1292" s="554"/>
      <c r="G1292" s="554"/>
      <c r="H1292" s="554"/>
    </row>
    <row r="1293" spans="3:8" x14ac:dyDescent="0.25">
      <c r="C1293" s="554"/>
      <c r="D1293" s="554"/>
      <c r="E1293" s="554"/>
      <c r="F1293" s="554"/>
      <c r="G1293" s="554"/>
      <c r="H1293" s="554"/>
    </row>
    <row r="1294" spans="3:8" x14ac:dyDescent="0.25">
      <c r="C1294" s="554"/>
      <c r="D1294" s="554"/>
      <c r="E1294" s="554"/>
      <c r="F1294" s="554"/>
      <c r="G1294" s="554"/>
      <c r="H1294" s="554"/>
    </row>
    <row r="1295" spans="3:8" x14ac:dyDescent="0.25">
      <c r="C1295" s="554"/>
      <c r="D1295" s="554"/>
      <c r="E1295" s="554"/>
      <c r="F1295" s="554"/>
      <c r="G1295" s="554"/>
      <c r="H1295" s="554"/>
    </row>
    <row r="1296" spans="3:8" x14ac:dyDescent="0.25">
      <c r="C1296" s="554"/>
      <c r="D1296" s="554"/>
      <c r="E1296" s="554"/>
      <c r="F1296" s="554"/>
      <c r="G1296" s="554"/>
      <c r="H1296" s="554"/>
    </row>
    <row r="1297" spans="3:8" x14ac:dyDescent="0.25">
      <c r="C1297" s="554"/>
      <c r="D1297" s="554"/>
      <c r="E1297" s="554"/>
      <c r="F1297" s="554"/>
      <c r="G1297" s="554"/>
      <c r="H1297" s="554"/>
    </row>
    <row r="1298" spans="3:8" x14ac:dyDescent="0.25">
      <c r="C1298" s="554"/>
      <c r="D1298" s="554"/>
      <c r="E1298" s="554"/>
      <c r="F1298" s="554"/>
      <c r="G1298" s="554"/>
      <c r="H1298" s="554"/>
    </row>
    <row r="1299" spans="3:8" x14ac:dyDescent="0.25">
      <c r="C1299" s="554"/>
      <c r="D1299" s="554"/>
      <c r="E1299" s="554"/>
      <c r="F1299" s="554"/>
      <c r="G1299" s="554"/>
      <c r="H1299" s="554"/>
    </row>
    <row r="1300" spans="3:8" x14ac:dyDescent="0.25">
      <c r="C1300" s="554"/>
      <c r="D1300" s="554"/>
      <c r="E1300" s="554"/>
      <c r="F1300" s="554"/>
      <c r="G1300" s="554"/>
      <c r="H1300" s="554"/>
    </row>
    <row r="1301" spans="3:8" x14ac:dyDescent="0.25">
      <c r="C1301" s="554"/>
      <c r="D1301" s="554"/>
      <c r="E1301" s="554"/>
      <c r="F1301" s="554"/>
      <c r="G1301" s="554"/>
      <c r="H1301" s="554"/>
    </row>
    <row r="1302" spans="3:8" x14ac:dyDescent="0.25">
      <c r="C1302" s="554"/>
      <c r="D1302" s="554"/>
      <c r="E1302" s="554"/>
      <c r="F1302" s="554"/>
      <c r="G1302" s="554"/>
      <c r="H1302" s="554"/>
    </row>
    <row r="1303" spans="3:8" x14ac:dyDescent="0.25">
      <c r="C1303" s="554"/>
      <c r="D1303" s="554"/>
      <c r="E1303" s="554"/>
      <c r="F1303" s="554"/>
      <c r="G1303" s="554"/>
      <c r="H1303" s="554"/>
    </row>
    <row r="1304" spans="3:8" x14ac:dyDescent="0.25">
      <c r="C1304" s="554"/>
      <c r="D1304" s="554"/>
      <c r="E1304" s="554"/>
      <c r="F1304" s="554"/>
      <c r="G1304" s="554"/>
      <c r="H1304" s="554"/>
    </row>
    <row r="1305" spans="3:8" x14ac:dyDescent="0.25">
      <c r="C1305" s="554"/>
      <c r="D1305" s="554"/>
      <c r="E1305" s="554"/>
      <c r="F1305" s="554"/>
      <c r="G1305" s="554"/>
      <c r="H1305" s="554"/>
    </row>
    <row r="1306" spans="3:8" x14ac:dyDescent="0.25">
      <c r="C1306" s="554"/>
      <c r="D1306" s="554"/>
      <c r="E1306" s="554"/>
      <c r="F1306" s="554"/>
      <c r="G1306" s="554"/>
      <c r="H1306" s="554"/>
    </row>
    <row r="1307" spans="3:8" x14ac:dyDescent="0.25">
      <c r="C1307" s="554"/>
      <c r="D1307" s="554"/>
      <c r="E1307" s="554"/>
      <c r="F1307" s="554"/>
      <c r="G1307" s="554"/>
      <c r="H1307" s="554"/>
    </row>
    <row r="1308" spans="3:8" x14ac:dyDescent="0.25">
      <c r="C1308" s="554"/>
      <c r="D1308" s="554"/>
      <c r="E1308" s="554"/>
      <c r="F1308" s="554"/>
      <c r="G1308" s="554"/>
      <c r="H1308" s="554"/>
    </row>
    <row r="1309" spans="3:8" x14ac:dyDescent="0.25">
      <c r="C1309" s="554"/>
      <c r="D1309" s="554"/>
      <c r="E1309" s="554"/>
      <c r="F1309" s="554"/>
      <c r="G1309" s="554"/>
      <c r="H1309" s="554"/>
    </row>
    <row r="1310" spans="3:8" x14ac:dyDescent="0.25">
      <c r="C1310" s="554"/>
      <c r="D1310" s="554"/>
      <c r="E1310" s="554"/>
      <c r="F1310" s="554"/>
      <c r="G1310" s="554"/>
      <c r="H1310" s="554"/>
    </row>
    <row r="1311" spans="3:8" x14ac:dyDescent="0.25">
      <c r="C1311" s="554"/>
      <c r="D1311" s="554"/>
      <c r="E1311" s="554"/>
      <c r="F1311" s="554"/>
      <c r="G1311" s="554"/>
      <c r="H1311" s="554"/>
    </row>
    <row r="1312" spans="3:8" x14ac:dyDescent="0.25">
      <c r="C1312" s="554"/>
      <c r="D1312" s="554"/>
      <c r="E1312" s="554"/>
      <c r="F1312" s="554"/>
      <c r="G1312" s="554"/>
      <c r="H1312" s="554"/>
    </row>
    <row r="1313" spans="3:8" x14ac:dyDescent="0.25">
      <c r="C1313" s="554"/>
      <c r="D1313" s="554"/>
      <c r="E1313" s="554"/>
      <c r="F1313" s="554"/>
      <c r="G1313" s="554"/>
      <c r="H1313" s="554"/>
    </row>
    <row r="1314" spans="3:8" x14ac:dyDescent="0.25">
      <c r="C1314" s="554"/>
      <c r="D1314" s="554"/>
      <c r="E1314" s="554"/>
      <c r="F1314" s="554"/>
      <c r="G1314" s="554"/>
      <c r="H1314" s="554"/>
    </row>
    <row r="1315" spans="3:8" x14ac:dyDescent="0.25">
      <c r="C1315" s="554"/>
      <c r="D1315" s="554"/>
      <c r="E1315" s="554"/>
      <c r="F1315" s="554"/>
      <c r="G1315" s="554"/>
      <c r="H1315" s="554"/>
    </row>
    <row r="1316" spans="3:8" x14ac:dyDescent="0.25">
      <c r="C1316" s="554"/>
      <c r="D1316" s="554"/>
      <c r="E1316" s="554"/>
      <c r="F1316" s="554"/>
      <c r="G1316" s="554"/>
      <c r="H1316" s="554"/>
    </row>
    <row r="1317" spans="3:8" x14ac:dyDescent="0.25">
      <c r="C1317" s="554"/>
      <c r="D1317" s="554"/>
      <c r="E1317" s="554"/>
      <c r="F1317" s="554"/>
      <c r="G1317" s="554"/>
      <c r="H1317" s="554"/>
    </row>
    <row r="1318" spans="3:8" x14ac:dyDescent="0.25">
      <c r="C1318" s="554"/>
      <c r="D1318" s="554"/>
      <c r="E1318" s="554"/>
      <c r="F1318" s="554"/>
      <c r="G1318" s="554"/>
      <c r="H1318" s="554"/>
    </row>
    <row r="1319" spans="3:8" x14ac:dyDescent="0.25">
      <c r="C1319" s="554"/>
      <c r="D1319" s="554"/>
      <c r="E1319" s="554"/>
      <c r="F1319" s="554"/>
      <c r="G1319" s="554"/>
      <c r="H1319" s="554"/>
    </row>
    <row r="1320" spans="3:8" x14ac:dyDescent="0.25">
      <c r="C1320" s="554"/>
      <c r="D1320" s="554"/>
      <c r="E1320" s="554"/>
      <c r="F1320" s="554"/>
      <c r="G1320" s="554"/>
      <c r="H1320" s="554"/>
    </row>
    <row r="1321" spans="3:8" x14ac:dyDescent="0.25">
      <c r="C1321" s="554"/>
      <c r="D1321" s="554"/>
      <c r="E1321" s="554"/>
      <c r="F1321" s="554"/>
      <c r="G1321" s="554"/>
      <c r="H1321" s="554"/>
    </row>
    <row r="1322" spans="3:8" x14ac:dyDescent="0.25">
      <c r="C1322" s="554"/>
      <c r="D1322" s="554"/>
      <c r="E1322" s="554"/>
      <c r="F1322" s="554"/>
      <c r="G1322" s="554"/>
      <c r="H1322" s="554"/>
    </row>
    <row r="1323" spans="3:8" x14ac:dyDescent="0.25">
      <c r="C1323" s="554"/>
      <c r="D1323" s="554"/>
      <c r="E1323" s="554"/>
      <c r="F1323" s="554"/>
      <c r="G1323" s="554"/>
      <c r="H1323" s="554"/>
    </row>
    <row r="1324" spans="3:8" x14ac:dyDescent="0.25">
      <c r="C1324" s="554"/>
      <c r="D1324" s="554"/>
      <c r="E1324" s="554"/>
      <c r="F1324" s="554"/>
      <c r="G1324" s="554"/>
      <c r="H1324" s="554"/>
    </row>
    <row r="1325" spans="3:8" x14ac:dyDescent="0.25">
      <c r="C1325" s="554"/>
      <c r="D1325" s="554"/>
      <c r="E1325" s="554"/>
      <c r="F1325" s="554"/>
      <c r="G1325" s="554"/>
      <c r="H1325" s="554"/>
    </row>
    <row r="1326" spans="3:8" x14ac:dyDescent="0.25">
      <c r="C1326" s="554"/>
      <c r="D1326" s="554"/>
      <c r="E1326" s="554"/>
      <c r="F1326" s="554"/>
      <c r="G1326" s="554"/>
      <c r="H1326" s="554"/>
    </row>
    <row r="1327" spans="3:8" x14ac:dyDescent="0.25">
      <c r="C1327" s="554"/>
      <c r="D1327" s="554"/>
      <c r="E1327" s="554"/>
      <c r="F1327" s="554"/>
      <c r="G1327" s="554"/>
      <c r="H1327" s="554"/>
    </row>
    <row r="1328" spans="3:8" x14ac:dyDescent="0.25">
      <c r="C1328" s="554"/>
      <c r="D1328" s="554"/>
      <c r="E1328" s="554"/>
      <c r="F1328" s="554"/>
      <c r="G1328" s="554"/>
      <c r="H1328" s="554"/>
    </row>
    <row r="1329" spans="3:8" x14ac:dyDescent="0.25">
      <c r="C1329" s="554"/>
      <c r="D1329" s="554"/>
      <c r="E1329" s="554"/>
      <c r="F1329" s="554"/>
      <c r="G1329" s="554"/>
      <c r="H1329" s="554"/>
    </row>
    <row r="1330" spans="3:8" x14ac:dyDescent="0.25">
      <c r="C1330" s="554"/>
      <c r="D1330" s="554"/>
      <c r="E1330" s="554"/>
      <c r="F1330" s="554"/>
      <c r="G1330" s="554"/>
      <c r="H1330" s="554"/>
    </row>
    <row r="1331" spans="3:8" x14ac:dyDescent="0.25">
      <c r="C1331" s="554"/>
      <c r="D1331" s="554"/>
      <c r="E1331" s="554"/>
      <c r="F1331" s="554"/>
      <c r="G1331" s="554"/>
      <c r="H1331" s="554"/>
    </row>
    <row r="1332" spans="3:8" x14ac:dyDescent="0.25">
      <c r="C1332" s="554"/>
      <c r="D1332" s="554"/>
      <c r="E1332" s="554"/>
      <c r="F1332" s="554"/>
      <c r="G1332" s="554"/>
      <c r="H1332" s="554"/>
    </row>
    <row r="1333" spans="3:8" x14ac:dyDescent="0.25">
      <c r="C1333" s="554"/>
      <c r="D1333" s="554"/>
      <c r="E1333" s="554"/>
      <c r="F1333" s="554"/>
      <c r="G1333" s="554"/>
      <c r="H1333" s="554"/>
    </row>
    <row r="1334" spans="3:8" x14ac:dyDescent="0.25">
      <c r="C1334" s="554"/>
      <c r="D1334" s="554"/>
      <c r="E1334" s="554"/>
      <c r="F1334" s="554"/>
      <c r="G1334" s="554"/>
      <c r="H1334" s="554"/>
    </row>
    <row r="1335" spans="3:8" x14ac:dyDescent="0.25">
      <c r="C1335" s="554"/>
      <c r="D1335" s="554"/>
      <c r="E1335" s="554"/>
      <c r="F1335" s="554"/>
      <c r="G1335" s="554"/>
      <c r="H1335" s="554"/>
    </row>
    <row r="1336" spans="3:8" x14ac:dyDescent="0.25">
      <c r="C1336" s="554"/>
      <c r="D1336" s="554"/>
      <c r="E1336" s="554"/>
      <c r="F1336" s="554"/>
      <c r="G1336" s="554"/>
      <c r="H1336" s="554"/>
    </row>
    <row r="1337" spans="3:8" x14ac:dyDescent="0.25">
      <c r="C1337" s="554"/>
      <c r="D1337" s="554"/>
      <c r="E1337" s="554"/>
      <c r="F1337" s="554"/>
      <c r="G1337" s="554"/>
      <c r="H1337" s="554"/>
    </row>
    <row r="1338" spans="3:8" x14ac:dyDescent="0.25">
      <c r="C1338" s="554"/>
      <c r="D1338" s="554"/>
      <c r="E1338" s="554"/>
      <c r="F1338" s="554"/>
      <c r="G1338" s="554"/>
      <c r="H1338" s="554"/>
    </row>
    <row r="1339" spans="3:8" x14ac:dyDescent="0.25">
      <c r="C1339" s="554"/>
      <c r="D1339" s="554"/>
      <c r="E1339" s="554"/>
      <c r="F1339" s="554"/>
      <c r="G1339" s="554"/>
      <c r="H1339" s="554"/>
    </row>
    <row r="1340" spans="3:8" x14ac:dyDescent="0.25">
      <c r="C1340" s="554"/>
      <c r="D1340" s="554"/>
      <c r="E1340" s="554"/>
      <c r="F1340" s="554"/>
      <c r="G1340" s="554"/>
      <c r="H1340" s="554"/>
    </row>
    <row r="1341" spans="3:8" x14ac:dyDescent="0.25">
      <c r="C1341" s="554"/>
      <c r="D1341" s="554"/>
      <c r="E1341" s="554"/>
      <c r="F1341" s="554"/>
      <c r="G1341" s="554"/>
      <c r="H1341" s="554"/>
    </row>
    <row r="1342" spans="3:8" x14ac:dyDescent="0.25">
      <c r="C1342" s="554"/>
      <c r="D1342" s="554"/>
      <c r="E1342" s="554"/>
      <c r="F1342" s="554"/>
      <c r="G1342" s="554"/>
      <c r="H1342" s="554"/>
    </row>
    <row r="1343" spans="3:8" x14ac:dyDescent="0.25">
      <c r="C1343" s="554"/>
      <c r="D1343" s="554"/>
      <c r="E1343" s="554"/>
      <c r="F1343" s="554"/>
      <c r="G1343" s="554"/>
      <c r="H1343" s="554"/>
    </row>
    <row r="1344" spans="3:8" x14ac:dyDescent="0.25">
      <c r="C1344" s="554"/>
      <c r="D1344" s="554"/>
      <c r="E1344" s="554"/>
      <c r="F1344" s="554"/>
      <c r="G1344" s="554"/>
      <c r="H1344" s="554"/>
    </row>
    <row r="1345" spans="3:8" x14ac:dyDescent="0.25">
      <c r="C1345" s="554"/>
      <c r="D1345" s="554"/>
      <c r="E1345" s="554"/>
      <c r="F1345" s="554"/>
      <c r="G1345" s="554"/>
      <c r="H1345" s="554"/>
    </row>
    <row r="1346" spans="3:8" x14ac:dyDescent="0.25">
      <c r="C1346" s="554"/>
      <c r="D1346" s="554"/>
      <c r="E1346" s="554"/>
      <c r="F1346" s="554"/>
      <c r="G1346" s="554"/>
      <c r="H1346" s="554"/>
    </row>
    <row r="1347" spans="3:8" x14ac:dyDescent="0.25">
      <c r="C1347" s="554"/>
      <c r="D1347" s="554"/>
      <c r="E1347" s="554"/>
      <c r="F1347" s="554"/>
      <c r="G1347" s="554"/>
      <c r="H1347" s="554"/>
    </row>
    <row r="1348" spans="3:8" x14ac:dyDescent="0.25">
      <c r="C1348" s="554"/>
      <c r="D1348" s="554"/>
      <c r="E1348" s="554"/>
      <c r="F1348" s="554"/>
      <c r="G1348" s="554"/>
      <c r="H1348" s="554"/>
    </row>
    <row r="1349" spans="3:8" x14ac:dyDescent="0.25">
      <c r="C1349" s="554"/>
      <c r="D1349" s="554"/>
      <c r="E1349" s="554"/>
      <c r="F1349" s="554"/>
      <c r="G1349" s="554"/>
      <c r="H1349" s="554"/>
    </row>
    <row r="1350" spans="3:8" x14ac:dyDescent="0.25">
      <c r="C1350" s="554"/>
      <c r="D1350" s="554"/>
      <c r="E1350" s="554"/>
      <c r="F1350" s="554"/>
      <c r="G1350" s="554"/>
      <c r="H1350" s="554"/>
    </row>
    <row r="1351" spans="3:8" x14ac:dyDescent="0.25">
      <c r="C1351" s="554"/>
      <c r="D1351" s="554"/>
      <c r="E1351" s="554"/>
      <c r="F1351" s="554"/>
      <c r="G1351" s="554"/>
      <c r="H1351" s="554"/>
    </row>
    <row r="1352" spans="3:8" x14ac:dyDescent="0.25">
      <c r="C1352" s="554"/>
      <c r="D1352" s="554"/>
      <c r="E1352" s="554"/>
      <c r="F1352" s="554"/>
      <c r="G1352" s="554"/>
      <c r="H1352" s="554"/>
    </row>
    <row r="1353" spans="3:8" x14ac:dyDescent="0.25">
      <c r="C1353" s="554"/>
      <c r="D1353" s="554"/>
      <c r="E1353" s="554"/>
      <c r="F1353" s="554"/>
      <c r="G1353" s="554"/>
      <c r="H1353" s="554"/>
    </row>
    <row r="1354" spans="3:8" x14ac:dyDescent="0.25">
      <c r="C1354" s="554"/>
      <c r="D1354" s="554"/>
      <c r="E1354" s="554"/>
      <c r="F1354" s="554"/>
      <c r="G1354" s="554"/>
      <c r="H1354" s="554"/>
    </row>
    <row r="1355" spans="3:8" x14ac:dyDescent="0.25">
      <c r="C1355" s="554"/>
      <c r="D1355" s="554"/>
      <c r="E1355" s="554"/>
      <c r="F1355" s="554"/>
      <c r="G1355" s="554"/>
      <c r="H1355" s="554"/>
    </row>
    <row r="1356" spans="3:8" x14ac:dyDescent="0.25">
      <c r="C1356" s="554"/>
      <c r="D1356" s="554"/>
      <c r="E1356" s="554"/>
      <c r="F1356" s="554"/>
      <c r="G1356" s="554"/>
      <c r="H1356" s="554"/>
    </row>
    <row r="1357" spans="3:8" x14ac:dyDescent="0.25">
      <c r="C1357" s="554"/>
      <c r="D1357" s="554"/>
      <c r="E1357" s="554"/>
      <c r="F1357" s="554"/>
      <c r="G1357" s="554"/>
      <c r="H1357" s="554"/>
    </row>
    <row r="1358" spans="3:8" x14ac:dyDescent="0.25">
      <c r="C1358" s="554"/>
      <c r="D1358" s="554"/>
      <c r="E1358" s="554"/>
      <c r="F1358" s="554"/>
      <c r="G1358" s="554"/>
      <c r="H1358" s="554"/>
    </row>
    <row r="1359" spans="3:8" x14ac:dyDescent="0.25">
      <c r="C1359" s="554"/>
      <c r="D1359" s="554"/>
      <c r="E1359" s="554"/>
      <c r="F1359" s="554"/>
      <c r="G1359" s="554"/>
      <c r="H1359" s="554"/>
    </row>
    <row r="1360" spans="3:8" x14ac:dyDescent="0.25">
      <c r="C1360" s="554"/>
      <c r="D1360" s="554"/>
      <c r="E1360" s="554"/>
      <c r="F1360" s="554"/>
      <c r="G1360" s="554"/>
      <c r="H1360" s="554"/>
    </row>
    <row r="1361" spans="3:8" x14ac:dyDescent="0.25">
      <c r="C1361" s="554"/>
      <c r="D1361" s="554"/>
      <c r="E1361" s="554"/>
      <c r="F1361" s="554"/>
      <c r="G1361" s="554"/>
      <c r="H1361" s="554"/>
    </row>
    <row r="1362" spans="3:8" x14ac:dyDescent="0.25">
      <c r="C1362" s="554"/>
      <c r="D1362" s="554"/>
      <c r="E1362" s="554"/>
      <c r="F1362" s="554"/>
      <c r="G1362" s="554"/>
      <c r="H1362" s="554"/>
    </row>
    <row r="1363" spans="3:8" x14ac:dyDescent="0.25">
      <c r="C1363" s="554"/>
      <c r="D1363" s="554"/>
      <c r="E1363" s="554"/>
      <c r="F1363" s="554"/>
      <c r="G1363" s="554"/>
      <c r="H1363" s="554"/>
    </row>
    <row r="1364" spans="3:8" x14ac:dyDescent="0.25">
      <c r="C1364" s="554"/>
      <c r="D1364" s="554"/>
      <c r="E1364" s="554"/>
      <c r="F1364" s="554"/>
      <c r="G1364" s="554"/>
      <c r="H1364" s="554"/>
    </row>
    <row r="1365" spans="3:8" x14ac:dyDescent="0.25">
      <c r="C1365" s="554"/>
      <c r="D1365" s="554"/>
      <c r="E1365" s="554"/>
      <c r="F1365" s="554"/>
      <c r="G1365" s="554"/>
      <c r="H1365" s="554"/>
    </row>
    <row r="1366" spans="3:8" x14ac:dyDescent="0.25">
      <c r="C1366" s="554"/>
      <c r="D1366" s="554"/>
      <c r="E1366" s="554"/>
      <c r="F1366" s="554"/>
      <c r="G1366" s="554"/>
      <c r="H1366" s="554"/>
    </row>
    <row r="1367" spans="3:8" x14ac:dyDescent="0.25">
      <c r="C1367" s="554"/>
      <c r="D1367" s="554"/>
      <c r="E1367" s="554"/>
      <c r="F1367" s="554"/>
      <c r="G1367" s="554"/>
      <c r="H1367" s="554"/>
    </row>
    <row r="1368" spans="3:8" x14ac:dyDescent="0.25">
      <c r="C1368" s="554"/>
      <c r="D1368" s="554"/>
      <c r="E1368" s="554"/>
      <c r="F1368" s="554"/>
      <c r="G1368" s="554"/>
      <c r="H1368" s="554"/>
    </row>
    <row r="1369" spans="3:8" x14ac:dyDescent="0.25">
      <c r="C1369" s="554"/>
      <c r="D1369" s="554"/>
      <c r="E1369" s="554"/>
      <c r="F1369" s="554"/>
      <c r="G1369" s="554"/>
      <c r="H1369" s="554"/>
    </row>
    <row r="1370" spans="3:8" x14ac:dyDescent="0.25">
      <c r="C1370" s="554"/>
      <c r="D1370" s="554"/>
      <c r="E1370" s="554"/>
      <c r="F1370" s="554"/>
      <c r="G1370" s="554"/>
      <c r="H1370" s="554"/>
    </row>
    <row r="1371" spans="3:8" x14ac:dyDescent="0.25">
      <c r="C1371" s="554"/>
      <c r="D1371" s="554"/>
      <c r="E1371" s="554"/>
      <c r="F1371" s="554"/>
      <c r="G1371" s="554"/>
      <c r="H1371" s="554"/>
    </row>
    <row r="1372" spans="3:8" x14ac:dyDescent="0.25">
      <c r="C1372" s="554"/>
      <c r="D1372" s="554"/>
      <c r="E1372" s="554"/>
      <c r="F1372" s="554"/>
      <c r="G1372" s="554"/>
      <c r="H1372" s="554"/>
    </row>
    <row r="1373" spans="3:8" x14ac:dyDescent="0.25">
      <c r="C1373" s="554"/>
      <c r="D1373" s="554"/>
      <c r="E1373" s="554"/>
      <c r="F1373" s="554"/>
      <c r="G1373" s="554"/>
      <c r="H1373" s="554"/>
    </row>
    <row r="1374" spans="3:8" x14ac:dyDescent="0.25">
      <c r="C1374" s="554"/>
      <c r="D1374" s="554"/>
      <c r="E1374" s="554"/>
      <c r="F1374" s="554"/>
      <c r="G1374" s="554"/>
      <c r="H1374" s="554"/>
    </row>
    <row r="1375" spans="3:8" x14ac:dyDescent="0.25">
      <c r="C1375" s="554"/>
      <c r="D1375" s="554"/>
      <c r="E1375" s="554"/>
      <c r="F1375" s="554"/>
      <c r="G1375" s="554"/>
      <c r="H1375" s="554"/>
    </row>
    <row r="1376" spans="3:8" x14ac:dyDescent="0.25">
      <c r="C1376" s="554"/>
      <c r="D1376" s="554"/>
      <c r="E1376" s="554"/>
      <c r="F1376" s="554"/>
      <c r="G1376" s="554"/>
      <c r="H1376" s="554"/>
    </row>
    <row r="1377" spans="3:8" x14ac:dyDescent="0.25">
      <c r="C1377" s="554"/>
      <c r="D1377" s="554"/>
      <c r="E1377" s="554"/>
      <c r="F1377" s="554"/>
      <c r="G1377" s="554"/>
      <c r="H1377" s="554"/>
    </row>
    <row r="1378" spans="3:8" x14ac:dyDescent="0.25">
      <c r="C1378" s="554"/>
      <c r="D1378" s="554"/>
      <c r="E1378" s="554"/>
      <c r="F1378" s="554"/>
      <c r="G1378" s="554"/>
      <c r="H1378" s="554"/>
    </row>
    <row r="1379" spans="3:8" x14ac:dyDescent="0.25">
      <c r="C1379" s="554"/>
      <c r="D1379" s="554"/>
      <c r="E1379" s="554"/>
      <c r="F1379" s="554"/>
      <c r="G1379" s="554"/>
      <c r="H1379" s="554"/>
    </row>
    <row r="1380" spans="3:8" x14ac:dyDescent="0.25">
      <c r="C1380" s="554"/>
      <c r="D1380" s="554"/>
      <c r="E1380" s="554"/>
      <c r="F1380" s="554"/>
      <c r="G1380" s="554"/>
      <c r="H1380" s="554"/>
    </row>
    <row r="1381" spans="3:8" x14ac:dyDescent="0.25">
      <c r="C1381" s="554"/>
      <c r="D1381" s="554"/>
      <c r="E1381" s="554"/>
      <c r="F1381" s="554"/>
      <c r="G1381" s="554"/>
      <c r="H1381" s="554"/>
    </row>
    <row r="1382" spans="3:8" x14ac:dyDescent="0.25">
      <c r="C1382" s="554"/>
      <c r="D1382" s="554"/>
      <c r="E1382" s="554"/>
      <c r="F1382" s="554"/>
      <c r="G1382" s="554"/>
      <c r="H1382" s="554"/>
    </row>
    <row r="1383" spans="3:8" x14ac:dyDescent="0.25">
      <c r="C1383" s="554"/>
      <c r="D1383" s="554"/>
      <c r="E1383" s="554"/>
      <c r="F1383" s="554"/>
      <c r="G1383" s="554"/>
      <c r="H1383" s="554"/>
    </row>
    <row r="1384" spans="3:8" x14ac:dyDescent="0.25">
      <c r="C1384" s="554"/>
      <c r="D1384" s="554"/>
      <c r="E1384" s="554"/>
      <c r="F1384" s="554"/>
      <c r="G1384" s="554"/>
      <c r="H1384" s="554"/>
    </row>
    <row r="1385" spans="3:8" x14ac:dyDescent="0.25">
      <c r="C1385" s="554"/>
      <c r="D1385" s="554"/>
      <c r="E1385" s="554"/>
      <c r="F1385" s="554"/>
      <c r="G1385" s="554"/>
      <c r="H1385" s="554"/>
    </row>
    <row r="1386" spans="3:8" x14ac:dyDescent="0.25">
      <c r="C1386" s="554"/>
      <c r="D1386" s="554"/>
      <c r="E1386" s="554"/>
      <c r="F1386" s="554"/>
      <c r="G1386" s="554"/>
      <c r="H1386" s="554"/>
    </row>
    <row r="1387" spans="3:8" x14ac:dyDescent="0.25">
      <c r="C1387" s="554"/>
      <c r="D1387" s="554"/>
      <c r="E1387" s="554"/>
      <c r="F1387" s="554"/>
      <c r="G1387" s="554"/>
      <c r="H1387" s="554"/>
    </row>
    <row r="1388" spans="3:8" x14ac:dyDescent="0.25">
      <c r="C1388" s="554"/>
      <c r="D1388" s="554"/>
      <c r="E1388" s="554"/>
      <c r="F1388" s="554"/>
      <c r="G1388" s="554"/>
      <c r="H1388" s="554"/>
    </row>
    <row r="1389" spans="3:8" x14ac:dyDescent="0.25">
      <c r="C1389" s="554"/>
      <c r="D1389" s="554"/>
      <c r="E1389" s="554"/>
      <c r="F1389" s="554"/>
      <c r="G1389" s="554"/>
      <c r="H1389" s="554"/>
    </row>
    <row r="1390" spans="3:8" x14ac:dyDescent="0.25">
      <c r="C1390" s="554"/>
      <c r="D1390" s="554"/>
      <c r="E1390" s="554"/>
      <c r="F1390" s="554"/>
      <c r="G1390" s="554"/>
      <c r="H1390" s="554"/>
    </row>
    <row r="1391" spans="3:8" x14ac:dyDescent="0.25">
      <c r="C1391" s="554"/>
      <c r="D1391" s="554"/>
      <c r="E1391" s="554"/>
      <c r="F1391" s="554"/>
      <c r="G1391" s="554"/>
      <c r="H1391" s="554"/>
    </row>
    <row r="1392" spans="3:8" x14ac:dyDescent="0.25">
      <c r="C1392" s="554"/>
      <c r="D1392" s="554"/>
      <c r="E1392" s="554"/>
      <c r="F1392" s="554"/>
      <c r="G1392" s="554"/>
      <c r="H1392" s="554"/>
    </row>
    <row r="1393" spans="3:8" x14ac:dyDescent="0.25">
      <c r="C1393" s="554"/>
      <c r="D1393" s="554"/>
      <c r="E1393" s="554"/>
      <c r="F1393" s="554"/>
      <c r="G1393" s="554"/>
      <c r="H1393" s="554"/>
    </row>
    <row r="1394" spans="3:8" x14ac:dyDescent="0.25">
      <c r="C1394" s="554"/>
      <c r="D1394" s="554"/>
      <c r="E1394" s="554"/>
      <c r="F1394" s="554"/>
      <c r="G1394" s="554"/>
      <c r="H1394" s="554"/>
    </row>
    <row r="1395" spans="3:8" x14ac:dyDescent="0.25">
      <c r="C1395" s="554"/>
      <c r="D1395" s="554"/>
      <c r="E1395" s="554"/>
      <c r="F1395" s="554"/>
      <c r="G1395" s="554"/>
      <c r="H1395" s="554"/>
    </row>
    <row r="1396" spans="3:8" x14ac:dyDescent="0.25">
      <c r="C1396" s="554"/>
      <c r="D1396" s="554"/>
      <c r="E1396" s="554"/>
      <c r="F1396" s="554"/>
      <c r="G1396" s="554"/>
      <c r="H1396" s="554"/>
    </row>
    <row r="1397" spans="3:8" x14ac:dyDescent="0.25">
      <c r="C1397" s="554"/>
      <c r="D1397" s="554"/>
      <c r="E1397" s="554"/>
      <c r="F1397" s="554"/>
      <c r="G1397" s="554"/>
      <c r="H1397" s="554"/>
    </row>
    <row r="1398" spans="3:8" x14ac:dyDescent="0.25">
      <c r="C1398" s="554"/>
      <c r="D1398" s="554"/>
      <c r="E1398" s="554"/>
      <c r="F1398" s="554"/>
      <c r="G1398" s="554"/>
      <c r="H1398" s="554"/>
    </row>
    <row r="1399" spans="3:8" x14ac:dyDescent="0.25">
      <c r="C1399" s="554"/>
      <c r="D1399" s="554"/>
      <c r="E1399" s="554"/>
      <c r="F1399" s="554"/>
      <c r="G1399" s="554"/>
      <c r="H1399" s="554"/>
    </row>
    <row r="1400" spans="3:8" x14ac:dyDescent="0.25">
      <c r="C1400" s="554"/>
      <c r="D1400" s="554"/>
      <c r="E1400" s="554"/>
      <c r="F1400" s="554"/>
      <c r="G1400" s="554"/>
      <c r="H1400" s="554"/>
    </row>
    <row r="1401" spans="3:8" x14ac:dyDescent="0.25">
      <c r="C1401" s="554"/>
      <c r="D1401" s="554"/>
      <c r="E1401" s="554"/>
      <c r="F1401" s="554"/>
      <c r="G1401" s="554"/>
      <c r="H1401" s="554"/>
    </row>
    <row r="1402" spans="3:8" x14ac:dyDescent="0.25">
      <c r="C1402" s="554"/>
      <c r="D1402" s="554"/>
      <c r="E1402" s="554"/>
      <c r="F1402" s="554"/>
      <c r="G1402" s="554"/>
      <c r="H1402" s="554"/>
    </row>
    <row r="1403" spans="3:8" x14ac:dyDescent="0.25">
      <c r="C1403" s="554"/>
      <c r="D1403" s="554"/>
      <c r="E1403" s="554"/>
      <c r="F1403" s="554"/>
      <c r="G1403" s="554"/>
      <c r="H1403" s="554"/>
    </row>
    <row r="1404" spans="3:8" x14ac:dyDescent="0.25">
      <c r="C1404" s="554"/>
      <c r="D1404" s="554"/>
      <c r="E1404" s="554"/>
      <c r="F1404" s="554"/>
      <c r="G1404" s="554"/>
      <c r="H1404" s="554"/>
    </row>
    <row r="1405" spans="3:8" x14ac:dyDescent="0.25">
      <c r="C1405" s="554"/>
      <c r="D1405" s="554"/>
      <c r="E1405" s="554"/>
      <c r="F1405" s="554"/>
      <c r="G1405" s="554"/>
      <c r="H1405" s="554"/>
    </row>
    <row r="1406" spans="3:8" x14ac:dyDescent="0.25">
      <c r="C1406" s="554"/>
      <c r="D1406" s="554"/>
      <c r="E1406" s="554"/>
      <c r="F1406" s="554"/>
      <c r="G1406" s="554"/>
      <c r="H1406" s="554"/>
    </row>
    <row r="1407" spans="3:8" x14ac:dyDescent="0.25">
      <c r="C1407" s="554"/>
      <c r="D1407" s="554"/>
      <c r="E1407" s="554"/>
      <c r="F1407" s="554"/>
      <c r="G1407" s="554"/>
      <c r="H1407" s="554"/>
    </row>
    <row r="1408" spans="3:8" x14ac:dyDescent="0.25">
      <c r="C1408" s="554"/>
      <c r="D1408" s="554"/>
      <c r="E1408" s="554"/>
      <c r="F1408" s="554"/>
      <c r="G1408" s="554"/>
      <c r="H1408" s="554"/>
    </row>
    <row r="1409" spans="3:8" x14ac:dyDescent="0.25">
      <c r="C1409" s="554"/>
      <c r="D1409" s="554"/>
      <c r="E1409" s="554"/>
      <c r="F1409" s="554"/>
      <c r="G1409" s="554"/>
      <c r="H1409" s="554"/>
    </row>
    <row r="1410" spans="3:8" x14ac:dyDescent="0.25">
      <c r="C1410" s="554"/>
      <c r="D1410" s="554"/>
      <c r="E1410" s="554"/>
      <c r="F1410" s="554"/>
      <c r="G1410" s="554"/>
      <c r="H1410" s="554"/>
    </row>
    <row r="1411" spans="3:8" x14ac:dyDescent="0.25">
      <c r="C1411" s="554"/>
      <c r="D1411" s="554"/>
      <c r="E1411" s="554"/>
      <c r="F1411" s="554"/>
      <c r="G1411" s="554"/>
      <c r="H1411" s="554"/>
    </row>
    <row r="1412" spans="3:8" x14ac:dyDescent="0.25">
      <c r="C1412" s="554"/>
      <c r="D1412" s="554"/>
      <c r="E1412" s="554"/>
      <c r="F1412" s="554"/>
      <c r="G1412" s="554"/>
      <c r="H1412" s="554"/>
    </row>
    <row r="1413" spans="3:8" x14ac:dyDescent="0.25">
      <c r="C1413" s="554"/>
      <c r="D1413" s="554"/>
      <c r="E1413" s="554"/>
      <c r="F1413" s="554"/>
      <c r="G1413" s="554"/>
      <c r="H1413" s="554"/>
    </row>
    <row r="1414" spans="3:8" x14ac:dyDescent="0.25">
      <c r="C1414" s="554"/>
      <c r="D1414" s="554"/>
      <c r="E1414" s="554"/>
      <c r="F1414" s="554"/>
      <c r="G1414" s="554"/>
      <c r="H1414" s="554"/>
    </row>
    <row r="1415" spans="3:8" x14ac:dyDescent="0.25">
      <c r="C1415" s="554"/>
      <c r="D1415" s="554"/>
      <c r="E1415" s="554"/>
      <c r="F1415" s="554"/>
      <c r="G1415" s="554"/>
      <c r="H1415" s="554"/>
    </row>
    <row r="1416" spans="3:8" x14ac:dyDescent="0.25">
      <c r="C1416" s="554"/>
      <c r="D1416" s="554"/>
      <c r="E1416" s="554"/>
      <c r="F1416" s="554"/>
      <c r="G1416" s="554"/>
      <c r="H1416" s="554"/>
    </row>
    <row r="1417" spans="3:8" x14ac:dyDescent="0.25">
      <c r="C1417" s="554"/>
      <c r="D1417" s="554"/>
      <c r="E1417" s="554"/>
      <c r="F1417" s="554"/>
      <c r="G1417" s="554"/>
      <c r="H1417" s="554"/>
    </row>
    <row r="1418" spans="3:8" x14ac:dyDescent="0.25">
      <c r="C1418" s="554"/>
      <c r="D1418" s="554"/>
      <c r="E1418" s="554"/>
      <c r="F1418" s="554"/>
      <c r="G1418" s="554"/>
      <c r="H1418" s="554"/>
    </row>
    <row r="1419" spans="3:8" x14ac:dyDescent="0.25">
      <c r="C1419" s="554"/>
      <c r="D1419" s="554"/>
      <c r="E1419" s="554"/>
      <c r="F1419" s="554"/>
      <c r="G1419" s="554"/>
      <c r="H1419" s="554"/>
    </row>
    <row r="1420" spans="3:8" x14ac:dyDescent="0.25">
      <c r="C1420" s="554"/>
      <c r="D1420" s="554"/>
      <c r="E1420" s="554"/>
      <c r="F1420" s="554"/>
      <c r="G1420" s="554"/>
      <c r="H1420" s="554"/>
    </row>
    <row r="1421" spans="3:8" x14ac:dyDescent="0.25">
      <c r="C1421" s="554"/>
      <c r="D1421" s="554"/>
      <c r="E1421" s="554"/>
      <c r="F1421" s="554"/>
      <c r="G1421" s="554"/>
      <c r="H1421" s="554"/>
    </row>
    <row r="1422" spans="3:8" x14ac:dyDescent="0.25">
      <c r="C1422" s="554"/>
      <c r="D1422" s="554"/>
      <c r="E1422" s="554"/>
      <c r="F1422" s="554"/>
      <c r="G1422" s="554"/>
      <c r="H1422" s="554"/>
    </row>
    <row r="1423" spans="3:8" x14ac:dyDescent="0.25">
      <c r="C1423" s="554"/>
      <c r="D1423" s="554"/>
      <c r="E1423" s="554"/>
      <c r="F1423" s="554"/>
      <c r="G1423" s="554"/>
      <c r="H1423" s="554"/>
    </row>
    <row r="1424" spans="3:8" x14ac:dyDescent="0.25">
      <c r="C1424" s="554"/>
      <c r="D1424" s="554"/>
      <c r="E1424" s="554"/>
      <c r="F1424" s="554"/>
      <c r="G1424" s="554"/>
      <c r="H1424" s="554"/>
    </row>
    <row r="1425" spans="3:8" x14ac:dyDescent="0.25">
      <c r="C1425" s="554"/>
      <c r="D1425" s="554"/>
      <c r="E1425" s="554"/>
      <c r="F1425" s="554"/>
      <c r="G1425" s="554"/>
      <c r="H1425" s="554"/>
    </row>
    <row r="1426" spans="3:8" x14ac:dyDescent="0.25">
      <c r="C1426" s="554"/>
      <c r="D1426" s="554"/>
      <c r="E1426" s="554"/>
      <c r="F1426" s="554"/>
      <c r="G1426" s="554"/>
      <c r="H1426" s="554"/>
    </row>
    <row r="1427" spans="3:8" x14ac:dyDescent="0.25">
      <c r="C1427" s="554"/>
      <c r="D1427" s="554"/>
      <c r="E1427" s="554"/>
      <c r="F1427" s="554"/>
      <c r="G1427" s="554"/>
      <c r="H1427" s="554"/>
    </row>
    <row r="1428" spans="3:8" x14ac:dyDescent="0.25">
      <c r="C1428" s="554"/>
      <c r="D1428" s="554"/>
      <c r="E1428" s="554"/>
      <c r="F1428" s="554"/>
      <c r="G1428" s="554"/>
      <c r="H1428" s="554"/>
    </row>
    <row r="1429" spans="3:8" x14ac:dyDescent="0.25">
      <c r="C1429" s="554"/>
      <c r="D1429" s="554"/>
      <c r="E1429" s="554"/>
      <c r="F1429" s="554"/>
      <c r="G1429" s="554"/>
      <c r="H1429" s="554"/>
    </row>
    <row r="1430" spans="3:8" x14ac:dyDescent="0.25">
      <c r="C1430" s="554"/>
      <c r="D1430" s="554"/>
      <c r="E1430" s="554"/>
      <c r="F1430" s="554"/>
      <c r="G1430" s="554"/>
      <c r="H1430" s="554"/>
    </row>
    <row r="1431" spans="3:8" x14ac:dyDescent="0.25">
      <c r="C1431" s="554"/>
      <c r="D1431" s="554"/>
      <c r="E1431" s="554"/>
      <c r="F1431" s="554"/>
      <c r="G1431" s="554"/>
      <c r="H1431" s="554"/>
    </row>
    <row r="1432" spans="3:8" x14ac:dyDescent="0.25">
      <c r="C1432" s="554"/>
      <c r="D1432" s="554"/>
      <c r="E1432" s="554"/>
      <c r="F1432" s="554"/>
      <c r="G1432" s="554"/>
      <c r="H1432" s="554"/>
    </row>
    <row r="1433" spans="3:8" x14ac:dyDescent="0.25">
      <c r="C1433" s="554"/>
      <c r="D1433" s="554"/>
      <c r="E1433" s="554"/>
      <c r="F1433" s="554"/>
      <c r="G1433" s="554"/>
      <c r="H1433" s="554"/>
    </row>
    <row r="1434" spans="3:8" x14ac:dyDescent="0.25">
      <c r="C1434" s="554"/>
      <c r="D1434" s="554"/>
      <c r="E1434" s="554"/>
      <c r="F1434" s="554"/>
      <c r="G1434" s="554"/>
      <c r="H1434" s="554"/>
    </row>
    <row r="1435" spans="3:8" x14ac:dyDescent="0.25">
      <c r="C1435" s="554"/>
      <c r="D1435" s="554"/>
      <c r="E1435" s="554"/>
      <c r="F1435" s="554"/>
      <c r="G1435" s="554"/>
      <c r="H1435" s="554"/>
    </row>
    <row r="1436" spans="3:8" x14ac:dyDescent="0.25">
      <c r="C1436" s="554"/>
      <c r="D1436" s="554"/>
      <c r="E1436" s="554"/>
      <c r="F1436" s="554"/>
      <c r="G1436" s="554"/>
      <c r="H1436" s="554"/>
    </row>
    <row r="1437" spans="3:8" x14ac:dyDescent="0.25">
      <c r="C1437" s="554"/>
      <c r="D1437" s="554"/>
      <c r="E1437" s="554"/>
      <c r="F1437" s="554"/>
      <c r="G1437" s="554"/>
      <c r="H1437" s="554"/>
    </row>
    <row r="1438" spans="3:8" x14ac:dyDescent="0.25">
      <c r="C1438" s="554"/>
      <c r="D1438" s="554"/>
      <c r="E1438" s="554"/>
      <c r="F1438" s="554"/>
      <c r="G1438" s="554"/>
      <c r="H1438" s="554"/>
    </row>
    <row r="1439" spans="3:8" x14ac:dyDescent="0.25">
      <c r="C1439" s="554"/>
      <c r="D1439" s="554"/>
      <c r="E1439" s="554"/>
      <c r="F1439" s="554"/>
      <c r="G1439" s="554"/>
      <c r="H1439" s="554"/>
    </row>
    <row r="1440" spans="3:8" x14ac:dyDescent="0.25">
      <c r="C1440" s="554"/>
      <c r="D1440" s="554"/>
      <c r="E1440" s="554"/>
      <c r="F1440" s="554"/>
      <c r="G1440" s="554"/>
      <c r="H1440" s="554"/>
    </row>
    <row r="1441" spans="3:8" x14ac:dyDescent="0.25">
      <c r="C1441" s="554"/>
      <c r="D1441" s="554"/>
      <c r="E1441" s="554"/>
      <c r="F1441" s="554"/>
      <c r="G1441" s="554"/>
      <c r="H1441" s="554"/>
    </row>
    <row r="1442" spans="3:8" x14ac:dyDescent="0.25">
      <c r="C1442" s="554"/>
      <c r="D1442" s="554"/>
      <c r="E1442" s="554"/>
      <c r="F1442" s="554"/>
      <c r="G1442" s="554"/>
      <c r="H1442" s="554"/>
    </row>
    <row r="1443" spans="3:8" x14ac:dyDescent="0.25">
      <c r="C1443" s="554"/>
      <c r="D1443" s="554"/>
      <c r="E1443" s="554"/>
      <c r="F1443" s="554"/>
      <c r="G1443" s="554"/>
      <c r="H1443" s="554"/>
    </row>
    <row r="1444" spans="3:8" x14ac:dyDescent="0.25">
      <c r="C1444" s="554"/>
      <c r="D1444" s="554"/>
      <c r="E1444" s="554"/>
      <c r="F1444" s="554"/>
      <c r="G1444" s="554"/>
      <c r="H1444" s="554"/>
    </row>
    <row r="1445" spans="3:8" x14ac:dyDescent="0.25">
      <c r="C1445" s="554"/>
      <c r="D1445" s="554"/>
      <c r="E1445" s="554"/>
      <c r="F1445" s="554"/>
      <c r="G1445" s="554"/>
      <c r="H1445" s="554"/>
    </row>
    <row r="1446" spans="3:8" x14ac:dyDescent="0.25">
      <c r="C1446" s="554"/>
      <c r="D1446" s="554"/>
      <c r="E1446" s="554"/>
      <c r="F1446" s="554"/>
      <c r="G1446" s="554"/>
      <c r="H1446" s="554"/>
    </row>
    <row r="1447" spans="3:8" x14ac:dyDescent="0.25">
      <c r="C1447" s="554"/>
      <c r="D1447" s="554"/>
      <c r="E1447" s="554"/>
      <c r="F1447" s="554"/>
      <c r="G1447" s="554"/>
      <c r="H1447" s="554"/>
    </row>
    <row r="1448" spans="3:8" x14ac:dyDescent="0.25">
      <c r="C1448" s="554"/>
      <c r="D1448" s="554"/>
      <c r="E1448" s="554"/>
      <c r="F1448" s="554"/>
      <c r="G1448" s="554"/>
      <c r="H1448" s="554"/>
    </row>
    <row r="1449" spans="3:8" x14ac:dyDescent="0.25">
      <c r="C1449" s="554"/>
      <c r="D1449" s="554"/>
      <c r="E1449" s="554"/>
      <c r="F1449" s="554"/>
      <c r="G1449" s="554"/>
      <c r="H1449" s="554"/>
    </row>
    <row r="1450" spans="3:8" x14ac:dyDescent="0.25">
      <c r="C1450" s="554"/>
      <c r="D1450" s="554"/>
      <c r="E1450" s="554"/>
      <c r="F1450" s="554"/>
      <c r="G1450" s="554"/>
      <c r="H1450" s="554"/>
    </row>
    <row r="1451" spans="3:8" x14ac:dyDescent="0.25">
      <c r="C1451" s="554"/>
      <c r="D1451" s="554"/>
      <c r="E1451" s="554"/>
      <c r="F1451" s="554"/>
      <c r="G1451" s="554"/>
      <c r="H1451" s="554"/>
    </row>
    <row r="1452" spans="3:8" x14ac:dyDescent="0.25">
      <c r="C1452" s="554"/>
      <c r="D1452" s="554"/>
      <c r="E1452" s="554"/>
      <c r="F1452" s="554"/>
      <c r="G1452" s="554"/>
      <c r="H1452" s="554"/>
    </row>
    <row r="1453" spans="3:8" x14ac:dyDescent="0.25">
      <c r="C1453" s="554"/>
      <c r="D1453" s="554"/>
      <c r="E1453" s="554"/>
      <c r="F1453" s="554"/>
      <c r="G1453" s="554"/>
      <c r="H1453" s="554"/>
    </row>
    <row r="1454" spans="3:8" x14ac:dyDescent="0.25">
      <c r="C1454" s="554"/>
      <c r="D1454" s="554"/>
      <c r="E1454" s="554"/>
      <c r="F1454" s="554"/>
      <c r="G1454" s="554"/>
      <c r="H1454" s="554"/>
    </row>
    <row r="1455" spans="3:8" x14ac:dyDescent="0.25">
      <c r="C1455" s="554"/>
      <c r="D1455" s="554"/>
      <c r="E1455" s="554"/>
      <c r="F1455" s="554"/>
      <c r="G1455" s="554"/>
      <c r="H1455" s="554"/>
    </row>
    <row r="1456" spans="3:8" x14ac:dyDescent="0.25">
      <c r="C1456" s="554"/>
      <c r="D1456" s="554"/>
      <c r="E1456" s="554"/>
      <c r="F1456" s="554"/>
      <c r="G1456" s="554"/>
      <c r="H1456" s="554"/>
    </row>
    <row r="1457" spans="3:8" x14ac:dyDescent="0.25">
      <c r="C1457" s="554"/>
      <c r="D1457" s="554"/>
      <c r="E1457" s="554"/>
      <c r="F1457" s="554"/>
      <c r="G1457" s="554"/>
      <c r="H1457" s="554"/>
    </row>
    <row r="1458" spans="3:8" x14ac:dyDescent="0.25">
      <c r="C1458" s="554"/>
      <c r="D1458" s="554"/>
      <c r="E1458" s="554"/>
      <c r="F1458" s="554"/>
      <c r="G1458" s="554"/>
      <c r="H1458" s="554"/>
    </row>
    <row r="1459" spans="3:8" x14ac:dyDescent="0.25">
      <c r="C1459" s="554"/>
      <c r="D1459" s="554"/>
      <c r="E1459" s="554"/>
      <c r="F1459" s="554"/>
      <c r="G1459" s="554"/>
      <c r="H1459" s="554"/>
    </row>
    <row r="1460" spans="3:8" x14ac:dyDescent="0.25">
      <c r="C1460" s="554"/>
      <c r="D1460" s="554"/>
      <c r="E1460" s="554"/>
      <c r="F1460" s="554"/>
      <c r="G1460" s="554"/>
      <c r="H1460" s="554"/>
    </row>
    <row r="1461" spans="3:8" x14ac:dyDescent="0.25">
      <c r="C1461" s="554"/>
      <c r="D1461" s="554"/>
      <c r="E1461" s="554"/>
      <c r="F1461" s="554"/>
      <c r="G1461" s="554"/>
      <c r="H1461" s="554"/>
    </row>
    <row r="1462" spans="3:8" x14ac:dyDescent="0.25">
      <c r="C1462" s="554"/>
      <c r="D1462" s="554"/>
      <c r="E1462" s="554"/>
      <c r="F1462" s="554"/>
      <c r="G1462" s="554"/>
      <c r="H1462" s="554"/>
    </row>
    <row r="1463" spans="3:8" x14ac:dyDescent="0.25">
      <c r="C1463" s="554"/>
      <c r="D1463" s="554"/>
      <c r="E1463" s="554"/>
      <c r="F1463" s="554"/>
      <c r="G1463" s="554"/>
      <c r="H1463" s="554"/>
    </row>
    <row r="1464" spans="3:8" x14ac:dyDescent="0.25">
      <c r="C1464" s="554"/>
      <c r="D1464" s="554"/>
      <c r="E1464" s="554"/>
      <c r="F1464" s="554"/>
      <c r="G1464" s="554"/>
      <c r="H1464" s="554"/>
    </row>
    <row r="1465" spans="3:8" x14ac:dyDescent="0.25">
      <c r="C1465" s="554"/>
      <c r="D1465" s="554"/>
      <c r="E1465" s="554"/>
      <c r="F1465" s="554"/>
      <c r="G1465" s="554"/>
      <c r="H1465" s="554"/>
    </row>
    <row r="1466" spans="3:8" x14ac:dyDescent="0.25">
      <c r="C1466" s="554"/>
      <c r="D1466" s="554"/>
      <c r="E1466" s="554"/>
      <c r="F1466" s="554"/>
      <c r="G1466" s="554"/>
      <c r="H1466" s="554"/>
    </row>
    <row r="1467" spans="3:8" x14ac:dyDescent="0.25">
      <c r="C1467" s="554"/>
      <c r="D1467" s="554"/>
      <c r="E1467" s="554"/>
      <c r="F1467" s="554"/>
      <c r="G1467" s="554"/>
      <c r="H1467" s="554"/>
    </row>
    <row r="1468" spans="3:8" x14ac:dyDescent="0.25">
      <c r="C1468" s="554"/>
      <c r="D1468" s="554"/>
      <c r="E1468" s="554"/>
      <c r="F1468" s="554"/>
      <c r="G1468" s="554"/>
      <c r="H1468" s="554"/>
    </row>
    <row r="1469" spans="3:8" x14ac:dyDescent="0.25">
      <c r="C1469" s="554"/>
      <c r="D1469" s="554"/>
      <c r="E1469" s="554"/>
      <c r="F1469" s="554"/>
      <c r="G1469" s="554"/>
      <c r="H1469" s="554"/>
    </row>
    <row r="1470" spans="3:8" x14ac:dyDescent="0.25">
      <c r="C1470" s="554"/>
      <c r="D1470" s="554"/>
      <c r="E1470" s="554"/>
      <c r="F1470" s="554"/>
      <c r="G1470" s="554"/>
      <c r="H1470" s="554"/>
    </row>
    <row r="1471" spans="3:8" x14ac:dyDescent="0.25">
      <c r="C1471" s="554"/>
      <c r="D1471" s="554"/>
      <c r="E1471" s="554"/>
      <c r="F1471" s="554"/>
      <c r="G1471" s="554"/>
      <c r="H1471" s="554"/>
    </row>
    <row r="1472" spans="3:8" x14ac:dyDescent="0.25">
      <c r="C1472" s="554"/>
      <c r="D1472" s="554"/>
      <c r="E1472" s="554"/>
      <c r="F1472" s="554"/>
      <c r="G1472" s="554"/>
      <c r="H1472" s="554"/>
    </row>
    <row r="1473" spans="3:8" x14ac:dyDescent="0.25">
      <c r="C1473" s="554"/>
      <c r="D1473" s="554"/>
      <c r="E1473" s="554"/>
      <c r="F1473" s="554"/>
      <c r="G1473" s="554"/>
      <c r="H1473" s="554"/>
    </row>
    <row r="1474" spans="3:8" x14ac:dyDescent="0.25">
      <c r="C1474" s="554"/>
      <c r="D1474" s="554"/>
      <c r="E1474" s="554"/>
      <c r="F1474" s="554"/>
      <c r="G1474" s="554"/>
      <c r="H1474" s="554"/>
    </row>
    <row r="1475" spans="3:8" x14ac:dyDescent="0.25">
      <c r="C1475" s="554"/>
      <c r="D1475" s="554"/>
      <c r="E1475" s="554"/>
      <c r="F1475" s="554"/>
      <c r="G1475" s="554"/>
      <c r="H1475" s="554"/>
    </row>
    <row r="1476" spans="3:8" x14ac:dyDescent="0.25">
      <c r="C1476" s="554"/>
      <c r="D1476" s="554"/>
      <c r="E1476" s="554"/>
      <c r="F1476" s="554"/>
      <c r="G1476" s="554"/>
      <c r="H1476" s="554"/>
    </row>
    <row r="1477" spans="3:8" x14ac:dyDescent="0.25">
      <c r="C1477" s="554"/>
      <c r="D1477" s="554"/>
      <c r="E1477" s="554"/>
      <c r="F1477" s="554"/>
      <c r="G1477" s="554"/>
      <c r="H1477" s="554"/>
    </row>
    <row r="1478" spans="3:8" x14ac:dyDescent="0.25">
      <c r="C1478" s="554"/>
      <c r="D1478" s="554"/>
      <c r="E1478" s="554"/>
      <c r="F1478" s="554"/>
      <c r="G1478" s="554"/>
      <c r="H1478" s="554"/>
    </row>
    <row r="1479" spans="3:8" x14ac:dyDescent="0.25">
      <c r="C1479" s="554"/>
      <c r="D1479" s="554"/>
      <c r="E1479" s="554"/>
      <c r="F1479" s="554"/>
      <c r="G1479" s="554"/>
      <c r="H1479" s="554"/>
    </row>
    <row r="1480" spans="3:8" x14ac:dyDescent="0.25">
      <c r="C1480" s="554"/>
      <c r="D1480" s="554"/>
      <c r="E1480" s="554"/>
      <c r="F1480" s="554"/>
      <c r="G1480" s="554"/>
      <c r="H1480" s="554"/>
    </row>
    <row r="1481" spans="3:8" x14ac:dyDescent="0.25">
      <c r="C1481" s="554"/>
      <c r="D1481" s="554"/>
      <c r="E1481" s="554"/>
      <c r="F1481" s="554"/>
      <c r="G1481" s="554"/>
      <c r="H1481" s="554"/>
    </row>
    <row r="1482" spans="3:8" x14ac:dyDescent="0.25">
      <c r="C1482" s="554"/>
      <c r="D1482" s="554"/>
      <c r="E1482" s="554"/>
      <c r="F1482" s="554"/>
      <c r="G1482" s="554"/>
      <c r="H1482" s="554"/>
    </row>
    <row r="1483" spans="3:8" x14ac:dyDescent="0.25">
      <c r="C1483" s="554"/>
      <c r="D1483" s="554"/>
      <c r="E1483" s="554"/>
      <c r="F1483" s="554"/>
      <c r="G1483" s="554"/>
      <c r="H1483" s="554"/>
    </row>
    <row r="1484" spans="3:8" x14ac:dyDescent="0.25">
      <c r="C1484" s="554"/>
      <c r="D1484" s="554"/>
      <c r="E1484" s="554"/>
      <c r="F1484" s="554"/>
      <c r="G1484" s="554"/>
      <c r="H1484" s="554"/>
    </row>
    <row r="1485" spans="3:8" x14ac:dyDescent="0.25">
      <c r="C1485" s="554"/>
      <c r="D1485" s="554"/>
      <c r="E1485" s="554"/>
      <c r="F1485" s="554"/>
      <c r="G1485" s="554"/>
      <c r="H1485" s="554"/>
    </row>
    <row r="1486" spans="3:8" x14ac:dyDescent="0.25">
      <c r="C1486" s="554"/>
      <c r="D1486" s="554"/>
      <c r="E1486" s="554"/>
      <c r="F1486" s="554"/>
      <c r="G1486" s="554"/>
      <c r="H1486" s="554"/>
    </row>
    <row r="1487" spans="3:8" x14ac:dyDescent="0.25">
      <c r="C1487" s="554"/>
      <c r="D1487" s="554"/>
      <c r="E1487" s="554"/>
      <c r="F1487" s="554"/>
      <c r="G1487" s="554"/>
      <c r="H1487" s="554"/>
    </row>
    <row r="1488" spans="3:8" x14ac:dyDescent="0.25">
      <c r="C1488" s="554"/>
      <c r="D1488" s="554"/>
      <c r="E1488" s="554"/>
      <c r="F1488" s="554"/>
      <c r="G1488" s="554"/>
      <c r="H1488" s="554"/>
    </row>
    <row r="1489" spans="3:8" x14ac:dyDescent="0.25">
      <c r="C1489" s="554"/>
      <c r="D1489" s="554"/>
      <c r="E1489" s="554"/>
      <c r="F1489" s="554"/>
      <c r="G1489" s="554"/>
      <c r="H1489" s="554"/>
    </row>
    <row r="1490" spans="3:8" x14ac:dyDescent="0.25">
      <c r="C1490" s="554"/>
      <c r="D1490" s="554"/>
      <c r="E1490" s="554"/>
      <c r="F1490" s="554"/>
      <c r="G1490" s="554"/>
      <c r="H1490" s="554"/>
    </row>
    <row r="1491" spans="3:8" x14ac:dyDescent="0.25">
      <c r="C1491" s="554"/>
      <c r="D1491" s="554"/>
      <c r="E1491" s="554"/>
      <c r="F1491" s="554"/>
      <c r="G1491" s="554"/>
      <c r="H1491" s="554"/>
    </row>
    <row r="1492" spans="3:8" x14ac:dyDescent="0.25">
      <c r="C1492" s="554"/>
      <c r="D1492" s="554"/>
      <c r="E1492" s="554"/>
      <c r="F1492" s="554"/>
      <c r="G1492" s="554"/>
      <c r="H1492" s="554"/>
    </row>
    <row r="1493" spans="3:8" x14ac:dyDescent="0.25">
      <c r="C1493" s="554"/>
      <c r="D1493" s="554"/>
      <c r="E1493" s="554"/>
      <c r="F1493" s="554"/>
      <c r="G1493" s="554"/>
      <c r="H1493" s="554"/>
    </row>
    <row r="1494" spans="3:8" x14ac:dyDescent="0.25">
      <c r="C1494" s="554"/>
      <c r="D1494" s="554"/>
      <c r="E1494" s="554"/>
      <c r="F1494" s="554"/>
      <c r="G1494" s="554"/>
      <c r="H1494" s="554"/>
    </row>
    <row r="1495" spans="3:8" x14ac:dyDescent="0.25">
      <c r="C1495" s="554"/>
      <c r="D1495" s="554"/>
      <c r="E1495" s="554"/>
      <c r="F1495" s="554"/>
      <c r="G1495" s="554"/>
      <c r="H1495" s="554"/>
    </row>
    <row r="1496" spans="3:8" x14ac:dyDescent="0.25">
      <c r="C1496" s="554"/>
      <c r="D1496" s="554"/>
      <c r="E1496" s="554"/>
      <c r="F1496" s="554"/>
      <c r="G1496" s="554"/>
      <c r="H1496" s="554"/>
    </row>
    <row r="1497" spans="3:8" x14ac:dyDescent="0.25">
      <c r="C1497" s="554"/>
      <c r="D1497" s="554"/>
      <c r="E1497" s="554"/>
      <c r="F1497" s="554"/>
      <c r="G1497" s="554"/>
      <c r="H1497" s="554"/>
    </row>
    <row r="1498" spans="3:8" x14ac:dyDescent="0.25">
      <c r="C1498" s="554"/>
      <c r="D1498" s="554"/>
      <c r="E1498" s="554"/>
      <c r="F1498" s="554"/>
      <c r="G1498" s="554"/>
      <c r="H1498" s="554"/>
    </row>
    <row r="1499" spans="3:8" x14ac:dyDescent="0.25">
      <c r="C1499" s="554"/>
      <c r="D1499" s="554"/>
      <c r="E1499" s="554"/>
      <c r="F1499" s="554"/>
      <c r="G1499" s="554"/>
      <c r="H1499" s="554"/>
    </row>
    <row r="1500" spans="3:8" x14ac:dyDescent="0.25">
      <c r="C1500" s="554"/>
      <c r="D1500" s="554"/>
      <c r="E1500" s="554"/>
      <c r="F1500" s="554"/>
      <c r="G1500" s="554"/>
      <c r="H1500" s="554"/>
    </row>
    <row r="1501" spans="3:8" x14ac:dyDescent="0.25">
      <c r="C1501" s="554"/>
      <c r="D1501" s="554"/>
      <c r="E1501" s="554"/>
      <c r="F1501" s="554"/>
      <c r="G1501" s="554"/>
      <c r="H1501" s="554"/>
    </row>
    <row r="1502" spans="3:8" x14ac:dyDescent="0.25">
      <c r="C1502" s="554"/>
      <c r="D1502" s="554"/>
      <c r="E1502" s="554"/>
      <c r="F1502" s="554"/>
      <c r="G1502" s="554"/>
      <c r="H1502" s="554"/>
    </row>
    <row r="1503" spans="3:8" x14ac:dyDescent="0.25">
      <c r="C1503" s="554"/>
      <c r="D1503" s="554"/>
      <c r="E1503" s="554"/>
      <c r="F1503" s="554"/>
      <c r="G1503" s="554"/>
      <c r="H1503" s="554"/>
    </row>
    <row r="1504" spans="3:8" x14ac:dyDescent="0.25">
      <c r="C1504" s="554"/>
      <c r="D1504" s="554"/>
      <c r="E1504" s="554"/>
      <c r="F1504" s="554"/>
      <c r="G1504" s="554"/>
      <c r="H1504" s="554"/>
    </row>
    <row r="1505" spans="3:8" x14ac:dyDescent="0.25">
      <c r="C1505" s="554"/>
      <c r="D1505" s="554"/>
      <c r="E1505" s="554"/>
      <c r="F1505" s="554"/>
      <c r="G1505" s="554"/>
      <c r="H1505" s="554"/>
    </row>
    <row r="1506" spans="3:8" x14ac:dyDescent="0.25">
      <c r="C1506" s="554"/>
      <c r="D1506" s="554"/>
      <c r="E1506" s="554"/>
      <c r="F1506" s="554"/>
      <c r="G1506" s="554"/>
      <c r="H1506" s="554"/>
    </row>
    <row r="1507" spans="3:8" x14ac:dyDescent="0.25">
      <c r="C1507" s="554"/>
      <c r="D1507" s="554"/>
      <c r="E1507" s="554"/>
      <c r="F1507" s="554"/>
      <c r="G1507" s="554"/>
      <c r="H1507" s="554"/>
    </row>
    <row r="1508" spans="3:8" x14ac:dyDescent="0.25">
      <c r="C1508" s="554"/>
      <c r="D1508" s="554"/>
      <c r="E1508" s="554"/>
      <c r="F1508" s="554"/>
      <c r="G1508" s="554"/>
      <c r="H1508" s="554"/>
    </row>
    <row r="1509" spans="3:8" x14ac:dyDescent="0.25">
      <c r="C1509" s="554"/>
      <c r="D1509" s="554"/>
      <c r="E1509" s="554"/>
      <c r="F1509" s="554"/>
      <c r="G1509" s="554"/>
      <c r="H1509" s="554"/>
    </row>
    <row r="1510" spans="3:8" x14ac:dyDescent="0.25">
      <c r="C1510" s="554"/>
      <c r="D1510" s="554"/>
      <c r="E1510" s="554"/>
      <c r="F1510" s="554"/>
      <c r="G1510" s="554"/>
      <c r="H1510" s="554"/>
    </row>
    <row r="1511" spans="3:8" x14ac:dyDescent="0.25">
      <c r="C1511" s="554"/>
      <c r="D1511" s="554"/>
      <c r="E1511" s="554"/>
      <c r="F1511" s="554"/>
      <c r="G1511" s="554"/>
      <c r="H1511" s="554"/>
    </row>
    <row r="1512" spans="3:8" x14ac:dyDescent="0.25">
      <c r="C1512" s="554"/>
      <c r="D1512" s="554"/>
      <c r="E1512" s="554"/>
      <c r="F1512" s="554"/>
      <c r="G1512" s="554"/>
      <c r="H1512" s="554"/>
    </row>
    <row r="1513" spans="3:8" x14ac:dyDescent="0.25">
      <c r="C1513" s="554"/>
      <c r="D1513" s="554"/>
      <c r="E1513" s="554"/>
      <c r="F1513" s="554"/>
      <c r="G1513" s="554"/>
      <c r="H1513" s="554"/>
    </row>
    <row r="1514" spans="3:8" x14ac:dyDescent="0.25">
      <c r="C1514" s="554"/>
      <c r="D1514" s="554"/>
      <c r="E1514" s="554"/>
      <c r="F1514" s="554"/>
      <c r="G1514" s="554"/>
      <c r="H1514" s="554"/>
    </row>
    <row r="1515" spans="3:8" x14ac:dyDescent="0.25">
      <c r="C1515" s="554"/>
      <c r="D1515" s="554"/>
      <c r="E1515" s="554"/>
      <c r="F1515" s="554"/>
      <c r="G1515" s="554"/>
      <c r="H1515" s="554"/>
    </row>
    <row r="1516" spans="3:8" x14ac:dyDescent="0.25">
      <c r="C1516" s="554"/>
      <c r="D1516" s="554"/>
      <c r="E1516" s="554"/>
      <c r="F1516" s="554"/>
      <c r="G1516" s="554"/>
      <c r="H1516" s="554"/>
    </row>
    <row r="1517" spans="3:8" x14ac:dyDescent="0.25">
      <c r="C1517" s="554"/>
      <c r="D1517" s="554"/>
      <c r="E1517" s="554"/>
      <c r="F1517" s="554"/>
      <c r="G1517" s="554"/>
      <c r="H1517" s="554"/>
    </row>
    <row r="1518" spans="3:8" x14ac:dyDescent="0.25">
      <c r="C1518" s="554"/>
      <c r="D1518" s="554"/>
      <c r="E1518" s="554"/>
      <c r="F1518" s="554"/>
      <c r="G1518" s="554"/>
      <c r="H1518" s="554"/>
    </row>
    <row r="1519" spans="3:8" x14ac:dyDescent="0.25">
      <c r="C1519" s="554"/>
      <c r="D1519" s="554"/>
      <c r="E1519" s="554"/>
      <c r="F1519" s="554"/>
      <c r="G1519" s="554"/>
      <c r="H1519" s="554"/>
    </row>
    <row r="1520" spans="3:8" x14ac:dyDescent="0.25">
      <c r="C1520" s="554"/>
      <c r="D1520" s="554"/>
      <c r="E1520" s="554"/>
      <c r="F1520" s="554"/>
      <c r="G1520" s="554"/>
      <c r="H1520" s="554"/>
    </row>
    <row r="1521" spans="3:8" x14ac:dyDescent="0.25">
      <c r="C1521" s="554"/>
      <c r="D1521" s="554"/>
      <c r="E1521" s="554"/>
      <c r="F1521" s="554"/>
      <c r="G1521" s="554"/>
      <c r="H1521" s="554"/>
    </row>
    <row r="1522" spans="3:8" x14ac:dyDescent="0.25">
      <c r="C1522" s="554"/>
      <c r="D1522" s="554"/>
      <c r="E1522" s="554"/>
      <c r="F1522" s="554"/>
      <c r="G1522" s="554"/>
      <c r="H1522" s="554"/>
    </row>
    <row r="1523" spans="3:8" x14ac:dyDescent="0.25">
      <c r="C1523" s="554"/>
      <c r="D1523" s="554"/>
      <c r="E1523" s="554"/>
      <c r="F1523" s="554"/>
      <c r="G1523" s="554"/>
      <c r="H1523" s="554"/>
    </row>
    <row r="1524" spans="3:8" x14ac:dyDescent="0.25">
      <c r="C1524" s="554"/>
      <c r="D1524" s="554"/>
      <c r="E1524" s="554"/>
      <c r="F1524" s="554"/>
      <c r="G1524" s="554"/>
      <c r="H1524" s="554"/>
    </row>
    <row r="1525" spans="3:8" x14ac:dyDescent="0.25">
      <c r="C1525" s="554"/>
      <c r="D1525" s="554"/>
      <c r="E1525" s="554"/>
      <c r="F1525" s="554"/>
      <c r="G1525" s="554"/>
      <c r="H1525" s="554"/>
    </row>
    <row r="1526" spans="3:8" x14ac:dyDescent="0.25">
      <c r="C1526" s="554"/>
      <c r="D1526" s="554"/>
      <c r="E1526" s="554"/>
      <c r="F1526" s="554"/>
      <c r="G1526" s="554"/>
      <c r="H1526" s="554"/>
    </row>
    <row r="1527" spans="3:8" x14ac:dyDescent="0.25">
      <c r="C1527" s="554"/>
      <c r="D1527" s="554"/>
      <c r="E1527" s="554"/>
      <c r="F1527" s="554"/>
      <c r="G1527" s="554"/>
      <c r="H1527" s="554"/>
    </row>
    <row r="1528" spans="3:8" x14ac:dyDescent="0.25">
      <c r="C1528" s="554"/>
      <c r="D1528" s="554"/>
      <c r="E1528" s="554"/>
      <c r="F1528" s="554"/>
      <c r="G1528" s="554"/>
      <c r="H1528" s="554"/>
    </row>
    <row r="1529" spans="3:8" x14ac:dyDescent="0.25">
      <c r="C1529" s="554"/>
      <c r="D1529" s="554"/>
      <c r="E1529" s="554"/>
      <c r="F1529" s="554"/>
      <c r="G1529" s="554"/>
      <c r="H1529" s="554"/>
    </row>
    <row r="1530" spans="3:8" x14ac:dyDescent="0.25">
      <c r="C1530" s="554"/>
      <c r="D1530" s="554"/>
      <c r="E1530" s="554"/>
      <c r="F1530" s="554"/>
      <c r="G1530" s="554"/>
      <c r="H1530" s="554"/>
    </row>
    <row r="1531" spans="3:8" x14ac:dyDescent="0.25">
      <c r="C1531" s="554"/>
      <c r="D1531" s="554"/>
      <c r="E1531" s="554"/>
      <c r="F1531" s="554"/>
      <c r="G1531" s="554"/>
      <c r="H1531" s="554"/>
    </row>
    <row r="1532" spans="3:8" x14ac:dyDescent="0.25">
      <c r="C1532" s="554"/>
      <c r="D1532" s="554"/>
      <c r="E1532" s="554"/>
      <c r="F1532" s="554"/>
      <c r="G1532" s="554"/>
      <c r="H1532" s="554"/>
    </row>
    <row r="1533" spans="3:8" x14ac:dyDescent="0.25">
      <c r="C1533" s="554"/>
      <c r="D1533" s="554"/>
      <c r="E1533" s="554"/>
      <c r="F1533" s="554"/>
      <c r="G1533" s="554"/>
      <c r="H1533" s="554"/>
    </row>
    <row r="1534" spans="3:8" x14ac:dyDescent="0.25">
      <c r="C1534" s="554"/>
      <c r="D1534" s="554"/>
      <c r="E1534" s="554"/>
      <c r="F1534" s="554"/>
      <c r="G1534" s="554"/>
      <c r="H1534" s="554"/>
    </row>
    <row r="1535" spans="3:8" x14ac:dyDescent="0.25">
      <c r="C1535" s="554"/>
      <c r="D1535" s="554"/>
      <c r="E1535" s="554"/>
      <c r="F1535" s="554"/>
      <c r="G1535" s="554"/>
      <c r="H1535" s="554"/>
    </row>
    <row r="1536" spans="3:8" x14ac:dyDescent="0.25">
      <c r="C1536" s="554"/>
      <c r="D1536" s="554"/>
      <c r="E1536" s="554"/>
      <c r="F1536" s="554"/>
      <c r="G1536" s="554"/>
      <c r="H1536" s="554"/>
    </row>
    <row r="1537" spans="3:8" x14ac:dyDescent="0.25">
      <c r="C1537" s="554"/>
      <c r="D1537" s="554"/>
      <c r="E1537" s="554"/>
      <c r="F1537" s="554"/>
      <c r="G1537" s="554"/>
      <c r="H1537" s="554"/>
    </row>
    <row r="1538" spans="3:8" x14ac:dyDescent="0.25">
      <c r="C1538" s="554"/>
      <c r="D1538" s="554"/>
      <c r="E1538" s="554"/>
      <c r="F1538" s="554"/>
      <c r="G1538" s="554"/>
      <c r="H1538" s="554"/>
    </row>
    <row r="1539" spans="3:8" x14ac:dyDescent="0.25">
      <c r="C1539" s="554"/>
      <c r="D1539" s="554"/>
      <c r="E1539" s="554"/>
      <c r="F1539" s="554"/>
      <c r="G1539" s="554"/>
      <c r="H1539" s="554"/>
    </row>
    <row r="1540" spans="3:8" x14ac:dyDescent="0.25">
      <c r="C1540" s="554"/>
      <c r="D1540" s="554"/>
      <c r="E1540" s="554"/>
      <c r="F1540" s="554"/>
      <c r="G1540" s="554"/>
      <c r="H1540" s="554"/>
    </row>
    <row r="1541" spans="3:8" x14ac:dyDescent="0.25">
      <c r="C1541" s="554"/>
      <c r="D1541" s="554"/>
      <c r="E1541" s="554"/>
      <c r="F1541" s="554"/>
      <c r="G1541" s="554"/>
      <c r="H1541" s="554"/>
    </row>
    <row r="1542" spans="3:8" x14ac:dyDescent="0.25">
      <c r="C1542" s="554"/>
      <c r="D1542" s="554"/>
      <c r="E1542" s="554"/>
      <c r="F1542" s="554"/>
      <c r="G1542" s="554"/>
      <c r="H1542" s="554"/>
    </row>
    <row r="1543" spans="3:8" x14ac:dyDescent="0.25">
      <c r="C1543" s="554"/>
      <c r="D1543" s="554"/>
      <c r="E1543" s="554"/>
      <c r="F1543" s="554"/>
      <c r="G1543" s="554"/>
      <c r="H1543" s="554"/>
    </row>
    <row r="1544" spans="3:8" x14ac:dyDescent="0.25">
      <c r="C1544" s="554"/>
      <c r="D1544" s="554"/>
      <c r="E1544" s="554"/>
      <c r="F1544" s="554"/>
      <c r="G1544" s="554"/>
      <c r="H1544" s="554"/>
    </row>
    <row r="1545" spans="3:8" x14ac:dyDescent="0.25">
      <c r="C1545" s="554"/>
      <c r="D1545" s="554"/>
      <c r="E1545" s="554"/>
      <c r="F1545" s="554"/>
      <c r="G1545" s="554"/>
      <c r="H1545" s="554"/>
    </row>
    <row r="1546" spans="3:8" x14ac:dyDescent="0.25">
      <c r="C1546" s="554"/>
      <c r="D1546" s="554"/>
      <c r="E1546" s="554"/>
      <c r="F1546" s="554"/>
      <c r="G1546" s="554"/>
      <c r="H1546" s="554"/>
    </row>
    <row r="1547" spans="3:8" x14ac:dyDescent="0.25">
      <c r="C1547" s="554"/>
      <c r="D1547" s="554"/>
      <c r="E1547" s="554"/>
      <c r="F1547" s="554"/>
      <c r="G1547" s="554"/>
      <c r="H1547" s="554"/>
    </row>
    <row r="1548" spans="3:8" x14ac:dyDescent="0.25">
      <c r="C1548" s="554"/>
      <c r="D1548" s="554"/>
      <c r="E1548" s="554"/>
      <c r="F1548" s="554"/>
      <c r="G1548" s="554"/>
      <c r="H1548" s="554"/>
    </row>
    <row r="1549" spans="3:8" x14ac:dyDescent="0.25">
      <c r="C1549" s="554"/>
      <c r="D1549" s="554"/>
      <c r="E1549" s="554"/>
      <c r="F1549" s="554"/>
      <c r="G1549" s="554"/>
      <c r="H1549" s="554"/>
    </row>
    <row r="1550" spans="3:8" x14ac:dyDescent="0.25">
      <c r="C1550" s="554"/>
      <c r="D1550" s="554"/>
      <c r="E1550" s="554"/>
      <c r="F1550" s="554"/>
      <c r="G1550" s="554"/>
      <c r="H1550" s="554"/>
    </row>
    <row r="1551" spans="3:8" x14ac:dyDescent="0.25">
      <c r="C1551" s="554"/>
      <c r="D1551" s="554"/>
      <c r="E1551" s="554"/>
      <c r="F1551" s="554"/>
      <c r="G1551" s="554"/>
      <c r="H1551" s="554"/>
    </row>
    <row r="1552" spans="3:8" x14ac:dyDescent="0.25">
      <c r="C1552" s="554"/>
      <c r="D1552" s="554"/>
      <c r="E1552" s="554"/>
      <c r="F1552" s="554"/>
      <c r="G1552" s="554"/>
      <c r="H1552" s="554"/>
    </row>
    <row r="1553" spans="3:8" x14ac:dyDescent="0.25">
      <c r="C1553" s="554"/>
      <c r="D1553" s="554"/>
      <c r="E1553" s="554"/>
      <c r="F1553" s="554"/>
      <c r="G1553" s="554"/>
      <c r="H1553" s="554"/>
    </row>
    <row r="1554" spans="3:8" x14ac:dyDescent="0.25">
      <c r="C1554" s="554"/>
      <c r="D1554" s="554"/>
      <c r="E1554" s="554"/>
      <c r="F1554" s="554"/>
      <c r="G1554" s="554"/>
      <c r="H1554" s="554"/>
    </row>
    <row r="1555" spans="3:8" x14ac:dyDescent="0.25">
      <c r="C1555" s="554"/>
      <c r="D1555" s="554"/>
      <c r="E1555" s="554"/>
      <c r="F1555" s="554"/>
      <c r="G1555" s="554"/>
      <c r="H1555" s="554"/>
    </row>
    <row r="1556" spans="3:8" x14ac:dyDescent="0.25">
      <c r="C1556" s="554"/>
      <c r="D1556" s="554"/>
      <c r="E1556" s="554"/>
      <c r="F1556" s="554"/>
      <c r="G1556" s="554"/>
      <c r="H1556" s="554"/>
    </row>
    <row r="1557" spans="3:8" x14ac:dyDescent="0.25">
      <c r="C1557" s="554"/>
      <c r="D1557" s="554"/>
      <c r="E1557" s="554"/>
      <c r="F1557" s="554"/>
      <c r="G1557" s="554"/>
      <c r="H1557" s="554"/>
    </row>
    <row r="1558" spans="3:8" x14ac:dyDescent="0.25">
      <c r="C1558" s="554"/>
      <c r="D1558" s="554"/>
      <c r="E1558" s="554"/>
      <c r="F1558" s="554"/>
      <c r="G1558" s="554"/>
      <c r="H1558" s="554"/>
    </row>
    <row r="1559" spans="3:8" x14ac:dyDescent="0.25">
      <c r="C1559" s="554"/>
      <c r="D1559" s="554"/>
      <c r="E1559" s="554"/>
      <c r="F1559" s="554"/>
      <c r="G1559" s="554"/>
      <c r="H1559" s="554"/>
    </row>
    <row r="1560" spans="3:8" x14ac:dyDescent="0.25">
      <c r="C1560" s="554"/>
      <c r="D1560" s="554"/>
      <c r="E1560" s="554"/>
      <c r="F1560" s="554"/>
      <c r="G1560" s="554"/>
      <c r="H1560" s="554"/>
    </row>
    <row r="1561" spans="3:8" x14ac:dyDescent="0.25">
      <c r="C1561" s="554"/>
      <c r="D1561" s="554"/>
      <c r="E1561" s="554"/>
      <c r="F1561" s="554"/>
      <c r="G1561" s="554"/>
      <c r="H1561" s="554"/>
    </row>
    <row r="1562" spans="3:8" x14ac:dyDescent="0.25">
      <c r="C1562" s="554"/>
      <c r="D1562" s="554"/>
      <c r="E1562" s="554"/>
      <c r="F1562" s="554"/>
      <c r="G1562" s="554"/>
      <c r="H1562" s="554"/>
    </row>
    <row r="1563" spans="3:8" x14ac:dyDescent="0.25">
      <c r="C1563" s="554"/>
      <c r="D1563" s="554"/>
      <c r="E1563" s="554"/>
      <c r="F1563" s="554"/>
      <c r="G1563" s="554"/>
      <c r="H1563" s="554"/>
    </row>
    <row r="1564" spans="3:8" x14ac:dyDescent="0.25">
      <c r="C1564" s="554"/>
      <c r="D1564" s="554"/>
      <c r="E1564" s="554"/>
      <c r="F1564" s="554"/>
      <c r="G1564" s="554"/>
      <c r="H1564" s="554"/>
    </row>
    <row r="1565" spans="3:8" x14ac:dyDescent="0.25">
      <c r="C1565" s="554"/>
      <c r="D1565" s="554"/>
      <c r="E1565" s="554"/>
      <c r="F1565" s="554"/>
      <c r="G1565" s="554"/>
      <c r="H1565" s="554"/>
    </row>
    <row r="1566" spans="3:8" x14ac:dyDescent="0.25">
      <c r="C1566" s="554"/>
      <c r="D1566" s="554"/>
      <c r="E1566" s="554"/>
      <c r="F1566" s="554"/>
      <c r="G1566" s="554"/>
      <c r="H1566" s="554"/>
    </row>
    <row r="1567" spans="3:8" x14ac:dyDescent="0.25">
      <c r="C1567" s="554"/>
      <c r="D1567" s="554"/>
      <c r="E1567" s="554"/>
      <c r="F1567" s="554"/>
      <c r="G1567" s="554"/>
      <c r="H1567" s="554"/>
    </row>
    <row r="1568" spans="3:8" x14ac:dyDescent="0.25">
      <c r="C1568" s="554"/>
      <c r="D1568" s="554"/>
      <c r="E1568" s="554"/>
      <c r="F1568" s="554"/>
      <c r="G1568" s="554"/>
      <c r="H1568" s="554"/>
    </row>
    <row r="1569" spans="3:8" x14ac:dyDescent="0.25">
      <c r="C1569" s="554"/>
      <c r="D1569" s="554"/>
      <c r="E1569" s="554"/>
      <c r="F1569" s="554"/>
      <c r="G1569" s="554"/>
      <c r="H1569" s="554"/>
    </row>
    <row r="1570" spans="3:8" x14ac:dyDescent="0.25">
      <c r="C1570" s="554"/>
      <c r="D1570" s="554"/>
      <c r="E1570" s="554"/>
      <c r="F1570" s="554"/>
      <c r="G1570" s="554"/>
      <c r="H1570" s="554"/>
    </row>
    <row r="1571" spans="3:8" x14ac:dyDescent="0.25">
      <c r="C1571" s="554"/>
      <c r="D1571" s="554"/>
      <c r="E1571" s="554"/>
      <c r="F1571" s="554"/>
      <c r="G1571" s="554"/>
      <c r="H1571" s="554"/>
    </row>
    <row r="1572" spans="3:8" x14ac:dyDescent="0.25">
      <c r="C1572" s="554"/>
      <c r="D1572" s="554"/>
      <c r="E1572" s="554"/>
      <c r="F1572" s="554"/>
      <c r="G1572" s="554"/>
      <c r="H1572" s="554"/>
    </row>
    <row r="1573" spans="3:8" x14ac:dyDescent="0.25">
      <c r="C1573" s="554"/>
      <c r="D1573" s="554"/>
      <c r="E1573" s="554"/>
      <c r="F1573" s="554"/>
      <c r="G1573" s="554"/>
      <c r="H1573" s="554"/>
    </row>
    <row r="1574" spans="3:8" x14ac:dyDescent="0.25">
      <c r="C1574" s="554"/>
      <c r="D1574" s="554"/>
      <c r="E1574" s="554"/>
      <c r="F1574" s="554"/>
      <c r="G1574" s="554"/>
      <c r="H1574" s="554"/>
    </row>
    <row r="1575" spans="3:8" x14ac:dyDescent="0.25">
      <c r="C1575" s="554"/>
      <c r="D1575" s="554"/>
      <c r="E1575" s="554"/>
      <c r="F1575" s="554"/>
      <c r="G1575" s="554"/>
      <c r="H1575" s="554"/>
    </row>
    <row r="1576" spans="3:8" x14ac:dyDescent="0.25">
      <c r="C1576" s="554"/>
      <c r="D1576" s="554"/>
      <c r="E1576" s="554"/>
      <c r="F1576" s="554"/>
      <c r="G1576" s="554"/>
      <c r="H1576" s="554"/>
    </row>
    <row r="1577" spans="3:8" x14ac:dyDescent="0.25">
      <c r="C1577" s="554"/>
      <c r="D1577" s="554"/>
      <c r="E1577" s="554"/>
      <c r="F1577" s="554"/>
      <c r="G1577" s="554"/>
      <c r="H1577" s="554"/>
    </row>
    <row r="1578" spans="3:8" x14ac:dyDescent="0.25">
      <c r="C1578" s="554"/>
      <c r="D1578" s="554"/>
      <c r="E1578" s="554"/>
      <c r="F1578" s="554"/>
      <c r="G1578" s="554"/>
      <c r="H1578" s="554"/>
    </row>
    <row r="1579" spans="3:8" x14ac:dyDescent="0.25">
      <c r="C1579" s="554"/>
      <c r="D1579" s="554"/>
      <c r="E1579" s="554"/>
      <c r="F1579" s="554"/>
      <c r="G1579" s="554"/>
      <c r="H1579" s="554"/>
    </row>
    <row r="1580" spans="3:8" x14ac:dyDescent="0.25">
      <c r="C1580" s="554"/>
      <c r="D1580" s="554"/>
      <c r="E1580" s="554"/>
      <c r="F1580" s="554"/>
      <c r="G1580" s="554"/>
      <c r="H1580" s="554"/>
    </row>
    <row r="1581" spans="3:8" x14ac:dyDescent="0.25">
      <c r="C1581" s="554"/>
      <c r="D1581" s="554"/>
      <c r="E1581" s="554"/>
      <c r="F1581" s="554"/>
      <c r="G1581" s="554"/>
      <c r="H1581" s="554"/>
    </row>
    <row r="1582" spans="3:8" x14ac:dyDescent="0.25">
      <c r="C1582" s="554"/>
      <c r="D1582" s="554"/>
      <c r="E1582" s="554"/>
      <c r="F1582" s="554"/>
      <c r="G1582" s="554"/>
      <c r="H1582" s="554"/>
    </row>
    <row r="1583" spans="3:8" x14ac:dyDescent="0.25">
      <c r="C1583" s="554"/>
      <c r="D1583" s="554"/>
      <c r="E1583" s="554"/>
      <c r="F1583" s="554"/>
      <c r="G1583" s="554"/>
      <c r="H1583" s="554"/>
    </row>
    <row r="1584" spans="3:8" x14ac:dyDescent="0.25">
      <c r="C1584" s="554"/>
      <c r="D1584" s="554"/>
      <c r="E1584" s="554"/>
      <c r="F1584" s="554"/>
      <c r="G1584" s="554"/>
      <c r="H1584" s="554"/>
    </row>
    <row r="1585" spans="3:8" x14ac:dyDescent="0.25">
      <c r="C1585" s="554"/>
      <c r="D1585" s="554"/>
      <c r="E1585" s="554"/>
      <c r="F1585" s="554"/>
      <c r="G1585" s="554"/>
      <c r="H1585" s="554"/>
    </row>
    <row r="1586" spans="3:8" x14ac:dyDescent="0.25">
      <c r="C1586" s="554"/>
      <c r="D1586" s="554"/>
      <c r="E1586" s="554"/>
      <c r="F1586" s="554"/>
      <c r="G1586" s="554"/>
      <c r="H1586" s="554"/>
    </row>
    <row r="1587" spans="3:8" x14ac:dyDescent="0.25">
      <c r="C1587" s="554"/>
      <c r="D1587" s="554"/>
      <c r="E1587" s="554"/>
      <c r="F1587" s="554"/>
      <c r="G1587" s="554"/>
      <c r="H1587" s="554"/>
    </row>
    <row r="1588" spans="3:8" x14ac:dyDescent="0.25">
      <c r="C1588" s="554"/>
      <c r="D1588" s="554"/>
      <c r="E1588" s="554"/>
      <c r="F1588" s="554"/>
      <c r="G1588" s="554"/>
      <c r="H1588" s="554"/>
    </row>
    <row r="1589" spans="3:8" x14ac:dyDescent="0.25">
      <c r="C1589" s="554"/>
      <c r="D1589" s="554"/>
      <c r="E1589" s="554"/>
      <c r="F1589" s="554"/>
      <c r="G1589" s="554"/>
      <c r="H1589" s="554"/>
    </row>
    <row r="1590" spans="3:8" x14ac:dyDescent="0.25">
      <c r="C1590" s="554"/>
      <c r="D1590" s="554"/>
      <c r="E1590" s="554"/>
      <c r="F1590" s="554"/>
      <c r="G1590" s="554"/>
      <c r="H1590" s="554"/>
    </row>
    <row r="1591" spans="3:8" x14ac:dyDescent="0.25">
      <c r="C1591" s="554"/>
      <c r="D1591" s="554"/>
      <c r="E1591" s="554"/>
      <c r="F1591" s="554"/>
      <c r="G1591" s="554"/>
      <c r="H1591" s="554"/>
    </row>
    <row r="1592" spans="3:8" x14ac:dyDescent="0.25">
      <c r="C1592" s="554"/>
      <c r="D1592" s="554"/>
      <c r="E1592" s="554"/>
      <c r="F1592" s="554"/>
      <c r="G1592" s="554"/>
      <c r="H1592" s="554"/>
    </row>
    <row r="1593" spans="3:8" x14ac:dyDescent="0.25">
      <c r="C1593" s="554"/>
      <c r="D1593" s="554"/>
      <c r="E1593" s="554"/>
      <c r="F1593" s="554"/>
      <c r="G1593" s="554"/>
      <c r="H1593" s="554"/>
    </row>
    <row r="1594" spans="3:8" x14ac:dyDescent="0.25">
      <c r="C1594" s="554"/>
      <c r="D1594" s="554"/>
      <c r="E1594" s="554"/>
      <c r="F1594" s="554"/>
      <c r="G1594" s="554"/>
      <c r="H1594" s="554"/>
    </row>
    <row r="1595" spans="3:8" x14ac:dyDescent="0.25">
      <c r="C1595" s="554"/>
      <c r="D1595" s="554"/>
      <c r="E1595" s="554"/>
      <c r="F1595" s="554"/>
      <c r="G1595" s="554"/>
      <c r="H1595" s="554"/>
    </row>
    <row r="1596" spans="3:8" x14ac:dyDescent="0.25">
      <c r="C1596" s="554"/>
      <c r="D1596" s="554"/>
      <c r="E1596" s="554"/>
      <c r="F1596" s="554"/>
      <c r="G1596" s="554"/>
      <c r="H1596" s="554"/>
    </row>
    <row r="1597" spans="3:8" x14ac:dyDescent="0.25">
      <c r="C1597" s="554"/>
      <c r="D1597" s="554"/>
      <c r="E1597" s="554"/>
      <c r="F1597" s="554"/>
      <c r="G1597" s="554"/>
      <c r="H1597" s="554"/>
    </row>
    <row r="1598" spans="3:8" x14ac:dyDescent="0.25">
      <c r="C1598" s="554"/>
      <c r="D1598" s="554"/>
      <c r="E1598" s="554"/>
      <c r="F1598" s="554"/>
      <c r="G1598" s="554"/>
      <c r="H1598" s="554"/>
    </row>
    <row r="1599" spans="3:8" x14ac:dyDescent="0.25">
      <c r="C1599" s="554"/>
      <c r="D1599" s="554"/>
      <c r="E1599" s="554"/>
      <c r="F1599" s="554"/>
      <c r="G1599" s="554"/>
      <c r="H1599" s="554"/>
    </row>
    <row r="1600" spans="3:8" x14ac:dyDescent="0.25">
      <c r="C1600" s="554"/>
      <c r="D1600" s="554"/>
      <c r="E1600" s="554"/>
      <c r="F1600" s="554"/>
      <c r="G1600" s="554"/>
      <c r="H1600" s="554"/>
    </row>
    <row r="1601" spans="3:8" x14ac:dyDescent="0.25">
      <c r="C1601" s="554"/>
      <c r="D1601" s="554"/>
      <c r="E1601" s="554"/>
      <c r="F1601" s="554"/>
      <c r="G1601" s="554"/>
      <c r="H1601" s="554"/>
    </row>
    <row r="1602" spans="3:8" x14ac:dyDescent="0.25">
      <c r="C1602" s="554"/>
      <c r="D1602" s="554"/>
      <c r="E1602" s="554"/>
      <c r="F1602" s="554"/>
      <c r="G1602" s="554"/>
      <c r="H1602" s="554"/>
    </row>
    <row r="1603" spans="3:8" x14ac:dyDescent="0.25">
      <c r="C1603" s="554"/>
      <c r="D1603" s="554"/>
      <c r="E1603" s="554"/>
      <c r="F1603" s="554"/>
      <c r="G1603" s="554"/>
      <c r="H1603" s="554"/>
    </row>
    <row r="1604" spans="3:8" x14ac:dyDescent="0.25">
      <c r="C1604" s="554"/>
      <c r="D1604" s="554"/>
      <c r="E1604" s="554"/>
      <c r="F1604" s="554"/>
      <c r="G1604" s="554"/>
      <c r="H1604" s="554"/>
    </row>
    <row r="1605" spans="3:8" x14ac:dyDescent="0.25">
      <c r="C1605" s="554"/>
      <c r="D1605" s="554"/>
      <c r="E1605" s="554"/>
      <c r="F1605" s="554"/>
      <c r="G1605" s="554"/>
      <c r="H1605" s="554"/>
    </row>
    <row r="1606" spans="3:8" x14ac:dyDescent="0.25">
      <c r="C1606" s="554"/>
      <c r="D1606" s="554"/>
      <c r="E1606" s="554"/>
      <c r="F1606" s="554"/>
      <c r="G1606" s="554"/>
      <c r="H1606" s="554"/>
    </row>
    <row r="1607" spans="3:8" x14ac:dyDescent="0.25">
      <c r="C1607" s="554"/>
      <c r="D1607" s="554"/>
      <c r="E1607" s="554"/>
      <c r="F1607" s="554"/>
      <c r="G1607" s="554"/>
      <c r="H1607" s="554"/>
    </row>
    <row r="1608" spans="3:8" x14ac:dyDescent="0.25">
      <c r="C1608" s="554"/>
      <c r="D1608" s="554"/>
      <c r="E1608" s="554"/>
      <c r="F1608" s="554"/>
      <c r="G1608" s="554"/>
      <c r="H1608" s="554"/>
    </row>
    <row r="1609" spans="3:8" x14ac:dyDescent="0.25">
      <c r="C1609" s="554"/>
      <c r="D1609" s="554"/>
      <c r="E1609" s="554"/>
      <c r="F1609" s="554"/>
      <c r="G1609" s="554"/>
      <c r="H1609" s="554"/>
    </row>
    <row r="1610" spans="3:8" x14ac:dyDescent="0.25">
      <c r="C1610" s="554"/>
      <c r="D1610" s="554"/>
      <c r="E1610" s="554"/>
      <c r="F1610" s="554"/>
      <c r="G1610" s="554"/>
      <c r="H1610" s="554"/>
    </row>
    <row r="1611" spans="3:8" x14ac:dyDescent="0.25">
      <c r="C1611" s="554"/>
      <c r="D1611" s="554"/>
      <c r="E1611" s="554"/>
      <c r="F1611" s="554"/>
      <c r="G1611" s="554"/>
      <c r="H1611" s="554"/>
    </row>
    <row r="1612" spans="3:8" x14ac:dyDescent="0.25">
      <c r="C1612" s="554"/>
      <c r="D1612" s="554"/>
      <c r="E1612" s="554"/>
      <c r="F1612" s="554"/>
      <c r="G1612" s="554"/>
      <c r="H1612" s="554"/>
    </row>
    <row r="1613" spans="3:8" x14ac:dyDescent="0.25">
      <c r="C1613" s="554"/>
      <c r="D1613" s="554"/>
      <c r="E1613" s="554"/>
      <c r="F1613" s="554"/>
      <c r="G1613" s="554"/>
      <c r="H1613" s="554"/>
    </row>
    <row r="1614" spans="3:8" x14ac:dyDescent="0.25">
      <c r="C1614" s="554"/>
      <c r="D1614" s="554"/>
      <c r="E1614" s="554"/>
      <c r="F1614" s="554"/>
      <c r="G1614" s="554"/>
      <c r="H1614" s="554"/>
    </row>
    <row r="1615" spans="3:8" x14ac:dyDescent="0.25">
      <c r="C1615" s="554"/>
      <c r="D1615" s="554"/>
      <c r="E1615" s="554"/>
      <c r="F1615" s="554"/>
      <c r="G1615" s="554"/>
      <c r="H1615" s="554"/>
    </row>
    <row r="1616" spans="3:8" x14ac:dyDescent="0.25">
      <c r="C1616" s="554"/>
      <c r="D1616" s="554"/>
      <c r="E1616" s="554"/>
      <c r="F1616" s="554"/>
      <c r="G1616" s="554"/>
      <c r="H1616" s="554"/>
    </row>
    <row r="1617" spans="3:8" x14ac:dyDescent="0.25">
      <c r="C1617" s="554"/>
      <c r="D1617" s="554"/>
      <c r="E1617" s="554"/>
      <c r="F1617" s="554"/>
      <c r="G1617" s="554"/>
      <c r="H1617" s="554"/>
    </row>
    <row r="1618" spans="3:8" x14ac:dyDescent="0.25">
      <c r="C1618" s="554"/>
      <c r="D1618" s="554"/>
      <c r="E1618" s="554"/>
      <c r="F1618" s="554"/>
      <c r="G1618" s="554"/>
      <c r="H1618" s="554"/>
    </row>
    <row r="1619" spans="3:8" x14ac:dyDescent="0.25">
      <c r="C1619" s="554"/>
      <c r="D1619" s="554"/>
      <c r="E1619" s="554"/>
      <c r="F1619" s="554"/>
      <c r="G1619" s="554"/>
      <c r="H1619" s="554"/>
    </row>
    <row r="1620" spans="3:8" x14ac:dyDescent="0.25">
      <c r="C1620" s="554"/>
      <c r="D1620" s="554"/>
      <c r="E1620" s="554"/>
      <c r="F1620" s="554"/>
      <c r="G1620" s="554"/>
      <c r="H1620" s="554"/>
    </row>
    <row r="1621" spans="3:8" x14ac:dyDescent="0.25">
      <c r="C1621" s="554"/>
      <c r="D1621" s="554"/>
      <c r="E1621" s="554"/>
      <c r="F1621" s="554"/>
      <c r="G1621" s="554"/>
      <c r="H1621" s="554"/>
    </row>
    <row r="1622" spans="3:8" x14ac:dyDescent="0.25">
      <c r="C1622" s="554"/>
      <c r="D1622" s="554"/>
      <c r="E1622" s="554"/>
      <c r="F1622" s="554"/>
      <c r="G1622" s="554"/>
      <c r="H1622" s="554"/>
    </row>
    <row r="1623" spans="3:8" x14ac:dyDescent="0.25">
      <c r="C1623" s="554"/>
      <c r="D1623" s="554"/>
      <c r="E1623" s="554"/>
      <c r="F1623" s="554"/>
      <c r="G1623" s="554"/>
      <c r="H1623" s="554"/>
    </row>
    <row r="1624" spans="3:8" x14ac:dyDescent="0.25">
      <c r="C1624" s="554"/>
      <c r="D1624" s="554"/>
      <c r="E1624" s="554"/>
      <c r="F1624" s="554"/>
      <c r="G1624" s="554"/>
      <c r="H1624" s="554"/>
    </row>
    <row r="1625" spans="3:8" x14ac:dyDescent="0.25">
      <c r="C1625" s="554"/>
      <c r="D1625" s="554"/>
      <c r="E1625" s="554"/>
      <c r="F1625" s="554"/>
      <c r="G1625" s="554"/>
      <c r="H1625" s="554"/>
    </row>
    <row r="1626" spans="3:8" x14ac:dyDescent="0.25">
      <c r="C1626" s="554"/>
      <c r="D1626" s="554"/>
      <c r="E1626" s="554"/>
      <c r="F1626" s="554"/>
      <c r="G1626" s="554"/>
      <c r="H1626" s="554"/>
    </row>
    <row r="1627" spans="3:8" x14ac:dyDescent="0.25">
      <c r="C1627" s="554"/>
      <c r="D1627" s="554"/>
      <c r="E1627" s="554"/>
      <c r="F1627" s="554"/>
      <c r="G1627" s="554"/>
      <c r="H1627" s="554"/>
    </row>
    <row r="1628" spans="3:8" x14ac:dyDescent="0.25">
      <c r="C1628" s="554"/>
      <c r="D1628" s="554"/>
      <c r="E1628" s="554"/>
      <c r="F1628" s="554"/>
      <c r="G1628" s="554"/>
      <c r="H1628" s="554"/>
    </row>
    <row r="1629" spans="3:8" x14ac:dyDescent="0.25">
      <c r="C1629" s="554"/>
      <c r="D1629" s="554"/>
      <c r="E1629" s="554"/>
      <c r="F1629" s="554"/>
      <c r="G1629" s="554"/>
      <c r="H1629" s="554"/>
    </row>
    <row r="1630" spans="3:8" x14ac:dyDescent="0.25">
      <c r="C1630" s="554"/>
      <c r="D1630" s="554"/>
      <c r="E1630" s="554"/>
      <c r="F1630" s="554"/>
      <c r="G1630" s="554"/>
      <c r="H1630" s="554"/>
    </row>
    <row r="1631" spans="3:8" x14ac:dyDescent="0.25">
      <c r="C1631" s="554"/>
      <c r="D1631" s="554"/>
      <c r="E1631" s="554"/>
      <c r="F1631" s="554"/>
      <c r="G1631" s="554"/>
      <c r="H1631" s="554"/>
    </row>
    <row r="1632" spans="3:8" x14ac:dyDescent="0.25">
      <c r="C1632" s="554"/>
      <c r="D1632" s="554"/>
      <c r="E1632" s="554"/>
      <c r="F1632" s="554"/>
      <c r="G1632" s="554"/>
      <c r="H1632" s="554"/>
    </row>
    <row r="1633" spans="3:8" x14ac:dyDescent="0.25">
      <c r="C1633" s="554"/>
      <c r="D1633" s="554"/>
      <c r="E1633" s="554"/>
      <c r="F1633" s="554"/>
      <c r="G1633" s="554"/>
      <c r="H1633" s="554"/>
    </row>
    <row r="1634" spans="3:8" x14ac:dyDescent="0.25">
      <c r="C1634" s="554"/>
      <c r="D1634" s="554"/>
      <c r="E1634" s="554"/>
      <c r="F1634" s="554"/>
      <c r="G1634" s="554"/>
      <c r="H1634" s="554"/>
    </row>
    <row r="1635" spans="3:8" x14ac:dyDescent="0.25">
      <c r="C1635" s="554"/>
      <c r="D1635" s="554"/>
      <c r="E1635" s="554"/>
      <c r="F1635" s="554"/>
      <c r="G1635" s="554"/>
      <c r="H1635" s="554"/>
    </row>
    <row r="1636" spans="3:8" x14ac:dyDescent="0.25">
      <c r="C1636" s="554"/>
      <c r="D1636" s="554"/>
      <c r="E1636" s="554"/>
      <c r="F1636" s="554"/>
      <c r="G1636" s="554"/>
      <c r="H1636" s="554"/>
    </row>
    <row r="1637" spans="3:8" x14ac:dyDescent="0.25">
      <c r="C1637" s="554"/>
      <c r="D1637" s="554"/>
      <c r="E1637" s="554"/>
      <c r="F1637" s="554"/>
      <c r="G1637" s="554"/>
      <c r="H1637" s="554"/>
    </row>
    <row r="1638" spans="3:8" x14ac:dyDescent="0.25">
      <c r="C1638" s="554"/>
      <c r="D1638" s="554"/>
      <c r="E1638" s="554"/>
      <c r="F1638" s="554"/>
      <c r="G1638" s="554"/>
      <c r="H1638" s="554"/>
    </row>
    <row r="1639" spans="3:8" x14ac:dyDescent="0.25">
      <c r="C1639" s="554"/>
      <c r="D1639" s="554"/>
      <c r="E1639" s="554"/>
      <c r="F1639" s="554"/>
      <c r="G1639" s="554"/>
      <c r="H1639" s="554"/>
    </row>
    <row r="1640" spans="3:8" x14ac:dyDescent="0.25">
      <c r="C1640" s="554"/>
      <c r="D1640" s="554"/>
      <c r="E1640" s="554"/>
      <c r="F1640" s="554"/>
      <c r="G1640" s="554"/>
      <c r="H1640" s="554"/>
    </row>
    <row r="1641" spans="3:8" x14ac:dyDescent="0.25">
      <c r="C1641" s="554"/>
      <c r="D1641" s="554"/>
      <c r="E1641" s="554"/>
      <c r="F1641" s="554"/>
      <c r="G1641" s="554"/>
      <c r="H1641" s="554"/>
    </row>
    <row r="1642" spans="3:8" x14ac:dyDescent="0.25">
      <c r="C1642" s="554"/>
      <c r="D1642" s="554"/>
      <c r="E1642" s="554"/>
      <c r="F1642" s="554"/>
      <c r="G1642" s="554"/>
      <c r="H1642" s="554"/>
    </row>
    <row r="1643" spans="3:8" x14ac:dyDescent="0.25">
      <c r="C1643" s="554"/>
      <c r="D1643" s="554"/>
      <c r="E1643" s="554"/>
      <c r="F1643" s="554"/>
      <c r="G1643" s="554"/>
      <c r="H1643" s="554"/>
    </row>
    <row r="1644" spans="3:8" x14ac:dyDescent="0.25">
      <c r="C1644" s="554"/>
      <c r="D1644" s="554"/>
      <c r="E1644" s="554"/>
      <c r="F1644" s="554"/>
      <c r="G1644" s="554"/>
      <c r="H1644" s="554"/>
    </row>
    <row r="1645" spans="3:8" x14ac:dyDescent="0.25">
      <c r="C1645" s="554"/>
      <c r="D1645" s="554"/>
      <c r="E1645" s="554"/>
      <c r="F1645" s="554"/>
      <c r="G1645" s="554"/>
      <c r="H1645" s="554"/>
    </row>
    <row r="1646" spans="3:8" x14ac:dyDescent="0.25">
      <c r="C1646" s="554"/>
      <c r="D1646" s="554"/>
      <c r="E1646" s="554"/>
      <c r="F1646" s="554"/>
      <c r="G1646" s="554"/>
      <c r="H1646" s="554"/>
    </row>
    <row r="1647" spans="3:8" x14ac:dyDescent="0.25">
      <c r="C1647" s="554"/>
      <c r="D1647" s="554"/>
      <c r="E1647" s="554"/>
      <c r="F1647" s="554"/>
      <c r="G1647" s="554"/>
      <c r="H1647" s="554"/>
    </row>
    <row r="1648" spans="3:8" x14ac:dyDescent="0.25">
      <c r="C1648" s="554"/>
      <c r="D1648" s="554"/>
      <c r="E1648" s="554"/>
      <c r="F1648" s="554"/>
      <c r="G1648" s="554"/>
      <c r="H1648" s="554"/>
    </row>
    <row r="1649" spans="3:8" x14ac:dyDescent="0.25">
      <c r="C1649" s="554"/>
      <c r="D1649" s="554"/>
      <c r="E1649" s="554"/>
      <c r="F1649" s="554"/>
      <c r="G1649" s="554"/>
      <c r="H1649" s="554"/>
    </row>
    <row r="1650" spans="3:8" x14ac:dyDescent="0.25">
      <c r="C1650" s="554"/>
      <c r="D1650" s="554"/>
      <c r="E1650" s="554"/>
      <c r="F1650" s="554"/>
      <c r="G1650" s="554"/>
      <c r="H1650" s="554"/>
    </row>
    <row r="1651" spans="3:8" x14ac:dyDescent="0.25">
      <c r="C1651" s="554"/>
      <c r="D1651" s="554"/>
      <c r="E1651" s="554"/>
      <c r="F1651" s="554"/>
      <c r="G1651" s="554"/>
      <c r="H1651" s="554"/>
    </row>
    <row r="1652" spans="3:8" x14ac:dyDescent="0.25">
      <c r="C1652" s="554"/>
      <c r="D1652" s="554"/>
      <c r="E1652" s="554"/>
      <c r="F1652" s="554"/>
      <c r="G1652" s="554"/>
      <c r="H1652" s="554"/>
    </row>
    <row r="1653" spans="3:8" x14ac:dyDescent="0.25">
      <c r="C1653" s="554"/>
      <c r="D1653" s="554"/>
      <c r="E1653" s="554"/>
      <c r="F1653" s="554"/>
      <c r="G1653" s="554"/>
      <c r="H1653" s="554"/>
    </row>
    <row r="1654" spans="3:8" x14ac:dyDescent="0.25">
      <c r="C1654" s="554"/>
      <c r="D1654" s="554"/>
      <c r="E1654" s="554"/>
      <c r="F1654" s="554"/>
      <c r="G1654" s="554"/>
      <c r="H1654" s="554"/>
    </row>
    <row r="1655" spans="3:8" x14ac:dyDescent="0.25">
      <c r="C1655" s="554"/>
      <c r="D1655" s="554"/>
      <c r="E1655" s="554"/>
      <c r="F1655" s="554"/>
      <c r="G1655" s="554"/>
      <c r="H1655" s="554"/>
    </row>
    <row r="1656" spans="3:8" x14ac:dyDescent="0.25">
      <c r="C1656" s="554"/>
      <c r="D1656" s="554"/>
      <c r="E1656" s="554"/>
      <c r="F1656" s="554"/>
      <c r="G1656" s="554"/>
      <c r="H1656" s="554"/>
    </row>
    <row r="1657" spans="3:8" x14ac:dyDescent="0.25">
      <c r="C1657" s="554"/>
      <c r="D1657" s="554"/>
      <c r="E1657" s="554"/>
      <c r="F1657" s="554"/>
      <c r="G1657" s="554"/>
      <c r="H1657" s="554"/>
    </row>
    <row r="1658" spans="3:8" x14ac:dyDescent="0.25">
      <c r="C1658" s="554"/>
      <c r="D1658" s="554"/>
      <c r="E1658" s="554"/>
      <c r="F1658" s="554"/>
      <c r="G1658" s="554"/>
      <c r="H1658" s="554"/>
    </row>
    <row r="1659" spans="3:8" x14ac:dyDescent="0.25">
      <c r="C1659" s="554"/>
      <c r="D1659" s="554"/>
      <c r="E1659" s="554"/>
      <c r="F1659" s="554"/>
      <c r="G1659" s="554"/>
      <c r="H1659" s="554"/>
    </row>
    <row r="1660" spans="3:8" x14ac:dyDescent="0.25">
      <c r="C1660" s="554"/>
      <c r="D1660" s="554"/>
      <c r="E1660" s="554"/>
      <c r="F1660" s="554"/>
      <c r="G1660" s="554"/>
      <c r="H1660" s="554"/>
    </row>
    <row r="1661" spans="3:8" x14ac:dyDescent="0.25">
      <c r="C1661" s="554"/>
      <c r="D1661" s="554"/>
      <c r="E1661" s="554"/>
      <c r="F1661" s="554"/>
      <c r="G1661" s="554"/>
      <c r="H1661" s="554"/>
    </row>
    <row r="1662" spans="3:8" x14ac:dyDescent="0.25">
      <c r="C1662" s="554"/>
      <c r="D1662" s="554"/>
      <c r="E1662" s="554"/>
      <c r="F1662" s="554"/>
      <c r="G1662" s="554"/>
      <c r="H1662" s="554"/>
    </row>
    <row r="1663" spans="3:8" x14ac:dyDescent="0.25">
      <c r="C1663" s="554"/>
      <c r="D1663" s="554"/>
      <c r="E1663" s="554"/>
      <c r="F1663" s="554"/>
      <c r="G1663" s="554"/>
      <c r="H1663" s="554"/>
    </row>
    <row r="1664" spans="3:8" x14ac:dyDescent="0.25">
      <c r="C1664" s="554"/>
      <c r="D1664" s="554"/>
      <c r="E1664" s="554"/>
      <c r="F1664" s="554"/>
      <c r="G1664" s="554"/>
      <c r="H1664" s="554"/>
    </row>
    <row r="1665" spans="3:8" x14ac:dyDescent="0.25">
      <c r="C1665" s="554"/>
      <c r="D1665" s="554"/>
      <c r="E1665" s="554"/>
      <c r="F1665" s="554"/>
      <c r="G1665" s="554"/>
      <c r="H1665" s="554"/>
    </row>
    <row r="1666" spans="3:8" x14ac:dyDescent="0.25">
      <c r="C1666" s="554"/>
      <c r="D1666" s="554"/>
      <c r="E1666" s="554"/>
      <c r="F1666" s="554"/>
      <c r="G1666" s="554"/>
      <c r="H1666" s="554"/>
    </row>
    <row r="1667" spans="3:8" x14ac:dyDescent="0.25">
      <c r="C1667" s="554"/>
      <c r="D1667" s="554"/>
      <c r="E1667" s="554"/>
      <c r="F1667" s="554"/>
      <c r="G1667" s="554"/>
      <c r="H1667" s="554"/>
    </row>
    <row r="1668" spans="3:8" x14ac:dyDescent="0.25">
      <c r="C1668" s="554"/>
      <c r="D1668" s="554"/>
      <c r="E1668" s="554"/>
      <c r="F1668" s="554"/>
      <c r="G1668" s="554"/>
      <c r="H1668" s="554"/>
    </row>
    <row r="1669" spans="3:8" x14ac:dyDescent="0.25">
      <c r="C1669" s="554"/>
      <c r="D1669" s="554"/>
      <c r="E1669" s="554"/>
      <c r="F1669" s="554"/>
      <c r="G1669" s="554"/>
      <c r="H1669" s="554"/>
    </row>
    <row r="1670" spans="3:8" x14ac:dyDescent="0.25">
      <c r="C1670" s="554"/>
      <c r="D1670" s="554"/>
      <c r="E1670" s="554"/>
      <c r="F1670" s="554"/>
      <c r="G1670" s="554"/>
      <c r="H1670" s="554"/>
    </row>
    <row r="1671" spans="3:8" x14ac:dyDescent="0.25">
      <c r="C1671" s="554"/>
      <c r="D1671" s="554"/>
      <c r="E1671" s="554"/>
      <c r="F1671" s="554"/>
      <c r="G1671" s="554"/>
      <c r="H1671" s="554"/>
    </row>
    <row r="1672" spans="3:8" x14ac:dyDescent="0.25">
      <c r="C1672" s="554"/>
      <c r="D1672" s="554"/>
      <c r="E1672" s="554"/>
      <c r="F1672" s="554"/>
      <c r="G1672" s="554"/>
      <c r="H1672" s="554"/>
    </row>
    <row r="1673" spans="3:8" x14ac:dyDescent="0.25">
      <c r="C1673" s="554"/>
      <c r="D1673" s="554"/>
      <c r="E1673" s="554"/>
      <c r="F1673" s="554"/>
      <c r="G1673" s="554"/>
      <c r="H1673" s="554"/>
    </row>
    <row r="1674" spans="3:8" x14ac:dyDescent="0.25">
      <c r="C1674" s="554"/>
      <c r="D1674" s="554"/>
      <c r="E1674" s="554"/>
      <c r="F1674" s="554"/>
      <c r="G1674" s="554"/>
      <c r="H1674" s="554"/>
    </row>
    <row r="1675" spans="3:8" x14ac:dyDescent="0.25">
      <c r="C1675" s="554"/>
      <c r="D1675" s="554"/>
      <c r="E1675" s="554"/>
      <c r="F1675" s="554"/>
      <c r="G1675" s="554"/>
      <c r="H1675" s="554"/>
    </row>
    <row r="1676" spans="3:8" x14ac:dyDescent="0.25">
      <c r="C1676" s="554"/>
      <c r="D1676" s="554"/>
      <c r="E1676" s="554"/>
      <c r="F1676" s="554"/>
      <c r="G1676" s="554"/>
      <c r="H1676" s="554"/>
    </row>
    <row r="1677" spans="3:8" x14ac:dyDescent="0.25">
      <c r="C1677" s="554"/>
      <c r="D1677" s="554"/>
      <c r="E1677" s="554"/>
      <c r="F1677" s="554"/>
      <c r="G1677" s="554"/>
      <c r="H1677" s="554"/>
    </row>
    <row r="1678" spans="3:8" x14ac:dyDescent="0.25">
      <c r="C1678" s="554"/>
      <c r="D1678" s="554"/>
      <c r="E1678" s="554"/>
      <c r="F1678" s="554"/>
      <c r="G1678" s="554"/>
      <c r="H1678" s="554"/>
    </row>
    <row r="1679" spans="3:8" x14ac:dyDescent="0.25">
      <c r="C1679" s="554"/>
      <c r="D1679" s="554"/>
      <c r="E1679" s="554"/>
      <c r="F1679" s="554"/>
      <c r="G1679" s="554"/>
      <c r="H1679" s="554"/>
    </row>
    <row r="1680" spans="3:8" x14ac:dyDescent="0.25">
      <c r="C1680" s="554"/>
      <c r="D1680" s="554"/>
      <c r="E1680" s="554"/>
      <c r="F1680" s="554"/>
      <c r="G1680" s="554"/>
      <c r="H1680" s="554"/>
    </row>
    <row r="1681" spans="3:8" x14ac:dyDescent="0.25">
      <c r="C1681" s="554"/>
      <c r="D1681" s="554"/>
      <c r="E1681" s="554"/>
      <c r="F1681" s="554"/>
      <c r="G1681" s="554"/>
      <c r="H1681" s="554"/>
    </row>
    <row r="1682" spans="3:8" x14ac:dyDescent="0.25">
      <c r="C1682" s="554"/>
      <c r="D1682" s="554"/>
      <c r="E1682" s="554"/>
      <c r="F1682" s="554"/>
      <c r="G1682" s="554"/>
      <c r="H1682" s="554"/>
    </row>
    <row r="1683" spans="3:8" x14ac:dyDescent="0.25">
      <c r="C1683" s="554"/>
      <c r="D1683" s="554"/>
      <c r="E1683" s="554"/>
      <c r="F1683" s="554"/>
      <c r="G1683" s="554"/>
      <c r="H1683" s="554"/>
    </row>
    <row r="1684" spans="3:8" x14ac:dyDescent="0.25">
      <c r="C1684" s="554"/>
      <c r="D1684" s="554"/>
      <c r="E1684" s="554"/>
      <c r="F1684" s="554"/>
      <c r="G1684" s="554"/>
      <c r="H1684" s="554"/>
    </row>
    <row r="1685" spans="3:8" x14ac:dyDescent="0.25">
      <c r="C1685" s="554"/>
      <c r="D1685" s="554"/>
      <c r="E1685" s="554"/>
      <c r="F1685" s="554"/>
      <c r="G1685" s="554"/>
      <c r="H1685" s="554"/>
    </row>
    <row r="1686" spans="3:8" x14ac:dyDescent="0.25">
      <c r="C1686" s="554"/>
      <c r="D1686" s="554"/>
      <c r="E1686" s="554"/>
      <c r="F1686" s="554"/>
      <c r="G1686" s="554"/>
      <c r="H1686" s="554"/>
    </row>
    <row r="1687" spans="3:8" x14ac:dyDescent="0.25">
      <c r="C1687" s="554"/>
      <c r="D1687" s="554"/>
      <c r="E1687" s="554"/>
      <c r="F1687" s="554"/>
      <c r="G1687" s="554"/>
      <c r="H1687" s="554"/>
    </row>
    <row r="1688" spans="3:8" x14ac:dyDescent="0.25">
      <c r="C1688" s="554"/>
      <c r="D1688" s="554"/>
      <c r="E1688" s="554"/>
      <c r="F1688" s="554"/>
      <c r="G1688" s="554"/>
      <c r="H1688" s="554"/>
    </row>
    <row r="1689" spans="3:8" x14ac:dyDescent="0.25">
      <c r="C1689" s="554"/>
      <c r="D1689" s="554"/>
      <c r="E1689" s="554"/>
      <c r="F1689" s="554"/>
      <c r="G1689" s="554"/>
      <c r="H1689" s="554"/>
    </row>
    <row r="1690" spans="3:8" x14ac:dyDescent="0.25">
      <c r="C1690" s="554"/>
      <c r="D1690" s="554"/>
      <c r="E1690" s="554"/>
      <c r="F1690" s="554"/>
      <c r="G1690" s="554"/>
      <c r="H1690" s="554"/>
    </row>
    <row r="1691" spans="3:8" x14ac:dyDescent="0.25">
      <c r="C1691" s="554"/>
      <c r="D1691" s="554"/>
      <c r="E1691" s="554"/>
      <c r="F1691" s="554"/>
      <c r="G1691" s="554"/>
      <c r="H1691" s="554"/>
    </row>
    <row r="1692" spans="3:8" x14ac:dyDescent="0.25">
      <c r="C1692" s="554"/>
      <c r="D1692" s="554"/>
      <c r="E1692" s="554"/>
      <c r="F1692" s="554"/>
      <c r="G1692" s="554"/>
      <c r="H1692" s="554"/>
    </row>
    <row r="1693" spans="3:8" x14ac:dyDescent="0.25">
      <c r="C1693" s="554"/>
      <c r="D1693" s="554"/>
      <c r="E1693" s="554"/>
      <c r="F1693" s="554"/>
      <c r="G1693" s="554"/>
      <c r="H1693" s="554"/>
    </row>
    <row r="1694" spans="3:8" x14ac:dyDescent="0.25">
      <c r="C1694" s="554"/>
      <c r="D1694" s="554"/>
      <c r="E1694" s="554"/>
      <c r="F1694" s="554"/>
      <c r="G1694" s="554"/>
      <c r="H1694" s="554"/>
    </row>
    <row r="1695" spans="3:8" x14ac:dyDescent="0.25">
      <c r="C1695" s="554"/>
      <c r="D1695" s="554"/>
      <c r="E1695" s="554"/>
      <c r="F1695" s="554"/>
      <c r="G1695" s="554"/>
      <c r="H1695" s="554"/>
    </row>
    <row r="1696" spans="3:8" x14ac:dyDescent="0.25">
      <c r="C1696" s="554"/>
      <c r="D1696" s="554"/>
      <c r="E1696" s="554"/>
      <c r="F1696" s="554"/>
      <c r="G1696" s="554"/>
      <c r="H1696" s="554"/>
    </row>
    <row r="1697" spans="3:8" x14ac:dyDescent="0.25">
      <c r="C1697" s="554"/>
      <c r="D1697" s="554"/>
      <c r="E1697" s="554"/>
      <c r="F1697" s="554"/>
      <c r="G1697" s="554"/>
      <c r="H1697" s="554"/>
    </row>
    <row r="1698" spans="3:8" x14ac:dyDescent="0.25">
      <c r="C1698" s="554"/>
      <c r="D1698" s="554"/>
      <c r="E1698" s="554"/>
      <c r="F1698" s="554"/>
      <c r="G1698" s="554"/>
      <c r="H1698" s="554"/>
    </row>
    <row r="1699" spans="3:8" x14ac:dyDescent="0.25">
      <c r="C1699" s="554"/>
      <c r="D1699" s="554"/>
      <c r="E1699" s="554"/>
      <c r="F1699" s="554"/>
      <c r="G1699" s="554"/>
      <c r="H1699" s="554"/>
    </row>
    <row r="1700" spans="3:8" x14ac:dyDescent="0.25">
      <c r="C1700" s="554"/>
      <c r="D1700" s="554"/>
      <c r="E1700" s="554"/>
      <c r="F1700" s="554"/>
      <c r="G1700" s="554"/>
      <c r="H1700" s="554"/>
    </row>
    <row r="1701" spans="3:8" x14ac:dyDescent="0.25">
      <c r="C1701" s="554"/>
      <c r="D1701" s="554"/>
      <c r="E1701" s="554"/>
      <c r="F1701" s="554"/>
      <c r="G1701" s="554"/>
      <c r="H1701" s="554"/>
    </row>
    <row r="1702" spans="3:8" x14ac:dyDescent="0.25">
      <c r="C1702" s="554"/>
      <c r="D1702" s="554"/>
      <c r="E1702" s="554"/>
      <c r="F1702" s="554"/>
      <c r="G1702" s="554"/>
      <c r="H1702" s="554"/>
    </row>
    <row r="1703" spans="3:8" x14ac:dyDescent="0.25">
      <c r="C1703" s="554"/>
      <c r="D1703" s="554"/>
      <c r="E1703" s="554"/>
      <c r="F1703" s="554"/>
      <c r="G1703" s="554"/>
      <c r="H1703" s="554"/>
    </row>
    <row r="1704" spans="3:8" x14ac:dyDescent="0.25">
      <c r="C1704" s="554"/>
      <c r="D1704" s="554"/>
      <c r="E1704" s="554"/>
      <c r="F1704" s="554"/>
      <c r="G1704" s="554"/>
      <c r="H1704" s="554"/>
    </row>
    <row r="1705" spans="3:8" x14ac:dyDescent="0.25">
      <c r="C1705" s="554"/>
      <c r="D1705" s="554"/>
      <c r="E1705" s="554"/>
      <c r="F1705" s="554"/>
      <c r="G1705" s="554"/>
      <c r="H1705" s="554"/>
    </row>
    <row r="1706" spans="3:8" x14ac:dyDescent="0.25">
      <c r="C1706" s="554"/>
      <c r="D1706" s="554"/>
      <c r="E1706" s="554"/>
      <c r="F1706" s="554"/>
      <c r="G1706" s="554"/>
      <c r="H1706" s="554"/>
    </row>
    <row r="1707" spans="3:8" x14ac:dyDescent="0.25">
      <c r="C1707" s="554"/>
      <c r="D1707" s="554"/>
      <c r="E1707" s="554"/>
      <c r="F1707" s="554"/>
      <c r="G1707" s="554"/>
      <c r="H1707" s="554"/>
    </row>
    <row r="1708" spans="3:8" x14ac:dyDescent="0.25">
      <c r="C1708" s="554"/>
      <c r="D1708" s="554"/>
      <c r="E1708" s="554"/>
      <c r="F1708" s="554"/>
      <c r="G1708" s="554"/>
      <c r="H1708" s="554"/>
    </row>
    <row r="1709" spans="3:8" x14ac:dyDescent="0.25">
      <c r="C1709" s="554"/>
      <c r="D1709" s="554"/>
      <c r="E1709" s="554"/>
      <c r="F1709" s="554"/>
      <c r="G1709" s="554"/>
      <c r="H1709" s="554"/>
    </row>
    <row r="1710" spans="3:8" x14ac:dyDescent="0.25">
      <c r="C1710" s="554"/>
      <c r="D1710" s="554"/>
      <c r="E1710" s="554"/>
      <c r="F1710" s="554"/>
      <c r="G1710" s="554"/>
      <c r="H1710" s="554"/>
    </row>
    <row r="1711" spans="3:8" x14ac:dyDescent="0.25">
      <c r="C1711" s="554"/>
      <c r="D1711" s="554"/>
      <c r="E1711" s="554"/>
      <c r="F1711" s="554"/>
      <c r="G1711" s="554"/>
      <c r="H1711" s="554"/>
    </row>
    <row r="1712" spans="3:8" x14ac:dyDescent="0.25">
      <c r="C1712" s="554"/>
      <c r="D1712" s="554"/>
      <c r="E1712" s="554"/>
      <c r="F1712" s="554"/>
      <c r="G1712" s="554"/>
      <c r="H1712" s="554"/>
    </row>
    <row r="1713" spans="3:8" x14ac:dyDescent="0.25">
      <c r="C1713" s="554"/>
      <c r="D1713" s="554"/>
      <c r="E1713" s="554"/>
      <c r="F1713" s="554"/>
      <c r="G1713" s="554"/>
      <c r="H1713" s="554"/>
    </row>
    <row r="1714" spans="3:8" x14ac:dyDescent="0.25">
      <c r="C1714" s="554"/>
      <c r="D1714" s="554"/>
      <c r="E1714" s="554"/>
      <c r="F1714" s="554"/>
      <c r="G1714" s="554"/>
      <c r="H1714" s="554"/>
    </row>
    <row r="1715" spans="3:8" x14ac:dyDescent="0.25">
      <c r="C1715" s="554"/>
      <c r="D1715" s="554"/>
      <c r="E1715" s="554"/>
      <c r="F1715" s="554"/>
      <c r="G1715" s="554"/>
      <c r="H1715" s="554"/>
    </row>
    <row r="1716" spans="3:8" x14ac:dyDescent="0.25">
      <c r="C1716" s="554"/>
      <c r="D1716" s="554"/>
      <c r="E1716" s="554"/>
      <c r="F1716" s="554"/>
      <c r="G1716" s="554"/>
      <c r="H1716" s="554"/>
    </row>
    <row r="1717" spans="3:8" x14ac:dyDescent="0.25">
      <c r="C1717" s="554"/>
      <c r="D1717" s="554"/>
      <c r="E1717" s="554"/>
      <c r="F1717" s="554"/>
      <c r="G1717" s="554"/>
      <c r="H1717" s="554"/>
    </row>
    <row r="1718" spans="3:8" x14ac:dyDescent="0.25">
      <c r="C1718" s="554"/>
      <c r="D1718" s="554"/>
      <c r="E1718" s="554"/>
      <c r="F1718" s="554"/>
      <c r="G1718" s="554"/>
      <c r="H1718" s="554"/>
    </row>
    <row r="1719" spans="3:8" x14ac:dyDescent="0.25">
      <c r="C1719" s="554"/>
      <c r="D1719" s="554"/>
      <c r="E1719" s="554"/>
      <c r="F1719" s="554"/>
      <c r="G1719" s="554"/>
      <c r="H1719" s="554"/>
    </row>
    <row r="1720" spans="3:8" x14ac:dyDescent="0.25">
      <c r="C1720" s="554"/>
      <c r="D1720" s="554"/>
      <c r="E1720" s="554"/>
      <c r="F1720" s="554"/>
      <c r="G1720" s="554"/>
      <c r="H1720" s="554"/>
    </row>
    <row r="1721" spans="3:8" x14ac:dyDescent="0.25">
      <c r="C1721" s="554"/>
      <c r="D1721" s="554"/>
      <c r="E1721" s="554"/>
      <c r="F1721" s="554"/>
      <c r="G1721" s="554"/>
      <c r="H1721" s="554"/>
    </row>
    <row r="1722" spans="3:8" x14ac:dyDescent="0.25">
      <c r="C1722" s="554"/>
      <c r="D1722" s="554"/>
      <c r="E1722" s="554"/>
      <c r="F1722" s="554"/>
      <c r="G1722" s="554"/>
      <c r="H1722" s="554"/>
    </row>
    <row r="1723" spans="3:8" x14ac:dyDescent="0.25">
      <c r="C1723" s="554"/>
      <c r="D1723" s="554"/>
      <c r="E1723" s="554"/>
      <c r="F1723" s="554"/>
      <c r="G1723" s="554"/>
      <c r="H1723" s="554"/>
    </row>
    <row r="1724" spans="3:8" x14ac:dyDescent="0.25">
      <c r="C1724" s="554"/>
      <c r="D1724" s="554"/>
      <c r="E1724" s="554"/>
      <c r="F1724" s="554"/>
      <c r="G1724" s="554"/>
      <c r="H1724" s="554"/>
    </row>
    <row r="1725" spans="3:8" x14ac:dyDescent="0.25">
      <c r="C1725" s="554"/>
      <c r="D1725" s="554"/>
      <c r="E1725" s="554"/>
      <c r="F1725" s="554"/>
      <c r="G1725" s="554"/>
      <c r="H1725" s="554"/>
    </row>
    <row r="1726" spans="3:8" x14ac:dyDescent="0.25">
      <c r="C1726" s="554"/>
      <c r="D1726" s="554"/>
      <c r="E1726" s="554"/>
      <c r="F1726" s="554"/>
      <c r="G1726" s="554"/>
      <c r="H1726" s="554"/>
    </row>
    <row r="1727" spans="3:8" x14ac:dyDescent="0.25">
      <c r="C1727" s="554"/>
      <c r="D1727" s="554"/>
      <c r="E1727" s="554"/>
      <c r="F1727" s="554"/>
      <c r="G1727" s="554"/>
      <c r="H1727" s="554"/>
    </row>
    <row r="1728" spans="3:8" x14ac:dyDescent="0.25">
      <c r="C1728" s="554"/>
      <c r="D1728" s="554"/>
      <c r="E1728" s="554"/>
      <c r="F1728" s="554"/>
      <c r="G1728" s="554"/>
      <c r="H1728" s="554"/>
    </row>
    <row r="1729" spans="3:8" x14ac:dyDescent="0.25">
      <c r="C1729" s="554"/>
      <c r="D1729" s="554"/>
      <c r="E1729" s="554"/>
      <c r="F1729" s="554"/>
      <c r="G1729" s="554"/>
      <c r="H1729" s="554"/>
    </row>
    <row r="1730" spans="3:8" x14ac:dyDescent="0.25">
      <c r="C1730" s="554"/>
      <c r="D1730" s="554"/>
      <c r="E1730" s="554"/>
      <c r="F1730" s="554"/>
      <c r="G1730" s="554"/>
      <c r="H1730" s="554"/>
    </row>
    <row r="1731" spans="3:8" x14ac:dyDescent="0.25">
      <c r="C1731" s="554"/>
      <c r="D1731" s="554"/>
      <c r="E1731" s="554"/>
      <c r="F1731" s="554"/>
      <c r="G1731" s="554"/>
      <c r="H1731" s="554"/>
    </row>
    <row r="1732" spans="3:8" x14ac:dyDescent="0.25">
      <c r="C1732" s="554"/>
      <c r="D1732" s="554"/>
      <c r="E1732" s="554"/>
      <c r="F1732" s="554"/>
      <c r="G1732" s="554"/>
      <c r="H1732" s="554"/>
    </row>
    <row r="1733" spans="3:8" x14ac:dyDescent="0.25">
      <c r="C1733" s="554"/>
      <c r="D1733" s="554"/>
      <c r="E1733" s="554"/>
      <c r="F1733" s="554"/>
      <c r="G1733" s="554"/>
      <c r="H1733" s="554"/>
    </row>
    <row r="1734" spans="3:8" x14ac:dyDescent="0.25">
      <c r="C1734" s="554"/>
      <c r="D1734" s="554"/>
      <c r="E1734" s="554"/>
      <c r="F1734" s="554"/>
      <c r="G1734" s="554"/>
      <c r="H1734" s="554"/>
    </row>
    <row r="1735" spans="3:8" x14ac:dyDescent="0.25">
      <c r="C1735" s="554"/>
      <c r="D1735" s="554"/>
      <c r="E1735" s="554"/>
      <c r="F1735" s="554"/>
      <c r="G1735" s="554"/>
      <c r="H1735" s="554"/>
    </row>
    <row r="1736" spans="3:8" x14ac:dyDescent="0.25">
      <c r="C1736" s="554"/>
      <c r="D1736" s="554"/>
      <c r="E1736" s="554"/>
      <c r="F1736" s="554"/>
      <c r="G1736" s="554"/>
      <c r="H1736" s="554"/>
    </row>
    <row r="1737" spans="3:8" x14ac:dyDescent="0.25">
      <c r="C1737" s="554"/>
      <c r="D1737" s="554"/>
      <c r="E1737" s="554"/>
      <c r="F1737" s="554"/>
      <c r="G1737" s="554"/>
      <c r="H1737" s="554"/>
    </row>
    <row r="1738" spans="3:8" x14ac:dyDescent="0.25">
      <c r="C1738" s="554"/>
      <c r="D1738" s="554"/>
      <c r="E1738" s="554"/>
      <c r="F1738" s="554"/>
      <c r="G1738" s="554"/>
      <c r="H1738" s="554"/>
    </row>
    <row r="1739" spans="3:8" x14ac:dyDescent="0.25">
      <c r="C1739" s="554"/>
      <c r="D1739" s="554"/>
      <c r="E1739" s="554"/>
      <c r="F1739" s="554"/>
      <c r="G1739" s="554"/>
      <c r="H1739" s="554"/>
    </row>
    <row r="1740" spans="3:8" x14ac:dyDescent="0.25">
      <c r="C1740" s="554"/>
      <c r="D1740" s="554"/>
      <c r="E1740" s="554"/>
      <c r="F1740" s="554"/>
      <c r="G1740" s="554"/>
      <c r="H1740" s="554"/>
    </row>
    <row r="1741" spans="3:8" x14ac:dyDescent="0.25">
      <c r="C1741" s="554"/>
      <c r="D1741" s="554"/>
      <c r="E1741" s="554"/>
      <c r="F1741" s="554"/>
      <c r="G1741" s="554"/>
      <c r="H1741" s="554"/>
    </row>
    <row r="1742" spans="3:8" x14ac:dyDescent="0.25">
      <c r="C1742" s="554"/>
      <c r="D1742" s="554"/>
      <c r="E1742" s="554"/>
      <c r="F1742" s="554"/>
      <c r="G1742" s="554"/>
      <c r="H1742" s="554"/>
    </row>
    <row r="1743" spans="3:8" x14ac:dyDescent="0.25">
      <c r="C1743" s="554"/>
      <c r="D1743" s="554"/>
      <c r="E1743" s="554"/>
      <c r="F1743" s="554"/>
      <c r="G1743" s="554"/>
      <c r="H1743" s="554"/>
    </row>
    <row r="1744" spans="3:8" x14ac:dyDescent="0.25">
      <c r="C1744" s="554"/>
      <c r="D1744" s="554"/>
      <c r="E1744" s="554"/>
      <c r="F1744" s="554"/>
      <c r="G1744" s="554"/>
      <c r="H1744" s="554"/>
    </row>
    <row r="1745" spans="3:8" x14ac:dyDescent="0.25">
      <c r="C1745" s="554"/>
      <c r="D1745" s="554"/>
      <c r="E1745" s="554"/>
      <c r="F1745" s="554"/>
      <c r="G1745" s="554"/>
      <c r="H1745" s="554"/>
    </row>
    <row r="1746" spans="3:8" x14ac:dyDescent="0.25">
      <c r="C1746" s="554"/>
      <c r="D1746" s="554"/>
      <c r="E1746" s="554"/>
      <c r="F1746" s="554"/>
      <c r="G1746" s="554"/>
      <c r="H1746" s="554"/>
    </row>
    <row r="1747" spans="3:8" x14ac:dyDescent="0.25">
      <c r="C1747" s="554"/>
      <c r="D1747" s="554"/>
      <c r="E1747" s="554"/>
      <c r="F1747" s="554"/>
      <c r="G1747" s="554"/>
      <c r="H1747" s="554"/>
    </row>
    <row r="1748" spans="3:8" x14ac:dyDescent="0.25">
      <c r="C1748" s="554"/>
      <c r="D1748" s="554"/>
      <c r="E1748" s="554"/>
      <c r="F1748" s="554"/>
      <c r="G1748" s="554"/>
      <c r="H1748" s="554"/>
    </row>
    <row r="1749" spans="3:8" x14ac:dyDescent="0.25">
      <c r="C1749" s="554"/>
      <c r="D1749" s="554"/>
      <c r="E1749" s="554"/>
      <c r="F1749" s="554"/>
      <c r="G1749" s="554"/>
      <c r="H1749" s="554"/>
    </row>
    <row r="1750" spans="3:8" x14ac:dyDescent="0.25">
      <c r="C1750" s="554"/>
      <c r="D1750" s="554"/>
      <c r="E1750" s="554"/>
      <c r="F1750" s="554"/>
      <c r="G1750" s="554"/>
      <c r="H1750" s="554"/>
    </row>
    <row r="1751" spans="3:8" x14ac:dyDescent="0.25">
      <c r="C1751" s="554"/>
      <c r="D1751" s="554"/>
      <c r="E1751" s="554"/>
      <c r="F1751" s="554"/>
      <c r="G1751" s="554"/>
      <c r="H1751" s="554"/>
    </row>
    <row r="1752" spans="3:8" x14ac:dyDescent="0.25">
      <c r="C1752" s="554"/>
      <c r="D1752" s="554"/>
      <c r="E1752" s="554"/>
      <c r="F1752" s="554"/>
      <c r="G1752" s="554"/>
      <c r="H1752" s="554"/>
    </row>
    <row r="1753" spans="3:8" x14ac:dyDescent="0.25">
      <c r="C1753" s="554"/>
      <c r="D1753" s="554"/>
      <c r="E1753" s="554"/>
      <c r="F1753" s="554"/>
      <c r="G1753" s="554"/>
      <c r="H1753" s="554"/>
    </row>
    <row r="1754" spans="3:8" x14ac:dyDescent="0.25">
      <c r="C1754" s="554"/>
      <c r="D1754" s="554"/>
      <c r="E1754" s="554"/>
      <c r="F1754" s="554"/>
      <c r="G1754" s="554"/>
      <c r="H1754" s="554"/>
    </row>
    <row r="1755" spans="3:8" x14ac:dyDescent="0.25">
      <c r="C1755" s="554"/>
      <c r="D1755" s="554"/>
      <c r="E1755" s="554"/>
      <c r="F1755" s="554"/>
      <c r="G1755" s="554"/>
      <c r="H1755" s="554"/>
    </row>
    <row r="1756" spans="3:8" x14ac:dyDescent="0.25">
      <c r="C1756" s="554"/>
      <c r="D1756" s="554"/>
      <c r="E1756" s="554"/>
      <c r="F1756" s="554"/>
      <c r="G1756" s="554"/>
      <c r="H1756" s="554"/>
    </row>
    <row r="1757" spans="3:8" x14ac:dyDescent="0.25">
      <c r="C1757" s="554"/>
      <c r="D1757" s="554"/>
      <c r="E1757" s="554"/>
      <c r="F1757" s="554"/>
      <c r="G1757" s="554"/>
      <c r="H1757" s="554"/>
    </row>
    <row r="1758" spans="3:8" x14ac:dyDescent="0.25">
      <c r="C1758" s="554"/>
      <c r="D1758" s="554"/>
      <c r="E1758" s="554"/>
      <c r="F1758" s="554"/>
      <c r="G1758" s="554"/>
      <c r="H1758" s="554"/>
    </row>
    <row r="1759" spans="3:8" x14ac:dyDescent="0.25">
      <c r="C1759" s="554"/>
      <c r="D1759" s="554"/>
      <c r="E1759" s="554"/>
      <c r="F1759" s="554"/>
      <c r="G1759" s="554"/>
      <c r="H1759" s="554"/>
    </row>
    <row r="1760" spans="3:8" x14ac:dyDescent="0.25">
      <c r="C1760" s="554"/>
      <c r="D1760" s="554"/>
      <c r="E1760" s="554"/>
      <c r="F1760" s="554"/>
      <c r="G1760" s="554"/>
      <c r="H1760" s="554"/>
    </row>
    <row r="1761" spans="3:8" x14ac:dyDescent="0.25">
      <c r="C1761" s="554"/>
      <c r="D1761" s="554"/>
      <c r="E1761" s="554"/>
      <c r="F1761" s="554"/>
      <c r="G1761" s="554"/>
      <c r="H1761" s="554"/>
    </row>
    <row r="1762" spans="3:8" x14ac:dyDescent="0.25">
      <c r="C1762" s="554"/>
      <c r="D1762" s="554"/>
      <c r="E1762" s="554"/>
      <c r="F1762" s="554"/>
      <c r="G1762" s="554"/>
      <c r="H1762" s="554"/>
    </row>
    <row r="1763" spans="3:8" x14ac:dyDescent="0.25">
      <c r="C1763" s="554"/>
      <c r="D1763" s="554"/>
      <c r="E1763" s="554"/>
      <c r="F1763" s="554"/>
      <c r="G1763" s="554"/>
      <c r="H1763" s="554"/>
    </row>
    <row r="1764" spans="3:8" x14ac:dyDescent="0.25">
      <c r="C1764" s="554"/>
      <c r="D1764" s="554"/>
      <c r="E1764" s="554"/>
      <c r="F1764" s="554"/>
      <c r="G1764" s="554"/>
      <c r="H1764" s="554"/>
    </row>
    <row r="1765" spans="3:8" x14ac:dyDescent="0.25">
      <c r="C1765" s="554"/>
      <c r="D1765" s="554"/>
      <c r="E1765" s="554"/>
      <c r="F1765" s="554"/>
      <c r="G1765" s="554"/>
      <c r="H1765" s="554"/>
    </row>
    <row r="1766" spans="3:8" x14ac:dyDescent="0.25">
      <c r="C1766" s="554"/>
      <c r="D1766" s="554"/>
      <c r="E1766" s="554"/>
      <c r="F1766" s="554"/>
      <c r="G1766" s="554"/>
      <c r="H1766" s="554"/>
    </row>
    <row r="1767" spans="3:8" x14ac:dyDescent="0.25">
      <c r="C1767" s="554"/>
      <c r="D1767" s="554"/>
      <c r="E1767" s="554"/>
      <c r="F1767" s="554"/>
      <c r="G1767" s="554"/>
      <c r="H1767" s="554"/>
    </row>
    <row r="1768" spans="3:8" x14ac:dyDescent="0.25">
      <c r="C1768" s="554"/>
      <c r="D1768" s="554"/>
      <c r="E1768" s="554"/>
      <c r="F1768" s="554"/>
      <c r="G1768" s="554"/>
      <c r="H1768" s="554"/>
    </row>
    <row r="1769" spans="3:8" x14ac:dyDescent="0.25">
      <c r="C1769" s="554"/>
      <c r="D1769" s="554"/>
      <c r="E1769" s="554"/>
      <c r="F1769" s="554"/>
      <c r="G1769" s="554"/>
      <c r="H1769" s="554"/>
    </row>
    <row r="1770" spans="3:8" x14ac:dyDescent="0.25">
      <c r="C1770" s="554"/>
      <c r="D1770" s="554"/>
      <c r="E1770" s="554"/>
      <c r="F1770" s="554"/>
      <c r="G1770" s="554"/>
      <c r="H1770" s="554"/>
    </row>
    <row r="1771" spans="3:8" x14ac:dyDescent="0.25">
      <c r="C1771" s="554"/>
      <c r="D1771" s="554"/>
      <c r="E1771" s="554"/>
      <c r="F1771" s="554"/>
      <c r="G1771" s="554"/>
      <c r="H1771" s="554"/>
    </row>
    <row r="1772" spans="3:8" x14ac:dyDescent="0.25">
      <c r="C1772" s="554"/>
      <c r="D1772" s="554"/>
      <c r="E1772" s="554"/>
      <c r="F1772" s="554"/>
      <c r="G1772" s="554"/>
      <c r="H1772" s="554"/>
    </row>
    <row r="1773" spans="3:8" x14ac:dyDescent="0.25">
      <c r="C1773" s="554"/>
      <c r="D1773" s="554"/>
      <c r="E1773" s="554"/>
      <c r="F1773" s="554"/>
      <c r="G1773" s="554"/>
      <c r="H1773" s="554"/>
    </row>
    <row r="1774" spans="3:8" x14ac:dyDescent="0.25">
      <c r="C1774" s="554"/>
      <c r="D1774" s="554"/>
      <c r="E1774" s="554"/>
      <c r="F1774" s="554"/>
      <c r="G1774" s="554"/>
      <c r="H1774" s="554"/>
    </row>
    <row r="1775" spans="3:8" x14ac:dyDescent="0.25">
      <c r="C1775" s="554"/>
      <c r="D1775" s="554"/>
      <c r="E1775" s="554"/>
      <c r="F1775" s="554"/>
      <c r="G1775" s="554"/>
      <c r="H1775" s="554"/>
    </row>
    <row r="1776" spans="3:8" x14ac:dyDescent="0.25">
      <c r="C1776" s="554"/>
      <c r="D1776" s="554"/>
      <c r="E1776" s="554"/>
      <c r="F1776" s="554"/>
      <c r="G1776" s="554"/>
      <c r="H1776" s="554"/>
    </row>
    <row r="1777" spans="3:8" x14ac:dyDescent="0.25">
      <c r="C1777" s="554"/>
      <c r="D1777" s="554"/>
      <c r="E1777" s="554"/>
      <c r="F1777" s="554"/>
      <c r="G1777" s="554"/>
      <c r="H1777" s="554"/>
    </row>
    <row r="1778" spans="3:8" x14ac:dyDescent="0.25">
      <c r="C1778" s="554"/>
      <c r="D1778" s="554"/>
      <c r="E1778" s="554"/>
      <c r="F1778" s="554"/>
      <c r="G1778" s="554"/>
      <c r="H1778" s="554"/>
    </row>
    <row r="1779" spans="3:8" x14ac:dyDescent="0.25">
      <c r="C1779" s="554"/>
      <c r="D1779" s="554"/>
      <c r="E1779" s="554"/>
      <c r="F1779" s="554"/>
      <c r="G1779" s="554"/>
      <c r="H1779" s="554"/>
    </row>
    <row r="1780" spans="3:8" x14ac:dyDescent="0.25">
      <c r="C1780" s="554"/>
      <c r="D1780" s="554"/>
      <c r="E1780" s="554"/>
      <c r="F1780" s="554"/>
      <c r="G1780" s="554"/>
      <c r="H1780" s="554"/>
    </row>
    <row r="1781" spans="3:8" x14ac:dyDescent="0.25">
      <c r="C1781" s="554"/>
      <c r="D1781" s="554"/>
      <c r="E1781" s="554"/>
      <c r="F1781" s="554"/>
      <c r="G1781" s="554"/>
      <c r="H1781" s="554"/>
    </row>
    <row r="1782" spans="3:8" x14ac:dyDescent="0.25">
      <c r="C1782" s="554"/>
      <c r="D1782" s="554"/>
      <c r="E1782" s="554"/>
      <c r="F1782" s="554"/>
      <c r="G1782" s="554"/>
      <c r="H1782" s="554"/>
    </row>
    <row r="1783" spans="3:8" x14ac:dyDescent="0.25">
      <c r="C1783" s="554"/>
      <c r="D1783" s="554"/>
      <c r="E1783" s="554"/>
      <c r="F1783" s="554"/>
      <c r="G1783" s="554"/>
      <c r="H1783" s="554"/>
    </row>
    <row r="1784" spans="3:8" x14ac:dyDescent="0.25">
      <c r="C1784" s="554"/>
      <c r="D1784" s="554"/>
      <c r="E1784" s="554"/>
      <c r="F1784" s="554"/>
      <c r="G1784" s="554"/>
      <c r="H1784" s="554"/>
    </row>
    <row r="1785" spans="3:8" x14ac:dyDescent="0.25">
      <c r="C1785" s="554"/>
      <c r="D1785" s="554"/>
      <c r="E1785" s="554"/>
      <c r="F1785" s="554"/>
      <c r="G1785" s="554"/>
      <c r="H1785" s="554"/>
    </row>
    <row r="1786" spans="3:8" x14ac:dyDescent="0.25">
      <c r="C1786" s="554"/>
      <c r="D1786" s="554"/>
      <c r="E1786" s="554"/>
      <c r="F1786" s="554"/>
      <c r="G1786" s="554"/>
      <c r="H1786" s="554"/>
    </row>
    <row r="1787" spans="3:8" x14ac:dyDescent="0.25">
      <c r="C1787" s="554"/>
      <c r="D1787" s="554"/>
      <c r="E1787" s="554"/>
      <c r="F1787" s="554"/>
      <c r="G1787" s="554"/>
      <c r="H1787" s="554"/>
    </row>
    <row r="1788" spans="3:8" x14ac:dyDescent="0.25">
      <c r="C1788" s="554"/>
      <c r="D1788" s="554"/>
      <c r="E1788" s="554"/>
      <c r="F1788" s="554"/>
      <c r="G1788" s="554"/>
      <c r="H1788" s="554"/>
    </row>
    <row r="1789" spans="3:8" x14ac:dyDescent="0.25">
      <c r="C1789" s="554"/>
      <c r="D1789" s="554"/>
      <c r="E1789" s="554"/>
      <c r="F1789" s="554"/>
      <c r="G1789" s="554"/>
      <c r="H1789" s="554"/>
    </row>
    <row r="1790" spans="3:8" x14ac:dyDescent="0.25">
      <c r="C1790" s="554"/>
      <c r="D1790" s="554"/>
      <c r="E1790" s="554"/>
      <c r="F1790" s="554"/>
      <c r="G1790" s="554"/>
      <c r="H1790" s="554"/>
    </row>
    <row r="1791" spans="3:8" x14ac:dyDescent="0.25">
      <c r="C1791" s="554"/>
      <c r="D1791" s="554"/>
      <c r="E1791" s="554"/>
      <c r="F1791" s="554"/>
      <c r="G1791" s="554"/>
      <c r="H1791" s="554"/>
    </row>
    <row r="1792" spans="3:8" x14ac:dyDescent="0.25">
      <c r="C1792" s="554"/>
      <c r="D1792" s="554"/>
      <c r="E1792" s="554"/>
      <c r="F1792" s="554"/>
      <c r="G1792" s="554"/>
      <c r="H1792" s="554"/>
    </row>
    <row r="1793" spans="3:8" x14ac:dyDescent="0.25">
      <c r="C1793" s="554"/>
      <c r="D1793" s="554"/>
      <c r="E1793" s="554"/>
      <c r="F1793" s="554"/>
      <c r="G1793" s="554"/>
      <c r="H1793" s="554"/>
    </row>
    <row r="1794" spans="3:8" x14ac:dyDescent="0.25">
      <c r="C1794" s="554"/>
      <c r="D1794" s="554"/>
      <c r="E1794" s="554"/>
      <c r="F1794" s="554"/>
      <c r="G1794" s="554"/>
      <c r="H1794" s="554"/>
    </row>
    <row r="1795" spans="3:8" x14ac:dyDescent="0.25">
      <c r="C1795" s="554"/>
      <c r="D1795" s="554"/>
      <c r="E1795" s="554"/>
      <c r="F1795" s="554"/>
      <c r="G1795" s="554"/>
      <c r="H1795" s="554"/>
    </row>
    <row r="1796" spans="3:8" x14ac:dyDescent="0.25">
      <c r="C1796" s="554"/>
      <c r="D1796" s="554"/>
      <c r="E1796" s="554"/>
      <c r="F1796" s="554"/>
      <c r="G1796" s="554"/>
      <c r="H1796" s="554"/>
    </row>
    <row r="1797" spans="3:8" x14ac:dyDescent="0.25">
      <c r="C1797" s="554"/>
      <c r="D1797" s="554"/>
      <c r="E1797" s="554"/>
      <c r="F1797" s="554"/>
      <c r="G1797" s="554"/>
      <c r="H1797" s="554"/>
    </row>
    <row r="1798" spans="3:8" x14ac:dyDescent="0.25">
      <c r="C1798" s="554"/>
      <c r="D1798" s="554"/>
      <c r="E1798" s="554"/>
      <c r="F1798" s="554"/>
      <c r="G1798" s="554"/>
      <c r="H1798" s="554"/>
    </row>
    <row r="1799" spans="3:8" x14ac:dyDescent="0.25">
      <c r="C1799" s="554"/>
      <c r="D1799" s="554"/>
      <c r="E1799" s="554"/>
      <c r="F1799" s="554"/>
      <c r="G1799" s="554"/>
      <c r="H1799" s="554"/>
    </row>
    <row r="1800" spans="3:8" x14ac:dyDescent="0.25">
      <c r="C1800" s="554"/>
      <c r="D1800" s="554"/>
      <c r="E1800" s="554"/>
      <c r="F1800" s="554"/>
      <c r="G1800" s="554"/>
      <c r="H1800" s="554"/>
    </row>
    <row r="1801" spans="3:8" x14ac:dyDescent="0.25">
      <c r="C1801" s="554"/>
      <c r="D1801" s="554"/>
      <c r="E1801" s="554"/>
      <c r="F1801" s="554"/>
      <c r="G1801" s="554"/>
      <c r="H1801" s="554"/>
    </row>
    <row r="1802" spans="3:8" x14ac:dyDescent="0.25">
      <c r="C1802" s="554"/>
      <c r="D1802" s="554"/>
      <c r="E1802" s="554"/>
      <c r="F1802" s="554"/>
      <c r="G1802" s="554"/>
      <c r="H1802" s="554"/>
    </row>
    <row r="1803" spans="3:8" x14ac:dyDescent="0.25">
      <c r="C1803" s="554"/>
      <c r="D1803" s="554"/>
      <c r="E1803" s="554"/>
      <c r="F1803" s="554"/>
      <c r="G1803" s="554"/>
      <c r="H1803" s="554"/>
    </row>
    <row r="1804" spans="3:8" x14ac:dyDescent="0.25">
      <c r="C1804" s="554"/>
      <c r="D1804" s="554"/>
      <c r="E1804" s="554"/>
      <c r="F1804" s="554"/>
      <c r="G1804" s="554"/>
      <c r="H1804" s="554"/>
    </row>
    <row r="1805" spans="3:8" x14ac:dyDescent="0.25">
      <c r="C1805" s="554"/>
      <c r="D1805" s="554"/>
      <c r="E1805" s="554"/>
      <c r="F1805" s="554"/>
      <c r="G1805" s="554"/>
      <c r="H1805" s="554"/>
    </row>
    <row r="1806" spans="3:8" x14ac:dyDescent="0.25">
      <c r="C1806" s="554"/>
      <c r="D1806" s="554"/>
      <c r="E1806" s="554"/>
      <c r="F1806" s="554"/>
      <c r="G1806" s="554"/>
      <c r="H1806" s="554"/>
    </row>
    <row r="1807" spans="3:8" x14ac:dyDescent="0.25">
      <c r="C1807" s="554"/>
      <c r="D1807" s="554"/>
      <c r="E1807" s="554"/>
      <c r="F1807" s="554"/>
      <c r="G1807" s="554"/>
      <c r="H1807" s="554"/>
    </row>
    <row r="1808" spans="3:8" x14ac:dyDescent="0.25">
      <c r="C1808" s="554"/>
      <c r="D1808" s="554"/>
      <c r="E1808" s="554"/>
      <c r="F1808" s="554"/>
      <c r="G1808" s="554"/>
      <c r="H1808" s="554"/>
    </row>
    <row r="1809" spans="3:4" x14ac:dyDescent="0.25">
      <c r="C1809" s="554"/>
      <c r="D1809" s="554"/>
    </row>
    <row r="1810" spans="3:4" x14ac:dyDescent="0.25">
      <c r="C1810" s="554"/>
      <c r="D1810" s="554"/>
    </row>
    <row r="1811" spans="3:4" x14ac:dyDescent="0.25">
      <c r="C1811" s="554"/>
      <c r="D1811" s="554"/>
    </row>
    <row r="1812" spans="3:4" x14ac:dyDescent="0.25">
      <c r="C1812" s="554"/>
      <c r="D1812" s="554"/>
    </row>
    <row r="1813" spans="3:4" x14ac:dyDescent="0.25">
      <c r="C1813" s="554"/>
      <c r="D1813" s="554"/>
    </row>
    <row r="1814" spans="3:4" x14ac:dyDescent="0.25">
      <c r="C1814" s="554"/>
      <c r="D1814" s="554"/>
    </row>
    <row r="1815" spans="3:4" x14ac:dyDescent="0.25">
      <c r="C1815" s="554"/>
      <c r="D1815" s="554"/>
    </row>
    <row r="1816" spans="3:4" x14ac:dyDescent="0.25">
      <c r="C1816" s="554"/>
      <c r="D1816" s="554"/>
    </row>
    <row r="1817" spans="3:4" x14ac:dyDescent="0.25">
      <c r="C1817" s="554"/>
      <c r="D1817" s="554"/>
    </row>
    <row r="1818" spans="3:4" x14ac:dyDescent="0.25">
      <c r="C1818" s="554"/>
      <c r="D1818" s="554"/>
    </row>
    <row r="1819" spans="3:4" x14ac:dyDescent="0.25">
      <c r="C1819" s="554"/>
      <c r="D1819" s="554"/>
    </row>
    <row r="1820" spans="3:4" x14ac:dyDescent="0.25">
      <c r="C1820" s="554"/>
      <c r="D1820" s="554"/>
    </row>
    <row r="1821" spans="3:4" x14ac:dyDescent="0.25">
      <c r="C1821" s="554"/>
      <c r="D1821" s="554"/>
    </row>
    <row r="1822" spans="3:4" x14ac:dyDescent="0.25">
      <c r="C1822" s="554"/>
      <c r="D1822" s="554"/>
    </row>
    <row r="1823" spans="3:4" x14ac:dyDescent="0.25">
      <c r="C1823" s="554"/>
      <c r="D1823" s="554"/>
    </row>
    <row r="1824" spans="3:4" x14ac:dyDescent="0.25">
      <c r="C1824" s="554"/>
      <c r="D1824" s="554"/>
    </row>
    <row r="1825" spans="3:4" x14ac:dyDescent="0.25">
      <c r="C1825" s="554"/>
      <c r="D1825" s="554"/>
    </row>
    <row r="1826" spans="3:4" x14ac:dyDescent="0.25">
      <c r="C1826" s="554"/>
      <c r="D1826" s="554"/>
    </row>
    <row r="1827" spans="3:4" x14ac:dyDescent="0.25">
      <c r="C1827" s="554"/>
      <c r="D1827" s="554"/>
    </row>
    <row r="1828" spans="3:4" x14ac:dyDescent="0.25">
      <c r="C1828" s="554"/>
      <c r="D1828" s="554"/>
    </row>
    <row r="1829" spans="3:4" x14ac:dyDescent="0.25">
      <c r="C1829" s="554"/>
      <c r="D1829" s="554"/>
    </row>
    <row r="1830" spans="3:4" x14ac:dyDescent="0.25">
      <c r="C1830" s="554"/>
      <c r="D1830" s="554"/>
    </row>
    <row r="1831" spans="3:4" x14ac:dyDescent="0.25">
      <c r="C1831" s="554"/>
      <c r="D1831" s="554"/>
    </row>
    <row r="1832" spans="3:4" x14ac:dyDescent="0.25">
      <c r="C1832" s="554"/>
      <c r="D1832" s="554"/>
    </row>
    <row r="1833" spans="3:4" x14ac:dyDescent="0.25">
      <c r="C1833" s="554"/>
      <c r="D1833" s="554"/>
    </row>
    <row r="1834" spans="3:4" x14ac:dyDescent="0.25">
      <c r="C1834" s="554"/>
      <c r="D1834" s="554"/>
    </row>
    <row r="1835" spans="3:4" x14ac:dyDescent="0.25">
      <c r="C1835" s="554"/>
      <c r="D1835" s="554"/>
    </row>
    <row r="1836" spans="3:4" x14ac:dyDescent="0.25">
      <c r="C1836" s="554"/>
      <c r="D1836" s="554"/>
    </row>
    <row r="1837" spans="3:4" x14ac:dyDescent="0.25">
      <c r="C1837" s="554"/>
      <c r="D1837" s="554"/>
    </row>
    <row r="1838" spans="3:4" x14ac:dyDescent="0.25">
      <c r="C1838" s="554"/>
      <c r="D1838" s="554"/>
    </row>
    <row r="1839" spans="3:4" x14ac:dyDescent="0.25">
      <c r="C1839" s="554"/>
      <c r="D1839" s="554"/>
    </row>
    <row r="1840" spans="3:4" x14ac:dyDescent="0.25">
      <c r="C1840" s="554"/>
      <c r="D1840" s="554"/>
    </row>
    <row r="1841" spans="3:4" x14ac:dyDescent="0.25">
      <c r="C1841" s="554"/>
      <c r="D1841" s="554"/>
    </row>
    <row r="1842" spans="3:4" x14ac:dyDescent="0.25">
      <c r="C1842" s="554"/>
      <c r="D1842" s="554"/>
    </row>
    <row r="1843" spans="3:4" x14ac:dyDescent="0.25">
      <c r="C1843" s="554"/>
      <c r="D1843" s="554"/>
    </row>
    <row r="1844" spans="3:4" x14ac:dyDescent="0.25">
      <c r="C1844" s="554"/>
      <c r="D1844" s="554"/>
    </row>
    <row r="1845" spans="3:4" x14ac:dyDescent="0.25">
      <c r="C1845" s="554"/>
      <c r="D1845" s="554"/>
    </row>
    <row r="1846" spans="3:4" x14ac:dyDescent="0.25">
      <c r="C1846" s="554"/>
      <c r="D1846" s="554"/>
    </row>
    <row r="1847" spans="3:4" x14ac:dyDescent="0.25">
      <c r="C1847" s="554"/>
      <c r="D1847" s="554"/>
    </row>
    <row r="1848" spans="3:4" x14ac:dyDescent="0.25">
      <c r="C1848" s="554"/>
      <c r="D1848" s="554"/>
    </row>
    <row r="1849" spans="3:4" x14ac:dyDescent="0.25">
      <c r="C1849" s="554"/>
      <c r="D1849" s="554"/>
    </row>
    <row r="1850" spans="3:4" x14ac:dyDescent="0.25">
      <c r="C1850" s="554"/>
      <c r="D1850" s="554"/>
    </row>
    <row r="1851" spans="3:4" x14ac:dyDescent="0.25">
      <c r="C1851" s="554"/>
      <c r="D1851" s="554"/>
    </row>
    <row r="1852" spans="3:4" x14ac:dyDescent="0.25">
      <c r="C1852" s="554"/>
      <c r="D1852" s="554"/>
    </row>
    <row r="1853" spans="3:4" x14ac:dyDescent="0.25">
      <c r="C1853" s="554"/>
      <c r="D1853" s="554"/>
    </row>
    <row r="1854" spans="3:4" x14ac:dyDescent="0.25">
      <c r="C1854" s="554"/>
      <c r="D1854" s="554"/>
    </row>
    <row r="1855" spans="3:4" x14ac:dyDescent="0.25">
      <c r="C1855" s="554"/>
      <c r="D1855" s="554"/>
    </row>
    <row r="1856" spans="3:4" x14ac:dyDescent="0.25">
      <c r="C1856" s="554"/>
      <c r="D1856" s="554"/>
    </row>
    <row r="1857" spans="3:4" x14ac:dyDescent="0.25">
      <c r="C1857" s="554"/>
      <c r="D1857" s="554"/>
    </row>
    <row r="1858" spans="3:4" x14ac:dyDescent="0.25">
      <c r="C1858" s="554"/>
      <c r="D1858" s="554"/>
    </row>
    <row r="1859" spans="3:4" x14ac:dyDescent="0.25">
      <c r="C1859" s="554"/>
      <c r="D1859" s="554"/>
    </row>
    <row r="1860" spans="3:4" x14ac:dyDescent="0.25">
      <c r="C1860" s="554"/>
      <c r="D1860" s="554"/>
    </row>
    <row r="1861" spans="3:4" x14ac:dyDescent="0.25">
      <c r="C1861" s="554"/>
      <c r="D1861" s="554"/>
    </row>
    <row r="1862" spans="3:4" x14ac:dyDescent="0.25">
      <c r="C1862" s="554"/>
      <c r="D1862" s="554"/>
    </row>
    <row r="1863" spans="3:4" x14ac:dyDescent="0.25">
      <c r="C1863" s="554"/>
      <c r="D1863" s="554"/>
    </row>
    <row r="1864" spans="3:4" x14ac:dyDescent="0.25">
      <c r="C1864" s="554"/>
      <c r="D1864" s="554"/>
    </row>
    <row r="1865" spans="3:4" x14ac:dyDescent="0.25">
      <c r="C1865" s="554"/>
      <c r="D1865" s="554"/>
    </row>
    <row r="1866" spans="3:4" x14ac:dyDescent="0.25">
      <c r="C1866" s="554"/>
      <c r="D1866" s="554"/>
    </row>
    <row r="1867" spans="3:4" x14ac:dyDescent="0.25">
      <c r="C1867" s="554"/>
      <c r="D1867" s="554"/>
    </row>
    <row r="1868" spans="3:4" x14ac:dyDescent="0.25">
      <c r="C1868" s="554"/>
      <c r="D1868" s="554"/>
    </row>
    <row r="1869" spans="3:4" x14ac:dyDescent="0.25">
      <c r="C1869" s="554"/>
      <c r="D1869" s="554"/>
    </row>
    <row r="1870" spans="3:4" x14ac:dyDescent="0.25">
      <c r="C1870" s="554"/>
      <c r="D1870" s="554"/>
    </row>
    <row r="1871" spans="3:4" x14ac:dyDescent="0.25">
      <c r="C1871" s="554"/>
      <c r="D1871" s="554"/>
    </row>
    <row r="1872" spans="3:4" x14ac:dyDescent="0.25">
      <c r="C1872" s="554"/>
      <c r="D1872" s="554"/>
    </row>
    <row r="1873" spans="3:4" x14ac:dyDescent="0.25">
      <c r="C1873" s="554"/>
      <c r="D1873" s="554"/>
    </row>
    <row r="1874" spans="3:4" x14ac:dyDescent="0.25">
      <c r="C1874" s="554"/>
      <c r="D1874" s="554"/>
    </row>
    <row r="1875" spans="3:4" x14ac:dyDescent="0.25">
      <c r="C1875" s="554"/>
      <c r="D1875" s="554"/>
    </row>
    <row r="1876" spans="3:4" x14ac:dyDescent="0.25">
      <c r="C1876" s="554"/>
      <c r="D1876" s="554"/>
    </row>
    <row r="1877" spans="3:4" x14ac:dyDescent="0.25">
      <c r="C1877" s="554"/>
      <c r="D1877" s="554"/>
    </row>
    <row r="1878" spans="3:4" x14ac:dyDescent="0.25">
      <c r="C1878" s="554"/>
      <c r="D1878" s="554"/>
    </row>
    <row r="1879" spans="3:4" x14ac:dyDescent="0.25">
      <c r="C1879" s="554"/>
      <c r="D1879" s="554"/>
    </row>
    <row r="1880" spans="3:4" x14ac:dyDescent="0.25">
      <c r="C1880" s="554"/>
      <c r="D1880" s="554"/>
    </row>
    <row r="1881" spans="3:4" x14ac:dyDescent="0.25">
      <c r="C1881" s="554"/>
      <c r="D1881" s="554"/>
    </row>
    <row r="1882" spans="3:4" x14ac:dyDescent="0.25">
      <c r="C1882" s="554"/>
      <c r="D1882" s="554"/>
    </row>
    <row r="1883" spans="3:4" x14ac:dyDescent="0.25">
      <c r="C1883" s="554"/>
      <c r="D1883" s="554"/>
    </row>
    <row r="1884" spans="3:4" x14ac:dyDescent="0.25">
      <c r="C1884" s="554"/>
      <c r="D1884" s="554"/>
    </row>
    <row r="1885" spans="3:4" x14ac:dyDescent="0.25">
      <c r="C1885" s="554"/>
      <c r="D1885" s="554"/>
    </row>
    <row r="1886" spans="3:4" x14ac:dyDescent="0.25">
      <c r="C1886" s="554"/>
      <c r="D1886" s="554"/>
    </row>
    <row r="1887" spans="3:4" x14ac:dyDescent="0.25">
      <c r="C1887" s="554"/>
      <c r="D1887" s="554"/>
    </row>
    <row r="1888" spans="3:4" x14ac:dyDescent="0.25">
      <c r="C1888" s="554"/>
      <c r="D1888" s="554"/>
    </row>
    <row r="1889" spans="3:4" x14ac:dyDescent="0.25">
      <c r="C1889" s="554"/>
      <c r="D1889" s="554"/>
    </row>
    <row r="1890" spans="3:4" x14ac:dyDescent="0.25">
      <c r="C1890" s="554"/>
      <c r="D1890" s="554"/>
    </row>
    <row r="1891" spans="3:4" x14ac:dyDescent="0.25">
      <c r="C1891" s="554"/>
      <c r="D1891" s="554"/>
    </row>
    <row r="1892" spans="3:4" x14ac:dyDescent="0.25">
      <c r="C1892" s="554"/>
      <c r="D1892" s="554"/>
    </row>
    <row r="1893" spans="3:4" x14ac:dyDescent="0.25">
      <c r="C1893" s="554"/>
      <c r="D1893" s="554"/>
    </row>
    <row r="1894" spans="3:4" x14ac:dyDescent="0.25">
      <c r="C1894" s="554"/>
      <c r="D1894" s="554"/>
    </row>
    <row r="1895" spans="3:4" x14ac:dyDescent="0.25">
      <c r="C1895" s="554"/>
      <c r="D1895" s="554"/>
    </row>
    <row r="1896" spans="3:4" x14ac:dyDescent="0.25">
      <c r="C1896" s="554"/>
      <c r="D1896" s="554"/>
    </row>
    <row r="1897" spans="3:4" x14ac:dyDescent="0.25">
      <c r="C1897" s="554"/>
      <c r="D1897" s="554"/>
    </row>
    <row r="1898" spans="3:4" x14ac:dyDescent="0.25">
      <c r="C1898" s="554"/>
      <c r="D1898" s="554"/>
    </row>
    <row r="1899" spans="3:4" x14ac:dyDescent="0.25">
      <c r="C1899" s="554"/>
      <c r="D1899" s="554"/>
    </row>
    <row r="1900" spans="3:4" x14ac:dyDescent="0.25">
      <c r="C1900" s="554"/>
      <c r="D1900" s="554"/>
    </row>
    <row r="1901" spans="3:4" x14ac:dyDescent="0.25">
      <c r="C1901" s="554"/>
      <c r="D1901" s="554"/>
    </row>
    <row r="1902" spans="3:4" x14ac:dyDescent="0.25">
      <c r="C1902" s="554"/>
      <c r="D1902" s="554"/>
    </row>
    <row r="1903" spans="3:4" x14ac:dyDescent="0.25">
      <c r="C1903" s="554"/>
      <c r="D1903" s="554"/>
    </row>
    <row r="1904" spans="3:4" x14ac:dyDescent="0.25">
      <c r="C1904" s="554"/>
      <c r="D1904" s="554"/>
    </row>
    <row r="1905" spans="3:4" x14ac:dyDescent="0.25">
      <c r="C1905" s="554"/>
      <c r="D1905" s="554"/>
    </row>
    <row r="1906" spans="3:4" x14ac:dyDescent="0.25">
      <c r="C1906" s="554"/>
      <c r="D1906" s="554"/>
    </row>
    <row r="1907" spans="3:4" x14ac:dyDescent="0.25">
      <c r="C1907" s="554"/>
      <c r="D1907" s="554"/>
    </row>
    <row r="1908" spans="3:4" x14ac:dyDescent="0.25">
      <c r="C1908" s="554"/>
      <c r="D1908" s="554"/>
    </row>
    <row r="1909" spans="3:4" x14ac:dyDescent="0.25">
      <c r="C1909" s="554"/>
      <c r="D1909" s="554"/>
    </row>
    <row r="1910" spans="3:4" x14ac:dyDescent="0.25">
      <c r="C1910" s="554"/>
      <c r="D1910" s="554"/>
    </row>
    <row r="1911" spans="3:4" x14ac:dyDescent="0.25">
      <c r="C1911" s="554"/>
      <c r="D1911" s="554"/>
    </row>
    <row r="1912" spans="3:4" x14ac:dyDescent="0.25">
      <c r="C1912" s="554"/>
      <c r="D1912" s="554"/>
    </row>
    <row r="1913" spans="3:4" x14ac:dyDescent="0.25">
      <c r="C1913" s="554"/>
      <c r="D1913" s="554"/>
    </row>
    <row r="1914" spans="3:4" x14ac:dyDescent="0.25">
      <c r="C1914" s="554"/>
      <c r="D1914" s="554"/>
    </row>
    <row r="1915" spans="3:4" x14ac:dyDescent="0.25">
      <c r="C1915" s="554"/>
      <c r="D1915" s="554"/>
    </row>
    <row r="1916" spans="3:4" x14ac:dyDescent="0.25">
      <c r="C1916" s="554"/>
      <c r="D1916" s="554"/>
    </row>
    <row r="1917" spans="3:4" x14ac:dyDescent="0.25">
      <c r="C1917" s="554"/>
      <c r="D1917" s="554"/>
    </row>
    <row r="1918" spans="3:4" x14ac:dyDescent="0.25">
      <c r="C1918" s="554"/>
      <c r="D1918" s="554"/>
    </row>
    <row r="1919" spans="3:4" x14ac:dyDescent="0.25">
      <c r="C1919" s="554"/>
      <c r="D1919" s="554"/>
    </row>
    <row r="1920" spans="3:4" x14ac:dyDescent="0.25">
      <c r="C1920" s="554"/>
      <c r="D1920" s="554"/>
    </row>
    <row r="1921" spans="3:4" x14ac:dyDescent="0.25">
      <c r="C1921" s="554"/>
      <c r="D1921" s="554"/>
    </row>
    <row r="1922" spans="3:4" x14ac:dyDescent="0.25">
      <c r="C1922" s="554"/>
      <c r="D1922" s="554"/>
    </row>
    <row r="1923" spans="3:4" x14ac:dyDescent="0.25">
      <c r="C1923" s="554"/>
      <c r="D1923" s="554"/>
    </row>
    <row r="1924" spans="3:4" x14ac:dyDescent="0.25">
      <c r="C1924" s="554"/>
      <c r="D1924" s="554"/>
    </row>
    <row r="1925" spans="3:4" x14ac:dyDescent="0.25">
      <c r="C1925" s="554"/>
      <c r="D1925" s="554"/>
    </row>
    <row r="1926" spans="3:4" x14ac:dyDescent="0.25">
      <c r="C1926" s="554"/>
      <c r="D1926" s="554"/>
    </row>
    <row r="1927" spans="3:4" x14ac:dyDescent="0.25">
      <c r="C1927" s="554"/>
      <c r="D1927" s="554"/>
    </row>
    <row r="1928" spans="3:4" x14ac:dyDescent="0.25">
      <c r="C1928" s="554"/>
      <c r="D1928" s="554"/>
    </row>
    <row r="1929" spans="3:4" x14ac:dyDescent="0.25">
      <c r="C1929" s="554"/>
      <c r="D1929" s="554"/>
    </row>
    <row r="1930" spans="3:4" x14ac:dyDescent="0.25">
      <c r="C1930" s="554"/>
      <c r="D1930" s="554"/>
    </row>
    <row r="1931" spans="3:4" x14ac:dyDescent="0.25">
      <c r="C1931" s="554"/>
      <c r="D1931" s="554"/>
    </row>
    <row r="1932" spans="3:4" x14ac:dyDescent="0.25">
      <c r="C1932" s="554"/>
      <c r="D1932" s="554"/>
    </row>
    <row r="1933" spans="3:4" x14ac:dyDescent="0.25">
      <c r="C1933" s="554"/>
      <c r="D1933" s="554"/>
    </row>
    <row r="1934" spans="3:4" x14ac:dyDescent="0.25">
      <c r="C1934" s="554"/>
      <c r="D1934" s="554"/>
    </row>
    <row r="1935" spans="3:4" x14ac:dyDescent="0.25">
      <c r="C1935" s="554"/>
      <c r="D1935" s="554"/>
    </row>
    <row r="1936" spans="3:4" x14ac:dyDescent="0.25">
      <c r="C1936" s="554"/>
      <c r="D1936" s="554"/>
    </row>
    <row r="1937" spans="3:4" x14ac:dyDescent="0.25">
      <c r="C1937" s="554"/>
      <c r="D1937" s="554"/>
    </row>
    <row r="1938" spans="3:4" x14ac:dyDescent="0.25">
      <c r="C1938" s="554"/>
      <c r="D1938" s="554"/>
    </row>
    <row r="1939" spans="3:4" x14ac:dyDescent="0.25">
      <c r="C1939" s="554"/>
      <c r="D1939" s="554"/>
    </row>
    <row r="1940" spans="3:4" x14ac:dyDescent="0.25">
      <c r="C1940" s="554"/>
      <c r="D1940" s="554"/>
    </row>
    <row r="1941" spans="3:4" x14ac:dyDescent="0.25">
      <c r="C1941" s="554"/>
      <c r="D1941" s="554"/>
    </row>
    <row r="1942" spans="3:4" x14ac:dyDescent="0.25">
      <c r="C1942" s="554"/>
      <c r="D1942" s="554"/>
    </row>
    <row r="1943" spans="3:4" x14ac:dyDescent="0.25">
      <c r="C1943" s="554"/>
      <c r="D1943" s="554"/>
    </row>
    <row r="1944" spans="3:4" x14ac:dyDescent="0.25">
      <c r="C1944" s="554"/>
      <c r="D1944" s="554"/>
    </row>
    <row r="1945" spans="3:4" x14ac:dyDescent="0.25">
      <c r="C1945" s="554"/>
      <c r="D1945" s="554"/>
    </row>
    <row r="1946" spans="3:4" x14ac:dyDescent="0.25">
      <c r="C1946" s="554"/>
      <c r="D1946" s="554"/>
    </row>
    <row r="1947" spans="3:4" x14ac:dyDescent="0.25">
      <c r="C1947" s="554"/>
      <c r="D1947" s="554"/>
    </row>
    <row r="1948" spans="3:4" x14ac:dyDescent="0.25">
      <c r="C1948" s="554"/>
      <c r="D1948" s="554"/>
    </row>
    <row r="1949" spans="3:4" x14ac:dyDescent="0.25">
      <c r="C1949" s="554"/>
      <c r="D1949" s="554"/>
    </row>
    <row r="1950" spans="3:4" x14ac:dyDescent="0.25">
      <c r="C1950" s="554"/>
      <c r="D1950" s="554"/>
    </row>
    <row r="1951" spans="3:4" x14ac:dyDescent="0.25">
      <c r="C1951" s="554"/>
      <c r="D1951" s="554"/>
    </row>
    <row r="1952" spans="3:4" x14ac:dyDescent="0.25">
      <c r="C1952" s="554"/>
      <c r="D1952" s="554"/>
    </row>
    <row r="1953" spans="3:4" x14ac:dyDescent="0.25">
      <c r="C1953" s="554"/>
      <c r="D1953" s="554"/>
    </row>
    <row r="1954" spans="3:4" x14ac:dyDescent="0.25">
      <c r="C1954" s="554"/>
      <c r="D1954" s="554"/>
    </row>
    <row r="1955" spans="3:4" x14ac:dyDescent="0.25">
      <c r="C1955" s="554"/>
      <c r="D1955" s="554"/>
    </row>
    <row r="1956" spans="3:4" x14ac:dyDescent="0.25">
      <c r="C1956" s="554"/>
      <c r="D1956" s="554"/>
    </row>
    <row r="1957" spans="3:4" x14ac:dyDescent="0.25">
      <c r="C1957" s="554"/>
      <c r="D1957" s="554"/>
    </row>
    <row r="1958" spans="3:4" x14ac:dyDescent="0.25">
      <c r="C1958" s="554"/>
      <c r="D1958" s="554"/>
    </row>
    <row r="1959" spans="3:4" x14ac:dyDescent="0.25">
      <c r="C1959" s="554"/>
      <c r="D1959" s="554"/>
    </row>
    <row r="1960" spans="3:4" x14ac:dyDescent="0.25">
      <c r="C1960" s="554"/>
      <c r="D1960" s="554"/>
    </row>
    <row r="1961" spans="3:4" x14ac:dyDescent="0.25">
      <c r="C1961" s="554"/>
      <c r="D1961" s="554"/>
    </row>
    <row r="1962" spans="3:4" x14ac:dyDescent="0.25">
      <c r="C1962" s="554"/>
      <c r="D1962" s="554"/>
    </row>
    <row r="1963" spans="3:4" x14ac:dyDescent="0.25">
      <c r="C1963" s="554"/>
      <c r="D1963" s="554"/>
    </row>
    <row r="1964" spans="3:4" x14ac:dyDescent="0.25">
      <c r="C1964" s="554"/>
      <c r="D1964" s="554"/>
    </row>
    <row r="1965" spans="3:4" x14ac:dyDescent="0.25">
      <c r="C1965" s="554"/>
      <c r="D1965" s="554"/>
    </row>
    <row r="1966" spans="3:4" x14ac:dyDescent="0.25">
      <c r="C1966" s="554"/>
      <c r="D1966" s="554"/>
    </row>
    <row r="1967" spans="3:4" x14ac:dyDescent="0.25">
      <c r="C1967" s="554"/>
      <c r="D1967" s="554"/>
    </row>
    <row r="1968" spans="3:4" x14ac:dyDescent="0.25">
      <c r="C1968" s="554"/>
      <c r="D1968" s="554"/>
    </row>
    <row r="1969" spans="3:4" x14ac:dyDescent="0.25">
      <c r="C1969" s="554"/>
      <c r="D1969" s="554"/>
    </row>
    <row r="1970" spans="3:4" x14ac:dyDescent="0.25">
      <c r="C1970" s="554"/>
      <c r="D1970" s="554"/>
    </row>
    <row r="1971" spans="3:4" x14ac:dyDescent="0.25">
      <c r="C1971" s="554"/>
      <c r="D1971" s="554"/>
    </row>
    <row r="1972" spans="3:4" x14ac:dyDescent="0.25">
      <c r="C1972" s="554"/>
      <c r="D1972" s="554"/>
    </row>
    <row r="1973" spans="3:4" x14ac:dyDescent="0.25">
      <c r="C1973" s="554"/>
      <c r="D1973" s="554"/>
    </row>
    <row r="1974" spans="3:4" x14ac:dyDescent="0.25">
      <c r="C1974" s="554"/>
      <c r="D1974" s="554"/>
    </row>
    <row r="1975" spans="3:4" x14ac:dyDescent="0.25">
      <c r="C1975" s="554"/>
      <c r="D1975" s="554"/>
    </row>
    <row r="1976" spans="3:4" x14ac:dyDescent="0.25">
      <c r="C1976" s="554"/>
      <c r="D1976" s="554"/>
    </row>
    <row r="1977" spans="3:4" x14ac:dyDescent="0.25">
      <c r="C1977" s="554"/>
      <c r="D1977" s="554"/>
    </row>
    <row r="1978" spans="3:4" x14ac:dyDescent="0.25">
      <c r="C1978" s="554"/>
      <c r="D1978" s="554"/>
    </row>
    <row r="1979" spans="3:4" x14ac:dyDescent="0.25">
      <c r="C1979" s="554"/>
      <c r="D1979" s="554"/>
    </row>
    <row r="1980" spans="3:4" x14ac:dyDescent="0.25">
      <c r="C1980" s="554"/>
      <c r="D1980" s="554"/>
    </row>
    <row r="1981" spans="3:4" x14ac:dyDescent="0.25">
      <c r="C1981" s="554"/>
      <c r="D1981" s="554"/>
    </row>
    <row r="1982" spans="3:4" x14ac:dyDescent="0.25">
      <c r="C1982" s="554"/>
      <c r="D1982" s="554"/>
    </row>
    <row r="1983" spans="3:4" x14ac:dyDescent="0.25">
      <c r="C1983" s="554"/>
      <c r="D1983" s="554"/>
    </row>
    <row r="1984" spans="3:4" x14ac:dyDescent="0.25">
      <c r="C1984" s="554"/>
      <c r="D1984" s="554"/>
    </row>
    <row r="1985" spans="3:4" x14ac:dyDescent="0.25">
      <c r="C1985" s="554"/>
      <c r="D1985" s="554"/>
    </row>
    <row r="1986" spans="3:4" x14ac:dyDescent="0.25">
      <c r="C1986" s="554"/>
      <c r="D1986" s="554"/>
    </row>
    <row r="1987" spans="3:4" x14ac:dyDescent="0.25">
      <c r="C1987" s="554"/>
      <c r="D1987" s="554"/>
    </row>
    <row r="1988" spans="3:4" x14ac:dyDescent="0.25">
      <c r="C1988" s="554"/>
      <c r="D1988" s="554"/>
    </row>
    <row r="1989" spans="3:4" x14ac:dyDescent="0.25">
      <c r="C1989" s="554"/>
      <c r="D1989" s="554"/>
    </row>
    <row r="1990" spans="3:4" x14ac:dyDescent="0.25">
      <c r="C1990" s="554"/>
      <c r="D1990" s="554"/>
    </row>
    <row r="1991" spans="3:4" x14ac:dyDescent="0.25">
      <c r="C1991" s="554"/>
      <c r="D1991" s="554"/>
    </row>
    <row r="1992" spans="3:4" x14ac:dyDescent="0.25">
      <c r="C1992" s="554"/>
      <c r="D1992" s="554"/>
    </row>
    <row r="1993" spans="3:4" x14ac:dyDescent="0.25">
      <c r="C1993" s="554"/>
      <c r="D1993" s="554"/>
    </row>
    <row r="1994" spans="3:4" x14ac:dyDescent="0.25">
      <c r="C1994" s="554"/>
      <c r="D1994" s="554"/>
    </row>
    <row r="1995" spans="3:4" x14ac:dyDescent="0.25">
      <c r="C1995" s="554"/>
      <c r="D1995" s="554"/>
    </row>
    <row r="1996" spans="3:4" x14ac:dyDescent="0.25">
      <c r="C1996" s="554"/>
      <c r="D1996" s="554"/>
    </row>
    <row r="1997" spans="3:4" x14ac:dyDescent="0.25">
      <c r="C1997" s="554"/>
      <c r="D1997" s="554"/>
    </row>
    <row r="1998" spans="3:4" x14ac:dyDescent="0.25">
      <c r="C1998" s="554"/>
      <c r="D1998" s="554"/>
    </row>
    <row r="1999" spans="3:4" x14ac:dyDescent="0.25">
      <c r="C1999" s="554"/>
      <c r="D1999" s="554"/>
    </row>
    <row r="2000" spans="3:4" x14ac:dyDescent="0.25">
      <c r="C2000" s="554"/>
      <c r="D2000" s="554"/>
    </row>
    <row r="2001" spans="3:4" x14ac:dyDescent="0.25">
      <c r="C2001" s="554"/>
      <c r="D2001" s="554"/>
    </row>
    <row r="2002" spans="3:4" x14ac:dyDescent="0.25">
      <c r="C2002" s="554"/>
      <c r="D2002" s="554"/>
    </row>
    <row r="2003" spans="3:4" x14ac:dyDescent="0.25">
      <c r="C2003" s="554"/>
      <c r="D2003" s="554"/>
    </row>
    <row r="2004" spans="3:4" x14ac:dyDescent="0.25">
      <c r="C2004" s="554"/>
      <c r="D2004" s="554"/>
    </row>
    <row r="2005" spans="3:4" x14ac:dyDescent="0.25">
      <c r="C2005" s="554"/>
      <c r="D2005" s="554"/>
    </row>
    <row r="2006" spans="3:4" x14ac:dyDescent="0.25">
      <c r="C2006" s="554"/>
      <c r="D2006" s="554"/>
    </row>
    <row r="2007" spans="3:4" x14ac:dyDescent="0.25">
      <c r="C2007" s="554"/>
      <c r="D2007" s="554"/>
    </row>
    <row r="2008" spans="3:4" x14ac:dyDescent="0.25">
      <c r="C2008" s="554"/>
      <c r="D2008" s="554"/>
    </row>
    <row r="2009" spans="3:4" x14ac:dyDescent="0.25">
      <c r="C2009" s="554"/>
      <c r="D2009" s="554"/>
    </row>
    <row r="2010" spans="3:4" x14ac:dyDescent="0.25">
      <c r="C2010" s="554"/>
      <c r="D2010" s="554"/>
    </row>
    <row r="2011" spans="3:4" x14ac:dyDescent="0.25">
      <c r="C2011" s="554"/>
      <c r="D2011" s="554"/>
    </row>
    <row r="2012" spans="3:4" x14ac:dyDescent="0.25">
      <c r="C2012" s="554"/>
      <c r="D2012" s="554"/>
    </row>
    <row r="2013" spans="3:4" x14ac:dyDescent="0.25">
      <c r="C2013" s="554"/>
      <c r="D2013" s="554"/>
    </row>
    <row r="2014" spans="3:4" x14ac:dyDescent="0.25">
      <c r="C2014" s="554"/>
      <c r="D2014" s="554"/>
    </row>
    <row r="2015" spans="3:4" x14ac:dyDescent="0.25">
      <c r="C2015" s="554"/>
      <c r="D2015" s="554"/>
    </row>
    <row r="2016" spans="3:4" x14ac:dyDescent="0.25">
      <c r="C2016" s="554"/>
      <c r="D2016" s="554"/>
    </row>
    <row r="2017" spans="3:4" x14ac:dyDescent="0.25">
      <c r="C2017" s="554"/>
      <c r="D2017" s="554"/>
    </row>
    <row r="2018" spans="3:4" x14ac:dyDescent="0.25">
      <c r="C2018" s="554"/>
      <c r="D2018" s="554"/>
    </row>
    <row r="2019" spans="3:4" x14ac:dyDescent="0.25">
      <c r="C2019" s="554"/>
      <c r="D2019" s="554"/>
    </row>
    <row r="2020" spans="3:4" x14ac:dyDescent="0.25">
      <c r="C2020" s="554"/>
      <c r="D2020" s="554"/>
    </row>
    <row r="2021" spans="3:4" x14ac:dyDescent="0.25">
      <c r="C2021" s="554"/>
      <c r="D2021" s="554"/>
    </row>
    <row r="2022" spans="3:4" x14ac:dyDescent="0.25">
      <c r="C2022" s="554"/>
      <c r="D2022" s="554"/>
    </row>
    <row r="2023" spans="3:4" x14ac:dyDescent="0.25">
      <c r="C2023" s="554"/>
      <c r="D2023" s="554"/>
    </row>
    <row r="2024" spans="3:4" x14ac:dyDescent="0.25">
      <c r="C2024" s="554"/>
      <c r="D2024" s="554"/>
    </row>
    <row r="2025" spans="3:4" x14ac:dyDescent="0.25">
      <c r="C2025" s="554"/>
      <c r="D2025" s="554"/>
    </row>
    <row r="2026" spans="3:4" x14ac:dyDescent="0.25">
      <c r="C2026" s="554"/>
      <c r="D2026" s="554"/>
    </row>
    <row r="2027" spans="3:4" x14ac:dyDescent="0.25">
      <c r="C2027" s="554"/>
      <c r="D2027" s="554"/>
    </row>
    <row r="2028" spans="3:4" x14ac:dyDescent="0.25">
      <c r="C2028" s="554"/>
      <c r="D2028" s="554"/>
    </row>
    <row r="2029" spans="3:4" x14ac:dyDescent="0.25">
      <c r="C2029" s="554"/>
      <c r="D2029" s="554"/>
    </row>
    <row r="2030" spans="3:4" x14ac:dyDescent="0.25">
      <c r="C2030" s="554"/>
      <c r="D2030" s="554"/>
    </row>
    <row r="2031" spans="3:4" x14ac:dyDescent="0.25">
      <c r="C2031" s="554"/>
      <c r="D2031" s="554"/>
    </row>
    <row r="2032" spans="3:4" x14ac:dyDescent="0.25">
      <c r="C2032" s="554"/>
      <c r="D2032" s="554"/>
    </row>
    <row r="2033" spans="3:4" x14ac:dyDescent="0.25">
      <c r="C2033" s="554"/>
      <c r="D2033" s="554"/>
    </row>
    <row r="2034" spans="3:4" x14ac:dyDescent="0.25">
      <c r="C2034" s="554"/>
      <c r="D2034" s="554"/>
    </row>
    <row r="2035" spans="3:4" x14ac:dyDescent="0.25">
      <c r="C2035" s="554"/>
      <c r="D2035" s="554"/>
    </row>
    <row r="2036" spans="3:4" x14ac:dyDescent="0.25">
      <c r="C2036" s="554"/>
      <c r="D2036" s="554"/>
    </row>
    <row r="2037" spans="3:4" x14ac:dyDescent="0.25">
      <c r="C2037" s="554"/>
      <c r="D2037" s="554"/>
    </row>
    <row r="2038" spans="3:4" x14ac:dyDescent="0.25">
      <c r="C2038" s="554"/>
      <c r="D2038" s="554"/>
    </row>
    <row r="2039" spans="3:4" x14ac:dyDescent="0.25">
      <c r="C2039" s="554"/>
      <c r="D2039" s="554"/>
    </row>
    <row r="2040" spans="3:4" x14ac:dyDescent="0.25">
      <c r="C2040" s="554"/>
      <c r="D2040" s="554"/>
    </row>
    <row r="2041" spans="3:4" x14ac:dyDescent="0.25">
      <c r="C2041" s="554"/>
      <c r="D2041" s="554"/>
    </row>
    <row r="2042" spans="3:4" x14ac:dyDescent="0.25">
      <c r="C2042" s="554"/>
      <c r="D2042" s="554"/>
    </row>
    <row r="2043" spans="3:4" x14ac:dyDescent="0.25">
      <c r="C2043" s="554"/>
      <c r="D2043" s="554"/>
    </row>
    <row r="2044" spans="3:4" x14ac:dyDescent="0.25">
      <c r="C2044" s="554"/>
      <c r="D2044" s="554"/>
    </row>
    <row r="2045" spans="3:4" x14ac:dyDescent="0.25">
      <c r="C2045" s="554"/>
      <c r="D2045" s="554"/>
    </row>
    <row r="2046" spans="3:4" x14ac:dyDescent="0.25">
      <c r="C2046" s="554"/>
      <c r="D2046" s="554"/>
    </row>
    <row r="2047" spans="3:4" x14ac:dyDescent="0.25">
      <c r="C2047" s="554"/>
      <c r="D2047" s="554"/>
    </row>
    <row r="2048" spans="3:4" x14ac:dyDescent="0.25">
      <c r="C2048" s="554"/>
      <c r="D2048" s="554"/>
    </row>
    <row r="2049" spans="3:4" x14ac:dyDescent="0.25">
      <c r="C2049" s="554"/>
      <c r="D2049" s="554"/>
    </row>
    <row r="2050" spans="3:4" x14ac:dyDescent="0.25">
      <c r="C2050" s="554"/>
      <c r="D2050" s="554"/>
    </row>
    <row r="2051" spans="3:4" x14ac:dyDescent="0.25">
      <c r="C2051" s="554"/>
      <c r="D2051" s="554"/>
    </row>
    <row r="2052" spans="3:4" x14ac:dyDescent="0.25">
      <c r="C2052" s="554"/>
      <c r="D2052" s="554"/>
    </row>
    <row r="2053" spans="3:4" x14ac:dyDescent="0.25">
      <c r="C2053" s="554"/>
      <c r="D2053" s="554"/>
    </row>
    <row r="2054" spans="3:4" x14ac:dyDescent="0.25">
      <c r="C2054" s="554"/>
      <c r="D2054" s="554"/>
    </row>
    <row r="2055" spans="3:4" x14ac:dyDescent="0.25">
      <c r="C2055" s="554"/>
      <c r="D2055" s="554"/>
    </row>
    <row r="2056" spans="3:4" x14ac:dyDescent="0.25">
      <c r="C2056" s="554"/>
      <c r="D2056" s="554"/>
    </row>
    <row r="2057" spans="3:4" x14ac:dyDescent="0.25">
      <c r="C2057" s="554"/>
      <c r="D2057" s="554"/>
    </row>
    <row r="2058" spans="3:4" x14ac:dyDescent="0.25">
      <c r="C2058" s="554"/>
      <c r="D2058" s="554"/>
    </row>
    <row r="2059" spans="3:4" x14ac:dyDescent="0.25">
      <c r="C2059" s="554"/>
      <c r="D2059" s="554"/>
    </row>
    <row r="2060" spans="3:4" x14ac:dyDescent="0.25">
      <c r="C2060" s="554"/>
      <c r="D2060" s="554"/>
    </row>
    <row r="2061" spans="3:4" x14ac:dyDescent="0.25">
      <c r="C2061" s="554"/>
      <c r="D2061" s="554"/>
    </row>
    <row r="2062" spans="3:4" x14ac:dyDescent="0.25">
      <c r="C2062" s="554"/>
      <c r="D2062" s="554"/>
    </row>
    <row r="2063" spans="3:4" x14ac:dyDescent="0.25">
      <c r="C2063" s="554"/>
      <c r="D2063" s="554"/>
    </row>
    <row r="2064" spans="3:4" x14ac:dyDescent="0.25">
      <c r="C2064" s="554"/>
      <c r="D2064" s="554"/>
    </row>
    <row r="2065" spans="3:4" x14ac:dyDescent="0.25">
      <c r="C2065" s="554"/>
      <c r="D2065" s="554"/>
    </row>
    <row r="2066" spans="3:4" x14ac:dyDescent="0.25">
      <c r="C2066" s="554"/>
      <c r="D2066" s="554"/>
    </row>
    <row r="2067" spans="3:4" x14ac:dyDescent="0.25">
      <c r="C2067" s="554"/>
      <c r="D2067" s="554"/>
    </row>
    <row r="2068" spans="3:4" x14ac:dyDescent="0.25">
      <c r="C2068" s="554"/>
      <c r="D2068" s="554"/>
    </row>
    <row r="2069" spans="3:4" x14ac:dyDescent="0.25">
      <c r="C2069" s="554"/>
      <c r="D2069" s="554"/>
    </row>
    <row r="2070" spans="3:4" x14ac:dyDescent="0.25">
      <c r="C2070" s="554"/>
      <c r="D2070" s="554"/>
    </row>
    <row r="2071" spans="3:4" x14ac:dyDescent="0.25">
      <c r="C2071" s="554"/>
      <c r="D2071" s="554"/>
    </row>
    <row r="2072" spans="3:4" x14ac:dyDescent="0.25">
      <c r="C2072" s="554"/>
      <c r="D2072" s="554"/>
    </row>
    <row r="2073" spans="3:4" x14ac:dyDescent="0.25">
      <c r="C2073" s="554"/>
      <c r="D2073" s="554"/>
    </row>
    <row r="2074" spans="3:4" x14ac:dyDescent="0.25">
      <c r="C2074" s="554"/>
      <c r="D2074" s="554"/>
    </row>
    <row r="2075" spans="3:4" x14ac:dyDescent="0.25">
      <c r="C2075" s="554"/>
      <c r="D2075" s="554"/>
    </row>
    <row r="2076" spans="3:4" x14ac:dyDescent="0.25">
      <c r="C2076" s="554"/>
      <c r="D2076" s="554"/>
    </row>
    <row r="2077" spans="3:4" x14ac:dyDescent="0.25">
      <c r="C2077" s="554"/>
      <c r="D2077" s="554"/>
    </row>
    <row r="2078" spans="3:4" x14ac:dyDescent="0.25">
      <c r="C2078" s="554"/>
      <c r="D2078" s="554"/>
    </row>
    <row r="2079" spans="3:4" x14ac:dyDescent="0.25">
      <c r="C2079" s="554"/>
      <c r="D2079" s="554"/>
    </row>
    <row r="2080" spans="3:4" x14ac:dyDescent="0.25">
      <c r="C2080" s="554"/>
      <c r="D2080" s="554"/>
    </row>
    <row r="2081" spans="3:4" x14ac:dyDescent="0.25">
      <c r="C2081" s="554"/>
      <c r="D2081" s="554"/>
    </row>
    <row r="2082" spans="3:4" x14ac:dyDescent="0.25">
      <c r="C2082" s="554"/>
      <c r="D2082" s="554"/>
    </row>
    <row r="2083" spans="3:4" x14ac:dyDescent="0.25">
      <c r="C2083" s="554"/>
      <c r="D2083" s="554"/>
    </row>
    <row r="2084" spans="3:4" x14ac:dyDescent="0.25">
      <c r="C2084" s="554"/>
      <c r="D2084" s="554"/>
    </row>
    <row r="2085" spans="3:4" x14ac:dyDescent="0.25">
      <c r="C2085" s="554"/>
      <c r="D2085" s="554"/>
    </row>
    <row r="2086" spans="3:4" x14ac:dyDescent="0.25">
      <c r="C2086" s="554"/>
      <c r="D2086" s="554"/>
    </row>
    <row r="2087" spans="3:4" x14ac:dyDescent="0.25">
      <c r="C2087" s="554"/>
      <c r="D2087" s="554"/>
    </row>
    <row r="2088" spans="3:4" x14ac:dyDescent="0.25">
      <c r="C2088" s="554"/>
      <c r="D2088" s="554"/>
    </row>
    <row r="2089" spans="3:4" x14ac:dyDescent="0.25">
      <c r="C2089" s="554"/>
      <c r="D2089" s="554"/>
    </row>
    <row r="2090" spans="3:4" x14ac:dyDescent="0.25">
      <c r="C2090" s="554"/>
      <c r="D2090" s="554"/>
    </row>
    <row r="2091" spans="3:4" x14ac:dyDescent="0.25">
      <c r="C2091" s="554"/>
      <c r="D2091" s="554"/>
    </row>
    <row r="2092" spans="3:4" x14ac:dyDescent="0.25">
      <c r="C2092" s="554"/>
      <c r="D2092" s="554"/>
    </row>
    <row r="2093" spans="3:4" x14ac:dyDescent="0.25">
      <c r="C2093" s="554"/>
      <c r="D2093" s="554"/>
    </row>
    <row r="2094" spans="3:4" x14ac:dyDescent="0.25">
      <c r="C2094" s="554"/>
      <c r="D2094" s="554"/>
    </row>
    <row r="2095" spans="3:4" x14ac:dyDescent="0.25">
      <c r="C2095" s="554"/>
      <c r="D2095" s="554"/>
    </row>
    <row r="2096" spans="3:4" x14ac:dyDescent="0.25">
      <c r="C2096" s="554"/>
      <c r="D2096" s="554"/>
    </row>
    <row r="2097" spans="3:4" x14ac:dyDescent="0.25">
      <c r="C2097" s="554"/>
      <c r="D2097" s="554"/>
    </row>
    <row r="2098" spans="3:4" x14ac:dyDescent="0.25">
      <c r="C2098" s="554"/>
      <c r="D2098" s="554"/>
    </row>
    <row r="2099" spans="3:4" x14ac:dyDescent="0.25">
      <c r="C2099" s="554"/>
      <c r="D2099" s="554"/>
    </row>
    <row r="2100" spans="3:4" x14ac:dyDescent="0.25">
      <c r="C2100" s="554"/>
      <c r="D2100" s="554"/>
    </row>
    <row r="2101" spans="3:4" x14ac:dyDescent="0.25">
      <c r="C2101" s="554"/>
      <c r="D2101" s="554"/>
    </row>
    <row r="2102" spans="3:4" x14ac:dyDescent="0.25">
      <c r="C2102" s="554"/>
      <c r="D2102" s="554"/>
    </row>
    <row r="2103" spans="3:4" x14ac:dyDescent="0.25">
      <c r="C2103" s="554"/>
      <c r="D2103" s="554"/>
    </row>
    <row r="2104" spans="3:4" x14ac:dyDescent="0.25">
      <c r="C2104" s="554"/>
      <c r="D2104" s="554"/>
    </row>
    <row r="2105" spans="3:4" x14ac:dyDescent="0.25">
      <c r="C2105" s="554"/>
      <c r="D2105" s="554"/>
    </row>
    <row r="2106" spans="3:4" x14ac:dyDescent="0.25">
      <c r="C2106" s="554"/>
      <c r="D2106" s="554"/>
    </row>
    <row r="2107" spans="3:4" x14ac:dyDescent="0.25">
      <c r="C2107" s="554"/>
      <c r="D2107" s="554"/>
    </row>
    <row r="2108" spans="3:4" x14ac:dyDescent="0.25">
      <c r="C2108" s="554"/>
      <c r="D2108" s="554"/>
    </row>
    <row r="2109" spans="3:4" x14ac:dyDescent="0.25">
      <c r="C2109" s="554"/>
      <c r="D2109" s="554"/>
    </row>
    <row r="2110" spans="3:4" x14ac:dyDescent="0.25">
      <c r="C2110" s="554"/>
      <c r="D2110" s="554"/>
    </row>
    <row r="2111" spans="3:4" x14ac:dyDescent="0.25">
      <c r="C2111" s="554"/>
      <c r="D2111" s="554"/>
    </row>
    <row r="2112" spans="3:4" x14ac:dyDescent="0.25">
      <c r="C2112" s="554"/>
      <c r="D2112" s="554"/>
    </row>
    <row r="2113" spans="3:4" x14ac:dyDescent="0.25">
      <c r="C2113" s="554"/>
      <c r="D2113" s="554"/>
    </row>
    <row r="2114" spans="3:4" x14ac:dyDescent="0.25">
      <c r="C2114" s="554"/>
      <c r="D2114" s="554"/>
    </row>
    <row r="2115" spans="3:4" x14ac:dyDescent="0.25">
      <c r="C2115" s="554"/>
      <c r="D2115" s="554"/>
    </row>
    <row r="2116" spans="3:4" x14ac:dyDescent="0.25">
      <c r="C2116" s="554"/>
      <c r="D2116" s="554"/>
    </row>
    <row r="2117" spans="3:4" x14ac:dyDescent="0.25">
      <c r="C2117" s="554"/>
      <c r="D2117" s="554"/>
    </row>
    <row r="2118" spans="3:4" x14ac:dyDescent="0.25">
      <c r="C2118" s="554"/>
      <c r="D2118" s="554"/>
    </row>
    <row r="2119" spans="3:4" x14ac:dyDescent="0.25">
      <c r="C2119" s="554"/>
      <c r="D2119" s="554"/>
    </row>
    <row r="2120" spans="3:4" x14ac:dyDescent="0.25">
      <c r="C2120" s="554"/>
      <c r="D2120" s="554"/>
    </row>
    <row r="2121" spans="3:4" x14ac:dyDescent="0.25">
      <c r="C2121" s="554"/>
      <c r="D2121" s="554"/>
    </row>
    <row r="2122" spans="3:4" x14ac:dyDescent="0.25">
      <c r="C2122" s="554"/>
      <c r="D2122" s="554"/>
    </row>
    <row r="2123" spans="3:4" x14ac:dyDescent="0.25">
      <c r="C2123" s="554"/>
      <c r="D2123" s="554"/>
    </row>
    <row r="2124" spans="3:4" x14ac:dyDescent="0.25">
      <c r="C2124" s="554"/>
      <c r="D2124" s="554"/>
    </row>
    <row r="2125" spans="3:4" x14ac:dyDescent="0.25">
      <c r="C2125" s="554"/>
      <c r="D2125" s="554"/>
    </row>
    <row r="2126" spans="3:4" x14ac:dyDescent="0.25">
      <c r="C2126" s="554"/>
      <c r="D2126" s="554"/>
    </row>
    <row r="2127" spans="3:4" x14ac:dyDescent="0.25">
      <c r="C2127" s="554"/>
      <c r="D2127" s="554"/>
    </row>
    <row r="2128" spans="3:4" x14ac:dyDescent="0.25">
      <c r="C2128" s="554"/>
      <c r="D2128" s="554"/>
    </row>
    <row r="2129" spans="3:4" x14ac:dyDescent="0.25">
      <c r="C2129" s="554"/>
      <c r="D2129" s="554"/>
    </row>
    <row r="2130" spans="3:4" x14ac:dyDescent="0.25">
      <c r="C2130" s="554"/>
      <c r="D2130" s="554"/>
    </row>
    <row r="2131" spans="3:4" x14ac:dyDescent="0.25">
      <c r="C2131" s="554"/>
      <c r="D2131" s="554"/>
    </row>
    <row r="2132" spans="3:4" x14ac:dyDescent="0.25">
      <c r="C2132" s="554"/>
      <c r="D2132" s="554"/>
    </row>
    <row r="2133" spans="3:4" x14ac:dyDescent="0.25">
      <c r="C2133" s="554"/>
      <c r="D2133" s="554"/>
    </row>
    <row r="2134" spans="3:4" x14ac:dyDescent="0.25">
      <c r="C2134" s="554"/>
      <c r="D2134" s="554"/>
    </row>
    <row r="2135" spans="3:4" x14ac:dyDescent="0.25">
      <c r="C2135" s="554"/>
      <c r="D2135" s="554"/>
    </row>
    <row r="2136" spans="3:4" x14ac:dyDescent="0.25">
      <c r="C2136" s="554"/>
      <c r="D2136" s="554"/>
    </row>
    <row r="2137" spans="3:4" x14ac:dyDescent="0.25">
      <c r="C2137" s="554"/>
      <c r="D2137" s="554"/>
    </row>
    <row r="2138" spans="3:4" x14ac:dyDescent="0.25">
      <c r="C2138" s="554"/>
      <c r="D2138" s="554"/>
    </row>
    <row r="2139" spans="3:4" x14ac:dyDescent="0.25">
      <c r="C2139" s="554"/>
      <c r="D2139" s="554"/>
    </row>
    <row r="2140" spans="3:4" x14ac:dyDescent="0.25">
      <c r="C2140" s="554"/>
      <c r="D2140" s="554"/>
    </row>
    <row r="2141" spans="3:4" x14ac:dyDescent="0.25">
      <c r="C2141" s="554"/>
      <c r="D2141" s="554"/>
    </row>
    <row r="2142" spans="3:4" x14ac:dyDescent="0.25">
      <c r="C2142" s="554"/>
      <c r="D2142" s="554"/>
    </row>
    <row r="2143" spans="3:4" x14ac:dyDescent="0.25">
      <c r="C2143" s="554"/>
      <c r="D2143" s="554"/>
    </row>
    <row r="2144" spans="3:4" x14ac:dyDescent="0.25">
      <c r="C2144" s="554"/>
      <c r="D2144" s="554"/>
    </row>
    <row r="2145" spans="3:4" x14ac:dyDescent="0.25">
      <c r="C2145" s="554"/>
      <c r="D2145" s="554"/>
    </row>
    <row r="2146" spans="3:4" x14ac:dyDescent="0.25">
      <c r="C2146" s="554"/>
      <c r="D2146" s="554"/>
    </row>
    <row r="2147" spans="3:4" x14ac:dyDescent="0.25">
      <c r="C2147" s="554"/>
      <c r="D2147" s="554"/>
    </row>
    <row r="2148" spans="3:4" x14ac:dyDescent="0.25">
      <c r="C2148" s="554"/>
      <c r="D2148" s="554"/>
    </row>
    <row r="2149" spans="3:4" x14ac:dyDescent="0.25">
      <c r="C2149" s="554"/>
      <c r="D2149" s="554"/>
    </row>
    <row r="2150" spans="3:4" x14ac:dyDescent="0.25">
      <c r="C2150" s="554"/>
      <c r="D2150" s="554"/>
    </row>
    <row r="2151" spans="3:4" x14ac:dyDescent="0.25">
      <c r="C2151" s="554"/>
      <c r="D2151" s="554"/>
    </row>
    <row r="2152" spans="3:4" x14ac:dyDescent="0.25">
      <c r="C2152" s="554"/>
      <c r="D2152" s="554"/>
    </row>
    <row r="2153" spans="3:4" x14ac:dyDescent="0.25">
      <c r="C2153" s="554"/>
      <c r="D2153" s="554"/>
    </row>
    <row r="2154" spans="3:4" x14ac:dyDescent="0.25">
      <c r="C2154" s="554"/>
      <c r="D2154" s="554"/>
    </row>
    <row r="2155" spans="3:4" x14ac:dyDescent="0.25">
      <c r="C2155" s="554"/>
      <c r="D2155" s="554"/>
    </row>
    <row r="2156" spans="3:4" x14ac:dyDescent="0.25">
      <c r="C2156" s="554"/>
      <c r="D2156" s="554"/>
    </row>
    <row r="2157" spans="3:4" x14ac:dyDescent="0.25">
      <c r="C2157" s="554"/>
      <c r="D2157" s="554"/>
    </row>
    <row r="2158" spans="3:4" x14ac:dyDescent="0.25">
      <c r="C2158" s="554"/>
      <c r="D2158" s="554"/>
    </row>
    <row r="2159" spans="3:4" x14ac:dyDescent="0.25">
      <c r="C2159" s="554"/>
      <c r="D2159" s="554"/>
    </row>
    <row r="2160" spans="3:4" x14ac:dyDescent="0.25">
      <c r="C2160" s="554"/>
      <c r="D2160" s="554"/>
    </row>
    <row r="2161" spans="3:4" x14ac:dyDescent="0.25">
      <c r="C2161" s="554"/>
      <c r="D2161" s="554"/>
    </row>
    <row r="2162" spans="3:4" x14ac:dyDescent="0.25">
      <c r="C2162" s="554"/>
      <c r="D2162" s="554"/>
    </row>
    <row r="2163" spans="3:4" x14ac:dyDescent="0.25">
      <c r="C2163" s="554"/>
      <c r="D2163" s="554"/>
    </row>
    <row r="2164" spans="3:4" x14ac:dyDescent="0.25">
      <c r="C2164" s="554"/>
      <c r="D2164" s="554"/>
    </row>
    <row r="2165" spans="3:4" x14ac:dyDescent="0.25">
      <c r="C2165" s="554"/>
      <c r="D2165" s="554"/>
    </row>
    <row r="2166" spans="3:4" x14ac:dyDescent="0.25">
      <c r="C2166" s="554"/>
      <c r="D2166" s="554"/>
    </row>
    <row r="2167" spans="3:4" x14ac:dyDescent="0.25">
      <c r="C2167" s="554"/>
      <c r="D2167" s="554"/>
    </row>
    <row r="2168" spans="3:4" x14ac:dyDescent="0.25">
      <c r="C2168" s="554"/>
      <c r="D2168" s="554"/>
    </row>
    <row r="2169" spans="3:4" x14ac:dyDescent="0.25">
      <c r="C2169" s="554"/>
      <c r="D2169" s="554"/>
    </row>
    <row r="2170" spans="3:4" x14ac:dyDescent="0.25">
      <c r="C2170" s="554"/>
      <c r="D2170" s="554"/>
    </row>
    <row r="2171" spans="3:4" x14ac:dyDescent="0.25">
      <c r="C2171" s="554"/>
      <c r="D2171" s="554"/>
    </row>
    <row r="2172" spans="3:4" x14ac:dyDescent="0.25">
      <c r="C2172" s="554"/>
      <c r="D2172" s="554"/>
    </row>
    <row r="2173" spans="3:4" x14ac:dyDescent="0.25">
      <c r="C2173" s="554"/>
      <c r="D2173" s="554"/>
    </row>
    <row r="2174" spans="3:4" x14ac:dyDescent="0.25">
      <c r="C2174" s="554"/>
      <c r="D2174" s="554"/>
    </row>
    <row r="2175" spans="3:4" x14ac:dyDescent="0.25">
      <c r="C2175" s="554"/>
      <c r="D2175" s="554"/>
    </row>
    <row r="2176" spans="3:4" x14ac:dyDescent="0.25">
      <c r="C2176" s="554"/>
      <c r="D2176" s="554"/>
    </row>
    <row r="2177" spans="3:4" x14ac:dyDescent="0.25">
      <c r="C2177" s="554"/>
      <c r="D2177" s="554"/>
    </row>
    <row r="2178" spans="3:4" x14ac:dyDescent="0.25">
      <c r="C2178" s="554"/>
      <c r="D2178" s="554"/>
    </row>
    <row r="2179" spans="3:4" x14ac:dyDescent="0.25">
      <c r="C2179" s="554"/>
      <c r="D2179" s="554"/>
    </row>
    <row r="2180" spans="3:4" x14ac:dyDescent="0.25">
      <c r="C2180" s="554"/>
      <c r="D2180" s="554"/>
    </row>
    <row r="2181" spans="3:4" x14ac:dyDescent="0.25">
      <c r="C2181" s="554"/>
      <c r="D2181" s="554"/>
    </row>
    <row r="2182" spans="3:4" x14ac:dyDescent="0.25">
      <c r="C2182" s="554"/>
      <c r="D2182" s="554"/>
    </row>
    <row r="2183" spans="3:4" x14ac:dyDescent="0.25">
      <c r="C2183" s="554"/>
      <c r="D2183" s="554"/>
    </row>
    <row r="2184" spans="3:4" x14ac:dyDescent="0.25">
      <c r="C2184" s="554"/>
      <c r="D2184" s="554"/>
    </row>
    <row r="2185" spans="3:4" x14ac:dyDescent="0.25">
      <c r="C2185" s="554"/>
      <c r="D2185" s="554"/>
    </row>
    <row r="2186" spans="3:4" x14ac:dyDescent="0.25">
      <c r="C2186" s="554"/>
      <c r="D2186" s="554"/>
    </row>
    <row r="2187" spans="3:4" x14ac:dyDescent="0.25">
      <c r="C2187" s="554"/>
      <c r="D2187" s="554"/>
    </row>
    <row r="2188" spans="3:4" x14ac:dyDescent="0.25">
      <c r="C2188" s="554"/>
      <c r="D2188" s="554"/>
    </row>
    <row r="2189" spans="3:4" x14ac:dyDescent="0.25">
      <c r="C2189" s="554"/>
      <c r="D2189" s="554"/>
    </row>
    <row r="2190" spans="3:4" x14ac:dyDescent="0.25">
      <c r="C2190" s="554"/>
      <c r="D2190" s="554"/>
    </row>
    <row r="2191" spans="3:4" x14ac:dyDescent="0.25">
      <c r="C2191" s="554"/>
      <c r="D2191" s="554"/>
    </row>
    <row r="2192" spans="3:4" x14ac:dyDescent="0.25">
      <c r="C2192" s="554"/>
      <c r="D2192" s="554"/>
    </row>
    <row r="2193" spans="3:4" x14ac:dyDescent="0.25">
      <c r="C2193" s="554"/>
      <c r="D2193" s="554"/>
    </row>
    <row r="2194" spans="3:4" x14ac:dyDescent="0.25">
      <c r="C2194" s="554"/>
      <c r="D2194" s="554"/>
    </row>
    <row r="2195" spans="3:4" x14ac:dyDescent="0.25">
      <c r="C2195" s="554"/>
      <c r="D2195" s="554"/>
    </row>
    <row r="2196" spans="3:4" x14ac:dyDescent="0.25">
      <c r="C2196" s="554"/>
      <c r="D2196" s="554"/>
    </row>
    <row r="2197" spans="3:4" x14ac:dyDescent="0.25">
      <c r="C2197" s="554"/>
      <c r="D2197" s="554"/>
    </row>
    <row r="2198" spans="3:4" x14ac:dyDescent="0.25">
      <c r="C2198" s="554"/>
      <c r="D2198" s="554"/>
    </row>
    <row r="2199" spans="3:4" x14ac:dyDescent="0.25">
      <c r="C2199" s="554"/>
      <c r="D2199" s="554"/>
    </row>
    <row r="2200" spans="3:4" x14ac:dyDescent="0.25">
      <c r="C2200" s="554"/>
      <c r="D2200" s="554"/>
    </row>
    <row r="2201" spans="3:4" x14ac:dyDescent="0.25">
      <c r="C2201" s="554"/>
      <c r="D2201" s="554"/>
    </row>
    <row r="2202" spans="3:4" x14ac:dyDescent="0.25">
      <c r="C2202" s="554"/>
      <c r="D2202" s="554"/>
    </row>
    <row r="2203" spans="3:4" x14ac:dyDescent="0.25">
      <c r="C2203" s="554"/>
      <c r="D2203" s="554"/>
    </row>
    <row r="2204" spans="3:4" x14ac:dyDescent="0.25">
      <c r="C2204" s="554"/>
      <c r="D2204" s="554"/>
    </row>
    <row r="2205" spans="3:4" x14ac:dyDescent="0.25">
      <c r="C2205" s="554"/>
      <c r="D2205" s="554"/>
    </row>
    <row r="2206" spans="3:4" x14ac:dyDescent="0.25">
      <c r="C2206" s="554"/>
      <c r="D2206" s="554"/>
    </row>
    <row r="2207" spans="3:4" x14ac:dyDescent="0.25">
      <c r="C2207" s="554"/>
      <c r="D2207" s="554"/>
    </row>
    <row r="2208" spans="3:4" x14ac:dyDescent="0.25">
      <c r="C2208" s="554"/>
      <c r="D2208" s="554"/>
    </row>
    <row r="2209" spans="3:4" x14ac:dyDescent="0.25">
      <c r="C2209" s="554"/>
      <c r="D2209" s="554"/>
    </row>
    <row r="2210" spans="3:4" x14ac:dyDescent="0.25">
      <c r="C2210" s="554"/>
      <c r="D2210" s="554"/>
    </row>
    <row r="2211" spans="3:4" x14ac:dyDescent="0.25">
      <c r="C2211" s="554"/>
      <c r="D2211" s="554"/>
    </row>
    <row r="2212" spans="3:4" x14ac:dyDescent="0.25">
      <c r="C2212" s="554"/>
      <c r="D2212" s="554"/>
    </row>
    <row r="2213" spans="3:4" x14ac:dyDescent="0.25">
      <c r="C2213" s="554"/>
      <c r="D2213" s="554"/>
    </row>
    <row r="2214" spans="3:4" x14ac:dyDescent="0.25">
      <c r="C2214" s="554"/>
      <c r="D2214" s="554"/>
    </row>
    <row r="2215" spans="3:4" x14ac:dyDescent="0.25">
      <c r="C2215" s="554"/>
      <c r="D2215" s="554"/>
    </row>
    <row r="2216" spans="3:4" x14ac:dyDescent="0.25">
      <c r="C2216" s="554"/>
      <c r="D2216" s="554"/>
    </row>
    <row r="2217" spans="3:4" x14ac:dyDescent="0.25">
      <c r="C2217" s="554"/>
      <c r="D2217" s="554"/>
    </row>
    <row r="2218" spans="3:4" x14ac:dyDescent="0.25">
      <c r="C2218" s="554"/>
      <c r="D2218" s="554"/>
    </row>
    <row r="2219" spans="3:4" x14ac:dyDescent="0.25">
      <c r="C2219" s="554"/>
      <c r="D2219" s="554"/>
    </row>
    <row r="2220" spans="3:4" x14ac:dyDescent="0.25">
      <c r="C2220" s="554"/>
      <c r="D2220" s="554"/>
    </row>
    <row r="2221" spans="3:4" x14ac:dyDescent="0.25">
      <c r="C2221" s="554"/>
      <c r="D2221" s="554"/>
    </row>
    <row r="2222" spans="3:4" x14ac:dyDescent="0.25">
      <c r="C2222" s="554"/>
      <c r="D2222" s="554"/>
    </row>
    <row r="2223" spans="3:4" x14ac:dyDescent="0.25">
      <c r="C2223" s="554"/>
      <c r="D2223" s="554"/>
    </row>
    <row r="2224" spans="3:4" x14ac:dyDescent="0.25">
      <c r="C2224" s="554"/>
      <c r="D2224" s="554"/>
    </row>
    <row r="2225" spans="3:4" x14ac:dyDescent="0.25">
      <c r="C2225" s="554"/>
      <c r="D2225" s="554"/>
    </row>
    <row r="2226" spans="3:4" x14ac:dyDescent="0.25">
      <c r="C2226" s="554"/>
      <c r="D2226" s="554"/>
    </row>
    <row r="2227" spans="3:4" x14ac:dyDescent="0.25">
      <c r="C2227" s="554"/>
      <c r="D2227" s="554"/>
    </row>
    <row r="2228" spans="3:4" x14ac:dyDescent="0.25">
      <c r="C2228" s="554"/>
      <c r="D2228" s="554"/>
    </row>
    <row r="2229" spans="3:4" x14ac:dyDescent="0.25">
      <c r="C2229" s="554"/>
      <c r="D2229" s="554"/>
    </row>
    <row r="2230" spans="3:4" x14ac:dyDescent="0.25">
      <c r="C2230" s="554"/>
      <c r="D2230" s="554"/>
    </row>
    <row r="2231" spans="3:4" x14ac:dyDescent="0.25">
      <c r="C2231" s="554"/>
      <c r="D2231" s="554"/>
    </row>
    <row r="2232" spans="3:4" x14ac:dyDescent="0.25">
      <c r="C2232" s="554"/>
      <c r="D2232" s="554"/>
    </row>
    <row r="2233" spans="3:4" x14ac:dyDescent="0.25">
      <c r="C2233" s="554"/>
      <c r="D2233" s="554"/>
    </row>
    <row r="2234" spans="3:4" x14ac:dyDescent="0.25">
      <c r="C2234" s="554"/>
      <c r="D2234" s="554"/>
    </row>
    <row r="2235" spans="3:4" x14ac:dyDescent="0.25">
      <c r="C2235" s="554"/>
      <c r="D2235" s="554"/>
    </row>
    <row r="2236" spans="3:4" x14ac:dyDescent="0.25">
      <c r="C2236" s="554"/>
      <c r="D2236" s="554"/>
    </row>
    <row r="2237" spans="3:4" x14ac:dyDescent="0.25">
      <c r="C2237" s="554"/>
      <c r="D2237" s="554"/>
    </row>
    <row r="2238" spans="3:4" x14ac:dyDescent="0.25">
      <c r="C2238" s="554"/>
      <c r="D2238" s="554"/>
    </row>
    <row r="2239" spans="3:4" x14ac:dyDescent="0.25">
      <c r="C2239" s="554"/>
      <c r="D2239" s="554"/>
    </row>
    <row r="2240" spans="3:4" x14ac:dyDescent="0.25">
      <c r="C2240" s="554"/>
      <c r="D2240" s="554"/>
    </row>
    <row r="2241" spans="3:4" x14ac:dyDescent="0.25">
      <c r="C2241" s="554"/>
      <c r="D2241" s="554"/>
    </row>
    <row r="2242" spans="3:4" x14ac:dyDescent="0.25">
      <c r="C2242" s="554"/>
      <c r="D2242" s="554"/>
    </row>
    <row r="2243" spans="3:4" x14ac:dyDescent="0.25">
      <c r="C2243" s="554"/>
      <c r="D2243" s="554"/>
    </row>
    <row r="2244" spans="3:4" x14ac:dyDescent="0.25">
      <c r="C2244" s="554"/>
      <c r="D2244" s="554"/>
    </row>
    <row r="2245" spans="3:4" x14ac:dyDescent="0.25">
      <c r="C2245" s="554"/>
      <c r="D2245" s="554"/>
    </row>
    <row r="2246" spans="3:4" x14ac:dyDescent="0.25">
      <c r="C2246" s="554"/>
      <c r="D2246" s="554"/>
    </row>
    <row r="2247" spans="3:4" x14ac:dyDescent="0.25">
      <c r="C2247" s="554"/>
      <c r="D2247" s="554"/>
    </row>
    <row r="2248" spans="3:4" x14ac:dyDescent="0.25">
      <c r="C2248" s="554"/>
      <c r="D2248" s="554"/>
    </row>
    <row r="2249" spans="3:4" x14ac:dyDescent="0.25">
      <c r="C2249" s="554"/>
      <c r="D2249" s="554"/>
    </row>
    <row r="2250" spans="3:4" x14ac:dyDescent="0.25">
      <c r="C2250" s="554"/>
      <c r="D2250" s="554"/>
    </row>
    <row r="2251" spans="3:4" x14ac:dyDescent="0.25">
      <c r="C2251" s="554"/>
      <c r="D2251" s="554"/>
    </row>
    <row r="2252" spans="3:4" x14ac:dyDescent="0.25">
      <c r="C2252" s="554"/>
      <c r="D2252" s="554"/>
    </row>
    <row r="2253" spans="3:4" x14ac:dyDescent="0.25">
      <c r="C2253" s="554"/>
      <c r="D2253" s="554"/>
    </row>
    <row r="2254" spans="3:4" x14ac:dyDescent="0.25">
      <c r="C2254" s="554"/>
      <c r="D2254" s="554"/>
    </row>
    <row r="2255" spans="3:4" x14ac:dyDescent="0.25">
      <c r="C2255" s="554"/>
      <c r="D2255" s="554"/>
    </row>
    <row r="2256" spans="3:4" x14ac:dyDescent="0.25">
      <c r="C2256" s="554"/>
      <c r="D2256" s="554"/>
    </row>
    <row r="2257" spans="3:4" x14ac:dyDescent="0.25">
      <c r="C2257" s="554"/>
      <c r="D2257" s="554"/>
    </row>
    <row r="2258" spans="3:4" x14ac:dyDescent="0.25">
      <c r="C2258" s="554"/>
      <c r="D2258" s="554"/>
    </row>
    <row r="2259" spans="3:4" x14ac:dyDescent="0.25">
      <c r="C2259" s="554"/>
      <c r="D2259" s="554"/>
    </row>
    <row r="2260" spans="3:4" x14ac:dyDescent="0.25">
      <c r="C2260" s="554"/>
      <c r="D2260" s="554"/>
    </row>
    <row r="2261" spans="3:4" x14ac:dyDescent="0.25">
      <c r="C2261" s="554"/>
      <c r="D2261" s="554"/>
    </row>
    <row r="2262" spans="3:4" x14ac:dyDescent="0.25">
      <c r="C2262" s="554"/>
      <c r="D2262" s="554"/>
    </row>
    <row r="2263" spans="3:4" x14ac:dyDescent="0.25">
      <c r="C2263" s="554"/>
      <c r="D2263" s="554"/>
    </row>
    <row r="2264" spans="3:4" x14ac:dyDescent="0.25">
      <c r="C2264" s="554"/>
      <c r="D2264" s="554"/>
    </row>
    <row r="2265" spans="3:4" x14ac:dyDescent="0.25">
      <c r="C2265" s="554"/>
      <c r="D2265" s="554"/>
    </row>
    <row r="2266" spans="3:4" x14ac:dyDescent="0.25">
      <c r="C2266" s="554"/>
      <c r="D2266" s="554"/>
    </row>
    <row r="2267" spans="3:4" x14ac:dyDescent="0.25">
      <c r="C2267" s="554"/>
      <c r="D2267" s="554"/>
    </row>
    <row r="2268" spans="3:4" x14ac:dyDescent="0.25">
      <c r="C2268" s="554"/>
      <c r="D2268" s="554"/>
    </row>
    <row r="2269" spans="3:4" x14ac:dyDescent="0.25">
      <c r="C2269" s="554"/>
      <c r="D2269" s="554"/>
    </row>
    <row r="2270" spans="3:4" x14ac:dyDescent="0.25">
      <c r="C2270" s="554"/>
      <c r="D2270" s="554"/>
    </row>
    <row r="2271" spans="3:4" x14ac:dyDescent="0.25">
      <c r="C2271" s="554"/>
      <c r="D2271" s="554"/>
    </row>
    <row r="2272" spans="3:4" x14ac:dyDescent="0.25">
      <c r="C2272" s="554"/>
      <c r="D2272" s="554"/>
    </row>
    <row r="2273" spans="3:4" x14ac:dyDescent="0.25">
      <c r="C2273" s="554"/>
      <c r="D2273" s="554"/>
    </row>
    <row r="2274" spans="3:4" x14ac:dyDescent="0.25">
      <c r="C2274" s="554"/>
      <c r="D2274" s="554"/>
    </row>
    <row r="2275" spans="3:4" x14ac:dyDescent="0.25">
      <c r="C2275" s="554"/>
      <c r="D2275" s="554"/>
    </row>
    <row r="2276" spans="3:4" x14ac:dyDescent="0.25">
      <c r="C2276" s="554"/>
      <c r="D2276" s="554"/>
    </row>
    <row r="2277" spans="3:4" x14ac:dyDescent="0.25">
      <c r="C2277" s="554"/>
      <c r="D2277" s="554"/>
    </row>
    <row r="2278" spans="3:4" x14ac:dyDescent="0.25">
      <c r="C2278" s="554"/>
      <c r="D2278" s="554"/>
    </row>
    <row r="2279" spans="3:4" x14ac:dyDescent="0.25">
      <c r="C2279" s="554"/>
      <c r="D2279" s="554"/>
    </row>
    <row r="2280" spans="3:4" x14ac:dyDescent="0.25">
      <c r="C2280" s="554"/>
      <c r="D2280" s="554"/>
    </row>
    <row r="2281" spans="3:4" x14ac:dyDescent="0.25">
      <c r="C2281" s="554"/>
      <c r="D2281" s="554"/>
    </row>
    <row r="2282" spans="3:4" x14ac:dyDescent="0.25">
      <c r="C2282" s="554"/>
      <c r="D2282" s="554"/>
    </row>
    <row r="2283" spans="3:4" x14ac:dyDescent="0.25">
      <c r="C2283" s="554"/>
      <c r="D2283" s="554"/>
    </row>
    <row r="2284" spans="3:4" x14ac:dyDescent="0.25">
      <c r="C2284" s="554"/>
      <c r="D2284" s="554"/>
    </row>
    <row r="2285" spans="3:4" x14ac:dyDescent="0.25">
      <c r="C2285" s="554"/>
      <c r="D2285" s="554"/>
    </row>
    <row r="2286" spans="3:4" x14ac:dyDescent="0.25">
      <c r="C2286" s="554"/>
      <c r="D2286" s="554"/>
    </row>
    <row r="2287" spans="3:4" x14ac:dyDescent="0.25">
      <c r="C2287" s="554"/>
      <c r="D2287" s="554"/>
    </row>
    <row r="2288" spans="3:4" x14ac:dyDescent="0.25">
      <c r="C2288" s="554"/>
      <c r="D2288" s="554"/>
    </row>
    <row r="2289" spans="3:4" x14ac:dyDescent="0.25">
      <c r="C2289" s="554"/>
      <c r="D2289" s="554"/>
    </row>
    <row r="2290" spans="3:4" x14ac:dyDescent="0.25">
      <c r="C2290" s="554"/>
      <c r="D2290" s="554"/>
    </row>
    <row r="2291" spans="3:4" x14ac:dyDescent="0.25">
      <c r="C2291" s="554"/>
      <c r="D2291" s="554"/>
    </row>
    <row r="2292" spans="3:4" x14ac:dyDescent="0.25">
      <c r="C2292" s="554"/>
      <c r="D2292" s="554"/>
    </row>
    <row r="2293" spans="3:4" x14ac:dyDescent="0.25">
      <c r="C2293" s="554"/>
      <c r="D2293" s="554"/>
    </row>
    <row r="2294" spans="3:4" x14ac:dyDescent="0.25">
      <c r="C2294" s="554"/>
      <c r="D2294" s="554"/>
    </row>
    <row r="2295" spans="3:4" x14ac:dyDescent="0.25">
      <c r="C2295" s="554"/>
      <c r="D2295" s="554"/>
    </row>
    <row r="2296" spans="3:4" x14ac:dyDescent="0.25">
      <c r="C2296" s="554"/>
      <c r="D2296" s="554"/>
    </row>
    <row r="2297" spans="3:4" x14ac:dyDescent="0.25">
      <c r="C2297" s="554"/>
      <c r="D2297" s="554"/>
    </row>
    <row r="2298" spans="3:4" x14ac:dyDescent="0.25">
      <c r="C2298" s="554"/>
      <c r="D2298" s="554"/>
    </row>
    <row r="2299" spans="3:4" x14ac:dyDescent="0.25">
      <c r="C2299" s="554"/>
      <c r="D2299" s="554"/>
    </row>
    <row r="2300" spans="3:4" x14ac:dyDescent="0.25">
      <c r="C2300" s="554"/>
      <c r="D2300" s="554"/>
    </row>
    <row r="2301" spans="3:4" x14ac:dyDescent="0.25">
      <c r="C2301" s="554"/>
      <c r="D2301" s="554"/>
    </row>
    <row r="2302" spans="3:4" x14ac:dyDescent="0.25">
      <c r="C2302" s="554"/>
      <c r="D2302" s="554"/>
    </row>
    <row r="2303" spans="3:4" x14ac:dyDescent="0.25">
      <c r="C2303" s="554"/>
      <c r="D2303" s="554"/>
    </row>
    <row r="2304" spans="3:4" x14ac:dyDescent="0.25">
      <c r="C2304" s="554"/>
      <c r="D2304" s="554"/>
    </row>
    <row r="2305" spans="3:4" x14ac:dyDescent="0.25">
      <c r="C2305" s="554"/>
      <c r="D2305" s="554"/>
    </row>
    <row r="2306" spans="3:4" x14ac:dyDescent="0.25">
      <c r="C2306" s="554"/>
      <c r="D2306" s="554"/>
    </row>
    <row r="2307" spans="3:4" x14ac:dyDescent="0.25">
      <c r="C2307" s="554"/>
      <c r="D2307" s="554"/>
    </row>
    <row r="2308" spans="3:4" x14ac:dyDescent="0.25">
      <c r="C2308" s="554"/>
      <c r="D2308" s="554"/>
    </row>
    <row r="2309" spans="3:4" x14ac:dyDescent="0.25">
      <c r="C2309" s="554"/>
      <c r="D2309" s="554"/>
    </row>
    <row r="2310" spans="3:4" x14ac:dyDescent="0.25">
      <c r="C2310" s="554"/>
      <c r="D2310" s="554"/>
    </row>
    <row r="2311" spans="3:4" x14ac:dyDescent="0.25">
      <c r="C2311" s="554"/>
      <c r="D2311" s="554"/>
    </row>
    <row r="2312" spans="3:4" x14ac:dyDescent="0.25">
      <c r="C2312" s="554"/>
      <c r="D2312" s="554"/>
    </row>
    <row r="2313" spans="3:4" x14ac:dyDescent="0.25">
      <c r="C2313" s="554"/>
      <c r="D2313" s="554"/>
    </row>
    <row r="2314" spans="3:4" x14ac:dyDescent="0.25">
      <c r="C2314" s="554"/>
      <c r="D2314" s="554"/>
    </row>
    <row r="2315" spans="3:4" x14ac:dyDescent="0.25">
      <c r="C2315" s="554"/>
      <c r="D2315" s="554"/>
    </row>
    <row r="2316" spans="3:4" x14ac:dyDescent="0.25">
      <c r="C2316" s="554"/>
      <c r="D2316" s="554"/>
    </row>
    <row r="2317" spans="3:4" x14ac:dyDescent="0.25">
      <c r="C2317" s="554"/>
      <c r="D2317" s="554"/>
    </row>
    <row r="2318" spans="3:4" x14ac:dyDescent="0.25">
      <c r="C2318" s="554"/>
      <c r="D2318" s="554"/>
    </row>
    <row r="2319" spans="3:4" x14ac:dyDescent="0.25">
      <c r="C2319" s="554"/>
      <c r="D2319" s="554"/>
    </row>
    <row r="2320" spans="3:4" x14ac:dyDescent="0.25">
      <c r="C2320" s="554"/>
      <c r="D2320" s="554"/>
    </row>
    <row r="2321" spans="3:4" x14ac:dyDescent="0.25">
      <c r="C2321" s="554"/>
      <c r="D2321" s="554"/>
    </row>
    <row r="2322" spans="3:4" x14ac:dyDescent="0.25">
      <c r="C2322" s="554"/>
      <c r="D2322" s="554"/>
    </row>
    <row r="2323" spans="3:4" x14ac:dyDescent="0.25">
      <c r="C2323" s="554"/>
      <c r="D2323" s="554"/>
    </row>
    <row r="2324" spans="3:4" x14ac:dyDescent="0.25">
      <c r="C2324" s="554"/>
      <c r="D2324" s="554"/>
    </row>
    <row r="2325" spans="3:4" x14ac:dyDescent="0.25">
      <c r="C2325" s="554"/>
      <c r="D2325" s="554"/>
    </row>
    <row r="2326" spans="3:4" x14ac:dyDescent="0.25">
      <c r="C2326" s="554"/>
      <c r="D2326" s="554"/>
    </row>
    <row r="2327" spans="3:4" x14ac:dyDescent="0.25">
      <c r="C2327" s="554"/>
      <c r="D2327" s="554"/>
    </row>
    <row r="2328" spans="3:4" x14ac:dyDescent="0.25">
      <c r="C2328" s="554"/>
      <c r="D2328" s="554"/>
    </row>
    <row r="2329" spans="3:4" x14ac:dyDescent="0.25">
      <c r="C2329" s="554"/>
      <c r="D2329" s="554"/>
    </row>
    <row r="2330" spans="3:4" x14ac:dyDescent="0.25">
      <c r="C2330" s="554"/>
      <c r="D2330" s="554"/>
    </row>
    <row r="2331" spans="3:4" x14ac:dyDescent="0.25">
      <c r="C2331" s="554"/>
      <c r="D2331" s="554"/>
    </row>
    <row r="2332" spans="3:4" x14ac:dyDescent="0.25">
      <c r="C2332" s="554"/>
      <c r="D2332" s="554"/>
    </row>
    <row r="2333" spans="3:4" x14ac:dyDescent="0.25">
      <c r="C2333" s="554"/>
      <c r="D2333" s="554"/>
    </row>
    <row r="2334" spans="3:4" x14ac:dyDescent="0.25">
      <c r="C2334" s="554"/>
      <c r="D2334" s="554"/>
    </row>
    <row r="2335" spans="3:4" x14ac:dyDescent="0.25">
      <c r="C2335" s="554"/>
      <c r="D2335" s="554"/>
    </row>
    <row r="2336" spans="3:4" x14ac:dyDescent="0.25">
      <c r="C2336" s="554"/>
      <c r="D2336" s="554"/>
    </row>
    <row r="2337" spans="3:4" x14ac:dyDescent="0.25">
      <c r="C2337" s="554"/>
      <c r="D2337" s="554"/>
    </row>
    <row r="2338" spans="3:4" x14ac:dyDescent="0.25">
      <c r="C2338" s="554"/>
      <c r="D2338" s="554"/>
    </row>
    <row r="2339" spans="3:4" x14ac:dyDescent="0.25">
      <c r="C2339" s="554"/>
      <c r="D2339" s="554"/>
    </row>
    <row r="2340" spans="3:4" x14ac:dyDescent="0.25">
      <c r="C2340" s="554"/>
      <c r="D2340" s="554"/>
    </row>
    <row r="2341" spans="3:4" x14ac:dyDescent="0.25">
      <c r="C2341" s="554"/>
      <c r="D2341" s="554"/>
    </row>
    <row r="2342" spans="3:4" x14ac:dyDescent="0.25">
      <c r="C2342" s="554"/>
      <c r="D2342" s="554"/>
    </row>
    <row r="2343" spans="3:4" x14ac:dyDescent="0.25">
      <c r="C2343" s="554"/>
      <c r="D2343" s="554"/>
    </row>
    <row r="2344" spans="3:4" x14ac:dyDescent="0.25">
      <c r="C2344" s="554"/>
      <c r="D2344" s="554"/>
    </row>
    <row r="2345" spans="3:4" x14ac:dyDescent="0.25">
      <c r="C2345" s="554"/>
      <c r="D2345" s="554"/>
    </row>
    <row r="2346" spans="3:4" x14ac:dyDescent="0.25">
      <c r="C2346" s="554"/>
      <c r="D2346" s="554"/>
    </row>
    <row r="2347" spans="3:4" x14ac:dyDescent="0.25">
      <c r="C2347" s="554"/>
      <c r="D2347" s="554"/>
    </row>
    <row r="2348" spans="3:4" x14ac:dyDescent="0.25">
      <c r="C2348" s="554"/>
      <c r="D2348" s="554"/>
    </row>
    <row r="2349" spans="3:4" x14ac:dyDescent="0.25">
      <c r="C2349" s="554"/>
      <c r="D2349" s="554"/>
    </row>
    <row r="2350" spans="3:4" x14ac:dyDescent="0.25">
      <c r="C2350" s="554"/>
      <c r="D2350" s="554"/>
    </row>
    <row r="2351" spans="3:4" x14ac:dyDescent="0.25">
      <c r="C2351" s="554"/>
      <c r="D2351" s="554"/>
    </row>
    <row r="2352" spans="3:4" x14ac:dyDescent="0.25">
      <c r="C2352" s="554"/>
      <c r="D2352" s="554"/>
    </row>
    <row r="2353" spans="3:4" x14ac:dyDescent="0.25">
      <c r="C2353" s="554"/>
      <c r="D2353" s="554"/>
    </row>
    <row r="2354" spans="3:4" x14ac:dyDescent="0.25">
      <c r="C2354" s="554"/>
      <c r="D2354" s="554"/>
    </row>
    <row r="2355" spans="3:4" x14ac:dyDescent="0.25">
      <c r="C2355" s="554"/>
      <c r="D2355" s="554"/>
    </row>
    <row r="2356" spans="3:4" x14ac:dyDescent="0.25">
      <c r="C2356" s="554"/>
      <c r="D2356" s="554"/>
    </row>
    <row r="2357" spans="3:4" x14ac:dyDescent="0.25">
      <c r="C2357" s="554"/>
      <c r="D2357" s="554"/>
    </row>
    <row r="2358" spans="3:4" x14ac:dyDescent="0.25">
      <c r="C2358" s="554"/>
      <c r="D2358" s="554"/>
    </row>
    <row r="2359" spans="3:4" x14ac:dyDescent="0.25">
      <c r="C2359" s="554"/>
      <c r="D2359" s="554"/>
    </row>
    <row r="2360" spans="3:4" x14ac:dyDescent="0.25">
      <c r="C2360" s="554"/>
      <c r="D2360" s="554"/>
    </row>
    <row r="2361" spans="3:4" x14ac:dyDescent="0.25">
      <c r="C2361" s="554"/>
      <c r="D2361" s="554"/>
    </row>
    <row r="2362" spans="3:4" x14ac:dyDescent="0.25">
      <c r="C2362" s="554"/>
      <c r="D2362" s="554"/>
    </row>
    <row r="2363" spans="3:4" x14ac:dyDescent="0.25">
      <c r="C2363" s="554"/>
      <c r="D2363" s="554"/>
    </row>
    <row r="2364" spans="3:4" x14ac:dyDescent="0.25">
      <c r="C2364" s="554"/>
      <c r="D2364" s="554"/>
    </row>
    <row r="2365" spans="3:4" x14ac:dyDescent="0.25">
      <c r="C2365" s="554"/>
      <c r="D2365" s="554"/>
    </row>
    <row r="2366" spans="3:4" x14ac:dyDescent="0.25">
      <c r="C2366" s="554"/>
      <c r="D2366" s="554"/>
    </row>
    <row r="2367" spans="3:4" x14ac:dyDescent="0.25">
      <c r="C2367" s="554"/>
      <c r="D2367" s="554"/>
    </row>
    <row r="2368" spans="3:4" x14ac:dyDescent="0.25">
      <c r="C2368" s="554"/>
      <c r="D2368" s="554"/>
    </row>
    <row r="2369" spans="3:4" x14ac:dyDescent="0.25">
      <c r="C2369" s="554"/>
      <c r="D2369" s="554"/>
    </row>
    <row r="2370" spans="3:4" x14ac:dyDescent="0.25">
      <c r="C2370" s="554"/>
      <c r="D2370" s="554"/>
    </row>
    <row r="2371" spans="3:4" x14ac:dyDescent="0.25">
      <c r="C2371" s="554"/>
      <c r="D2371" s="554"/>
    </row>
    <row r="2372" spans="3:4" x14ac:dyDescent="0.25">
      <c r="C2372" s="554"/>
      <c r="D2372" s="554"/>
    </row>
    <row r="2373" spans="3:4" x14ac:dyDescent="0.25">
      <c r="C2373" s="554"/>
      <c r="D2373" s="554"/>
    </row>
    <row r="2374" spans="3:4" x14ac:dyDescent="0.25">
      <c r="C2374" s="554"/>
      <c r="D2374" s="554"/>
    </row>
    <row r="2375" spans="3:4" x14ac:dyDescent="0.25">
      <c r="C2375" s="554"/>
      <c r="D2375" s="554"/>
    </row>
    <row r="2376" spans="3:4" x14ac:dyDescent="0.25">
      <c r="C2376" s="554"/>
      <c r="D2376" s="554"/>
    </row>
    <row r="2377" spans="3:4" x14ac:dyDescent="0.25">
      <c r="C2377" s="554"/>
      <c r="D2377" s="554"/>
    </row>
    <row r="2378" spans="3:4" x14ac:dyDescent="0.25">
      <c r="C2378" s="554"/>
      <c r="D2378" s="554"/>
    </row>
    <row r="2379" spans="3:4" x14ac:dyDescent="0.25">
      <c r="C2379" s="554"/>
      <c r="D2379" s="554"/>
    </row>
    <row r="2380" spans="3:4" x14ac:dyDescent="0.25">
      <c r="C2380" s="554"/>
      <c r="D2380" s="554"/>
    </row>
    <row r="2381" spans="3:4" x14ac:dyDescent="0.25">
      <c r="C2381" s="554"/>
      <c r="D2381" s="554"/>
    </row>
    <row r="2382" spans="3:4" x14ac:dyDescent="0.25">
      <c r="C2382" s="554"/>
      <c r="D2382" s="554"/>
    </row>
    <row r="2383" spans="3:4" x14ac:dyDescent="0.25">
      <c r="C2383" s="554"/>
      <c r="D2383" s="554"/>
    </row>
    <row r="2384" spans="3:4" x14ac:dyDescent="0.25">
      <c r="C2384" s="554"/>
      <c r="D2384" s="554"/>
    </row>
    <row r="2385" spans="3:4" x14ac:dyDescent="0.25">
      <c r="C2385" s="554"/>
      <c r="D2385" s="554"/>
    </row>
    <row r="2386" spans="3:4" x14ac:dyDescent="0.25">
      <c r="C2386" s="554"/>
      <c r="D2386" s="554"/>
    </row>
    <row r="2387" spans="3:4" x14ac:dyDescent="0.25">
      <c r="C2387" s="554"/>
      <c r="D2387" s="554"/>
    </row>
    <row r="2388" spans="3:4" x14ac:dyDescent="0.25">
      <c r="C2388" s="554"/>
      <c r="D2388" s="554"/>
    </row>
    <row r="2389" spans="3:4" x14ac:dyDescent="0.25">
      <c r="C2389" s="554"/>
      <c r="D2389" s="554"/>
    </row>
    <row r="2390" spans="3:4" x14ac:dyDescent="0.25">
      <c r="C2390" s="554"/>
      <c r="D2390" s="554"/>
    </row>
    <row r="2391" spans="3:4" x14ac:dyDescent="0.25">
      <c r="C2391" s="554"/>
      <c r="D2391" s="554"/>
    </row>
    <row r="2392" spans="3:4" x14ac:dyDescent="0.25">
      <c r="C2392" s="554"/>
      <c r="D2392" s="554"/>
    </row>
    <row r="2393" spans="3:4" x14ac:dyDescent="0.25">
      <c r="C2393" s="554"/>
      <c r="D2393" s="554"/>
    </row>
    <row r="2394" spans="3:4" x14ac:dyDescent="0.25">
      <c r="C2394" s="554"/>
      <c r="D2394" s="554"/>
    </row>
    <row r="2395" spans="3:4" x14ac:dyDescent="0.25">
      <c r="C2395" s="554"/>
      <c r="D2395" s="554"/>
    </row>
    <row r="2396" spans="3:4" x14ac:dyDescent="0.25">
      <c r="C2396" s="554"/>
      <c r="D2396" s="554"/>
    </row>
    <row r="2397" spans="3:4" x14ac:dyDescent="0.25">
      <c r="C2397" s="554"/>
      <c r="D2397" s="554"/>
    </row>
    <row r="2398" spans="3:4" x14ac:dyDescent="0.25">
      <c r="C2398" s="554"/>
      <c r="D2398" s="554"/>
    </row>
    <row r="2399" spans="3:4" x14ac:dyDescent="0.25">
      <c r="C2399" s="554"/>
      <c r="D2399" s="554"/>
    </row>
    <row r="2400" spans="3:4" x14ac:dyDescent="0.25">
      <c r="C2400" s="554"/>
      <c r="D2400" s="554"/>
    </row>
    <row r="2401" spans="3:4" x14ac:dyDescent="0.25">
      <c r="C2401" s="554"/>
      <c r="D2401" s="554"/>
    </row>
    <row r="2402" spans="3:4" x14ac:dyDescent="0.25">
      <c r="C2402" s="554"/>
      <c r="D2402" s="554"/>
    </row>
    <row r="2403" spans="3:4" x14ac:dyDescent="0.25">
      <c r="C2403" s="554"/>
      <c r="D2403" s="554"/>
    </row>
    <row r="2404" spans="3:4" x14ac:dyDescent="0.25">
      <c r="C2404" s="554"/>
      <c r="D2404" s="554"/>
    </row>
    <row r="2405" spans="3:4" x14ac:dyDescent="0.25">
      <c r="C2405" s="554"/>
      <c r="D2405" s="554"/>
    </row>
    <row r="2406" spans="3:4" x14ac:dyDescent="0.25">
      <c r="C2406" s="554"/>
      <c r="D2406" s="554"/>
    </row>
    <row r="2407" spans="3:4" x14ac:dyDescent="0.25">
      <c r="C2407" s="554"/>
      <c r="D2407" s="554"/>
    </row>
    <row r="2408" spans="3:4" x14ac:dyDescent="0.25">
      <c r="C2408" s="554"/>
      <c r="D2408" s="554"/>
    </row>
    <row r="2409" spans="3:4" x14ac:dyDescent="0.25">
      <c r="C2409" s="554"/>
      <c r="D2409" s="554"/>
    </row>
    <row r="2410" spans="3:4" x14ac:dyDescent="0.25">
      <c r="C2410" s="554"/>
      <c r="D2410" s="554"/>
    </row>
    <row r="2411" spans="3:4" x14ac:dyDescent="0.25">
      <c r="C2411" s="554"/>
      <c r="D2411" s="554"/>
    </row>
    <row r="2412" spans="3:4" x14ac:dyDescent="0.25">
      <c r="C2412" s="554"/>
      <c r="D2412" s="554"/>
    </row>
    <row r="2413" spans="3:4" x14ac:dyDescent="0.25">
      <c r="C2413" s="554"/>
      <c r="D2413" s="554"/>
    </row>
    <row r="2414" spans="3:4" x14ac:dyDescent="0.25">
      <c r="C2414" s="554"/>
      <c r="D2414" s="554"/>
    </row>
    <row r="2415" spans="3:4" x14ac:dyDescent="0.25">
      <c r="C2415" s="554"/>
      <c r="D2415" s="554"/>
    </row>
    <row r="2416" spans="3:4" x14ac:dyDescent="0.25">
      <c r="C2416" s="554"/>
      <c r="D2416" s="554"/>
    </row>
    <row r="2417" spans="3:4" x14ac:dyDescent="0.25">
      <c r="C2417" s="554"/>
      <c r="D2417" s="554"/>
    </row>
    <row r="2418" spans="3:4" x14ac:dyDescent="0.25">
      <c r="C2418" s="554"/>
      <c r="D2418" s="554"/>
    </row>
    <row r="2419" spans="3:4" x14ac:dyDescent="0.25">
      <c r="C2419" s="554"/>
      <c r="D2419" s="554"/>
    </row>
    <row r="2420" spans="3:4" x14ac:dyDescent="0.25">
      <c r="C2420" s="554"/>
      <c r="D2420" s="554"/>
    </row>
    <row r="2421" spans="3:4" x14ac:dyDescent="0.25">
      <c r="C2421" s="554"/>
      <c r="D2421" s="554"/>
    </row>
    <row r="2422" spans="3:4" x14ac:dyDescent="0.25">
      <c r="C2422" s="554"/>
      <c r="D2422" s="554"/>
    </row>
    <row r="2423" spans="3:4" x14ac:dyDescent="0.25">
      <c r="C2423" s="554"/>
      <c r="D2423" s="554"/>
    </row>
    <row r="2424" spans="3:4" x14ac:dyDescent="0.25">
      <c r="C2424" s="554"/>
      <c r="D2424" s="554"/>
    </row>
    <row r="2425" spans="3:4" x14ac:dyDescent="0.25">
      <c r="C2425" s="554"/>
      <c r="D2425" s="554"/>
    </row>
    <row r="2426" spans="3:4" x14ac:dyDescent="0.25">
      <c r="C2426" s="554"/>
      <c r="D2426" s="554"/>
    </row>
    <row r="2427" spans="3:4" x14ac:dyDescent="0.25">
      <c r="C2427" s="554"/>
      <c r="D2427" s="554"/>
    </row>
    <row r="2428" spans="3:4" x14ac:dyDescent="0.25">
      <c r="C2428" s="554"/>
      <c r="D2428" s="554"/>
    </row>
    <row r="2429" spans="3:4" x14ac:dyDescent="0.25">
      <c r="C2429" s="554"/>
      <c r="D2429" s="554"/>
    </row>
    <row r="2430" spans="3:4" x14ac:dyDescent="0.25">
      <c r="C2430" s="554"/>
      <c r="D2430" s="554"/>
    </row>
    <row r="2431" spans="3:4" x14ac:dyDescent="0.25">
      <c r="C2431" s="554"/>
      <c r="D2431" s="554"/>
    </row>
    <row r="2432" spans="3:4" x14ac:dyDescent="0.25">
      <c r="C2432" s="554"/>
      <c r="D2432" s="554"/>
    </row>
    <row r="2433" spans="3:4" x14ac:dyDescent="0.25">
      <c r="C2433" s="554"/>
      <c r="D2433" s="554"/>
    </row>
    <row r="2434" spans="3:4" x14ac:dyDescent="0.25">
      <c r="C2434" s="554"/>
      <c r="D2434" s="554"/>
    </row>
    <row r="2435" spans="3:4" x14ac:dyDescent="0.25">
      <c r="C2435" s="554"/>
      <c r="D2435" s="554"/>
    </row>
    <row r="2436" spans="3:4" x14ac:dyDescent="0.25">
      <c r="C2436" s="554"/>
      <c r="D2436" s="554"/>
    </row>
    <row r="2437" spans="3:4" x14ac:dyDescent="0.25">
      <c r="C2437" s="554"/>
      <c r="D2437" s="554"/>
    </row>
    <row r="2438" spans="3:4" x14ac:dyDescent="0.25">
      <c r="C2438" s="554"/>
      <c r="D2438" s="554"/>
    </row>
    <row r="2439" spans="3:4" x14ac:dyDescent="0.25">
      <c r="C2439" s="554"/>
      <c r="D2439" s="554"/>
    </row>
    <row r="2440" spans="3:4" x14ac:dyDescent="0.25">
      <c r="C2440" s="554"/>
      <c r="D2440" s="554"/>
    </row>
    <row r="2441" spans="3:4" x14ac:dyDescent="0.25">
      <c r="C2441" s="554"/>
      <c r="D2441" s="554"/>
    </row>
    <row r="2442" spans="3:4" x14ac:dyDescent="0.25">
      <c r="C2442" s="554"/>
      <c r="D2442" s="554"/>
    </row>
    <row r="2443" spans="3:4" x14ac:dyDescent="0.25">
      <c r="C2443" s="554"/>
      <c r="D2443" s="554"/>
    </row>
    <row r="2444" spans="3:4" x14ac:dyDescent="0.25">
      <c r="C2444" s="554"/>
      <c r="D2444" s="554"/>
    </row>
    <row r="2445" spans="3:4" x14ac:dyDescent="0.25">
      <c r="C2445" s="554"/>
      <c r="D2445" s="554"/>
    </row>
    <row r="2446" spans="3:4" x14ac:dyDescent="0.25">
      <c r="C2446" s="554"/>
      <c r="D2446" s="554"/>
    </row>
    <row r="2447" spans="3:4" x14ac:dyDescent="0.25">
      <c r="C2447" s="554"/>
      <c r="D2447" s="554"/>
    </row>
    <row r="2448" spans="3:4" x14ac:dyDescent="0.25">
      <c r="C2448" s="554"/>
      <c r="D2448" s="554"/>
    </row>
    <row r="2449" spans="3:4" x14ac:dyDescent="0.25">
      <c r="C2449" s="554"/>
      <c r="D2449" s="554"/>
    </row>
    <row r="2450" spans="3:4" x14ac:dyDescent="0.25">
      <c r="C2450" s="554"/>
      <c r="D2450" s="554"/>
    </row>
    <row r="2451" spans="3:4" x14ac:dyDescent="0.25">
      <c r="C2451" s="554"/>
      <c r="D2451" s="554"/>
    </row>
    <row r="2452" spans="3:4" x14ac:dyDescent="0.25">
      <c r="C2452" s="554"/>
      <c r="D2452" s="554"/>
    </row>
    <row r="2453" spans="3:4" x14ac:dyDescent="0.25">
      <c r="C2453" s="554"/>
      <c r="D2453" s="554"/>
    </row>
    <row r="2454" spans="3:4" x14ac:dyDescent="0.25">
      <c r="C2454" s="554"/>
      <c r="D2454" s="554"/>
    </row>
    <row r="2455" spans="3:4" x14ac:dyDescent="0.25">
      <c r="C2455" s="554"/>
      <c r="D2455" s="554"/>
    </row>
    <row r="2456" spans="3:4" x14ac:dyDescent="0.25">
      <c r="C2456" s="554"/>
      <c r="D2456" s="554"/>
    </row>
    <row r="2457" spans="3:4" x14ac:dyDescent="0.25">
      <c r="C2457" s="554"/>
      <c r="D2457" s="554"/>
    </row>
    <row r="2458" spans="3:4" x14ac:dyDescent="0.25">
      <c r="C2458" s="554"/>
      <c r="D2458" s="554"/>
    </row>
    <row r="2459" spans="3:4" x14ac:dyDescent="0.25">
      <c r="C2459" s="554"/>
      <c r="D2459" s="554"/>
    </row>
    <row r="2460" spans="3:4" x14ac:dyDescent="0.25">
      <c r="C2460" s="554"/>
      <c r="D2460" s="554"/>
    </row>
    <row r="2461" spans="3:4" x14ac:dyDescent="0.25">
      <c r="C2461" s="554"/>
      <c r="D2461" s="554"/>
    </row>
    <row r="2462" spans="3:4" x14ac:dyDescent="0.25">
      <c r="C2462" s="554"/>
      <c r="D2462" s="554"/>
    </row>
    <row r="2463" spans="3:4" x14ac:dyDescent="0.25">
      <c r="C2463" s="554"/>
      <c r="D2463" s="554"/>
    </row>
    <row r="2464" spans="3:4" x14ac:dyDescent="0.25">
      <c r="C2464" s="554"/>
      <c r="D2464" s="554"/>
    </row>
    <row r="2465" spans="3:4" x14ac:dyDescent="0.25">
      <c r="C2465" s="554"/>
      <c r="D2465" s="554"/>
    </row>
    <row r="2466" spans="3:4" x14ac:dyDescent="0.25">
      <c r="C2466" s="554"/>
      <c r="D2466" s="554"/>
    </row>
    <row r="2467" spans="3:4" x14ac:dyDescent="0.25">
      <c r="C2467" s="554"/>
      <c r="D2467" s="554"/>
    </row>
    <row r="2468" spans="3:4" x14ac:dyDescent="0.25">
      <c r="C2468" s="554"/>
      <c r="D2468" s="554"/>
    </row>
    <row r="2469" spans="3:4" x14ac:dyDescent="0.25">
      <c r="C2469" s="554"/>
      <c r="D2469" s="554"/>
    </row>
    <row r="2470" spans="3:4" x14ac:dyDescent="0.25">
      <c r="C2470" s="554"/>
      <c r="D2470" s="554"/>
    </row>
    <row r="2471" spans="3:4" x14ac:dyDescent="0.25">
      <c r="C2471" s="554"/>
      <c r="D2471" s="554"/>
    </row>
    <row r="2472" spans="3:4" x14ac:dyDescent="0.25">
      <c r="C2472" s="554"/>
      <c r="D2472" s="554"/>
    </row>
    <row r="2473" spans="3:4" x14ac:dyDescent="0.25">
      <c r="C2473" s="554"/>
      <c r="D2473" s="554"/>
    </row>
    <row r="2474" spans="3:4" x14ac:dyDescent="0.25">
      <c r="C2474" s="554"/>
      <c r="D2474" s="554"/>
    </row>
    <row r="2475" spans="3:4" x14ac:dyDescent="0.25">
      <c r="C2475" s="554"/>
      <c r="D2475" s="554"/>
    </row>
    <row r="2476" spans="3:4" x14ac:dyDescent="0.25">
      <c r="C2476" s="554"/>
      <c r="D2476" s="554"/>
    </row>
    <row r="2477" spans="3:4" x14ac:dyDescent="0.25">
      <c r="C2477" s="554"/>
      <c r="D2477" s="554"/>
    </row>
    <row r="2478" spans="3:4" x14ac:dyDescent="0.25">
      <c r="C2478" s="554"/>
      <c r="D2478" s="554"/>
    </row>
    <row r="2479" spans="3:4" x14ac:dyDescent="0.25">
      <c r="C2479" s="554"/>
      <c r="D2479" s="554"/>
    </row>
    <row r="2480" spans="3:4" x14ac:dyDescent="0.25">
      <c r="C2480" s="554"/>
      <c r="D2480" s="554"/>
    </row>
    <row r="2481" spans="3:4" x14ac:dyDescent="0.25">
      <c r="C2481" s="554"/>
      <c r="D2481" s="554"/>
    </row>
    <row r="2482" spans="3:4" x14ac:dyDescent="0.25">
      <c r="C2482" s="554"/>
      <c r="D2482" s="554"/>
    </row>
    <row r="2483" spans="3:4" x14ac:dyDescent="0.25">
      <c r="C2483" s="554"/>
      <c r="D2483" s="554"/>
    </row>
    <row r="2484" spans="3:4" x14ac:dyDescent="0.25">
      <c r="C2484" s="554"/>
      <c r="D2484" s="554"/>
    </row>
    <row r="2485" spans="3:4" x14ac:dyDescent="0.25">
      <c r="C2485" s="554"/>
      <c r="D2485" s="554"/>
    </row>
    <row r="2486" spans="3:4" x14ac:dyDescent="0.25">
      <c r="C2486" s="554"/>
      <c r="D2486" s="554"/>
    </row>
    <row r="2487" spans="3:4" x14ac:dyDescent="0.25">
      <c r="C2487" s="554"/>
      <c r="D2487" s="554"/>
    </row>
    <row r="2488" spans="3:4" x14ac:dyDescent="0.25">
      <c r="C2488" s="554"/>
      <c r="D2488" s="554"/>
    </row>
    <row r="2489" spans="3:4" x14ac:dyDescent="0.25">
      <c r="C2489" s="554"/>
      <c r="D2489" s="554"/>
    </row>
    <row r="2490" spans="3:4" x14ac:dyDescent="0.25">
      <c r="C2490" s="554"/>
      <c r="D2490" s="554"/>
    </row>
    <row r="2491" spans="3:4" x14ac:dyDescent="0.25">
      <c r="C2491" s="554"/>
      <c r="D2491" s="554"/>
    </row>
    <row r="2492" spans="3:4" x14ac:dyDescent="0.25">
      <c r="C2492" s="554"/>
      <c r="D2492" s="554"/>
    </row>
    <row r="2493" spans="3:4" x14ac:dyDescent="0.25">
      <c r="C2493" s="554"/>
      <c r="D2493" s="554"/>
    </row>
    <row r="2494" spans="3:4" x14ac:dyDescent="0.25">
      <c r="C2494" s="554"/>
      <c r="D2494" s="554"/>
    </row>
    <row r="2495" spans="3:4" x14ac:dyDescent="0.25">
      <c r="C2495" s="554"/>
      <c r="D2495" s="554"/>
    </row>
    <row r="2496" spans="3:4" x14ac:dyDescent="0.25">
      <c r="C2496" s="554"/>
      <c r="D2496" s="554"/>
    </row>
    <row r="2497" spans="3:4" x14ac:dyDescent="0.25">
      <c r="C2497" s="554"/>
      <c r="D2497" s="554"/>
    </row>
    <row r="2498" spans="3:4" x14ac:dyDescent="0.25">
      <c r="C2498" s="554"/>
      <c r="D2498" s="554"/>
    </row>
    <row r="2499" spans="3:4" x14ac:dyDescent="0.25">
      <c r="C2499" s="554"/>
      <c r="D2499" s="554"/>
    </row>
    <row r="2500" spans="3:4" x14ac:dyDescent="0.25">
      <c r="C2500" s="554"/>
      <c r="D2500" s="554"/>
    </row>
    <row r="2501" spans="3:4" x14ac:dyDescent="0.25">
      <c r="C2501" s="554"/>
      <c r="D2501" s="554"/>
    </row>
    <row r="2502" spans="3:4" x14ac:dyDescent="0.25">
      <c r="C2502" s="554"/>
      <c r="D2502" s="554"/>
    </row>
    <row r="2503" spans="3:4" x14ac:dyDescent="0.25">
      <c r="C2503" s="554"/>
      <c r="D2503" s="554"/>
    </row>
    <row r="2504" spans="3:4" x14ac:dyDescent="0.25">
      <c r="C2504" s="554"/>
      <c r="D2504" s="554"/>
    </row>
    <row r="2505" spans="3:4" x14ac:dyDescent="0.25">
      <c r="C2505" s="554"/>
      <c r="D2505" s="554"/>
    </row>
    <row r="2506" spans="3:4" x14ac:dyDescent="0.25">
      <c r="C2506" s="554"/>
      <c r="D2506" s="554"/>
    </row>
    <row r="2507" spans="3:4" x14ac:dyDescent="0.25">
      <c r="C2507" s="554"/>
      <c r="D2507" s="554"/>
    </row>
    <row r="2508" spans="3:4" x14ac:dyDescent="0.25">
      <c r="C2508" s="554"/>
      <c r="D2508" s="554"/>
    </row>
    <row r="2509" spans="3:4" x14ac:dyDescent="0.25">
      <c r="C2509" s="554"/>
      <c r="D2509" s="554"/>
    </row>
    <row r="2510" spans="3:4" x14ac:dyDescent="0.25">
      <c r="C2510" s="554"/>
      <c r="D2510" s="554"/>
    </row>
    <row r="2511" spans="3:4" x14ac:dyDescent="0.25">
      <c r="C2511" s="554"/>
      <c r="D2511" s="554"/>
    </row>
    <row r="2512" spans="3:4" x14ac:dyDescent="0.25">
      <c r="C2512" s="554"/>
      <c r="D2512" s="554"/>
    </row>
    <row r="2513" spans="3:4" x14ac:dyDescent="0.25">
      <c r="C2513" s="554"/>
      <c r="D2513" s="554"/>
    </row>
    <row r="2514" spans="3:4" x14ac:dyDescent="0.25">
      <c r="C2514" s="554"/>
      <c r="D2514" s="554"/>
    </row>
    <row r="2515" spans="3:4" x14ac:dyDescent="0.25">
      <c r="C2515" s="554"/>
      <c r="D2515" s="554"/>
    </row>
    <row r="2516" spans="3:4" x14ac:dyDescent="0.25">
      <c r="C2516" s="554"/>
      <c r="D2516" s="554"/>
    </row>
    <row r="2517" spans="3:4" x14ac:dyDescent="0.25">
      <c r="C2517" s="554"/>
      <c r="D2517" s="554"/>
    </row>
    <row r="2518" spans="3:4" x14ac:dyDescent="0.25">
      <c r="C2518" s="554"/>
      <c r="D2518" s="554"/>
    </row>
    <row r="2519" spans="3:4" x14ac:dyDescent="0.25">
      <c r="C2519" s="554"/>
      <c r="D2519" s="554"/>
    </row>
    <row r="2520" spans="3:4" x14ac:dyDescent="0.25">
      <c r="C2520" s="554"/>
      <c r="D2520" s="554"/>
    </row>
    <row r="2521" spans="3:4" x14ac:dyDescent="0.25">
      <c r="C2521" s="554"/>
      <c r="D2521" s="554"/>
    </row>
    <row r="2522" spans="3:4" x14ac:dyDescent="0.25">
      <c r="C2522" s="554"/>
      <c r="D2522" s="554"/>
    </row>
    <row r="2523" spans="3:4" x14ac:dyDescent="0.25">
      <c r="C2523" s="554"/>
      <c r="D2523" s="554"/>
    </row>
    <row r="2524" spans="3:4" x14ac:dyDescent="0.25">
      <c r="C2524" s="554"/>
      <c r="D2524" s="554"/>
    </row>
    <row r="2525" spans="3:4" x14ac:dyDescent="0.25">
      <c r="C2525" s="554"/>
      <c r="D2525" s="554"/>
    </row>
    <row r="2526" spans="3:4" x14ac:dyDescent="0.25">
      <c r="C2526" s="554"/>
      <c r="D2526" s="554"/>
    </row>
    <row r="2527" spans="3:4" x14ac:dyDescent="0.25">
      <c r="C2527" s="554"/>
      <c r="D2527" s="554"/>
    </row>
    <row r="2528" spans="3:4" x14ac:dyDescent="0.25">
      <c r="C2528" s="554"/>
      <c r="D2528" s="554"/>
    </row>
    <row r="2529" spans="3:4" x14ac:dyDescent="0.25">
      <c r="C2529" s="554"/>
      <c r="D2529" s="554"/>
    </row>
    <row r="2530" spans="3:4" x14ac:dyDescent="0.25">
      <c r="C2530" s="554"/>
      <c r="D2530" s="554"/>
    </row>
    <row r="2531" spans="3:4" x14ac:dyDescent="0.25">
      <c r="C2531" s="554"/>
      <c r="D2531" s="554"/>
    </row>
    <row r="2532" spans="3:4" x14ac:dyDescent="0.25">
      <c r="C2532" s="554"/>
      <c r="D2532" s="554"/>
    </row>
    <row r="2533" spans="3:4" x14ac:dyDescent="0.25">
      <c r="C2533" s="554"/>
      <c r="D2533" s="554"/>
    </row>
    <row r="2534" spans="3:4" x14ac:dyDescent="0.25">
      <c r="C2534" s="554"/>
      <c r="D2534" s="554"/>
    </row>
    <row r="2535" spans="3:4" x14ac:dyDescent="0.25">
      <c r="C2535" s="554"/>
      <c r="D2535" s="554"/>
    </row>
    <row r="2536" spans="3:4" x14ac:dyDescent="0.25">
      <c r="C2536" s="554"/>
      <c r="D2536" s="554"/>
    </row>
    <row r="2537" spans="3:4" x14ac:dyDescent="0.25">
      <c r="C2537" s="554"/>
      <c r="D2537" s="554"/>
    </row>
    <row r="2538" spans="3:4" x14ac:dyDescent="0.25">
      <c r="C2538" s="554"/>
      <c r="D2538" s="554"/>
    </row>
    <row r="2539" spans="3:4" x14ac:dyDescent="0.25">
      <c r="C2539" s="554"/>
      <c r="D2539" s="554"/>
    </row>
    <row r="2540" spans="3:4" x14ac:dyDescent="0.25">
      <c r="C2540" s="554"/>
      <c r="D2540" s="554"/>
    </row>
    <row r="2541" spans="3:4" x14ac:dyDescent="0.25">
      <c r="C2541" s="554"/>
      <c r="D2541" s="554"/>
    </row>
    <row r="2542" spans="3:4" x14ac:dyDescent="0.25">
      <c r="C2542" s="554"/>
      <c r="D2542" s="554"/>
    </row>
    <row r="2543" spans="3:4" x14ac:dyDescent="0.25">
      <c r="C2543" s="554"/>
      <c r="D2543" s="554"/>
    </row>
    <row r="2544" spans="3:4" x14ac:dyDescent="0.25">
      <c r="C2544" s="554"/>
      <c r="D2544" s="554"/>
    </row>
    <row r="2545" spans="3:4" x14ac:dyDescent="0.25">
      <c r="C2545" s="554"/>
      <c r="D2545" s="554"/>
    </row>
    <row r="2546" spans="3:4" x14ac:dyDescent="0.25">
      <c r="C2546" s="554"/>
      <c r="D2546" s="554"/>
    </row>
    <row r="2547" spans="3:4" x14ac:dyDescent="0.25">
      <c r="C2547" s="554"/>
      <c r="D2547" s="554"/>
    </row>
    <row r="2548" spans="3:4" x14ac:dyDescent="0.25">
      <c r="C2548" s="554"/>
      <c r="D2548" s="554"/>
    </row>
    <row r="2549" spans="3:4" x14ac:dyDescent="0.25">
      <c r="C2549" s="554"/>
      <c r="D2549" s="554"/>
    </row>
    <row r="2550" spans="3:4" x14ac:dyDescent="0.25">
      <c r="C2550" s="554"/>
      <c r="D2550" s="554"/>
    </row>
    <row r="2551" spans="3:4" x14ac:dyDescent="0.25">
      <c r="C2551" s="554"/>
      <c r="D2551" s="554"/>
    </row>
    <row r="2552" spans="3:4" x14ac:dyDescent="0.25">
      <c r="C2552" s="554"/>
      <c r="D2552" s="554"/>
    </row>
    <row r="2553" spans="3:4" x14ac:dyDescent="0.25">
      <c r="C2553" s="554"/>
      <c r="D2553" s="554"/>
    </row>
    <row r="2554" spans="3:4" x14ac:dyDescent="0.25">
      <c r="C2554" s="554"/>
      <c r="D2554" s="554"/>
    </row>
    <row r="2555" spans="3:4" x14ac:dyDescent="0.25">
      <c r="C2555" s="554"/>
      <c r="D2555" s="554"/>
    </row>
    <row r="2556" spans="3:4" x14ac:dyDescent="0.25">
      <c r="C2556" s="554"/>
      <c r="D2556" s="554"/>
    </row>
    <row r="2557" spans="3:4" x14ac:dyDescent="0.25">
      <c r="C2557" s="554"/>
      <c r="D2557" s="554"/>
    </row>
    <row r="2558" spans="3:4" x14ac:dyDescent="0.25">
      <c r="C2558" s="554"/>
      <c r="D2558" s="554"/>
    </row>
    <row r="2559" spans="3:4" x14ac:dyDescent="0.25">
      <c r="C2559" s="554"/>
      <c r="D2559" s="554"/>
    </row>
    <row r="2560" spans="3:4" x14ac:dyDescent="0.25">
      <c r="C2560" s="554"/>
      <c r="D2560" s="554"/>
    </row>
    <row r="2561" spans="3:4" x14ac:dyDescent="0.25">
      <c r="C2561" s="554"/>
      <c r="D2561" s="554"/>
    </row>
    <row r="2562" spans="3:4" x14ac:dyDescent="0.25">
      <c r="C2562" s="554"/>
      <c r="D2562" s="554"/>
    </row>
    <row r="2563" spans="3:4" x14ac:dyDescent="0.25">
      <c r="C2563" s="554"/>
      <c r="D2563" s="554"/>
    </row>
    <row r="2564" spans="3:4" x14ac:dyDescent="0.25">
      <c r="C2564" s="554"/>
      <c r="D2564" s="554"/>
    </row>
    <row r="2565" spans="3:4" x14ac:dyDescent="0.25">
      <c r="C2565" s="554"/>
      <c r="D2565" s="554"/>
    </row>
    <row r="2566" spans="3:4" x14ac:dyDescent="0.25">
      <c r="C2566" s="554"/>
      <c r="D2566" s="554"/>
    </row>
    <row r="2567" spans="3:4" x14ac:dyDescent="0.25">
      <c r="C2567" s="554"/>
      <c r="D2567" s="554"/>
    </row>
    <row r="2568" spans="3:4" x14ac:dyDescent="0.25">
      <c r="C2568" s="554"/>
      <c r="D2568" s="554"/>
    </row>
    <row r="2569" spans="3:4" x14ac:dyDescent="0.25">
      <c r="C2569" s="554"/>
      <c r="D2569" s="554"/>
    </row>
    <row r="2570" spans="3:4" x14ac:dyDescent="0.25">
      <c r="C2570" s="554"/>
      <c r="D2570" s="554"/>
    </row>
    <row r="2571" spans="3:4" x14ac:dyDescent="0.25">
      <c r="C2571" s="554"/>
      <c r="D2571" s="554"/>
    </row>
    <row r="2572" spans="3:4" x14ac:dyDescent="0.25">
      <c r="C2572" s="554"/>
      <c r="D2572" s="554"/>
    </row>
    <row r="2573" spans="3:4" x14ac:dyDescent="0.25">
      <c r="C2573" s="554"/>
      <c r="D2573" s="554"/>
    </row>
    <row r="2574" spans="3:4" x14ac:dyDescent="0.25">
      <c r="C2574" s="554"/>
      <c r="D2574" s="554"/>
    </row>
    <row r="2575" spans="3:4" x14ac:dyDescent="0.25">
      <c r="C2575" s="554"/>
      <c r="D2575" s="554"/>
    </row>
    <row r="2576" spans="3:4" x14ac:dyDescent="0.25">
      <c r="C2576" s="554"/>
      <c r="D2576" s="554"/>
    </row>
    <row r="2577" spans="3:4" x14ac:dyDescent="0.25">
      <c r="C2577" s="554"/>
      <c r="D2577" s="554"/>
    </row>
    <row r="2578" spans="3:4" x14ac:dyDescent="0.25">
      <c r="C2578" s="554"/>
      <c r="D2578" s="554"/>
    </row>
    <row r="2579" spans="3:4" x14ac:dyDescent="0.25">
      <c r="C2579" s="554"/>
      <c r="D2579" s="554"/>
    </row>
    <row r="2580" spans="3:4" x14ac:dyDescent="0.25">
      <c r="C2580" s="554"/>
      <c r="D2580" s="554"/>
    </row>
    <row r="2581" spans="3:4" x14ac:dyDescent="0.25">
      <c r="C2581" s="554"/>
      <c r="D2581" s="554"/>
    </row>
    <row r="2582" spans="3:4" x14ac:dyDescent="0.25">
      <c r="C2582" s="554"/>
      <c r="D2582" s="554"/>
    </row>
    <row r="2583" spans="3:4" x14ac:dyDescent="0.25">
      <c r="C2583" s="554"/>
      <c r="D2583" s="554"/>
    </row>
    <row r="2584" spans="3:4" x14ac:dyDescent="0.25">
      <c r="C2584" s="554"/>
      <c r="D2584" s="554"/>
    </row>
    <row r="2585" spans="3:4" x14ac:dyDescent="0.25">
      <c r="C2585" s="554"/>
      <c r="D2585" s="554"/>
    </row>
    <row r="2586" spans="3:4" x14ac:dyDescent="0.25">
      <c r="C2586" s="554"/>
      <c r="D2586" s="554"/>
    </row>
    <row r="2587" spans="3:4" x14ac:dyDescent="0.25">
      <c r="C2587" s="554"/>
      <c r="D2587" s="554"/>
    </row>
    <row r="2588" spans="3:4" x14ac:dyDescent="0.25">
      <c r="C2588" s="554"/>
      <c r="D2588" s="554"/>
    </row>
    <row r="2589" spans="3:4" x14ac:dyDescent="0.25">
      <c r="C2589" s="554"/>
      <c r="D2589" s="554"/>
    </row>
    <row r="2590" spans="3:4" x14ac:dyDescent="0.25">
      <c r="C2590" s="554"/>
      <c r="D2590" s="554"/>
    </row>
    <row r="2591" spans="3:4" x14ac:dyDescent="0.25">
      <c r="C2591" s="554"/>
      <c r="D2591" s="554"/>
    </row>
    <row r="2592" spans="3:4" x14ac:dyDescent="0.25">
      <c r="C2592" s="554"/>
      <c r="D2592" s="554"/>
    </row>
    <row r="2593" spans="3:4" x14ac:dyDescent="0.25">
      <c r="C2593" s="554"/>
      <c r="D2593" s="554"/>
    </row>
    <row r="2594" spans="3:4" x14ac:dyDescent="0.25">
      <c r="C2594" s="554"/>
      <c r="D2594" s="554"/>
    </row>
    <row r="2595" spans="3:4" x14ac:dyDescent="0.25">
      <c r="C2595" s="554"/>
      <c r="D2595" s="554"/>
    </row>
    <row r="2596" spans="3:4" x14ac:dyDescent="0.25">
      <c r="C2596" s="554"/>
      <c r="D2596" s="554"/>
    </row>
    <row r="2597" spans="3:4" x14ac:dyDescent="0.25">
      <c r="C2597" s="554"/>
      <c r="D2597" s="554"/>
    </row>
    <row r="2598" spans="3:4" x14ac:dyDescent="0.25">
      <c r="C2598" s="554"/>
      <c r="D2598" s="554"/>
    </row>
    <row r="2599" spans="3:4" x14ac:dyDescent="0.25">
      <c r="C2599" s="554"/>
      <c r="D2599" s="554"/>
    </row>
    <row r="2600" spans="3:4" x14ac:dyDescent="0.25">
      <c r="C2600" s="554"/>
      <c r="D2600" s="554"/>
    </row>
    <row r="2601" spans="3:4" x14ac:dyDescent="0.25">
      <c r="C2601" s="554"/>
      <c r="D2601" s="554"/>
    </row>
    <row r="2602" spans="3:4" x14ac:dyDescent="0.25">
      <c r="C2602" s="554"/>
      <c r="D2602" s="554"/>
    </row>
    <row r="2603" spans="3:4" x14ac:dyDescent="0.25">
      <c r="C2603" s="554"/>
      <c r="D2603" s="554"/>
    </row>
    <row r="2604" spans="3:4" x14ac:dyDescent="0.25">
      <c r="C2604" s="554"/>
      <c r="D2604" s="554"/>
    </row>
    <row r="2605" spans="3:4" x14ac:dyDescent="0.25">
      <c r="C2605" s="554"/>
      <c r="D2605" s="554"/>
    </row>
    <row r="2606" spans="3:4" x14ac:dyDescent="0.25">
      <c r="C2606" s="554"/>
      <c r="D2606" s="554"/>
    </row>
    <row r="2607" spans="3:4" x14ac:dyDescent="0.25">
      <c r="C2607" s="554"/>
      <c r="D2607" s="554"/>
    </row>
    <row r="2608" spans="3:4" x14ac:dyDescent="0.25">
      <c r="C2608" s="554"/>
      <c r="D2608" s="554"/>
    </row>
    <row r="2609" spans="3:4" x14ac:dyDescent="0.25">
      <c r="C2609" s="554"/>
      <c r="D2609" s="554"/>
    </row>
    <row r="2610" spans="3:4" x14ac:dyDescent="0.25">
      <c r="C2610" s="554"/>
      <c r="D2610" s="554"/>
    </row>
    <row r="2611" spans="3:4" x14ac:dyDescent="0.25">
      <c r="C2611" s="554"/>
      <c r="D2611" s="554"/>
    </row>
    <row r="2612" spans="3:4" x14ac:dyDescent="0.25">
      <c r="C2612" s="554"/>
      <c r="D2612" s="554"/>
    </row>
    <row r="2613" spans="3:4" x14ac:dyDescent="0.25">
      <c r="C2613" s="554"/>
      <c r="D2613" s="554"/>
    </row>
    <row r="2614" spans="3:4" x14ac:dyDescent="0.25">
      <c r="C2614" s="554"/>
      <c r="D2614" s="554"/>
    </row>
    <row r="2615" spans="3:4" x14ac:dyDescent="0.25">
      <c r="C2615" s="554"/>
      <c r="D2615" s="554"/>
    </row>
    <row r="2616" spans="3:4" x14ac:dyDescent="0.25">
      <c r="C2616" s="554"/>
      <c r="D2616" s="554"/>
    </row>
    <row r="2617" spans="3:4" x14ac:dyDescent="0.25">
      <c r="C2617" s="554"/>
      <c r="D2617" s="554"/>
    </row>
    <row r="2618" spans="3:4" x14ac:dyDescent="0.25">
      <c r="C2618" s="554"/>
      <c r="D2618" s="554"/>
    </row>
    <row r="2619" spans="3:4" x14ac:dyDescent="0.25">
      <c r="C2619" s="554"/>
      <c r="D2619" s="554"/>
    </row>
    <row r="2620" spans="3:4" x14ac:dyDescent="0.25">
      <c r="C2620" s="554"/>
      <c r="D2620" s="554"/>
    </row>
    <row r="2621" spans="3:4" x14ac:dyDescent="0.25">
      <c r="C2621" s="554"/>
      <c r="D2621" s="554"/>
    </row>
    <row r="2622" spans="3:4" x14ac:dyDescent="0.25">
      <c r="C2622" s="554"/>
      <c r="D2622" s="554"/>
    </row>
    <row r="2623" spans="3:4" x14ac:dyDescent="0.25">
      <c r="C2623" s="554"/>
      <c r="D2623" s="554"/>
    </row>
    <row r="2624" spans="3:4" x14ac:dyDescent="0.25">
      <c r="C2624" s="554"/>
      <c r="D2624" s="554"/>
    </row>
    <row r="2625" spans="3:4" x14ac:dyDescent="0.25">
      <c r="C2625" s="554"/>
      <c r="D2625" s="554"/>
    </row>
    <row r="2626" spans="3:4" x14ac:dyDescent="0.25">
      <c r="C2626" s="554"/>
      <c r="D2626" s="554"/>
    </row>
    <row r="2627" spans="3:4" x14ac:dyDescent="0.25">
      <c r="C2627" s="554"/>
      <c r="D2627" s="554"/>
    </row>
    <row r="2628" spans="3:4" x14ac:dyDescent="0.25">
      <c r="C2628" s="554"/>
      <c r="D2628" s="554"/>
    </row>
    <row r="2629" spans="3:4" x14ac:dyDescent="0.25">
      <c r="C2629" s="554"/>
      <c r="D2629" s="554"/>
    </row>
    <row r="2630" spans="3:4" x14ac:dyDescent="0.25">
      <c r="C2630" s="554"/>
      <c r="D2630" s="554"/>
    </row>
    <row r="2631" spans="3:4" x14ac:dyDescent="0.25">
      <c r="C2631" s="554"/>
      <c r="D2631" s="554"/>
    </row>
    <row r="2632" spans="3:4" x14ac:dyDescent="0.25">
      <c r="C2632" s="554"/>
      <c r="D2632" s="554"/>
    </row>
    <row r="2633" spans="3:4" x14ac:dyDescent="0.25">
      <c r="C2633" s="554"/>
      <c r="D2633" s="554"/>
    </row>
    <row r="2634" spans="3:4" x14ac:dyDescent="0.25">
      <c r="C2634" s="554"/>
      <c r="D2634" s="554"/>
    </row>
    <row r="2635" spans="3:4" x14ac:dyDescent="0.25">
      <c r="C2635" s="554"/>
      <c r="D2635" s="554"/>
    </row>
    <row r="2636" spans="3:4" x14ac:dyDescent="0.25">
      <c r="C2636" s="554"/>
      <c r="D2636" s="554"/>
    </row>
    <row r="2637" spans="3:4" x14ac:dyDescent="0.25">
      <c r="C2637" s="554"/>
      <c r="D2637" s="554"/>
    </row>
    <row r="2638" spans="3:4" x14ac:dyDescent="0.25">
      <c r="C2638" s="554"/>
      <c r="D2638" s="554"/>
    </row>
    <row r="2639" spans="3:4" x14ac:dyDescent="0.25">
      <c r="C2639" s="554"/>
      <c r="D2639" s="554"/>
    </row>
    <row r="2640" spans="3:4" x14ac:dyDescent="0.25">
      <c r="C2640" s="554"/>
      <c r="D2640" s="554"/>
    </row>
    <row r="2641" spans="3:4" x14ac:dyDescent="0.25">
      <c r="C2641" s="554"/>
      <c r="D2641" s="554"/>
    </row>
    <row r="2642" spans="3:4" x14ac:dyDescent="0.25">
      <c r="C2642" s="554"/>
      <c r="D2642" s="554"/>
    </row>
    <row r="2643" spans="3:4" x14ac:dyDescent="0.25">
      <c r="C2643" s="554"/>
      <c r="D2643" s="554"/>
    </row>
    <row r="2644" spans="3:4" x14ac:dyDescent="0.25">
      <c r="C2644" s="554"/>
      <c r="D2644" s="554"/>
    </row>
    <row r="2645" spans="3:4" x14ac:dyDescent="0.25">
      <c r="C2645" s="554"/>
      <c r="D2645" s="554"/>
    </row>
    <row r="2646" spans="3:4" x14ac:dyDescent="0.25">
      <c r="C2646" s="554"/>
      <c r="D2646" s="554"/>
    </row>
    <row r="2647" spans="3:4" x14ac:dyDescent="0.25">
      <c r="C2647" s="554"/>
      <c r="D2647" s="554"/>
    </row>
    <row r="2648" spans="3:4" x14ac:dyDescent="0.25">
      <c r="C2648" s="554"/>
      <c r="D2648" s="554"/>
    </row>
    <row r="2649" spans="3:4" x14ac:dyDescent="0.25">
      <c r="C2649" s="554"/>
      <c r="D2649" s="554"/>
    </row>
    <row r="2650" spans="3:4" x14ac:dyDescent="0.25">
      <c r="C2650" s="554"/>
      <c r="D2650" s="554"/>
    </row>
    <row r="2651" spans="3:4" x14ac:dyDescent="0.25">
      <c r="C2651" s="554"/>
      <c r="D2651" s="554"/>
    </row>
    <row r="2652" spans="3:4" x14ac:dyDescent="0.25">
      <c r="C2652" s="554"/>
      <c r="D2652" s="554"/>
    </row>
  </sheetData>
  <pageMargins left="0.7" right="0.7" top="0.75" bottom="0.75" header="0.3" footer="0.3"/>
  <pageSetup orientation="portrait" r:id="rId39"/>
  <drawing r:id="rId40"/>
  <extLst>
    <ext xmlns:x14="http://schemas.microsoft.com/office/spreadsheetml/2009/9/main" uri="{78C0D931-6437-407d-A8EE-F0AAD7539E65}">
      <x14:conditionalFormattings>
        <x14:conditionalFormatting xmlns:xm="http://schemas.microsoft.com/office/excel/2006/main" pivot="1">
          <x14:cfRule type="iconSet" priority="7" id="{CD7AF3A7-7200-4B7F-8062-7CC225B14868}">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E11:G24</xm:sqref>
        </x14:conditionalFormatting>
        <x14:conditionalFormatting xmlns:xm="http://schemas.microsoft.com/office/excel/2006/main" pivot="1">
          <x14:cfRule type="iconSet" priority="6" id="{62FCEF5E-C4F1-43C9-9887-07FC91D69403}">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K11:M16</xm:sqref>
        </x14:conditionalFormatting>
        <x14:conditionalFormatting xmlns:xm="http://schemas.microsoft.com/office/excel/2006/main" pivot="1">
          <x14:cfRule type="iconSet" priority="5" id="{27AA8C6B-5E0A-424B-B531-2098B9D4C445}">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X11:Z18</xm:sqref>
        </x14:conditionalFormatting>
        <x14:conditionalFormatting xmlns:xm="http://schemas.microsoft.com/office/excel/2006/main" pivot="1">
          <x14:cfRule type="iconSet" priority="4" id="{6DF16CC4-01C2-4B39-A998-34B06FD6D488}">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Q11:S18</xm:sqref>
        </x14:conditionalFormatting>
      </x14:conditionalFormattings>
    </ext>
    <ext xmlns:x14="http://schemas.microsoft.com/office/spreadsheetml/2009/9/main" uri="{A8765BA9-456A-4dab-B4F3-ACF838C121DE}">
      <x14:slicerList>
        <x14:slicer r:id="rId41"/>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7:G190"/>
  <sheetViews>
    <sheetView showGridLines="0" topLeftCell="B1" zoomScale="90" zoomScaleNormal="90" workbookViewId="0">
      <selection activeCell="G21" sqref="G21"/>
    </sheetView>
  </sheetViews>
  <sheetFormatPr defaultRowHeight="15.75" x14ac:dyDescent="0.25"/>
  <cols>
    <col min="1" max="1" width="31.875" style="173" bestFit="1" customWidth="1"/>
    <col min="2" max="2" width="15.875" style="173" bestFit="1" customWidth="1"/>
    <col min="3" max="3" width="22.75" style="173" bestFit="1" customWidth="1"/>
    <col min="4" max="4" width="14.75" style="173" customWidth="1"/>
    <col min="5" max="5" width="63.125" style="173" customWidth="1"/>
    <col min="6" max="6" width="32.875" style="173" customWidth="1"/>
    <col min="7" max="7" width="59.375" style="173" customWidth="1"/>
    <col min="8" max="16384" width="9" style="173"/>
  </cols>
  <sheetData>
    <row r="27" spans="1:7" hidden="1" x14ac:dyDescent="0.25">
      <c r="A27" s="897" t="s">
        <v>24</v>
      </c>
      <c r="B27" s="173" t="s">
        <v>2409</v>
      </c>
    </row>
    <row r="28" spans="1:7" hidden="1" x14ac:dyDescent="0.25"/>
    <row r="29" spans="1:7" s="424" customFormat="1" ht="47.25" hidden="1" x14ac:dyDescent="0.25">
      <c r="A29" s="929" t="s">
        <v>26</v>
      </c>
      <c r="B29" s="929" t="s">
        <v>27</v>
      </c>
      <c r="C29" s="929" t="s">
        <v>25</v>
      </c>
      <c r="D29" s="930" t="s">
        <v>2647</v>
      </c>
      <c r="E29" s="931" t="s">
        <v>2650</v>
      </c>
      <c r="F29" s="908" t="s">
        <v>2648</v>
      </c>
      <c r="G29" s="932" t="s">
        <v>2649</v>
      </c>
    </row>
    <row r="30" spans="1:7" hidden="1" x14ac:dyDescent="0.25">
      <c r="A30" s="173" t="s">
        <v>44</v>
      </c>
      <c r="B30" s="173" t="s">
        <v>341</v>
      </c>
      <c r="C30" s="173" t="s">
        <v>287</v>
      </c>
      <c r="D30" s="900">
        <v>322</v>
      </c>
      <c r="E30" s="900">
        <v>0</v>
      </c>
      <c r="F30" s="900">
        <v>0</v>
      </c>
      <c r="G30" s="900">
        <v>0</v>
      </c>
    </row>
    <row r="31" spans="1:7" hidden="1" x14ac:dyDescent="0.25">
      <c r="C31" s="173" t="s">
        <v>338</v>
      </c>
      <c r="D31" s="900">
        <v>3834</v>
      </c>
      <c r="E31" s="900">
        <v>3834</v>
      </c>
      <c r="F31" s="900">
        <v>2538</v>
      </c>
      <c r="G31" s="900">
        <v>3501</v>
      </c>
    </row>
    <row r="32" spans="1:7" hidden="1" x14ac:dyDescent="0.25">
      <c r="C32" s="173" t="s">
        <v>460</v>
      </c>
      <c r="D32" s="900">
        <v>2207</v>
      </c>
      <c r="E32" s="900">
        <v>0</v>
      </c>
      <c r="F32" s="900">
        <v>0</v>
      </c>
      <c r="G32" s="900">
        <v>0</v>
      </c>
    </row>
    <row r="33" spans="2:7" hidden="1" x14ac:dyDescent="0.25">
      <c r="C33" s="173" t="s">
        <v>426</v>
      </c>
      <c r="D33" s="900">
        <v>22174</v>
      </c>
      <c r="E33" s="900">
        <v>1593</v>
      </c>
      <c r="F33" s="900">
        <v>14873</v>
      </c>
      <c r="G33" s="900">
        <v>17947</v>
      </c>
    </row>
    <row r="34" spans="2:7" hidden="1" x14ac:dyDescent="0.25">
      <c r="B34" s="173" t="s">
        <v>2615</v>
      </c>
      <c r="D34" s="900">
        <v>28537</v>
      </c>
      <c r="E34" s="900">
        <v>5427</v>
      </c>
      <c r="F34" s="900">
        <v>17411</v>
      </c>
      <c r="G34" s="900">
        <v>21448</v>
      </c>
    </row>
    <row r="35" spans="2:7" hidden="1" x14ac:dyDescent="0.25">
      <c r="B35" s="173" t="s">
        <v>292</v>
      </c>
      <c r="C35" s="173" t="s">
        <v>287</v>
      </c>
      <c r="D35" s="900">
        <v>2469</v>
      </c>
      <c r="E35" s="900">
        <v>0</v>
      </c>
      <c r="F35" s="900">
        <v>1720</v>
      </c>
      <c r="G35" s="900">
        <v>2469</v>
      </c>
    </row>
    <row r="36" spans="2:7" hidden="1" x14ac:dyDescent="0.25">
      <c r="C36" s="173" t="s">
        <v>43</v>
      </c>
      <c r="D36" s="900">
        <v>1320</v>
      </c>
      <c r="E36" s="900">
        <v>0</v>
      </c>
      <c r="F36" s="900">
        <v>1266</v>
      </c>
      <c r="G36" s="900">
        <v>1240</v>
      </c>
    </row>
    <row r="37" spans="2:7" hidden="1" x14ac:dyDescent="0.25">
      <c r="C37" s="173" t="s">
        <v>389</v>
      </c>
      <c r="D37" s="900">
        <v>3477</v>
      </c>
      <c r="E37" s="900">
        <v>0</v>
      </c>
      <c r="F37" s="900">
        <v>3477</v>
      </c>
      <c r="G37" s="900">
        <v>0</v>
      </c>
    </row>
    <row r="38" spans="2:7" hidden="1" x14ac:dyDescent="0.25">
      <c r="B38" s="173" t="s">
        <v>2616</v>
      </c>
      <c r="D38" s="900">
        <v>7266</v>
      </c>
      <c r="E38" s="900">
        <v>0</v>
      </c>
      <c r="F38" s="900">
        <v>6463</v>
      </c>
      <c r="G38" s="900">
        <v>3709</v>
      </c>
    </row>
    <row r="39" spans="2:7" hidden="1" x14ac:dyDescent="0.25">
      <c r="B39" s="173" t="s">
        <v>294</v>
      </c>
      <c r="C39" s="173" t="s">
        <v>287</v>
      </c>
      <c r="D39" s="900">
        <v>597</v>
      </c>
      <c r="E39" s="900">
        <v>0</v>
      </c>
      <c r="F39" s="900">
        <v>561</v>
      </c>
      <c r="G39" s="900">
        <v>543</v>
      </c>
    </row>
    <row r="40" spans="2:7" hidden="1" x14ac:dyDescent="0.25">
      <c r="C40" s="173" t="s">
        <v>43</v>
      </c>
      <c r="D40" s="900">
        <v>2523</v>
      </c>
      <c r="E40" s="900">
        <v>0</v>
      </c>
      <c r="F40" s="900">
        <v>1701</v>
      </c>
      <c r="G40" s="900">
        <v>2523</v>
      </c>
    </row>
    <row r="41" spans="2:7" hidden="1" x14ac:dyDescent="0.25">
      <c r="C41" s="173" t="s">
        <v>2540</v>
      </c>
      <c r="D41" s="900">
        <v>84</v>
      </c>
      <c r="E41" s="900">
        <v>0</v>
      </c>
      <c r="F41" s="900">
        <v>80</v>
      </c>
      <c r="G41" s="900">
        <v>84</v>
      </c>
    </row>
    <row r="42" spans="2:7" hidden="1" x14ac:dyDescent="0.25">
      <c r="C42" s="173" t="s">
        <v>460</v>
      </c>
      <c r="D42" s="900">
        <v>454</v>
      </c>
      <c r="E42" s="900">
        <v>0</v>
      </c>
      <c r="F42" s="900">
        <v>0</v>
      </c>
      <c r="G42" s="900">
        <v>0</v>
      </c>
    </row>
    <row r="43" spans="2:7" hidden="1" x14ac:dyDescent="0.25">
      <c r="C43" s="173" t="s">
        <v>389</v>
      </c>
      <c r="D43" s="900">
        <v>8289</v>
      </c>
      <c r="E43" s="900">
        <v>0</v>
      </c>
      <c r="F43" s="900">
        <v>7632</v>
      </c>
      <c r="G43" s="900">
        <v>7792</v>
      </c>
    </row>
    <row r="44" spans="2:7" hidden="1" x14ac:dyDescent="0.25">
      <c r="B44" s="173" t="s">
        <v>2617</v>
      </c>
      <c r="D44" s="900">
        <v>11947</v>
      </c>
      <c r="E44" s="900">
        <v>0</v>
      </c>
      <c r="F44" s="900">
        <v>9974</v>
      </c>
      <c r="G44" s="900">
        <v>10942</v>
      </c>
    </row>
    <row r="45" spans="2:7" hidden="1" x14ac:dyDescent="0.25">
      <c r="B45" s="173" t="s">
        <v>45</v>
      </c>
      <c r="C45" s="173" t="s">
        <v>287</v>
      </c>
      <c r="D45" s="900">
        <v>5565</v>
      </c>
      <c r="E45" s="900">
        <v>0</v>
      </c>
      <c r="F45" s="900">
        <v>5565</v>
      </c>
      <c r="G45" s="900">
        <v>5565</v>
      </c>
    </row>
    <row r="46" spans="2:7" hidden="1" x14ac:dyDescent="0.25">
      <c r="C46" s="173" t="s">
        <v>43</v>
      </c>
      <c r="D46" s="900">
        <v>2688</v>
      </c>
      <c r="E46" s="900">
        <v>0</v>
      </c>
      <c r="F46" s="900">
        <v>2510</v>
      </c>
      <c r="G46" s="900">
        <v>2688</v>
      </c>
    </row>
    <row r="47" spans="2:7" hidden="1" x14ac:dyDescent="0.25">
      <c r="C47" s="173" t="s">
        <v>338</v>
      </c>
      <c r="D47" s="900">
        <v>2469</v>
      </c>
      <c r="E47" s="900">
        <v>2469</v>
      </c>
      <c r="F47" s="900">
        <v>2469</v>
      </c>
      <c r="G47" s="900">
        <v>2469</v>
      </c>
    </row>
    <row r="48" spans="2:7" hidden="1" x14ac:dyDescent="0.25">
      <c r="C48" s="173" t="s">
        <v>460</v>
      </c>
      <c r="D48" s="900">
        <v>3372</v>
      </c>
      <c r="E48" s="900">
        <v>0</v>
      </c>
      <c r="F48" s="900">
        <v>0</v>
      </c>
      <c r="G48" s="900">
        <v>0</v>
      </c>
    </row>
    <row r="49" spans="2:7" hidden="1" x14ac:dyDescent="0.25">
      <c r="C49" s="173" t="s">
        <v>447</v>
      </c>
      <c r="D49" s="900">
        <v>12309</v>
      </c>
      <c r="E49" s="900">
        <v>2101</v>
      </c>
      <c r="F49" s="900">
        <v>11486</v>
      </c>
      <c r="G49" s="900">
        <v>12309</v>
      </c>
    </row>
    <row r="50" spans="2:7" hidden="1" x14ac:dyDescent="0.25">
      <c r="C50" s="173" t="s">
        <v>441</v>
      </c>
      <c r="D50" s="900">
        <v>12770</v>
      </c>
      <c r="E50" s="900">
        <v>0</v>
      </c>
      <c r="F50" s="900">
        <v>12269</v>
      </c>
      <c r="G50" s="900">
        <v>12770</v>
      </c>
    </row>
    <row r="51" spans="2:7" hidden="1" x14ac:dyDescent="0.25">
      <c r="B51" s="173" t="s">
        <v>2618</v>
      </c>
      <c r="D51" s="900">
        <v>39173</v>
      </c>
      <c r="E51" s="900">
        <v>4570</v>
      </c>
      <c r="F51" s="900">
        <v>34299</v>
      </c>
      <c r="G51" s="900">
        <v>35801</v>
      </c>
    </row>
    <row r="52" spans="2:7" hidden="1" x14ac:dyDescent="0.25">
      <c r="B52" s="173" t="s">
        <v>298</v>
      </c>
      <c r="C52" s="173" t="s">
        <v>287</v>
      </c>
      <c r="D52" s="900">
        <v>1286</v>
      </c>
      <c r="E52" s="900">
        <v>0</v>
      </c>
      <c r="F52" s="900">
        <v>844</v>
      </c>
      <c r="G52" s="900">
        <v>1132</v>
      </c>
    </row>
    <row r="53" spans="2:7" hidden="1" x14ac:dyDescent="0.25">
      <c r="C53" s="173" t="s">
        <v>43</v>
      </c>
      <c r="D53" s="900">
        <v>1589</v>
      </c>
      <c r="E53" s="900">
        <v>0</v>
      </c>
      <c r="F53" s="900">
        <v>1075</v>
      </c>
      <c r="G53" s="900">
        <v>1589</v>
      </c>
    </row>
    <row r="54" spans="2:7" hidden="1" x14ac:dyDescent="0.25">
      <c r="C54" s="173" t="s">
        <v>460</v>
      </c>
      <c r="D54" s="900">
        <v>838</v>
      </c>
      <c r="E54" s="900">
        <v>0</v>
      </c>
      <c r="F54" s="900">
        <v>0</v>
      </c>
      <c r="G54" s="900">
        <v>0</v>
      </c>
    </row>
    <row r="55" spans="2:7" hidden="1" x14ac:dyDescent="0.25">
      <c r="C55" s="173" t="s">
        <v>3182</v>
      </c>
      <c r="D55" s="900">
        <v>948</v>
      </c>
      <c r="E55" s="900">
        <v>0</v>
      </c>
      <c r="F55" s="900">
        <v>560</v>
      </c>
      <c r="G55" s="900">
        <v>948</v>
      </c>
    </row>
    <row r="56" spans="2:7" hidden="1" x14ac:dyDescent="0.25">
      <c r="B56" s="173" t="s">
        <v>2619</v>
      </c>
      <c r="D56" s="900">
        <v>4661</v>
      </c>
      <c r="E56" s="900">
        <v>0</v>
      </c>
      <c r="F56" s="900">
        <v>2479</v>
      </c>
      <c r="G56" s="900">
        <v>3669</v>
      </c>
    </row>
    <row r="57" spans="2:7" hidden="1" x14ac:dyDescent="0.25">
      <c r="B57" s="173" t="s">
        <v>303</v>
      </c>
      <c r="C57" s="173" t="s">
        <v>287</v>
      </c>
      <c r="D57" s="900">
        <v>587</v>
      </c>
      <c r="E57" s="900">
        <v>0</v>
      </c>
      <c r="F57" s="900">
        <v>300</v>
      </c>
      <c r="G57" s="900">
        <v>345</v>
      </c>
    </row>
    <row r="58" spans="2:7" hidden="1" x14ac:dyDescent="0.25">
      <c r="C58" s="173" t="s">
        <v>43</v>
      </c>
      <c r="D58" s="900">
        <v>150</v>
      </c>
      <c r="E58" s="900">
        <v>0</v>
      </c>
      <c r="F58" s="900">
        <v>130</v>
      </c>
      <c r="G58" s="900">
        <v>150</v>
      </c>
    </row>
    <row r="59" spans="2:7" hidden="1" x14ac:dyDescent="0.25">
      <c r="C59" s="173" t="s">
        <v>460</v>
      </c>
      <c r="D59" s="900">
        <v>552</v>
      </c>
      <c r="E59" s="900">
        <v>0</v>
      </c>
      <c r="F59" s="900">
        <v>0</v>
      </c>
      <c r="G59" s="900">
        <v>0</v>
      </c>
    </row>
    <row r="60" spans="2:7" hidden="1" x14ac:dyDescent="0.25">
      <c r="B60" s="173" t="s">
        <v>2620</v>
      </c>
      <c r="D60" s="900">
        <v>1289</v>
      </c>
      <c r="E60" s="900">
        <v>0</v>
      </c>
      <c r="F60" s="900">
        <v>430</v>
      </c>
      <c r="G60" s="900">
        <v>495</v>
      </c>
    </row>
    <row r="61" spans="2:7" hidden="1" x14ac:dyDescent="0.25">
      <c r="B61" s="173" t="s">
        <v>351</v>
      </c>
      <c r="C61" s="173" t="s">
        <v>43</v>
      </c>
      <c r="D61" s="900">
        <v>1338</v>
      </c>
      <c r="E61" s="900">
        <v>0</v>
      </c>
      <c r="F61" s="900">
        <v>1338</v>
      </c>
      <c r="G61" s="900">
        <v>1338</v>
      </c>
    </row>
    <row r="62" spans="2:7" hidden="1" x14ac:dyDescent="0.25">
      <c r="C62" s="173" t="s">
        <v>338</v>
      </c>
      <c r="D62" s="900">
        <v>17391</v>
      </c>
      <c r="E62" s="900">
        <v>7509</v>
      </c>
      <c r="F62" s="900">
        <v>15303</v>
      </c>
      <c r="G62" s="900">
        <v>17391</v>
      </c>
    </row>
    <row r="63" spans="2:7" hidden="1" x14ac:dyDescent="0.25">
      <c r="C63" s="173" t="s">
        <v>460</v>
      </c>
      <c r="D63" s="900">
        <v>3714</v>
      </c>
      <c r="E63" s="900">
        <v>0</v>
      </c>
      <c r="F63" s="900">
        <v>0</v>
      </c>
      <c r="G63" s="900">
        <v>0</v>
      </c>
    </row>
    <row r="64" spans="2:7" hidden="1" x14ac:dyDescent="0.25">
      <c r="C64" s="173" t="s">
        <v>426</v>
      </c>
      <c r="D64" s="900">
        <v>16000</v>
      </c>
      <c r="E64" s="900">
        <v>2310</v>
      </c>
      <c r="F64" s="900">
        <v>8131</v>
      </c>
      <c r="G64" s="900">
        <v>16000</v>
      </c>
    </row>
    <row r="65" spans="2:7" hidden="1" x14ac:dyDescent="0.25">
      <c r="C65" s="173" t="s">
        <v>1428</v>
      </c>
      <c r="D65" s="900">
        <v>32123</v>
      </c>
      <c r="E65" s="900">
        <v>0</v>
      </c>
      <c r="F65" s="900">
        <v>26486</v>
      </c>
      <c r="G65" s="900">
        <v>32123</v>
      </c>
    </row>
    <row r="66" spans="2:7" hidden="1" x14ac:dyDescent="0.25">
      <c r="C66" s="173" t="s">
        <v>441</v>
      </c>
      <c r="D66" s="900">
        <v>15186</v>
      </c>
      <c r="E66" s="900">
        <v>0</v>
      </c>
      <c r="F66" s="900">
        <v>15186</v>
      </c>
      <c r="G66" s="900">
        <v>7053.666666666667</v>
      </c>
    </row>
    <row r="67" spans="2:7" hidden="1" x14ac:dyDescent="0.25">
      <c r="B67" s="173" t="s">
        <v>2621</v>
      </c>
      <c r="D67" s="900">
        <v>85752</v>
      </c>
      <c r="E67" s="900">
        <v>9819</v>
      </c>
      <c r="F67" s="900">
        <v>66444</v>
      </c>
      <c r="G67" s="900">
        <v>73905.666666666672</v>
      </c>
    </row>
    <row r="68" spans="2:7" hidden="1" x14ac:dyDescent="0.25">
      <c r="B68" s="173" t="s">
        <v>305</v>
      </c>
      <c r="C68" s="173" t="s">
        <v>287</v>
      </c>
      <c r="D68" s="900">
        <v>20704</v>
      </c>
      <c r="E68" s="900">
        <v>0</v>
      </c>
      <c r="F68" s="900">
        <v>12727</v>
      </c>
      <c r="G68" s="900">
        <v>18607</v>
      </c>
    </row>
    <row r="69" spans="2:7" hidden="1" x14ac:dyDescent="0.25">
      <c r="C69" s="173" t="s">
        <v>43</v>
      </c>
      <c r="D69" s="900">
        <v>3090</v>
      </c>
      <c r="E69" s="900">
        <v>0</v>
      </c>
      <c r="F69" s="900">
        <v>2943</v>
      </c>
      <c r="G69" s="900">
        <v>3090</v>
      </c>
    </row>
    <row r="70" spans="2:7" hidden="1" x14ac:dyDescent="0.25">
      <c r="C70" s="173" t="s">
        <v>460</v>
      </c>
      <c r="D70" s="900">
        <v>5984</v>
      </c>
      <c r="E70" s="900">
        <v>0</v>
      </c>
      <c r="F70" s="900">
        <v>0</v>
      </c>
      <c r="G70" s="900">
        <v>0</v>
      </c>
    </row>
    <row r="71" spans="2:7" hidden="1" x14ac:dyDescent="0.25">
      <c r="C71" s="173" t="s">
        <v>389</v>
      </c>
      <c r="D71" s="900">
        <v>1752</v>
      </c>
      <c r="E71" s="900">
        <v>0</v>
      </c>
      <c r="F71" s="900">
        <v>1395</v>
      </c>
      <c r="G71" s="900">
        <v>1752</v>
      </c>
    </row>
    <row r="72" spans="2:7" hidden="1" x14ac:dyDescent="0.25">
      <c r="B72" s="173" t="s">
        <v>2622</v>
      </c>
      <c r="D72" s="900">
        <v>31530</v>
      </c>
      <c r="E72" s="900">
        <v>0</v>
      </c>
      <c r="F72" s="900">
        <v>17065</v>
      </c>
      <c r="G72" s="900">
        <v>23449</v>
      </c>
    </row>
    <row r="73" spans="2:7" hidden="1" x14ac:dyDescent="0.25">
      <c r="B73" s="173" t="s">
        <v>319</v>
      </c>
      <c r="C73" s="173" t="s">
        <v>287</v>
      </c>
      <c r="D73" s="900">
        <v>843</v>
      </c>
      <c r="E73" s="900">
        <v>0</v>
      </c>
      <c r="F73" s="900">
        <v>480.00000000000011</v>
      </c>
      <c r="G73" s="900">
        <v>843</v>
      </c>
    </row>
    <row r="74" spans="2:7" hidden="1" x14ac:dyDescent="0.25">
      <c r="C74" s="173" t="s">
        <v>460</v>
      </c>
      <c r="D74" s="900">
        <v>393</v>
      </c>
      <c r="E74" s="900">
        <v>0</v>
      </c>
      <c r="F74" s="900">
        <v>0</v>
      </c>
      <c r="G74" s="900">
        <v>0</v>
      </c>
    </row>
    <row r="75" spans="2:7" hidden="1" x14ac:dyDescent="0.25">
      <c r="B75" s="173" t="s">
        <v>2623</v>
      </c>
      <c r="D75" s="900">
        <v>1236</v>
      </c>
      <c r="E75" s="900">
        <v>0</v>
      </c>
      <c r="F75" s="900">
        <v>480.00000000000011</v>
      </c>
      <c r="G75" s="900">
        <v>843</v>
      </c>
    </row>
    <row r="76" spans="2:7" hidden="1" x14ac:dyDescent="0.25">
      <c r="B76" s="173" t="s">
        <v>360</v>
      </c>
      <c r="C76" s="173" t="s">
        <v>287</v>
      </c>
      <c r="D76" s="900">
        <v>3980</v>
      </c>
      <c r="E76" s="900">
        <v>0</v>
      </c>
      <c r="F76" s="900">
        <v>640</v>
      </c>
      <c r="G76" s="900">
        <v>2030</v>
      </c>
    </row>
    <row r="77" spans="2:7" hidden="1" x14ac:dyDescent="0.25">
      <c r="C77" s="173" t="s">
        <v>338</v>
      </c>
      <c r="D77" s="900">
        <v>1284</v>
      </c>
      <c r="E77" s="900">
        <v>1284</v>
      </c>
      <c r="F77" s="900">
        <v>1284</v>
      </c>
      <c r="G77" s="900">
        <v>1284</v>
      </c>
    </row>
    <row r="78" spans="2:7" hidden="1" x14ac:dyDescent="0.25">
      <c r="C78" s="173" t="s">
        <v>460</v>
      </c>
      <c r="D78" s="900">
        <v>1691</v>
      </c>
      <c r="E78" s="900">
        <v>0</v>
      </c>
      <c r="F78" s="900">
        <v>0</v>
      </c>
      <c r="G78" s="900">
        <v>0</v>
      </c>
    </row>
    <row r="79" spans="2:7" hidden="1" x14ac:dyDescent="0.25">
      <c r="B79" s="173" t="s">
        <v>2624</v>
      </c>
      <c r="D79" s="900">
        <v>6955</v>
      </c>
      <c r="E79" s="900">
        <v>1284</v>
      </c>
      <c r="F79" s="900">
        <v>1924</v>
      </c>
      <c r="G79" s="900">
        <v>3314</v>
      </c>
    </row>
    <row r="80" spans="2:7" hidden="1" x14ac:dyDescent="0.25">
      <c r="B80" s="173" t="s">
        <v>330</v>
      </c>
      <c r="C80" s="173" t="s">
        <v>287</v>
      </c>
      <c r="D80" s="900">
        <v>2445</v>
      </c>
      <c r="E80" s="900">
        <v>0</v>
      </c>
      <c r="F80" s="900">
        <v>2445</v>
      </c>
      <c r="G80" s="900">
        <v>0</v>
      </c>
    </row>
    <row r="81" spans="1:7" hidden="1" x14ac:dyDescent="0.25">
      <c r="C81" s="173" t="s">
        <v>460</v>
      </c>
      <c r="D81" s="900">
        <v>96</v>
      </c>
      <c r="E81" s="900">
        <v>0</v>
      </c>
      <c r="F81" s="900">
        <v>0</v>
      </c>
      <c r="G81" s="900">
        <v>0</v>
      </c>
    </row>
    <row r="82" spans="1:7" hidden="1" x14ac:dyDescent="0.25">
      <c r="B82" s="173" t="s">
        <v>2625</v>
      </c>
      <c r="D82" s="900">
        <v>2541</v>
      </c>
      <c r="E82" s="900">
        <v>0</v>
      </c>
      <c r="F82" s="900">
        <v>2445</v>
      </c>
      <c r="G82" s="900">
        <v>0</v>
      </c>
    </row>
    <row r="83" spans="1:7" hidden="1" x14ac:dyDescent="0.25">
      <c r="B83" s="173" t="s">
        <v>1311</v>
      </c>
      <c r="C83" s="173" t="s">
        <v>43</v>
      </c>
      <c r="D83" s="900">
        <v>2808</v>
      </c>
      <c r="E83" s="900">
        <v>0</v>
      </c>
      <c r="F83" s="900">
        <v>1682</v>
      </c>
      <c r="G83" s="900">
        <v>2124.333333333333</v>
      </c>
    </row>
    <row r="84" spans="1:7" hidden="1" x14ac:dyDescent="0.25">
      <c r="C84" s="173" t="s">
        <v>460</v>
      </c>
      <c r="D84" s="900">
        <v>1588</v>
      </c>
      <c r="E84" s="900">
        <v>0</v>
      </c>
      <c r="F84" s="900">
        <v>0</v>
      </c>
      <c r="G84" s="900">
        <v>0</v>
      </c>
    </row>
    <row r="85" spans="1:7" hidden="1" x14ac:dyDescent="0.25">
      <c r="B85" s="173" t="s">
        <v>2626</v>
      </c>
      <c r="D85" s="900">
        <v>4396</v>
      </c>
      <c r="E85" s="900">
        <v>0</v>
      </c>
      <c r="F85" s="900">
        <v>1682</v>
      </c>
      <c r="G85" s="900">
        <v>2124.333333333333</v>
      </c>
    </row>
    <row r="86" spans="1:7" hidden="1" x14ac:dyDescent="0.25">
      <c r="B86" s="173" t="s">
        <v>288</v>
      </c>
      <c r="C86" s="173" t="s">
        <v>287</v>
      </c>
      <c r="D86" s="900">
        <v>29548</v>
      </c>
      <c r="E86" s="900">
        <v>0</v>
      </c>
      <c r="F86" s="900">
        <v>28440</v>
      </c>
      <c r="G86" s="900">
        <v>29204</v>
      </c>
    </row>
    <row r="87" spans="1:7" hidden="1" x14ac:dyDescent="0.25">
      <c r="C87" s="173" t="s">
        <v>43</v>
      </c>
      <c r="D87" s="900">
        <v>7707</v>
      </c>
      <c r="E87" s="900">
        <v>0</v>
      </c>
      <c r="F87" s="900">
        <v>7707</v>
      </c>
      <c r="G87" s="900">
        <v>7707</v>
      </c>
    </row>
    <row r="88" spans="1:7" hidden="1" x14ac:dyDescent="0.25">
      <c r="C88" s="173" t="s">
        <v>338</v>
      </c>
      <c r="D88" s="900">
        <v>21069</v>
      </c>
      <c r="E88" s="900">
        <v>3764</v>
      </c>
      <c r="F88" s="900">
        <v>16017</v>
      </c>
      <c r="G88" s="900">
        <v>20034.599999999999</v>
      </c>
    </row>
    <row r="89" spans="1:7" hidden="1" x14ac:dyDescent="0.25">
      <c r="C89" s="173" t="s">
        <v>460</v>
      </c>
      <c r="D89" s="900">
        <v>2128</v>
      </c>
      <c r="E89" s="900">
        <v>0</v>
      </c>
      <c r="F89" s="900">
        <v>600</v>
      </c>
      <c r="G89" s="900">
        <v>1230</v>
      </c>
    </row>
    <row r="90" spans="1:7" hidden="1" x14ac:dyDescent="0.25">
      <c r="C90" s="173" t="s">
        <v>389</v>
      </c>
      <c r="D90" s="900">
        <v>11946</v>
      </c>
      <c r="E90" s="900">
        <v>0</v>
      </c>
      <c r="F90" s="900">
        <v>5040</v>
      </c>
      <c r="G90" s="900">
        <v>11946</v>
      </c>
    </row>
    <row r="91" spans="1:7" hidden="1" x14ac:dyDescent="0.25">
      <c r="B91" s="173" t="s">
        <v>2627</v>
      </c>
      <c r="D91" s="900">
        <v>72398</v>
      </c>
      <c r="E91" s="900">
        <v>3764</v>
      </c>
      <c r="F91" s="900">
        <v>57804</v>
      </c>
      <c r="G91" s="900">
        <v>70121.600000000006</v>
      </c>
    </row>
    <row r="92" spans="1:7" hidden="1" x14ac:dyDescent="0.25">
      <c r="A92" s="173" t="s">
        <v>2442</v>
      </c>
      <c r="D92" s="900">
        <v>297681</v>
      </c>
      <c r="E92" s="900">
        <v>24864</v>
      </c>
      <c r="F92" s="900">
        <v>218900</v>
      </c>
      <c r="G92" s="900">
        <v>249821.6</v>
      </c>
    </row>
    <row r="93" spans="1:7" hidden="1" x14ac:dyDescent="0.25">
      <c r="A93" s="173" t="s">
        <v>454</v>
      </c>
      <c r="B93" s="173" t="s">
        <v>486</v>
      </c>
      <c r="C93" s="173" t="s">
        <v>2444</v>
      </c>
      <c r="D93" s="900">
        <v>44451</v>
      </c>
      <c r="E93" s="900">
        <v>0</v>
      </c>
      <c r="F93" s="900">
        <v>0</v>
      </c>
      <c r="G93" s="900">
        <v>0</v>
      </c>
    </row>
    <row r="94" spans="1:7" hidden="1" x14ac:dyDescent="0.25">
      <c r="B94" s="173" t="s">
        <v>2628</v>
      </c>
      <c r="D94" s="900">
        <v>44451</v>
      </c>
      <c r="E94" s="900">
        <v>0</v>
      </c>
      <c r="F94" s="900">
        <v>0</v>
      </c>
      <c r="G94" s="900">
        <v>0</v>
      </c>
    </row>
    <row r="95" spans="1:7" hidden="1" x14ac:dyDescent="0.25">
      <c r="B95" s="173" t="s">
        <v>480</v>
      </c>
      <c r="C95" s="173" t="s">
        <v>530</v>
      </c>
      <c r="D95" s="900">
        <v>21999</v>
      </c>
      <c r="E95" s="900">
        <v>13854</v>
      </c>
      <c r="F95" s="900">
        <v>324</v>
      </c>
      <c r="G95" s="900">
        <v>4071</v>
      </c>
    </row>
    <row r="96" spans="1:7" hidden="1" x14ac:dyDescent="0.25">
      <c r="C96" s="173" t="s">
        <v>460</v>
      </c>
      <c r="D96" s="900">
        <v>3088</v>
      </c>
      <c r="E96" s="900">
        <v>0</v>
      </c>
      <c r="F96" s="900">
        <v>0</v>
      </c>
      <c r="G96" s="900">
        <v>2500</v>
      </c>
    </row>
    <row r="97" spans="2:7" hidden="1" x14ac:dyDescent="0.25">
      <c r="B97" s="173" t="s">
        <v>2629</v>
      </c>
      <c r="D97" s="900">
        <v>25087</v>
      </c>
      <c r="E97" s="900">
        <v>13854</v>
      </c>
      <c r="F97" s="900">
        <v>324</v>
      </c>
      <c r="G97" s="900">
        <v>6571</v>
      </c>
    </row>
    <row r="98" spans="2:7" hidden="1" x14ac:dyDescent="0.25">
      <c r="B98" s="173" t="s">
        <v>518</v>
      </c>
      <c r="C98" s="173" t="s">
        <v>460</v>
      </c>
      <c r="D98" s="900">
        <v>633</v>
      </c>
      <c r="E98" s="900">
        <v>0</v>
      </c>
      <c r="F98" s="900">
        <v>633</v>
      </c>
      <c r="G98" s="900">
        <v>633</v>
      </c>
    </row>
    <row r="99" spans="2:7" hidden="1" x14ac:dyDescent="0.25">
      <c r="C99" s="173" t="s">
        <v>527</v>
      </c>
      <c r="D99" s="900">
        <v>2950</v>
      </c>
      <c r="E99" s="900">
        <v>981</v>
      </c>
      <c r="F99" s="900">
        <v>2950</v>
      </c>
      <c r="G99" s="900">
        <v>2950</v>
      </c>
    </row>
    <row r="100" spans="2:7" hidden="1" x14ac:dyDescent="0.25">
      <c r="B100" s="173" t="s">
        <v>2630</v>
      </c>
      <c r="D100" s="900">
        <v>3583</v>
      </c>
      <c r="E100" s="900">
        <v>981</v>
      </c>
      <c r="F100" s="900">
        <v>3583</v>
      </c>
      <c r="G100" s="900">
        <v>3583</v>
      </c>
    </row>
    <row r="101" spans="2:7" hidden="1" x14ac:dyDescent="0.25">
      <c r="B101" s="173" t="s">
        <v>463</v>
      </c>
      <c r="C101" s="173" t="s">
        <v>479</v>
      </c>
      <c r="D101" s="900">
        <v>65263</v>
      </c>
      <c r="E101" s="900">
        <v>0</v>
      </c>
      <c r="F101" s="900">
        <v>2172</v>
      </c>
      <c r="G101" s="900">
        <v>0</v>
      </c>
    </row>
    <row r="102" spans="2:7" hidden="1" x14ac:dyDescent="0.25">
      <c r="C102" s="173" t="s">
        <v>453</v>
      </c>
      <c r="D102" s="900">
        <v>5428</v>
      </c>
      <c r="E102" s="900">
        <v>0</v>
      </c>
      <c r="F102" s="900">
        <v>2160</v>
      </c>
      <c r="G102" s="900">
        <v>1743</v>
      </c>
    </row>
    <row r="103" spans="2:7" hidden="1" x14ac:dyDescent="0.25">
      <c r="C103" s="173" t="s">
        <v>460</v>
      </c>
      <c r="D103" s="900">
        <v>43892</v>
      </c>
      <c r="E103" s="900">
        <v>0</v>
      </c>
      <c r="F103" s="900">
        <v>11691</v>
      </c>
      <c r="G103" s="900">
        <v>749.99999999999989</v>
      </c>
    </row>
    <row r="104" spans="2:7" hidden="1" x14ac:dyDescent="0.25">
      <c r="C104" s="173" t="s">
        <v>1373</v>
      </c>
      <c r="D104" s="900">
        <v>919</v>
      </c>
      <c r="E104" s="900">
        <v>0</v>
      </c>
      <c r="F104" s="900">
        <v>438</v>
      </c>
      <c r="G104" s="900">
        <v>0</v>
      </c>
    </row>
    <row r="105" spans="2:7" hidden="1" x14ac:dyDescent="0.25">
      <c r="B105" s="173" t="s">
        <v>2631</v>
      </c>
      <c r="D105" s="900">
        <v>115502</v>
      </c>
      <c r="E105" s="900">
        <v>0</v>
      </c>
      <c r="F105" s="900">
        <v>16461</v>
      </c>
      <c r="G105" s="900">
        <v>2493</v>
      </c>
    </row>
    <row r="106" spans="2:7" hidden="1" x14ac:dyDescent="0.25">
      <c r="B106" s="173" t="s">
        <v>466</v>
      </c>
      <c r="C106" s="173" t="s">
        <v>469</v>
      </c>
      <c r="D106" s="900">
        <v>4022</v>
      </c>
      <c r="E106" s="900">
        <v>326</v>
      </c>
      <c r="F106" s="900">
        <v>0</v>
      </c>
      <c r="G106" s="900">
        <v>0</v>
      </c>
    </row>
    <row r="107" spans="2:7" hidden="1" x14ac:dyDescent="0.25">
      <c r="C107" s="173" t="s">
        <v>530</v>
      </c>
      <c r="D107" s="900">
        <v>23955</v>
      </c>
      <c r="E107" s="900">
        <v>12490</v>
      </c>
      <c r="F107" s="900">
        <v>288</v>
      </c>
      <c r="G107" s="900">
        <v>5715</v>
      </c>
    </row>
    <row r="108" spans="2:7" hidden="1" x14ac:dyDescent="0.25">
      <c r="C108" s="173" t="s">
        <v>460</v>
      </c>
      <c r="D108" s="900">
        <v>2410</v>
      </c>
      <c r="E108" s="900">
        <v>0</v>
      </c>
      <c r="F108" s="900">
        <v>0</v>
      </c>
      <c r="G108" s="900">
        <v>2410</v>
      </c>
    </row>
    <row r="109" spans="2:7" hidden="1" x14ac:dyDescent="0.25">
      <c r="B109" s="173" t="s">
        <v>2632</v>
      </c>
      <c r="D109" s="900">
        <v>30387</v>
      </c>
      <c r="E109" s="900">
        <v>12816</v>
      </c>
      <c r="F109" s="900">
        <v>288</v>
      </c>
      <c r="G109" s="900">
        <v>8125</v>
      </c>
    </row>
    <row r="110" spans="2:7" hidden="1" x14ac:dyDescent="0.25">
      <c r="B110" s="173" t="s">
        <v>473</v>
      </c>
      <c r="C110" s="173" t="s">
        <v>460</v>
      </c>
      <c r="D110" s="900">
        <v>18033</v>
      </c>
      <c r="E110" s="900">
        <v>0</v>
      </c>
      <c r="F110" s="900">
        <v>3366</v>
      </c>
      <c r="G110" s="900">
        <v>5487</v>
      </c>
    </row>
    <row r="111" spans="2:7" hidden="1" x14ac:dyDescent="0.25">
      <c r="B111" s="173" t="s">
        <v>2633</v>
      </c>
      <c r="D111" s="900">
        <v>18033</v>
      </c>
      <c r="E111" s="900">
        <v>0</v>
      </c>
      <c r="F111" s="900">
        <v>3366</v>
      </c>
      <c r="G111" s="900">
        <v>5487</v>
      </c>
    </row>
    <row r="112" spans="2:7" hidden="1" x14ac:dyDescent="0.25">
      <c r="B112" s="173" t="s">
        <v>637</v>
      </c>
      <c r="C112" s="173" t="s">
        <v>460</v>
      </c>
      <c r="D112" s="900">
        <v>8793</v>
      </c>
      <c r="E112" s="900">
        <v>0</v>
      </c>
      <c r="F112" s="900">
        <v>306</v>
      </c>
      <c r="G112" s="900">
        <v>3264</v>
      </c>
    </row>
    <row r="113" spans="2:7" hidden="1" x14ac:dyDescent="0.25">
      <c r="B113" s="173" t="s">
        <v>2634</v>
      </c>
      <c r="D113" s="900">
        <v>8793</v>
      </c>
      <c r="E113" s="900">
        <v>0</v>
      </c>
      <c r="F113" s="900">
        <v>306</v>
      </c>
      <c r="G113" s="900">
        <v>3264</v>
      </c>
    </row>
    <row r="114" spans="2:7" hidden="1" x14ac:dyDescent="0.25">
      <c r="B114" s="173" t="s">
        <v>560</v>
      </c>
      <c r="C114" s="173" t="s">
        <v>559</v>
      </c>
      <c r="D114" s="900">
        <v>9156</v>
      </c>
      <c r="E114" s="900">
        <v>6104</v>
      </c>
      <c r="F114" s="900">
        <v>9156</v>
      </c>
      <c r="G114" s="900">
        <v>7571</v>
      </c>
    </row>
    <row r="115" spans="2:7" hidden="1" x14ac:dyDescent="0.25">
      <c r="B115" s="173" t="s">
        <v>2635</v>
      </c>
      <c r="D115" s="900">
        <v>9156</v>
      </c>
      <c r="E115" s="900">
        <v>6104</v>
      </c>
      <c r="F115" s="900">
        <v>9156</v>
      </c>
      <c r="G115" s="900">
        <v>7571</v>
      </c>
    </row>
    <row r="116" spans="2:7" hidden="1" x14ac:dyDescent="0.25">
      <c r="B116" s="173" t="s">
        <v>563</v>
      </c>
      <c r="C116" s="173" t="s">
        <v>571</v>
      </c>
      <c r="D116" s="900">
        <v>17814</v>
      </c>
      <c r="E116" s="900">
        <v>17814</v>
      </c>
      <c r="F116" s="900">
        <v>7500</v>
      </c>
      <c r="G116" s="900">
        <v>17700</v>
      </c>
    </row>
    <row r="117" spans="2:7" hidden="1" x14ac:dyDescent="0.25">
      <c r="C117" s="173" t="s">
        <v>447</v>
      </c>
      <c r="D117" s="900">
        <v>29535</v>
      </c>
      <c r="E117" s="900">
        <v>0</v>
      </c>
      <c r="F117" s="900">
        <v>15480</v>
      </c>
      <c r="G117" s="900">
        <v>27870</v>
      </c>
    </row>
    <row r="118" spans="2:7" hidden="1" x14ac:dyDescent="0.25">
      <c r="C118" s="173" t="s">
        <v>426</v>
      </c>
      <c r="D118" s="900">
        <v>45116</v>
      </c>
      <c r="E118" s="900">
        <v>26680</v>
      </c>
      <c r="F118" s="900">
        <v>26069</v>
      </c>
      <c r="G118" s="900">
        <v>25420.582417582416</v>
      </c>
    </row>
    <row r="119" spans="2:7" hidden="1" x14ac:dyDescent="0.25">
      <c r="B119" s="173" t="s">
        <v>2636</v>
      </c>
      <c r="D119" s="900">
        <v>92465</v>
      </c>
      <c r="E119" s="900">
        <v>44494</v>
      </c>
      <c r="F119" s="900">
        <v>49049</v>
      </c>
      <c r="G119" s="900">
        <v>70990.582417582424</v>
      </c>
    </row>
    <row r="120" spans="2:7" hidden="1" x14ac:dyDescent="0.25">
      <c r="B120" s="173" t="s">
        <v>618</v>
      </c>
      <c r="C120" s="173" t="s">
        <v>460</v>
      </c>
      <c r="D120" s="900">
        <v>32850</v>
      </c>
      <c r="E120" s="900">
        <v>0</v>
      </c>
      <c r="F120" s="900">
        <v>6840</v>
      </c>
      <c r="G120" s="900">
        <v>3000</v>
      </c>
    </row>
    <row r="121" spans="2:7" hidden="1" x14ac:dyDescent="0.25">
      <c r="B121" s="173" t="s">
        <v>2637</v>
      </c>
      <c r="D121" s="900">
        <v>32850</v>
      </c>
      <c r="E121" s="900">
        <v>0</v>
      </c>
      <c r="F121" s="900">
        <v>6840</v>
      </c>
      <c r="G121" s="900">
        <v>3000</v>
      </c>
    </row>
    <row r="122" spans="2:7" hidden="1" x14ac:dyDescent="0.25">
      <c r="B122" s="173" t="s">
        <v>498</v>
      </c>
      <c r="C122" s="173" t="s">
        <v>530</v>
      </c>
      <c r="D122" s="900">
        <v>27552</v>
      </c>
      <c r="E122" s="900">
        <v>0</v>
      </c>
      <c r="F122" s="900">
        <v>4842</v>
      </c>
      <c r="G122" s="900">
        <v>17928</v>
      </c>
    </row>
    <row r="123" spans="2:7" hidden="1" x14ac:dyDescent="0.25">
      <c r="C123" s="173" t="s">
        <v>460</v>
      </c>
      <c r="D123" s="900">
        <v>23770</v>
      </c>
      <c r="E123" s="900">
        <v>0</v>
      </c>
      <c r="F123" s="900">
        <v>10041</v>
      </c>
      <c r="G123" s="900">
        <v>17590</v>
      </c>
    </row>
    <row r="124" spans="2:7" hidden="1" x14ac:dyDescent="0.25">
      <c r="B124" s="173" t="s">
        <v>2638</v>
      </c>
      <c r="D124" s="900">
        <v>51322</v>
      </c>
      <c r="E124" s="900">
        <v>0</v>
      </c>
      <c r="F124" s="900">
        <v>14883</v>
      </c>
      <c r="G124" s="900">
        <v>35518</v>
      </c>
    </row>
    <row r="125" spans="2:7" hidden="1" x14ac:dyDescent="0.25">
      <c r="B125" s="173" t="s">
        <v>455</v>
      </c>
      <c r="C125" s="173" t="s">
        <v>479</v>
      </c>
      <c r="D125" s="900">
        <v>15658</v>
      </c>
      <c r="E125" s="900">
        <v>14296</v>
      </c>
      <c r="F125" s="900">
        <v>15658</v>
      </c>
      <c r="G125" s="900">
        <v>15658</v>
      </c>
    </row>
    <row r="126" spans="2:7" hidden="1" x14ac:dyDescent="0.25">
      <c r="C126" s="173" t="s">
        <v>2446</v>
      </c>
      <c r="D126" s="900">
        <v>4457</v>
      </c>
      <c r="E126" s="900">
        <v>4457</v>
      </c>
      <c r="F126" s="900">
        <v>4457</v>
      </c>
      <c r="G126" s="900">
        <v>4457</v>
      </c>
    </row>
    <row r="127" spans="2:7" hidden="1" x14ac:dyDescent="0.25">
      <c r="C127" s="173" t="s">
        <v>571</v>
      </c>
      <c r="D127" s="900">
        <v>42924</v>
      </c>
      <c r="E127" s="900">
        <v>42924</v>
      </c>
      <c r="F127" s="900">
        <v>41982</v>
      </c>
      <c r="G127" s="900">
        <v>42924</v>
      </c>
    </row>
    <row r="128" spans="2:7" hidden="1" x14ac:dyDescent="0.25">
      <c r="C128" s="173" t="s">
        <v>453</v>
      </c>
      <c r="D128" s="900">
        <v>9579</v>
      </c>
      <c r="E128" s="900">
        <v>0</v>
      </c>
      <c r="F128" s="900">
        <v>96.000000000000014</v>
      </c>
      <c r="G128" s="900">
        <v>1390</v>
      </c>
    </row>
    <row r="129" spans="1:7" hidden="1" x14ac:dyDescent="0.25">
      <c r="C129" s="173" t="s">
        <v>460</v>
      </c>
      <c r="D129" s="900">
        <v>18982</v>
      </c>
      <c r="E129" s="900">
        <v>0</v>
      </c>
      <c r="F129" s="900">
        <v>3870</v>
      </c>
      <c r="G129" s="900">
        <v>18361</v>
      </c>
    </row>
    <row r="130" spans="1:7" hidden="1" x14ac:dyDescent="0.25">
      <c r="C130" s="173" t="s">
        <v>527</v>
      </c>
      <c r="D130" s="900">
        <v>114071</v>
      </c>
      <c r="E130" s="900">
        <v>96016</v>
      </c>
      <c r="F130" s="900">
        <v>89580</v>
      </c>
      <c r="G130" s="900">
        <v>101573</v>
      </c>
    </row>
    <row r="131" spans="1:7" hidden="1" x14ac:dyDescent="0.25">
      <c r="C131" s="173" t="s">
        <v>447</v>
      </c>
      <c r="D131" s="900">
        <v>38130</v>
      </c>
      <c r="E131" s="900">
        <v>0</v>
      </c>
      <c r="F131" s="900">
        <v>10789</v>
      </c>
      <c r="G131" s="900">
        <v>38130</v>
      </c>
    </row>
    <row r="132" spans="1:7" hidden="1" x14ac:dyDescent="0.25">
      <c r="C132" s="173" t="s">
        <v>426</v>
      </c>
      <c r="D132" s="900">
        <v>130069</v>
      </c>
      <c r="E132" s="900">
        <v>55651</v>
      </c>
      <c r="F132" s="900">
        <v>75944</v>
      </c>
      <c r="G132" s="900">
        <v>130069</v>
      </c>
    </row>
    <row r="133" spans="1:7" hidden="1" x14ac:dyDescent="0.25">
      <c r="C133" s="173" t="s">
        <v>2774</v>
      </c>
      <c r="D133" s="900">
        <v>11900</v>
      </c>
      <c r="E133" s="900">
        <v>11900</v>
      </c>
      <c r="F133" s="900">
        <v>7840</v>
      </c>
      <c r="G133" s="900">
        <v>11900</v>
      </c>
    </row>
    <row r="134" spans="1:7" hidden="1" x14ac:dyDescent="0.25">
      <c r="C134" s="173" t="s">
        <v>2779</v>
      </c>
      <c r="D134" s="900">
        <v>2366</v>
      </c>
      <c r="E134" s="900">
        <v>0</v>
      </c>
      <c r="F134" s="900">
        <v>168</v>
      </c>
      <c r="G134" s="900">
        <v>2366</v>
      </c>
    </row>
    <row r="135" spans="1:7" hidden="1" x14ac:dyDescent="0.25">
      <c r="B135" s="173" t="s">
        <v>2639</v>
      </c>
      <c r="D135" s="900">
        <v>388136</v>
      </c>
      <c r="E135" s="900">
        <v>225244</v>
      </c>
      <c r="F135" s="900">
        <v>250384</v>
      </c>
      <c r="G135" s="900">
        <v>366828</v>
      </c>
    </row>
    <row r="136" spans="1:7" hidden="1" x14ac:dyDescent="0.25">
      <c r="A136" s="173" t="s">
        <v>2534</v>
      </c>
      <c r="D136" s="900">
        <v>819765</v>
      </c>
      <c r="E136" s="900">
        <v>303493</v>
      </c>
      <c r="F136" s="900">
        <v>354640</v>
      </c>
      <c r="G136" s="900">
        <v>513430.58241758239</v>
      </c>
    </row>
    <row r="137" spans="1:7" hidden="1" x14ac:dyDescent="0.25">
      <c r="A137" s="173" t="s">
        <v>866</v>
      </c>
      <c r="B137" s="173" t="s">
        <v>888</v>
      </c>
      <c r="C137" s="173" t="s">
        <v>287</v>
      </c>
      <c r="D137" s="900">
        <v>173</v>
      </c>
      <c r="E137" s="900">
        <v>0</v>
      </c>
      <c r="F137" s="900">
        <v>173</v>
      </c>
      <c r="G137" s="900">
        <v>173</v>
      </c>
    </row>
    <row r="138" spans="1:7" hidden="1" x14ac:dyDescent="0.25">
      <c r="C138" s="173" t="s">
        <v>338</v>
      </c>
      <c r="D138" s="900">
        <v>360</v>
      </c>
      <c r="E138" s="900">
        <v>0</v>
      </c>
      <c r="F138" s="900">
        <v>264</v>
      </c>
      <c r="G138" s="900">
        <v>360</v>
      </c>
    </row>
    <row r="139" spans="1:7" hidden="1" x14ac:dyDescent="0.25">
      <c r="C139" s="173" t="s">
        <v>460</v>
      </c>
      <c r="D139" s="900">
        <v>392</v>
      </c>
      <c r="E139" s="900">
        <v>0</v>
      </c>
      <c r="F139" s="900">
        <v>0</v>
      </c>
      <c r="G139" s="900">
        <v>0</v>
      </c>
    </row>
    <row r="140" spans="1:7" hidden="1" x14ac:dyDescent="0.25">
      <c r="C140" s="173" t="s">
        <v>2899</v>
      </c>
      <c r="D140" s="900">
        <v>439</v>
      </c>
      <c r="E140" s="900">
        <v>0</v>
      </c>
      <c r="F140" s="900">
        <v>417</v>
      </c>
      <c r="G140" s="900">
        <v>439</v>
      </c>
    </row>
    <row r="141" spans="1:7" hidden="1" x14ac:dyDescent="0.25">
      <c r="B141" s="173" t="s">
        <v>2640</v>
      </c>
      <c r="D141" s="900">
        <v>1364</v>
      </c>
      <c r="E141" s="900">
        <v>0</v>
      </c>
      <c r="F141" s="900">
        <v>854</v>
      </c>
      <c r="G141" s="900">
        <v>972</v>
      </c>
    </row>
    <row r="142" spans="1:7" hidden="1" x14ac:dyDescent="0.25">
      <c r="B142" s="173" t="s">
        <v>911</v>
      </c>
      <c r="C142" s="173" t="s">
        <v>460</v>
      </c>
      <c r="D142" s="900">
        <v>360</v>
      </c>
      <c r="E142" s="900">
        <v>0</v>
      </c>
      <c r="F142" s="900">
        <v>0</v>
      </c>
      <c r="G142" s="900">
        <v>0</v>
      </c>
    </row>
    <row r="143" spans="1:7" hidden="1" x14ac:dyDescent="0.25">
      <c r="B143" s="173" t="s">
        <v>2641</v>
      </c>
      <c r="D143" s="900">
        <v>360</v>
      </c>
      <c r="E143" s="900">
        <v>0</v>
      </c>
      <c r="F143" s="900">
        <v>0</v>
      </c>
      <c r="G143" s="900">
        <v>0</v>
      </c>
    </row>
    <row r="144" spans="1:7" hidden="1" x14ac:dyDescent="0.25">
      <c r="B144" s="173" t="s">
        <v>870</v>
      </c>
      <c r="C144" s="173" t="s">
        <v>287</v>
      </c>
      <c r="D144" s="900">
        <v>145</v>
      </c>
      <c r="E144" s="900">
        <v>0</v>
      </c>
      <c r="F144" s="900">
        <v>145</v>
      </c>
      <c r="G144" s="900">
        <v>145</v>
      </c>
    </row>
    <row r="145" spans="2:7" hidden="1" x14ac:dyDescent="0.25">
      <c r="C145" s="173" t="s">
        <v>43</v>
      </c>
      <c r="D145" s="900">
        <v>111</v>
      </c>
      <c r="E145" s="900">
        <v>0</v>
      </c>
      <c r="F145" s="900">
        <v>111</v>
      </c>
      <c r="G145" s="900">
        <v>111</v>
      </c>
    </row>
    <row r="146" spans="2:7" hidden="1" x14ac:dyDescent="0.25">
      <c r="C146" s="173" t="s">
        <v>882</v>
      </c>
      <c r="D146" s="900">
        <v>521</v>
      </c>
      <c r="E146" s="900">
        <v>245</v>
      </c>
      <c r="F146" s="900">
        <v>521</v>
      </c>
      <c r="G146" s="900">
        <v>521</v>
      </c>
    </row>
    <row r="147" spans="2:7" hidden="1" x14ac:dyDescent="0.25">
      <c r="C147" s="173" t="s">
        <v>338</v>
      </c>
      <c r="D147" s="900">
        <v>6706</v>
      </c>
      <c r="E147" s="900">
        <v>0</v>
      </c>
      <c r="F147" s="900">
        <v>5628</v>
      </c>
      <c r="G147" s="900">
        <v>6057</v>
      </c>
    </row>
    <row r="148" spans="2:7" hidden="1" x14ac:dyDescent="0.25">
      <c r="C148" s="173" t="s">
        <v>1402</v>
      </c>
      <c r="D148" s="900">
        <v>721</v>
      </c>
      <c r="E148" s="900">
        <v>0</v>
      </c>
      <c r="F148" s="900">
        <v>400</v>
      </c>
      <c r="G148" s="900">
        <v>721</v>
      </c>
    </row>
    <row r="149" spans="2:7" hidden="1" x14ac:dyDescent="0.25">
      <c r="C149" s="173" t="s">
        <v>879</v>
      </c>
      <c r="D149" s="900">
        <v>265</v>
      </c>
      <c r="E149" s="900">
        <v>0</v>
      </c>
      <c r="F149" s="900">
        <v>265</v>
      </c>
      <c r="G149" s="900">
        <v>265</v>
      </c>
    </row>
    <row r="150" spans="2:7" hidden="1" x14ac:dyDescent="0.25">
      <c r="C150" s="173" t="s">
        <v>2497</v>
      </c>
      <c r="D150" s="900">
        <v>111</v>
      </c>
      <c r="E150" s="900">
        <v>0</v>
      </c>
      <c r="F150" s="900">
        <v>111</v>
      </c>
      <c r="G150" s="900">
        <v>111</v>
      </c>
    </row>
    <row r="151" spans="2:7" hidden="1" x14ac:dyDescent="0.25">
      <c r="C151" s="173" t="s">
        <v>460</v>
      </c>
      <c r="D151" s="900">
        <v>202</v>
      </c>
      <c r="E151" s="900">
        <v>0</v>
      </c>
      <c r="F151" s="900">
        <v>0</v>
      </c>
      <c r="G151" s="900">
        <v>0</v>
      </c>
    </row>
    <row r="152" spans="2:7" hidden="1" x14ac:dyDescent="0.25">
      <c r="C152" s="173" t="s">
        <v>447</v>
      </c>
      <c r="D152" s="900">
        <v>644</v>
      </c>
      <c r="E152" s="900">
        <v>164</v>
      </c>
      <c r="F152" s="900">
        <v>644</v>
      </c>
      <c r="G152" s="900">
        <v>644</v>
      </c>
    </row>
    <row r="153" spans="2:7" hidden="1" x14ac:dyDescent="0.25">
      <c r="C153" s="173" t="s">
        <v>2538</v>
      </c>
      <c r="D153" s="900">
        <v>810</v>
      </c>
      <c r="E153" s="900">
        <v>0</v>
      </c>
      <c r="F153" s="900">
        <v>810</v>
      </c>
      <c r="G153" s="900">
        <v>810</v>
      </c>
    </row>
    <row r="154" spans="2:7" hidden="1" x14ac:dyDescent="0.25">
      <c r="C154" s="173" t="s">
        <v>2488</v>
      </c>
      <c r="D154" s="900">
        <v>1153</v>
      </c>
      <c r="E154" s="900">
        <v>141</v>
      </c>
      <c r="F154" s="900">
        <v>1107</v>
      </c>
      <c r="G154" s="900">
        <v>1153</v>
      </c>
    </row>
    <row r="155" spans="2:7" hidden="1" x14ac:dyDescent="0.25">
      <c r="C155" s="173" t="s">
        <v>2521</v>
      </c>
      <c r="D155" s="900">
        <v>156</v>
      </c>
      <c r="E155" s="900">
        <v>0</v>
      </c>
      <c r="F155" s="900">
        <v>156</v>
      </c>
      <c r="G155" s="900">
        <v>156</v>
      </c>
    </row>
    <row r="156" spans="2:7" hidden="1" x14ac:dyDescent="0.25">
      <c r="C156" s="173" t="s">
        <v>2808</v>
      </c>
      <c r="D156" s="900">
        <v>409</v>
      </c>
      <c r="E156" s="900">
        <v>0</v>
      </c>
      <c r="F156" s="900">
        <v>409</v>
      </c>
      <c r="G156" s="900">
        <v>409</v>
      </c>
    </row>
    <row r="157" spans="2:7" hidden="1" x14ac:dyDescent="0.25">
      <c r="C157" s="173" t="s">
        <v>2899</v>
      </c>
      <c r="D157" s="900">
        <v>1141</v>
      </c>
      <c r="E157" s="900">
        <v>0</v>
      </c>
      <c r="F157" s="900">
        <v>975</v>
      </c>
      <c r="G157" s="900">
        <v>831</v>
      </c>
    </row>
    <row r="158" spans="2:7" hidden="1" x14ac:dyDescent="0.25">
      <c r="C158" s="173" t="s">
        <v>2900</v>
      </c>
      <c r="D158" s="900">
        <v>1682</v>
      </c>
      <c r="E158" s="900">
        <v>0</v>
      </c>
      <c r="F158" s="900">
        <v>1162</v>
      </c>
      <c r="G158" s="900">
        <v>1682</v>
      </c>
    </row>
    <row r="159" spans="2:7" hidden="1" x14ac:dyDescent="0.25">
      <c r="B159" s="173" t="s">
        <v>2642</v>
      </c>
      <c r="D159" s="900">
        <v>14777</v>
      </c>
      <c r="E159" s="900">
        <v>550</v>
      </c>
      <c r="F159" s="900">
        <v>12444</v>
      </c>
      <c r="G159" s="900">
        <v>13616</v>
      </c>
    </row>
    <row r="160" spans="2:7" hidden="1" x14ac:dyDescent="0.25">
      <c r="B160" s="173" t="s">
        <v>873</v>
      </c>
      <c r="C160" s="173" t="s">
        <v>43</v>
      </c>
      <c r="D160" s="900">
        <v>513</v>
      </c>
      <c r="E160" s="900">
        <v>342</v>
      </c>
      <c r="F160" s="900">
        <v>400</v>
      </c>
      <c r="G160" s="900">
        <v>513</v>
      </c>
    </row>
    <row r="161" spans="2:7" hidden="1" x14ac:dyDescent="0.25">
      <c r="C161" s="173" t="s">
        <v>2448</v>
      </c>
      <c r="D161" s="900">
        <v>143</v>
      </c>
      <c r="E161" s="900">
        <v>0</v>
      </c>
      <c r="F161" s="900">
        <v>143</v>
      </c>
      <c r="G161" s="900">
        <v>143</v>
      </c>
    </row>
    <row r="162" spans="2:7" hidden="1" x14ac:dyDescent="0.25">
      <c r="C162" s="173" t="s">
        <v>460</v>
      </c>
      <c r="D162" s="900">
        <v>376</v>
      </c>
      <c r="E162" s="900">
        <v>0</v>
      </c>
      <c r="F162" s="900">
        <v>0</v>
      </c>
      <c r="G162" s="900">
        <v>0</v>
      </c>
    </row>
    <row r="163" spans="2:7" hidden="1" x14ac:dyDescent="0.25">
      <c r="C163" s="173" t="s">
        <v>2538</v>
      </c>
      <c r="D163" s="900">
        <v>300</v>
      </c>
      <c r="E163" s="900">
        <v>0</v>
      </c>
      <c r="F163" s="900">
        <v>300</v>
      </c>
      <c r="G163" s="900">
        <v>300</v>
      </c>
    </row>
    <row r="164" spans="2:7" hidden="1" x14ac:dyDescent="0.25">
      <c r="C164" s="173" t="s">
        <v>2899</v>
      </c>
      <c r="D164" s="900">
        <v>323</v>
      </c>
      <c r="E164" s="900">
        <v>0</v>
      </c>
      <c r="F164" s="900">
        <v>323</v>
      </c>
      <c r="G164" s="900">
        <v>323</v>
      </c>
    </row>
    <row r="165" spans="2:7" hidden="1" x14ac:dyDescent="0.25">
      <c r="B165" s="173" t="s">
        <v>2643</v>
      </c>
      <c r="D165" s="900">
        <v>1655</v>
      </c>
      <c r="E165" s="900">
        <v>342</v>
      </c>
      <c r="F165" s="900">
        <v>1166</v>
      </c>
      <c r="G165" s="900">
        <v>1279</v>
      </c>
    </row>
    <row r="166" spans="2:7" hidden="1" x14ac:dyDescent="0.25">
      <c r="B166" s="173" t="s">
        <v>876</v>
      </c>
      <c r="C166" s="173" t="s">
        <v>287</v>
      </c>
      <c r="D166" s="900">
        <v>913</v>
      </c>
      <c r="E166" s="900">
        <v>0</v>
      </c>
      <c r="F166" s="900">
        <v>779</v>
      </c>
      <c r="G166" s="900">
        <v>779</v>
      </c>
    </row>
    <row r="167" spans="2:7" hidden="1" x14ac:dyDescent="0.25">
      <c r="C167" s="173" t="s">
        <v>43</v>
      </c>
      <c r="D167" s="900">
        <v>342</v>
      </c>
      <c r="E167" s="900">
        <v>164</v>
      </c>
      <c r="F167" s="900">
        <v>324</v>
      </c>
      <c r="G167" s="900">
        <v>342</v>
      </c>
    </row>
    <row r="168" spans="2:7" hidden="1" x14ac:dyDescent="0.25">
      <c r="C168" s="173" t="s">
        <v>338</v>
      </c>
      <c r="D168" s="900">
        <v>2140</v>
      </c>
      <c r="E168" s="900">
        <v>0</v>
      </c>
      <c r="F168" s="900">
        <v>1646</v>
      </c>
      <c r="G168" s="900">
        <v>1558</v>
      </c>
    </row>
    <row r="169" spans="2:7" hidden="1" x14ac:dyDescent="0.25">
      <c r="C169" s="173" t="s">
        <v>1402</v>
      </c>
      <c r="D169" s="900">
        <v>207</v>
      </c>
      <c r="E169" s="900">
        <v>0</v>
      </c>
      <c r="F169" s="900">
        <v>207</v>
      </c>
      <c r="G169" s="900">
        <v>207</v>
      </c>
    </row>
    <row r="170" spans="2:7" hidden="1" x14ac:dyDescent="0.25">
      <c r="C170" s="173" t="s">
        <v>460</v>
      </c>
      <c r="D170" s="900">
        <v>779</v>
      </c>
      <c r="E170" s="900">
        <v>0</v>
      </c>
      <c r="F170" s="900">
        <v>0</v>
      </c>
      <c r="G170" s="900">
        <v>0</v>
      </c>
    </row>
    <row r="171" spans="2:7" hidden="1" x14ac:dyDescent="0.25">
      <c r="C171" s="173" t="s">
        <v>2808</v>
      </c>
      <c r="D171" s="900">
        <v>778</v>
      </c>
      <c r="E171" s="900">
        <v>0</v>
      </c>
      <c r="F171" s="900">
        <v>0</v>
      </c>
      <c r="G171" s="900">
        <v>0</v>
      </c>
    </row>
    <row r="172" spans="2:7" hidden="1" x14ac:dyDescent="0.25">
      <c r="C172" s="173" t="s">
        <v>2899</v>
      </c>
      <c r="D172" s="900">
        <v>414</v>
      </c>
      <c r="E172" s="900">
        <v>0</v>
      </c>
      <c r="F172" s="900">
        <v>414</v>
      </c>
      <c r="G172" s="900">
        <v>414</v>
      </c>
    </row>
    <row r="173" spans="2:7" hidden="1" x14ac:dyDescent="0.25">
      <c r="B173" s="173" t="s">
        <v>2644</v>
      </c>
      <c r="D173" s="900">
        <v>5573</v>
      </c>
      <c r="E173" s="900">
        <v>164</v>
      </c>
      <c r="F173" s="900">
        <v>3370</v>
      </c>
      <c r="G173" s="900">
        <v>3300</v>
      </c>
    </row>
    <row r="174" spans="2:7" hidden="1" x14ac:dyDescent="0.25">
      <c r="B174" s="173" t="s">
        <v>867</v>
      </c>
      <c r="C174" s="173" t="s">
        <v>43</v>
      </c>
      <c r="D174" s="900">
        <v>1134</v>
      </c>
      <c r="E174" s="900">
        <v>917</v>
      </c>
      <c r="F174" s="900">
        <v>1083</v>
      </c>
      <c r="G174" s="900">
        <v>1134</v>
      </c>
    </row>
    <row r="175" spans="2:7" hidden="1" x14ac:dyDescent="0.25">
      <c r="C175" s="173" t="s">
        <v>447</v>
      </c>
      <c r="D175" s="900">
        <v>359</v>
      </c>
      <c r="E175" s="900">
        <v>359</v>
      </c>
      <c r="F175" s="900">
        <v>200</v>
      </c>
      <c r="G175" s="900">
        <v>359</v>
      </c>
    </row>
    <row r="176" spans="2:7" hidden="1" x14ac:dyDescent="0.25">
      <c r="C176" s="173" t="s">
        <v>918</v>
      </c>
      <c r="D176" s="900">
        <v>359</v>
      </c>
      <c r="E176" s="900">
        <v>359</v>
      </c>
      <c r="F176" s="900">
        <v>200</v>
      </c>
      <c r="G176" s="900">
        <v>359</v>
      </c>
    </row>
    <row r="177" spans="1:7" hidden="1" x14ac:dyDescent="0.25">
      <c r="C177" s="173" t="s">
        <v>2449</v>
      </c>
      <c r="D177" s="900">
        <v>605</v>
      </c>
      <c r="E177" s="900">
        <v>391</v>
      </c>
      <c r="F177" s="900">
        <v>554</v>
      </c>
      <c r="G177" s="900">
        <v>605</v>
      </c>
    </row>
    <row r="178" spans="1:7" hidden="1" x14ac:dyDescent="0.25">
      <c r="C178" s="173" t="s">
        <v>2488</v>
      </c>
      <c r="D178" s="900">
        <v>3167</v>
      </c>
      <c r="E178" s="900">
        <v>2281</v>
      </c>
      <c r="F178" s="900">
        <v>2016</v>
      </c>
      <c r="G178" s="900">
        <v>2866</v>
      </c>
    </row>
    <row r="179" spans="1:7" hidden="1" x14ac:dyDescent="0.25">
      <c r="C179" s="173" t="s">
        <v>2521</v>
      </c>
      <c r="D179" s="900">
        <v>179</v>
      </c>
      <c r="E179" s="900">
        <v>179</v>
      </c>
      <c r="F179" s="900">
        <v>179</v>
      </c>
      <c r="G179" s="900">
        <v>179</v>
      </c>
    </row>
    <row r="180" spans="1:7" hidden="1" x14ac:dyDescent="0.25">
      <c r="B180" s="173" t="s">
        <v>2645</v>
      </c>
      <c r="D180" s="900">
        <v>5803</v>
      </c>
      <c r="E180" s="900">
        <v>4486</v>
      </c>
      <c r="F180" s="900">
        <v>4232</v>
      </c>
      <c r="G180" s="900">
        <v>5502</v>
      </c>
    </row>
    <row r="181" spans="1:7" hidden="1" x14ac:dyDescent="0.25">
      <c r="B181" s="173" t="s">
        <v>890</v>
      </c>
      <c r="C181" s="173" t="s">
        <v>338</v>
      </c>
      <c r="D181" s="900">
        <v>683</v>
      </c>
      <c r="E181" s="900">
        <v>0</v>
      </c>
      <c r="F181" s="900">
        <v>641</v>
      </c>
      <c r="G181" s="900">
        <v>683</v>
      </c>
    </row>
    <row r="182" spans="1:7" hidden="1" x14ac:dyDescent="0.25">
      <c r="C182" s="173" t="s">
        <v>447</v>
      </c>
      <c r="D182" s="900">
        <v>514</v>
      </c>
      <c r="E182" s="900">
        <v>514</v>
      </c>
      <c r="F182" s="900">
        <v>400</v>
      </c>
      <c r="G182" s="900">
        <v>514</v>
      </c>
    </row>
    <row r="183" spans="1:7" hidden="1" x14ac:dyDescent="0.25">
      <c r="C183" s="173" t="s">
        <v>2488</v>
      </c>
      <c r="D183" s="900">
        <v>1117</v>
      </c>
      <c r="E183" s="900">
        <v>288</v>
      </c>
      <c r="F183" s="900">
        <v>1100</v>
      </c>
      <c r="G183" s="900">
        <v>1117</v>
      </c>
    </row>
    <row r="184" spans="1:7" hidden="1" x14ac:dyDescent="0.25">
      <c r="C184" s="173" t="s">
        <v>2524</v>
      </c>
      <c r="D184" s="900">
        <v>263</v>
      </c>
      <c r="E184" s="900">
        <v>0</v>
      </c>
      <c r="F184" s="900">
        <v>263</v>
      </c>
      <c r="G184" s="900">
        <v>263</v>
      </c>
    </row>
    <row r="185" spans="1:7" x14ac:dyDescent="0.25">
      <c r="C185" s="173" t="s">
        <v>2901</v>
      </c>
      <c r="D185" s="900">
        <v>526</v>
      </c>
      <c r="E185" s="900">
        <v>0</v>
      </c>
      <c r="F185" s="900">
        <v>526</v>
      </c>
      <c r="G185" s="900">
        <v>526</v>
      </c>
    </row>
    <row r="186" spans="1:7" x14ac:dyDescent="0.25">
      <c r="B186" s="173" t="s">
        <v>2646</v>
      </c>
      <c r="D186" s="900">
        <v>3103</v>
      </c>
      <c r="E186" s="900">
        <v>802</v>
      </c>
      <c r="F186" s="900">
        <v>2930</v>
      </c>
      <c r="G186" s="900">
        <v>3103</v>
      </c>
    </row>
    <row r="187" spans="1:7" x14ac:dyDescent="0.25">
      <c r="B187" s="173" t="s">
        <v>1449</v>
      </c>
      <c r="C187" s="173" t="s">
        <v>338</v>
      </c>
      <c r="D187" s="900">
        <v>88</v>
      </c>
      <c r="E187" s="900">
        <v>0</v>
      </c>
      <c r="F187" s="900">
        <v>0</v>
      </c>
      <c r="G187" s="900">
        <v>0</v>
      </c>
    </row>
    <row r="188" spans="1:7" x14ac:dyDescent="0.25">
      <c r="B188" s="173" t="s">
        <v>3238</v>
      </c>
      <c r="D188" s="900">
        <v>88</v>
      </c>
      <c r="E188" s="900">
        <v>0</v>
      </c>
      <c r="F188" s="900">
        <v>0</v>
      </c>
      <c r="G188" s="900">
        <v>0</v>
      </c>
    </row>
    <row r="189" spans="1:7" x14ac:dyDescent="0.25">
      <c r="A189" s="173" t="s">
        <v>2535</v>
      </c>
      <c r="D189" s="900">
        <v>32723</v>
      </c>
      <c r="E189" s="900">
        <v>6344</v>
      </c>
      <c r="F189" s="900">
        <v>24996</v>
      </c>
      <c r="G189" s="900">
        <v>27772</v>
      </c>
    </row>
    <row r="190" spans="1:7" x14ac:dyDescent="0.25">
      <c r="A190" s="173" t="s">
        <v>2150</v>
      </c>
      <c r="D190" s="900">
        <v>1150169</v>
      </c>
      <c r="E190" s="900">
        <v>334701</v>
      </c>
      <c r="F190" s="900">
        <v>598536</v>
      </c>
      <c r="G190" s="900">
        <v>791024.18241758237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9"/>
  <sheetViews>
    <sheetView showGridLines="0" view="pageBreakPreview" zoomScale="70" zoomScaleNormal="60" zoomScaleSheetLayoutView="70" workbookViewId="0">
      <selection activeCell="Z27" sqref="Z27"/>
    </sheetView>
  </sheetViews>
  <sheetFormatPr defaultRowHeight="12.75" x14ac:dyDescent="0.2"/>
  <cols>
    <col min="1" max="1" width="1.5" style="21" customWidth="1"/>
    <col min="2" max="2" width="18.125" style="21" customWidth="1"/>
    <col min="3" max="3" width="28.25" style="21" customWidth="1"/>
    <col min="4" max="10" width="9" style="21"/>
    <col min="11" max="11" width="8" style="21" customWidth="1"/>
    <col min="12" max="12" width="11.625" style="21" customWidth="1"/>
    <col min="13" max="13" width="8" style="21" customWidth="1"/>
    <col min="14" max="14" width="14.125" style="21" customWidth="1"/>
    <col min="15" max="15" width="22.75" style="21" customWidth="1"/>
    <col min="16" max="16" width="8" style="21" customWidth="1"/>
    <col min="17" max="18" width="9" style="21"/>
    <col min="19" max="19" width="5" style="21" customWidth="1"/>
    <col min="20" max="20" width="1.75" style="21" customWidth="1"/>
    <col min="21" max="25" width="8.125" style="21" customWidth="1"/>
    <col min="26" max="26" width="16.125" style="21" bestFit="1" customWidth="1"/>
    <col min="27" max="27" width="9" style="21"/>
    <col min="28" max="28" width="21.75" style="21" bestFit="1" customWidth="1"/>
    <col min="29" max="29" width="7.25" style="21" customWidth="1"/>
    <col min="30" max="16384" width="9" style="21"/>
  </cols>
  <sheetData>
    <row r="1" spans="2:31" ht="31.5" customHeight="1" x14ac:dyDescent="0.2">
      <c r="B1" s="977" t="s">
        <v>3261</v>
      </c>
      <c r="C1" s="977"/>
      <c r="D1" s="977"/>
      <c r="E1" s="977"/>
      <c r="F1" s="977"/>
      <c r="G1" s="977"/>
      <c r="H1" s="977"/>
      <c r="I1" s="977"/>
      <c r="J1" s="977"/>
      <c r="K1" s="977"/>
      <c r="L1" s="977"/>
      <c r="M1" s="977"/>
      <c r="N1" s="977"/>
      <c r="O1" s="977"/>
      <c r="P1" s="977"/>
      <c r="Q1" s="977"/>
      <c r="R1" s="977"/>
      <c r="S1" s="977"/>
      <c r="T1" s="685"/>
      <c r="U1" s="685"/>
      <c r="V1" s="685"/>
      <c r="W1" s="685"/>
      <c r="X1" s="685"/>
      <c r="Y1" s="685"/>
      <c r="Z1" s="685"/>
      <c r="AA1" s="685"/>
      <c r="AB1" s="685"/>
      <c r="AC1" s="685"/>
      <c r="AD1" s="685"/>
      <c r="AE1" s="685"/>
    </row>
    <row r="26" ht="20.25" customHeight="1" x14ac:dyDescent="0.2"/>
    <row r="29" ht="20.25" customHeight="1" x14ac:dyDescent="0.2"/>
    <row r="31" ht="29.25" customHeight="1" x14ac:dyDescent="0.2"/>
    <row r="44" spans="2:7" ht="15.75" customHeight="1" x14ac:dyDescent="0.2"/>
    <row r="45" spans="2:7" ht="18" customHeight="1" x14ac:dyDescent="0.2"/>
    <row r="48" spans="2:7" ht="36" x14ac:dyDescent="0.2">
      <c r="B48" s="416" t="s">
        <v>2545</v>
      </c>
      <c r="C48" s="417" t="s">
        <v>2546</v>
      </c>
      <c r="D48" s="416" t="s">
        <v>2439</v>
      </c>
      <c r="E48" s="416" t="s">
        <v>2547</v>
      </c>
      <c r="F48" s="416" t="s">
        <v>2548</v>
      </c>
      <c r="G48" s="416" t="s">
        <v>2549</v>
      </c>
    </row>
    <row r="49" spans="2:26" ht="18.75" customHeight="1" x14ac:dyDescent="0.2">
      <c r="B49" s="642" t="s">
        <v>341</v>
      </c>
      <c r="C49" s="637" t="s">
        <v>2920</v>
      </c>
      <c r="D49" s="631">
        <v>8807</v>
      </c>
      <c r="E49" s="632">
        <v>0.25</v>
      </c>
      <c r="F49" s="632">
        <v>0.34731664738371615</v>
      </c>
      <c r="G49" s="632">
        <v>0.5</v>
      </c>
    </row>
    <row r="50" spans="2:26" ht="18.75" customHeight="1" x14ac:dyDescent="0.25">
      <c r="B50" s="640" t="s">
        <v>292</v>
      </c>
      <c r="C50" s="638" t="s">
        <v>2921</v>
      </c>
      <c r="D50" s="633">
        <v>2422</v>
      </c>
      <c r="E50" s="634">
        <v>0.4</v>
      </c>
      <c r="F50" s="634">
        <v>4.374240583232078E-2</v>
      </c>
      <c r="G50" s="634">
        <v>1</v>
      </c>
      <c r="U50" s="769"/>
      <c r="V50" s="769"/>
    </row>
    <row r="51" spans="2:26" ht="18.75" customHeight="1" x14ac:dyDescent="0.25">
      <c r="B51" s="642" t="s">
        <v>294</v>
      </c>
      <c r="C51" s="637" t="s">
        <v>2921</v>
      </c>
      <c r="D51" s="631">
        <v>3938</v>
      </c>
      <c r="E51" s="632">
        <v>0.11697174052665382</v>
      </c>
      <c r="F51" s="632">
        <v>0.14123629122350467</v>
      </c>
      <c r="G51" s="632">
        <v>1</v>
      </c>
      <c r="U51" s="769"/>
      <c r="V51" s="769"/>
    </row>
    <row r="52" spans="2:26" ht="18.75" customHeight="1" x14ac:dyDescent="0.25">
      <c r="B52" s="640" t="s">
        <v>45</v>
      </c>
      <c r="C52" s="638" t="s">
        <v>2922</v>
      </c>
      <c r="D52" s="633">
        <v>11970</v>
      </c>
      <c r="E52" s="634">
        <v>0</v>
      </c>
      <c r="F52" s="634">
        <v>4.3276661514683151E-2</v>
      </c>
      <c r="G52" s="634">
        <v>0.8</v>
      </c>
      <c r="U52" s="769"/>
      <c r="V52" s="769"/>
    </row>
    <row r="53" spans="2:26" ht="18.75" customHeight="1" x14ac:dyDescent="0.25">
      <c r="B53" s="642" t="s">
        <v>298</v>
      </c>
      <c r="C53" s="637" t="s">
        <v>2923</v>
      </c>
      <c r="D53" s="631">
        <v>1696</v>
      </c>
      <c r="E53" s="632">
        <v>0</v>
      </c>
      <c r="F53" s="632">
        <v>0.2877297764765866</v>
      </c>
      <c r="G53" s="632">
        <v>1</v>
      </c>
      <c r="U53" s="769"/>
      <c r="V53" s="769"/>
    </row>
    <row r="54" spans="2:26" ht="18.75" customHeight="1" x14ac:dyDescent="0.25">
      <c r="B54" s="640" t="s">
        <v>303</v>
      </c>
      <c r="C54" s="638" t="s">
        <v>2923</v>
      </c>
      <c r="D54" s="633">
        <v>286</v>
      </c>
      <c r="E54" s="634">
        <v>0.33333333333333331</v>
      </c>
      <c r="F54" s="634">
        <v>0.38854952688944788</v>
      </c>
      <c r="G54" s="634">
        <v>1</v>
      </c>
      <c r="U54" s="769"/>
      <c r="V54" s="769"/>
    </row>
    <row r="55" spans="2:26" ht="18.75" customHeight="1" x14ac:dyDescent="0.25">
      <c r="B55" s="642" t="s">
        <v>351</v>
      </c>
      <c r="C55" s="637" t="s">
        <v>3246</v>
      </c>
      <c r="D55" s="631">
        <v>27276</v>
      </c>
      <c r="E55" s="632">
        <v>0</v>
      </c>
      <c r="F55" s="632">
        <v>0.17904311585639093</v>
      </c>
      <c r="G55" s="632">
        <v>0.68421052631578949</v>
      </c>
      <c r="U55" s="769"/>
      <c r="V55" s="769"/>
    </row>
    <row r="56" spans="2:26" ht="18.75" customHeight="1" x14ac:dyDescent="0.25">
      <c r="B56" s="640" t="s">
        <v>305</v>
      </c>
      <c r="C56" s="638" t="s">
        <v>2921</v>
      </c>
      <c r="D56" s="633">
        <v>9067</v>
      </c>
      <c r="E56" s="634">
        <v>0.11538461538461539</v>
      </c>
      <c r="F56" s="634">
        <v>0.29048580990882999</v>
      </c>
      <c r="G56" s="634">
        <v>1</v>
      </c>
      <c r="U56" s="769"/>
      <c r="V56" s="769"/>
    </row>
    <row r="57" spans="2:26" ht="18.75" customHeight="1" x14ac:dyDescent="0.25">
      <c r="B57" s="642" t="s">
        <v>319</v>
      </c>
      <c r="C57" s="637" t="s">
        <v>287</v>
      </c>
      <c r="D57" s="631">
        <v>281</v>
      </c>
      <c r="E57" s="632">
        <v>0</v>
      </c>
      <c r="F57" s="632">
        <v>0.42704626334519569</v>
      </c>
      <c r="G57" s="632">
        <v>1</v>
      </c>
      <c r="U57" s="768"/>
      <c r="V57" s="769"/>
    </row>
    <row r="58" spans="2:26" ht="18.75" customHeight="1" x14ac:dyDescent="0.25">
      <c r="B58" s="640" t="s">
        <v>360</v>
      </c>
      <c r="C58" s="638" t="s">
        <v>2562</v>
      </c>
      <c r="D58" s="633">
        <v>2418</v>
      </c>
      <c r="E58" s="634">
        <v>0.5</v>
      </c>
      <c r="F58" s="634">
        <v>0.61244747024757284</v>
      </c>
      <c r="G58" s="634">
        <v>0.66666666666666663</v>
      </c>
      <c r="U58" s="768"/>
      <c r="V58" s="769"/>
    </row>
    <row r="59" spans="2:26" ht="18.75" customHeight="1" x14ac:dyDescent="0.25">
      <c r="B59" s="642" t="s">
        <v>330</v>
      </c>
      <c r="C59" s="637" t="s">
        <v>287</v>
      </c>
      <c r="D59" s="631">
        <v>815</v>
      </c>
      <c r="E59" s="632">
        <v>1</v>
      </c>
      <c r="F59" s="632">
        <v>0</v>
      </c>
      <c r="G59" s="632">
        <v>1</v>
      </c>
      <c r="U59" s="769"/>
      <c r="V59" s="769"/>
    </row>
    <row r="60" spans="2:26" ht="18.75" customHeight="1" x14ac:dyDescent="0.25">
      <c r="B60" s="640" t="s">
        <v>1311</v>
      </c>
      <c r="C60" s="638" t="s">
        <v>43</v>
      </c>
      <c r="D60" s="633">
        <v>936</v>
      </c>
      <c r="E60" s="634">
        <v>8.7398373983739813E-2</v>
      </c>
      <c r="F60" s="634">
        <v>0.23956639566395665</v>
      </c>
      <c r="G60" s="634">
        <v>1</v>
      </c>
      <c r="U60" s="769"/>
      <c r="V60" s="769"/>
    </row>
    <row r="61" spans="2:26" ht="18.75" customHeight="1" x14ac:dyDescent="0.25">
      <c r="B61" s="642" t="s">
        <v>288</v>
      </c>
      <c r="C61" s="637" t="s">
        <v>2925</v>
      </c>
      <c r="D61" s="631">
        <v>23538</v>
      </c>
      <c r="E61" s="632">
        <v>0</v>
      </c>
      <c r="F61" s="632">
        <v>0.21428956305623242</v>
      </c>
      <c r="G61" s="632">
        <v>0.92</v>
      </c>
      <c r="U61" s="769"/>
      <c r="V61" s="769"/>
    </row>
    <row r="62" spans="2:26" ht="18.75" customHeight="1" x14ac:dyDescent="0.25">
      <c r="B62" s="640" t="s">
        <v>2440</v>
      </c>
      <c r="C62" s="638" t="s">
        <v>2561</v>
      </c>
      <c r="D62" s="641">
        <f>SUBTOTAL(109,Table711[Total population])</f>
        <v>93450</v>
      </c>
      <c r="E62" s="634" t="s">
        <v>2934</v>
      </c>
      <c r="F62" s="634" t="s">
        <v>3239</v>
      </c>
      <c r="G62" s="634" t="s">
        <v>3240</v>
      </c>
      <c r="U62" s="769"/>
      <c r="V62" s="769"/>
      <c r="X62"/>
      <c r="Y62"/>
    </row>
    <row r="63" spans="2:26" ht="15.75" x14ac:dyDescent="0.25">
      <c r="X63"/>
      <c r="Y63"/>
      <c r="Z63"/>
    </row>
    <row r="64" spans="2:26" ht="15.75" x14ac:dyDescent="0.25">
      <c r="X64"/>
      <c r="Y64"/>
      <c r="Z64"/>
    </row>
    <row r="65" spans="2:26" ht="15.75" x14ac:dyDescent="0.25">
      <c r="B65"/>
      <c r="C65"/>
      <c r="X65"/>
      <c r="Y65"/>
      <c r="Z65"/>
    </row>
    <row r="66" spans="2:26" ht="15.75" x14ac:dyDescent="0.25">
      <c r="B66"/>
      <c r="C66"/>
      <c r="X66"/>
      <c r="Y66"/>
      <c r="Z66"/>
    </row>
    <row r="67" spans="2:26" ht="15.75" x14ac:dyDescent="0.25">
      <c r="B67"/>
      <c r="C67"/>
      <c r="X67"/>
      <c r="Y67"/>
      <c r="Z67"/>
    </row>
    <row r="68" spans="2:26" ht="15.75" x14ac:dyDescent="0.25">
      <c r="B68"/>
      <c r="C68"/>
      <c r="X68"/>
      <c r="Y68"/>
      <c r="Z68"/>
    </row>
    <row r="69" spans="2:26" ht="15.75" x14ac:dyDescent="0.25">
      <c r="B69"/>
      <c r="C69"/>
      <c r="X69"/>
      <c r="Y69"/>
      <c r="Z69"/>
    </row>
    <row r="70" spans="2:26" ht="15.75" x14ac:dyDescent="0.25">
      <c r="B70"/>
      <c r="C70"/>
      <c r="X70"/>
      <c r="Y70"/>
      <c r="Z70"/>
    </row>
    <row r="71" spans="2:26" ht="15.75" x14ac:dyDescent="0.25">
      <c r="B71"/>
      <c r="C71"/>
      <c r="X71"/>
      <c r="Y71"/>
      <c r="Z71"/>
    </row>
    <row r="72" spans="2:26" ht="15.75" x14ac:dyDescent="0.25">
      <c r="B72"/>
      <c r="C72"/>
      <c r="X72"/>
      <c r="Y72"/>
      <c r="Z72"/>
    </row>
    <row r="73" spans="2:26" ht="15.75" x14ac:dyDescent="0.25">
      <c r="B73"/>
      <c r="C73"/>
      <c r="X73"/>
      <c r="Y73"/>
      <c r="Z73"/>
    </row>
    <row r="74" spans="2:26" ht="15.75" x14ac:dyDescent="0.25">
      <c r="B74"/>
      <c r="C74"/>
      <c r="X74"/>
      <c r="Y74"/>
      <c r="Z74"/>
    </row>
    <row r="75" spans="2:26" ht="15.75" x14ac:dyDescent="0.25">
      <c r="B75"/>
      <c r="C75"/>
      <c r="X75"/>
      <c r="Y75"/>
      <c r="Z75"/>
    </row>
    <row r="76" spans="2:26" ht="15.75" x14ac:dyDescent="0.25">
      <c r="B76"/>
      <c r="C76"/>
      <c r="X76"/>
      <c r="Y76"/>
      <c r="Z76"/>
    </row>
    <row r="77" spans="2:26" ht="15.75" x14ac:dyDescent="0.25">
      <c r="B77"/>
      <c r="C77"/>
      <c r="X77"/>
      <c r="Y77"/>
      <c r="Z77"/>
    </row>
    <row r="78" spans="2:26" ht="15.75" x14ac:dyDescent="0.25">
      <c r="X78"/>
      <c r="Y78"/>
      <c r="Z78"/>
    </row>
    <row r="79" spans="2:26" ht="15.75" x14ac:dyDescent="0.25">
      <c r="X79"/>
      <c r="Y79"/>
      <c r="Z79"/>
    </row>
    <row r="80" spans="2:26" ht="15.75" x14ac:dyDescent="0.25">
      <c r="X80"/>
      <c r="Y80"/>
      <c r="Z80"/>
    </row>
    <row r="81" spans="24:26" ht="15.75" x14ac:dyDescent="0.25">
      <c r="X81"/>
      <c r="Y81"/>
      <c r="Z81"/>
    </row>
    <row r="82" spans="24:26" ht="15.75" x14ac:dyDescent="0.25">
      <c r="X82"/>
      <c r="Y82"/>
      <c r="Z82"/>
    </row>
    <row r="83" spans="24:26" ht="15.75" x14ac:dyDescent="0.25">
      <c r="X83"/>
      <c r="Y83"/>
      <c r="Z83"/>
    </row>
    <row r="84" spans="24:26" ht="15.75" x14ac:dyDescent="0.25">
      <c r="X84"/>
      <c r="Y84"/>
      <c r="Z84"/>
    </row>
    <row r="85" spans="24:26" ht="15.75" x14ac:dyDescent="0.25">
      <c r="X85"/>
      <c r="Y85"/>
      <c r="Z85"/>
    </row>
    <row r="86" spans="24:26" ht="15.75" x14ac:dyDescent="0.25">
      <c r="X86"/>
      <c r="Y86"/>
      <c r="Z86"/>
    </row>
    <row r="87" spans="24:26" ht="15.75" x14ac:dyDescent="0.25">
      <c r="X87"/>
      <c r="Y87"/>
      <c r="Z87"/>
    </row>
    <row r="88" spans="24:26" ht="15.75" x14ac:dyDescent="0.25">
      <c r="X88"/>
      <c r="Y88"/>
      <c r="Z88"/>
    </row>
    <row r="89" spans="24:26" ht="15.75" x14ac:dyDescent="0.25">
      <c r="X89"/>
      <c r="Y89"/>
      <c r="Z89"/>
    </row>
    <row r="90" spans="24:26" ht="15.75" x14ac:dyDescent="0.25">
      <c r="X90"/>
      <c r="Y90"/>
      <c r="Z90"/>
    </row>
    <row r="91" spans="24:26" ht="15.75" x14ac:dyDescent="0.25">
      <c r="X91"/>
      <c r="Y91"/>
      <c r="Z91"/>
    </row>
    <row r="92" spans="24:26" ht="15.75" x14ac:dyDescent="0.25">
      <c r="X92"/>
      <c r="Y92"/>
      <c r="Z92"/>
    </row>
    <row r="93" spans="24:26" ht="15.75" x14ac:dyDescent="0.25">
      <c r="X93"/>
      <c r="Y93"/>
      <c r="Z93"/>
    </row>
    <row r="94" spans="24:26" ht="15.75" x14ac:dyDescent="0.25">
      <c r="X94"/>
      <c r="Y94"/>
      <c r="Z94"/>
    </row>
    <row r="95" spans="24:26" ht="15.75" x14ac:dyDescent="0.25">
      <c r="X95"/>
      <c r="Y95"/>
      <c r="Z95"/>
    </row>
    <row r="96" spans="24:26" ht="15.75" x14ac:dyDescent="0.25">
      <c r="X96"/>
      <c r="Y96"/>
      <c r="Z96"/>
    </row>
    <row r="97" spans="24:26" ht="15.75" x14ac:dyDescent="0.25">
      <c r="X97"/>
      <c r="Y97"/>
      <c r="Z97"/>
    </row>
    <row r="98" spans="24:26" ht="15.75" x14ac:dyDescent="0.25">
      <c r="X98"/>
      <c r="Y98"/>
      <c r="Z98"/>
    </row>
    <row r="99" spans="24:26" ht="15.75" x14ac:dyDescent="0.25">
      <c r="X99"/>
      <c r="Y99"/>
      <c r="Z99"/>
    </row>
    <row r="100" spans="24:26" ht="15.75" x14ac:dyDescent="0.25">
      <c r="X100"/>
      <c r="Y100"/>
      <c r="Z100"/>
    </row>
    <row r="101" spans="24:26" ht="15.75" x14ac:dyDescent="0.25">
      <c r="X101"/>
      <c r="Y101"/>
      <c r="Z101"/>
    </row>
    <row r="102" spans="24:26" ht="15.75" x14ac:dyDescent="0.25">
      <c r="X102"/>
      <c r="Y102"/>
      <c r="Z102"/>
    </row>
    <row r="103" spans="24:26" ht="15.75" x14ac:dyDescent="0.25">
      <c r="X103"/>
      <c r="Y103"/>
      <c r="Z103"/>
    </row>
    <row r="104" spans="24:26" ht="15.75" x14ac:dyDescent="0.25">
      <c r="X104"/>
      <c r="Y104"/>
      <c r="Z104"/>
    </row>
    <row r="105" spans="24:26" ht="15.75" x14ac:dyDescent="0.25">
      <c r="X105"/>
      <c r="Y105"/>
      <c r="Z105"/>
    </row>
    <row r="106" spans="24:26" ht="15.75" x14ac:dyDescent="0.25">
      <c r="X106"/>
      <c r="Y106"/>
      <c r="Z106"/>
    </row>
    <row r="107" spans="24:26" ht="15.75" x14ac:dyDescent="0.25">
      <c r="X107"/>
      <c r="Y107"/>
      <c r="Z107"/>
    </row>
    <row r="108" spans="24:26" ht="15.75" x14ac:dyDescent="0.25">
      <c r="X108"/>
      <c r="Y108"/>
      <c r="Z108"/>
    </row>
    <row r="109" spans="24:26" ht="15.75" x14ac:dyDescent="0.25">
      <c r="X109"/>
      <c r="Y109"/>
      <c r="Z109"/>
    </row>
    <row r="110" spans="24:26" ht="15.75" x14ac:dyDescent="0.25">
      <c r="X110"/>
      <c r="Y110"/>
      <c r="Z110"/>
    </row>
    <row r="111" spans="24:26" ht="15.75" x14ac:dyDescent="0.25">
      <c r="X111"/>
      <c r="Y111"/>
      <c r="Z111"/>
    </row>
    <row r="112" spans="24:26" ht="15.75" x14ac:dyDescent="0.25">
      <c r="X112"/>
      <c r="Y112"/>
      <c r="Z112"/>
    </row>
    <row r="113" spans="24:26" ht="15.75" x14ac:dyDescent="0.25">
      <c r="X113"/>
      <c r="Y113"/>
      <c r="Z113"/>
    </row>
    <row r="114" spans="24:26" ht="15.75" x14ac:dyDescent="0.25">
      <c r="X114"/>
      <c r="Y114"/>
      <c r="Z114"/>
    </row>
    <row r="115" spans="24:26" ht="15.75" x14ac:dyDescent="0.25">
      <c r="X115"/>
      <c r="Y115"/>
      <c r="Z115"/>
    </row>
    <row r="116" spans="24:26" ht="15.75" x14ac:dyDescent="0.25">
      <c r="X116"/>
      <c r="Y116"/>
      <c r="Z116"/>
    </row>
    <row r="117" spans="24:26" ht="15.75" x14ac:dyDescent="0.25">
      <c r="X117"/>
      <c r="Y117"/>
      <c r="Z117"/>
    </row>
    <row r="118" spans="24:26" ht="15.75" x14ac:dyDescent="0.25">
      <c r="X118"/>
      <c r="Y118"/>
      <c r="Z118"/>
    </row>
    <row r="119" spans="24:26" ht="15.75" x14ac:dyDescent="0.25">
      <c r="X119"/>
      <c r="Y119"/>
      <c r="Z119"/>
    </row>
    <row r="120" spans="24:26" ht="15.75" x14ac:dyDescent="0.25">
      <c r="X120"/>
      <c r="Y120"/>
      <c r="Z120"/>
    </row>
    <row r="121" spans="24:26" ht="15.75" x14ac:dyDescent="0.25">
      <c r="X121"/>
      <c r="Y121"/>
      <c r="Z121"/>
    </row>
    <row r="122" spans="24:26" ht="15.75" x14ac:dyDescent="0.25">
      <c r="X122"/>
      <c r="Y122"/>
      <c r="Z122"/>
    </row>
    <row r="123" spans="24:26" ht="15.75" x14ac:dyDescent="0.25">
      <c r="X123"/>
      <c r="Y123"/>
      <c r="Z123"/>
    </row>
    <row r="124" spans="24:26" ht="15.75" x14ac:dyDescent="0.25">
      <c r="X124"/>
      <c r="Y124"/>
      <c r="Z124"/>
    </row>
    <row r="125" spans="24:26" ht="15.75" x14ac:dyDescent="0.25">
      <c r="X125"/>
      <c r="Y125"/>
      <c r="Z125"/>
    </row>
    <row r="126" spans="24:26" ht="15.75" x14ac:dyDescent="0.25">
      <c r="X126"/>
      <c r="Y126"/>
      <c r="Z126"/>
    </row>
    <row r="127" spans="24:26" ht="15.75" x14ac:dyDescent="0.25">
      <c r="X127"/>
      <c r="Y127"/>
      <c r="Z127"/>
    </row>
    <row r="128" spans="24:26" ht="15.75" x14ac:dyDescent="0.25">
      <c r="X128"/>
      <c r="Y128"/>
      <c r="Z128"/>
    </row>
    <row r="129" spans="24:26" ht="15.75" x14ac:dyDescent="0.25">
      <c r="X129"/>
      <c r="Y129"/>
      <c r="Z129"/>
    </row>
    <row r="130" spans="24:26" ht="15.75" x14ac:dyDescent="0.25">
      <c r="X130"/>
      <c r="Y130"/>
      <c r="Z130"/>
    </row>
    <row r="131" spans="24:26" ht="15.75" x14ac:dyDescent="0.25">
      <c r="X131"/>
      <c r="Y131"/>
      <c r="Z131"/>
    </row>
    <row r="132" spans="24:26" ht="15.75" x14ac:dyDescent="0.25">
      <c r="X132"/>
      <c r="Y132"/>
      <c r="Z132"/>
    </row>
    <row r="133" spans="24:26" ht="15.75" x14ac:dyDescent="0.25">
      <c r="X133"/>
      <c r="Y133"/>
      <c r="Z133"/>
    </row>
    <row r="134" spans="24:26" ht="15.75" x14ac:dyDescent="0.25">
      <c r="X134"/>
      <c r="Y134"/>
      <c r="Z134"/>
    </row>
    <row r="135" spans="24:26" ht="15.75" x14ac:dyDescent="0.25">
      <c r="X135"/>
      <c r="Y135"/>
    </row>
    <row r="136" spans="24:26" ht="15.75" x14ac:dyDescent="0.25">
      <c r="X136"/>
      <c r="Y136"/>
    </row>
    <row r="137" spans="24:26" ht="15.75" x14ac:dyDescent="0.25">
      <c r="X137"/>
      <c r="Y137"/>
    </row>
    <row r="138" spans="24:26" ht="15.75" x14ac:dyDescent="0.25">
      <c r="X138"/>
      <c r="Y138"/>
    </row>
    <row r="139" spans="24:26" ht="15.75" x14ac:dyDescent="0.25">
      <c r="X139"/>
      <c r="Y139"/>
    </row>
    <row r="140" spans="24:26" ht="15.75" x14ac:dyDescent="0.25">
      <c r="X140"/>
      <c r="Y140"/>
    </row>
    <row r="141" spans="24:26" ht="15.75" x14ac:dyDescent="0.25">
      <c r="X141"/>
      <c r="Y141"/>
    </row>
    <row r="142" spans="24:26" ht="15.75" x14ac:dyDescent="0.25">
      <c r="X142"/>
      <c r="Y142"/>
    </row>
    <row r="143" spans="24:26" ht="15.75" x14ac:dyDescent="0.25">
      <c r="X143"/>
      <c r="Y143"/>
    </row>
    <row r="144" spans="24:26" ht="15.75" x14ac:dyDescent="0.25">
      <c r="X144"/>
      <c r="Y144"/>
    </row>
    <row r="145" spans="24:25" ht="15.75" x14ac:dyDescent="0.25">
      <c r="X145"/>
      <c r="Y145"/>
    </row>
    <row r="146" spans="24:25" ht="15.75" x14ac:dyDescent="0.25">
      <c r="X146"/>
      <c r="Y146"/>
    </row>
    <row r="147" spans="24:25" ht="15.75" x14ac:dyDescent="0.25">
      <c r="X147"/>
      <c r="Y147"/>
    </row>
    <row r="148" spans="24:25" ht="15.75" x14ac:dyDescent="0.25">
      <c r="X148"/>
      <c r="Y148"/>
    </row>
    <row r="149" spans="24:25" ht="15.75" x14ac:dyDescent="0.25">
      <c r="X149"/>
      <c r="Y149"/>
    </row>
    <row r="150" spans="24:25" ht="15.75" x14ac:dyDescent="0.25">
      <c r="X150"/>
      <c r="Y150"/>
    </row>
    <row r="151" spans="24:25" ht="15.75" x14ac:dyDescent="0.25">
      <c r="X151"/>
      <c r="Y151"/>
    </row>
    <row r="152" spans="24:25" ht="15.75" x14ac:dyDescent="0.25">
      <c r="X152"/>
      <c r="Y152"/>
    </row>
    <row r="153" spans="24:25" ht="15.75" x14ac:dyDescent="0.25">
      <c r="X153"/>
      <c r="Y153"/>
    </row>
    <row r="154" spans="24:25" ht="15.75" x14ac:dyDescent="0.25">
      <c r="X154"/>
      <c r="Y154"/>
    </row>
    <row r="155" spans="24:25" ht="15.75" x14ac:dyDescent="0.25">
      <c r="X155"/>
      <c r="Y155"/>
    </row>
    <row r="156" spans="24:25" ht="15.75" x14ac:dyDescent="0.25">
      <c r="X156"/>
      <c r="Y156"/>
    </row>
    <row r="157" spans="24:25" ht="15.75" x14ac:dyDescent="0.25">
      <c r="X157"/>
      <c r="Y157"/>
    </row>
    <row r="158" spans="24:25" ht="15.75" x14ac:dyDescent="0.25">
      <c r="X158"/>
      <c r="Y158"/>
    </row>
    <row r="159" spans="24:25" ht="15.75" x14ac:dyDescent="0.25">
      <c r="X159"/>
      <c r="Y159"/>
    </row>
    <row r="160" spans="24:25" ht="15.75" x14ac:dyDescent="0.25">
      <c r="X160"/>
      <c r="Y160"/>
    </row>
    <row r="161" spans="24:25" ht="15.75" x14ac:dyDescent="0.25">
      <c r="X161"/>
      <c r="Y161"/>
    </row>
    <row r="162" spans="24:25" ht="15.75" x14ac:dyDescent="0.25">
      <c r="X162"/>
      <c r="Y162"/>
    </row>
    <row r="163" spans="24:25" ht="15.75" x14ac:dyDescent="0.25">
      <c r="X163"/>
      <c r="Y163"/>
    </row>
    <row r="164" spans="24:25" ht="15.75" x14ac:dyDescent="0.25">
      <c r="X164"/>
      <c r="Y164"/>
    </row>
    <row r="165" spans="24:25" ht="15.75" x14ac:dyDescent="0.25">
      <c r="X165"/>
      <c r="Y165"/>
    </row>
    <row r="166" spans="24:25" ht="15.75" x14ac:dyDescent="0.25">
      <c r="X166"/>
      <c r="Y166"/>
    </row>
    <row r="167" spans="24:25" ht="15.75" x14ac:dyDescent="0.25">
      <c r="X167"/>
      <c r="Y167"/>
    </row>
    <row r="168" spans="24:25" ht="15.75" x14ac:dyDescent="0.25">
      <c r="X168"/>
      <c r="Y168"/>
    </row>
    <row r="169" spans="24:25" ht="15.75" x14ac:dyDescent="0.25">
      <c r="X169"/>
      <c r="Y169"/>
    </row>
  </sheetData>
  <mergeCells count="1">
    <mergeCell ref="B1:S1"/>
  </mergeCells>
  <printOptions horizontalCentered="1" verticalCentered="1"/>
  <pageMargins left="0.25" right="0.25" top="0.25" bottom="0.25" header="0.3" footer="0.3"/>
  <pageSetup paperSize="9" scale="45"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 id="{1298082F-3ACC-473C-BD90-67E4A5022813}">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E49:G61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2"/>
  <sheetViews>
    <sheetView showGridLines="0" view="pageBreakPreview" topLeftCell="B1" zoomScale="86" zoomScaleNormal="60" zoomScaleSheetLayoutView="86" zoomScalePageLayoutView="80" workbookViewId="0">
      <selection activeCell="AE39" sqref="AE39"/>
    </sheetView>
  </sheetViews>
  <sheetFormatPr defaultRowHeight="12.75" x14ac:dyDescent="0.2"/>
  <cols>
    <col min="1" max="1" width="1.375" style="21" hidden="1" customWidth="1"/>
    <col min="2" max="2" width="12.375" style="21" customWidth="1"/>
    <col min="3" max="3" width="24.5" style="21" customWidth="1"/>
    <col min="4" max="4" width="11.25" style="21" customWidth="1"/>
    <col min="5" max="5" width="10.75" style="21" customWidth="1"/>
    <col min="6" max="6" width="11.5" style="21" customWidth="1"/>
    <col min="7" max="7" width="11" style="21" customWidth="1"/>
    <col min="8" max="10" width="9" style="21"/>
    <col min="11" max="11" width="8" style="21" customWidth="1"/>
    <col min="12" max="12" width="18" style="21" customWidth="1"/>
    <col min="13" max="13" width="8" style="21" customWidth="1"/>
    <col min="14" max="14" width="14.875" style="21" customWidth="1"/>
    <col min="15" max="15" width="11.5" style="21" customWidth="1"/>
    <col min="16" max="16" width="8" style="21" customWidth="1"/>
    <col min="17" max="18" width="9" style="21"/>
    <col min="19" max="19" width="12" style="21" customWidth="1"/>
    <col min="20" max="20" width="1.75" style="21" customWidth="1"/>
    <col min="21" max="24" width="8.125" style="21" customWidth="1"/>
    <col min="25" max="25" width="3.875" style="21" customWidth="1"/>
    <col min="26" max="26" width="16.125" style="21" bestFit="1" customWidth="1"/>
    <col min="27" max="27" width="9" style="21"/>
    <col min="28" max="28" width="21.75" style="21" bestFit="1" customWidth="1"/>
    <col min="29" max="29" width="17.5" style="21" bestFit="1" customWidth="1"/>
    <col min="30" max="16384" width="9" style="21"/>
  </cols>
  <sheetData>
    <row r="1" spans="2:30" ht="24.75" customHeight="1" x14ac:dyDescent="0.2">
      <c r="B1" s="978" t="s">
        <v>2747</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row>
    <row r="8" spans="2:30" x14ac:dyDescent="0.2">
      <c r="AD8" s="21" t="s">
        <v>2606</v>
      </c>
    </row>
    <row r="36" spans="2:7" ht="48" customHeight="1" x14ac:dyDescent="0.2"/>
    <row r="40" spans="2:7" ht="10.5" customHeight="1" x14ac:dyDescent="0.2"/>
    <row r="41" spans="2:7" ht="10.5" customHeight="1" x14ac:dyDescent="0.2"/>
    <row r="42" spans="2:7" ht="48" customHeight="1" x14ac:dyDescent="0.2"/>
    <row r="43" spans="2:7" ht="30" customHeight="1" x14ac:dyDescent="0.2"/>
    <row r="44" spans="2:7" ht="6" customHeight="1" x14ac:dyDescent="0.2"/>
    <row r="45" spans="2:7" ht="57.75" customHeight="1" x14ac:dyDescent="0.2">
      <c r="B45" s="416" t="s">
        <v>2743</v>
      </c>
      <c r="C45" s="417" t="s">
        <v>2546</v>
      </c>
      <c r="D45" s="416" t="s">
        <v>2439</v>
      </c>
      <c r="E45" s="416" t="s">
        <v>2547</v>
      </c>
      <c r="F45" s="416" t="s">
        <v>2548</v>
      </c>
      <c r="G45" s="416" t="s">
        <v>2549</v>
      </c>
    </row>
    <row r="46" spans="2:7" ht="24.75" customHeight="1" x14ac:dyDescent="0.2">
      <c r="B46" s="637" t="s">
        <v>480</v>
      </c>
      <c r="C46" s="419"/>
      <c r="D46" s="631">
        <v>7969</v>
      </c>
      <c r="E46" s="632">
        <v>0.53771941193624495</v>
      </c>
      <c r="F46" s="632">
        <v>0.97788149591669538</v>
      </c>
      <c r="G46" s="632">
        <v>1</v>
      </c>
    </row>
    <row r="47" spans="2:7" ht="24.75" customHeight="1" x14ac:dyDescent="0.2">
      <c r="B47" s="638" t="s">
        <v>463</v>
      </c>
      <c r="C47" s="418"/>
      <c r="D47" s="633">
        <v>2102</v>
      </c>
      <c r="E47" s="634">
        <v>1</v>
      </c>
      <c r="F47" s="634">
        <v>0.99917627677100485</v>
      </c>
      <c r="G47" s="634">
        <v>1</v>
      </c>
    </row>
    <row r="48" spans="2:7" ht="24.75" customHeight="1" x14ac:dyDescent="0.2">
      <c r="B48" s="637" t="s">
        <v>466</v>
      </c>
      <c r="C48" s="419"/>
      <c r="D48" s="631">
        <v>10023</v>
      </c>
      <c r="E48" s="632">
        <v>0.59274123189670214</v>
      </c>
      <c r="F48" s="632">
        <v>0.97781784705989983</v>
      </c>
      <c r="G48" s="632">
        <v>1</v>
      </c>
    </row>
    <row r="49" spans="2:26" ht="24.75" customHeight="1" x14ac:dyDescent="0.2">
      <c r="B49" s="638" t="s">
        <v>560</v>
      </c>
      <c r="C49" s="418"/>
      <c r="D49" s="633">
        <v>217</v>
      </c>
      <c r="E49" s="634">
        <v>0</v>
      </c>
      <c r="F49" s="634">
        <v>0</v>
      </c>
      <c r="G49" s="634">
        <v>1</v>
      </c>
    </row>
    <row r="50" spans="2:26" ht="24.75" customHeight="1" x14ac:dyDescent="0.2">
      <c r="B50" s="637" t="s">
        <v>563</v>
      </c>
      <c r="C50" s="419"/>
      <c r="D50" s="631">
        <v>9010</v>
      </c>
      <c r="E50" s="632">
        <v>0.28657987881696562</v>
      </c>
      <c r="F50" s="632">
        <v>0.39179929587676871</v>
      </c>
      <c r="G50" s="632">
        <v>1</v>
      </c>
    </row>
    <row r="51" spans="2:26" ht="24.75" customHeight="1" x14ac:dyDescent="0.2">
      <c r="B51" s="637" t="s">
        <v>498</v>
      </c>
      <c r="C51" s="419"/>
      <c r="D51" s="633">
        <v>13182</v>
      </c>
      <c r="E51" s="634">
        <v>0.30925322714652581</v>
      </c>
      <c r="F51" s="634">
        <v>0.7951568469078808</v>
      </c>
      <c r="G51" s="634">
        <v>1</v>
      </c>
    </row>
    <row r="52" spans="2:26" ht="24.75" customHeight="1" x14ac:dyDescent="0.2">
      <c r="B52" s="637" t="s">
        <v>455</v>
      </c>
      <c r="C52" s="419"/>
      <c r="D52" s="631">
        <v>16568</v>
      </c>
      <c r="E52" s="632">
        <v>0.12301495007184382</v>
      </c>
      <c r="F52" s="632">
        <v>0.53395750868803316</v>
      </c>
      <c r="G52" s="632">
        <v>0.8666666666666667</v>
      </c>
    </row>
    <row r="53" spans="2:26" ht="23.25" customHeight="1" x14ac:dyDescent="0.2">
      <c r="B53" s="639" t="s">
        <v>2440</v>
      </c>
      <c r="C53" s="629"/>
      <c r="D53" s="635">
        <f>SUBTOTAL(109,Table7124[Total population])</f>
        <v>59071</v>
      </c>
      <c r="E53" s="636" t="s">
        <v>2740</v>
      </c>
      <c r="F53" s="636" t="s">
        <v>2741</v>
      </c>
      <c r="G53" s="636" t="s">
        <v>2742</v>
      </c>
    </row>
    <row r="57" spans="2:26" ht="15.75" x14ac:dyDescent="0.25">
      <c r="X57"/>
      <c r="Y57"/>
    </row>
    <row r="58" spans="2:26" ht="15.75" x14ac:dyDescent="0.25">
      <c r="X58"/>
      <c r="Y58"/>
      <c r="Z58"/>
    </row>
    <row r="59" spans="2:26" ht="15.75" x14ac:dyDescent="0.25">
      <c r="X59"/>
      <c r="Y59"/>
      <c r="Z59"/>
    </row>
    <row r="60" spans="2:26" ht="15.75" x14ac:dyDescent="0.25">
      <c r="B60" s="420"/>
      <c r="C60" s="420"/>
      <c r="D60" s="420"/>
      <c r="E60" s="420"/>
      <c r="F60" s="420"/>
      <c r="G60" s="420"/>
      <c r="X60"/>
      <c r="Y60"/>
      <c r="Z60"/>
    </row>
    <row r="61" spans="2:26" ht="15.75" x14ac:dyDescent="0.25">
      <c r="B61" s="420"/>
      <c r="C61" s="420"/>
      <c r="D61" s="420"/>
      <c r="E61" s="420"/>
      <c r="F61" s="420"/>
      <c r="G61" s="420"/>
      <c r="X61"/>
      <c r="Y61"/>
      <c r="Z61"/>
    </row>
    <row r="62" spans="2:26" ht="15.75" x14ac:dyDescent="0.25">
      <c r="B62" s="420"/>
      <c r="C62" s="420"/>
      <c r="D62" s="420"/>
      <c r="E62" s="420"/>
      <c r="F62" s="420"/>
      <c r="G62" s="420"/>
      <c r="H62" s="420"/>
      <c r="I62" s="420"/>
      <c r="J62" s="420"/>
      <c r="K62" s="420"/>
      <c r="L62" s="420"/>
      <c r="M62" s="420"/>
      <c r="N62" s="420"/>
      <c r="O62" s="420"/>
      <c r="P62" s="420"/>
      <c r="Q62" s="420"/>
      <c r="R62" s="420"/>
      <c r="S62" s="420"/>
      <c r="T62" s="420"/>
      <c r="U62" s="420"/>
      <c r="V62" s="420"/>
      <c r="X62"/>
      <c r="Y62"/>
      <c r="Z62"/>
    </row>
    <row r="63" spans="2:26" ht="15.75" x14ac:dyDescent="0.25">
      <c r="B63" s="420"/>
      <c r="C63" s="420"/>
      <c r="D63" s="420"/>
      <c r="E63" s="420"/>
      <c r="F63" s="420"/>
      <c r="G63" s="420"/>
      <c r="H63" s="420"/>
      <c r="I63" s="420"/>
      <c r="J63" s="420"/>
      <c r="K63" s="420"/>
      <c r="L63" s="420"/>
      <c r="M63" s="420"/>
      <c r="N63" s="420"/>
      <c r="O63" s="420"/>
      <c r="P63" s="420"/>
      <c r="Q63" s="420"/>
      <c r="R63" s="420"/>
      <c r="S63" s="420"/>
      <c r="T63" s="420"/>
      <c r="U63" s="420"/>
      <c r="V63" s="420"/>
      <c r="X63"/>
      <c r="Y63"/>
      <c r="Z63"/>
    </row>
    <row r="64" spans="2:26" ht="15.75" x14ac:dyDescent="0.25">
      <c r="B64" s="420"/>
      <c r="C64" s="420"/>
      <c r="D64" s="420"/>
      <c r="E64" s="420"/>
      <c r="F64" s="420"/>
      <c r="G64" s="420"/>
      <c r="H64" s="420"/>
      <c r="I64" s="420"/>
      <c r="J64" s="420"/>
      <c r="K64" s="420"/>
      <c r="L64" s="420"/>
      <c r="M64" s="420"/>
      <c r="N64" s="420"/>
      <c r="O64" s="420"/>
      <c r="P64" s="420"/>
      <c r="Q64" s="420"/>
      <c r="R64" s="420"/>
      <c r="S64" s="420"/>
      <c r="T64" s="420"/>
      <c r="U64" s="420"/>
      <c r="V64" s="420"/>
      <c r="X64"/>
      <c r="Y64"/>
      <c r="Z64"/>
    </row>
    <row r="65" spans="8:26" ht="15.75" x14ac:dyDescent="0.25">
      <c r="H65" s="420"/>
      <c r="I65" s="420"/>
      <c r="J65" s="420"/>
      <c r="K65" s="420"/>
      <c r="L65" s="420"/>
      <c r="M65" s="420"/>
      <c r="N65" s="420"/>
      <c r="O65" s="420"/>
      <c r="P65" s="420"/>
      <c r="Q65" s="420"/>
      <c r="R65" s="420"/>
      <c r="S65" s="420"/>
      <c r="T65" s="420"/>
      <c r="U65" s="420"/>
      <c r="V65" s="420"/>
      <c r="X65"/>
      <c r="Y65"/>
      <c r="Z65"/>
    </row>
    <row r="66" spans="8:26" ht="15.75" x14ac:dyDescent="0.25">
      <c r="H66" s="420"/>
      <c r="I66" s="420"/>
      <c r="J66" s="420"/>
      <c r="K66" s="420"/>
      <c r="L66" s="420"/>
      <c r="M66" s="420"/>
      <c r="N66" s="420"/>
      <c r="O66" s="420"/>
      <c r="P66" s="420"/>
      <c r="Q66" s="420"/>
      <c r="R66" s="420"/>
      <c r="S66" s="420"/>
      <c r="T66" s="420"/>
      <c r="U66" s="420"/>
      <c r="V66" s="420"/>
      <c r="X66"/>
      <c r="Y66"/>
      <c r="Z66"/>
    </row>
    <row r="67" spans="8:26" ht="15.75" x14ac:dyDescent="0.25">
      <c r="X67"/>
      <c r="Y67"/>
      <c r="Z67"/>
    </row>
    <row r="68" spans="8:26" ht="15.75" x14ac:dyDescent="0.25">
      <c r="X68"/>
      <c r="Y68"/>
      <c r="Z68"/>
    </row>
    <row r="69" spans="8:26" ht="15.75" x14ac:dyDescent="0.25">
      <c r="X69"/>
      <c r="Y69"/>
      <c r="Z69"/>
    </row>
    <row r="70" spans="8:26" ht="15.75" x14ac:dyDescent="0.25">
      <c r="X70"/>
      <c r="Y70"/>
      <c r="Z70"/>
    </row>
    <row r="71" spans="8:26" ht="15.75" x14ac:dyDescent="0.25">
      <c r="X71"/>
      <c r="Y71"/>
      <c r="Z71"/>
    </row>
    <row r="72" spans="8:26" ht="15.75" x14ac:dyDescent="0.25">
      <c r="X72"/>
      <c r="Y72"/>
      <c r="Z72"/>
    </row>
    <row r="73" spans="8:26" ht="15.75" x14ac:dyDescent="0.25">
      <c r="X73"/>
      <c r="Y73"/>
      <c r="Z73"/>
    </row>
    <row r="74" spans="8:26" ht="15.75" x14ac:dyDescent="0.25">
      <c r="X74"/>
      <c r="Y74"/>
      <c r="Z74"/>
    </row>
    <row r="75" spans="8:26" ht="15.75" x14ac:dyDescent="0.25">
      <c r="X75"/>
      <c r="Y75"/>
      <c r="Z75"/>
    </row>
    <row r="76" spans="8:26" ht="15.75" x14ac:dyDescent="0.25">
      <c r="X76"/>
      <c r="Y76"/>
      <c r="Z76"/>
    </row>
    <row r="77" spans="8:26" ht="15.75" x14ac:dyDescent="0.25">
      <c r="X77"/>
      <c r="Y77"/>
      <c r="Z77"/>
    </row>
    <row r="78" spans="8:26" ht="15.75" x14ac:dyDescent="0.25">
      <c r="X78"/>
      <c r="Y78"/>
      <c r="Z78"/>
    </row>
    <row r="79" spans="8:26" ht="15.75" x14ac:dyDescent="0.25">
      <c r="X79"/>
      <c r="Y79"/>
      <c r="Z79"/>
    </row>
    <row r="80" spans="8:26" ht="15.75" x14ac:dyDescent="0.25">
      <c r="X80"/>
      <c r="Y80"/>
      <c r="Z80"/>
    </row>
    <row r="81" spans="24:26" ht="15.75" x14ac:dyDescent="0.25">
      <c r="X81"/>
      <c r="Y81"/>
      <c r="Z81"/>
    </row>
    <row r="82" spans="24:26" ht="15.75" x14ac:dyDescent="0.25">
      <c r="X82"/>
      <c r="Y82"/>
      <c r="Z82"/>
    </row>
    <row r="83" spans="24:26" ht="15.75" x14ac:dyDescent="0.25">
      <c r="X83"/>
      <c r="Y83"/>
      <c r="Z83"/>
    </row>
    <row r="84" spans="24:26" ht="15.75" x14ac:dyDescent="0.25">
      <c r="X84"/>
      <c r="Y84"/>
      <c r="Z84"/>
    </row>
    <row r="85" spans="24:26" ht="15.75" x14ac:dyDescent="0.25">
      <c r="X85"/>
      <c r="Y85"/>
      <c r="Z85"/>
    </row>
    <row r="86" spans="24:26" ht="15.75" x14ac:dyDescent="0.25">
      <c r="X86"/>
      <c r="Y86"/>
      <c r="Z86"/>
    </row>
    <row r="87" spans="24:26" ht="15.75" x14ac:dyDescent="0.25">
      <c r="X87"/>
      <c r="Y87"/>
      <c r="Z87"/>
    </row>
    <row r="88" spans="24:26" ht="15.75" x14ac:dyDescent="0.25">
      <c r="X88"/>
      <c r="Y88"/>
      <c r="Z88"/>
    </row>
    <row r="89" spans="24:26" ht="15.75" x14ac:dyDescent="0.25">
      <c r="X89"/>
      <c r="Y89"/>
      <c r="Z89"/>
    </row>
    <row r="90" spans="24:26" ht="15.75" x14ac:dyDescent="0.25">
      <c r="X90"/>
      <c r="Y90"/>
      <c r="Z90"/>
    </row>
    <row r="91" spans="24:26" ht="15.75" x14ac:dyDescent="0.25">
      <c r="X91"/>
      <c r="Y91"/>
      <c r="Z91"/>
    </row>
    <row r="92" spans="24:26" ht="15.75" x14ac:dyDescent="0.25">
      <c r="X92"/>
      <c r="Y92"/>
      <c r="Z92"/>
    </row>
    <row r="93" spans="24:26" ht="15.75" x14ac:dyDescent="0.25">
      <c r="X93"/>
      <c r="Y93"/>
      <c r="Z93"/>
    </row>
    <row r="94" spans="24:26" ht="15.75" x14ac:dyDescent="0.25">
      <c r="X94"/>
      <c r="Y94"/>
      <c r="Z94"/>
    </row>
    <row r="95" spans="24:26" ht="15.75" x14ac:dyDescent="0.25">
      <c r="X95"/>
      <c r="Y95"/>
      <c r="Z95"/>
    </row>
    <row r="96" spans="24:26" ht="15.75" x14ac:dyDescent="0.25">
      <c r="X96"/>
      <c r="Y96"/>
      <c r="Z96"/>
    </row>
    <row r="97" spans="24:26" ht="15.75" x14ac:dyDescent="0.25">
      <c r="X97"/>
      <c r="Y97"/>
      <c r="Z97"/>
    </row>
    <row r="98" spans="24:26" ht="15.75" x14ac:dyDescent="0.25">
      <c r="X98"/>
      <c r="Y98"/>
      <c r="Z98"/>
    </row>
    <row r="99" spans="24:26" ht="15.75" x14ac:dyDescent="0.25">
      <c r="X99"/>
      <c r="Y99"/>
      <c r="Z99"/>
    </row>
    <row r="100" spans="24:26" ht="15.75" x14ac:dyDescent="0.25">
      <c r="X100"/>
      <c r="Y100"/>
      <c r="Z100"/>
    </row>
    <row r="101" spans="24:26" ht="15.75" x14ac:dyDescent="0.25">
      <c r="X101"/>
      <c r="Y101"/>
      <c r="Z101"/>
    </row>
    <row r="102" spans="24:26" ht="15.75" x14ac:dyDescent="0.25">
      <c r="X102"/>
      <c r="Y102"/>
      <c r="Z102"/>
    </row>
    <row r="103" spans="24:26" ht="15.75" x14ac:dyDescent="0.25">
      <c r="X103"/>
      <c r="Y103"/>
      <c r="Z103"/>
    </row>
    <row r="104" spans="24:26" ht="15.75" x14ac:dyDescent="0.25">
      <c r="X104"/>
      <c r="Y104"/>
      <c r="Z104"/>
    </row>
    <row r="105" spans="24:26" ht="15.75" x14ac:dyDescent="0.25">
      <c r="X105"/>
      <c r="Y105"/>
      <c r="Z105"/>
    </row>
    <row r="106" spans="24:26" ht="15.75" x14ac:dyDescent="0.25">
      <c r="X106"/>
      <c r="Y106"/>
      <c r="Z106"/>
    </row>
    <row r="107" spans="24:26" ht="15.75" x14ac:dyDescent="0.25">
      <c r="X107"/>
      <c r="Y107"/>
      <c r="Z107"/>
    </row>
    <row r="108" spans="24:26" ht="15.75" x14ac:dyDescent="0.25">
      <c r="X108"/>
      <c r="Y108"/>
      <c r="Z108"/>
    </row>
    <row r="109" spans="24:26" ht="15.75" x14ac:dyDescent="0.25">
      <c r="X109"/>
      <c r="Y109"/>
      <c r="Z109"/>
    </row>
    <row r="110" spans="24:26" ht="15.75" x14ac:dyDescent="0.25">
      <c r="X110"/>
      <c r="Y110"/>
      <c r="Z110"/>
    </row>
    <row r="111" spans="24:26" ht="15.75" x14ac:dyDescent="0.25">
      <c r="X111"/>
      <c r="Y111"/>
      <c r="Z111"/>
    </row>
    <row r="112" spans="24:26" ht="15.75" x14ac:dyDescent="0.25">
      <c r="X112"/>
      <c r="Y112"/>
      <c r="Z112"/>
    </row>
    <row r="113" spans="24:26" ht="15.75" x14ac:dyDescent="0.25">
      <c r="X113"/>
      <c r="Y113"/>
      <c r="Z113"/>
    </row>
    <row r="114" spans="24:26" ht="15.75" x14ac:dyDescent="0.25">
      <c r="X114"/>
      <c r="Y114"/>
      <c r="Z114"/>
    </row>
    <row r="115" spans="24:26" ht="15.75" x14ac:dyDescent="0.25">
      <c r="X115"/>
      <c r="Y115"/>
      <c r="Z115"/>
    </row>
    <row r="116" spans="24:26" ht="15.75" x14ac:dyDescent="0.25">
      <c r="X116"/>
      <c r="Y116"/>
      <c r="Z116"/>
    </row>
    <row r="117" spans="24:26" ht="15.75" x14ac:dyDescent="0.25">
      <c r="X117"/>
      <c r="Y117"/>
      <c r="Z117"/>
    </row>
    <row r="118" spans="24:26" ht="15.75" x14ac:dyDescent="0.25">
      <c r="X118"/>
      <c r="Y118"/>
    </row>
    <row r="119" spans="24:26" ht="15.75" x14ac:dyDescent="0.25">
      <c r="X119"/>
      <c r="Y119"/>
    </row>
    <row r="120" spans="24:26" ht="15.75" x14ac:dyDescent="0.25">
      <c r="X120"/>
      <c r="Y120"/>
    </row>
    <row r="121" spans="24:26" ht="15.75" x14ac:dyDescent="0.25">
      <c r="X121"/>
      <c r="Y121"/>
    </row>
    <row r="122" spans="24:26" ht="15.75" x14ac:dyDescent="0.25">
      <c r="X122"/>
      <c r="Y122"/>
    </row>
    <row r="123" spans="24:26" ht="15.75" x14ac:dyDescent="0.25">
      <c r="X123"/>
      <c r="Y123"/>
    </row>
    <row r="124" spans="24:26" ht="15.75" x14ac:dyDescent="0.25">
      <c r="X124"/>
      <c r="Y124"/>
    </row>
    <row r="125" spans="24:26" ht="15.75" x14ac:dyDescent="0.25">
      <c r="X125"/>
      <c r="Y125"/>
    </row>
    <row r="126" spans="24:26" ht="15.75" x14ac:dyDescent="0.25">
      <c r="X126"/>
      <c r="Y126"/>
    </row>
    <row r="127" spans="24:26" ht="15.75" x14ac:dyDescent="0.25">
      <c r="X127"/>
      <c r="Y127"/>
    </row>
    <row r="128" spans="24:26" ht="15.75" x14ac:dyDescent="0.25">
      <c r="X128"/>
      <c r="Y128"/>
    </row>
    <row r="129" spans="24:25" ht="15.75" x14ac:dyDescent="0.25">
      <c r="X129"/>
      <c r="Y129"/>
    </row>
    <row r="130" spans="24:25" ht="15.75" x14ac:dyDescent="0.25">
      <c r="X130"/>
      <c r="Y130"/>
    </row>
    <row r="131" spans="24:25" ht="15.75" x14ac:dyDescent="0.25">
      <c r="X131"/>
      <c r="Y131"/>
    </row>
    <row r="132" spans="24:25" ht="15.75" x14ac:dyDescent="0.25">
      <c r="X132"/>
      <c r="Y132"/>
    </row>
    <row r="133" spans="24:25" ht="15.75" x14ac:dyDescent="0.25">
      <c r="X133"/>
      <c r="Y133"/>
    </row>
    <row r="134" spans="24:25" ht="15.75" x14ac:dyDescent="0.25">
      <c r="X134"/>
      <c r="Y134"/>
    </row>
    <row r="135" spans="24:25" ht="15.75" x14ac:dyDescent="0.25">
      <c r="X135"/>
      <c r="Y135"/>
    </row>
    <row r="136" spans="24:25" ht="15.75" x14ac:dyDescent="0.25">
      <c r="X136"/>
      <c r="Y136"/>
    </row>
    <row r="137" spans="24:25" ht="15.75" x14ac:dyDescent="0.25">
      <c r="X137"/>
      <c r="Y137"/>
    </row>
    <row r="138" spans="24:25" ht="15.75" x14ac:dyDescent="0.25">
      <c r="X138"/>
      <c r="Y138"/>
    </row>
    <row r="139" spans="24:25" ht="15.75" x14ac:dyDescent="0.25">
      <c r="X139"/>
      <c r="Y139"/>
    </row>
    <row r="140" spans="24:25" ht="15.75" x14ac:dyDescent="0.25">
      <c r="X140"/>
      <c r="Y140"/>
    </row>
    <row r="141" spans="24:25" ht="15.75" x14ac:dyDescent="0.25">
      <c r="X141"/>
      <c r="Y141"/>
    </row>
    <row r="142" spans="24:25" ht="15.75" x14ac:dyDescent="0.25">
      <c r="X142"/>
      <c r="Y142"/>
    </row>
    <row r="143" spans="24:25" ht="15.75" x14ac:dyDescent="0.25">
      <c r="X143"/>
      <c r="Y143"/>
    </row>
    <row r="144" spans="24:25" ht="15.75" x14ac:dyDescent="0.25">
      <c r="X144"/>
      <c r="Y144"/>
    </row>
    <row r="145" spans="24:25" ht="15.75" x14ac:dyDescent="0.25">
      <c r="X145"/>
      <c r="Y145"/>
    </row>
    <row r="146" spans="24:25" ht="15.75" x14ac:dyDescent="0.25">
      <c r="X146"/>
      <c r="Y146"/>
    </row>
    <row r="147" spans="24:25" ht="15.75" x14ac:dyDescent="0.25">
      <c r="X147"/>
      <c r="Y147"/>
    </row>
    <row r="148" spans="24:25" ht="15.75" x14ac:dyDescent="0.25">
      <c r="X148"/>
      <c r="Y148"/>
    </row>
    <row r="149" spans="24:25" ht="15.75" x14ac:dyDescent="0.25">
      <c r="X149"/>
      <c r="Y149"/>
    </row>
    <row r="150" spans="24:25" ht="15.75" x14ac:dyDescent="0.25">
      <c r="X150"/>
      <c r="Y150"/>
    </row>
    <row r="151" spans="24:25" ht="15.75" x14ac:dyDescent="0.25">
      <c r="X151"/>
      <c r="Y151"/>
    </row>
    <row r="152" spans="24:25" ht="15.75" x14ac:dyDescent="0.25">
      <c r="X152"/>
      <c r="Y152"/>
    </row>
  </sheetData>
  <mergeCells count="1">
    <mergeCell ref="B1:AC1"/>
  </mergeCells>
  <pageMargins left="0.25" right="0.25" top="1.25" bottom="0.25" header="0.3" footer="0.3"/>
  <pageSetup paperSize="9" scale="43"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1058" id="{11FF972A-B636-4DC0-A653-1493D50ADD01}">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E46:G52</xm:sqref>
        </x14:conditionalFormatting>
        <x14:conditionalFormatting xmlns:xm="http://schemas.microsoft.com/office/excel/2006/main">
          <x14:cfRule type="iconSet" priority="1" id="{5D683C2F-881A-4640-A1C4-0768F4B62131}">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E53:G53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2"/>
  <sheetViews>
    <sheetView showGridLines="0" view="pageBreakPreview" topLeftCell="B1" zoomScale="82" zoomScaleNormal="60" zoomScaleSheetLayoutView="82" zoomScalePageLayoutView="80" workbookViewId="0">
      <selection activeCell="Z24" sqref="Z24"/>
    </sheetView>
  </sheetViews>
  <sheetFormatPr defaultRowHeight="12.75" x14ac:dyDescent="0.2"/>
  <cols>
    <col min="1" max="1" width="1.375" style="21" hidden="1" customWidth="1"/>
    <col min="2" max="2" width="14.625" style="21" customWidth="1"/>
    <col min="3" max="3" width="24.5" style="21" customWidth="1"/>
    <col min="4" max="4" width="11.25" style="21" customWidth="1"/>
    <col min="5" max="5" width="13" style="21" customWidth="1"/>
    <col min="6" max="6" width="11.5" style="21" customWidth="1"/>
    <col min="7" max="7" width="12.125" style="21" customWidth="1"/>
    <col min="8" max="10" width="9" style="21"/>
    <col min="11" max="11" width="8" style="21" customWidth="1"/>
    <col min="12" max="12" width="18" style="21" customWidth="1"/>
    <col min="13" max="13" width="8" style="21" customWidth="1"/>
    <col min="14" max="14" width="14.875" style="21" customWidth="1"/>
    <col min="15" max="15" width="11.5" style="21" customWidth="1"/>
    <col min="16" max="16" width="8" style="21" customWidth="1"/>
    <col min="17" max="18" width="9" style="21"/>
    <col min="19" max="19" width="12" style="21" customWidth="1"/>
    <col min="20" max="20" width="4.625" style="21" customWidth="1"/>
    <col min="21" max="21" width="4.375" style="21" customWidth="1"/>
    <col min="22" max="24" width="8.125" style="21" customWidth="1"/>
    <col min="25" max="25" width="3.875" style="21" customWidth="1"/>
    <col min="26" max="26" width="16.125" style="21" bestFit="1" customWidth="1"/>
    <col min="27" max="27" width="9" style="21"/>
    <col min="28" max="28" width="21.75" style="21" bestFit="1" customWidth="1"/>
    <col min="29" max="29" width="13.25" style="21" customWidth="1"/>
    <col min="30" max="16384" width="9" style="21"/>
  </cols>
  <sheetData>
    <row r="1" spans="1:30" ht="24.75" customHeight="1" x14ac:dyDescent="0.2">
      <c r="A1" s="685" t="s">
        <v>2747</v>
      </c>
      <c r="B1" s="977" t="s">
        <v>3260</v>
      </c>
      <c r="C1" s="977"/>
      <c r="D1" s="977"/>
      <c r="E1" s="977"/>
      <c r="F1" s="977"/>
      <c r="G1" s="977"/>
      <c r="H1" s="977"/>
      <c r="I1" s="977"/>
      <c r="J1" s="977"/>
      <c r="K1" s="977"/>
      <c r="L1" s="977"/>
      <c r="M1" s="977"/>
      <c r="N1" s="977"/>
      <c r="O1" s="977"/>
      <c r="P1" s="977"/>
      <c r="Q1" s="977"/>
      <c r="R1" s="977"/>
      <c r="S1" s="977"/>
      <c r="T1" s="977"/>
      <c r="U1" s="977"/>
      <c r="V1" s="685"/>
      <c r="W1" s="685"/>
      <c r="X1" s="685"/>
      <c r="Y1" s="685"/>
      <c r="Z1" s="685"/>
      <c r="AA1" s="685"/>
      <c r="AB1" s="685"/>
      <c r="AC1" s="685"/>
    </row>
    <row r="8" spans="1:30" x14ac:dyDescent="0.2">
      <c r="AD8" s="21" t="s">
        <v>2606</v>
      </c>
    </row>
    <row r="36" ht="48" customHeight="1" x14ac:dyDescent="0.2"/>
    <row r="40" ht="10.5" customHeight="1" x14ac:dyDescent="0.2"/>
    <row r="41" ht="10.5" customHeight="1" x14ac:dyDescent="0.2"/>
    <row r="43" ht="36" customHeight="1" x14ac:dyDescent="0.2"/>
    <row r="44" ht="24.75" customHeight="1" x14ac:dyDescent="0.2"/>
    <row r="45" ht="13.5" customHeight="1" x14ac:dyDescent="0.2"/>
    <row r="46" ht="11.25" customHeight="1" x14ac:dyDescent="0.2"/>
    <row r="47" ht="39.75" customHeight="1" x14ac:dyDescent="0.2"/>
    <row r="48" ht="17.25" customHeight="1" x14ac:dyDescent="0.2"/>
    <row r="49" spans="2:26" ht="39" customHeight="1" x14ac:dyDescent="0.2">
      <c r="B49" s="771" t="s">
        <v>2940</v>
      </c>
      <c r="C49" s="772" t="s">
        <v>2546</v>
      </c>
      <c r="D49" s="773" t="s">
        <v>2439</v>
      </c>
      <c r="E49" s="773" t="s">
        <v>2547</v>
      </c>
      <c r="F49" s="773" t="s">
        <v>2548</v>
      </c>
      <c r="G49" s="774" t="s">
        <v>2549</v>
      </c>
    </row>
    <row r="50" spans="2:26" ht="15" customHeight="1" x14ac:dyDescent="0.2">
      <c r="B50" s="806" t="s">
        <v>518</v>
      </c>
      <c r="C50" s="818" t="s">
        <v>527</v>
      </c>
      <c r="D50" s="807">
        <v>981</v>
      </c>
      <c r="E50" s="775">
        <v>0</v>
      </c>
      <c r="F50" s="775">
        <v>0</v>
      </c>
      <c r="G50" s="776">
        <v>0</v>
      </c>
    </row>
    <row r="51" spans="2:26" ht="24.75" customHeight="1" x14ac:dyDescent="0.2">
      <c r="B51" s="806" t="s">
        <v>463</v>
      </c>
      <c r="C51" s="818" t="s">
        <v>453</v>
      </c>
      <c r="D51" s="807">
        <v>581</v>
      </c>
      <c r="E51" s="777">
        <v>0</v>
      </c>
      <c r="F51" s="777">
        <v>0.55077452667814109</v>
      </c>
      <c r="G51" s="778">
        <v>1</v>
      </c>
    </row>
    <row r="52" spans="2:26" ht="24.75" customHeight="1" x14ac:dyDescent="0.2">
      <c r="B52" s="806" t="s">
        <v>560</v>
      </c>
      <c r="C52" s="818" t="s">
        <v>559</v>
      </c>
      <c r="D52" s="807">
        <v>2835</v>
      </c>
      <c r="E52" s="775">
        <v>0</v>
      </c>
      <c r="F52" s="775">
        <v>0</v>
      </c>
      <c r="G52" s="776">
        <v>0</v>
      </c>
    </row>
    <row r="53" spans="2:26" ht="23.25" customHeight="1" x14ac:dyDescent="0.2">
      <c r="B53" s="806" t="s">
        <v>563</v>
      </c>
      <c r="C53" s="818" t="s">
        <v>2927</v>
      </c>
      <c r="D53" s="807">
        <v>22088</v>
      </c>
      <c r="E53" s="777">
        <v>0.36253810636653705</v>
      </c>
      <c r="F53" s="777">
        <v>0.31542268721093464</v>
      </c>
      <c r="G53" s="778">
        <v>0.2</v>
      </c>
    </row>
    <row r="54" spans="2:26" ht="27" customHeight="1" thickBot="1" x14ac:dyDescent="0.25">
      <c r="B54" s="808" t="s">
        <v>455</v>
      </c>
      <c r="C54" s="819" t="s">
        <v>2935</v>
      </c>
      <c r="D54" s="809">
        <v>96508</v>
      </c>
      <c r="E54" s="779">
        <v>6.25E-2</v>
      </c>
      <c r="F54" s="779">
        <v>0.11415086394786192</v>
      </c>
      <c r="G54" s="780">
        <v>0.125</v>
      </c>
    </row>
    <row r="55" spans="2:26" ht="25.5" customHeight="1" thickTop="1" x14ac:dyDescent="0.2">
      <c r="B55" s="802" t="s">
        <v>2440</v>
      </c>
      <c r="C55" s="803" t="s">
        <v>2561</v>
      </c>
      <c r="D55" s="804">
        <f>SUBTOTAL(109,D50:D54)</f>
        <v>122993</v>
      </c>
      <c r="E55" s="937">
        <v>0.12</v>
      </c>
      <c r="F55" s="937">
        <v>0.16</v>
      </c>
      <c r="G55" s="937">
        <v>0.17</v>
      </c>
    </row>
    <row r="56" spans="2:26" ht="15" x14ac:dyDescent="0.25">
      <c r="B56" s="933"/>
      <c r="C56" s="934"/>
      <c r="D56" s="935"/>
      <c r="E56" s="934"/>
      <c r="F56" s="934"/>
      <c r="G56" s="936"/>
    </row>
    <row r="57" spans="2:26" ht="43.5" customHeight="1" x14ac:dyDescent="0.25">
      <c r="B57" s="790" t="s">
        <v>2941</v>
      </c>
      <c r="C57" s="791" t="s">
        <v>2546</v>
      </c>
      <c r="D57" s="792" t="s">
        <v>2439</v>
      </c>
      <c r="E57" s="792" t="s">
        <v>2547</v>
      </c>
      <c r="F57" s="792" t="s">
        <v>2548</v>
      </c>
      <c r="G57" s="793" t="s">
        <v>2549</v>
      </c>
      <c r="X57"/>
      <c r="Y57"/>
    </row>
    <row r="58" spans="2:26" ht="15.75" x14ac:dyDescent="0.25">
      <c r="B58" s="781" t="s">
        <v>480</v>
      </c>
      <c r="C58" s="820" t="s">
        <v>530</v>
      </c>
      <c r="D58" s="801">
        <v>7015</v>
      </c>
      <c r="E58" s="770">
        <v>0.58633247643530417</v>
      </c>
      <c r="F58" s="770">
        <v>0.96935067697369171</v>
      </c>
      <c r="G58" s="783">
        <v>0.16666666666666666</v>
      </c>
      <c r="X58"/>
      <c r="Y58"/>
      <c r="Z58"/>
    </row>
    <row r="59" spans="2:26" ht="15.75" x14ac:dyDescent="0.25">
      <c r="B59" s="782" t="s">
        <v>463</v>
      </c>
      <c r="C59" s="820" t="s">
        <v>1373</v>
      </c>
      <c r="D59" s="800">
        <v>10250</v>
      </c>
      <c r="E59" s="770">
        <v>1</v>
      </c>
      <c r="F59" s="770">
        <v>0.86182149330792646</v>
      </c>
      <c r="G59" s="784">
        <v>1</v>
      </c>
      <c r="X59"/>
      <c r="Y59"/>
      <c r="Z59"/>
    </row>
    <row r="60" spans="2:26" ht="15.75" x14ac:dyDescent="0.25">
      <c r="B60" s="781" t="s">
        <v>466</v>
      </c>
      <c r="C60" s="820" t="s">
        <v>2926</v>
      </c>
      <c r="D60" s="801">
        <v>8977</v>
      </c>
      <c r="E60" s="770">
        <v>0.75143953934740881</v>
      </c>
      <c r="F60" s="770">
        <v>0.96248619433687743</v>
      </c>
      <c r="G60" s="783">
        <v>0.21428571428571427</v>
      </c>
      <c r="X60"/>
      <c r="Y60"/>
      <c r="Z60"/>
    </row>
    <row r="61" spans="2:26" ht="15.75" x14ac:dyDescent="0.25">
      <c r="B61" s="782" t="s">
        <v>560</v>
      </c>
      <c r="C61" s="820" t="s">
        <v>559</v>
      </c>
      <c r="D61" s="800">
        <v>217</v>
      </c>
      <c r="E61" s="770">
        <v>0</v>
      </c>
      <c r="F61" s="770">
        <v>0</v>
      </c>
      <c r="G61" s="784">
        <v>0</v>
      </c>
      <c r="X61"/>
      <c r="Y61"/>
      <c r="Z61"/>
    </row>
    <row r="62" spans="2:26" ht="15.75" x14ac:dyDescent="0.25">
      <c r="B62" s="781" t="s">
        <v>563</v>
      </c>
      <c r="C62" s="820" t="s">
        <v>2936</v>
      </c>
      <c r="D62" s="801">
        <v>8949</v>
      </c>
      <c r="E62" s="770">
        <v>0.28355420523258407</v>
      </c>
      <c r="F62" s="770">
        <v>0.39890830061610516</v>
      </c>
      <c r="G62" s="783">
        <v>1</v>
      </c>
      <c r="N62" s="420"/>
      <c r="O62" s="420"/>
      <c r="P62" s="420"/>
      <c r="Q62" s="420"/>
      <c r="R62" s="420"/>
      <c r="S62" s="420"/>
      <c r="T62" s="420"/>
      <c r="U62" s="420"/>
      <c r="V62" s="420"/>
      <c r="X62"/>
      <c r="Y62"/>
      <c r="Z62"/>
    </row>
    <row r="63" spans="2:26" ht="15.75" x14ac:dyDescent="0.25">
      <c r="B63" s="810" t="s">
        <v>498</v>
      </c>
      <c r="C63" s="820" t="s">
        <v>530</v>
      </c>
      <c r="D63" s="800">
        <v>7185</v>
      </c>
      <c r="E63" s="770">
        <v>0.21904761904761905</v>
      </c>
      <c r="F63" s="770">
        <v>0.72630664061749584</v>
      </c>
      <c r="G63" s="783">
        <v>1</v>
      </c>
      <c r="N63" s="420"/>
      <c r="O63" s="420"/>
      <c r="P63" s="420"/>
      <c r="Q63" s="420"/>
      <c r="R63" s="420"/>
      <c r="S63" s="420"/>
      <c r="T63" s="420"/>
      <c r="U63" s="420"/>
      <c r="V63" s="420"/>
      <c r="X63"/>
      <c r="Y63"/>
      <c r="Z63"/>
    </row>
    <row r="64" spans="2:26" ht="16.5" thickBot="1" x14ac:dyDescent="0.3">
      <c r="B64" s="811" t="s">
        <v>455</v>
      </c>
      <c r="C64" s="821" t="s">
        <v>2937</v>
      </c>
      <c r="D64" s="805">
        <v>30162</v>
      </c>
      <c r="E64" s="794">
        <v>0.17945275003991323</v>
      </c>
      <c r="F64" s="794">
        <v>0.53977965949143558</v>
      </c>
      <c r="G64" s="795">
        <v>1</v>
      </c>
      <c r="N64" s="420"/>
      <c r="O64" s="420"/>
      <c r="P64" s="420"/>
      <c r="Q64" s="420"/>
      <c r="R64" s="420"/>
      <c r="S64" s="420"/>
      <c r="T64" s="420"/>
      <c r="U64" s="420"/>
      <c r="V64" s="420"/>
      <c r="X64"/>
      <c r="Y64"/>
      <c r="Z64"/>
    </row>
    <row r="65" spans="2:26" ht="16.5" thickTop="1" x14ac:dyDescent="0.25">
      <c r="B65" s="785" t="s">
        <v>2150</v>
      </c>
      <c r="C65" s="786" t="s">
        <v>2938</v>
      </c>
      <c r="D65" s="789">
        <f>SUBTOTAL(109,D58:D64)</f>
        <v>72755</v>
      </c>
      <c r="E65" s="787">
        <v>0.45379129708997279</v>
      </c>
      <c r="F65" s="787">
        <v>0.71948592266946365</v>
      </c>
      <c r="G65" s="788">
        <v>0.78749999999999998</v>
      </c>
      <c r="N65" s="420"/>
      <c r="O65" s="420"/>
      <c r="P65" s="420"/>
      <c r="Q65" s="420"/>
      <c r="R65" s="420"/>
      <c r="S65" s="420"/>
      <c r="T65" s="420"/>
      <c r="U65" s="420"/>
      <c r="V65" s="420"/>
      <c r="X65"/>
      <c r="Y65"/>
      <c r="Z65"/>
    </row>
    <row r="66" spans="2:26" ht="15.75" x14ac:dyDescent="0.25">
      <c r="N66" s="420"/>
      <c r="O66" s="420"/>
      <c r="P66" s="420"/>
      <c r="Q66" s="420"/>
      <c r="R66" s="420"/>
      <c r="S66" s="420"/>
      <c r="T66" s="420"/>
      <c r="U66" s="420"/>
      <c r="V66" s="420"/>
      <c r="X66"/>
      <c r="Y66"/>
      <c r="Z66"/>
    </row>
    <row r="67" spans="2:26" ht="15.75" x14ac:dyDescent="0.25">
      <c r="X67"/>
      <c r="Y67"/>
      <c r="Z67"/>
    </row>
    <row r="68" spans="2:26" ht="15.75" x14ac:dyDescent="0.25">
      <c r="X68"/>
      <c r="Y68"/>
      <c r="Z68"/>
    </row>
    <row r="69" spans="2:26" ht="15.75" x14ac:dyDescent="0.25">
      <c r="X69"/>
      <c r="Y69"/>
      <c r="Z69"/>
    </row>
    <row r="70" spans="2:26" ht="15.75" x14ac:dyDescent="0.25">
      <c r="X70"/>
      <c r="Y70"/>
      <c r="Z70"/>
    </row>
    <row r="71" spans="2:26" ht="15.75" x14ac:dyDescent="0.25">
      <c r="X71"/>
      <c r="Y71"/>
      <c r="Z71"/>
    </row>
    <row r="72" spans="2:26" ht="15.75" x14ac:dyDescent="0.25">
      <c r="X72"/>
      <c r="Y72"/>
      <c r="Z72"/>
    </row>
    <row r="73" spans="2:26" ht="15.75" x14ac:dyDescent="0.25">
      <c r="X73"/>
      <c r="Y73"/>
      <c r="Z73"/>
    </row>
    <row r="74" spans="2:26" ht="15.75" x14ac:dyDescent="0.25">
      <c r="X74"/>
      <c r="Y74"/>
      <c r="Z74"/>
    </row>
    <row r="75" spans="2:26" ht="15.75" x14ac:dyDescent="0.25">
      <c r="X75"/>
      <c r="Y75"/>
      <c r="Z75"/>
    </row>
    <row r="76" spans="2:26" ht="15.75" x14ac:dyDescent="0.25">
      <c r="X76"/>
      <c r="Y76"/>
      <c r="Z76"/>
    </row>
    <row r="77" spans="2:26" ht="15.75" x14ac:dyDescent="0.25">
      <c r="X77"/>
      <c r="Y77"/>
      <c r="Z77"/>
    </row>
    <row r="78" spans="2:26" ht="15.75" x14ac:dyDescent="0.25">
      <c r="X78"/>
      <c r="Y78"/>
      <c r="Z78"/>
    </row>
    <row r="79" spans="2:26" ht="15.75" x14ac:dyDescent="0.25">
      <c r="X79"/>
      <c r="Y79"/>
      <c r="Z79"/>
    </row>
    <row r="80" spans="2:26" ht="15.75" x14ac:dyDescent="0.25">
      <c r="X80"/>
      <c r="Y80"/>
      <c r="Z80"/>
    </row>
    <row r="81" spans="24:26" ht="15.75" x14ac:dyDescent="0.25">
      <c r="X81"/>
      <c r="Y81"/>
      <c r="Z81"/>
    </row>
    <row r="82" spans="24:26" ht="15.75" x14ac:dyDescent="0.25">
      <c r="X82"/>
      <c r="Y82"/>
      <c r="Z82"/>
    </row>
    <row r="83" spans="24:26" ht="15.75" x14ac:dyDescent="0.25">
      <c r="X83"/>
      <c r="Y83"/>
      <c r="Z83"/>
    </row>
    <row r="84" spans="24:26" ht="15.75" x14ac:dyDescent="0.25">
      <c r="X84"/>
      <c r="Y84"/>
      <c r="Z84"/>
    </row>
    <row r="85" spans="24:26" ht="15.75" x14ac:dyDescent="0.25">
      <c r="X85"/>
      <c r="Y85"/>
      <c r="Z85"/>
    </row>
    <row r="86" spans="24:26" ht="15.75" x14ac:dyDescent="0.25">
      <c r="X86"/>
      <c r="Y86"/>
      <c r="Z86"/>
    </row>
    <row r="87" spans="24:26" ht="15.75" x14ac:dyDescent="0.25">
      <c r="X87"/>
      <c r="Y87"/>
      <c r="Z87"/>
    </row>
    <row r="88" spans="24:26" ht="15.75" x14ac:dyDescent="0.25">
      <c r="X88"/>
      <c r="Y88"/>
      <c r="Z88"/>
    </row>
    <row r="89" spans="24:26" ht="15.75" x14ac:dyDescent="0.25">
      <c r="X89"/>
      <c r="Y89"/>
      <c r="Z89"/>
    </row>
    <row r="90" spans="24:26" ht="15.75" x14ac:dyDescent="0.25">
      <c r="X90"/>
      <c r="Y90"/>
      <c r="Z90"/>
    </row>
    <row r="91" spans="24:26" ht="15.75" x14ac:dyDescent="0.25">
      <c r="X91"/>
      <c r="Y91"/>
      <c r="Z91"/>
    </row>
    <row r="92" spans="24:26" ht="15.75" x14ac:dyDescent="0.25">
      <c r="X92"/>
      <c r="Y92"/>
      <c r="Z92"/>
    </row>
    <row r="93" spans="24:26" ht="15.75" x14ac:dyDescent="0.25">
      <c r="X93"/>
      <c r="Y93"/>
      <c r="Z93"/>
    </row>
    <row r="94" spans="24:26" ht="15.75" x14ac:dyDescent="0.25">
      <c r="X94"/>
      <c r="Y94"/>
      <c r="Z94"/>
    </row>
    <row r="95" spans="24:26" ht="15.75" x14ac:dyDescent="0.25">
      <c r="X95"/>
      <c r="Y95"/>
      <c r="Z95"/>
    </row>
    <row r="96" spans="24:26" ht="15.75" x14ac:dyDescent="0.25">
      <c r="X96"/>
      <c r="Y96"/>
      <c r="Z96"/>
    </row>
    <row r="97" spans="24:26" ht="15.75" x14ac:dyDescent="0.25">
      <c r="X97"/>
      <c r="Y97"/>
      <c r="Z97"/>
    </row>
    <row r="98" spans="24:26" ht="15.75" x14ac:dyDescent="0.25">
      <c r="X98"/>
      <c r="Y98"/>
      <c r="Z98"/>
    </row>
    <row r="99" spans="24:26" ht="15.75" x14ac:dyDescent="0.25">
      <c r="X99"/>
      <c r="Y99"/>
      <c r="Z99"/>
    </row>
    <row r="100" spans="24:26" ht="15.75" x14ac:dyDescent="0.25">
      <c r="X100"/>
      <c r="Y100"/>
      <c r="Z100"/>
    </row>
    <row r="101" spans="24:26" ht="15.75" x14ac:dyDescent="0.25">
      <c r="X101"/>
      <c r="Y101"/>
      <c r="Z101"/>
    </row>
    <row r="102" spans="24:26" ht="15.75" x14ac:dyDescent="0.25">
      <c r="X102"/>
      <c r="Y102"/>
      <c r="Z102"/>
    </row>
    <row r="103" spans="24:26" ht="15.75" x14ac:dyDescent="0.25">
      <c r="X103"/>
      <c r="Y103"/>
      <c r="Z103"/>
    </row>
    <row r="104" spans="24:26" ht="15.75" x14ac:dyDescent="0.25">
      <c r="X104"/>
      <c r="Y104"/>
      <c r="Z104"/>
    </row>
    <row r="105" spans="24:26" ht="15.75" x14ac:dyDescent="0.25">
      <c r="X105"/>
      <c r="Y105"/>
      <c r="Z105"/>
    </row>
    <row r="106" spans="24:26" ht="15.75" x14ac:dyDescent="0.25">
      <c r="X106"/>
      <c r="Y106"/>
      <c r="Z106"/>
    </row>
    <row r="107" spans="24:26" ht="15.75" x14ac:dyDescent="0.25">
      <c r="X107"/>
      <c r="Y107"/>
      <c r="Z107"/>
    </row>
    <row r="108" spans="24:26" ht="15.75" x14ac:dyDescent="0.25">
      <c r="X108"/>
      <c r="Y108"/>
      <c r="Z108"/>
    </row>
    <row r="109" spans="24:26" ht="15.75" x14ac:dyDescent="0.25">
      <c r="X109"/>
      <c r="Y109"/>
      <c r="Z109"/>
    </row>
    <row r="110" spans="24:26" ht="15.75" x14ac:dyDescent="0.25">
      <c r="X110"/>
      <c r="Y110"/>
      <c r="Z110"/>
    </row>
    <row r="111" spans="24:26" ht="15.75" x14ac:dyDescent="0.25">
      <c r="X111"/>
      <c r="Y111"/>
      <c r="Z111"/>
    </row>
    <row r="112" spans="24:26" ht="15.75" x14ac:dyDescent="0.25">
      <c r="X112"/>
      <c r="Y112"/>
      <c r="Z112"/>
    </row>
    <row r="113" spans="24:26" ht="15.75" x14ac:dyDescent="0.25">
      <c r="X113"/>
      <c r="Y113"/>
      <c r="Z113"/>
    </row>
    <row r="114" spans="24:26" ht="15.75" x14ac:dyDescent="0.25">
      <c r="X114"/>
      <c r="Y114"/>
      <c r="Z114"/>
    </row>
    <row r="115" spans="24:26" ht="15.75" x14ac:dyDescent="0.25">
      <c r="X115"/>
      <c r="Y115"/>
      <c r="Z115"/>
    </row>
    <row r="116" spans="24:26" ht="15.75" x14ac:dyDescent="0.25">
      <c r="X116"/>
      <c r="Y116"/>
      <c r="Z116"/>
    </row>
    <row r="117" spans="24:26" ht="15.75" x14ac:dyDescent="0.25">
      <c r="X117"/>
      <c r="Y117"/>
      <c r="Z117"/>
    </row>
    <row r="118" spans="24:26" ht="15.75" x14ac:dyDescent="0.25">
      <c r="X118"/>
      <c r="Y118"/>
    </row>
    <row r="119" spans="24:26" ht="15.75" x14ac:dyDescent="0.25">
      <c r="X119"/>
      <c r="Y119"/>
    </row>
    <row r="120" spans="24:26" ht="15.75" x14ac:dyDescent="0.25">
      <c r="X120"/>
      <c r="Y120"/>
    </row>
    <row r="121" spans="24:26" ht="15.75" x14ac:dyDescent="0.25">
      <c r="X121"/>
      <c r="Y121"/>
    </row>
    <row r="122" spans="24:26" ht="15.75" x14ac:dyDescent="0.25">
      <c r="X122"/>
      <c r="Y122"/>
    </row>
    <row r="123" spans="24:26" ht="15.75" x14ac:dyDescent="0.25">
      <c r="X123"/>
      <c r="Y123"/>
    </row>
    <row r="124" spans="24:26" ht="15.75" x14ac:dyDescent="0.25">
      <c r="X124"/>
      <c r="Y124"/>
    </row>
    <row r="125" spans="24:26" ht="15.75" x14ac:dyDescent="0.25">
      <c r="X125"/>
      <c r="Y125"/>
    </row>
    <row r="126" spans="24:26" ht="15.75" x14ac:dyDescent="0.25">
      <c r="X126"/>
      <c r="Y126"/>
    </row>
    <row r="127" spans="24:26" ht="15.75" x14ac:dyDescent="0.25">
      <c r="X127"/>
      <c r="Y127"/>
    </row>
    <row r="128" spans="24:26" ht="15.75" x14ac:dyDescent="0.25">
      <c r="X128"/>
      <c r="Y128"/>
    </row>
    <row r="129" spans="24:25" ht="15.75" x14ac:dyDescent="0.25">
      <c r="X129"/>
      <c r="Y129"/>
    </row>
    <row r="130" spans="24:25" ht="15.75" x14ac:dyDescent="0.25">
      <c r="X130"/>
      <c r="Y130"/>
    </row>
    <row r="131" spans="24:25" ht="15.75" x14ac:dyDescent="0.25">
      <c r="X131"/>
      <c r="Y131"/>
    </row>
    <row r="132" spans="24:25" ht="15.75" x14ac:dyDescent="0.25">
      <c r="X132"/>
      <c r="Y132"/>
    </row>
    <row r="133" spans="24:25" ht="15.75" x14ac:dyDescent="0.25">
      <c r="X133"/>
      <c r="Y133"/>
    </row>
    <row r="134" spans="24:25" ht="15.75" x14ac:dyDescent="0.25">
      <c r="X134"/>
      <c r="Y134"/>
    </row>
    <row r="135" spans="24:25" ht="15.75" x14ac:dyDescent="0.25">
      <c r="X135"/>
      <c r="Y135"/>
    </row>
    <row r="136" spans="24:25" ht="15.75" x14ac:dyDescent="0.25">
      <c r="X136"/>
      <c r="Y136"/>
    </row>
    <row r="137" spans="24:25" ht="15.75" x14ac:dyDescent="0.25">
      <c r="X137"/>
      <c r="Y137"/>
    </row>
    <row r="138" spans="24:25" ht="15.75" x14ac:dyDescent="0.25">
      <c r="X138"/>
      <c r="Y138"/>
    </row>
    <row r="139" spans="24:25" ht="15.75" x14ac:dyDescent="0.25">
      <c r="X139"/>
      <c r="Y139"/>
    </row>
    <row r="140" spans="24:25" ht="15.75" x14ac:dyDescent="0.25">
      <c r="X140"/>
      <c r="Y140"/>
    </row>
    <row r="141" spans="24:25" ht="15.75" x14ac:dyDescent="0.25">
      <c r="X141"/>
      <c r="Y141"/>
    </row>
    <row r="142" spans="24:25" ht="15.75" x14ac:dyDescent="0.25">
      <c r="X142"/>
      <c r="Y142"/>
    </row>
    <row r="143" spans="24:25" ht="15.75" x14ac:dyDescent="0.25">
      <c r="X143"/>
      <c r="Y143"/>
    </row>
    <row r="144" spans="24:25" ht="15.75" x14ac:dyDescent="0.25">
      <c r="X144"/>
      <c r="Y144"/>
    </row>
    <row r="145" spans="24:25" ht="15.75" x14ac:dyDescent="0.25">
      <c r="X145"/>
      <c r="Y145"/>
    </row>
    <row r="146" spans="24:25" ht="15.75" x14ac:dyDescent="0.25">
      <c r="X146"/>
      <c r="Y146"/>
    </row>
    <row r="147" spans="24:25" ht="15.75" x14ac:dyDescent="0.25">
      <c r="X147"/>
      <c r="Y147"/>
    </row>
    <row r="148" spans="24:25" ht="15.75" x14ac:dyDescent="0.25">
      <c r="X148"/>
      <c r="Y148"/>
    </row>
    <row r="149" spans="24:25" ht="15.75" x14ac:dyDescent="0.25">
      <c r="X149"/>
      <c r="Y149"/>
    </row>
    <row r="150" spans="24:25" ht="15.75" x14ac:dyDescent="0.25">
      <c r="X150"/>
      <c r="Y150"/>
    </row>
    <row r="151" spans="24:25" ht="15.75" x14ac:dyDescent="0.25">
      <c r="X151"/>
      <c r="Y151"/>
    </row>
    <row r="152" spans="24:25" ht="15.75" x14ac:dyDescent="0.25">
      <c r="X152"/>
      <c r="Y152"/>
    </row>
  </sheetData>
  <mergeCells count="1">
    <mergeCell ref="B1:U1"/>
  </mergeCells>
  <conditionalFormatting sqref="E55:G55">
    <cfRule type="iconSet" priority="1">
      <iconSet reverse="1">
        <cfvo type="percent" val="0"/>
        <cfvo type="percent" val="0"/>
        <cfvo type="percent" val="30"/>
      </iconSet>
    </cfRule>
  </conditionalFormatting>
  <printOptions horizontalCentered="1" verticalCentered="1"/>
  <pageMargins left="0.25" right="0.25" top="0.25" bottom="0.25" header="0.3" footer="0.3"/>
  <pageSetup paperSize="9" scale="42" fitToHeight="0"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9" id="{D883840B-0D3C-4EDF-9EF0-F4C94CF33270}">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E50:G54</xm:sqref>
        </x14:conditionalFormatting>
        <x14:conditionalFormatting xmlns:xm="http://schemas.microsoft.com/office/excel/2006/main">
          <x14:cfRule type="iconSet" priority="7" id="{7025507C-F4DE-4917-BE5E-A14458D93B68}">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F58:G63</xm:sqref>
        </x14:conditionalFormatting>
        <x14:conditionalFormatting xmlns:xm="http://schemas.microsoft.com/office/excel/2006/main">
          <x14:cfRule type="iconSet" priority="6" id="{098C4046-9448-4C64-A0B9-4737487576F1}">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F64:G65</xm:sqref>
        </x14:conditionalFormatting>
        <x14:conditionalFormatting xmlns:xm="http://schemas.microsoft.com/office/excel/2006/main">
          <x14:cfRule type="iconSet" priority="5" id="{58B2DEE8-5DD0-4670-A432-69C042277B67}">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E58:E65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5"/>
  <sheetViews>
    <sheetView showGridLines="0" view="pageBreakPreview" zoomScale="87" zoomScaleNormal="87" zoomScaleSheetLayoutView="87" workbookViewId="0">
      <selection activeCell="W24" sqref="W24"/>
    </sheetView>
  </sheetViews>
  <sheetFormatPr defaultRowHeight="12.75" x14ac:dyDescent="0.2"/>
  <cols>
    <col min="1" max="1" width="1.125" style="21" customWidth="1"/>
    <col min="2" max="2" width="15.25" style="21" customWidth="1"/>
    <col min="3" max="3" width="30.875" style="21" customWidth="1"/>
    <col min="4" max="4" width="12.25" style="21" customWidth="1"/>
    <col min="5" max="5" width="11.5" style="21" customWidth="1"/>
    <col min="6" max="6" width="12.375" style="21" customWidth="1"/>
    <col min="7" max="7" width="11" style="21" customWidth="1"/>
    <col min="8" max="8" width="2.875" style="21" customWidth="1"/>
    <col min="9" max="10" width="9" style="21"/>
    <col min="11" max="11" width="10.75" style="21" customWidth="1"/>
    <col min="12" max="12" width="11.875" style="21" customWidth="1"/>
    <col min="13" max="13" width="10.25" style="21" customWidth="1"/>
    <col min="14" max="14" width="25.375" style="21" customWidth="1"/>
    <col min="15" max="15" width="13" style="21" customWidth="1"/>
    <col min="16" max="16" width="10.375" style="21" customWidth="1"/>
    <col min="17" max="17" width="9.5" style="21" customWidth="1"/>
    <col min="18" max="18" width="8.125" style="21" customWidth="1"/>
    <col min="19" max="19" width="2.875" style="21" customWidth="1"/>
    <col min="20" max="22" width="8.125" style="21" customWidth="1"/>
    <col min="23" max="23" width="16.125" style="21" customWidth="1"/>
    <col min="24" max="24" width="9" style="21"/>
    <col min="25" max="25" width="21.75" style="21" customWidth="1"/>
    <col min="26" max="26" width="17.5" style="21" customWidth="1"/>
    <col min="27" max="27" width="9.625" style="21" customWidth="1"/>
    <col min="28" max="28" width="1.75" style="21" customWidth="1"/>
    <col min="29" max="16384" width="9" style="21"/>
  </cols>
  <sheetData>
    <row r="1" spans="2:31" ht="36.75" customHeight="1" x14ac:dyDescent="0.2">
      <c r="B1" s="977" t="s">
        <v>3262</v>
      </c>
      <c r="C1" s="977"/>
      <c r="D1" s="977"/>
      <c r="E1" s="977"/>
      <c r="F1" s="977"/>
      <c r="G1" s="977"/>
      <c r="H1" s="977"/>
      <c r="I1" s="977"/>
      <c r="J1" s="977"/>
      <c r="K1" s="977"/>
      <c r="L1" s="977"/>
      <c r="M1" s="977"/>
      <c r="N1" s="977"/>
      <c r="O1" s="977"/>
      <c r="P1" s="977"/>
      <c r="Q1" s="977"/>
      <c r="R1" s="977"/>
      <c r="S1" s="685"/>
      <c r="T1" s="685"/>
      <c r="U1" s="685"/>
      <c r="V1" s="685"/>
      <c r="W1" s="685"/>
      <c r="X1" s="685"/>
      <c r="Y1" s="685"/>
      <c r="Z1" s="685"/>
      <c r="AA1" s="685"/>
      <c r="AB1" s="685"/>
      <c r="AC1" s="685"/>
      <c r="AD1" s="685"/>
      <c r="AE1" s="685"/>
    </row>
    <row r="9" spans="2:31" ht="18" customHeight="1" x14ac:dyDescent="0.2"/>
    <row r="10" spans="2:31" ht="20.25" customHeight="1" x14ac:dyDescent="0.2"/>
    <row r="27" ht="18" customHeight="1" x14ac:dyDescent="0.2"/>
    <row r="28" ht="21.75" customHeight="1" x14ac:dyDescent="0.2"/>
    <row r="29" ht="33" customHeight="1" x14ac:dyDescent="0.2"/>
    <row r="30" ht="18" customHeight="1" x14ac:dyDescent="0.2"/>
    <row r="31" ht="40.5" customHeight="1" x14ac:dyDescent="0.2"/>
    <row r="32" ht="18.75" customHeight="1" x14ac:dyDescent="0.2"/>
    <row r="33" spans="1:12" ht="18.75" customHeight="1" x14ac:dyDescent="0.2">
      <c r="A33" s="386"/>
      <c r="D33" s="387"/>
    </row>
    <row r="34" spans="1:12" ht="18.75" customHeight="1" x14ac:dyDescent="0.2">
      <c r="A34" s="386"/>
      <c r="D34" s="387"/>
    </row>
    <row r="35" spans="1:12" ht="18.75" customHeight="1" x14ac:dyDescent="0.2">
      <c r="A35" s="386"/>
      <c r="D35" s="387"/>
    </row>
    <row r="36" spans="1:12" ht="36" customHeight="1" x14ac:dyDescent="0.2">
      <c r="A36" s="386"/>
    </row>
    <row r="37" spans="1:12" ht="38.25" customHeight="1" x14ac:dyDescent="0.2">
      <c r="A37" s="386"/>
      <c r="L37" s="386"/>
    </row>
    <row r="38" spans="1:12" ht="26.25" customHeight="1" x14ac:dyDescent="0.2"/>
    <row r="39" spans="1:12" ht="26.25" customHeight="1" x14ac:dyDescent="0.2"/>
    <row r="40" spans="1:12" ht="20.25" customHeight="1" x14ac:dyDescent="0.2"/>
    <row r="41" spans="1:12" ht="15" customHeight="1" x14ac:dyDescent="0.2"/>
    <row r="48" spans="1:12" ht="37.5" customHeight="1" x14ac:dyDescent="0.2">
      <c r="B48" s="416" t="s">
        <v>2545</v>
      </c>
      <c r="C48" s="417" t="s">
        <v>2546</v>
      </c>
      <c r="D48" s="416" t="s">
        <v>2439</v>
      </c>
      <c r="E48" s="416" t="s">
        <v>2547</v>
      </c>
      <c r="F48" s="416" t="s">
        <v>2548</v>
      </c>
      <c r="G48" s="416" t="s">
        <v>2549</v>
      </c>
    </row>
    <row r="49" spans="2:23" ht="21.75" customHeight="1" x14ac:dyDescent="0.2">
      <c r="B49" s="816" t="s">
        <v>888</v>
      </c>
      <c r="C49" s="814" t="s">
        <v>2899</v>
      </c>
      <c r="D49" s="815">
        <v>313</v>
      </c>
      <c r="E49" s="813">
        <v>0</v>
      </c>
      <c r="F49" s="813">
        <v>0</v>
      </c>
      <c r="G49" s="817">
        <v>1</v>
      </c>
    </row>
    <row r="50" spans="2:23" ht="21.75" customHeight="1" x14ac:dyDescent="0.2">
      <c r="B50" s="816" t="s">
        <v>870</v>
      </c>
      <c r="C50" s="814" t="s">
        <v>3244</v>
      </c>
      <c r="D50" s="815">
        <v>4822</v>
      </c>
      <c r="E50" s="813">
        <v>6.6666666666666666E-2</v>
      </c>
      <c r="F50" s="813">
        <v>7.0684424853862282E-2</v>
      </c>
      <c r="G50" s="817">
        <v>1</v>
      </c>
    </row>
    <row r="51" spans="2:23" ht="21.75" customHeight="1" x14ac:dyDescent="0.2">
      <c r="B51" s="816" t="s">
        <v>873</v>
      </c>
      <c r="C51" s="814" t="s">
        <v>3247</v>
      </c>
      <c r="D51" s="815">
        <v>618</v>
      </c>
      <c r="E51" s="813">
        <v>0</v>
      </c>
      <c r="F51" s="813">
        <v>3.8986354775828458E-2</v>
      </c>
      <c r="G51" s="817">
        <v>1</v>
      </c>
    </row>
    <row r="52" spans="2:23" ht="21.75" customHeight="1" x14ac:dyDescent="0.2">
      <c r="B52" s="816" t="s">
        <v>876</v>
      </c>
      <c r="C52" s="814" t="s">
        <v>2928</v>
      </c>
      <c r="D52" s="815">
        <v>1658</v>
      </c>
      <c r="E52" s="813">
        <v>0.25</v>
      </c>
      <c r="F52" s="813">
        <v>0.27808988764044945</v>
      </c>
      <c r="G52" s="817">
        <v>1</v>
      </c>
    </row>
    <row r="53" spans="2:23" ht="15" x14ac:dyDescent="0.2">
      <c r="B53" s="816" t="s">
        <v>867</v>
      </c>
      <c r="C53" s="814" t="s">
        <v>2929</v>
      </c>
      <c r="D53" s="815">
        <v>1901</v>
      </c>
      <c r="E53" s="813">
        <v>0</v>
      </c>
      <c r="F53" s="813">
        <v>0.19406259621787667</v>
      </c>
      <c r="G53" s="817">
        <v>0.33333333333333331</v>
      </c>
    </row>
    <row r="54" spans="2:23" ht="21" customHeight="1" x14ac:dyDescent="0.2">
      <c r="B54" s="816" t="s">
        <v>890</v>
      </c>
      <c r="C54" s="814" t="s">
        <v>2901</v>
      </c>
      <c r="D54" s="815">
        <v>1073</v>
      </c>
      <c r="E54" s="813">
        <v>0</v>
      </c>
      <c r="F54" s="813">
        <v>5.9520246290674303E-2</v>
      </c>
      <c r="G54" s="817">
        <v>1</v>
      </c>
    </row>
    <row r="55" spans="2:23" ht="24.75" customHeight="1" x14ac:dyDescent="0.2">
      <c r="B55" s="889" t="s">
        <v>1449</v>
      </c>
      <c r="C55" s="890" t="s">
        <v>338</v>
      </c>
      <c r="D55" s="891">
        <v>88</v>
      </c>
      <c r="E55" s="892">
        <v>1</v>
      </c>
      <c r="F55" s="892">
        <v>0.90909090909090906</v>
      </c>
      <c r="G55" s="892">
        <v>1</v>
      </c>
    </row>
    <row r="56" spans="2:23" ht="15" x14ac:dyDescent="0.2">
      <c r="B56" s="640" t="s">
        <v>2440</v>
      </c>
      <c r="C56" s="638" t="s">
        <v>2561</v>
      </c>
      <c r="D56" s="641">
        <f>SUBTOTAL(109,Table712109[Total population])</f>
        <v>10473</v>
      </c>
      <c r="E56" s="634" t="s">
        <v>2933</v>
      </c>
      <c r="F56" s="634" t="s">
        <v>3241</v>
      </c>
      <c r="G56" s="634" t="s">
        <v>3242</v>
      </c>
    </row>
    <row r="59" spans="2:23" ht="15.75" x14ac:dyDescent="0.25">
      <c r="U59"/>
      <c r="V59"/>
    </row>
    <row r="60" spans="2:23" ht="15.75" x14ac:dyDescent="0.25">
      <c r="U60"/>
      <c r="V60"/>
      <c r="W60"/>
    </row>
    <row r="61" spans="2:23" ht="15.75" x14ac:dyDescent="0.25">
      <c r="U61"/>
      <c r="V61"/>
      <c r="W61"/>
    </row>
    <row r="62" spans="2:23" ht="15.75" x14ac:dyDescent="0.25">
      <c r="U62"/>
      <c r="V62"/>
      <c r="W62"/>
    </row>
    <row r="63" spans="2:23" ht="15.75" x14ac:dyDescent="0.25">
      <c r="U63"/>
      <c r="V63"/>
      <c r="W63"/>
    </row>
    <row r="64" spans="2:23" ht="15.75" x14ac:dyDescent="0.25">
      <c r="U64"/>
      <c r="V64"/>
      <c r="W64"/>
    </row>
    <row r="65" spans="21:23" ht="15.75" x14ac:dyDescent="0.25">
      <c r="U65"/>
      <c r="V65"/>
      <c r="W65"/>
    </row>
    <row r="66" spans="21:23" ht="15.75" x14ac:dyDescent="0.25">
      <c r="U66"/>
      <c r="V66"/>
      <c r="W66"/>
    </row>
    <row r="67" spans="21:23" ht="15.75" x14ac:dyDescent="0.25">
      <c r="U67"/>
      <c r="V67"/>
      <c r="W67"/>
    </row>
    <row r="68" spans="21:23" ht="15.75" x14ac:dyDescent="0.25">
      <c r="U68"/>
      <c r="V68"/>
      <c r="W68"/>
    </row>
    <row r="69" spans="21:23" ht="15.75" x14ac:dyDescent="0.25">
      <c r="U69"/>
      <c r="V69"/>
      <c r="W69"/>
    </row>
    <row r="70" spans="21:23" ht="15.75" x14ac:dyDescent="0.25">
      <c r="U70"/>
      <c r="V70"/>
      <c r="W70"/>
    </row>
    <row r="71" spans="21:23" ht="15.75" x14ac:dyDescent="0.25">
      <c r="U71"/>
      <c r="V71"/>
      <c r="W71"/>
    </row>
    <row r="72" spans="21:23" ht="15.75" x14ac:dyDescent="0.25">
      <c r="U72"/>
      <c r="V72"/>
      <c r="W72"/>
    </row>
    <row r="73" spans="21:23" ht="15.75" x14ac:dyDescent="0.25">
      <c r="U73"/>
      <c r="V73"/>
      <c r="W73"/>
    </row>
    <row r="74" spans="21:23" ht="15.75" x14ac:dyDescent="0.25">
      <c r="U74"/>
      <c r="V74"/>
      <c r="W74"/>
    </row>
    <row r="75" spans="21:23" ht="15.75" x14ac:dyDescent="0.25">
      <c r="U75"/>
      <c r="V75"/>
      <c r="W75"/>
    </row>
    <row r="76" spans="21:23" ht="15.75" x14ac:dyDescent="0.25">
      <c r="U76"/>
      <c r="V76"/>
      <c r="W76"/>
    </row>
    <row r="77" spans="21:23" ht="15.75" x14ac:dyDescent="0.25">
      <c r="U77"/>
      <c r="V77"/>
      <c r="W77"/>
    </row>
    <row r="78" spans="21:23" ht="15.75" x14ac:dyDescent="0.25">
      <c r="U78"/>
      <c r="V78"/>
      <c r="W78"/>
    </row>
    <row r="79" spans="21:23" ht="15.75" x14ac:dyDescent="0.25">
      <c r="U79"/>
      <c r="V79"/>
      <c r="W79"/>
    </row>
    <row r="80" spans="21:23" ht="15.75" x14ac:dyDescent="0.25">
      <c r="U80"/>
      <c r="V80"/>
      <c r="W80"/>
    </row>
    <row r="81" spans="21:23" ht="15.75" x14ac:dyDescent="0.25">
      <c r="U81"/>
      <c r="V81"/>
      <c r="W81"/>
    </row>
    <row r="82" spans="21:23" ht="15.75" x14ac:dyDescent="0.25">
      <c r="U82"/>
      <c r="V82"/>
      <c r="W82"/>
    </row>
    <row r="83" spans="21:23" ht="15.75" x14ac:dyDescent="0.25">
      <c r="U83"/>
      <c r="V83"/>
      <c r="W83"/>
    </row>
    <row r="84" spans="21:23" ht="15.75" x14ac:dyDescent="0.25">
      <c r="U84"/>
      <c r="V84"/>
      <c r="W84"/>
    </row>
    <row r="85" spans="21:23" ht="15.75" x14ac:dyDescent="0.25">
      <c r="U85"/>
      <c r="V85"/>
      <c r="W85"/>
    </row>
    <row r="86" spans="21:23" ht="15.75" x14ac:dyDescent="0.25">
      <c r="U86"/>
      <c r="V86"/>
      <c r="W86"/>
    </row>
    <row r="87" spans="21:23" ht="15.75" x14ac:dyDescent="0.25">
      <c r="U87"/>
      <c r="V87"/>
      <c r="W87"/>
    </row>
    <row r="88" spans="21:23" ht="15.75" x14ac:dyDescent="0.25">
      <c r="U88"/>
      <c r="V88"/>
      <c r="W88"/>
    </row>
    <row r="89" spans="21:23" ht="15.75" x14ac:dyDescent="0.25">
      <c r="U89"/>
      <c r="V89"/>
      <c r="W89"/>
    </row>
    <row r="90" spans="21:23" ht="15.75" x14ac:dyDescent="0.25">
      <c r="U90"/>
      <c r="V90"/>
      <c r="W90"/>
    </row>
    <row r="91" spans="21:23" ht="15.75" x14ac:dyDescent="0.25">
      <c r="U91"/>
      <c r="V91"/>
      <c r="W91"/>
    </row>
    <row r="92" spans="21:23" ht="15.75" x14ac:dyDescent="0.25">
      <c r="U92"/>
      <c r="V92"/>
      <c r="W92"/>
    </row>
    <row r="93" spans="21:23" ht="15.75" x14ac:dyDescent="0.25">
      <c r="U93"/>
      <c r="V93"/>
      <c r="W93"/>
    </row>
    <row r="94" spans="21:23" ht="15.75" x14ac:dyDescent="0.25">
      <c r="U94"/>
      <c r="V94"/>
      <c r="W94"/>
    </row>
    <row r="95" spans="21:23" ht="15.75" x14ac:dyDescent="0.25">
      <c r="U95"/>
      <c r="V95"/>
      <c r="W95"/>
    </row>
    <row r="96" spans="21:23" ht="15.75" x14ac:dyDescent="0.25">
      <c r="U96"/>
      <c r="V96"/>
      <c r="W96"/>
    </row>
    <row r="97" spans="21:23" ht="15.75" x14ac:dyDescent="0.25">
      <c r="U97"/>
      <c r="V97"/>
      <c r="W97"/>
    </row>
    <row r="98" spans="21:23" ht="15.75" x14ac:dyDescent="0.25">
      <c r="U98"/>
      <c r="V98"/>
      <c r="W98"/>
    </row>
    <row r="99" spans="21:23" ht="15.75" x14ac:dyDescent="0.25">
      <c r="U99"/>
      <c r="V99"/>
      <c r="W99"/>
    </row>
    <row r="100" spans="21:23" ht="15.75" x14ac:dyDescent="0.25">
      <c r="U100"/>
      <c r="V100"/>
      <c r="W100"/>
    </row>
    <row r="101" spans="21:23" ht="15.75" x14ac:dyDescent="0.25">
      <c r="U101"/>
      <c r="V101"/>
      <c r="W101"/>
    </row>
    <row r="102" spans="21:23" ht="15.75" x14ac:dyDescent="0.25">
      <c r="U102"/>
      <c r="V102"/>
      <c r="W102"/>
    </row>
    <row r="103" spans="21:23" ht="15.75" x14ac:dyDescent="0.25">
      <c r="U103"/>
      <c r="V103"/>
      <c r="W103"/>
    </row>
    <row r="104" spans="21:23" ht="15.75" x14ac:dyDescent="0.25">
      <c r="U104"/>
      <c r="V104"/>
      <c r="W104"/>
    </row>
    <row r="105" spans="21:23" ht="15.75" x14ac:dyDescent="0.25">
      <c r="U105"/>
      <c r="V105"/>
      <c r="W105"/>
    </row>
    <row r="106" spans="21:23" ht="15.75" x14ac:dyDescent="0.25">
      <c r="U106"/>
      <c r="V106"/>
      <c r="W106"/>
    </row>
    <row r="107" spans="21:23" ht="15.75" x14ac:dyDescent="0.25">
      <c r="U107"/>
      <c r="V107"/>
      <c r="W107"/>
    </row>
    <row r="108" spans="21:23" ht="15.75" x14ac:dyDescent="0.25">
      <c r="U108"/>
      <c r="V108"/>
      <c r="W108"/>
    </row>
    <row r="109" spans="21:23" ht="15.75" x14ac:dyDescent="0.25">
      <c r="U109"/>
      <c r="V109"/>
      <c r="W109"/>
    </row>
    <row r="110" spans="21:23" ht="15.75" x14ac:dyDescent="0.25">
      <c r="U110"/>
      <c r="V110"/>
      <c r="W110"/>
    </row>
    <row r="111" spans="21:23" ht="15.75" x14ac:dyDescent="0.25">
      <c r="U111"/>
      <c r="V111"/>
      <c r="W111"/>
    </row>
    <row r="112" spans="21:23" ht="15.75" x14ac:dyDescent="0.25">
      <c r="U112"/>
      <c r="V112"/>
      <c r="W112"/>
    </row>
    <row r="113" spans="21:23" ht="15.75" x14ac:dyDescent="0.25">
      <c r="U113"/>
      <c r="V113"/>
      <c r="W113"/>
    </row>
    <row r="114" spans="21:23" ht="15.75" x14ac:dyDescent="0.25">
      <c r="U114"/>
      <c r="V114"/>
      <c r="W114"/>
    </row>
    <row r="115" spans="21:23" ht="15.75" x14ac:dyDescent="0.25">
      <c r="U115"/>
      <c r="V115"/>
      <c r="W115"/>
    </row>
    <row r="116" spans="21:23" ht="15.75" x14ac:dyDescent="0.25">
      <c r="U116"/>
      <c r="V116"/>
      <c r="W116"/>
    </row>
    <row r="117" spans="21:23" ht="15.75" x14ac:dyDescent="0.25">
      <c r="U117"/>
      <c r="V117"/>
      <c r="W117"/>
    </row>
    <row r="118" spans="21:23" ht="15.75" x14ac:dyDescent="0.25">
      <c r="U118"/>
      <c r="V118"/>
      <c r="W118"/>
    </row>
    <row r="119" spans="21:23" ht="15.75" x14ac:dyDescent="0.25">
      <c r="U119"/>
      <c r="V119"/>
      <c r="W119"/>
    </row>
    <row r="120" spans="21:23" ht="15.75" x14ac:dyDescent="0.25">
      <c r="U120"/>
      <c r="V120"/>
      <c r="W120"/>
    </row>
    <row r="121" spans="21:23" ht="15.75" x14ac:dyDescent="0.25">
      <c r="U121"/>
      <c r="V121"/>
      <c r="W121"/>
    </row>
    <row r="122" spans="21:23" ht="15.75" x14ac:dyDescent="0.25">
      <c r="U122"/>
      <c r="V122"/>
      <c r="W122"/>
    </row>
    <row r="123" spans="21:23" ht="15.75" x14ac:dyDescent="0.25">
      <c r="U123"/>
      <c r="V123"/>
      <c r="W123"/>
    </row>
    <row r="124" spans="21:23" ht="15.75" x14ac:dyDescent="0.25">
      <c r="U124"/>
      <c r="V124"/>
      <c r="W124"/>
    </row>
    <row r="125" spans="21:23" ht="15.75" x14ac:dyDescent="0.25">
      <c r="U125"/>
      <c r="V125"/>
      <c r="W125"/>
    </row>
    <row r="126" spans="21:23" ht="15.75" x14ac:dyDescent="0.25">
      <c r="U126"/>
      <c r="V126"/>
      <c r="W126"/>
    </row>
    <row r="127" spans="21:23" ht="15.75" x14ac:dyDescent="0.25">
      <c r="U127"/>
      <c r="V127"/>
      <c r="W127"/>
    </row>
    <row r="128" spans="21:23" ht="15.75" x14ac:dyDescent="0.25">
      <c r="U128"/>
      <c r="V128"/>
      <c r="W128"/>
    </row>
    <row r="129" spans="21:23" ht="15.75" x14ac:dyDescent="0.25">
      <c r="U129"/>
      <c r="V129"/>
      <c r="W129"/>
    </row>
    <row r="130" spans="21:23" ht="15.75" x14ac:dyDescent="0.25">
      <c r="U130"/>
      <c r="V130"/>
      <c r="W130"/>
    </row>
    <row r="131" spans="21:23" ht="15.75" x14ac:dyDescent="0.25">
      <c r="U131"/>
      <c r="V131"/>
    </row>
    <row r="132" spans="21:23" ht="15.75" x14ac:dyDescent="0.25">
      <c r="U132"/>
      <c r="V132"/>
    </row>
    <row r="133" spans="21:23" ht="15.75" x14ac:dyDescent="0.25">
      <c r="U133"/>
      <c r="V133"/>
    </row>
    <row r="134" spans="21:23" ht="15.75" x14ac:dyDescent="0.25">
      <c r="U134"/>
      <c r="V134"/>
    </row>
    <row r="135" spans="21:23" ht="15.75" x14ac:dyDescent="0.25">
      <c r="U135"/>
      <c r="V135"/>
    </row>
    <row r="136" spans="21:23" ht="15.75" x14ac:dyDescent="0.25">
      <c r="U136"/>
      <c r="V136"/>
    </row>
    <row r="137" spans="21:23" ht="15.75" x14ac:dyDescent="0.25">
      <c r="U137"/>
      <c r="V137"/>
    </row>
    <row r="138" spans="21:23" ht="15.75" x14ac:dyDescent="0.25">
      <c r="U138"/>
      <c r="V138"/>
    </row>
    <row r="139" spans="21:23" ht="15.75" x14ac:dyDescent="0.25">
      <c r="U139"/>
      <c r="V139"/>
    </row>
    <row r="140" spans="21:23" ht="15.75" x14ac:dyDescent="0.25">
      <c r="U140"/>
      <c r="V140"/>
    </row>
    <row r="141" spans="21:23" ht="15.75" x14ac:dyDescent="0.25">
      <c r="U141"/>
      <c r="V141"/>
    </row>
    <row r="142" spans="21:23" ht="15.75" x14ac:dyDescent="0.25">
      <c r="U142"/>
      <c r="V142"/>
    </row>
    <row r="143" spans="21:23" ht="15.75" x14ac:dyDescent="0.25">
      <c r="U143"/>
      <c r="V143"/>
    </row>
    <row r="144" spans="21:23" ht="15.75" x14ac:dyDescent="0.25">
      <c r="U144"/>
      <c r="V144"/>
    </row>
    <row r="145" spans="21:22" ht="15.75" x14ac:dyDescent="0.25">
      <c r="U145"/>
      <c r="V145"/>
    </row>
    <row r="146" spans="21:22" ht="15.75" x14ac:dyDescent="0.25">
      <c r="U146"/>
      <c r="V146"/>
    </row>
    <row r="147" spans="21:22" ht="15.75" x14ac:dyDescent="0.25">
      <c r="U147"/>
      <c r="V147"/>
    </row>
    <row r="148" spans="21:22" ht="15.75" x14ac:dyDescent="0.25">
      <c r="U148"/>
      <c r="V148"/>
    </row>
    <row r="149" spans="21:22" ht="15.75" x14ac:dyDescent="0.25">
      <c r="U149"/>
      <c r="V149"/>
    </row>
    <row r="150" spans="21:22" ht="15.75" x14ac:dyDescent="0.25">
      <c r="U150"/>
      <c r="V150"/>
    </row>
    <row r="151" spans="21:22" ht="15.75" x14ac:dyDescent="0.25">
      <c r="U151"/>
      <c r="V151"/>
    </row>
    <row r="152" spans="21:22" ht="15.75" x14ac:dyDescent="0.25">
      <c r="U152"/>
      <c r="V152"/>
    </row>
    <row r="153" spans="21:22" ht="15.75" x14ac:dyDescent="0.25">
      <c r="U153"/>
      <c r="V153"/>
    </row>
    <row r="154" spans="21:22" ht="15.75" x14ac:dyDescent="0.25">
      <c r="U154"/>
      <c r="V154"/>
    </row>
    <row r="155" spans="21:22" ht="15.75" x14ac:dyDescent="0.25">
      <c r="U155"/>
      <c r="V155"/>
    </row>
    <row r="156" spans="21:22" ht="15.75" x14ac:dyDescent="0.25">
      <c r="U156"/>
      <c r="V156"/>
    </row>
    <row r="157" spans="21:22" ht="15.75" x14ac:dyDescent="0.25">
      <c r="U157"/>
      <c r="V157"/>
    </row>
    <row r="158" spans="21:22" ht="15.75" x14ac:dyDescent="0.25">
      <c r="U158"/>
      <c r="V158"/>
    </row>
    <row r="159" spans="21:22" ht="15.75" x14ac:dyDescent="0.25">
      <c r="U159"/>
      <c r="V159"/>
    </row>
    <row r="160" spans="21:22" ht="15.75" x14ac:dyDescent="0.25">
      <c r="U160"/>
      <c r="V160"/>
    </row>
    <row r="161" spans="21:22" ht="15.75" x14ac:dyDescent="0.25">
      <c r="U161"/>
      <c r="V161"/>
    </row>
    <row r="162" spans="21:22" ht="15.75" x14ac:dyDescent="0.25">
      <c r="U162"/>
      <c r="V162"/>
    </row>
    <row r="163" spans="21:22" ht="15.75" x14ac:dyDescent="0.25">
      <c r="U163"/>
      <c r="V163"/>
    </row>
    <row r="164" spans="21:22" ht="15.75" x14ac:dyDescent="0.25">
      <c r="U164"/>
      <c r="V164"/>
    </row>
    <row r="165" spans="21:22" ht="15.75" x14ac:dyDescent="0.25">
      <c r="U165"/>
      <c r="V165"/>
    </row>
  </sheetData>
  <mergeCells count="1">
    <mergeCell ref="B1:R1"/>
  </mergeCells>
  <printOptions horizontalCentered="1" verticalCentered="1"/>
  <pageMargins left="0.25" right="0.25" top="0.25" bottom="0.25" header="0.3" footer="0.3"/>
  <pageSetup paperSize="9" scale="43"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2" id="{4EBEA425-AF8F-4445-BF55-D2955C458199}">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D33:D35</xm:sqref>
        </x14:conditionalFormatting>
        <x14:conditionalFormatting xmlns:xm="http://schemas.microsoft.com/office/excel/2006/main">
          <x14:cfRule type="iconSet" priority="1" id="{7D9693B4-B3E3-42A4-A63E-3EB735747E54}">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E49:G55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0"/>
  <sheetViews>
    <sheetView showGridLines="0" zoomScale="90" zoomScaleNormal="90" workbookViewId="0">
      <selection activeCell="B30" sqref="B30"/>
    </sheetView>
  </sheetViews>
  <sheetFormatPr defaultRowHeight="15.75" x14ac:dyDescent="0.25"/>
  <cols>
    <col min="1" max="1" width="45.625" style="173" customWidth="1"/>
    <col min="2" max="2" width="15.375" style="173" customWidth="1"/>
    <col min="3" max="3" width="18.875" style="173" bestFit="1" customWidth="1"/>
    <col min="4" max="5" width="20.5" style="173" customWidth="1"/>
    <col min="6" max="6" width="37.25" style="173" customWidth="1"/>
    <col min="7" max="7" width="59.375" style="173" customWidth="1"/>
    <col min="8" max="16384" width="9" style="173"/>
  </cols>
  <sheetData>
    <row r="1" spans="1:20" ht="26.25" x14ac:dyDescent="0.25">
      <c r="A1" s="979" t="s">
        <v>3212</v>
      </c>
      <c r="B1" s="979"/>
      <c r="C1" s="979"/>
      <c r="D1" s="979"/>
      <c r="E1" s="979"/>
      <c r="F1" s="979"/>
      <c r="G1" s="979"/>
      <c r="H1" s="979"/>
      <c r="I1" s="979"/>
      <c r="J1" s="979"/>
      <c r="K1" s="979"/>
      <c r="L1" s="979"/>
      <c r="M1" s="979"/>
      <c r="N1" s="979"/>
      <c r="O1" s="979"/>
      <c r="P1" s="979"/>
      <c r="Q1" s="979"/>
      <c r="R1" s="979"/>
      <c r="S1" s="979"/>
      <c r="T1" s="979"/>
    </row>
    <row r="33" spans="1:7" hidden="1" x14ac:dyDescent="0.25">
      <c r="A33" s="897" t="s">
        <v>24</v>
      </c>
      <c r="B33" s="173" t="s">
        <v>3206</v>
      </c>
    </row>
    <row r="34" spans="1:7" hidden="1" x14ac:dyDescent="0.25">
      <c r="A34" s="929" t="s">
        <v>27</v>
      </c>
      <c r="B34" s="173" t="s">
        <v>2409</v>
      </c>
    </row>
    <row r="35" spans="1:7" hidden="1" x14ac:dyDescent="0.25">
      <c r="A35" s="929" t="s">
        <v>26</v>
      </c>
      <c r="B35" s="173" t="s">
        <v>44</v>
      </c>
    </row>
    <row r="36" spans="1:7" hidden="1" x14ac:dyDescent="0.25">
      <c r="A36" s="897" t="s">
        <v>280</v>
      </c>
      <c r="B36" s="173" t="s">
        <v>2409</v>
      </c>
    </row>
    <row r="37" spans="1:7" hidden="1" x14ac:dyDescent="0.25"/>
    <row r="38" spans="1:7" s="424" customFormat="1" ht="78.75" hidden="1" x14ac:dyDescent="0.25">
      <c r="A38" s="897" t="s">
        <v>28</v>
      </c>
      <c r="B38" s="930" t="s">
        <v>2647</v>
      </c>
      <c r="C38" s="931" t="s">
        <v>2650</v>
      </c>
      <c r="D38" s="908" t="s">
        <v>2648</v>
      </c>
      <c r="E38" s="932" t="s">
        <v>2649</v>
      </c>
      <c r="F38"/>
      <c r="G38"/>
    </row>
    <row r="39" spans="1:7" hidden="1" x14ac:dyDescent="0.25">
      <c r="A39" s="173" t="s">
        <v>377</v>
      </c>
      <c r="B39" s="900">
        <v>350</v>
      </c>
      <c r="C39" s="900">
        <v>0</v>
      </c>
      <c r="D39" s="900">
        <v>320</v>
      </c>
      <c r="E39" s="900">
        <v>350</v>
      </c>
      <c r="F39"/>
      <c r="G39"/>
    </row>
    <row r="40" spans="1:7" hidden="1" x14ac:dyDescent="0.25">
      <c r="A40" s="173" t="s">
        <v>1258</v>
      </c>
      <c r="B40" s="900">
        <v>356</v>
      </c>
      <c r="C40" s="900">
        <v>0</v>
      </c>
      <c r="D40" s="900">
        <v>260</v>
      </c>
      <c r="E40" s="900">
        <v>356</v>
      </c>
      <c r="F40"/>
      <c r="G40"/>
    </row>
    <row r="41" spans="1:7" hidden="1" x14ac:dyDescent="0.25">
      <c r="A41" s="173" t="s">
        <v>427</v>
      </c>
      <c r="B41" s="900">
        <v>815</v>
      </c>
      <c r="C41" s="900">
        <v>0</v>
      </c>
      <c r="D41" s="900">
        <v>720</v>
      </c>
      <c r="E41" s="900">
        <v>815</v>
      </c>
      <c r="F41"/>
      <c r="G41"/>
    </row>
    <row r="42" spans="1:7" hidden="1" x14ac:dyDescent="0.25">
      <c r="A42" s="173" t="s">
        <v>396</v>
      </c>
      <c r="B42" s="900">
        <v>350</v>
      </c>
      <c r="C42" s="900">
        <v>0</v>
      </c>
      <c r="D42" s="900">
        <v>350</v>
      </c>
      <c r="E42" s="900">
        <v>350</v>
      </c>
      <c r="F42"/>
      <c r="G42"/>
    </row>
    <row r="43" spans="1:7" hidden="1" x14ac:dyDescent="0.25">
      <c r="A43" s="173" t="s">
        <v>397</v>
      </c>
      <c r="B43" s="900">
        <v>81</v>
      </c>
      <c r="C43" s="900">
        <v>0</v>
      </c>
      <c r="D43" s="900">
        <v>80</v>
      </c>
      <c r="E43" s="900">
        <v>81</v>
      </c>
      <c r="F43"/>
      <c r="G43"/>
    </row>
    <row r="44" spans="1:7" hidden="1" x14ac:dyDescent="0.25">
      <c r="A44" s="173" t="s">
        <v>352</v>
      </c>
      <c r="B44" s="900">
        <v>665</v>
      </c>
      <c r="C44" s="900">
        <v>665</v>
      </c>
      <c r="D44" s="900">
        <v>480</v>
      </c>
      <c r="E44" s="900">
        <v>665</v>
      </c>
      <c r="F44"/>
      <c r="G44"/>
    </row>
    <row r="45" spans="1:7" hidden="1" x14ac:dyDescent="0.25">
      <c r="A45" s="173" t="s">
        <v>342</v>
      </c>
      <c r="B45" s="900">
        <v>52</v>
      </c>
      <c r="C45" s="900">
        <v>52</v>
      </c>
      <c r="D45" s="900">
        <v>40</v>
      </c>
      <c r="E45" s="900">
        <v>52</v>
      </c>
      <c r="F45"/>
      <c r="G45"/>
    </row>
    <row r="46" spans="1:7" hidden="1" x14ac:dyDescent="0.25">
      <c r="A46" s="173" t="s">
        <v>398</v>
      </c>
      <c r="B46" s="900">
        <v>228</v>
      </c>
      <c r="C46" s="900">
        <v>0</v>
      </c>
      <c r="D46" s="900">
        <v>200</v>
      </c>
      <c r="E46" s="900">
        <v>228</v>
      </c>
      <c r="F46"/>
      <c r="G46"/>
    </row>
    <row r="47" spans="1:7" hidden="1" x14ac:dyDescent="0.25">
      <c r="A47" s="173" t="s">
        <v>1180</v>
      </c>
      <c r="B47" s="900">
        <v>928</v>
      </c>
      <c r="C47" s="900">
        <v>0</v>
      </c>
      <c r="D47" s="900">
        <v>0</v>
      </c>
      <c r="E47" s="900">
        <v>0</v>
      </c>
      <c r="F47"/>
      <c r="G47"/>
    </row>
    <row r="48" spans="1:7" hidden="1" x14ac:dyDescent="0.25">
      <c r="A48" s="173" t="s">
        <v>383</v>
      </c>
      <c r="B48" s="900">
        <v>527</v>
      </c>
      <c r="C48" s="900">
        <v>0</v>
      </c>
      <c r="D48" s="900">
        <v>527</v>
      </c>
      <c r="E48" s="900">
        <v>527</v>
      </c>
      <c r="F48"/>
      <c r="G48"/>
    </row>
    <row r="49" spans="1:7" hidden="1" x14ac:dyDescent="0.25">
      <c r="A49" s="173" t="s">
        <v>2443</v>
      </c>
      <c r="B49" s="900">
        <v>1661</v>
      </c>
      <c r="C49" s="900">
        <v>0</v>
      </c>
      <c r="D49" s="900">
        <v>1661</v>
      </c>
      <c r="E49" s="900">
        <v>1661</v>
      </c>
      <c r="F49"/>
      <c r="G49"/>
    </row>
    <row r="50" spans="1:7" hidden="1" x14ac:dyDescent="0.25">
      <c r="A50" s="173" t="s">
        <v>400</v>
      </c>
      <c r="B50" s="900">
        <v>26</v>
      </c>
      <c r="C50" s="900">
        <v>0</v>
      </c>
      <c r="D50" s="900">
        <v>26</v>
      </c>
      <c r="E50" s="900">
        <v>0</v>
      </c>
      <c r="F50"/>
      <c r="G50"/>
    </row>
    <row r="51" spans="1:7" hidden="1" x14ac:dyDescent="0.25">
      <c r="A51" s="173" t="s">
        <v>392</v>
      </c>
      <c r="B51" s="900">
        <v>519</v>
      </c>
      <c r="C51" s="900">
        <v>0</v>
      </c>
      <c r="D51" s="900">
        <v>519</v>
      </c>
      <c r="E51" s="900">
        <v>0</v>
      </c>
      <c r="F51"/>
      <c r="G51"/>
    </row>
    <row r="52" spans="1:7" hidden="1" x14ac:dyDescent="0.25">
      <c r="A52" s="173" t="s">
        <v>402</v>
      </c>
      <c r="B52" s="900">
        <v>365</v>
      </c>
      <c r="C52" s="900">
        <v>0</v>
      </c>
      <c r="D52" s="900">
        <v>365</v>
      </c>
      <c r="E52" s="900">
        <v>365</v>
      </c>
      <c r="F52"/>
      <c r="G52"/>
    </row>
    <row r="53" spans="1:7" hidden="1" x14ac:dyDescent="0.25">
      <c r="A53" s="173" t="s">
        <v>306</v>
      </c>
      <c r="B53" s="900">
        <v>185</v>
      </c>
      <c r="C53" s="900">
        <v>0</v>
      </c>
      <c r="D53" s="900">
        <v>140</v>
      </c>
      <c r="E53" s="900">
        <v>185</v>
      </c>
      <c r="F53"/>
      <c r="G53"/>
    </row>
    <row r="54" spans="1:7" hidden="1" x14ac:dyDescent="0.25">
      <c r="A54" s="173" t="s">
        <v>379</v>
      </c>
      <c r="B54" s="900">
        <v>446</v>
      </c>
      <c r="C54" s="900">
        <v>0</v>
      </c>
      <c r="D54" s="900">
        <v>446</v>
      </c>
      <c r="E54" s="900">
        <v>446</v>
      </c>
      <c r="F54"/>
      <c r="G54"/>
    </row>
    <row r="55" spans="1:7" hidden="1" x14ac:dyDescent="0.25">
      <c r="A55" s="173" t="s">
        <v>1215</v>
      </c>
      <c r="B55" s="900">
        <v>410</v>
      </c>
      <c r="C55" s="900">
        <v>0</v>
      </c>
      <c r="D55" s="900">
        <v>200</v>
      </c>
      <c r="E55" s="900">
        <v>410</v>
      </c>
      <c r="F55"/>
      <c r="G55"/>
    </row>
    <row r="56" spans="1:7" hidden="1" x14ac:dyDescent="0.25">
      <c r="A56" s="173" t="s">
        <v>418</v>
      </c>
      <c r="B56" s="900">
        <v>503</v>
      </c>
      <c r="C56" s="900">
        <v>0</v>
      </c>
      <c r="D56" s="900">
        <v>320</v>
      </c>
      <c r="E56" s="900">
        <v>503</v>
      </c>
      <c r="F56"/>
      <c r="G56"/>
    </row>
    <row r="57" spans="1:7" hidden="1" x14ac:dyDescent="0.25">
      <c r="A57" s="173" t="s">
        <v>321</v>
      </c>
      <c r="B57" s="900">
        <v>903</v>
      </c>
      <c r="C57" s="900">
        <v>0</v>
      </c>
      <c r="D57" s="900">
        <v>903</v>
      </c>
      <c r="E57" s="900">
        <v>903</v>
      </c>
      <c r="F57"/>
      <c r="G57"/>
    </row>
    <row r="58" spans="1:7" hidden="1" x14ac:dyDescent="0.25">
      <c r="A58" s="173" t="s">
        <v>295</v>
      </c>
      <c r="B58" s="900">
        <v>46</v>
      </c>
      <c r="C58" s="900">
        <v>0</v>
      </c>
      <c r="D58" s="900">
        <v>46</v>
      </c>
      <c r="E58" s="900">
        <v>46</v>
      </c>
      <c r="F58"/>
      <c r="G58"/>
    </row>
    <row r="59" spans="1:7" hidden="1" x14ac:dyDescent="0.25">
      <c r="A59" s="173" t="s">
        <v>403</v>
      </c>
      <c r="B59" s="900">
        <v>27</v>
      </c>
      <c r="C59" s="900">
        <v>0</v>
      </c>
      <c r="D59" s="900">
        <v>0</v>
      </c>
      <c r="E59" s="900">
        <v>27</v>
      </c>
      <c r="F59"/>
      <c r="G59"/>
    </row>
    <row r="60" spans="1:7" hidden="1" x14ac:dyDescent="0.25">
      <c r="A60" s="173" t="s">
        <v>1205</v>
      </c>
      <c r="B60" s="900">
        <v>121</v>
      </c>
      <c r="C60" s="900">
        <v>0</v>
      </c>
      <c r="D60" s="900">
        <v>0</v>
      </c>
      <c r="E60" s="900">
        <v>0</v>
      </c>
      <c r="F60"/>
      <c r="G60"/>
    </row>
    <row r="61" spans="1:7" hidden="1" x14ac:dyDescent="0.25">
      <c r="A61" s="173" t="s">
        <v>404</v>
      </c>
      <c r="B61" s="900">
        <v>504</v>
      </c>
      <c r="C61" s="900">
        <v>0</v>
      </c>
      <c r="D61" s="900">
        <v>504</v>
      </c>
      <c r="E61" s="900">
        <v>504</v>
      </c>
      <c r="F61"/>
      <c r="G61"/>
    </row>
    <row r="62" spans="1:7" hidden="1" x14ac:dyDescent="0.25">
      <c r="A62" s="173" t="s">
        <v>293</v>
      </c>
      <c r="B62" s="900">
        <v>823</v>
      </c>
      <c r="C62" s="900">
        <v>0</v>
      </c>
      <c r="D62" s="900">
        <v>640</v>
      </c>
      <c r="E62" s="900">
        <v>823</v>
      </c>
      <c r="F62"/>
      <c r="G62"/>
    </row>
    <row r="63" spans="1:7" hidden="1" x14ac:dyDescent="0.25">
      <c r="A63" s="173" t="s">
        <v>363</v>
      </c>
      <c r="B63" s="900">
        <v>3294</v>
      </c>
      <c r="C63" s="900">
        <v>0</v>
      </c>
      <c r="D63" s="900">
        <v>3294</v>
      </c>
      <c r="E63" s="900">
        <v>3294</v>
      </c>
      <c r="F63"/>
      <c r="G63"/>
    </row>
    <row r="64" spans="1:7" hidden="1" x14ac:dyDescent="0.25">
      <c r="A64" s="173" t="s">
        <v>344</v>
      </c>
      <c r="B64" s="900">
        <v>232</v>
      </c>
      <c r="C64" s="900">
        <v>232</v>
      </c>
      <c r="D64" s="900">
        <v>140</v>
      </c>
      <c r="E64" s="900">
        <v>232</v>
      </c>
      <c r="F64"/>
      <c r="G64"/>
    </row>
    <row r="65" spans="1:7" hidden="1" x14ac:dyDescent="0.25">
      <c r="A65" s="173" t="s">
        <v>370</v>
      </c>
      <c r="B65" s="900">
        <v>862</v>
      </c>
      <c r="C65" s="900">
        <v>862</v>
      </c>
      <c r="D65" s="900">
        <v>400</v>
      </c>
      <c r="E65" s="900">
        <v>862</v>
      </c>
      <c r="F65"/>
      <c r="G65"/>
    </row>
    <row r="66" spans="1:7" hidden="1" x14ac:dyDescent="0.25">
      <c r="A66" s="173" t="s">
        <v>1246</v>
      </c>
      <c r="B66" s="900">
        <v>56</v>
      </c>
      <c r="C66" s="900">
        <v>0</v>
      </c>
      <c r="D66" s="900">
        <v>0</v>
      </c>
      <c r="E66" s="900">
        <v>0</v>
      </c>
      <c r="F66"/>
      <c r="G66"/>
    </row>
    <row r="67" spans="1:7" hidden="1" x14ac:dyDescent="0.25">
      <c r="A67" s="173" t="s">
        <v>307</v>
      </c>
      <c r="B67" s="900">
        <v>1114</v>
      </c>
      <c r="C67" s="900">
        <v>0</v>
      </c>
      <c r="D67" s="900">
        <v>860</v>
      </c>
      <c r="E67" s="900">
        <v>1114</v>
      </c>
      <c r="F67"/>
      <c r="G67"/>
    </row>
    <row r="68" spans="1:7" hidden="1" x14ac:dyDescent="0.25">
      <c r="A68" s="173" t="s">
        <v>380</v>
      </c>
      <c r="B68" s="900">
        <v>430</v>
      </c>
      <c r="C68" s="900">
        <v>0</v>
      </c>
      <c r="D68" s="900">
        <v>430</v>
      </c>
      <c r="E68" s="900">
        <v>430</v>
      </c>
      <c r="F68"/>
      <c r="G68"/>
    </row>
    <row r="69" spans="1:7" hidden="1" x14ac:dyDescent="0.25">
      <c r="A69" s="173" t="s">
        <v>440</v>
      </c>
      <c r="B69" s="900">
        <v>8486</v>
      </c>
      <c r="C69" s="900">
        <v>0</v>
      </c>
      <c r="D69" s="900">
        <v>8486</v>
      </c>
      <c r="E69" s="900">
        <v>8486</v>
      </c>
      <c r="F69"/>
      <c r="G69"/>
    </row>
    <row r="70" spans="1:7" hidden="1" x14ac:dyDescent="0.25">
      <c r="A70" s="173" t="s">
        <v>353</v>
      </c>
      <c r="B70" s="900">
        <v>106</v>
      </c>
      <c r="C70" s="900">
        <v>106</v>
      </c>
      <c r="D70" s="900">
        <v>80</v>
      </c>
      <c r="E70" s="900">
        <v>106</v>
      </c>
      <c r="F70"/>
      <c r="G70"/>
    </row>
    <row r="71" spans="1:7" hidden="1" x14ac:dyDescent="0.25">
      <c r="A71" s="173" t="s">
        <v>355</v>
      </c>
      <c r="B71" s="900">
        <v>94</v>
      </c>
      <c r="C71" s="900">
        <v>94</v>
      </c>
      <c r="D71" s="900">
        <v>94</v>
      </c>
      <c r="E71" s="900">
        <v>94</v>
      </c>
      <c r="F71"/>
      <c r="G71"/>
    </row>
    <row r="72" spans="1:7" hidden="1" x14ac:dyDescent="0.25">
      <c r="A72" s="173" t="s">
        <v>1183</v>
      </c>
      <c r="B72" s="900">
        <v>18</v>
      </c>
      <c r="C72" s="900">
        <v>0</v>
      </c>
      <c r="D72" s="900">
        <v>0</v>
      </c>
      <c r="E72" s="900">
        <v>0</v>
      </c>
      <c r="F72"/>
      <c r="G72"/>
    </row>
    <row r="73" spans="1:7" hidden="1" x14ac:dyDescent="0.25">
      <c r="A73" s="173" t="s">
        <v>308</v>
      </c>
      <c r="B73" s="900">
        <v>195</v>
      </c>
      <c r="C73" s="900">
        <v>0</v>
      </c>
      <c r="D73" s="900">
        <v>160</v>
      </c>
      <c r="E73" s="900">
        <v>195</v>
      </c>
      <c r="F73"/>
      <c r="G73"/>
    </row>
    <row r="74" spans="1:7" hidden="1" x14ac:dyDescent="0.25">
      <c r="A74" s="173" t="s">
        <v>299</v>
      </c>
      <c r="B74" s="900">
        <v>66</v>
      </c>
      <c r="C74" s="900">
        <v>0</v>
      </c>
      <c r="D74" s="900">
        <v>66</v>
      </c>
      <c r="E74" s="900">
        <v>66</v>
      </c>
      <c r="F74"/>
      <c r="G74"/>
    </row>
    <row r="75" spans="1:7" hidden="1" x14ac:dyDescent="0.25">
      <c r="A75" s="173" t="s">
        <v>439</v>
      </c>
      <c r="B75" s="900">
        <v>2199</v>
      </c>
      <c r="C75" s="900">
        <v>0</v>
      </c>
      <c r="D75" s="900">
        <v>320</v>
      </c>
      <c r="E75" s="900">
        <v>2199</v>
      </c>
      <c r="F75"/>
      <c r="G75"/>
    </row>
    <row r="76" spans="1:7" hidden="1" x14ac:dyDescent="0.25">
      <c r="A76" s="173" t="s">
        <v>444</v>
      </c>
      <c r="B76" s="900">
        <v>2581</v>
      </c>
      <c r="C76" s="900">
        <v>0</v>
      </c>
      <c r="D76" s="900">
        <v>2080</v>
      </c>
      <c r="E76" s="900">
        <v>2581</v>
      </c>
      <c r="F76"/>
      <c r="G76"/>
    </row>
    <row r="77" spans="1:7" hidden="1" x14ac:dyDescent="0.25">
      <c r="A77" s="173" t="s">
        <v>941</v>
      </c>
      <c r="B77" s="900">
        <v>1691</v>
      </c>
      <c r="C77" s="900">
        <v>0</v>
      </c>
      <c r="D77" s="900">
        <v>0</v>
      </c>
      <c r="E77" s="900">
        <v>0</v>
      </c>
      <c r="F77"/>
      <c r="G77"/>
    </row>
    <row r="78" spans="1:7" hidden="1" x14ac:dyDescent="0.25">
      <c r="A78" s="173" t="s">
        <v>390</v>
      </c>
      <c r="B78" s="900">
        <v>656</v>
      </c>
      <c r="C78" s="900">
        <v>0</v>
      </c>
      <c r="D78" s="900">
        <v>560</v>
      </c>
      <c r="E78" s="900">
        <v>656</v>
      </c>
      <c r="F78"/>
      <c r="G78"/>
    </row>
    <row r="79" spans="1:7" hidden="1" x14ac:dyDescent="0.25">
      <c r="A79" s="173" t="s">
        <v>309</v>
      </c>
      <c r="B79" s="900">
        <v>578</v>
      </c>
      <c r="C79" s="900">
        <v>0</v>
      </c>
      <c r="D79" s="900">
        <v>160</v>
      </c>
      <c r="E79" s="900">
        <v>578</v>
      </c>
      <c r="F79"/>
      <c r="G79"/>
    </row>
    <row r="80" spans="1:7" hidden="1" x14ac:dyDescent="0.25">
      <c r="A80" s="173" t="s">
        <v>310</v>
      </c>
      <c r="B80" s="900">
        <v>697</v>
      </c>
      <c r="C80" s="900">
        <v>0</v>
      </c>
      <c r="D80" s="900">
        <v>640</v>
      </c>
      <c r="E80" s="900">
        <v>697</v>
      </c>
      <c r="F80"/>
      <c r="G80"/>
    </row>
    <row r="81" spans="1:7" hidden="1" x14ac:dyDescent="0.25">
      <c r="A81" s="173" t="s">
        <v>395</v>
      </c>
      <c r="B81" s="900">
        <v>640</v>
      </c>
      <c r="C81" s="900">
        <v>0</v>
      </c>
      <c r="D81" s="900">
        <v>640</v>
      </c>
      <c r="E81" s="900">
        <v>0</v>
      </c>
      <c r="F81"/>
      <c r="G81"/>
    </row>
    <row r="82" spans="1:7" hidden="1" x14ac:dyDescent="0.25">
      <c r="A82" s="173" t="s">
        <v>405</v>
      </c>
      <c r="B82" s="900">
        <v>102</v>
      </c>
      <c r="C82" s="900">
        <v>0</v>
      </c>
      <c r="D82" s="900">
        <v>102</v>
      </c>
      <c r="E82" s="900">
        <v>102</v>
      </c>
      <c r="F82"/>
      <c r="G82"/>
    </row>
    <row r="83" spans="1:7" hidden="1" x14ac:dyDescent="0.25">
      <c r="A83" s="173" t="s">
        <v>406</v>
      </c>
      <c r="B83" s="900">
        <v>62</v>
      </c>
      <c r="C83" s="900">
        <v>0</v>
      </c>
      <c r="D83" s="900">
        <v>62</v>
      </c>
      <c r="E83" s="900">
        <v>62</v>
      </c>
      <c r="F83"/>
      <c r="G83"/>
    </row>
    <row r="84" spans="1:7" hidden="1" x14ac:dyDescent="0.25">
      <c r="A84" s="173" t="s">
        <v>346</v>
      </c>
      <c r="B84" s="900">
        <v>757</v>
      </c>
      <c r="C84" s="900">
        <v>757</v>
      </c>
      <c r="D84" s="900">
        <v>460.00000000000006</v>
      </c>
      <c r="E84" s="900">
        <v>757</v>
      </c>
      <c r="F84"/>
      <c r="G84"/>
    </row>
    <row r="85" spans="1:7" hidden="1" x14ac:dyDescent="0.25">
      <c r="A85" s="173" t="s">
        <v>431</v>
      </c>
      <c r="B85" s="900">
        <v>240</v>
      </c>
      <c r="C85" s="900">
        <v>0</v>
      </c>
      <c r="D85" s="900">
        <v>240</v>
      </c>
      <c r="E85" s="900">
        <v>240</v>
      </c>
      <c r="F85"/>
      <c r="G85"/>
    </row>
    <row r="86" spans="1:7" hidden="1" x14ac:dyDescent="0.25">
      <c r="A86" s="173" t="s">
        <v>432</v>
      </c>
      <c r="B86" s="900">
        <v>379</v>
      </c>
      <c r="C86" s="900">
        <v>0</v>
      </c>
      <c r="D86" s="900">
        <v>320</v>
      </c>
      <c r="E86" s="900">
        <v>379</v>
      </c>
      <c r="F86"/>
      <c r="G86"/>
    </row>
    <row r="87" spans="1:7" hidden="1" x14ac:dyDescent="0.25">
      <c r="A87" s="173" t="s">
        <v>433</v>
      </c>
      <c r="B87" s="900">
        <v>1138</v>
      </c>
      <c r="C87" s="900">
        <v>0</v>
      </c>
      <c r="D87" s="900">
        <v>800</v>
      </c>
      <c r="E87" s="900">
        <v>1138</v>
      </c>
      <c r="F87"/>
      <c r="G87"/>
    </row>
    <row r="88" spans="1:7" hidden="1" x14ac:dyDescent="0.25">
      <c r="A88" s="173" t="s">
        <v>320</v>
      </c>
      <c r="B88" s="900">
        <v>281</v>
      </c>
      <c r="C88" s="900">
        <v>0</v>
      </c>
      <c r="D88" s="900">
        <v>160.00000000000003</v>
      </c>
      <c r="E88" s="900">
        <v>281</v>
      </c>
      <c r="F88"/>
      <c r="G88"/>
    </row>
    <row r="89" spans="1:7" hidden="1" x14ac:dyDescent="0.25">
      <c r="A89" s="173" t="s">
        <v>438</v>
      </c>
      <c r="B89" s="900">
        <v>2350</v>
      </c>
      <c r="C89" s="900">
        <v>0</v>
      </c>
      <c r="D89" s="900">
        <v>720</v>
      </c>
      <c r="E89" s="900">
        <v>2350</v>
      </c>
      <c r="F89"/>
      <c r="G89"/>
    </row>
    <row r="90" spans="1:7" hidden="1" x14ac:dyDescent="0.25">
      <c r="A90" s="173" t="s">
        <v>387</v>
      </c>
      <c r="B90" s="900">
        <v>105</v>
      </c>
      <c r="C90" s="900">
        <v>0</v>
      </c>
      <c r="D90" s="900">
        <v>105</v>
      </c>
      <c r="E90" s="900">
        <v>105</v>
      </c>
      <c r="F90"/>
      <c r="G90"/>
    </row>
    <row r="91" spans="1:7" hidden="1" x14ac:dyDescent="0.25">
      <c r="A91" s="173" t="s">
        <v>322</v>
      </c>
      <c r="B91" s="900">
        <v>178</v>
      </c>
      <c r="C91" s="900">
        <v>0</v>
      </c>
      <c r="D91" s="900">
        <v>120</v>
      </c>
      <c r="E91" s="900">
        <v>178</v>
      </c>
      <c r="F91"/>
      <c r="G91"/>
    </row>
    <row r="92" spans="1:7" hidden="1" x14ac:dyDescent="0.25">
      <c r="A92" s="173" t="s">
        <v>323</v>
      </c>
      <c r="B92" s="900">
        <v>1723</v>
      </c>
      <c r="C92" s="900">
        <v>0</v>
      </c>
      <c r="D92" s="900">
        <v>1723</v>
      </c>
      <c r="E92" s="900">
        <v>1723</v>
      </c>
      <c r="F92"/>
      <c r="G92"/>
    </row>
    <row r="93" spans="1:7" hidden="1" x14ac:dyDescent="0.25">
      <c r="A93" s="173" t="s">
        <v>419</v>
      </c>
      <c r="B93" s="900">
        <v>1801</v>
      </c>
      <c r="C93" s="900">
        <v>0</v>
      </c>
      <c r="D93" s="900">
        <v>580</v>
      </c>
      <c r="E93" s="900">
        <v>1801</v>
      </c>
      <c r="F93"/>
      <c r="G93"/>
    </row>
    <row r="94" spans="1:7" hidden="1" x14ac:dyDescent="0.25">
      <c r="A94" s="173" t="s">
        <v>384</v>
      </c>
      <c r="B94" s="900">
        <v>1492</v>
      </c>
      <c r="C94" s="900">
        <v>0</v>
      </c>
      <c r="D94" s="900">
        <v>1492</v>
      </c>
      <c r="E94" s="900">
        <v>1492</v>
      </c>
      <c r="F94"/>
      <c r="G94"/>
    </row>
    <row r="95" spans="1:7" hidden="1" x14ac:dyDescent="0.25">
      <c r="A95" s="173" t="s">
        <v>324</v>
      </c>
      <c r="B95" s="900">
        <v>2551</v>
      </c>
      <c r="C95" s="900">
        <v>0</v>
      </c>
      <c r="D95" s="900">
        <v>2551</v>
      </c>
      <c r="E95" s="900">
        <v>2551</v>
      </c>
      <c r="F95"/>
      <c r="G95"/>
    </row>
    <row r="96" spans="1:7" hidden="1" x14ac:dyDescent="0.25">
      <c r="A96" s="173" t="s">
        <v>325</v>
      </c>
      <c r="B96" s="900">
        <v>193</v>
      </c>
      <c r="C96" s="900">
        <v>0</v>
      </c>
      <c r="D96" s="900">
        <v>193</v>
      </c>
      <c r="E96" s="900">
        <v>193</v>
      </c>
      <c r="F96"/>
      <c r="G96"/>
    </row>
    <row r="97" spans="1:7" hidden="1" x14ac:dyDescent="0.25">
      <c r="A97" s="173" t="s">
        <v>329</v>
      </c>
      <c r="B97" s="900">
        <v>1855</v>
      </c>
      <c r="C97" s="900">
        <v>0</v>
      </c>
      <c r="D97" s="900">
        <v>1855</v>
      </c>
      <c r="E97" s="900">
        <v>1855</v>
      </c>
      <c r="F97"/>
      <c r="G97"/>
    </row>
    <row r="98" spans="1:7" hidden="1" x14ac:dyDescent="0.25">
      <c r="A98" s="173" t="s">
        <v>46</v>
      </c>
      <c r="B98" s="900">
        <v>803</v>
      </c>
      <c r="C98" s="900">
        <v>0</v>
      </c>
      <c r="D98" s="900">
        <v>803</v>
      </c>
      <c r="E98" s="900">
        <v>803</v>
      </c>
      <c r="F98"/>
      <c r="G98"/>
    </row>
    <row r="99" spans="1:7" hidden="1" x14ac:dyDescent="0.25">
      <c r="A99" s="173" t="s">
        <v>311</v>
      </c>
      <c r="B99" s="900">
        <v>304</v>
      </c>
      <c r="C99" s="900">
        <v>0</v>
      </c>
      <c r="D99" s="900">
        <v>140</v>
      </c>
      <c r="E99" s="900">
        <v>304</v>
      </c>
      <c r="F99"/>
      <c r="G99"/>
    </row>
    <row r="100" spans="1:7" hidden="1" x14ac:dyDescent="0.25">
      <c r="A100" s="173" t="s">
        <v>356</v>
      </c>
      <c r="B100" s="900">
        <v>1172</v>
      </c>
      <c r="C100" s="900">
        <v>1172</v>
      </c>
      <c r="D100" s="900">
        <v>940.00000000000011</v>
      </c>
      <c r="E100" s="900">
        <v>1172</v>
      </c>
      <c r="F100"/>
      <c r="G100"/>
    </row>
    <row r="101" spans="1:7" hidden="1" x14ac:dyDescent="0.25">
      <c r="A101" s="173" t="s">
        <v>437</v>
      </c>
      <c r="B101" s="900">
        <v>650</v>
      </c>
      <c r="C101" s="900">
        <v>0</v>
      </c>
      <c r="D101" s="900">
        <v>560</v>
      </c>
      <c r="E101" s="900">
        <v>650</v>
      </c>
      <c r="F101"/>
      <c r="G101"/>
    </row>
    <row r="102" spans="1:7" hidden="1" x14ac:dyDescent="0.25">
      <c r="A102" s="173" t="s">
        <v>312</v>
      </c>
      <c r="B102" s="900">
        <v>581</v>
      </c>
      <c r="C102" s="900">
        <v>0</v>
      </c>
      <c r="D102" s="900">
        <v>581</v>
      </c>
      <c r="E102" s="900">
        <v>581</v>
      </c>
      <c r="F102"/>
      <c r="G102"/>
    </row>
    <row r="103" spans="1:7" hidden="1" x14ac:dyDescent="0.25">
      <c r="A103" s="173" t="s">
        <v>448</v>
      </c>
      <c r="B103" s="900">
        <v>647</v>
      </c>
      <c r="C103" s="900">
        <v>0</v>
      </c>
      <c r="D103" s="900">
        <v>360</v>
      </c>
      <c r="E103" s="900">
        <v>647</v>
      </c>
      <c r="F103"/>
      <c r="G103"/>
    </row>
    <row r="104" spans="1:7" hidden="1" x14ac:dyDescent="0.25">
      <c r="A104" s="173" t="s">
        <v>450</v>
      </c>
      <c r="B104" s="900">
        <v>524</v>
      </c>
      <c r="C104" s="900">
        <v>524</v>
      </c>
      <c r="D104" s="900">
        <v>524</v>
      </c>
      <c r="E104" s="900">
        <v>524</v>
      </c>
      <c r="F104"/>
      <c r="G104"/>
    </row>
    <row r="105" spans="1:7" hidden="1" x14ac:dyDescent="0.25">
      <c r="A105" s="173" t="s">
        <v>451</v>
      </c>
      <c r="B105" s="900">
        <v>2338</v>
      </c>
      <c r="C105" s="900">
        <v>0</v>
      </c>
      <c r="D105" s="900">
        <v>2338</v>
      </c>
      <c r="E105" s="900">
        <v>2338</v>
      </c>
      <c r="F105"/>
      <c r="G105"/>
    </row>
    <row r="106" spans="1:7" hidden="1" x14ac:dyDescent="0.25">
      <c r="A106" s="173" t="s">
        <v>452</v>
      </c>
      <c r="B106" s="900">
        <v>637</v>
      </c>
      <c r="C106" s="900">
        <v>0</v>
      </c>
      <c r="D106" s="900">
        <v>637</v>
      </c>
      <c r="E106" s="900">
        <v>637</v>
      </c>
      <c r="F106"/>
      <c r="G106"/>
    </row>
    <row r="107" spans="1:7" hidden="1" x14ac:dyDescent="0.25">
      <c r="A107" s="173" t="s">
        <v>1148</v>
      </c>
      <c r="B107" s="900">
        <v>834</v>
      </c>
      <c r="C107" s="900">
        <v>0</v>
      </c>
      <c r="D107" s="900">
        <v>0</v>
      </c>
      <c r="E107" s="900">
        <v>0</v>
      </c>
      <c r="F107"/>
      <c r="G107"/>
    </row>
    <row r="108" spans="1:7" hidden="1" x14ac:dyDescent="0.25">
      <c r="A108" s="173" t="s">
        <v>357</v>
      </c>
      <c r="B108" s="900">
        <v>13</v>
      </c>
      <c r="C108" s="900">
        <v>13</v>
      </c>
      <c r="D108" s="900">
        <v>13</v>
      </c>
      <c r="E108" s="900">
        <v>13</v>
      </c>
      <c r="F108"/>
      <c r="G108"/>
    </row>
    <row r="109" spans="1:7" hidden="1" x14ac:dyDescent="0.25">
      <c r="A109" s="173" t="s">
        <v>339</v>
      </c>
      <c r="B109" s="900">
        <v>823</v>
      </c>
      <c r="C109" s="900">
        <v>823</v>
      </c>
      <c r="D109" s="900">
        <v>823</v>
      </c>
      <c r="E109" s="900">
        <v>823</v>
      </c>
      <c r="F109"/>
      <c r="G109"/>
    </row>
    <row r="110" spans="1:7" hidden="1" x14ac:dyDescent="0.25">
      <c r="A110" s="173" t="s">
        <v>1166</v>
      </c>
      <c r="B110" s="900">
        <v>290</v>
      </c>
      <c r="C110" s="900">
        <v>0</v>
      </c>
      <c r="D110" s="900">
        <v>0</v>
      </c>
      <c r="E110" s="900">
        <v>0</v>
      </c>
      <c r="F110"/>
      <c r="G110"/>
    </row>
    <row r="111" spans="1:7" hidden="1" x14ac:dyDescent="0.25">
      <c r="A111" s="173" t="s">
        <v>413</v>
      </c>
      <c r="B111" s="900">
        <v>97</v>
      </c>
      <c r="C111" s="900">
        <v>0</v>
      </c>
      <c r="D111" s="900">
        <v>60</v>
      </c>
      <c r="E111" s="900">
        <v>97</v>
      </c>
      <c r="F111"/>
      <c r="G111"/>
    </row>
    <row r="112" spans="1:7" hidden="1" x14ac:dyDescent="0.25">
      <c r="A112" s="173" t="s">
        <v>414</v>
      </c>
      <c r="B112" s="900">
        <v>76</v>
      </c>
      <c r="C112" s="900">
        <v>0</v>
      </c>
      <c r="D112" s="900">
        <v>60</v>
      </c>
      <c r="E112" s="900">
        <v>76</v>
      </c>
      <c r="F112"/>
      <c r="G112"/>
    </row>
    <row r="113" spans="1:7" hidden="1" x14ac:dyDescent="0.25">
      <c r="A113" s="173" t="s">
        <v>407</v>
      </c>
      <c r="B113" s="900">
        <v>15</v>
      </c>
      <c r="C113" s="900">
        <v>0</v>
      </c>
      <c r="D113" s="900">
        <v>0</v>
      </c>
      <c r="E113" s="900">
        <v>15</v>
      </c>
      <c r="F113"/>
      <c r="G113"/>
    </row>
    <row r="114" spans="1:7" hidden="1" x14ac:dyDescent="0.25">
      <c r="A114" s="173" t="s">
        <v>1201</v>
      </c>
      <c r="B114" s="900">
        <v>63</v>
      </c>
      <c r="C114" s="900">
        <v>0</v>
      </c>
      <c r="D114" s="900">
        <v>0</v>
      </c>
      <c r="E114" s="900">
        <v>0</v>
      </c>
      <c r="F114"/>
      <c r="G114"/>
    </row>
    <row r="115" spans="1:7" hidden="1" x14ac:dyDescent="0.25">
      <c r="A115" s="173" t="s">
        <v>359</v>
      </c>
      <c r="B115" s="900">
        <v>453</v>
      </c>
      <c r="C115" s="900">
        <v>453</v>
      </c>
      <c r="D115" s="900">
        <v>200</v>
      </c>
      <c r="E115" s="900">
        <v>453</v>
      </c>
      <c r="F115"/>
      <c r="G115"/>
    </row>
    <row r="116" spans="1:7" hidden="1" x14ac:dyDescent="0.25">
      <c r="A116" s="173" t="s">
        <v>1175</v>
      </c>
      <c r="B116" s="900">
        <v>1067</v>
      </c>
      <c r="C116" s="900">
        <v>0</v>
      </c>
      <c r="D116" s="900">
        <v>0</v>
      </c>
      <c r="E116" s="900">
        <v>0</v>
      </c>
      <c r="F116"/>
      <c r="G116"/>
    </row>
    <row r="117" spans="1:7" hidden="1" x14ac:dyDescent="0.25">
      <c r="A117" s="173" t="s">
        <v>347</v>
      </c>
      <c r="B117" s="900">
        <v>51</v>
      </c>
      <c r="C117" s="900">
        <v>51</v>
      </c>
      <c r="D117" s="900">
        <v>51</v>
      </c>
      <c r="E117" s="900">
        <v>51</v>
      </c>
      <c r="F117"/>
      <c r="G117"/>
    </row>
    <row r="118" spans="1:7" hidden="1" x14ac:dyDescent="0.25">
      <c r="A118" s="173" t="s">
        <v>336</v>
      </c>
      <c r="B118" s="900">
        <v>18</v>
      </c>
      <c r="C118" s="900">
        <v>0</v>
      </c>
      <c r="D118" s="900">
        <v>18</v>
      </c>
      <c r="E118" s="900">
        <v>0</v>
      </c>
      <c r="F118"/>
      <c r="G118"/>
    </row>
    <row r="119" spans="1:7" hidden="1" x14ac:dyDescent="0.25">
      <c r="A119" s="173" t="s">
        <v>1185</v>
      </c>
      <c r="B119" s="900">
        <v>153</v>
      </c>
      <c r="C119" s="900">
        <v>0</v>
      </c>
      <c r="D119" s="900">
        <v>0</v>
      </c>
      <c r="E119" s="900">
        <v>0</v>
      </c>
      <c r="F119"/>
      <c r="G119"/>
    </row>
    <row r="120" spans="1:7" hidden="1" x14ac:dyDescent="0.25">
      <c r="A120" s="173" t="s">
        <v>408</v>
      </c>
      <c r="B120" s="900">
        <v>45</v>
      </c>
      <c r="C120" s="900">
        <v>0</v>
      </c>
      <c r="D120" s="900">
        <v>45</v>
      </c>
      <c r="E120" s="900">
        <v>45</v>
      </c>
      <c r="F120"/>
      <c r="G120"/>
    </row>
    <row r="121" spans="1:7" hidden="1" x14ac:dyDescent="0.25">
      <c r="A121" s="173" t="s">
        <v>381</v>
      </c>
      <c r="B121" s="900">
        <v>311</v>
      </c>
      <c r="C121" s="900">
        <v>0</v>
      </c>
      <c r="D121" s="900">
        <v>311</v>
      </c>
      <c r="E121" s="900">
        <v>311</v>
      </c>
      <c r="F121"/>
      <c r="G121"/>
    </row>
    <row r="122" spans="1:7" hidden="1" x14ac:dyDescent="0.25">
      <c r="A122" s="173" t="s">
        <v>349</v>
      </c>
      <c r="B122" s="900">
        <v>111</v>
      </c>
      <c r="C122" s="900">
        <v>111</v>
      </c>
      <c r="D122" s="900">
        <v>80</v>
      </c>
      <c r="E122" s="900">
        <v>0</v>
      </c>
      <c r="F122"/>
      <c r="G122"/>
    </row>
    <row r="123" spans="1:7" hidden="1" x14ac:dyDescent="0.25">
      <c r="A123" s="173" t="s">
        <v>378</v>
      </c>
      <c r="B123" s="900">
        <v>221</v>
      </c>
      <c r="C123" s="900">
        <v>0</v>
      </c>
      <c r="D123" s="900">
        <v>221</v>
      </c>
      <c r="E123" s="900">
        <v>221</v>
      </c>
      <c r="F123"/>
      <c r="G123"/>
    </row>
    <row r="124" spans="1:7" hidden="1" x14ac:dyDescent="0.25">
      <c r="A124" s="173" t="s">
        <v>301</v>
      </c>
      <c r="B124" s="900">
        <v>33</v>
      </c>
      <c r="C124" s="900">
        <v>0</v>
      </c>
      <c r="D124" s="900">
        <v>33</v>
      </c>
      <c r="E124" s="900">
        <v>33</v>
      </c>
      <c r="F124"/>
      <c r="G124"/>
    </row>
    <row r="125" spans="1:7" hidden="1" x14ac:dyDescent="0.25">
      <c r="A125" s="173" t="s">
        <v>420</v>
      </c>
      <c r="B125" s="900">
        <v>86</v>
      </c>
      <c r="C125" s="900">
        <v>0</v>
      </c>
      <c r="D125" s="900">
        <v>80</v>
      </c>
      <c r="E125" s="900">
        <v>86</v>
      </c>
      <c r="F125"/>
      <c r="G125"/>
    </row>
    <row r="126" spans="1:7" hidden="1" x14ac:dyDescent="0.25">
      <c r="A126" s="173" t="s">
        <v>304</v>
      </c>
      <c r="B126" s="900">
        <v>115</v>
      </c>
      <c r="C126" s="900">
        <v>0</v>
      </c>
      <c r="D126" s="900">
        <v>100</v>
      </c>
      <c r="E126" s="900">
        <v>115</v>
      </c>
      <c r="F126"/>
      <c r="G126"/>
    </row>
    <row r="127" spans="1:7" hidden="1" x14ac:dyDescent="0.25">
      <c r="A127" s="173" t="s">
        <v>331</v>
      </c>
      <c r="B127" s="900">
        <v>547</v>
      </c>
      <c r="C127" s="900">
        <v>0</v>
      </c>
      <c r="D127" s="900">
        <v>547</v>
      </c>
      <c r="E127" s="900">
        <v>0</v>
      </c>
      <c r="F127"/>
      <c r="G127"/>
    </row>
    <row r="128" spans="1:7" hidden="1" x14ac:dyDescent="0.25">
      <c r="A128" s="173" t="s">
        <v>445</v>
      </c>
      <c r="B128" s="900">
        <v>1722</v>
      </c>
      <c r="C128" s="900">
        <v>0</v>
      </c>
      <c r="D128" s="900">
        <v>1722</v>
      </c>
      <c r="E128" s="900">
        <v>1722</v>
      </c>
      <c r="F128"/>
      <c r="G128"/>
    </row>
    <row r="129" spans="1:7" hidden="1" x14ac:dyDescent="0.25">
      <c r="A129" s="173" t="s">
        <v>313</v>
      </c>
      <c r="B129" s="900">
        <v>295</v>
      </c>
      <c r="C129" s="900">
        <v>0</v>
      </c>
      <c r="D129" s="900">
        <v>200</v>
      </c>
      <c r="E129" s="900">
        <v>295</v>
      </c>
      <c r="F129"/>
      <c r="G129"/>
    </row>
    <row r="130" spans="1:7" hidden="1" x14ac:dyDescent="0.25">
      <c r="A130" s="173" t="s">
        <v>434</v>
      </c>
      <c r="B130" s="900">
        <v>300</v>
      </c>
      <c r="C130" s="900">
        <v>0</v>
      </c>
      <c r="D130" s="900">
        <v>300</v>
      </c>
      <c r="E130" s="900">
        <v>300</v>
      </c>
      <c r="F130"/>
      <c r="G130"/>
    </row>
    <row r="131" spans="1:7" hidden="1" x14ac:dyDescent="0.25">
      <c r="A131" s="173" t="s">
        <v>382</v>
      </c>
      <c r="B131" s="900">
        <v>289</v>
      </c>
      <c r="C131" s="900">
        <v>0</v>
      </c>
      <c r="D131" s="900">
        <v>240</v>
      </c>
      <c r="E131" s="900">
        <v>289</v>
      </c>
      <c r="F131"/>
      <c r="G131"/>
    </row>
    <row r="132" spans="1:7" hidden="1" x14ac:dyDescent="0.25">
      <c r="A132" s="173" t="s">
        <v>446</v>
      </c>
      <c r="B132" s="900">
        <v>3316</v>
      </c>
      <c r="C132" s="900">
        <v>0</v>
      </c>
      <c r="D132" s="900">
        <v>3316</v>
      </c>
      <c r="E132" s="900">
        <v>3316</v>
      </c>
      <c r="F132"/>
      <c r="G132"/>
    </row>
    <row r="133" spans="1:7" hidden="1" x14ac:dyDescent="0.25">
      <c r="A133" s="173" t="s">
        <v>326</v>
      </c>
      <c r="B133" s="900">
        <v>895</v>
      </c>
      <c r="C133" s="900">
        <v>0</v>
      </c>
      <c r="D133" s="900">
        <v>895</v>
      </c>
      <c r="E133" s="900">
        <v>895</v>
      </c>
      <c r="F133"/>
      <c r="G133"/>
    </row>
    <row r="134" spans="1:7" hidden="1" x14ac:dyDescent="0.25">
      <c r="A134" s="173" t="s">
        <v>371</v>
      </c>
      <c r="B134" s="900">
        <v>267</v>
      </c>
      <c r="C134" s="900">
        <v>0</v>
      </c>
      <c r="D134" s="900">
        <v>267</v>
      </c>
      <c r="E134" s="900">
        <v>267</v>
      </c>
      <c r="F134"/>
      <c r="G134"/>
    </row>
    <row r="135" spans="1:7" hidden="1" x14ac:dyDescent="0.25">
      <c r="A135" s="173" t="s">
        <v>429</v>
      </c>
      <c r="B135" s="900">
        <v>778</v>
      </c>
      <c r="C135" s="900">
        <v>0</v>
      </c>
      <c r="D135" s="900">
        <v>778</v>
      </c>
      <c r="E135" s="900">
        <v>778</v>
      </c>
      <c r="F135"/>
      <c r="G135"/>
    </row>
    <row r="136" spans="1:7" hidden="1" x14ac:dyDescent="0.25">
      <c r="A136" s="173" t="s">
        <v>385</v>
      </c>
      <c r="B136" s="900">
        <v>550</v>
      </c>
      <c r="C136" s="900">
        <v>0</v>
      </c>
      <c r="D136" s="900">
        <v>550</v>
      </c>
      <c r="E136" s="900">
        <v>550</v>
      </c>
      <c r="F136"/>
      <c r="G136"/>
    </row>
    <row r="137" spans="1:7" hidden="1" x14ac:dyDescent="0.25">
      <c r="A137" s="173" t="s">
        <v>421</v>
      </c>
      <c r="B137" s="900">
        <v>460</v>
      </c>
      <c r="C137" s="900">
        <v>0</v>
      </c>
      <c r="D137" s="900">
        <v>80</v>
      </c>
      <c r="E137" s="900">
        <v>460</v>
      </c>
      <c r="F137"/>
      <c r="G137"/>
    </row>
    <row r="138" spans="1:7" hidden="1" x14ac:dyDescent="0.25">
      <c r="A138" s="173" t="s">
        <v>327</v>
      </c>
      <c r="B138" s="900">
        <v>322</v>
      </c>
      <c r="C138" s="900">
        <v>0</v>
      </c>
      <c r="D138" s="900">
        <v>199.99999999999997</v>
      </c>
      <c r="E138" s="900">
        <v>322</v>
      </c>
      <c r="F138"/>
      <c r="G138"/>
    </row>
    <row r="139" spans="1:7" hidden="1" x14ac:dyDescent="0.25">
      <c r="A139" s="173" t="s">
        <v>422</v>
      </c>
      <c r="B139" s="900">
        <v>159</v>
      </c>
      <c r="C139" s="900">
        <v>0</v>
      </c>
      <c r="D139" s="900">
        <v>60.000000000000007</v>
      </c>
      <c r="E139" s="900">
        <v>159</v>
      </c>
      <c r="F139"/>
      <c r="G139"/>
    </row>
    <row r="140" spans="1:7" hidden="1" x14ac:dyDescent="0.25">
      <c r="A140" s="173" t="s">
        <v>423</v>
      </c>
      <c r="B140" s="900">
        <v>492</v>
      </c>
      <c r="C140" s="900">
        <v>0</v>
      </c>
      <c r="D140" s="900">
        <v>320</v>
      </c>
      <c r="E140" s="900">
        <v>492</v>
      </c>
      <c r="F140"/>
      <c r="G140"/>
    </row>
    <row r="141" spans="1:7" hidden="1" x14ac:dyDescent="0.25">
      <c r="A141" s="173" t="s">
        <v>409</v>
      </c>
      <c r="B141" s="900">
        <v>37</v>
      </c>
      <c r="C141" s="900">
        <v>0</v>
      </c>
      <c r="D141" s="900">
        <v>37</v>
      </c>
      <c r="E141" s="900">
        <v>37</v>
      </c>
      <c r="F141"/>
      <c r="G141"/>
    </row>
    <row r="142" spans="1:7" hidden="1" x14ac:dyDescent="0.25">
      <c r="A142" s="173" t="s">
        <v>430</v>
      </c>
      <c r="B142" s="900">
        <v>4010</v>
      </c>
      <c r="C142" s="900">
        <v>0</v>
      </c>
      <c r="D142" s="900">
        <v>3200</v>
      </c>
      <c r="E142" s="900">
        <v>4010</v>
      </c>
      <c r="F142"/>
      <c r="G142"/>
    </row>
    <row r="143" spans="1:7" hidden="1" x14ac:dyDescent="0.25">
      <c r="A143" s="173" t="s">
        <v>2169</v>
      </c>
      <c r="B143" s="900">
        <v>1409</v>
      </c>
      <c r="C143" s="900">
        <v>0</v>
      </c>
      <c r="D143" s="900">
        <v>0</v>
      </c>
      <c r="E143" s="900">
        <v>0</v>
      </c>
      <c r="F143"/>
      <c r="G143"/>
    </row>
    <row r="144" spans="1:7" hidden="1" x14ac:dyDescent="0.25">
      <c r="A144" s="173" t="s">
        <v>410</v>
      </c>
      <c r="B144" s="900">
        <v>25</v>
      </c>
      <c r="C144" s="900">
        <v>0</v>
      </c>
      <c r="D144" s="900">
        <v>0</v>
      </c>
      <c r="E144" s="900">
        <v>25</v>
      </c>
      <c r="F144"/>
      <c r="G144"/>
    </row>
    <row r="145" spans="1:7" hidden="1" x14ac:dyDescent="0.25">
      <c r="A145" s="173" t="s">
        <v>333</v>
      </c>
      <c r="B145" s="900">
        <v>268</v>
      </c>
      <c r="C145" s="900">
        <v>0</v>
      </c>
      <c r="D145" s="900">
        <v>268</v>
      </c>
      <c r="E145" s="900">
        <v>0</v>
      </c>
      <c r="F145"/>
      <c r="G145"/>
    </row>
    <row r="146" spans="1:7" hidden="1" x14ac:dyDescent="0.25">
      <c r="A146" s="173" t="s">
        <v>302</v>
      </c>
      <c r="B146" s="900">
        <v>129</v>
      </c>
      <c r="C146" s="900">
        <v>0</v>
      </c>
      <c r="D146" s="900">
        <v>129</v>
      </c>
      <c r="E146" s="900">
        <v>129</v>
      </c>
      <c r="F146"/>
      <c r="G146"/>
    </row>
    <row r="147" spans="1:7" hidden="1" x14ac:dyDescent="0.25">
      <c r="A147" s="173" t="s">
        <v>374</v>
      </c>
      <c r="B147" s="900">
        <v>173</v>
      </c>
      <c r="C147" s="900">
        <v>0</v>
      </c>
      <c r="D147" s="900">
        <v>173</v>
      </c>
      <c r="E147" s="900">
        <v>173</v>
      </c>
      <c r="F147"/>
      <c r="G147"/>
    </row>
    <row r="148" spans="1:7" hidden="1" x14ac:dyDescent="0.25">
      <c r="A148" s="173" t="s">
        <v>436</v>
      </c>
      <c r="B148" s="900">
        <v>253</v>
      </c>
      <c r="C148" s="900">
        <v>0</v>
      </c>
      <c r="D148" s="900">
        <v>253</v>
      </c>
      <c r="E148" s="900">
        <v>253</v>
      </c>
      <c r="F148"/>
      <c r="G148"/>
    </row>
    <row r="149" spans="1:7" hidden="1" x14ac:dyDescent="0.25">
      <c r="A149" s="173" t="s">
        <v>289</v>
      </c>
      <c r="B149" s="900">
        <v>1893</v>
      </c>
      <c r="C149" s="900">
        <v>0</v>
      </c>
      <c r="D149" s="900">
        <v>1893</v>
      </c>
      <c r="E149" s="900">
        <v>1893</v>
      </c>
      <c r="F149"/>
      <c r="G149"/>
    </row>
    <row r="150" spans="1:7" hidden="1" x14ac:dyDescent="0.25">
      <c r="A150" s="173" t="s">
        <v>334</v>
      </c>
      <c r="B150" s="900">
        <v>120</v>
      </c>
      <c r="C150" s="900">
        <v>0</v>
      </c>
      <c r="D150" s="900">
        <v>120</v>
      </c>
      <c r="E150" s="900">
        <v>120</v>
      </c>
      <c r="F150"/>
      <c r="G150"/>
    </row>
    <row r="151" spans="1:7" hidden="1" x14ac:dyDescent="0.25">
      <c r="A151" s="173" t="s">
        <v>335</v>
      </c>
      <c r="B151" s="900">
        <v>15</v>
      </c>
      <c r="C151" s="900">
        <v>0</v>
      </c>
      <c r="D151" s="900">
        <v>15</v>
      </c>
      <c r="E151" s="900">
        <v>15</v>
      </c>
      <c r="F151"/>
      <c r="G151"/>
    </row>
    <row r="152" spans="1:7" hidden="1" x14ac:dyDescent="0.25">
      <c r="A152" s="173" t="s">
        <v>337</v>
      </c>
      <c r="B152" s="900">
        <v>84</v>
      </c>
      <c r="C152" s="900">
        <v>0</v>
      </c>
      <c r="D152" s="900">
        <v>80</v>
      </c>
      <c r="E152" s="900">
        <v>84</v>
      </c>
      <c r="F152"/>
      <c r="G152"/>
    </row>
    <row r="153" spans="1:7" hidden="1" x14ac:dyDescent="0.25">
      <c r="A153" s="173" t="s">
        <v>314</v>
      </c>
      <c r="B153" s="900">
        <v>569</v>
      </c>
      <c r="C153" s="900">
        <v>0</v>
      </c>
      <c r="D153" s="900">
        <v>260</v>
      </c>
      <c r="E153" s="900">
        <v>569</v>
      </c>
      <c r="F153"/>
      <c r="G153"/>
    </row>
    <row r="154" spans="1:7" hidden="1" x14ac:dyDescent="0.25">
      <c r="A154" s="173" t="s">
        <v>415</v>
      </c>
      <c r="B154" s="900">
        <v>114</v>
      </c>
      <c r="C154" s="900">
        <v>0</v>
      </c>
      <c r="D154" s="900">
        <v>114</v>
      </c>
      <c r="E154" s="900">
        <v>114</v>
      </c>
      <c r="F154"/>
      <c r="G154"/>
    </row>
    <row r="155" spans="1:7" hidden="1" x14ac:dyDescent="0.25">
      <c r="A155" s="173" t="s">
        <v>328</v>
      </c>
      <c r="B155" s="900">
        <v>962</v>
      </c>
      <c r="C155" s="900">
        <v>0</v>
      </c>
      <c r="D155" s="900">
        <v>962</v>
      </c>
      <c r="E155" s="900">
        <v>962</v>
      </c>
      <c r="F155"/>
      <c r="G155"/>
    </row>
    <row r="156" spans="1:7" hidden="1" x14ac:dyDescent="0.25">
      <c r="A156" s="173" t="s">
        <v>361</v>
      </c>
      <c r="B156" s="900">
        <v>259</v>
      </c>
      <c r="C156" s="900">
        <v>259</v>
      </c>
      <c r="D156" s="900">
        <v>259</v>
      </c>
      <c r="E156" s="900">
        <v>259</v>
      </c>
      <c r="F156"/>
      <c r="G156"/>
    </row>
    <row r="157" spans="1:7" hidden="1" x14ac:dyDescent="0.25">
      <c r="A157" s="173" t="s">
        <v>362</v>
      </c>
      <c r="B157" s="900">
        <v>169</v>
      </c>
      <c r="C157" s="900">
        <v>169</v>
      </c>
      <c r="D157" s="900">
        <v>169</v>
      </c>
      <c r="E157" s="900">
        <v>169</v>
      </c>
      <c r="F157"/>
      <c r="G157"/>
    </row>
    <row r="158" spans="1:7" hidden="1" x14ac:dyDescent="0.25">
      <c r="A158" s="173" t="s">
        <v>315</v>
      </c>
      <c r="B158" s="900">
        <v>501</v>
      </c>
      <c r="C158" s="900">
        <v>0</v>
      </c>
      <c r="D158" s="900">
        <v>340</v>
      </c>
      <c r="E158" s="900">
        <v>501</v>
      </c>
      <c r="F158"/>
      <c r="G158"/>
    </row>
    <row r="159" spans="1:7" hidden="1" x14ac:dyDescent="0.25">
      <c r="A159" s="173" t="s">
        <v>285</v>
      </c>
      <c r="B159" s="900">
        <v>101</v>
      </c>
      <c r="C159" s="900">
        <v>0</v>
      </c>
      <c r="D159" s="900">
        <v>101</v>
      </c>
      <c r="E159" s="900">
        <v>101</v>
      </c>
      <c r="F159"/>
      <c r="G159"/>
    </row>
    <row r="160" spans="1:7" hidden="1" x14ac:dyDescent="0.25">
      <c r="A160" s="173" t="s">
        <v>386</v>
      </c>
      <c r="B160" s="900">
        <v>50</v>
      </c>
      <c r="C160" s="900">
        <v>0</v>
      </c>
      <c r="D160" s="900">
        <v>50</v>
      </c>
      <c r="E160" s="900">
        <v>50</v>
      </c>
      <c r="F160"/>
      <c r="G160"/>
    </row>
    <row r="161" spans="1:7" hidden="1" x14ac:dyDescent="0.25">
      <c r="A161" s="173" t="s">
        <v>330</v>
      </c>
      <c r="B161" s="900">
        <v>32</v>
      </c>
      <c r="C161" s="900">
        <v>0</v>
      </c>
      <c r="D161" s="900">
        <v>0</v>
      </c>
      <c r="E161" s="900">
        <v>0</v>
      </c>
      <c r="F161"/>
      <c r="G161"/>
    </row>
    <row r="162" spans="1:7" hidden="1" x14ac:dyDescent="0.25">
      <c r="A162" s="173" t="s">
        <v>1313</v>
      </c>
      <c r="B162" s="900">
        <v>152</v>
      </c>
      <c r="C162" s="900">
        <v>0</v>
      </c>
      <c r="D162" s="900">
        <v>152</v>
      </c>
      <c r="E162" s="900">
        <v>152</v>
      </c>
      <c r="F162"/>
      <c r="G162"/>
    </row>
    <row r="163" spans="1:7" hidden="1" x14ac:dyDescent="0.25">
      <c r="A163" s="173" t="s">
        <v>1315</v>
      </c>
      <c r="B163" s="900">
        <v>129</v>
      </c>
      <c r="C163" s="900">
        <v>0</v>
      </c>
      <c r="D163" s="900">
        <v>129</v>
      </c>
      <c r="E163" s="900">
        <v>129</v>
      </c>
      <c r="F163"/>
      <c r="G163"/>
    </row>
    <row r="164" spans="1:7" hidden="1" x14ac:dyDescent="0.25">
      <c r="A164" s="173" t="s">
        <v>316</v>
      </c>
      <c r="B164" s="900">
        <v>369</v>
      </c>
      <c r="C164" s="900">
        <v>0</v>
      </c>
      <c r="D164" s="900">
        <v>220</v>
      </c>
      <c r="E164" s="900">
        <v>369</v>
      </c>
      <c r="F164"/>
      <c r="G164"/>
    </row>
    <row r="165" spans="1:7" hidden="1" x14ac:dyDescent="0.25">
      <c r="A165" s="173" t="s">
        <v>416</v>
      </c>
      <c r="B165" s="900">
        <v>266</v>
      </c>
      <c r="C165" s="900">
        <v>0</v>
      </c>
      <c r="D165" s="900">
        <v>200</v>
      </c>
      <c r="E165" s="900">
        <v>266</v>
      </c>
      <c r="F165"/>
      <c r="G165"/>
    </row>
    <row r="166" spans="1:7" hidden="1" x14ac:dyDescent="0.25">
      <c r="A166" s="173" t="s">
        <v>417</v>
      </c>
      <c r="B166" s="900">
        <v>31</v>
      </c>
      <c r="C166" s="900">
        <v>0</v>
      </c>
      <c r="D166" s="900">
        <v>31</v>
      </c>
      <c r="E166" s="900">
        <v>31</v>
      </c>
      <c r="F166"/>
      <c r="G166"/>
    </row>
    <row r="167" spans="1:7" hidden="1" x14ac:dyDescent="0.25">
      <c r="A167" s="173" t="s">
        <v>317</v>
      </c>
      <c r="B167" s="900">
        <v>171</v>
      </c>
      <c r="C167" s="900">
        <v>0</v>
      </c>
      <c r="D167" s="900">
        <v>100</v>
      </c>
      <c r="E167" s="900">
        <v>171</v>
      </c>
      <c r="F167"/>
      <c r="G167"/>
    </row>
    <row r="168" spans="1:7" hidden="1" x14ac:dyDescent="0.25">
      <c r="A168" s="173" t="s">
        <v>318</v>
      </c>
      <c r="B168" s="900">
        <v>239</v>
      </c>
      <c r="C168" s="900">
        <v>0</v>
      </c>
      <c r="D168" s="900">
        <v>239</v>
      </c>
      <c r="E168" s="900">
        <v>239</v>
      </c>
      <c r="F168"/>
      <c r="G168"/>
    </row>
    <row r="169" spans="1:7" hidden="1" x14ac:dyDescent="0.25">
      <c r="A169" s="173" t="s">
        <v>424</v>
      </c>
      <c r="B169" s="900">
        <v>190</v>
      </c>
      <c r="C169" s="900">
        <v>0</v>
      </c>
      <c r="D169" s="900">
        <v>80</v>
      </c>
      <c r="E169" s="900">
        <v>190</v>
      </c>
      <c r="F169"/>
      <c r="G169"/>
    </row>
    <row r="170" spans="1:7" hidden="1" x14ac:dyDescent="0.25">
      <c r="A170" s="173" t="s">
        <v>1252</v>
      </c>
      <c r="B170" s="900">
        <v>75</v>
      </c>
      <c r="C170" s="900">
        <v>0</v>
      </c>
      <c r="D170" s="900">
        <v>0</v>
      </c>
      <c r="E170" s="900">
        <v>0</v>
      </c>
      <c r="F170"/>
      <c r="G170"/>
    </row>
    <row r="171" spans="1:7" hidden="1" x14ac:dyDescent="0.25">
      <c r="A171" s="173" t="s">
        <v>425</v>
      </c>
      <c r="B171" s="900">
        <v>291</v>
      </c>
      <c r="C171" s="900">
        <v>0</v>
      </c>
      <c r="D171" s="900">
        <v>160</v>
      </c>
      <c r="E171" s="900">
        <v>291</v>
      </c>
      <c r="F171"/>
      <c r="G171"/>
    </row>
    <row r="172" spans="1:7" hidden="1" x14ac:dyDescent="0.25">
      <c r="A172" s="173" t="s">
        <v>411</v>
      </c>
      <c r="B172" s="900">
        <v>173</v>
      </c>
      <c r="C172" s="900">
        <v>0</v>
      </c>
      <c r="D172" s="900">
        <v>173</v>
      </c>
      <c r="E172" s="900">
        <v>33.333333333333336</v>
      </c>
    </row>
    <row r="173" spans="1:7" hidden="1" x14ac:dyDescent="0.25">
      <c r="A173" s="173" t="s">
        <v>367</v>
      </c>
      <c r="B173" s="900">
        <v>2902</v>
      </c>
      <c r="C173" s="900">
        <v>2902</v>
      </c>
      <c r="D173" s="900">
        <v>1920.0000000000002</v>
      </c>
      <c r="E173" s="900">
        <v>2902</v>
      </c>
    </row>
    <row r="174" spans="1:7" hidden="1" x14ac:dyDescent="0.25">
      <c r="A174" s="173" t="s">
        <v>369</v>
      </c>
      <c r="B174" s="900">
        <v>709</v>
      </c>
      <c r="C174" s="900">
        <v>0</v>
      </c>
      <c r="D174" s="900">
        <v>709</v>
      </c>
      <c r="E174" s="900">
        <v>709</v>
      </c>
    </row>
    <row r="175" spans="1:7" hidden="1" x14ac:dyDescent="0.25">
      <c r="A175" s="173" t="s">
        <v>368</v>
      </c>
      <c r="B175" s="900">
        <v>2550</v>
      </c>
      <c r="C175" s="900">
        <v>0</v>
      </c>
      <c r="D175" s="900">
        <v>2550</v>
      </c>
      <c r="E175" s="900">
        <v>2550</v>
      </c>
    </row>
    <row r="176" spans="1:7" hidden="1" x14ac:dyDescent="0.25">
      <c r="A176" s="173" t="s">
        <v>350</v>
      </c>
      <c r="B176" s="900">
        <v>75</v>
      </c>
      <c r="C176" s="900">
        <v>75</v>
      </c>
      <c r="D176" s="900">
        <v>75</v>
      </c>
      <c r="E176" s="900">
        <v>75</v>
      </c>
    </row>
    <row r="177" spans="1:5" hidden="1" x14ac:dyDescent="0.25">
      <c r="A177" s="173" t="s">
        <v>412</v>
      </c>
      <c r="B177" s="900">
        <v>67</v>
      </c>
      <c r="C177" s="900">
        <v>0</v>
      </c>
      <c r="D177" s="900">
        <v>40</v>
      </c>
      <c r="E177" s="900">
        <v>67</v>
      </c>
    </row>
    <row r="178" spans="1:5" hidden="1" x14ac:dyDescent="0.25">
      <c r="A178" s="173" t="s">
        <v>2690</v>
      </c>
      <c r="B178" s="900">
        <v>205</v>
      </c>
      <c r="C178" s="900">
        <v>0</v>
      </c>
      <c r="D178" s="900">
        <v>40</v>
      </c>
      <c r="E178" s="900">
        <v>133.33333333333334</v>
      </c>
    </row>
    <row r="179" spans="1:5" hidden="1" x14ac:dyDescent="0.25">
      <c r="A179" s="173" t="s">
        <v>2667</v>
      </c>
      <c r="B179" s="900">
        <v>220</v>
      </c>
      <c r="C179" s="900">
        <v>0</v>
      </c>
      <c r="D179" s="900">
        <v>140</v>
      </c>
      <c r="E179" s="900">
        <v>220</v>
      </c>
    </row>
    <row r="180" spans="1:5" hidden="1" x14ac:dyDescent="0.25">
      <c r="A180" s="173" t="s">
        <v>2668</v>
      </c>
      <c r="B180" s="900">
        <v>321</v>
      </c>
      <c r="C180" s="900">
        <v>0</v>
      </c>
      <c r="D180" s="900">
        <v>160</v>
      </c>
      <c r="E180" s="900">
        <v>321</v>
      </c>
    </row>
    <row r="181" spans="1:5" hidden="1" x14ac:dyDescent="0.25">
      <c r="A181" s="173" t="s">
        <v>2669</v>
      </c>
      <c r="B181" s="900">
        <v>96</v>
      </c>
      <c r="C181" s="900">
        <v>0</v>
      </c>
      <c r="D181" s="900">
        <v>80</v>
      </c>
      <c r="E181" s="900">
        <v>96</v>
      </c>
    </row>
    <row r="182" spans="1:5" hidden="1" x14ac:dyDescent="0.25">
      <c r="A182" s="173" t="s">
        <v>2670</v>
      </c>
      <c r="B182" s="900">
        <v>1043</v>
      </c>
      <c r="C182" s="900">
        <v>0</v>
      </c>
      <c r="D182" s="900">
        <v>0</v>
      </c>
      <c r="E182" s="900">
        <v>0</v>
      </c>
    </row>
    <row r="183" spans="1:5" hidden="1" x14ac:dyDescent="0.25">
      <c r="A183" s="173" t="s">
        <v>2671</v>
      </c>
      <c r="B183" s="900">
        <v>87</v>
      </c>
      <c r="C183" s="900">
        <v>0</v>
      </c>
      <c r="D183" s="900">
        <v>87</v>
      </c>
      <c r="E183" s="900">
        <v>0</v>
      </c>
    </row>
    <row r="184" spans="1:5" hidden="1" x14ac:dyDescent="0.25">
      <c r="A184" s="173" t="s">
        <v>1222</v>
      </c>
      <c r="B184" s="900">
        <v>449</v>
      </c>
      <c r="C184" s="900">
        <v>0</v>
      </c>
      <c r="D184" s="900">
        <v>0</v>
      </c>
      <c r="E184" s="900">
        <v>0</v>
      </c>
    </row>
    <row r="185" spans="1:5" hidden="1" x14ac:dyDescent="0.25">
      <c r="A185" s="173" t="s">
        <v>2684</v>
      </c>
      <c r="B185" s="900">
        <v>171</v>
      </c>
      <c r="C185" s="900">
        <v>0</v>
      </c>
      <c r="D185" s="900">
        <v>0</v>
      </c>
      <c r="E185" s="900">
        <v>0</v>
      </c>
    </row>
    <row r="186" spans="1:5" hidden="1" x14ac:dyDescent="0.25">
      <c r="A186" s="173" t="s">
        <v>2686</v>
      </c>
      <c r="B186" s="900">
        <v>56</v>
      </c>
      <c r="C186" s="900">
        <v>0</v>
      </c>
      <c r="D186" s="900">
        <v>0</v>
      </c>
      <c r="E186" s="900">
        <v>0</v>
      </c>
    </row>
    <row r="187" spans="1:5" hidden="1" x14ac:dyDescent="0.25">
      <c r="A187" s="173" t="s">
        <v>1274</v>
      </c>
      <c r="B187" s="900">
        <v>46</v>
      </c>
      <c r="C187" s="900">
        <v>0</v>
      </c>
      <c r="D187" s="900">
        <v>0</v>
      </c>
      <c r="E187" s="900">
        <v>0</v>
      </c>
    </row>
    <row r="188" spans="1:5" hidden="1" x14ac:dyDescent="0.25">
      <c r="A188" s="173" t="s">
        <v>2717</v>
      </c>
      <c r="B188" s="900">
        <v>419</v>
      </c>
      <c r="C188" s="900">
        <v>0</v>
      </c>
      <c r="D188" s="900">
        <v>0</v>
      </c>
      <c r="E188" s="900">
        <v>0</v>
      </c>
    </row>
    <row r="189" spans="1:5" hidden="1" x14ac:dyDescent="0.25">
      <c r="A189" s="173" t="s">
        <v>2718</v>
      </c>
      <c r="B189" s="900">
        <v>228</v>
      </c>
      <c r="C189" s="900">
        <v>0</v>
      </c>
      <c r="D189" s="900">
        <v>0</v>
      </c>
      <c r="E189" s="900">
        <v>0</v>
      </c>
    </row>
    <row r="190" spans="1:5" hidden="1" x14ac:dyDescent="0.25">
      <c r="A190" s="173" t="s">
        <v>2719</v>
      </c>
      <c r="B190" s="900">
        <v>566</v>
      </c>
      <c r="C190" s="900">
        <v>0</v>
      </c>
      <c r="D190" s="900">
        <v>0</v>
      </c>
      <c r="E190" s="900">
        <v>0</v>
      </c>
    </row>
    <row r="191" spans="1:5" hidden="1" x14ac:dyDescent="0.25">
      <c r="A191" s="173" t="s">
        <v>2790</v>
      </c>
      <c r="B191" s="900">
        <v>1015</v>
      </c>
      <c r="C191" s="900">
        <v>0</v>
      </c>
      <c r="D191" s="900">
        <v>320</v>
      </c>
      <c r="E191" s="900">
        <v>1015</v>
      </c>
    </row>
    <row r="192" spans="1:5" hidden="1" x14ac:dyDescent="0.25">
      <c r="A192" s="173" t="s">
        <v>2794</v>
      </c>
      <c r="B192" s="900">
        <v>321</v>
      </c>
      <c r="C192" s="900">
        <v>0</v>
      </c>
      <c r="D192" s="900">
        <v>179.99999999999997</v>
      </c>
      <c r="E192" s="900">
        <v>321</v>
      </c>
    </row>
    <row r="193" spans="1:5" hidden="1" x14ac:dyDescent="0.25">
      <c r="A193" s="173" t="s">
        <v>2802</v>
      </c>
      <c r="B193" s="900">
        <v>324</v>
      </c>
      <c r="C193" s="900">
        <v>0</v>
      </c>
      <c r="D193" s="900">
        <v>0</v>
      </c>
      <c r="E193" s="900">
        <v>0</v>
      </c>
    </row>
    <row r="194" spans="1:5" hidden="1" x14ac:dyDescent="0.25">
      <c r="A194" s="173" t="s">
        <v>2807</v>
      </c>
      <c r="B194" s="900">
        <v>252</v>
      </c>
      <c r="C194" s="900">
        <v>0</v>
      </c>
      <c r="D194" s="900">
        <v>0</v>
      </c>
      <c r="E194" s="900">
        <v>0</v>
      </c>
    </row>
    <row r="195" spans="1:5" hidden="1" x14ac:dyDescent="0.25">
      <c r="A195" s="173" t="s">
        <v>2803</v>
      </c>
      <c r="B195" s="900">
        <v>103</v>
      </c>
      <c r="C195" s="900">
        <v>0</v>
      </c>
      <c r="D195" s="900">
        <v>0</v>
      </c>
      <c r="E195" s="900">
        <v>0</v>
      </c>
    </row>
    <row r="196" spans="1:5" hidden="1" x14ac:dyDescent="0.25">
      <c r="A196" s="173" t="s">
        <v>2804</v>
      </c>
      <c r="B196" s="900">
        <v>270</v>
      </c>
      <c r="C196" s="900">
        <v>0</v>
      </c>
      <c r="D196" s="900">
        <v>0</v>
      </c>
      <c r="E196" s="900">
        <v>0</v>
      </c>
    </row>
    <row r="197" spans="1:5" hidden="1" x14ac:dyDescent="0.25">
      <c r="A197" s="173" t="s">
        <v>2805</v>
      </c>
      <c r="B197" s="900">
        <v>381</v>
      </c>
      <c r="C197" s="900">
        <v>0</v>
      </c>
      <c r="D197" s="900">
        <v>0</v>
      </c>
      <c r="E197" s="900">
        <v>0</v>
      </c>
    </row>
    <row r="198" spans="1:5" hidden="1" x14ac:dyDescent="0.25">
      <c r="A198" s="173" t="s">
        <v>2806</v>
      </c>
      <c r="B198" s="900">
        <v>121</v>
      </c>
      <c r="C198" s="900">
        <v>0</v>
      </c>
      <c r="D198" s="900">
        <v>0</v>
      </c>
      <c r="E198" s="900">
        <v>0</v>
      </c>
    </row>
    <row r="199" spans="1:5" hidden="1" x14ac:dyDescent="0.25">
      <c r="A199" s="173" t="s">
        <v>2799</v>
      </c>
      <c r="B199" s="900">
        <v>154</v>
      </c>
      <c r="C199" s="900">
        <v>0</v>
      </c>
      <c r="D199" s="900">
        <v>39.999999999999993</v>
      </c>
      <c r="E199" s="900">
        <v>154</v>
      </c>
    </row>
    <row r="200" spans="1:5" hidden="1" x14ac:dyDescent="0.25">
      <c r="A200" s="173" t="s">
        <v>2798</v>
      </c>
      <c r="B200" s="900">
        <v>161</v>
      </c>
      <c r="C200" s="900">
        <v>0</v>
      </c>
      <c r="D200" s="900">
        <v>0</v>
      </c>
      <c r="E200" s="900">
        <v>0</v>
      </c>
    </row>
    <row r="201" spans="1:5" hidden="1" x14ac:dyDescent="0.25">
      <c r="A201" s="173" t="s">
        <v>2953</v>
      </c>
      <c r="B201" s="900">
        <v>98</v>
      </c>
      <c r="C201" s="900">
        <v>0</v>
      </c>
      <c r="D201" s="900">
        <v>40</v>
      </c>
      <c r="E201" s="900">
        <v>98</v>
      </c>
    </row>
    <row r="202" spans="1:5" hidden="1" x14ac:dyDescent="0.25">
      <c r="A202" s="173" t="s">
        <v>2955</v>
      </c>
      <c r="B202" s="900">
        <v>450</v>
      </c>
      <c r="C202" s="900">
        <v>0</v>
      </c>
      <c r="D202" s="900">
        <v>380</v>
      </c>
      <c r="E202" s="900">
        <v>450</v>
      </c>
    </row>
    <row r="203" spans="1:5" hidden="1" x14ac:dyDescent="0.25">
      <c r="A203" s="173" t="s">
        <v>2952</v>
      </c>
      <c r="B203" s="900">
        <v>474</v>
      </c>
      <c r="C203" s="900">
        <v>0</v>
      </c>
      <c r="D203" s="900">
        <v>240.00000000000003</v>
      </c>
      <c r="E203" s="900">
        <v>474</v>
      </c>
    </row>
    <row r="204" spans="1:5" hidden="1" x14ac:dyDescent="0.25">
      <c r="A204" s="173" t="s">
        <v>2954</v>
      </c>
      <c r="B204" s="900">
        <v>724</v>
      </c>
      <c r="C204" s="900">
        <v>0</v>
      </c>
      <c r="D204" s="900">
        <v>200</v>
      </c>
      <c r="E204" s="900">
        <v>724</v>
      </c>
    </row>
    <row r="205" spans="1:5" hidden="1" x14ac:dyDescent="0.25">
      <c r="A205" s="173" t="s">
        <v>2943</v>
      </c>
      <c r="B205" s="900">
        <v>489</v>
      </c>
      <c r="C205" s="900">
        <v>0</v>
      </c>
      <c r="D205" s="900">
        <v>320</v>
      </c>
      <c r="E205" s="900">
        <v>489</v>
      </c>
    </row>
    <row r="206" spans="1:5" hidden="1" x14ac:dyDescent="0.25">
      <c r="A206" s="173" t="s">
        <v>2951</v>
      </c>
      <c r="B206" s="900">
        <v>344</v>
      </c>
      <c r="C206" s="900">
        <v>0</v>
      </c>
      <c r="D206" s="900">
        <v>120</v>
      </c>
      <c r="E206" s="900">
        <v>344</v>
      </c>
    </row>
    <row r="207" spans="1:5" hidden="1" x14ac:dyDescent="0.25">
      <c r="A207" s="173" t="s">
        <v>2944</v>
      </c>
      <c r="B207" s="900">
        <v>212</v>
      </c>
      <c r="C207" s="900">
        <v>0</v>
      </c>
      <c r="D207" s="900">
        <v>0</v>
      </c>
      <c r="E207" s="900">
        <v>0</v>
      </c>
    </row>
    <row r="208" spans="1:5" hidden="1" x14ac:dyDescent="0.25">
      <c r="A208" s="173" t="s">
        <v>2150</v>
      </c>
      <c r="B208" s="900">
        <v>102378</v>
      </c>
      <c r="C208" s="900">
        <v>9320</v>
      </c>
      <c r="D208" s="900">
        <v>74641</v>
      </c>
      <c r="E208" s="900">
        <v>88411.666666666657</v>
      </c>
    </row>
    <row r="209" spans="1:5" hidden="1" x14ac:dyDescent="0.25">
      <c r="A209"/>
      <c r="B209"/>
      <c r="C209"/>
      <c r="D209"/>
      <c r="E209"/>
    </row>
    <row r="210" spans="1:5" hidden="1" x14ac:dyDescent="0.25">
      <c r="A210"/>
      <c r="B210"/>
      <c r="C210"/>
      <c r="D210"/>
      <c r="E210"/>
    </row>
    <row r="211" spans="1:5" hidden="1" x14ac:dyDescent="0.25">
      <c r="A211"/>
      <c r="B211"/>
      <c r="C211"/>
      <c r="D211"/>
      <c r="E211"/>
    </row>
    <row r="212" spans="1:5" hidden="1" x14ac:dyDescent="0.25">
      <c r="A212"/>
      <c r="B212"/>
      <c r="C212"/>
      <c r="D212"/>
      <c r="E212"/>
    </row>
    <row r="213" spans="1:5" hidden="1" x14ac:dyDescent="0.25">
      <c r="A213"/>
      <c r="B213"/>
      <c r="C213"/>
      <c r="D213"/>
      <c r="E213"/>
    </row>
    <row r="214" spans="1:5" hidden="1" x14ac:dyDescent="0.25">
      <c r="A214"/>
      <c r="B214"/>
      <c r="C214"/>
      <c r="D214"/>
      <c r="E214"/>
    </row>
    <row r="215" spans="1:5" hidden="1" x14ac:dyDescent="0.25">
      <c r="A215"/>
      <c r="B215"/>
      <c r="C215"/>
      <c r="D215"/>
      <c r="E215"/>
    </row>
    <row r="216" spans="1:5" hidden="1" x14ac:dyDescent="0.25">
      <c r="A216"/>
      <c r="B216"/>
      <c r="C216"/>
      <c r="D216"/>
      <c r="E216"/>
    </row>
    <row r="217" spans="1:5" hidden="1" x14ac:dyDescent="0.25">
      <c r="A217"/>
      <c r="B217"/>
      <c r="C217"/>
      <c r="D217"/>
      <c r="E217"/>
    </row>
    <row r="218" spans="1:5" hidden="1" x14ac:dyDescent="0.25">
      <c r="A218"/>
      <c r="B218"/>
      <c r="C218"/>
      <c r="D218"/>
      <c r="E218"/>
    </row>
    <row r="219" spans="1:5" hidden="1" x14ac:dyDescent="0.25">
      <c r="A219"/>
      <c r="B219"/>
      <c r="C219"/>
      <c r="D219"/>
      <c r="E219"/>
    </row>
    <row r="220" spans="1:5" hidden="1" x14ac:dyDescent="0.25">
      <c r="A220"/>
      <c r="B220"/>
      <c r="C220"/>
      <c r="D220"/>
      <c r="E220"/>
    </row>
    <row r="221" spans="1:5" hidden="1" x14ac:dyDescent="0.25">
      <c r="A221"/>
      <c r="B221"/>
      <c r="C221"/>
      <c r="D221"/>
      <c r="E221"/>
    </row>
    <row r="222" spans="1:5" hidden="1" x14ac:dyDescent="0.25">
      <c r="A222"/>
      <c r="B222"/>
      <c r="C222"/>
      <c r="D222"/>
      <c r="E222"/>
    </row>
    <row r="223" spans="1:5" hidden="1" x14ac:dyDescent="0.25">
      <c r="A223"/>
      <c r="B223"/>
      <c r="C223"/>
      <c r="D223"/>
      <c r="E223"/>
    </row>
    <row r="224" spans="1:5" hidden="1" x14ac:dyDescent="0.25">
      <c r="A224"/>
      <c r="B224"/>
      <c r="C224"/>
      <c r="D224"/>
      <c r="E224"/>
    </row>
    <row r="225" spans="1:5" hidden="1" x14ac:dyDescent="0.25">
      <c r="A225"/>
      <c r="B225"/>
      <c r="C225"/>
      <c r="D225"/>
      <c r="E225"/>
    </row>
    <row r="226" spans="1:5" hidden="1" x14ac:dyDescent="0.25">
      <c r="A226"/>
      <c r="B226"/>
      <c r="C226"/>
      <c r="D226"/>
      <c r="E226"/>
    </row>
    <row r="227" spans="1:5" hidden="1" x14ac:dyDescent="0.25">
      <c r="A227"/>
      <c r="B227"/>
      <c r="C227"/>
      <c r="D227"/>
      <c r="E227"/>
    </row>
    <row r="228" spans="1:5" hidden="1" x14ac:dyDescent="0.25">
      <c r="A228"/>
      <c r="B228"/>
      <c r="C228"/>
      <c r="D228"/>
      <c r="E228"/>
    </row>
    <row r="229" spans="1:5" hidden="1" x14ac:dyDescent="0.25">
      <c r="A229"/>
      <c r="B229"/>
      <c r="C229"/>
      <c r="D229"/>
      <c r="E229"/>
    </row>
    <row r="230" spans="1:5" hidden="1" x14ac:dyDescent="0.25">
      <c r="A230"/>
      <c r="B230"/>
      <c r="C230"/>
      <c r="D230"/>
      <c r="E230"/>
    </row>
    <row r="231" spans="1:5" hidden="1" x14ac:dyDescent="0.25">
      <c r="A231"/>
      <c r="B231"/>
      <c r="C231"/>
      <c r="D231"/>
      <c r="E231"/>
    </row>
    <row r="232" spans="1:5" hidden="1" x14ac:dyDescent="0.25">
      <c r="A232"/>
      <c r="B232"/>
      <c r="C232"/>
      <c r="D232"/>
      <c r="E232"/>
    </row>
    <row r="233" spans="1:5" hidden="1" x14ac:dyDescent="0.25">
      <c r="A233"/>
      <c r="B233"/>
      <c r="C233"/>
      <c r="D233"/>
      <c r="E233"/>
    </row>
    <row r="234" spans="1:5" hidden="1" x14ac:dyDescent="0.25">
      <c r="A234"/>
      <c r="B234"/>
      <c r="C234"/>
      <c r="D234"/>
      <c r="E234"/>
    </row>
    <row r="235" spans="1:5" hidden="1" x14ac:dyDescent="0.25">
      <c r="A235"/>
      <c r="B235"/>
      <c r="C235"/>
      <c r="D235"/>
      <c r="E235"/>
    </row>
    <row r="236" spans="1:5" hidden="1" x14ac:dyDescent="0.25">
      <c r="A236"/>
      <c r="B236"/>
      <c r="C236"/>
      <c r="D236"/>
      <c r="E236"/>
    </row>
    <row r="237" spans="1:5" hidden="1" x14ac:dyDescent="0.25">
      <c r="A237"/>
      <c r="B237"/>
      <c r="C237"/>
      <c r="D237"/>
      <c r="E237"/>
    </row>
    <row r="238" spans="1:5" hidden="1" x14ac:dyDescent="0.25">
      <c r="A238"/>
      <c r="B238"/>
      <c r="C238"/>
      <c r="D238"/>
      <c r="E238"/>
    </row>
    <row r="239" spans="1:5" hidden="1" x14ac:dyDescent="0.25">
      <c r="A239"/>
      <c r="B239"/>
      <c r="C239"/>
      <c r="D239"/>
      <c r="E239"/>
    </row>
    <row r="240" spans="1:5" hidden="1" x14ac:dyDescent="0.25">
      <c r="A240"/>
      <c r="B240"/>
      <c r="C240"/>
      <c r="D240"/>
      <c r="E240"/>
    </row>
    <row r="241" spans="1:5" hidden="1" x14ac:dyDescent="0.25">
      <c r="A241"/>
      <c r="B241"/>
      <c r="C241"/>
      <c r="D241"/>
      <c r="E241"/>
    </row>
    <row r="242" spans="1:5" hidden="1" x14ac:dyDescent="0.25">
      <c r="A242"/>
      <c r="B242"/>
      <c r="C242"/>
      <c r="D242"/>
      <c r="E242"/>
    </row>
    <row r="243" spans="1:5" hidden="1" x14ac:dyDescent="0.25">
      <c r="A243"/>
      <c r="B243"/>
      <c r="C243"/>
      <c r="D243"/>
      <c r="E243"/>
    </row>
    <row r="244" spans="1:5" hidden="1" x14ac:dyDescent="0.25">
      <c r="A244"/>
      <c r="B244"/>
      <c r="C244"/>
      <c r="D244"/>
      <c r="E244"/>
    </row>
    <row r="245" spans="1:5" hidden="1" x14ac:dyDescent="0.25">
      <c r="A245"/>
      <c r="B245"/>
      <c r="C245"/>
      <c r="D245"/>
      <c r="E245"/>
    </row>
    <row r="246" spans="1:5" hidden="1" x14ac:dyDescent="0.25">
      <c r="A246"/>
      <c r="B246"/>
      <c r="C246"/>
      <c r="D246"/>
      <c r="E246"/>
    </row>
    <row r="247" spans="1:5" hidden="1" x14ac:dyDescent="0.25">
      <c r="A247"/>
      <c r="B247"/>
      <c r="C247"/>
      <c r="D247"/>
      <c r="E247"/>
    </row>
    <row r="248" spans="1:5" hidden="1" x14ac:dyDescent="0.25">
      <c r="A248"/>
      <c r="B248"/>
      <c r="C248"/>
      <c r="D248"/>
      <c r="E248"/>
    </row>
    <row r="249" spans="1:5" hidden="1" x14ac:dyDescent="0.25">
      <c r="A249"/>
      <c r="B249"/>
      <c r="C249"/>
      <c r="D249"/>
      <c r="E249"/>
    </row>
    <row r="250" spans="1:5" hidden="1" x14ac:dyDescent="0.25">
      <c r="A250"/>
      <c r="B250"/>
      <c r="C250"/>
      <c r="D250"/>
      <c r="E250"/>
    </row>
    <row r="251" spans="1:5" hidden="1" x14ac:dyDescent="0.25">
      <c r="A251"/>
      <c r="B251"/>
      <c r="C251"/>
      <c r="D251"/>
      <c r="E251"/>
    </row>
    <row r="252" spans="1:5" hidden="1" x14ac:dyDescent="0.25">
      <c r="A252"/>
      <c r="B252"/>
      <c r="C252"/>
      <c r="D252"/>
      <c r="E252"/>
    </row>
    <row r="253" spans="1:5" hidden="1" x14ac:dyDescent="0.25">
      <c r="A253"/>
      <c r="B253"/>
      <c r="C253"/>
      <c r="D253"/>
      <c r="E253"/>
    </row>
    <row r="254" spans="1:5" hidden="1" x14ac:dyDescent="0.25">
      <c r="A254"/>
      <c r="B254"/>
      <c r="C254"/>
      <c r="D254"/>
      <c r="E254"/>
    </row>
    <row r="255" spans="1:5" hidden="1" x14ac:dyDescent="0.25">
      <c r="A255"/>
      <c r="B255"/>
      <c r="C255"/>
      <c r="D255"/>
      <c r="E255"/>
    </row>
    <row r="256" spans="1:5" hidden="1" x14ac:dyDescent="0.25">
      <c r="A256"/>
      <c r="B256"/>
      <c r="C256"/>
      <c r="D256"/>
      <c r="E256"/>
    </row>
    <row r="257" spans="1:5" hidden="1" x14ac:dyDescent="0.25">
      <c r="A257"/>
      <c r="B257"/>
      <c r="C257"/>
      <c r="D257"/>
      <c r="E257"/>
    </row>
    <row r="258" spans="1:5" hidden="1" x14ac:dyDescent="0.25">
      <c r="A258"/>
      <c r="B258"/>
      <c r="C258"/>
      <c r="D258"/>
      <c r="E258"/>
    </row>
    <row r="259" spans="1:5" hidden="1" x14ac:dyDescent="0.25">
      <c r="A259"/>
      <c r="B259"/>
      <c r="C259"/>
      <c r="D259"/>
      <c r="E259"/>
    </row>
    <row r="260" spans="1:5" hidden="1" x14ac:dyDescent="0.25">
      <c r="A260"/>
      <c r="B260"/>
      <c r="C260"/>
      <c r="D260"/>
      <c r="E260"/>
    </row>
    <row r="261" spans="1:5" hidden="1" x14ac:dyDescent="0.25">
      <c r="A261"/>
      <c r="B261"/>
      <c r="C261"/>
      <c r="D261"/>
      <c r="E261"/>
    </row>
    <row r="262" spans="1:5" hidden="1" x14ac:dyDescent="0.25">
      <c r="A262"/>
      <c r="B262"/>
      <c r="C262"/>
      <c r="D262"/>
      <c r="E262"/>
    </row>
    <row r="263" spans="1:5" hidden="1" x14ac:dyDescent="0.25">
      <c r="A263"/>
      <c r="B263"/>
      <c r="C263"/>
      <c r="D263"/>
      <c r="E263"/>
    </row>
    <row r="264" spans="1:5" hidden="1" x14ac:dyDescent="0.25">
      <c r="A264"/>
      <c r="B264"/>
      <c r="C264"/>
      <c r="D264"/>
      <c r="E264"/>
    </row>
    <row r="265" spans="1:5" hidden="1" x14ac:dyDescent="0.25">
      <c r="A265"/>
      <c r="B265"/>
      <c r="C265"/>
      <c r="D265"/>
      <c r="E265"/>
    </row>
    <row r="266" spans="1:5" hidden="1" x14ac:dyDescent="0.25">
      <c r="A266"/>
      <c r="B266"/>
      <c r="C266"/>
      <c r="D266"/>
      <c r="E266"/>
    </row>
    <row r="267" spans="1:5" hidden="1" x14ac:dyDescent="0.25">
      <c r="A267"/>
      <c r="B267"/>
      <c r="C267"/>
      <c r="D267"/>
      <c r="E267"/>
    </row>
    <row r="268" spans="1:5" hidden="1" x14ac:dyDescent="0.25">
      <c r="A268"/>
      <c r="B268"/>
      <c r="C268"/>
      <c r="D268"/>
      <c r="E268"/>
    </row>
    <row r="269" spans="1:5" hidden="1" x14ac:dyDescent="0.25">
      <c r="A269"/>
      <c r="B269"/>
      <c r="C269"/>
      <c r="D269"/>
      <c r="E269"/>
    </row>
    <row r="270" spans="1:5" hidden="1" x14ac:dyDescent="0.25">
      <c r="A270"/>
      <c r="B270"/>
      <c r="C270"/>
      <c r="D270"/>
      <c r="E270"/>
    </row>
    <row r="271" spans="1:5" hidden="1" x14ac:dyDescent="0.25">
      <c r="A271"/>
      <c r="B271"/>
      <c r="C271"/>
      <c r="D271"/>
      <c r="E271"/>
    </row>
    <row r="272" spans="1:5" hidden="1" x14ac:dyDescent="0.25">
      <c r="A272"/>
      <c r="B272"/>
      <c r="C272"/>
      <c r="D272"/>
      <c r="E272"/>
    </row>
    <row r="273" spans="1:5" hidden="1" x14ac:dyDescent="0.25">
      <c r="A273"/>
      <c r="B273"/>
      <c r="C273"/>
      <c r="D273"/>
      <c r="E273"/>
    </row>
    <row r="274" spans="1:5" hidden="1" x14ac:dyDescent="0.25">
      <c r="A274"/>
      <c r="B274"/>
      <c r="C274"/>
      <c r="D274"/>
      <c r="E274"/>
    </row>
    <row r="275" spans="1:5" hidden="1" x14ac:dyDescent="0.25">
      <c r="A275"/>
      <c r="B275"/>
      <c r="C275"/>
      <c r="D275"/>
      <c r="E275"/>
    </row>
    <row r="276" spans="1:5" hidden="1" x14ac:dyDescent="0.25">
      <c r="A276"/>
      <c r="B276"/>
      <c r="C276"/>
      <c r="D276"/>
      <c r="E276"/>
    </row>
    <row r="277" spans="1:5" hidden="1" x14ac:dyDescent="0.25">
      <c r="A277"/>
      <c r="B277"/>
      <c r="C277"/>
      <c r="D277"/>
      <c r="E277"/>
    </row>
    <row r="278" spans="1:5" hidden="1" x14ac:dyDescent="0.25">
      <c r="A278"/>
      <c r="B278"/>
      <c r="C278"/>
      <c r="D278"/>
      <c r="E278"/>
    </row>
    <row r="279" spans="1:5" hidden="1" x14ac:dyDescent="0.25">
      <c r="A279"/>
      <c r="B279"/>
      <c r="C279"/>
      <c r="D279"/>
      <c r="E279"/>
    </row>
    <row r="280" spans="1:5" hidden="1" x14ac:dyDescent="0.25">
      <c r="A280"/>
      <c r="B280"/>
      <c r="C280"/>
      <c r="D280"/>
      <c r="E280"/>
    </row>
    <row r="281" spans="1:5" hidden="1" x14ac:dyDescent="0.25">
      <c r="A281"/>
      <c r="B281"/>
      <c r="C281"/>
      <c r="D281"/>
      <c r="E281"/>
    </row>
    <row r="282" spans="1:5" hidden="1" x14ac:dyDescent="0.25">
      <c r="A282"/>
      <c r="B282"/>
      <c r="C282"/>
      <c r="D282"/>
      <c r="E282"/>
    </row>
    <row r="283" spans="1:5" hidden="1" x14ac:dyDescent="0.25">
      <c r="A283"/>
      <c r="B283"/>
      <c r="C283"/>
      <c r="D283"/>
      <c r="E283"/>
    </row>
    <row r="284" spans="1:5" hidden="1" x14ac:dyDescent="0.25">
      <c r="A284"/>
      <c r="B284"/>
      <c r="C284"/>
      <c r="D284"/>
      <c r="E284"/>
    </row>
    <row r="285" spans="1:5" hidden="1" x14ac:dyDescent="0.25">
      <c r="A285"/>
      <c r="B285"/>
      <c r="C285"/>
      <c r="D285"/>
      <c r="E285"/>
    </row>
    <row r="286" spans="1:5" hidden="1" x14ac:dyDescent="0.25">
      <c r="A286"/>
      <c r="B286"/>
      <c r="C286"/>
      <c r="D286"/>
      <c r="E286"/>
    </row>
    <row r="287" spans="1:5" hidden="1" x14ac:dyDescent="0.25">
      <c r="A287"/>
      <c r="B287"/>
      <c r="C287"/>
      <c r="D287"/>
      <c r="E287"/>
    </row>
    <row r="288" spans="1:5" hidden="1" x14ac:dyDescent="0.25">
      <c r="A288"/>
      <c r="B288"/>
      <c r="C288"/>
      <c r="D288"/>
      <c r="E288"/>
    </row>
    <row r="289" spans="1:5" hidden="1" x14ac:dyDescent="0.25">
      <c r="A289"/>
      <c r="B289"/>
      <c r="C289"/>
      <c r="D289"/>
      <c r="E289"/>
    </row>
    <row r="290" spans="1:5" hidden="1" x14ac:dyDescent="0.25">
      <c r="A290"/>
      <c r="B290"/>
      <c r="C290"/>
      <c r="D290"/>
      <c r="E290"/>
    </row>
    <row r="291" spans="1:5" hidden="1" x14ac:dyDescent="0.25">
      <c r="A291"/>
      <c r="B291"/>
      <c r="C291"/>
      <c r="D291"/>
      <c r="E291"/>
    </row>
    <row r="292" spans="1:5" hidden="1" x14ac:dyDescent="0.25">
      <c r="A292"/>
      <c r="B292"/>
      <c r="C292"/>
      <c r="D292"/>
      <c r="E292"/>
    </row>
    <row r="293" spans="1:5" hidden="1" x14ac:dyDescent="0.25">
      <c r="A293"/>
      <c r="B293"/>
      <c r="C293"/>
      <c r="D293"/>
      <c r="E293"/>
    </row>
    <row r="294" spans="1:5" hidden="1" x14ac:dyDescent="0.25">
      <c r="A294"/>
      <c r="B294"/>
      <c r="C294"/>
      <c r="D294"/>
      <c r="E294"/>
    </row>
    <row r="295" spans="1:5" hidden="1" x14ac:dyDescent="0.25">
      <c r="A295"/>
      <c r="B295"/>
      <c r="C295"/>
      <c r="D295"/>
      <c r="E295"/>
    </row>
    <row r="296" spans="1:5" hidden="1" x14ac:dyDescent="0.25">
      <c r="A296"/>
      <c r="B296"/>
      <c r="C296"/>
      <c r="D296"/>
      <c r="E296"/>
    </row>
    <row r="297" spans="1:5" hidden="1" x14ac:dyDescent="0.25">
      <c r="A297"/>
      <c r="B297"/>
      <c r="C297"/>
      <c r="D297"/>
      <c r="E297"/>
    </row>
    <row r="298" spans="1:5" hidden="1" x14ac:dyDescent="0.25">
      <c r="A298"/>
      <c r="B298"/>
      <c r="C298"/>
      <c r="D298"/>
      <c r="E298"/>
    </row>
    <row r="299" spans="1:5" hidden="1" x14ac:dyDescent="0.25">
      <c r="A299"/>
      <c r="B299"/>
      <c r="C299"/>
      <c r="D299"/>
      <c r="E299"/>
    </row>
    <row r="300" spans="1:5" hidden="1" x14ac:dyDescent="0.25">
      <c r="A300"/>
      <c r="B300"/>
      <c r="C300"/>
      <c r="D300"/>
      <c r="E300"/>
    </row>
    <row r="301" spans="1:5" hidden="1" x14ac:dyDescent="0.25">
      <c r="A301"/>
      <c r="B301"/>
      <c r="C301"/>
      <c r="D301"/>
      <c r="E301"/>
    </row>
    <row r="302" spans="1:5" hidden="1" x14ac:dyDescent="0.25">
      <c r="A302"/>
      <c r="B302"/>
      <c r="C302"/>
      <c r="D302"/>
      <c r="E302"/>
    </row>
    <row r="303" spans="1:5" hidden="1" x14ac:dyDescent="0.25">
      <c r="A303"/>
      <c r="B303"/>
      <c r="C303"/>
      <c r="D303"/>
      <c r="E303"/>
    </row>
    <row r="304" spans="1:5" hidden="1" x14ac:dyDescent="0.25">
      <c r="A304"/>
      <c r="B304"/>
      <c r="C304"/>
      <c r="D304"/>
      <c r="E304"/>
    </row>
    <row r="305" spans="1:5" hidden="1" x14ac:dyDescent="0.25">
      <c r="A305"/>
      <c r="B305"/>
      <c r="C305"/>
      <c r="D305"/>
      <c r="E305"/>
    </row>
    <row r="306" spans="1:5" hidden="1" x14ac:dyDescent="0.25">
      <c r="A306"/>
      <c r="B306"/>
      <c r="C306"/>
      <c r="D306"/>
      <c r="E306"/>
    </row>
    <row r="307" spans="1:5" hidden="1" x14ac:dyDescent="0.25">
      <c r="A307"/>
      <c r="B307"/>
      <c r="C307"/>
      <c r="D307"/>
      <c r="E307"/>
    </row>
    <row r="308" spans="1:5" hidden="1" x14ac:dyDescent="0.25">
      <c r="A308"/>
      <c r="B308"/>
      <c r="C308"/>
      <c r="D308"/>
      <c r="E308"/>
    </row>
    <row r="309" spans="1:5" hidden="1" x14ac:dyDescent="0.25">
      <c r="A309"/>
      <c r="B309"/>
      <c r="C309"/>
      <c r="D309"/>
      <c r="E309"/>
    </row>
    <row r="310" spans="1:5" hidden="1" x14ac:dyDescent="0.25">
      <c r="A310"/>
      <c r="B310"/>
      <c r="C310"/>
      <c r="D310"/>
      <c r="E310"/>
    </row>
    <row r="311" spans="1:5" hidden="1" x14ac:dyDescent="0.25">
      <c r="A311"/>
      <c r="B311"/>
      <c r="C311"/>
      <c r="D311"/>
      <c r="E311"/>
    </row>
    <row r="312" spans="1:5" hidden="1" x14ac:dyDescent="0.25">
      <c r="A312"/>
      <c r="B312"/>
      <c r="C312"/>
      <c r="D312"/>
      <c r="E312"/>
    </row>
    <row r="313" spans="1:5" hidden="1" x14ac:dyDescent="0.25">
      <c r="A313"/>
      <c r="B313"/>
      <c r="C313"/>
      <c r="D313"/>
      <c r="E313"/>
    </row>
    <row r="314" spans="1:5" hidden="1" x14ac:dyDescent="0.25">
      <c r="A314"/>
      <c r="B314"/>
      <c r="C314"/>
      <c r="D314"/>
      <c r="E314"/>
    </row>
    <row r="315" spans="1:5" hidden="1" x14ac:dyDescent="0.25">
      <c r="A315"/>
      <c r="B315"/>
      <c r="C315"/>
      <c r="D315"/>
      <c r="E315"/>
    </row>
    <row r="316" spans="1:5" hidden="1" x14ac:dyDescent="0.25">
      <c r="A316"/>
      <c r="B316"/>
      <c r="C316"/>
      <c r="D316"/>
      <c r="E316"/>
    </row>
    <row r="317" spans="1:5" hidden="1" x14ac:dyDescent="0.25">
      <c r="A317"/>
      <c r="B317"/>
      <c r="C317"/>
      <c r="D317"/>
      <c r="E317"/>
    </row>
    <row r="318" spans="1:5" hidden="1" x14ac:dyDescent="0.25">
      <c r="A318"/>
      <c r="B318"/>
      <c r="C318"/>
      <c r="D318"/>
      <c r="E318"/>
    </row>
    <row r="319" spans="1:5" hidden="1" x14ac:dyDescent="0.25">
      <c r="A319"/>
      <c r="B319"/>
      <c r="C319"/>
      <c r="D319"/>
      <c r="E319"/>
    </row>
    <row r="320" spans="1:5" hidden="1" x14ac:dyDescent="0.25">
      <c r="A320"/>
      <c r="B320"/>
      <c r="C320"/>
      <c r="D320"/>
      <c r="E320"/>
    </row>
    <row r="321" spans="1:5" hidden="1" x14ac:dyDescent="0.25">
      <c r="A321"/>
      <c r="B321"/>
      <c r="C321"/>
      <c r="D321"/>
      <c r="E321"/>
    </row>
    <row r="322" spans="1:5" hidden="1" x14ac:dyDescent="0.25">
      <c r="A322"/>
      <c r="B322"/>
      <c r="C322"/>
      <c r="D322"/>
      <c r="E322"/>
    </row>
    <row r="323" spans="1:5" hidden="1" x14ac:dyDescent="0.25">
      <c r="A323"/>
      <c r="B323"/>
      <c r="C323"/>
      <c r="D323"/>
      <c r="E323"/>
    </row>
    <row r="324" spans="1:5" hidden="1" x14ac:dyDescent="0.25">
      <c r="A324"/>
      <c r="B324"/>
      <c r="C324"/>
      <c r="D324"/>
      <c r="E324"/>
    </row>
    <row r="325" spans="1:5" hidden="1" x14ac:dyDescent="0.25">
      <c r="A325"/>
      <c r="B325"/>
      <c r="C325"/>
      <c r="D325"/>
      <c r="E325"/>
    </row>
    <row r="326" spans="1:5" hidden="1" x14ac:dyDescent="0.25">
      <c r="A326"/>
      <c r="B326"/>
      <c r="C326"/>
      <c r="D326"/>
      <c r="E326"/>
    </row>
    <row r="327" spans="1:5" hidden="1" x14ac:dyDescent="0.25">
      <c r="A327"/>
      <c r="B327"/>
      <c r="C327"/>
      <c r="D327"/>
      <c r="E327"/>
    </row>
    <row r="328" spans="1:5" hidden="1" x14ac:dyDescent="0.25">
      <c r="A328"/>
      <c r="B328"/>
      <c r="C328"/>
      <c r="D328"/>
      <c r="E328"/>
    </row>
    <row r="329" spans="1:5" hidden="1" x14ac:dyDescent="0.25">
      <c r="A329"/>
      <c r="B329"/>
      <c r="C329"/>
      <c r="D329"/>
      <c r="E329"/>
    </row>
    <row r="330" spans="1:5" hidden="1" x14ac:dyDescent="0.25">
      <c r="A330"/>
      <c r="B330"/>
      <c r="C330"/>
      <c r="D330"/>
      <c r="E330"/>
    </row>
    <row r="331" spans="1:5" hidden="1" x14ac:dyDescent="0.25">
      <c r="A331"/>
      <c r="B331"/>
      <c r="C331"/>
      <c r="D331"/>
      <c r="E331"/>
    </row>
    <row r="332" spans="1:5" hidden="1" x14ac:dyDescent="0.25">
      <c r="A332"/>
      <c r="B332"/>
      <c r="C332"/>
      <c r="D332"/>
      <c r="E332"/>
    </row>
    <row r="333" spans="1:5" hidden="1" x14ac:dyDescent="0.25">
      <c r="A333"/>
      <c r="B333"/>
      <c r="C333"/>
      <c r="D333"/>
      <c r="E333"/>
    </row>
    <row r="334" spans="1:5" hidden="1" x14ac:dyDescent="0.25">
      <c r="A334"/>
      <c r="B334"/>
      <c r="C334"/>
      <c r="D334"/>
      <c r="E334"/>
    </row>
    <row r="335" spans="1:5" hidden="1" x14ac:dyDescent="0.25">
      <c r="A335"/>
      <c r="B335"/>
      <c r="C335"/>
      <c r="D335"/>
      <c r="E335"/>
    </row>
    <row r="336" spans="1:5" hidden="1" x14ac:dyDescent="0.25">
      <c r="A336"/>
      <c r="B336"/>
      <c r="C336"/>
      <c r="D336"/>
      <c r="E336"/>
    </row>
    <row r="337" spans="1:5" hidden="1" x14ac:dyDescent="0.25">
      <c r="A337"/>
      <c r="B337"/>
      <c r="C337"/>
      <c r="D337"/>
      <c r="E337"/>
    </row>
    <row r="338" spans="1:5" hidden="1" x14ac:dyDescent="0.25">
      <c r="A338"/>
      <c r="B338"/>
      <c r="C338"/>
      <c r="D338"/>
      <c r="E338"/>
    </row>
    <row r="339" spans="1:5" hidden="1" x14ac:dyDescent="0.25">
      <c r="A339"/>
      <c r="B339"/>
      <c r="C339"/>
      <c r="D339"/>
      <c r="E339"/>
    </row>
    <row r="340" spans="1:5" hidden="1" x14ac:dyDescent="0.25">
      <c r="A340"/>
      <c r="B340"/>
      <c r="C340"/>
      <c r="D340"/>
      <c r="E340"/>
    </row>
    <row r="341" spans="1:5" hidden="1" x14ac:dyDescent="0.25">
      <c r="A341"/>
      <c r="B341"/>
      <c r="C341"/>
      <c r="D341"/>
      <c r="E341"/>
    </row>
    <row r="342" spans="1:5" hidden="1" x14ac:dyDescent="0.25">
      <c r="A342"/>
      <c r="B342"/>
      <c r="C342"/>
      <c r="D342"/>
      <c r="E342"/>
    </row>
    <row r="343" spans="1:5" hidden="1" x14ac:dyDescent="0.25">
      <c r="A343"/>
      <c r="B343"/>
      <c r="C343"/>
      <c r="D343"/>
      <c r="E343"/>
    </row>
    <row r="344" spans="1:5" hidden="1" x14ac:dyDescent="0.25">
      <c r="A344"/>
      <c r="B344"/>
      <c r="C344"/>
      <c r="D344"/>
      <c r="E344"/>
    </row>
    <row r="345" spans="1:5" hidden="1" x14ac:dyDescent="0.25">
      <c r="A345"/>
      <c r="B345"/>
      <c r="C345"/>
      <c r="D345"/>
      <c r="E345"/>
    </row>
    <row r="346" spans="1:5" hidden="1" x14ac:dyDescent="0.25">
      <c r="A346"/>
      <c r="B346"/>
      <c r="C346"/>
      <c r="D346"/>
      <c r="E346"/>
    </row>
    <row r="347" spans="1:5" hidden="1" x14ac:dyDescent="0.25">
      <c r="A347"/>
      <c r="B347"/>
      <c r="C347"/>
      <c r="D347"/>
      <c r="E347"/>
    </row>
    <row r="348" spans="1:5" hidden="1" x14ac:dyDescent="0.25">
      <c r="A348"/>
      <c r="B348"/>
      <c r="C348"/>
      <c r="D348"/>
      <c r="E348"/>
    </row>
    <row r="349" spans="1:5" hidden="1" x14ac:dyDescent="0.25">
      <c r="A349"/>
      <c r="B349"/>
      <c r="C349"/>
      <c r="D349"/>
      <c r="E349"/>
    </row>
    <row r="350" spans="1:5" hidden="1" x14ac:dyDescent="0.25">
      <c r="A350"/>
      <c r="B350"/>
      <c r="C350"/>
      <c r="D350"/>
      <c r="E350"/>
    </row>
    <row r="351" spans="1:5" hidden="1" x14ac:dyDescent="0.25">
      <c r="A351"/>
      <c r="B351"/>
      <c r="C351"/>
      <c r="D351"/>
      <c r="E351"/>
    </row>
    <row r="352" spans="1:5" hidden="1" x14ac:dyDescent="0.25">
      <c r="A352"/>
      <c r="B352"/>
      <c r="C352"/>
      <c r="D352"/>
      <c r="E352"/>
    </row>
    <row r="353" spans="1:5" hidden="1" x14ac:dyDescent="0.25">
      <c r="A353"/>
      <c r="B353"/>
      <c r="C353"/>
      <c r="D353"/>
      <c r="E353"/>
    </row>
    <row r="354" spans="1:5" hidden="1" x14ac:dyDescent="0.25">
      <c r="A354"/>
      <c r="B354"/>
      <c r="C354"/>
      <c r="D354"/>
      <c r="E354"/>
    </row>
    <row r="355" spans="1:5" hidden="1" x14ac:dyDescent="0.25">
      <c r="A355"/>
      <c r="B355"/>
      <c r="C355"/>
      <c r="D355"/>
      <c r="E355"/>
    </row>
    <row r="356" spans="1:5" hidden="1" x14ac:dyDescent="0.25">
      <c r="A356"/>
      <c r="B356"/>
      <c r="C356"/>
      <c r="D356"/>
      <c r="E356"/>
    </row>
    <row r="357" spans="1:5" hidden="1" x14ac:dyDescent="0.25">
      <c r="A357"/>
      <c r="B357"/>
      <c r="C357"/>
      <c r="D357"/>
      <c r="E357"/>
    </row>
    <row r="358" spans="1:5" hidden="1" x14ac:dyDescent="0.25">
      <c r="A358"/>
      <c r="B358"/>
      <c r="C358"/>
      <c r="D358"/>
      <c r="E358"/>
    </row>
    <row r="359" spans="1:5" hidden="1" x14ac:dyDescent="0.25">
      <c r="A359"/>
      <c r="B359"/>
      <c r="C359"/>
      <c r="D359"/>
      <c r="E359"/>
    </row>
    <row r="360" spans="1:5" hidden="1" x14ac:dyDescent="0.25">
      <c r="A360"/>
      <c r="B360"/>
      <c r="C360"/>
      <c r="D360"/>
      <c r="E360"/>
    </row>
    <row r="361" spans="1:5" hidden="1" x14ac:dyDescent="0.25">
      <c r="A361"/>
      <c r="B361"/>
      <c r="C361"/>
      <c r="D361"/>
      <c r="E361"/>
    </row>
    <row r="362" spans="1:5" hidden="1" x14ac:dyDescent="0.25">
      <c r="A362"/>
      <c r="B362"/>
      <c r="C362"/>
      <c r="D362"/>
      <c r="E362"/>
    </row>
    <row r="363" spans="1:5" hidden="1" x14ac:dyDescent="0.25">
      <c r="A363"/>
      <c r="B363"/>
      <c r="C363"/>
      <c r="D363"/>
      <c r="E363"/>
    </row>
    <row r="364" spans="1:5" hidden="1" x14ac:dyDescent="0.25">
      <c r="A364"/>
      <c r="B364"/>
      <c r="C364"/>
      <c r="D364"/>
      <c r="E364"/>
    </row>
    <row r="365" spans="1:5" hidden="1" x14ac:dyDescent="0.25">
      <c r="A365"/>
      <c r="B365"/>
      <c r="C365"/>
      <c r="D365"/>
      <c r="E365"/>
    </row>
    <row r="366" spans="1:5" hidden="1" x14ac:dyDescent="0.25">
      <c r="A366"/>
      <c r="B366"/>
      <c r="C366"/>
      <c r="D366"/>
      <c r="E366"/>
    </row>
    <row r="367" spans="1:5" hidden="1" x14ac:dyDescent="0.25">
      <c r="A367"/>
      <c r="B367"/>
      <c r="C367"/>
      <c r="D367"/>
      <c r="E367"/>
    </row>
    <row r="368" spans="1:5" hidden="1" x14ac:dyDescent="0.25">
      <c r="A368"/>
      <c r="B368"/>
      <c r="C368"/>
      <c r="D368"/>
      <c r="E368"/>
    </row>
    <row r="369" spans="1:5" hidden="1" x14ac:dyDescent="0.25">
      <c r="A369"/>
      <c r="B369"/>
      <c r="C369"/>
      <c r="D369"/>
      <c r="E369"/>
    </row>
    <row r="370" spans="1:5" hidden="1" x14ac:dyDescent="0.25">
      <c r="A370"/>
      <c r="B370"/>
      <c r="C370"/>
      <c r="D370"/>
      <c r="E370"/>
    </row>
    <row r="371" spans="1:5" hidden="1" x14ac:dyDescent="0.25">
      <c r="A371"/>
      <c r="B371"/>
      <c r="C371"/>
      <c r="D371"/>
      <c r="E371"/>
    </row>
    <row r="372" spans="1:5" hidden="1" x14ac:dyDescent="0.25">
      <c r="A372"/>
      <c r="B372"/>
      <c r="C372"/>
      <c r="D372"/>
      <c r="E372"/>
    </row>
    <row r="373" spans="1:5" hidden="1" x14ac:dyDescent="0.25">
      <c r="A373"/>
      <c r="B373"/>
      <c r="C373"/>
      <c r="D373"/>
      <c r="E373"/>
    </row>
    <row r="374" spans="1:5" hidden="1" x14ac:dyDescent="0.25">
      <c r="A374"/>
      <c r="B374"/>
      <c r="C374"/>
      <c r="D374"/>
      <c r="E374"/>
    </row>
    <row r="375" spans="1:5" hidden="1" x14ac:dyDescent="0.25">
      <c r="A375"/>
      <c r="B375"/>
      <c r="C375"/>
      <c r="D375"/>
      <c r="E375"/>
    </row>
    <row r="376" spans="1:5" hidden="1" x14ac:dyDescent="0.25">
      <c r="A376"/>
      <c r="B376"/>
      <c r="C376"/>
      <c r="D376"/>
      <c r="E376"/>
    </row>
    <row r="377" spans="1:5" hidden="1" x14ac:dyDescent="0.25">
      <c r="A377"/>
      <c r="B377"/>
      <c r="C377"/>
      <c r="D377"/>
      <c r="E377"/>
    </row>
    <row r="378" spans="1:5" hidden="1" x14ac:dyDescent="0.25">
      <c r="A378"/>
      <c r="B378"/>
      <c r="C378"/>
      <c r="D378"/>
      <c r="E378"/>
    </row>
    <row r="379" spans="1:5" hidden="1" x14ac:dyDescent="0.25">
      <c r="A379"/>
      <c r="B379"/>
      <c r="C379"/>
      <c r="D379"/>
      <c r="E379"/>
    </row>
    <row r="380" spans="1:5" hidden="1" x14ac:dyDescent="0.25">
      <c r="A380"/>
      <c r="B380"/>
      <c r="C380"/>
      <c r="D380"/>
      <c r="E380"/>
    </row>
    <row r="381" spans="1:5" hidden="1" x14ac:dyDescent="0.25">
      <c r="A381"/>
      <c r="B381"/>
      <c r="C381"/>
      <c r="D381"/>
      <c r="E381"/>
    </row>
    <row r="382" spans="1:5" hidden="1" x14ac:dyDescent="0.25">
      <c r="A382"/>
      <c r="B382"/>
      <c r="C382"/>
      <c r="D382"/>
      <c r="E382"/>
    </row>
    <row r="383" spans="1:5" hidden="1" x14ac:dyDescent="0.25">
      <c r="A383"/>
      <c r="B383"/>
      <c r="C383"/>
      <c r="D383"/>
      <c r="E383"/>
    </row>
    <row r="384" spans="1:5" hidden="1" x14ac:dyDescent="0.25">
      <c r="A384"/>
      <c r="B384"/>
      <c r="C384"/>
      <c r="D384"/>
      <c r="E384"/>
    </row>
    <row r="385" spans="1:5" hidden="1" x14ac:dyDescent="0.25">
      <c r="A385"/>
      <c r="B385"/>
      <c r="C385"/>
      <c r="D385"/>
      <c r="E385"/>
    </row>
    <row r="386" spans="1:5" hidden="1" x14ac:dyDescent="0.25">
      <c r="A386"/>
      <c r="B386"/>
      <c r="C386"/>
      <c r="D386"/>
      <c r="E386"/>
    </row>
    <row r="387" spans="1:5" hidden="1" x14ac:dyDescent="0.25">
      <c r="A387"/>
      <c r="B387"/>
      <c r="C387"/>
      <c r="D387"/>
      <c r="E387"/>
    </row>
    <row r="388" spans="1:5" hidden="1" x14ac:dyDescent="0.25">
      <c r="A388"/>
      <c r="B388"/>
      <c r="C388"/>
      <c r="D388"/>
      <c r="E388"/>
    </row>
    <row r="389" spans="1:5" hidden="1" x14ac:dyDescent="0.25">
      <c r="A389"/>
      <c r="B389"/>
      <c r="C389"/>
      <c r="D389"/>
      <c r="E389"/>
    </row>
    <row r="390" spans="1:5" hidden="1" x14ac:dyDescent="0.25">
      <c r="A390"/>
      <c r="B390"/>
      <c r="C390"/>
      <c r="D390"/>
      <c r="E390"/>
    </row>
    <row r="391" spans="1:5" hidden="1" x14ac:dyDescent="0.25">
      <c r="A391"/>
      <c r="B391"/>
      <c r="C391"/>
      <c r="D391"/>
      <c r="E391"/>
    </row>
    <row r="392" spans="1:5" hidden="1" x14ac:dyDescent="0.25">
      <c r="A392"/>
      <c r="B392"/>
      <c r="C392"/>
      <c r="D392"/>
      <c r="E392"/>
    </row>
    <row r="393" spans="1:5" hidden="1" x14ac:dyDescent="0.25">
      <c r="A393"/>
      <c r="B393"/>
      <c r="C393"/>
      <c r="D393"/>
      <c r="E393"/>
    </row>
    <row r="394" spans="1:5" hidden="1" x14ac:dyDescent="0.25">
      <c r="A394"/>
      <c r="B394"/>
      <c r="C394"/>
      <c r="D394"/>
      <c r="E394"/>
    </row>
    <row r="395" spans="1:5" hidden="1" x14ac:dyDescent="0.25">
      <c r="A395"/>
      <c r="B395"/>
      <c r="C395"/>
      <c r="D395"/>
      <c r="E395"/>
    </row>
    <row r="396" spans="1:5" hidden="1" x14ac:dyDescent="0.25">
      <c r="A396"/>
      <c r="B396"/>
      <c r="C396"/>
      <c r="D396"/>
      <c r="E396"/>
    </row>
    <row r="397" spans="1:5" hidden="1" x14ac:dyDescent="0.25">
      <c r="A397"/>
      <c r="B397"/>
      <c r="C397"/>
      <c r="D397"/>
      <c r="E397"/>
    </row>
    <row r="398" spans="1:5" hidden="1" x14ac:dyDescent="0.25">
      <c r="A398"/>
      <c r="B398"/>
      <c r="C398"/>
      <c r="D398"/>
      <c r="E398"/>
    </row>
    <row r="399" spans="1:5" hidden="1" x14ac:dyDescent="0.25">
      <c r="A399"/>
      <c r="B399"/>
      <c r="C399"/>
      <c r="D399"/>
      <c r="E399"/>
    </row>
    <row r="400" spans="1:5" hidden="1" x14ac:dyDescent="0.25">
      <c r="A400"/>
      <c r="B400"/>
      <c r="C400"/>
      <c r="D400"/>
      <c r="E400"/>
    </row>
    <row r="401" spans="1:5" hidden="1" x14ac:dyDescent="0.25">
      <c r="A401"/>
      <c r="B401"/>
      <c r="C401"/>
      <c r="D401"/>
      <c r="E401"/>
    </row>
    <row r="402" spans="1:5" hidden="1" x14ac:dyDescent="0.25">
      <c r="A402"/>
      <c r="B402"/>
      <c r="C402"/>
      <c r="D402"/>
      <c r="E402"/>
    </row>
    <row r="403" spans="1:5" hidden="1" x14ac:dyDescent="0.25">
      <c r="A403"/>
      <c r="B403"/>
      <c r="C403"/>
      <c r="D403"/>
      <c r="E403"/>
    </row>
    <row r="404" spans="1:5" hidden="1" x14ac:dyDescent="0.25">
      <c r="A404"/>
      <c r="B404"/>
      <c r="C404"/>
      <c r="D404"/>
      <c r="E404"/>
    </row>
    <row r="405" spans="1:5" hidden="1" x14ac:dyDescent="0.25">
      <c r="A405"/>
      <c r="B405"/>
      <c r="C405"/>
      <c r="D405"/>
      <c r="E405"/>
    </row>
    <row r="406" spans="1:5" hidden="1" x14ac:dyDescent="0.25">
      <c r="A406"/>
      <c r="B406"/>
      <c r="C406"/>
      <c r="D406"/>
      <c r="E406"/>
    </row>
    <row r="407" spans="1:5" hidden="1" x14ac:dyDescent="0.25">
      <c r="A407"/>
      <c r="B407"/>
      <c r="C407"/>
      <c r="D407"/>
      <c r="E407"/>
    </row>
    <row r="408" spans="1:5" hidden="1" x14ac:dyDescent="0.25">
      <c r="A408"/>
      <c r="B408"/>
      <c r="C408"/>
      <c r="D408"/>
      <c r="E408"/>
    </row>
    <row r="409" spans="1:5" hidden="1" x14ac:dyDescent="0.25">
      <c r="A409"/>
      <c r="B409"/>
      <c r="C409"/>
      <c r="D409"/>
      <c r="E409"/>
    </row>
    <row r="410" spans="1:5" hidden="1" x14ac:dyDescent="0.25">
      <c r="A410"/>
      <c r="B410"/>
      <c r="C410"/>
      <c r="D410"/>
      <c r="E410"/>
    </row>
    <row r="411" spans="1:5" hidden="1" x14ac:dyDescent="0.25">
      <c r="A411"/>
      <c r="B411"/>
      <c r="C411"/>
      <c r="D411"/>
      <c r="E411"/>
    </row>
    <row r="412" spans="1:5" hidden="1" x14ac:dyDescent="0.25">
      <c r="A412"/>
      <c r="B412"/>
      <c r="C412"/>
      <c r="D412"/>
      <c r="E412"/>
    </row>
    <row r="413" spans="1:5" hidden="1" x14ac:dyDescent="0.25">
      <c r="A413"/>
      <c r="B413"/>
      <c r="C413"/>
      <c r="D413"/>
      <c r="E413"/>
    </row>
    <row r="414" spans="1:5" hidden="1" x14ac:dyDescent="0.25">
      <c r="A414"/>
      <c r="B414"/>
      <c r="C414"/>
      <c r="D414"/>
      <c r="E414"/>
    </row>
    <row r="415" spans="1:5" hidden="1" x14ac:dyDescent="0.25">
      <c r="A415"/>
      <c r="B415"/>
      <c r="C415"/>
      <c r="D415"/>
      <c r="E415"/>
    </row>
    <row r="416" spans="1:5" hidden="1" x14ac:dyDescent="0.25">
      <c r="A416"/>
      <c r="B416"/>
      <c r="C416"/>
      <c r="D416"/>
      <c r="E416"/>
    </row>
    <row r="417" spans="1:5" hidden="1" x14ac:dyDescent="0.25">
      <c r="A417"/>
      <c r="B417"/>
      <c r="C417"/>
      <c r="D417"/>
      <c r="E417"/>
    </row>
    <row r="418" spans="1:5" hidden="1" x14ac:dyDescent="0.25">
      <c r="A418"/>
      <c r="B418"/>
      <c r="C418"/>
      <c r="D418"/>
      <c r="E418"/>
    </row>
    <row r="419" spans="1:5" hidden="1" x14ac:dyDescent="0.25">
      <c r="A419"/>
      <c r="B419"/>
      <c r="C419"/>
      <c r="D419"/>
      <c r="E419"/>
    </row>
    <row r="420" spans="1:5" hidden="1" x14ac:dyDescent="0.25">
      <c r="A420"/>
      <c r="B420"/>
      <c r="C420"/>
      <c r="D420"/>
      <c r="E420"/>
    </row>
    <row r="421" spans="1:5" hidden="1" x14ac:dyDescent="0.25">
      <c r="A421"/>
      <c r="B421"/>
      <c r="C421"/>
      <c r="D421"/>
      <c r="E421"/>
    </row>
    <row r="422" spans="1:5" hidden="1" x14ac:dyDescent="0.25">
      <c r="A422"/>
      <c r="B422"/>
      <c r="C422"/>
      <c r="D422"/>
      <c r="E422"/>
    </row>
    <row r="423" spans="1:5" hidden="1" x14ac:dyDescent="0.25">
      <c r="A423"/>
      <c r="B423"/>
      <c r="C423"/>
      <c r="D423"/>
      <c r="E423"/>
    </row>
    <row r="424" spans="1:5" hidden="1" x14ac:dyDescent="0.25">
      <c r="A424"/>
      <c r="B424"/>
      <c r="C424"/>
      <c r="D424"/>
      <c r="E424"/>
    </row>
    <row r="425" spans="1:5" hidden="1" x14ac:dyDescent="0.25">
      <c r="A425"/>
      <c r="B425"/>
      <c r="C425"/>
      <c r="D425"/>
      <c r="E425"/>
    </row>
    <row r="426" spans="1:5" hidden="1" x14ac:dyDescent="0.25">
      <c r="A426"/>
      <c r="B426"/>
      <c r="C426"/>
      <c r="D426"/>
      <c r="E426"/>
    </row>
    <row r="427" spans="1:5" hidden="1" x14ac:dyDescent="0.25">
      <c r="A427"/>
      <c r="B427"/>
      <c r="C427"/>
      <c r="D427"/>
      <c r="E427"/>
    </row>
    <row r="428" spans="1:5" hidden="1" x14ac:dyDescent="0.25">
      <c r="A428"/>
      <c r="B428"/>
      <c r="C428"/>
      <c r="D428"/>
      <c r="E428"/>
    </row>
    <row r="429" spans="1:5" hidden="1" x14ac:dyDescent="0.25">
      <c r="A429"/>
      <c r="B429"/>
      <c r="C429"/>
      <c r="D429"/>
      <c r="E429"/>
    </row>
    <row r="430" spans="1:5" hidden="1" x14ac:dyDescent="0.25">
      <c r="A430"/>
      <c r="B430"/>
      <c r="C430"/>
      <c r="D430"/>
      <c r="E430"/>
    </row>
    <row r="431" spans="1:5" hidden="1" x14ac:dyDescent="0.25">
      <c r="A431"/>
      <c r="B431"/>
      <c r="C431"/>
      <c r="D431"/>
      <c r="E431"/>
    </row>
    <row r="432" spans="1:5" hidden="1" x14ac:dyDescent="0.25">
      <c r="A432"/>
      <c r="B432"/>
      <c r="C432"/>
      <c r="D432"/>
      <c r="E432"/>
    </row>
    <row r="433" spans="1:5" hidden="1" x14ac:dyDescent="0.25">
      <c r="A433"/>
      <c r="B433"/>
      <c r="C433"/>
      <c r="D433"/>
      <c r="E433"/>
    </row>
    <row r="434" spans="1:5" hidden="1" x14ac:dyDescent="0.25">
      <c r="A434"/>
      <c r="B434"/>
      <c r="C434"/>
      <c r="D434"/>
      <c r="E434"/>
    </row>
    <row r="435" spans="1:5" hidden="1" x14ac:dyDescent="0.25">
      <c r="A435"/>
      <c r="B435"/>
      <c r="C435"/>
      <c r="D435"/>
      <c r="E435"/>
    </row>
    <row r="436" spans="1:5" hidden="1" x14ac:dyDescent="0.25">
      <c r="A436"/>
      <c r="B436"/>
      <c r="C436"/>
      <c r="D436"/>
      <c r="E436"/>
    </row>
    <row r="437" spans="1:5" hidden="1" x14ac:dyDescent="0.25">
      <c r="A437"/>
      <c r="B437"/>
      <c r="C437"/>
      <c r="D437"/>
      <c r="E437"/>
    </row>
    <row r="438" spans="1:5" hidden="1" x14ac:dyDescent="0.25">
      <c r="A438"/>
      <c r="B438"/>
      <c r="C438"/>
      <c r="D438"/>
      <c r="E438"/>
    </row>
    <row r="439" spans="1:5" hidden="1" x14ac:dyDescent="0.25">
      <c r="A439"/>
      <c r="B439"/>
      <c r="C439"/>
      <c r="D439"/>
      <c r="E439"/>
    </row>
    <row r="440" spans="1:5" hidden="1" x14ac:dyDescent="0.25">
      <c r="A440"/>
      <c r="B440"/>
      <c r="C440"/>
      <c r="D440"/>
      <c r="E440"/>
    </row>
    <row r="441" spans="1:5" hidden="1" x14ac:dyDescent="0.25">
      <c r="A441"/>
      <c r="B441"/>
      <c r="C441"/>
      <c r="D441"/>
      <c r="E441"/>
    </row>
    <row r="442" spans="1:5" hidden="1" x14ac:dyDescent="0.25">
      <c r="A442"/>
      <c r="B442"/>
      <c r="C442"/>
      <c r="D442"/>
      <c r="E442"/>
    </row>
    <row r="443" spans="1:5" hidden="1" x14ac:dyDescent="0.25">
      <c r="A443"/>
      <c r="B443"/>
      <c r="C443"/>
      <c r="D443"/>
      <c r="E443"/>
    </row>
    <row r="444" spans="1:5" hidden="1" x14ac:dyDescent="0.25">
      <c r="A444"/>
      <c r="B444"/>
      <c r="C444"/>
      <c r="D444"/>
      <c r="E444"/>
    </row>
    <row r="445" spans="1:5" hidden="1" x14ac:dyDescent="0.25">
      <c r="A445"/>
      <c r="B445"/>
      <c r="C445"/>
      <c r="D445"/>
      <c r="E445"/>
    </row>
    <row r="446" spans="1:5" hidden="1" x14ac:dyDescent="0.25">
      <c r="A446"/>
      <c r="B446"/>
      <c r="C446"/>
      <c r="D446"/>
      <c r="E446"/>
    </row>
    <row r="447" spans="1:5" hidden="1" x14ac:dyDescent="0.25">
      <c r="A447"/>
      <c r="B447"/>
      <c r="C447"/>
      <c r="D447"/>
      <c r="E447"/>
    </row>
    <row r="448" spans="1:5" hidden="1" x14ac:dyDescent="0.25">
      <c r="A448"/>
      <c r="B448"/>
      <c r="C448"/>
      <c r="D448"/>
      <c r="E448"/>
    </row>
    <row r="449" spans="1:5" hidden="1" x14ac:dyDescent="0.25">
      <c r="A449"/>
      <c r="B449"/>
      <c r="C449"/>
      <c r="D449"/>
      <c r="E449"/>
    </row>
    <row r="450" spans="1:5" hidden="1" x14ac:dyDescent="0.25">
      <c r="A450"/>
      <c r="B450"/>
      <c r="C450"/>
      <c r="D450"/>
      <c r="E450"/>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30"/>
  <sheetViews>
    <sheetView workbookViewId="0">
      <selection activeCell="A21" sqref="A21:A24"/>
    </sheetView>
  </sheetViews>
  <sheetFormatPr defaultRowHeight="12.75" x14ac:dyDescent="0.2"/>
  <cols>
    <col min="1" max="3" width="9" style="22"/>
    <col min="4" max="4" width="9" style="191"/>
    <col min="5" max="5" width="15.875" style="190" customWidth="1"/>
    <col min="6" max="14" width="9" style="22"/>
    <col min="15" max="15" width="15.875" style="22" customWidth="1"/>
    <col min="16" max="27" width="9" style="22"/>
    <col min="28" max="28" width="13" style="186" customWidth="1"/>
    <col min="29" max="29" width="16.75" style="186" customWidth="1"/>
    <col min="30" max="16384" width="9" style="22"/>
  </cols>
  <sheetData>
    <row r="1" spans="1:29" ht="14.25" thickTop="1" thickBot="1" x14ac:dyDescent="0.25">
      <c r="A1" s="1" t="s">
        <v>1</v>
      </c>
      <c r="B1" s="1" t="s">
        <v>2</v>
      </c>
      <c r="C1" s="1" t="s">
        <v>3</v>
      </c>
      <c r="D1" s="69" t="s">
        <v>4</v>
      </c>
      <c r="E1" s="69" t="s">
        <v>5</v>
      </c>
      <c r="F1" s="1" t="s">
        <v>1326</v>
      </c>
      <c r="G1" s="1" t="s">
        <v>8</v>
      </c>
      <c r="H1" s="1" t="s">
        <v>9</v>
      </c>
      <c r="I1" s="1" t="s">
        <v>63</v>
      </c>
      <c r="J1" s="1" t="s">
        <v>64</v>
      </c>
      <c r="K1" s="1" t="s">
        <v>67</v>
      </c>
      <c r="L1" s="2" t="s">
        <v>73</v>
      </c>
      <c r="M1" s="2" t="s">
        <v>78</v>
      </c>
      <c r="N1" s="2" t="s">
        <v>240</v>
      </c>
      <c r="O1" s="2" t="s">
        <v>241</v>
      </c>
      <c r="P1" s="2" t="s">
        <v>91</v>
      </c>
      <c r="Q1" s="2" t="s">
        <v>86</v>
      </c>
      <c r="R1" s="3" t="s">
        <v>95</v>
      </c>
      <c r="S1" s="3" t="s">
        <v>1327</v>
      </c>
      <c r="T1" s="4" t="s">
        <v>105</v>
      </c>
      <c r="U1" s="3" t="s">
        <v>108</v>
      </c>
      <c r="V1" s="3" t="s">
        <v>111</v>
      </c>
      <c r="W1" s="5" t="s">
        <v>116</v>
      </c>
      <c r="X1" s="5"/>
      <c r="Y1" s="5" t="s">
        <v>1328</v>
      </c>
      <c r="Z1" s="5" t="s">
        <v>122</v>
      </c>
      <c r="AA1" s="67" t="s">
        <v>127</v>
      </c>
      <c r="AB1" s="186" t="s">
        <v>1329</v>
      </c>
    </row>
    <row r="2" spans="1:29" ht="13.5" thickBot="1" x14ac:dyDescent="0.25">
      <c r="A2" s="11" t="s">
        <v>20</v>
      </c>
      <c r="B2" s="12" t="s">
        <v>20</v>
      </c>
      <c r="C2" s="11" t="s">
        <v>20</v>
      </c>
      <c r="D2" s="73" t="s">
        <v>20</v>
      </c>
      <c r="E2" s="70" t="s">
        <v>20</v>
      </c>
      <c r="F2" s="12" t="s">
        <v>21</v>
      </c>
      <c r="G2" s="11" t="s">
        <v>21</v>
      </c>
      <c r="H2" s="12" t="s">
        <v>66</v>
      </c>
      <c r="I2" s="11" t="s">
        <v>20</v>
      </c>
      <c r="J2" s="12" t="s">
        <v>23</v>
      </c>
      <c r="K2" s="11" t="s">
        <v>69</v>
      </c>
      <c r="L2" s="12" t="s">
        <v>21</v>
      </c>
      <c r="M2" s="11" t="s">
        <v>21</v>
      </c>
      <c r="N2" s="12" t="s">
        <v>21</v>
      </c>
      <c r="O2" s="11" t="s">
        <v>21</v>
      </c>
      <c r="P2" s="12" t="s">
        <v>69</v>
      </c>
      <c r="Q2" s="11" t="s">
        <v>21</v>
      </c>
      <c r="R2" s="12" t="s">
        <v>21</v>
      </c>
      <c r="S2" s="11" t="s">
        <v>21</v>
      </c>
      <c r="T2" s="12" t="s">
        <v>21</v>
      </c>
      <c r="U2" s="11" t="s">
        <v>1330</v>
      </c>
      <c r="V2" s="12" t="s">
        <v>1330</v>
      </c>
      <c r="W2" s="11" t="s">
        <v>21</v>
      </c>
      <c r="X2" s="11"/>
      <c r="Y2" s="12" t="s">
        <v>21</v>
      </c>
      <c r="Z2" s="11" t="s">
        <v>21</v>
      </c>
      <c r="AA2" s="68" t="s">
        <v>21</v>
      </c>
    </row>
    <row r="3" spans="1:29" ht="129" thickTop="1" thickBot="1" x14ac:dyDescent="0.25">
      <c r="A3" s="14" t="s">
        <v>24</v>
      </c>
      <c r="B3" s="13" t="s">
        <v>1331</v>
      </c>
      <c r="C3" s="14" t="s">
        <v>26</v>
      </c>
      <c r="D3" s="74" t="s">
        <v>27</v>
      </c>
      <c r="E3" s="71" t="s">
        <v>28</v>
      </c>
      <c r="F3" s="13" t="s">
        <v>30</v>
      </c>
      <c r="G3" s="14" t="s">
        <v>1332</v>
      </c>
      <c r="H3" s="13" t="s">
        <v>1333</v>
      </c>
      <c r="I3" s="14" t="s">
        <v>1334</v>
      </c>
      <c r="J3" s="13" t="s">
        <v>1335</v>
      </c>
      <c r="K3" s="14" t="s">
        <v>1336</v>
      </c>
      <c r="L3" s="13" t="s">
        <v>1337</v>
      </c>
      <c r="M3" s="14" t="s">
        <v>1338</v>
      </c>
      <c r="N3" s="13" t="s">
        <v>1339</v>
      </c>
      <c r="O3" s="14" t="s">
        <v>1340</v>
      </c>
      <c r="P3" s="13" t="s">
        <v>1341</v>
      </c>
      <c r="Q3" s="14" t="s">
        <v>1342</v>
      </c>
      <c r="R3" s="13" t="s">
        <v>1343</v>
      </c>
      <c r="S3" s="14" t="s">
        <v>1344</v>
      </c>
      <c r="T3" s="13" t="s">
        <v>1345</v>
      </c>
      <c r="U3" s="14" t="s">
        <v>1346</v>
      </c>
      <c r="V3" s="13" t="s">
        <v>1347</v>
      </c>
      <c r="W3" s="19" t="s">
        <v>1348</v>
      </c>
      <c r="X3" s="19" t="s">
        <v>1349</v>
      </c>
      <c r="Y3" s="13" t="s">
        <v>1350</v>
      </c>
      <c r="Z3" s="14" t="s">
        <v>1351</v>
      </c>
      <c r="AA3" s="140" t="s">
        <v>1352</v>
      </c>
      <c r="AB3" s="187" t="s">
        <v>1353</v>
      </c>
      <c r="AC3" s="187" t="s">
        <v>1354</v>
      </c>
    </row>
    <row r="4" spans="1:29" ht="14.25" thickTop="1" thickBot="1" x14ac:dyDescent="0.25">
      <c r="A4" s="10" t="s">
        <v>1355</v>
      </c>
      <c r="B4" s="10" t="s">
        <v>1356</v>
      </c>
      <c r="C4" s="8" t="s">
        <v>44</v>
      </c>
      <c r="D4" s="72" t="s">
        <v>486</v>
      </c>
      <c r="E4" s="72" t="s">
        <v>793</v>
      </c>
      <c r="F4" s="7"/>
      <c r="G4" s="8"/>
      <c r="H4" s="7" t="s">
        <v>48</v>
      </c>
      <c r="I4" s="61" t="s">
        <v>471</v>
      </c>
      <c r="J4" s="7"/>
      <c r="K4" s="15">
        <v>0</v>
      </c>
      <c r="L4" s="7"/>
      <c r="M4" s="8"/>
      <c r="N4" s="7"/>
      <c r="O4" s="8"/>
      <c r="P4" s="7"/>
      <c r="Q4" s="7"/>
      <c r="R4" s="8"/>
      <c r="S4" s="7"/>
      <c r="T4" s="9"/>
      <c r="U4" s="7" t="s">
        <v>283</v>
      </c>
      <c r="V4" s="7" t="s">
        <v>283</v>
      </c>
      <c r="W4" s="7"/>
      <c r="X4" s="7" t="s">
        <v>284</v>
      </c>
      <c r="Y4" s="8"/>
      <c r="Z4" s="7"/>
      <c r="AA4" s="141"/>
      <c r="AB4" s="186" t="s">
        <v>44</v>
      </c>
      <c r="AC4" s="186" t="s">
        <v>341</v>
      </c>
    </row>
    <row r="5" spans="1:29" ht="14.25" thickTop="1" thickBot="1" x14ac:dyDescent="0.25">
      <c r="A5" s="10" t="s">
        <v>1357</v>
      </c>
      <c r="B5" s="10" t="s">
        <v>475</v>
      </c>
      <c r="C5" s="8" t="s">
        <v>454</v>
      </c>
      <c r="D5" s="72" t="s">
        <v>341</v>
      </c>
      <c r="E5" s="72" t="s">
        <v>706</v>
      </c>
      <c r="F5" s="7"/>
      <c r="G5" s="8"/>
      <c r="H5" s="7" t="s">
        <v>282</v>
      </c>
      <c r="I5" s="61" t="s">
        <v>296</v>
      </c>
      <c r="J5" s="7"/>
      <c r="K5" s="15">
        <v>0.1</v>
      </c>
      <c r="L5" s="7"/>
      <c r="M5" s="8"/>
      <c r="N5" s="7"/>
      <c r="O5" s="8"/>
      <c r="P5" s="7"/>
      <c r="Q5" s="7"/>
      <c r="R5" s="8"/>
      <c r="S5" s="7"/>
      <c r="T5" s="9"/>
      <c r="U5" s="7" t="s">
        <v>1358</v>
      </c>
      <c r="V5" s="7" t="s">
        <v>297</v>
      </c>
      <c r="W5" s="7"/>
      <c r="X5" s="7" t="s">
        <v>376</v>
      </c>
      <c r="Y5" s="8"/>
      <c r="Z5" s="7"/>
      <c r="AA5" s="141"/>
      <c r="AB5" s="186" t="s">
        <v>44</v>
      </c>
      <c r="AC5" s="186" t="s">
        <v>292</v>
      </c>
    </row>
    <row r="6" spans="1:29" ht="14.25" thickTop="1" thickBot="1" x14ac:dyDescent="0.25">
      <c r="A6" s="10" t="s">
        <v>1359</v>
      </c>
      <c r="B6" s="10" t="s">
        <v>1360</v>
      </c>
      <c r="C6" s="8" t="s">
        <v>866</v>
      </c>
      <c r="D6" s="72" t="s">
        <v>480</v>
      </c>
      <c r="E6" s="72" t="s">
        <v>828</v>
      </c>
      <c r="F6" s="7"/>
      <c r="G6" s="8"/>
      <c r="H6" s="7" t="s">
        <v>443</v>
      </c>
      <c r="I6" s="6" t="s">
        <v>1361</v>
      </c>
      <c r="J6" s="7"/>
      <c r="K6" s="15">
        <v>0.2</v>
      </c>
      <c r="L6" s="7"/>
      <c r="M6" s="8"/>
      <c r="N6" s="7"/>
      <c r="O6" s="8"/>
      <c r="P6" s="7"/>
      <c r="Q6" s="7"/>
      <c r="R6" s="8"/>
      <c r="S6" s="7"/>
      <c r="T6" s="9"/>
      <c r="U6" s="7" t="s">
        <v>332</v>
      </c>
      <c r="V6" s="7" t="s">
        <v>332</v>
      </c>
      <c r="W6" s="7"/>
      <c r="X6" s="7" t="s">
        <v>291</v>
      </c>
      <c r="Y6" s="8"/>
      <c r="Z6" s="7"/>
      <c r="AA6" s="141"/>
      <c r="AB6" s="186" t="s">
        <v>44</v>
      </c>
      <c r="AC6" s="186" t="s">
        <v>294</v>
      </c>
    </row>
    <row r="7" spans="1:29" ht="14.25" thickTop="1" thickBot="1" x14ac:dyDescent="0.25">
      <c r="A7" s="10" t="s">
        <v>1362</v>
      </c>
      <c r="B7" s="10" t="s">
        <v>1363</v>
      </c>
      <c r="D7" s="72" t="s">
        <v>292</v>
      </c>
      <c r="E7" s="72" t="s">
        <v>745</v>
      </c>
      <c r="F7" s="7"/>
      <c r="G7" s="8"/>
      <c r="H7" s="7"/>
      <c r="I7" s="61" t="s">
        <v>488</v>
      </c>
      <c r="J7" s="7"/>
      <c r="K7" s="15">
        <v>0.3</v>
      </c>
      <c r="L7" s="7"/>
      <c r="M7" s="8"/>
      <c r="N7" s="7"/>
      <c r="O7" s="8"/>
      <c r="P7" s="7"/>
      <c r="Q7" s="7"/>
      <c r="R7" s="8"/>
      <c r="S7" s="7"/>
      <c r="T7" s="9"/>
      <c r="U7" s="7" t="s">
        <v>286</v>
      </c>
      <c r="V7" s="7" t="s">
        <v>286</v>
      </c>
      <c r="W7" s="7"/>
      <c r="X7" s="7"/>
      <c r="Y7" s="8"/>
      <c r="Z7" s="7"/>
      <c r="AA7" s="141"/>
      <c r="AB7" s="186" t="s">
        <v>44</v>
      </c>
      <c r="AC7" s="186" t="s">
        <v>945</v>
      </c>
    </row>
    <row r="8" spans="1:29" ht="14.25" thickTop="1" thickBot="1" x14ac:dyDescent="0.25">
      <c r="A8" s="10" t="s">
        <v>1364</v>
      </c>
      <c r="B8" s="10" t="s">
        <v>1365</v>
      </c>
      <c r="D8" s="72" t="s">
        <v>294</v>
      </c>
      <c r="E8" s="72" t="s">
        <v>767</v>
      </c>
      <c r="F8" s="7"/>
      <c r="G8" s="8"/>
      <c r="H8" s="7"/>
      <c r="I8" s="75" t="s">
        <v>1366</v>
      </c>
      <c r="J8" s="7"/>
      <c r="K8" s="15">
        <v>0.4</v>
      </c>
      <c r="L8" s="7"/>
      <c r="M8" s="8"/>
      <c r="N8" s="7"/>
      <c r="O8" s="8"/>
      <c r="P8" s="7"/>
      <c r="Q8" s="7"/>
      <c r="R8" s="8"/>
      <c r="S8" s="7"/>
      <c r="T8" s="9"/>
      <c r="U8" s="189"/>
      <c r="V8" s="189"/>
      <c r="W8" s="7"/>
      <c r="X8" s="7"/>
      <c r="Y8" s="8"/>
      <c r="Z8" s="7"/>
      <c r="AA8" s="141"/>
      <c r="AB8" s="186" t="s">
        <v>44</v>
      </c>
      <c r="AC8" s="186" t="s">
        <v>1245</v>
      </c>
    </row>
    <row r="9" spans="1:29" ht="13.5" thickBot="1" x14ac:dyDescent="0.25">
      <c r="A9" s="10" t="s">
        <v>1367</v>
      </c>
      <c r="B9" s="10" t="s">
        <v>465</v>
      </c>
      <c r="D9" s="72" t="s">
        <v>888</v>
      </c>
      <c r="E9" s="72" t="s">
        <v>815</v>
      </c>
      <c r="F9" s="7"/>
      <c r="G9" s="8"/>
      <c r="H9" s="7"/>
      <c r="I9" s="60" t="s">
        <v>1368</v>
      </c>
      <c r="J9" s="7"/>
      <c r="K9" s="15">
        <v>0.5</v>
      </c>
      <c r="L9" s="7"/>
      <c r="M9" s="8"/>
      <c r="N9" s="7"/>
      <c r="O9" s="8"/>
      <c r="P9" s="7"/>
      <c r="Q9" s="7"/>
      <c r="R9" s="8"/>
      <c r="S9" s="7"/>
      <c r="T9" s="9"/>
      <c r="U9" s="7"/>
      <c r="V9" s="8"/>
      <c r="W9" s="7"/>
      <c r="X9" s="7"/>
      <c r="Y9" s="8"/>
      <c r="Z9" s="7"/>
      <c r="AA9" s="141"/>
      <c r="AB9" s="186" t="s">
        <v>44</v>
      </c>
      <c r="AC9" s="186" t="s">
        <v>1250</v>
      </c>
    </row>
    <row r="10" spans="1:29" ht="13.5" thickBot="1" x14ac:dyDescent="0.25">
      <c r="A10" s="10" t="s">
        <v>1369</v>
      </c>
      <c r="B10" s="10" t="s">
        <v>1370</v>
      </c>
      <c r="D10" s="72" t="s">
        <v>911</v>
      </c>
      <c r="E10" s="72" t="s">
        <v>1111</v>
      </c>
      <c r="F10" s="7"/>
      <c r="G10" s="8"/>
      <c r="H10" s="7"/>
      <c r="I10" s="60" t="s">
        <v>1371</v>
      </c>
      <c r="J10" s="7"/>
      <c r="K10" s="15">
        <v>0.6</v>
      </c>
      <c r="L10" s="7"/>
      <c r="M10" s="8"/>
      <c r="N10" s="7"/>
      <c r="O10" s="8"/>
      <c r="P10" s="7"/>
      <c r="Q10" s="7"/>
      <c r="R10" s="8"/>
      <c r="S10" s="7"/>
      <c r="T10" s="9"/>
      <c r="U10" s="7"/>
      <c r="V10" s="8"/>
      <c r="W10" s="7"/>
      <c r="X10" s="7"/>
      <c r="Y10" s="8"/>
      <c r="Z10" s="7"/>
      <c r="AA10" s="141"/>
      <c r="AB10" s="186" t="s">
        <v>44</v>
      </c>
      <c r="AC10" s="186" t="s">
        <v>1524</v>
      </c>
    </row>
    <row r="11" spans="1:29" ht="13.5" thickBot="1" x14ac:dyDescent="0.25">
      <c r="A11" s="10" t="s">
        <v>1369</v>
      </c>
      <c r="B11" s="10" t="s">
        <v>479</v>
      </c>
      <c r="D11" s="72" t="s">
        <v>945</v>
      </c>
      <c r="E11" s="72" t="s">
        <v>704</v>
      </c>
      <c r="F11" s="7"/>
      <c r="G11" s="8"/>
      <c r="H11" s="7"/>
      <c r="I11" s="41" t="s">
        <v>458</v>
      </c>
      <c r="J11" s="7"/>
      <c r="K11" s="15">
        <v>0.7</v>
      </c>
      <c r="L11" s="7"/>
      <c r="M11" s="8"/>
      <c r="N11" s="7"/>
      <c r="O11" s="8"/>
      <c r="P11" s="7"/>
      <c r="Q11" s="7"/>
      <c r="R11" s="8"/>
      <c r="S11" s="7"/>
      <c r="T11" s="9"/>
      <c r="U11" s="7"/>
      <c r="V11" s="8"/>
      <c r="W11" s="7"/>
      <c r="X11" s="7"/>
      <c r="Y11" s="8"/>
      <c r="Z11" s="7"/>
      <c r="AA11" s="141"/>
      <c r="AB11" s="186" t="s">
        <v>44</v>
      </c>
      <c r="AC11" s="186" t="s">
        <v>45</v>
      </c>
    </row>
    <row r="12" spans="1:29" ht="13.5" thickBot="1" x14ac:dyDescent="0.25">
      <c r="A12" s="10" t="s">
        <v>1372</v>
      </c>
      <c r="B12" s="10" t="s">
        <v>1373</v>
      </c>
      <c r="D12" s="72" t="s">
        <v>1245</v>
      </c>
      <c r="E12" s="72" t="s">
        <v>733</v>
      </c>
      <c r="F12" s="7"/>
      <c r="G12" s="8"/>
      <c r="H12" s="7"/>
      <c r="I12" s="41" t="s">
        <v>375</v>
      </c>
      <c r="J12" s="7"/>
      <c r="K12" s="15">
        <v>0.8</v>
      </c>
      <c r="L12" s="7"/>
      <c r="M12" s="8"/>
      <c r="N12" s="7"/>
      <c r="O12" s="8"/>
      <c r="P12" s="7"/>
      <c r="Q12" s="7"/>
      <c r="R12" s="8"/>
      <c r="S12" s="7"/>
      <c r="T12" s="9"/>
      <c r="U12" s="7"/>
      <c r="V12" s="8"/>
      <c r="W12" s="7"/>
      <c r="X12" s="7"/>
      <c r="Y12" s="8"/>
      <c r="Z12" s="7"/>
      <c r="AA12" s="141"/>
      <c r="AB12" s="186" t="s">
        <v>44</v>
      </c>
      <c r="AC12" s="186" t="s">
        <v>298</v>
      </c>
    </row>
    <row r="13" spans="1:29" ht="13.5" thickBot="1" x14ac:dyDescent="0.25">
      <c r="A13" s="10" t="s">
        <v>1374</v>
      </c>
      <c r="B13" s="10" t="s">
        <v>1375</v>
      </c>
      <c r="C13" s="189"/>
      <c r="D13" s="72" t="s">
        <v>870</v>
      </c>
      <c r="E13" s="72" t="s">
        <v>755</v>
      </c>
      <c r="F13" s="7"/>
      <c r="G13" s="8"/>
      <c r="H13" s="7"/>
      <c r="I13" s="41" t="s">
        <v>47</v>
      </c>
      <c r="J13" s="7"/>
      <c r="K13" s="15">
        <v>0.9</v>
      </c>
      <c r="L13" s="7"/>
      <c r="M13" s="8"/>
      <c r="N13" s="7"/>
      <c r="O13" s="8"/>
      <c r="P13" s="7"/>
      <c r="Q13" s="7"/>
      <c r="R13" s="8"/>
      <c r="S13" s="7"/>
      <c r="T13" s="9"/>
      <c r="U13" s="7"/>
      <c r="V13" s="8"/>
      <c r="W13" s="7"/>
      <c r="X13" s="7"/>
      <c r="Y13" s="8"/>
      <c r="Z13" s="7"/>
      <c r="AA13" s="141"/>
      <c r="AB13" s="186" t="s">
        <v>44</v>
      </c>
      <c r="AC13" s="186" t="s">
        <v>303</v>
      </c>
    </row>
    <row r="14" spans="1:29" ht="13.5" thickBot="1" x14ac:dyDescent="0.25">
      <c r="A14" s="10" t="s">
        <v>1376</v>
      </c>
      <c r="B14" s="10" t="s">
        <v>1377</v>
      </c>
      <c r="D14" s="72" t="s">
        <v>518</v>
      </c>
      <c r="E14" s="72" t="s">
        <v>747</v>
      </c>
      <c r="F14" s="7"/>
      <c r="G14" s="8"/>
      <c r="H14" s="7"/>
      <c r="I14" s="66" t="s">
        <v>372</v>
      </c>
      <c r="J14" s="7"/>
      <c r="K14" s="15">
        <v>1</v>
      </c>
      <c r="L14" s="7"/>
      <c r="M14" s="8"/>
      <c r="N14" s="7"/>
      <c r="O14" s="8"/>
      <c r="P14" s="7"/>
      <c r="Q14" s="7"/>
      <c r="R14" s="8"/>
      <c r="S14" s="7"/>
      <c r="T14" s="9"/>
      <c r="U14" s="7"/>
      <c r="V14" s="8"/>
      <c r="W14" s="7"/>
      <c r="X14" s="7"/>
      <c r="Y14" s="8"/>
      <c r="Z14" s="7"/>
      <c r="AA14" s="141"/>
      <c r="AB14" s="186" t="s">
        <v>44</v>
      </c>
      <c r="AC14" s="186" t="s">
        <v>351</v>
      </c>
    </row>
    <row r="15" spans="1:29" ht="13.5" thickBot="1" x14ac:dyDescent="0.25">
      <c r="A15" s="10" t="s">
        <v>1378</v>
      </c>
      <c r="B15" s="10" t="s">
        <v>1379</v>
      </c>
      <c r="D15" s="72" t="s">
        <v>463</v>
      </c>
      <c r="E15" s="72" t="s">
        <v>716</v>
      </c>
      <c r="F15" s="7"/>
      <c r="G15" s="8"/>
      <c r="H15" s="7"/>
      <c r="I15" s="41" t="s">
        <v>442</v>
      </c>
      <c r="J15" s="7"/>
      <c r="K15" s="8"/>
      <c r="L15" s="7"/>
      <c r="M15" s="8"/>
      <c r="N15" s="7"/>
      <c r="O15" s="8"/>
      <c r="P15" s="7"/>
      <c r="Q15" s="7"/>
      <c r="R15" s="8"/>
      <c r="S15" s="7"/>
      <c r="T15" s="9"/>
      <c r="U15" s="7"/>
      <c r="V15" s="8"/>
      <c r="W15" s="7"/>
      <c r="X15" s="7"/>
      <c r="Y15" s="8"/>
      <c r="Z15" s="7"/>
      <c r="AA15" s="141"/>
      <c r="AB15" s="186" t="s">
        <v>44</v>
      </c>
      <c r="AC15" s="186" t="s">
        <v>305</v>
      </c>
    </row>
    <row r="16" spans="1:29" ht="13.5" thickBot="1" x14ac:dyDescent="0.25">
      <c r="A16" s="10" t="s">
        <v>1381</v>
      </c>
      <c r="B16" s="10" t="s">
        <v>571</v>
      </c>
      <c r="D16" s="72" t="s">
        <v>1250</v>
      </c>
      <c r="E16" s="72" t="s">
        <v>717</v>
      </c>
      <c r="F16" s="7"/>
      <c r="G16" s="8"/>
      <c r="H16" s="7"/>
      <c r="I16" s="41" t="s">
        <v>869</v>
      </c>
      <c r="J16" s="7"/>
      <c r="K16" s="8"/>
      <c r="L16" s="7"/>
      <c r="M16" s="8"/>
      <c r="N16" s="7"/>
      <c r="O16" s="8"/>
      <c r="P16" s="7"/>
      <c r="Q16" s="7"/>
      <c r="R16" s="8"/>
      <c r="S16" s="7"/>
      <c r="T16" s="9"/>
      <c r="U16" s="7"/>
      <c r="V16" s="8"/>
      <c r="W16" s="7"/>
      <c r="X16" s="7"/>
      <c r="Y16" s="8"/>
      <c r="Z16" s="7"/>
      <c r="AA16" s="141"/>
      <c r="AB16" s="186" t="s">
        <v>44</v>
      </c>
      <c r="AC16" s="186" t="s">
        <v>1380</v>
      </c>
    </row>
    <row r="17" spans="1:29" ht="13.5" thickBot="1" x14ac:dyDescent="0.25">
      <c r="A17" s="10" t="s">
        <v>1382</v>
      </c>
      <c r="B17" s="10" t="s">
        <v>1383</v>
      </c>
      <c r="D17" s="72" t="s">
        <v>45</v>
      </c>
      <c r="E17" s="72" t="s">
        <v>695</v>
      </c>
      <c r="F17" s="7"/>
      <c r="G17" s="8"/>
      <c r="H17" s="7"/>
      <c r="I17" s="41" t="s">
        <v>435</v>
      </c>
      <c r="J17" s="7"/>
      <c r="K17" s="8"/>
      <c r="L17" s="7"/>
      <c r="M17" s="8"/>
      <c r="N17" s="7"/>
      <c r="O17" s="8"/>
      <c r="P17" s="7"/>
      <c r="Q17" s="7"/>
      <c r="R17" s="8"/>
      <c r="S17" s="7"/>
      <c r="T17" s="9"/>
      <c r="U17" s="7"/>
      <c r="V17" s="8"/>
      <c r="W17" s="7"/>
      <c r="X17" s="7"/>
      <c r="Y17" s="8"/>
      <c r="Z17" s="7"/>
      <c r="AA17" s="141"/>
      <c r="AB17" s="186" t="s">
        <v>44</v>
      </c>
      <c r="AC17" s="186" t="s">
        <v>319</v>
      </c>
    </row>
    <row r="18" spans="1:29" ht="13.5" thickBot="1" x14ac:dyDescent="0.25">
      <c r="A18" s="62" t="s">
        <v>1384</v>
      </c>
      <c r="B18" s="10" t="s">
        <v>1385</v>
      </c>
      <c r="D18" s="72" t="s">
        <v>873</v>
      </c>
      <c r="E18" s="72" t="s">
        <v>831</v>
      </c>
      <c r="F18" s="7"/>
      <c r="G18" s="8"/>
      <c r="H18" s="7"/>
      <c r="I18" s="41" t="s">
        <v>428</v>
      </c>
      <c r="J18" s="7"/>
      <c r="K18" s="8"/>
      <c r="L18" s="7"/>
      <c r="M18" s="8"/>
      <c r="N18" s="7"/>
      <c r="O18" s="8"/>
      <c r="P18" s="7"/>
      <c r="Q18" s="7"/>
      <c r="R18" s="8"/>
      <c r="S18" s="7"/>
      <c r="T18" s="9"/>
      <c r="U18" s="7"/>
      <c r="V18" s="8"/>
      <c r="W18" s="7"/>
      <c r="X18" s="7"/>
      <c r="Y18" s="8"/>
      <c r="Z18" s="7"/>
      <c r="AA18" s="141"/>
      <c r="AB18" s="186" t="s">
        <v>44</v>
      </c>
      <c r="AC18" s="186" t="s">
        <v>360</v>
      </c>
    </row>
    <row r="19" spans="1:29" ht="13.5" thickBot="1" x14ac:dyDescent="0.25">
      <c r="A19" s="62" t="s">
        <v>1386</v>
      </c>
      <c r="B19" s="10" t="s">
        <v>287</v>
      </c>
      <c r="D19" s="72" t="s">
        <v>466</v>
      </c>
      <c r="E19" s="72" t="s">
        <v>830</v>
      </c>
      <c r="F19" s="7"/>
      <c r="G19" s="8"/>
      <c r="H19" s="7"/>
      <c r="I19" s="41" t="s">
        <v>468</v>
      </c>
      <c r="J19" s="7"/>
      <c r="K19" s="8"/>
      <c r="L19" s="7"/>
      <c r="M19" s="8"/>
      <c r="N19" s="7"/>
      <c r="O19" s="8"/>
      <c r="P19" s="7"/>
      <c r="Q19" s="7"/>
      <c r="R19" s="8"/>
      <c r="S19" s="7"/>
      <c r="T19" s="9"/>
      <c r="U19" s="7"/>
      <c r="V19" s="8"/>
      <c r="W19" s="7"/>
      <c r="X19" s="7"/>
      <c r="Y19" s="8"/>
      <c r="Z19" s="7"/>
      <c r="AA19" s="141"/>
      <c r="AB19" s="186" t="s">
        <v>44</v>
      </c>
      <c r="AC19" s="186" t="s">
        <v>330</v>
      </c>
    </row>
    <row r="20" spans="1:29" ht="13.5" thickBot="1" x14ac:dyDescent="0.25">
      <c r="A20" s="62" t="s">
        <v>42</v>
      </c>
      <c r="B20" s="10" t="s">
        <v>43</v>
      </c>
      <c r="D20" s="72" t="s">
        <v>473</v>
      </c>
      <c r="E20" s="72" t="s">
        <v>806</v>
      </c>
      <c r="F20" s="7"/>
      <c r="G20" s="8"/>
      <c r="H20" s="7"/>
      <c r="I20" s="41" t="s">
        <v>477</v>
      </c>
      <c r="J20" s="7"/>
      <c r="K20" s="8"/>
      <c r="L20" s="7"/>
      <c r="M20" s="8"/>
      <c r="N20" s="7"/>
      <c r="O20" s="8"/>
      <c r="P20" s="7"/>
      <c r="Q20" s="7"/>
      <c r="R20" s="8"/>
      <c r="S20" s="7"/>
      <c r="T20" s="9"/>
      <c r="U20" s="7"/>
      <c r="V20" s="8"/>
      <c r="W20" s="7"/>
      <c r="X20" s="7"/>
      <c r="Y20" s="8"/>
      <c r="Z20" s="7"/>
      <c r="AA20" s="141"/>
      <c r="AB20" s="186" t="s">
        <v>44</v>
      </c>
      <c r="AC20" s="186" t="s">
        <v>1311</v>
      </c>
    </row>
    <row r="21" spans="1:29" ht="13.5" thickBot="1" x14ac:dyDescent="0.25">
      <c r="A21" s="62" t="s">
        <v>1388</v>
      </c>
      <c r="B21" s="10" t="s">
        <v>1389</v>
      </c>
      <c r="D21" s="72" t="s">
        <v>298</v>
      </c>
      <c r="E21" s="72" t="s">
        <v>744</v>
      </c>
      <c r="F21" s="7"/>
      <c r="G21" s="8"/>
      <c r="H21" s="7"/>
      <c r="I21" s="60" t="s">
        <v>1390</v>
      </c>
      <c r="J21" s="7"/>
      <c r="K21" s="8"/>
      <c r="L21" s="7"/>
      <c r="M21" s="8"/>
      <c r="N21" s="7"/>
      <c r="O21" s="8"/>
      <c r="P21" s="7"/>
      <c r="Q21" s="7"/>
      <c r="R21" s="8"/>
      <c r="S21" s="7"/>
      <c r="T21" s="9"/>
      <c r="U21" s="7"/>
      <c r="V21" s="8"/>
      <c r="W21" s="7"/>
      <c r="X21" s="7"/>
      <c r="Y21" s="8"/>
      <c r="Z21" s="7"/>
      <c r="AA21" s="141"/>
      <c r="AB21" s="186" t="s">
        <v>44</v>
      </c>
      <c r="AC21" s="186" t="s">
        <v>1387</v>
      </c>
    </row>
    <row r="22" spans="1:29" ht="13.5" thickBot="1" x14ac:dyDescent="0.25">
      <c r="A22" s="62" t="s">
        <v>2691</v>
      </c>
      <c r="B22" s="10" t="s">
        <v>1391</v>
      </c>
      <c r="D22" s="72" t="s">
        <v>303</v>
      </c>
      <c r="E22" s="72" t="s">
        <v>707</v>
      </c>
      <c r="F22" s="7"/>
      <c r="G22" s="8"/>
      <c r="H22" s="7"/>
      <c r="I22" s="60" t="s">
        <v>1392</v>
      </c>
      <c r="J22" s="7"/>
      <c r="K22" s="8"/>
      <c r="L22" s="7"/>
      <c r="M22" s="8"/>
      <c r="N22" s="7"/>
      <c r="O22" s="8"/>
      <c r="P22" s="7"/>
      <c r="Q22" s="7"/>
      <c r="R22" s="8"/>
      <c r="S22" s="7"/>
      <c r="T22" s="9"/>
      <c r="U22" s="7"/>
      <c r="V22" s="8"/>
      <c r="W22" s="7"/>
      <c r="X22" s="7"/>
      <c r="Y22" s="8"/>
      <c r="Z22" s="7"/>
      <c r="AA22" s="141"/>
      <c r="AB22" s="186" t="s">
        <v>44</v>
      </c>
      <c r="AC22" s="186" t="s">
        <v>288</v>
      </c>
    </row>
    <row r="23" spans="1:29" ht="13.5" thickBot="1" x14ac:dyDescent="0.25">
      <c r="A23" s="62" t="s">
        <v>3206</v>
      </c>
      <c r="B23" s="10" t="s">
        <v>1393</v>
      </c>
      <c r="D23" s="72" t="s">
        <v>351</v>
      </c>
      <c r="E23" s="72" t="s">
        <v>826</v>
      </c>
      <c r="F23" s="7"/>
      <c r="G23" s="8"/>
      <c r="H23" s="7"/>
      <c r="I23" s="41" t="s">
        <v>495</v>
      </c>
      <c r="J23" s="7"/>
      <c r="K23" s="8"/>
      <c r="L23" s="7"/>
      <c r="M23" s="8"/>
      <c r="N23" s="7"/>
      <c r="O23" s="8"/>
      <c r="P23" s="7"/>
      <c r="Q23" s="7"/>
      <c r="R23" s="8"/>
      <c r="S23" s="7"/>
      <c r="T23" s="9"/>
      <c r="U23" s="7"/>
      <c r="V23" s="8"/>
      <c r="W23" s="7"/>
      <c r="X23" s="7"/>
      <c r="Y23" s="8"/>
      <c r="Z23" s="7"/>
      <c r="AA23" s="141"/>
      <c r="AB23" s="186" t="s">
        <v>454</v>
      </c>
      <c r="AC23" s="186" t="s">
        <v>486</v>
      </c>
    </row>
    <row r="24" spans="1:29" ht="13.5" thickBot="1" x14ac:dyDescent="0.25">
      <c r="A24" s="62" t="s">
        <v>3207</v>
      </c>
      <c r="B24" s="10" t="s">
        <v>1394</v>
      </c>
      <c r="D24" s="72" t="s">
        <v>637</v>
      </c>
      <c r="E24" s="72" t="s">
        <v>786</v>
      </c>
      <c r="F24" s="7"/>
      <c r="G24" s="8"/>
      <c r="H24" s="7"/>
      <c r="I24" s="41" t="s">
        <v>872</v>
      </c>
      <c r="J24" s="7"/>
      <c r="K24" s="8"/>
      <c r="L24" s="7"/>
      <c r="M24" s="8"/>
      <c r="N24" s="7"/>
      <c r="O24" s="8"/>
      <c r="P24" s="7"/>
      <c r="Q24" s="7"/>
      <c r="R24" s="8"/>
      <c r="S24" s="7"/>
      <c r="T24" s="9"/>
      <c r="U24" s="7"/>
      <c r="V24" s="8"/>
      <c r="W24" s="7"/>
      <c r="X24" s="7"/>
      <c r="Y24" s="8"/>
      <c r="Z24" s="7"/>
      <c r="AA24" s="141"/>
      <c r="AB24" s="186" t="s">
        <v>454</v>
      </c>
      <c r="AC24" s="186" t="s">
        <v>480</v>
      </c>
    </row>
    <row r="25" spans="1:29" ht="13.5" thickBot="1" x14ac:dyDescent="0.25">
      <c r="A25" s="189"/>
      <c r="B25" s="10" t="s">
        <v>453</v>
      </c>
      <c r="D25" s="72" t="s">
        <v>876</v>
      </c>
      <c r="E25" s="72" t="s">
        <v>779</v>
      </c>
      <c r="F25" s="7"/>
      <c r="G25" s="8"/>
      <c r="H25" s="7"/>
      <c r="I25" s="60" t="s">
        <v>1396</v>
      </c>
      <c r="J25" s="7"/>
      <c r="K25" s="8"/>
      <c r="L25" s="7"/>
      <c r="M25" s="8"/>
      <c r="N25" s="7"/>
      <c r="O25" s="8"/>
      <c r="P25" s="7"/>
      <c r="Q25" s="7"/>
      <c r="R25" s="8"/>
      <c r="S25" s="7"/>
      <c r="T25" s="9"/>
      <c r="U25" s="7"/>
      <c r="V25" s="8"/>
      <c r="W25" s="7"/>
      <c r="X25" s="7"/>
      <c r="Y25" s="8"/>
      <c r="Z25" s="7"/>
      <c r="AA25" s="141"/>
      <c r="AB25" s="186" t="s">
        <v>454</v>
      </c>
      <c r="AC25" s="186" t="s">
        <v>1395</v>
      </c>
    </row>
    <row r="26" spans="1:29" ht="13.5" thickBot="1" x14ac:dyDescent="0.25">
      <c r="A26" s="189"/>
      <c r="B26" s="10" t="s">
        <v>469</v>
      </c>
      <c r="D26" s="72" t="s">
        <v>560</v>
      </c>
      <c r="E26" s="72" t="s">
        <v>770</v>
      </c>
      <c r="F26" s="7"/>
      <c r="G26" s="8"/>
      <c r="H26" s="7"/>
      <c r="I26" s="41" t="s">
        <v>627</v>
      </c>
      <c r="J26" s="7"/>
      <c r="K26" s="8"/>
      <c r="L26" s="7"/>
      <c r="M26" s="8"/>
      <c r="N26" s="7"/>
      <c r="O26" s="8"/>
      <c r="P26" s="7"/>
      <c r="Q26" s="7"/>
      <c r="R26" s="8"/>
      <c r="S26" s="7"/>
      <c r="T26" s="9"/>
      <c r="U26" s="7"/>
      <c r="V26" s="8"/>
      <c r="W26" s="7"/>
      <c r="X26" s="7"/>
      <c r="Y26" s="8"/>
      <c r="Z26" s="7"/>
      <c r="AA26" s="141"/>
      <c r="AB26" s="186" t="s">
        <v>454</v>
      </c>
      <c r="AC26" s="186" t="s">
        <v>518</v>
      </c>
    </row>
    <row r="27" spans="1:29" ht="13.5" thickBot="1" x14ac:dyDescent="0.25">
      <c r="B27" s="10" t="s">
        <v>1397</v>
      </c>
      <c r="D27" s="72" t="s">
        <v>305</v>
      </c>
      <c r="E27" s="72" t="s">
        <v>698</v>
      </c>
      <c r="F27" s="7"/>
      <c r="G27" s="8"/>
      <c r="H27" s="7"/>
      <c r="I27" s="41" t="s">
        <v>500</v>
      </c>
      <c r="J27" s="7"/>
      <c r="K27" s="8"/>
      <c r="L27" s="7"/>
      <c r="M27" s="8"/>
      <c r="N27" s="7"/>
      <c r="O27" s="8"/>
      <c r="P27" s="7"/>
      <c r="Q27" s="7"/>
      <c r="R27" s="8"/>
      <c r="S27" s="7"/>
      <c r="T27" s="9"/>
      <c r="U27" s="7"/>
      <c r="V27" s="8"/>
      <c r="W27" s="7"/>
      <c r="X27" s="7"/>
      <c r="Y27" s="8"/>
      <c r="Z27" s="7"/>
      <c r="AA27" s="141"/>
      <c r="AB27" s="186" t="s">
        <v>454</v>
      </c>
      <c r="AC27" s="186" t="s">
        <v>463</v>
      </c>
    </row>
    <row r="28" spans="1:29" ht="13.5" thickBot="1" x14ac:dyDescent="0.25">
      <c r="B28" s="10" t="s">
        <v>1398</v>
      </c>
      <c r="D28" s="72" t="s">
        <v>867</v>
      </c>
      <c r="E28" s="72" t="s">
        <v>746</v>
      </c>
      <c r="F28" s="7"/>
      <c r="G28" s="8"/>
      <c r="H28" s="7"/>
      <c r="I28" s="41" t="s">
        <v>457</v>
      </c>
      <c r="J28" s="7"/>
      <c r="K28" s="8"/>
      <c r="L28" s="7"/>
      <c r="M28" s="8"/>
      <c r="N28" s="7"/>
      <c r="O28" s="8"/>
      <c r="P28" s="7"/>
      <c r="Q28" s="7"/>
      <c r="R28" s="8"/>
      <c r="S28" s="7"/>
      <c r="T28" s="9"/>
      <c r="U28" s="7"/>
      <c r="V28" s="8"/>
      <c r="W28" s="7"/>
      <c r="X28" s="7"/>
      <c r="Y28" s="8"/>
      <c r="Z28" s="7"/>
      <c r="AA28" s="141"/>
      <c r="AB28" s="186" t="s">
        <v>454</v>
      </c>
      <c r="AC28" s="186" t="s">
        <v>466</v>
      </c>
    </row>
    <row r="29" spans="1:29" ht="13.5" thickBot="1" x14ac:dyDescent="0.25">
      <c r="A29" s="189"/>
      <c r="B29" s="10" t="s">
        <v>338</v>
      </c>
      <c r="C29" s="189"/>
      <c r="D29" s="72" t="s">
        <v>890</v>
      </c>
      <c r="E29" s="72" t="s">
        <v>753</v>
      </c>
      <c r="F29" s="7"/>
      <c r="G29" s="8"/>
      <c r="H29" s="7"/>
      <c r="I29" s="41" t="s">
        <v>449</v>
      </c>
      <c r="J29" s="7"/>
      <c r="K29" s="8"/>
      <c r="L29" s="7"/>
      <c r="M29" s="8"/>
      <c r="N29" s="7"/>
      <c r="O29" s="8"/>
      <c r="P29" s="7"/>
      <c r="Q29" s="7"/>
      <c r="R29" s="8"/>
      <c r="S29" s="7"/>
      <c r="T29" s="9"/>
      <c r="U29" s="7"/>
      <c r="V29" s="8"/>
      <c r="W29" s="7"/>
      <c r="X29" s="7"/>
      <c r="Y29" s="8"/>
      <c r="Z29" s="7"/>
      <c r="AA29" s="141"/>
      <c r="AB29" s="186" t="s">
        <v>454</v>
      </c>
      <c r="AC29" s="186" t="s">
        <v>473</v>
      </c>
    </row>
    <row r="30" spans="1:29" ht="13.5" thickBot="1" x14ac:dyDescent="0.25">
      <c r="A30" s="189"/>
      <c r="B30" s="10" t="s">
        <v>1399</v>
      </c>
      <c r="D30" s="72" t="s">
        <v>1299</v>
      </c>
      <c r="E30" s="72" t="s">
        <v>816</v>
      </c>
      <c r="F30" s="7"/>
      <c r="G30" s="8"/>
      <c r="H30" s="7"/>
      <c r="I30" s="60" t="s">
        <v>1400</v>
      </c>
      <c r="J30" s="7"/>
      <c r="K30" s="8"/>
      <c r="L30" s="7"/>
      <c r="M30" s="8"/>
      <c r="N30" s="7"/>
      <c r="O30" s="8"/>
      <c r="P30" s="7"/>
      <c r="Q30" s="7"/>
      <c r="R30" s="8"/>
      <c r="S30" s="7"/>
      <c r="T30" s="9"/>
      <c r="U30" s="7"/>
      <c r="V30" s="8"/>
      <c r="W30" s="7"/>
      <c r="X30" s="7"/>
      <c r="Y30" s="8"/>
      <c r="Z30" s="7"/>
      <c r="AA30" s="141"/>
      <c r="AB30" s="186" t="s">
        <v>454</v>
      </c>
      <c r="AC30" s="186" t="s">
        <v>637</v>
      </c>
    </row>
    <row r="31" spans="1:29" ht="13.5" thickBot="1" x14ac:dyDescent="0.25">
      <c r="A31" s="189"/>
      <c r="B31" s="10" t="s">
        <v>1402</v>
      </c>
      <c r="D31" s="72" t="s">
        <v>563</v>
      </c>
      <c r="E31" s="72" t="s">
        <v>817</v>
      </c>
      <c r="F31" s="7"/>
      <c r="G31" s="8"/>
      <c r="H31" s="7"/>
      <c r="I31" s="41" t="s">
        <v>391</v>
      </c>
      <c r="J31" s="7"/>
      <c r="K31" s="8"/>
      <c r="L31" s="7"/>
      <c r="M31" s="8"/>
      <c r="N31" s="7"/>
      <c r="O31" s="8"/>
      <c r="P31" s="7"/>
      <c r="Q31" s="7"/>
      <c r="R31" s="8"/>
      <c r="S31" s="7"/>
      <c r="T31" s="9"/>
      <c r="U31" s="7"/>
      <c r="V31" s="8"/>
      <c r="W31" s="7"/>
      <c r="X31" s="7"/>
      <c r="Y31" s="8"/>
      <c r="Z31" s="7"/>
      <c r="AA31" s="141"/>
      <c r="AB31" s="186" t="s">
        <v>454</v>
      </c>
      <c r="AC31" s="186" t="s">
        <v>1401</v>
      </c>
    </row>
    <row r="32" spans="1:29" ht="13.5" thickBot="1" x14ac:dyDescent="0.25">
      <c r="A32" s="189"/>
      <c r="B32" s="10" t="s">
        <v>1403</v>
      </c>
      <c r="D32" s="72" t="s">
        <v>618</v>
      </c>
      <c r="E32" s="72" t="s">
        <v>1117</v>
      </c>
      <c r="F32" s="7"/>
      <c r="G32" s="8"/>
      <c r="H32" s="7"/>
      <c r="I32" s="41" t="s">
        <v>894</v>
      </c>
      <c r="J32" s="7"/>
      <c r="K32" s="8"/>
      <c r="L32" s="7"/>
      <c r="M32" s="8"/>
      <c r="N32" s="7"/>
      <c r="O32" s="8"/>
      <c r="P32" s="7"/>
      <c r="Q32" s="7"/>
      <c r="R32" s="8"/>
      <c r="S32" s="7"/>
      <c r="T32" s="9"/>
      <c r="U32" s="7"/>
      <c r="V32" s="8"/>
      <c r="W32" s="7"/>
      <c r="X32" s="7"/>
      <c r="Y32" s="8"/>
      <c r="Z32" s="7"/>
      <c r="AA32" s="141"/>
      <c r="AB32" s="186" t="s">
        <v>454</v>
      </c>
      <c r="AC32" s="186" t="s">
        <v>560</v>
      </c>
    </row>
    <row r="33" spans="2:29" ht="13.5" thickBot="1" x14ac:dyDescent="0.25">
      <c r="B33" s="10" t="s">
        <v>1404</v>
      </c>
      <c r="D33" s="72" t="s">
        <v>319</v>
      </c>
      <c r="E33" s="72" t="s">
        <v>697</v>
      </c>
      <c r="F33" s="7"/>
      <c r="G33" s="8"/>
      <c r="H33" s="7"/>
      <c r="I33" s="22" t="s">
        <v>447</v>
      </c>
      <c r="J33" s="7"/>
      <c r="K33" s="8"/>
      <c r="L33" s="7"/>
      <c r="M33" s="8"/>
      <c r="N33" s="7"/>
      <c r="O33" s="8"/>
      <c r="P33" s="7"/>
      <c r="Q33" s="7"/>
      <c r="R33" s="8"/>
      <c r="S33" s="7"/>
      <c r="T33" s="9"/>
      <c r="U33" s="7"/>
      <c r="V33" s="8"/>
      <c r="W33" s="7"/>
      <c r="X33" s="7"/>
      <c r="Y33" s="8"/>
      <c r="Z33" s="7"/>
      <c r="AA33" s="141"/>
      <c r="AB33" s="186" t="s">
        <v>454</v>
      </c>
      <c r="AC33" s="186" t="s">
        <v>563</v>
      </c>
    </row>
    <row r="34" spans="2:29" ht="13.5" thickBot="1" x14ac:dyDescent="0.25">
      <c r="B34" s="10" t="s">
        <v>1405</v>
      </c>
      <c r="D34" s="72" t="s">
        <v>515</v>
      </c>
      <c r="E34" s="72" t="s">
        <v>827</v>
      </c>
      <c r="F34" s="7"/>
      <c r="G34" s="8"/>
      <c r="H34" s="7"/>
      <c r="I34" s="22" t="s">
        <v>2171</v>
      </c>
      <c r="J34" s="7"/>
      <c r="K34" s="8"/>
      <c r="L34" s="7"/>
      <c r="M34" s="8"/>
      <c r="N34" s="7"/>
      <c r="O34" s="8"/>
      <c r="P34" s="7"/>
      <c r="Q34" s="7"/>
      <c r="R34" s="8"/>
      <c r="S34" s="7"/>
      <c r="T34" s="9"/>
      <c r="U34" s="7"/>
      <c r="V34" s="8"/>
      <c r="W34" s="7"/>
      <c r="X34" s="7"/>
      <c r="Y34" s="8"/>
      <c r="Z34" s="7"/>
      <c r="AA34" s="141"/>
      <c r="AB34" s="186" t="s">
        <v>454</v>
      </c>
      <c r="AC34" s="186" t="s">
        <v>618</v>
      </c>
    </row>
    <row r="35" spans="2:29" ht="13.5" thickBot="1" x14ac:dyDescent="0.25">
      <c r="B35" s="10" t="s">
        <v>530</v>
      </c>
      <c r="D35" s="72" t="s">
        <v>498</v>
      </c>
      <c r="E35" s="72" t="s">
        <v>784</v>
      </c>
      <c r="F35" s="7"/>
      <c r="G35" s="8"/>
      <c r="H35" s="7"/>
      <c r="I35" s="41" t="s">
        <v>2407</v>
      </c>
      <c r="J35" s="7"/>
      <c r="K35" s="8"/>
      <c r="L35" s="7"/>
      <c r="M35" s="8"/>
      <c r="N35" s="7"/>
      <c r="O35" s="8"/>
      <c r="P35" s="7"/>
      <c r="Q35" s="7"/>
      <c r="R35" s="8"/>
      <c r="S35" s="7"/>
      <c r="T35" s="9"/>
      <c r="U35" s="7"/>
      <c r="V35" s="8"/>
      <c r="W35" s="7"/>
      <c r="X35" s="7"/>
      <c r="Y35" s="8"/>
      <c r="Z35" s="7"/>
      <c r="AA35" s="141"/>
      <c r="AB35" s="186" t="s">
        <v>454</v>
      </c>
      <c r="AC35" s="186" t="s">
        <v>515</v>
      </c>
    </row>
    <row r="36" spans="2:29" ht="13.5" thickBot="1" x14ac:dyDescent="0.25">
      <c r="B36" s="10" t="s">
        <v>1406</v>
      </c>
      <c r="D36" s="72" t="s">
        <v>360</v>
      </c>
      <c r="E36" s="72" t="s">
        <v>819</v>
      </c>
      <c r="F36" s="7"/>
      <c r="G36" s="8"/>
      <c r="H36" s="7"/>
      <c r="I36" s="41" t="s">
        <v>290</v>
      </c>
      <c r="J36" s="7"/>
      <c r="K36" s="8"/>
      <c r="L36" s="7"/>
      <c r="M36" s="8"/>
      <c r="N36" s="7"/>
      <c r="O36" s="8"/>
      <c r="P36" s="7"/>
      <c r="Q36" s="7"/>
      <c r="R36" s="8"/>
      <c r="S36" s="7"/>
      <c r="T36" s="9"/>
      <c r="U36" s="7"/>
      <c r="V36" s="8"/>
      <c r="W36" s="7"/>
      <c r="X36" s="7"/>
      <c r="Y36" s="8"/>
      <c r="Z36" s="7"/>
      <c r="AA36" s="141"/>
      <c r="AB36" s="186" t="s">
        <v>454</v>
      </c>
      <c r="AC36" s="186" t="s">
        <v>498</v>
      </c>
    </row>
    <row r="37" spans="2:29" ht="13.5" thickBot="1" x14ac:dyDescent="0.25">
      <c r="B37" s="10" t="s">
        <v>460</v>
      </c>
      <c r="D37" s="72" t="s">
        <v>455</v>
      </c>
      <c r="E37" s="72" t="s">
        <v>734</v>
      </c>
      <c r="F37" s="7"/>
      <c r="G37" s="8"/>
      <c r="H37" s="7"/>
      <c r="I37" s="41" t="s">
        <v>2407</v>
      </c>
      <c r="J37" s="7"/>
      <c r="K37" s="8"/>
      <c r="L37" s="7"/>
      <c r="M37" s="8"/>
      <c r="N37" s="7"/>
      <c r="O37" s="8"/>
      <c r="P37" s="7"/>
      <c r="Q37" s="7"/>
      <c r="R37" s="8"/>
      <c r="S37" s="7"/>
      <c r="T37" s="9"/>
      <c r="U37" s="7"/>
      <c r="V37" s="8"/>
      <c r="W37" s="7"/>
      <c r="X37" s="7"/>
      <c r="Y37" s="8"/>
      <c r="Z37" s="7"/>
      <c r="AA37" s="141"/>
      <c r="AB37" s="186" t="s">
        <v>454</v>
      </c>
      <c r="AC37" s="186" t="s">
        <v>455</v>
      </c>
    </row>
    <row r="38" spans="2:29" ht="13.5" thickBot="1" x14ac:dyDescent="0.25">
      <c r="B38" s="10" t="s">
        <v>1408</v>
      </c>
      <c r="D38" s="72" t="s">
        <v>330</v>
      </c>
      <c r="E38" s="72" t="s">
        <v>768</v>
      </c>
      <c r="F38" s="7"/>
      <c r="G38" s="8"/>
      <c r="H38" s="7"/>
      <c r="I38" s="60" t="s">
        <v>964</v>
      </c>
      <c r="J38" s="7"/>
      <c r="K38" s="8"/>
      <c r="L38" s="7"/>
      <c r="M38" s="8"/>
      <c r="N38" s="7"/>
      <c r="O38" s="8"/>
      <c r="P38" s="7"/>
      <c r="Q38" s="7"/>
      <c r="R38" s="8"/>
      <c r="S38" s="7"/>
      <c r="T38" s="9"/>
      <c r="U38" s="7"/>
      <c r="V38" s="8"/>
      <c r="W38" s="7"/>
      <c r="X38" s="7"/>
      <c r="Y38" s="8"/>
      <c r="Z38" s="7"/>
      <c r="AA38" s="141"/>
      <c r="AB38" s="186" t="s">
        <v>454</v>
      </c>
      <c r="AC38" s="186" t="s">
        <v>1407</v>
      </c>
    </row>
    <row r="39" spans="2:29" ht="13.5" thickBot="1" x14ac:dyDescent="0.25">
      <c r="B39" s="10" t="s">
        <v>527</v>
      </c>
      <c r="D39" s="72" t="s">
        <v>288</v>
      </c>
      <c r="E39" s="72" t="s">
        <v>1410</v>
      </c>
      <c r="F39" s="7"/>
      <c r="G39" s="8"/>
      <c r="H39" s="7"/>
      <c r="I39" s="41" t="s">
        <v>388</v>
      </c>
      <c r="J39" s="7"/>
      <c r="K39" s="8"/>
      <c r="L39" s="7"/>
      <c r="M39" s="8"/>
      <c r="N39" s="7"/>
      <c r="O39" s="8"/>
      <c r="P39" s="7"/>
      <c r="Q39" s="7"/>
      <c r="R39" s="8"/>
      <c r="S39" s="7"/>
      <c r="T39" s="9"/>
      <c r="U39" s="7"/>
      <c r="V39" s="8"/>
      <c r="W39" s="7"/>
      <c r="X39" s="7"/>
      <c r="Y39" s="8"/>
      <c r="Z39" s="7"/>
      <c r="AA39" s="141"/>
      <c r="AB39" s="186" t="s">
        <v>454</v>
      </c>
      <c r="AC39" s="186" t="s">
        <v>1409</v>
      </c>
    </row>
    <row r="40" spans="2:29" ht="13.5" thickBot="1" x14ac:dyDescent="0.25">
      <c r="B40" s="10" t="s">
        <v>1412</v>
      </c>
      <c r="D40" s="72"/>
      <c r="E40" s="72" t="s">
        <v>797</v>
      </c>
      <c r="F40" s="7"/>
      <c r="G40" s="8"/>
      <c r="H40" s="7"/>
      <c r="I40" s="41" t="s">
        <v>393</v>
      </c>
      <c r="J40" s="7"/>
      <c r="K40" s="8"/>
      <c r="L40" s="7"/>
      <c r="M40" s="8"/>
      <c r="N40" s="7"/>
      <c r="O40" s="8"/>
      <c r="P40" s="7"/>
      <c r="Q40" s="7"/>
      <c r="R40" s="8"/>
      <c r="S40" s="7"/>
      <c r="T40" s="9"/>
      <c r="U40" s="7"/>
      <c r="V40" s="8"/>
      <c r="W40" s="7"/>
      <c r="X40" s="7"/>
      <c r="Y40" s="8"/>
      <c r="Z40" s="7"/>
      <c r="AA40" s="141"/>
      <c r="AB40" s="186" t="s">
        <v>866</v>
      </c>
      <c r="AC40" s="186" t="s">
        <v>1411</v>
      </c>
    </row>
    <row r="41" spans="2:29" ht="13.5" thickBot="1" x14ac:dyDescent="0.25">
      <c r="B41" s="10" t="s">
        <v>1414</v>
      </c>
      <c r="D41" s="72"/>
      <c r="E41" s="72" t="s">
        <v>812</v>
      </c>
      <c r="F41" s="7"/>
      <c r="G41" s="8"/>
      <c r="H41" s="7"/>
      <c r="I41" s="41" t="s">
        <v>340</v>
      </c>
      <c r="J41" s="7"/>
      <c r="K41" s="8"/>
      <c r="L41" s="7"/>
      <c r="M41" s="8"/>
      <c r="N41" s="7"/>
      <c r="O41" s="8"/>
      <c r="P41" s="7"/>
      <c r="Q41" s="7"/>
      <c r="R41" s="8"/>
      <c r="S41" s="7"/>
      <c r="T41" s="9"/>
      <c r="U41" s="7"/>
      <c r="V41" s="8"/>
      <c r="W41" s="7"/>
      <c r="X41" s="7"/>
      <c r="Y41" s="8"/>
      <c r="Z41" s="7"/>
      <c r="AA41" s="141"/>
      <c r="AB41" s="186" t="s">
        <v>866</v>
      </c>
      <c r="AC41" s="186" t="s">
        <v>1413</v>
      </c>
    </row>
    <row r="42" spans="2:29" ht="13.5" thickBot="1" x14ac:dyDescent="0.25">
      <c r="B42" s="10" t="s">
        <v>1416</v>
      </c>
      <c r="D42" s="72"/>
      <c r="E42" s="72" t="s">
        <v>748</v>
      </c>
      <c r="F42" s="7"/>
      <c r="G42" s="8"/>
      <c r="H42" s="7"/>
      <c r="I42" s="41" t="s">
        <v>345</v>
      </c>
      <c r="J42" s="7"/>
      <c r="K42" s="8"/>
      <c r="L42" s="7"/>
      <c r="M42" s="8"/>
      <c r="N42" s="7"/>
      <c r="O42" s="8"/>
      <c r="P42" s="7"/>
      <c r="Q42" s="7"/>
      <c r="R42" s="8"/>
      <c r="S42" s="7"/>
      <c r="T42" s="9"/>
      <c r="U42" s="7"/>
      <c r="V42" s="8"/>
      <c r="W42" s="7"/>
      <c r="X42" s="7"/>
      <c r="Y42" s="8"/>
      <c r="Z42" s="7"/>
      <c r="AA42" s="141"/>
      <c r="AB42" s="186" t="s">
        <v>866</v>
      </c>
      <c r="AC42" s="186" t="s">
        <v>1415</v>
      </c>
    </row>
    <row r="43" spans="2:29" ht="13.5" thickBot="1" x14ac:dyDescent="0.25">
      <c r="B43" s="10" t="s">
        <v>559</v>
      </c>
      <c r="D43" s="72"/>
      <c r="E43" s="72" t="s">
        <v>710</v>
      </c>
      <c r="F43" s="7"/>
      <c r="G43" s="8"/>
      <c r="H43" s="7"/>
      <c r="I43" s="41" t="s">
        <v>354</v>
      </c>
      <c r="J43" s="7"/>
      <c r="K43" s="8"/>
      <c r="L43" s="7"/>
      <c r="M43" s="8"/>
      <c r="N43" s="7"/>
      <c r="O43" s="8"/>
      <c r="P43" s="7"/>
      <c r="Q43" s="7"/>
      <c r="R43" s="8"/>
      <c r="S43" s="7"/>
      <c r="T43" s="9"/>
      <c r="U43" s="7"/>
      <c r="V43" s="8"/>
      <c r="W43" s="7"/>
      <c r="X43" s="7"/>
      <c r="Y43" s="8"/>
      <c r="Z43" s="7"/>
      <c r="AA43" s="141"/>
      <c r="AB43" s="186" t="s">
        <v>866</v>
      </c>
      <c r="AC43" s="186" t="s">
        <v>1417</v>
      </c>
    </row>
    <row r="44" spans="2:29" ht="13.5" thickBot="1" x14ac:dyDescent="0.25">
      <c r="B44" s="10" t="s">
        <v>447</v>
      </c>
      <c r="D44" s="72"/>
      <c r="E44" s="72" t="s">
        <v>818</v>
      </c>
      <c r="F44" s="7"/>
      <c r="G44" s="8"/>
      <c r="H44" s="7"/>
      <c r="I44" s="41" t="s">
        <v>881</v>
      </c>
      <c r="J44" s="7"/>
      <c r="K44" s="8"/>
      <c r="L44" s="7"/>
      <c r="M44" s="8"/>
      <c r="N44" s="7"/>
      <c r="O44" s="8"/>
      <c r="P44" s="7"/>
      <c r="Q44" s="7"/>
      <c r="R44" s="8"/>
      <c r="S44" s="7"/>
      <c r="T44" s="9"/>
      <c r="U44" s="7"/>
      <c r="V44" s="8"/>
      <c r="W44" s="7"/>
      <c r="X44" s="7"/>
      <c r="Y44" s="8"/>
      <c r="Z44" s="7"/>
      <c r="AA44" s="141"/>
      <c r="AB44" s="186" t="s">
        <v>866</v>
      </c>
      <c r="AC44" s="186" t="s">
        <v>1418</v>
      </c>
    </row>
    <row r="45" spans="2:29" ht="13.5" thickBot="1" x14ac:dyDescent="0.25">
      <c r="B45" s="10" t="s">
        <v>1419</v>
      </c>
      <c r="D45" s="72"/>
      <c r="E45" s="72" t="s">
        <v>711</v>
      </c>
      <c r="F45" s="7"/>
      <c r="G45" s="8"/>
      <c r="H45" s="7"/>
      <c r="I45" s="41" t="s">
        <v>343</v>
      </c>
      <c r="J45" s="7"/>
      <c r="K45" s="8"/>
      <c r="L45" s="7"/>
      <c r="M45" s="8"/>
      <c r="N45" s="7"/>
      <c r="O45" s="8"/>
      <c r="P45" s="7"/>
      <c r="Q45" s="7"/>
      <c r="R45" s="8"/>
      <c r="S45" s="7"/>
      <c r="T45" s="9"/>
      <c r="U45" s="7"/>
      <c r="V45" s="8"/>
      <c r="W45" s="7"/>
      <c r="X45" s="7"/>
      <c r="Y45" s="8"/>
      <c r="Z45" s="7"/>
      <c r="AA45" s="141"/>
      <c r="AB45" s="186" t="s">
        <v>866</v>
      </c>
      <c r="AC45" s="186" t="s">
        <v>888</v>
      </c>
    </row>
    <row r="46" spans="2:29" ht="13.5" thickBot="1" x14ac:dyDescent="0.25">
      <c r="B46" s="10" t="s">
        <v>1420</v>
      </c>
      <c r="D46" s="72"/>
      <c r="E46" s="72" t="s">
        <v>1116</v>
      </c>
      <c r="F46" s="7"/>
      <c r="G46" s="8"/>
      <c r="H46" s="7"/>
      <c r="I46" s="41" t="s">
        <v>358</v>
      </c>
      <c r="J46" s="7"/>
      <c r="K46" s="8"/>
      <c r="L46" s="7"/>
      <c r="M46" s="8"/>
      <c r="N46" s="7"/>
      <c r="O46" s="8"/>
      <c r="P46" s="7"/>
      <c r="Q46" s="7"/>
      <c r="R46" s="8"/>
      <c r="S46" s="7"/>
      <c r="T46" s="9"/>
      <c r="U46" s="7"/>
      <c r="V46" s="8"/>
      <c r="W46" s="7"/>
      <c r="X46" s="7"/>
      <c r="Y46" s="8"/>
      <c r="Z46" s="7"/>
      <c r="AA46" s="141"/>
      <c r="AB46" s="186" t="s">
        <v>866</v>
      </c>
      <c r="AC46" s="186" t="s">
        <v>911</v>
      </c>
    </row>
    <row r="47" spans="2:29" ht="13.5" thickBot="1" x14ac:dyDescent="0.25">
      <c r="B47" s="10" t="s">
        <v>1422</v>
      </c>
      <c r="D47" s="72"/>
      <c r="E47" s="72" t="s">
        <v>810</v>
      </c>
      <c r="F47" s="7"/>
      <c r="G47" s="8"/>
      <c r="H47" s="7"/>
      <c r="I47" s="41" t="s">
        <v>348</v>
      </c>
      <c r="J47" s="7"/>
      <c r="K47" s="8"/>
      <c r="L47" s="7"/>
      <c r="M47" s="8"/>
      <c r="N47" s="7"/>
      <c r="O47" s="8"/>
      <c r="P47" s="7"/>
      <c r="Q47" s="7"/>
      <c r="R47" s="8"/>
      <c r="S47" s="7"/>
      <c r="T47" s="9"/>
      <c r="U47" s="7"/>
      <c r="V47" s="8"/>
      <c r="W47" s="7"/>
      <c r="X47" s="7"/>
      <c r="Y47" s="8"/>
      <c r="Z47" s="7"/>
      <c r="AA47" s="141"/>
      <c r="AB47" s="186" t="s">
        <v>866</v>
      </c>
      <c r="AC47" s="186" t="s">
        <v>1421</v>
      </c>
    </row>
    <row r="48" spans="2:29" ht="13.5" thickBot="1" x14ac:dyDescent="0.25">
      <c r="B48" s="10" t="s">
        <v>389</v>
      </c>
      <c r="D48" s="72"/>
      <c r="E48" s="72" t="s">
        <v>1093</v>
      </c>
      <c r="F48" s="7"/>
      <c r="G48" s="8"/>
      <c r="H48" s="7"/>
      <c r="I48" s="41" t="s">
        <v>886</v>
      </c>
      <c r="J48" s="7"/>
      <c r="K48" s="8"/>
      <c r="L48" s="7"/>
      <c r="M48" s="8"/>
      <c r="N48" s="7"/>
      <c r="O48" s="8"/>
      <c r="P48" s="7"/>
      <c r="Q48" s="7"/>
      <c r="R48" s="8"/>
      <c r="S48" s="7"/>
      <c r="T48" s="9"/>
      <c r="U48" s="7"/>
      <c r="V48" s="8"/>
      <c r="W48" s="7"/>
      <c r="X48" s="7"/>
      <c r="Y48" s="8"/>
      <c r="Z48" s="7"/>
      <c r="AA48" s="141"/>
      <c r="AB48" s="186" t="s">
        <v>866</v>
      </c>
      <c r="AC48" s="186" t="s">
        <v>1423</v>
      </c>
    </row>
    <row r="49" spans="2:29" ht="13.5" thickBot="1" x14ac:dyDescent="0.25">
      <c r="B49" s="10" t="s">
        <v>426</v>
      </c>
      <c r="D49" s="72"/>
      <c r="E49" s="72" t="s">
        <v>750</v>
      </c>
      <c r="F49" s="7"/>
      <c r="G49" s="8"/>
      <c r="H49" s="7"/>
      <c r="I49" s="41" t="s">
        <v>907</v>
      </c>
      <c r="J49" s="7"/>
      <c r="K49" s="8"/>
      <c r="L49" s="7"/>
      <c r="M49" s="8"/>
      <c r="N49" s="7"/>
      <c r="O49" s="8"/>
      <c r="P49" s="7"/>
      <c r="Q49" s="7"/>
      <c r="R49" s="8"/>
      <c r="S49" s="7"/>
      <c r="T49" s="9"/>
      <c r="U49" s="7"/>
      <c r="V49" s="8"/>
      <c r="W49" s="7"/>
      <c r="X49" s="7"/>
      <c r="Y49" s="8"/>
      <c r="Z49" s="7"/>
      <c r="AA49" s="141"/>
      <c r="AB49" s="186" t="s">
        <v>866</v>
      </c>
      <c r="AC49" s="186" t="s">
        <v>1424</v>
      </c>
    </row>
    <row r="50" spans="2:29" ht="13.5" thickBot="1" x14ac:dyDescent="0.25">
      <c r="B50" s="10" t="s">
        <v>1426</v>
      </c>
      <c r="D50" s="72"/>
      <c r="E50" s="72" t="s">
        <v>738</v>
      </c>
      <c r="F50" s="7"/>
      <c r="G50" s="8"/>
      <c r="H50" s="7"/>
      <c r="I50" s="41" t="s">
        <v>885</v>
      </c>
      <c r="J50" s="7"/>
      <c r="K50" s="8"/>
      <c r="L50" s="7"/>
      <c r="M50" s="8"/>
      <c r="N50" s="7"/>
      <c r="O50" s="8"/>
      <c r="P50" s="7"/>
      <c r="Q50" s="7"/>
      <c r="R50" s="8"/>
      <c r="S50" s="7"/>
      <c r="T50" s="9"/>
      <c r="U50" s="7"/>
      <c r="V50" s="8"/>
      <c r="W50" s="7"/>
      <c r="X50" s="7"/>
      <c r="Y50" s="8"/>
      <c r="Z50" s="7"/>
      <c r="AA50" s="141"/>
      <c r="AB50" s="186" t="s">
        <v>866</v>
      </c>
      <c r="AC50" s="186" t="s">
        <v>1425</v>
      </c>
    </row>
    <row r="51" spans="2:29" ht="13.5" thickBot="1" x14ac:dyDescent="0.25">
      <c r="B51" s="10" t="s">
        <v>1428</v>
      </c>
      <c r="D51" s="72"/>
      <c r="E51" s="72" t="s">
        <v>699</v>
      </c>
      <c r="F51" s="7"/>
      <c r="G51" s="8"/>
      <c r="H51" s="7"/>
      <c r="I51" s="41" t="s">
        <v>364</v>
      </c>
      <c r="J51" s="7"/>
      <c r="K51" s="8"/>
      <c r="L51" s="7"/>
      <c r="M51" s="8"/>
      <c r="N51" s="7"/>
      <c r="O51" s="8"/>
      <c r="P51" s="7"/>
      <c r="Q51" s="7"/>
      <c r="R51" s="8"/>
      <c r="S51" s="7"/>
      <c r="T51" s="9"/>
      <c r="U51" s="7"/>
      <c r="V51" s="8"/>
      <c r="W51" s="7"/>
      <c r="X51" s="7"/>
      <c r="Y51" s="8"/>
      <c r="Z51" s="7"/>
      <c r="AA51" s="141"/>
      <c r="AB51" s="186" t="s">
        <v>866</v>
      </c>
      <c r="AC51" s="186" t="s">
        <v>1427</v>
      </c>
    </row>
    <row r="52" spans="2:29" ht="13.5" thickBot="1" x14ac:dyDescent="0.25">
      <c r="B52" s="10" t="s">
        <v>1429</v>
      </c>
      <c r="C52" s="189"/>
      <c r="D52" s="72"/>
      <c r="E52" s="72" t="s">
        <v>752</v>
      </c>
      <c r="F52" s="7"/>
      <c r="G52" s="8"/>
      <c r="H52" s="7"/>
      <c r="I52" s="41" t="s">
        <v>482</v>
      </c>
      <c r="J52" s="7"/>
      <c r="K52" s="8"/>
      <c r="L52" s="7"/>
      <c r="M52" s="8"/>
      <c r="N52" s="7"/>
      <c r="O52" s="8"/>
      <c r="P52" s="7"/>
      <c r="Q52" s="7"/>
      <c r="R52" s="8"/>
      <c r="S52" s="7"/>
      <c r="T52" s="9"/>
      <c r="U52" s="7"/>
      <c r="V52" s="8"/>
      <c r="W52" s="7"/>
      <c r="X52" s="7"/>
      <c r="Y52" s="8"/>
      <c r="Z52" s="7"/>
      <c r="AA52" s="141"/>
      <c r="AB52" s="186" t="s">
        <v>866</v>
      </c>
      <c r="AC52" s="186" t="s">
        <v>870</v>
      </c>
    </row>
    <row r="53" spans="2:29" ht="14.25" thickTop="1" thickBot="1" x14ac:dyDescent="0.25">
      <c r="B53" s="10" t="s">
        <v>441</v>
      </c>
      <c r="D53" s="72"/>
      <c r="E53" s="72" t="s">
        <v>822</v>
      </c>
      <c r="F53" s="7"/>
      <c r="G53" s="8"/>
      <c r="H53" s="7"/>
      <c r="I53" s="6"/>
      <c r="J53" s="7"/>
      <c r="K53" s="8"/>
      <c r="L53" s="7"/>
      <c r="M53" s="8"/>
      <c r="N53" s="7"/>
      <c r="O53" s="8"/>
      <c r="P53" s="7"/>
      <c r="Q53" s="7"/>
      <c r="R53" s="8"/>
      <c r="S53" s="7"/>
      <c r="T53" s="9"/>
      <c r="U53" s="7"/>
      <c r="V53" s="8"/>
      <c r="W53" s="7"/>
      <c r="X53" s="7"/>
      <c r="Y53" s="8"/>
      <c r="Z53" s="7"/>
      <c r="AA53" s="141"/>
      <c r="AB53" s="186" t="s">
        <v>866</v>
      </c>
      <c r="AC53" s="186" t="s">
        <v>1430</v>
      </c>
    </row>
    <row r="54" spans="2:29" ht="14.25" thickTop="1" thickBot="1" x14ac:dyDescent="0.25">
      <c r="B54" s="22" t="s">
        <v>2435</v>
      </c>
      <c r="D54" s="72"/>
      <c r="E54" s="72" t="s">
        <v>688</v>
      </c>
      <c r="F54" s="7"/>
      <c r="G54" s="8"/>
      <c r="H54" s="7"/>
      <c r="I54" s="6"/>
      <c r="J54" s="7"/>
      <c r="K54" s="8"/>
      <c r="L54" s="7"/>
      <c r="M54" s="8"/>
      <c r="N54" s="7"/>
      <c r="O54" s="8"/>
      <c r="P54" s="7"/>
      <c r="Q54" s="7"/>
      <c r="R54" s="8"/>
      <c r="S54" s="7"/>
      <c r="T54" s="9"/>
      <c r="U54" s="7"/>
      <c r="V54" s="8"/>
      <c r="W54" s="7"/>
      <c r="X54" s="7"/>
      <c r="Y54" s="8"/>
      <c r="Z54" s="7"/>
      <c r="AA54" s="141"/>
      <c r="AB54" s="186" t="s">
        <v>866</v>
      </c>
      <c r="AC54" s="186" t="s">
        <v>1431</v>
      </c>
    </row>
    <row r="55" spans="2:29" ht="14.25" thickTop="1" thickBot="1" x14ac:dyDescent="0.25">
      <c r="B55" s="10"/>
      <c r="D55" s="72"/>
      <c r="E55" s="72" t="s">
        <v>690</v>
      </c>
      <c r="F55" s="7"/>
      <c r="G55" s="8"/>
      <c r="H55" s="7"/>
      <c r="I55" s="6"/>
      <c r="J55" s="7"/>
      <c r="K55" s="8"/>
      <c r="L55" s="7"/>
      <c r="M55" s="8"/>
      <c r="N55" s="7"/>
      <c r="O55" s="8"/>
      <c r="P55" s="7"/>
      <c r="Q55" s="7"/>
      <c r="R55" s="8"/>
      <c r="S55" s="7"/>
      <c r="T55" s="9"/>
      <c r="U55" s="7"/>
      <c r="V55" s="8"/>
      <c r="W55" s="7"/>
      <c r="X55" s="7"/>
      <c r="Y55" s="8"/>
      <c r="Z55" s="7"/>
      <c r="AA55" s="141"/>
      <c r="AB55" s="186" t="s">
        <v>866</v>
      </c>
      <c r="AC55" s="186" t="s">
        <v>1432</v>
      </c>
    </row>
    <row r="56" spans="2:29" ht="14.25" thickTop="1" thickBot="1" x14ac:dyDescent="0.25">
      <c r="B56" s="10"/>
      <c r="D56" s="72"/>
      <c r="E56" s="72" t="s">
        <v>764</v>
      </c>
      <c r="F56" s="7"/>
      <c r="G56" s="8"/>
      <c r="H56" s="7"/>
      <c r="I56" s="6"/>
      <c r="J56" s="7"/>
      <c r="K56" s="8"/>
      <c r="L56" s="7"/>
      <c r="M56" s="8"/>
      <c r="N56" s="7"/>
      <c r="O56" s="8"/>
      <c r="P56" s="7"/>
      <c r="Q56" s="7"/>
      <c r="R56" s="8"/>
      <c r="S56" s="7"/>
      <c r="T56" s="9"/>
      <c r="U56" s="7"/>
      <c r="V56" s="8"/>
      <c r="W56" s="7"/>
      <c r="X56" s="7"/>
      <c r="Y56" s="8"/>
      <c r="Z56" s="7"/>
      <c r="AA56" s="141"/>
      <c r="AB56" s="186" t="s">
        <v>866</v>
      </c>
      <c r="AC56" s="186" t="s">
        <v>1433</v>
      </c>
    </row>
    <row r="57" spans="2:29" ht="14.25" thickTop="1" thickBot="1" x14ac:dyDescent="0.25">
      <c r="B57" s="10"/>
      <c r="D57" s="72"/>
      <c r="E57" s="72" t="s">
        <v>766</v>
      </c>
      <c r="F57" s="7"/>
      <c r="G57" s="8"/>
      <c r="H57" s="7"/>
      <c r="I57" s="6"/>
      <c r="J57" s="7"/>
      <c r="K57" s="8"/>
      <c r="L57" s="7"/>
      <c r="M57" s="8"/>
      <c r="N57" s="7"/>
      <c r="O57" s="8"/>
      <c r="P57" s="7"/>
      <c r="Q57" s="7"/>
      <c r="R57" s="8"/>
      <c r="S57" s="7"/>
      <c r="T57" s="9"/>
      <c r="U57" s="7"/>
      <c r="V57" s="8"/>
      <c r="W57" s="7"/>
      <c r="X57" s="7"/>
      <c r="Y57" s="8"/>
      <c r="Z57" s="7"/>
      <c r="AA57" s="141"/>
      <c r="AB57" s="186" t="s">
        <v>866</v>
      </c>
      <c r="AC57" s="186" t="s">
        <v>1434</v>
      </c>
    </row>
    <row r="58" spans="2:29" ht="14.25" thickTop="1" thickBot="1" x14ac:dyDescent="0.25">
      <c r="B58" s="10"/>
      <c r="D58" s="72"/>
      <c r="E58" s="72" t="s">
        <v>719</v>
      </c>
      <c r="F58" s="7"/>
      <c r="G58" s="8"/>
      <c r="H58" s="7"/>
      <c r="I58" s="6"/>
      <c r="J58" s="7"/>
      <c r="K58" s="8"/>
      <c r="L58" s="7"/>
      <c r="M58" s="8"/>
      <c r="N58" s="7"/>
      <c r="O58" s="8"/>
      <c r="P58" s="7"/>
      <c r="Q58" s="7"/>
      <c r="R58" s="8"/>
      <c r="S58" s="7"/>
      <c r="T58" s="9"/>
      <c r="U58" s="7"/>
      <c r="V58" s="8"/>
      <c r="W58" s="7"/>
      <c r="X58" s="7"/>
      <c r="Y58" s="8"/>
      <c r="Z58" s="7"/>
      <c r="AA58" s="141"/>
      <c r="AB58" s="186" t="s">
        <v>866</v>
      </c>
      <c r="AC58" s="186" t="s">
        <v>1435</v>
      </c>
    </row>
    <row r="59" spans="2:29" ht="14.25" thickTop="1" thickBot="1" x14ac:dyDescent="0.25">
      <c r="B59" s="10"/>
      <c r="D59" s="72"/>
      <c r="E59" s="72" t="s">
        <v>749</v>
      </c>
      <c r="F59" s="7"/>
      <c r="G59" s="8"/>
      <c r="H59" s="7"/>
      <c r="I59" s="6"/>
      <c r="J59" s="7"/>
      <c r="K59" s="8"/>
      <c r="L59" s="7"/>
      <c r="M59" s="8"/>
      <c r="N59" s="7"/>
      <c r="O59" s="8"/>
      <c r="P59" s="7"/>
      <c r="Q59" s="7"/>
      <c r="R59" s="8"/>
      <c r="S59" s="7"/>
      <c r="T59" s="9"/>
      <c r="U59" s="7"/>
      <c r="V59" s="8"/>
      <c r="W59" s="7"/>
      <c r="X59" s="7"/>
      <c r="Y59" s="8"/>
      <c r="Z59" s="7"/>
      <c r="AA59" s="141"/>
      <c r="AB59" s="186" t="s">
        <v>866</v>
      </c>
      <c r="AC59" s="186" t="s">
        <v>1436</v>
      </c>
    </row>
    <row r="60" spans="2:29" ht="14.25" thickTop="1" thickBot="1" x14ac:dyDescent="0.25">
      <c r="B60" s="10"/>
      <c r="D60" s="72"/>
      <c r="E60" s="72" t="s">
        <v>708</v>
      </c>
      <c r="F60" s="7"/>
      <c r="G60" s="8"/>
      <c r="H60" s="7"/>
      <c r="I60" s="6"/>
      <c r="J60" s="7"/>
      <c r="K60" s="8"/>
      <c r="L60" s="7"/>
      <c r="M60" s="8"/>
      <c r="N60" s="7"/>
      <c r="O60" s="8"/>
      <c r="P60" s="7"/>
      <c r="Q60" s="7"/>
      <c r="R60" s="8"/>
      <c r="S60" s="7"/>
      <c r="T60" s="9"/>
      <c r="U60" s="7"/>
      <c r="V60" s="8"/>
      <c r="W60" s="7"/>
      <c r="X60" s="7"/>
      <c r="Y60" s="8"/>
      <c r="Z60" s="7"/>
      <c r="AA60" s="141"/>
      <c r="AB60" s="186" t="s">
        <v>866</v>
      </c>
      <c r="AC60" s="186" t="s">
        <v>1437</v>
      </c>
    </row>
    <row r="61" spans="2:29" ht="14.25" thickTop="1" thickBot="1" x14ac:dyDescent="0.25">
      <c r="B61" s="10"/>
      <c r="D61" s="72"/>
      <c r="E61" s="72" t="s">
        <v>1118</v>
      </c>
      <c r="F61" s="7"/>
      <c r="G61" s="8"/>
      <c r="H61" s="7"/>
      <c r="I61" s="6"/>
      <c r="J61" s="7"/>
      <c r="K61" s="8"/>
      <c r="L61" s="7"/>
      <c r="M61" s="8"/>
      <c r="N61" s="7"/>
      <c r="O61" s="8"/>
      <c r="P61" s="7"/>
      <c r="Q61" s="7"/>
      <c r="R61" s="8"/>
      <c r="S61" s="7"/>
      <c r="T61" s="9"/>
      <c r="U61" s="7"/>
      <c r="V61" s="8"/>
      <c r="W61" s="7"/>
      <c r="X61" s="7"/>
      <c r="Y61" s="8"/>
      <c r="Z61" s="7"/>
      <c r="AA61" s="141"/>
      <c r="AB61" s="186" t="s">
        <v>866</v>
      </c>
      <c r="AC61" s="186" t="s">
        <v>1438</v>
      </c>
    </row>
    <row r="62" spans="2:29" ht="14.25" thickTop="1" thickBot="1" x14ac:dyDescent="0.25">
      <c r="B62" s="10"/>
      <c r="D62" s="72"/>
      <c r="E62" s="72" t="s">
        <v>743</v>
      </c>
      <c r="F62" s="7"/>
      <c r="G62" s="8"/>
      <c r="H62" s="7"/>
      <c r="I62" s="6"/>
      <c r="J62" s="7"/>
      <c r="K62" s="8"/>
      <c r="L62" s="7"/>
      <c r="M62" s="8"/>
      <c r="N62" s="7"/>
      <c r="O62" s="8"/>
      <c r="P62" s="7"/>
      <c r="Q62" s="7"/>
      <c r="R62" s="8"/>
      <c r="S62" s="7"/>
      <c r="T62" s="9"/>
      <c r="U62" s="7"/>
      <c r="V62" s="8"/>
      <c r="W62" s="7"/>
      <c r="X62" s="7"/>
      <c r="Y62" s="8"/>
      <c r="Z62" s="7"/>
      <c r="AA62" s="141"/>
      <c r="AB62" s="186" t="s">
        <v>866</v>
      </c>
      <c r="AC62" s="186" t="s">
        <v>873</v>
      </c>
    </row>
    <row r="63" spans="2:29" ht="14.25" thickTop="1" thickBot="1" x14ac:dyDescent="0.25">
      <c r="B63" s="10"/>
      <c r="D63" s="72"/>
      <c r="E63" s="72" t="s">
        <v>742</v>
      </c>
      <c r="F63" s="7"/>
      <c r="G63" s="8"/>
      <c r="H63" s="7"/>
      <c r="I63" s="6"/>
      <c r="J63" s="7"/>
      <c r="K63" s="8"/>
      <c r="L63" s="7"/>
      <c r="M63" s="8"/>
      <c r="N63" s="7"/>
      <c r="O63" s="8"/>
      <c r="P63" s="7"/>
      <c r="Q63" s="7"/>
      <c r="R63" s="8"/>
      <c r="S63" s="7"/>
      <c r="T63" s="9"/>
      <c r="U63" s="7"/>
      <c r="V63" s="8"/>
      <c r="W63" s="7"/>
      <c r="X63" s="7"/>
      <c r="Y63" s="8"/>
      <c r="Z63" s="7"/>
      <c r="AA63" s="141"/>
      <c r="AB63" s="186" t="s">
        <v>866</v>
      </c>
      <c r="AC63" s="186" t="s">
        <v>1439</v>
      </c>
    </row>
    <row r="64" spans="2:29" ht="14.25" thickTop="1" thickBot="1" x14ac:dyDescent="0.25">
      <c r="B64" s="10"/>
      <c r="D64" s="72"/>
      <c r="E64" s="72" t="s">
        <v>691</v>
      </c>
      <c r="F64" s="7"/>
      <c r="G64" s="8"/>
      <c r="H64" s="7"/>
      <c r="I64" s="6"/>
      <c r="J64" s="7"/>
      <c r="K64" s="8"/>
      <c r="L64" s="7"/>
      <c r="M64" s="8"/>
      <c r="N64" s="7"/>
      <c r="O64" s="8"/>
      <c r="P64" s="7"/>
      <c r="Q64" s="7"/>
      <c r="R64" s="8"/>
      <c r="S64" s="7"/>
      <c r="T64" s="9"/>
      <c r="U64" s="7"/>
      <c r="V64" s="8"/>
      <c r="W64" s="7"/>
      <c r="X64" s="7"/>
      <c r="Y64" s="8"/>
      <c r="Z64" s="7"/>
      <c r="AA64" s="141"/>
      <c r="AB64" s="186" t="s">
        <v>866</v>
      </c>
      <c r="AC64" s="186" t="s">
        <v>1440</v>
      </c>
    </row>
    <row r="65" spans="2:29" ht="14.25" thickTop="1" thickBot="1" x14ac:dyDescent="0.25">
      <c r="B65" s="10"/>
      <c r="D65" s="72"/>
      <c r="E65" s="72" t="s">
        <v>696</v>
      </c>
      <c r="F65" s="7"/>
      <c r="G65" s="8"/>
      <c r="H65" s="7"/>
      <c r="I65" s="6"/>
      <c r="J65" s="7"/>
      <c r="K65" s="8"/>
      <c r="L65" s="7"/>
      <c r="M65" s="8"/>
      <c r="N65" s="7"/>
      <c r="O65" s="8"/>
      <c r="P65" s="7"/>
      <c r="Q65" s="7"/>
      <c r="R65" s="8"/>
      <c r="S65" s="7"/>
      <c r="T65" s="9"/>
      <c r="U65" s="7"/>
      <c r="V65" s="8"/>
      <c r="W65" s="7"/>
      <c r="X65" s="7"/>
      <c r="Y65" s="8"/>
      <c r="Z65" s="7"/>
      <c r="AA65" s="141"/>
      <c r="AB65" s="186" t="s">
        <v>866</v>
      </c>
      <c r="AC65" s="186" t="s">
        <v>1441</v>
      </c>
    </row>
    <row r="66" spans="2:29" ht="14.25" thickTop="1" thickBot="1" x14ac:dyDescent="0.25">
      <c r="B66" s="10"/>
      <c r="D66" s="72"/>
      <c r="E66" s="72" t="s">
        <v>754</v>
      </c>
      <c r="F66" s="7"/>
      <c r="G66" s="8"/>
      <c r="H66" s="7"/>
      <c r="I66" s="6"/>
      <c r="J66" s="7"/>
      <c r="K66" s="8"/>
      <c r="L66" s="7"/>
      <c r="M66" s="8"/>
      <c r="N66" s="7"/>
      <c r="O66" s="8"/>
      <c r="P66" s="7"/>
      <c r="Q66" s="7"/>
      <c r="R66" s="8"/>
      <c r="S66" s="7"/>
      <c r="T66" s="9"/>
      <c r="U66" s="7"/>
      <c r="V66" s="8"/>
      <c r="W66" s="7"/>
      <c r="X66" s="7"/>
      <c r="Y66" s="8"/>
      <c r="Z66" s="7"/>
      <c r="AA66" s="141"/>
      <c r="AB66" s="186" t="s">
        <v>866</v>
      </c>
      <c r="AC66" s="186" t="s">
        <v>1442</v>
      </c>
    </row>
    <row r="67" spans="2:29" ht="14.25" thickTop="1" thickBot="1" x14ac:dyDescent="0.25">
      <c r="B67" s="10"/>
      <c r="D67" s="72"/>
      <c r="E67" s="72" t="s">
        <v>511</v>
      </c>
      <c r="F67" s="7"/>
      <c r="G67" s="8"/>
      <c r="H67" s="7"/>
      <c r="I67" s="6"/>
      <c r="J67" s="7"/>
      <c r="K67" s="8"/>
      <c r="L67" s="7"/>
      <c r="M67" s="8"/>
      <c r="N67" s="7"/>
      <c r="O67" s="8"/>
      <c r="P67" s="7"/>
      <c r="Q67" s="7"/>
      <c r="R67" s="8"/>
      <c r="S67" s="7"/>
      <c r="T67" s="9"/>
      <c r="U67" s="7"/>
      <c r="V67" s="8"/>
      <c r="W67" s="7"/>
      <c r="X67" s="7"/>
      <c r="Y67" s="8"/>
      <c r="Z67" s="7"/>
      <c r="AA67" s="141"/>
      <c r="AB67" s="186" t="s">
        <v>866</v>
      </c>
      <c r="AC67" s="186" t="s">
        <v>876</v>
      </c>
    </row>
    <row r="68" spans="2:29" ht="14.25" thickTop="1" thickBot="1" x14ac:dyDescent="0.25">
      <c r="B68" s="10"/>
      <c r="D68" s="72"/>
      <c r="E68" s="72" t="s">
        <v>736</v>
      </c>
      <c r="F68" s="7"/>
      <c r="G68" s="8"/>
      <c r="H68" s="7"/>
      <c r="I68" s="6"/>
      <c r="J68" s="7"/>
      <c r="K68" s="8"/>
      <c r="L68" s="7"/>
      <c r="M68" s="8"/>
      <c r="N68" s="7"/>
      <c r="O68" s="8"/>
      <c r="P68" s="7"/>
      <c r="Q68" s="7"/>
      <c r="R68" s="8"/>
      <c r="S68" s="7"/>
      <c r="T68" s="9"/>
      <c r="U68" s="7"/>
      <c r="V68" s="8"/>
      <c r="W68" s="7"/>
      <c r="X68" s="7"/>
      <c r="Y68" s="8"/>
      <c r="Z68" s="7"/>
      <c r="AA68" s="141"/>
      <c r="AB68" s="186" t="s">
        <v>866</v>
      </c>
      <c r="AC68" s="186" t="s">
        <v>1443</v>
      </c>
    </row>
    <row r="69" spans="2:29" ht="14.25" thickTop="1" thickBot="1" x14ac:dyDescent="0.25">
      <c r="B69" s="10"/>
      <c r="D69" s="190"/>
      <c r="E69" s="72" t="s">
        <v>805</v>
      </c>
      <c r="F69" s="7"/>
      <c r="G69" s="8"/>
      <c r="H69" s="7"/>
      <c r="I69" s="6"/>
      <c r="J69" s="7"/>
      <c r="K69" s="8"/>
      <c r="L69" s="7"/>
      <c r="M69" s="8"/>
      <c r="N69" s="7"/>
      <c r="O69" s="8"/>
      <c r="P69" s="7"/>
      <c r="Q69" s="7"/>
      <c r="R69" s="8"/>
      <c r="S69" s="7"/>
      <c r="T69" s="9"/>
      <c r="U69" s="7"/>
      <c r="V69" s="8"/>
      <c r="W69" s="7"/>
      <c r="X69" s="7"/>
      <c r="Y69" s="8"/>
      <c r="Z69" s="7"/>
      <c r="AA69" s="141"/>
      <c r="AB69" s="186" t="s">
        <v>866</v>
      </c>
      <c r="AC69" s="186" t="s">
        <v>867</v>
      </c>
    </row>
    <row r="70" spans="2:29" ht="14.25" thickTop="1" thickBot="1" x14ac:dyDescent="0.25">
      <c r="B70" s="10"/>
      <c r="D70" s="190"/>
      <c r="E70" s="72" t="s">
        <v>1092</v>
      </c>
      <c r="F70" s="7"/>
      <c r="G70" s="8"/>
      <c r="H70" s="7"/>
      <c r="I70" s="6"/>
      <c r="J70" s="7"/>
      <c r="K70" s="8"/>
      <c r="L70" s="7"/>
      <c r="M70" s="8"/>
      <c r="N70" s="7"/>
      <c r="O70" s="8"/>
      <c r="P70" s="7"/>
      <c r="Q70" s="7"/>
      <c r="R70" s="8"/>
      <c r="S70" s="7"/>
      <c r="T70" s="9"/>
      <c r="U70" s="7"/>
      <c r="V70" s="8"/>
      <c r="W70" s="7"/>
      <c r="X70" s="7"/>
      <c r="Y70" s="8"/>
      <c r="Z70" s="7"/>
      <c r="AA70" s="141"/>
      <c r="AB70" s="186" t="s">
        <v>866</v>
      </c>
      <c r="AC70" s="186" t="s">
        <v>1444</v>
      </c>
    </row>
    <row r="71" spans="2:29" ht="14.25" thickTop="1" thickBot="1" x14ac:dyDescent="0.25">
      <c r="B71" s="10"/>
      <c r="D71" s="190"/>
      <c r="E71" s="72" t="s">
        <v>834</v>
      </c>
      <c r="F71" s="7"/>
      <c r="G71" s="8"/>
      <c r="H71" s="7"/>
      <c r="I71" s="6"/>
      <c r="J71" s="7"/>
      <c r="K71" s="8"/>
      <c r="L71" s="7"/>
      <c r="M71" s="8"/>
      <c r="N71" s="7"/>
      <c r="O71" s="8"/>
      <c r="P71" s="7"/>
      <c r="Q71" s="7"/>
      <c r="R71" s="8"/>
      <c r="S71" s="7"/>
      <c r="T71" s="9"/>
      <c r="U71" s="7"/>
      <c r="V71" s="8"/>
      <c r="W71" s="7"/>
      <c r="X71" s="7"/>
      <c r="Y71" s="8"/>
      <c r="Z71" s="7"/>
      <c r="AA71" s="141"/>
      <c r="AB71" s="186" t="s">
        <v>866</v>
      </c>
      <c r="AC71" s="186" t="s">
        <v>890</v>
      </c>
    </row>
    <row r="72" spans="2:29" ht="14.25" thickTop="1" thickBot="1" x14ac:dyDescent="0.25">
      <c r="B72" s="10"/>
      <c r="D72" s="190"/>
      <c r="E72" s="72" t="s">
        <v>741</v>
      </c>
      <c r="F72" s="7"/>
      <c r="G72" s="8"/>
      <c r="H72" s="7"/>
      <c r="I72" s="6"/>
      <c r="J72" s="7"/>
      <c r="K72" s="8"/>
      <c r="L72" s="7"/>
      <c r="M72" s="8"/>
      <c r="N72" s="7"/>
      <c r="O72" s="8"/>
      <c r="P72" s="7"/>
      <c r="Q72" s="7"/>
      <c r="R72" s="8"/>
      <c r="S72" s="7"/>
      <c r="T72" s="9"/>
      <c r="U72" s="7"/>
      <c r="V72" s="8"/>
      <c r="W72" s="7"/>
      <c r="X72" s="7"/>
      <c r="Y72" s="8"/>
      <c r="Z72" s="7"/>
      <c r="AA72" s="141"/>
      <c r="AB72" s="186" t="s">
        <v>866</v>
      </c>
      <c r="AC72" s="186" t="s">
        <v>1445</v>
      </c>
    </row>
    <row r="73" spans="2:29" ht="14.25" thickTop="1" thickBot="1" x14ac:dyDescent="0.25">
      <c r="B73" s="10"/>
      <c r="D73" s="190"/>
      <c r="E73" s="72" t="s">
        <v>521</v>
      </c>
      <c r="F73" s="7"/>
      <c r="G73" s="8"/>
      <c r="H73" s="7"/>
      <c r="I73" s="6"/>
      <c r="J73" s="7"/>
      <c r="K73" s="8"/>
      <c r="L73" s="7"/>
      <c r="M73" s="8"/>
      <c r="N73" s="7"/>
      <c r="O73" s="8"/>
      <c r="P73" s="7"/>
      <c r="Q73" s="7"/>
      <c r="R73" s="8"/>
      <c r="S73" s="7"/>
      <c r="T73" s="9"/>
      <c r="U73" s="7"/>
      <c r="V73" s="8"/>
      <c r="W73" s="7"/>
      <c r="X73" s="7"/>
      <c r="Y73" s="8"/>
      <c r="Z73" s="7"/>
      <c r="AA73" s="141"/>
      <c r="AB73" s="186" t="s">
        <v>866</v>
      </c>
      <c r="AC73" s="186" t="s">
        <v>1446</v>
      </c>
    </row>
    <row r="74" spans="2:29" ht="14.25" thickTop="1" thickBot="1" x14ac:dyDescent="0.25">
      <c r="B74" s="10"/>
      <c r="D74" s="190"/>
      <c r="E74" s="72" t="s">
        <v>523</v>
      </c>
      <c r="F74" s="7"/>
      <c r="G74" s="8"/>
      <c r="H74" s="7"/>
      <c r="I74" s="6"/>
      <c r="J74" s="7"/>
      <c r="K74" s="8"/>
      <c r="L74" s="7"/>
      <c r="M74" s="8"/>
      <c r="N74" s="7"/>
      <c r="O74" s="8"/>
      <c r="P74" s="7"/>
      <c r="Q74" s="7"/>
      <c r="R74" s="8"/>
      <c r="S74" s="7"/>
      <c r="T74" s="9"/>
      <c r="U74" s="7"/>
      <c r="V74" s="8"/>
      <c r="W74" s="7"/>
      <c r="X74" s="7"/>
      <c r="Y74" s="8"/>
      <c r="Z74" s="7"/>
      <c r="AA74" s="141"/>
      <c r="AB74" s="186" t="s">
        <v>866</v>
      </c>
      <c r="AC74" s="186" t="s">
        <v>1447</v>
      </c>
    </row>
    <row r="75" spans="2:29" ht="14.25" thickTop="1" thickBot="1" x14ac:dyDescent="0.25">
      <c r="B75" s="10"/>
      <c r="D75" s="190"/>
      <c r="E75" s="72" t="s">
        <v>528</v>
      </c>
      <c r="F75" s="7"/>
      <c r="G75" s="8"/>
      <c r="H75" s="7"/>
      <c r="I75" s="6"/>
      <c r="J75" s="7"/>
      <c r="K75" s="8"/>
      <c r="L75" s="7"/>
      <c r="M75" s="8"/>
      <c r="N75" s="7"/>
      <c r="O75" s="8"/>
      <c r="P75" s="7"/>
      <c r="Q75" s="7"/>
      <c r="R75" s="8"/>
      <c r="S75" s="7"/>
      <c r="T75" s="9"/>
      <c r="U75" s="7"/>
      <c r="V75" s="8"/>
      <c r="W75" s="7"/>
      <c r="X75" s="7"/>
      <c r="Y75" s="8"/>
      <c r="Z75" s="7"/>
      <c r="AA75" s="141"/>
      <c r="AB75" s="186" t="s">
        <v>866</v>
      </c>
      <c r="AC75" s="186" t="s">
        <v>1448</v>
      </c>
    </row>
    <row r="76" spans="2:29" ht="14.25" thickTop="1" thickBot="1" x14ac:dyDescent="0.25">
      <c r="B76" s="10"/>
      <c r="D76" s="190"/>
      <c r="E76" s="72" t="s">
        <v>520</v>
      </c>
      <c r="F76" s="7"/>
      <c r="G76" s="8"/>
      <c r="H76" s="7"/>
      <c r="I76" s="6"/>
      <c r="J76" s="7"/>
      <c r="K76" s="8"/>
      <c r="L76" s="7"/>
      <c r="M76" s="8"/>
      <c r="N76" s="7"/>
      <c r="O76" s="8"/>
      <c r="P76" s="7"/>
      <c r="Q76" s="7"/>
      <c r="R76" s="8"/>
      <c r="S76" s="7"/>
      <c r="T76" s="9"/>
      <c r="U76" s="7"/>
      <c r="V76" s="8"/>
      <c r="W76" s="7"/>
      <c r="X76" s="7"/>
      <c r="Y76" s="8"/>
      <c r="Z76" s="7"/>
      <c r="AA76" s="141"/>
      <c r="AB76" s="186" t="s">
        <v>866</v>
      </c>
      <c r="AC76" s="186" t="s">
        <v>1449</v>
      </c>
    </row>
    <row r="77" spans="2:29" ht="14.25" thickTop="1" thickBot="1" x14ac:dyDescent="0.25">
      <c r="B77" s="10"/>
      <c r="D77" s="190"/>
      <c r="E77" s="72" t="s">
        <v>972</v>
      </c>
      <c r="F77" s="7"/>
      <c r="G77" s="8"/>
      <c r="H77" s="7"/>
      <c r="I77" s="6"/>
      <c r="J77" s="7"/>
      <c r="K77" s="8"/>
      <c r="L77" s="7"/>
      <c r="M77" s="8"/>
      <c r="N77" s="7"/>
      <c r="O77" s="8"/>
      <c r="P77" s="7"/>
      <c r="Q77" s="7"/>
      <c r="R77" s="8"/>
      <c r="S77" s="7"/>
      <c r="T77" s="9"/>
      <c r="U77" s="7"/>
      <c r="V77" s="8"/>
      <c r="W77" s="7"/>
      <c r="X77" s="7"/>
      <c r="Y77" s="8"/>
      <c r="Z77" s="7"/>
      <c r="AA77" s="141"/>
      <c r="AB77" s="186" t="s">
        <v>866</v>
      </c>
      <c r="AC77" s="186" t="s">
        <v>1450</v>
      </c>
    </row>
    <row r="78" spans="2:29" ht="14.25" thickTop="1" thickBot="1" x14ac:dyDescent="0.25">
      <c r="B78" s="10"/>
      <c r="D78" s="190"/>
      <c r="E78" s="72" t="s">
        <v>971</v>
      </c>
      <c r="F78" s="7"/>
      <c r="G78" s="8"/>
      <c r="H78" s="7"/>
      <c r="I78" s="6"/>
      <c r="J78" s="7"/>
      <c r="K78" s="8"/>
      <c r="L78" s="7"/>
      <c r="M78" s="8"/>
      <c r="N78" s="7"/>
      <c r="O78" s="8"/>
      <c r="P78" s="7"/>
      <c r="Q78" s="7"/>
      <c r="R78" s="8"/>
      <c r="S78" s="7"/>
      <c r="T78" s="9"/>
      <c r="U78" s="7"/>
      <c r="V78" s="8"/>
      <c r="W78" s="7"/>
      <c r="X78" s="7"/>
      <c r="Y78" s="8"/>
      <c r="Z78" s="7"/>
      <c r="AA78" s="141"/>
      <c r="AB78" s="186" t="s">
        <v>866</v>
      </c>
      <c r="AC78" s="186" t="s">
        <v>1451</v>
      </c>
    </row>
    <row r="79" spans="2:29" ht="14.25" thickTop="1" thickBot="1" x14ac:dyDescent="0.25">
      <c r="B79" s="10"/>
      <c r="D79" s="190"/>
      <c r="E79" s="72" t="s">
        <v>525</v>
      </c>
      <c r="F79" s="7"/>
      <c r="G79" s="8"/>
      <c r="H79" s="7"/>
      <c r="I79" s="6"/>
      <c r="J79" s="7"/>
      <c r="K79" s="8"/>
      <c r="L79" s="7"/>
      <c r="M79" s="8"/>
      <c r="N79" s="7"/>
      <c r="O79" s="8"/>
      <c r="P79" s="7"/>
      <c r="Q79" s="7"/>
      <c r="R79" s="8"/>
      <c r="S79" s="7"/>
      <c r="T79" s="9"/>
      <c r="U79" s="7"/>
      <c r="V79" s="8"/>
      <c r="W79" s="7"/>
      <c r="X79" s="7"/>
      <c r="Y79" s="8"/>
      <c r="Z79" s="7"/>
      <c r="AA79" s="141"/>
      <c r="AB79" s="186" t="s">
        <v>866</v>
      </c>
      <c r="AC79" s="186" t="s">
        <v>1452</v>
      </c>
    </row>
    <row r="80" spans="2:29" ht="14.25" thickTop="1" thickBot="1" x14ac:dyDescent="0.25">
      <c r="B80" s="10"/>
      <c r="D80" s="190"/>
      <c r="E80" s="72" t="s">
        <v>522</v>
      </c>
      <c r="F80" s="7"/>
      <c r="G80" s="8"/>
      <c r="H80" s="7"/>
      <c r="I80" s="6"/>
      <c r="J80" s="7"/>
      <c r="K80" s="8"/>
      <c r="L80" s="7"/>
      <c r="M80" s="8"/>
      <c r="N80" s="7"/>
      <c r="O80" s="8"/>
      <c r="P80" s="7"/>
      <c r="Q80" s="7"/>
      <c r="R80" s="8"/>
      <c r="S80" s="7"/>
      <c r="T80" s="9"/>
      <c r="U80" s="7"/>
      <c r="V80" s="8"/>
      <c r="W80" s="7"/>
      <c r="X80" s="7"/>
      <c r="Y80" s="8"/>
      <c r="Z80" s="7"/>
      <c r="AA80" s="141"/>
      <c r="AB80" s="186" t="s">
        <v>866</v>
      </c>
      <c r="AC80" s="186" t="s">
        <v>1453</v>
      </c>
    </row>
    <row r="81" spans="2:29" ht="14.25" thickTop="1" thickBot="1" x14ac:dyDescent="0.25">
      <c r="B81" s="10"/>
      <c r="D81" s="190"/>
      <c r="E81" s="72" t="s">
        <v>524</v>
      </c>
      <c r="F81" s="7"/>
      <c r="G81" s="8"/>
      <c r="H81" s="7"/>
      <c r="I81" s="6"/>
      <c r="J81" s="7"/>
      <c r="K81" s="8"/>
      <c r="L81" s="7"/>
      <c r="M81" s="8"/>
      <c r="N81" s="7"/>
      <c r="O81" s="8"/>
      <c r="P81" s="7"/>
      <c r="Q81" s="7"/>
      <c r="R81" s="8"/>
      <c r="S81" s="7"/>
      <c r="T81" s="9"/>
      <c r="U81" s="7"/>
      <c r="V81" s="8"/>
      <c r="W81" s="7"/>
      <c r="X81" s="7"/>
      <c r="Y81" s="8"/>
      <c r="Z81" s="7"/>
      <c r="AA81" s="141"/>
      <c r="AB81" s="186" t="s">
        <v>866</v>
      </c>
      <c r="AC81" s="186" t="s">
        <v>1454</v>
      </c>
    </row>
    <row r="82" spans="2:29" ht="14.25" thickTop="1" thickBot="1" x14ac:dyDescent="0.25">
      <c r="B82" s="10"/>
      <c r="D82" s="190"/>
      <c r="E82" s="72" t="s">
        <v>526</v>
      </c>
      <c r="F82" s="7"/>
      <c r="G82" s="8"/>
      <c r="H82" s="7"/>
      <c r="I82" s="6"/>
      <c r="J82" s="7"/>
      <c r="K82" s="8"/>
      <c r="L82" s="7"/>
      <c r="M82" s="8"/>
      <c r="N82" s="7"/>
      <c r="O82" s="8"/>
      <c r="P82" s="7"/>
      <c r="Q82" s="7"/>
      <c r="R82" s="8"/>
      <c r="S82" s="7"/>
      <c r="T82" s="9"/>
      <c r="U82" s="7"/>
      <c r="V82" s="8"/>
      <c r="W82" s="7"/>
      <c r="X82" s="7"/>
      <c r="Y82" s="8"/>
      <c r="Z82" s="7"/>
      <c r="AA82" s="141"/>
      <c r="AB82" s="186" t="s">
        <v>866</v>
      </c>
      <c r="AC82" s="186" t="s">
        <v>1455</v>
      </c>
    </row>
    <row r="83" spans="2:29" ht="14.25" thickTop="1" thickBot="1" x14ac:dyDescent="0.25">
      <c r="B83" s="10"/>
      <c r="D83" s="190"/>
      <c r="E83" s="72" t="s">
        <v>519</v>
      </c>
      <c r="F83" s="7"/>
      <c r="G83" s="8"/>
      <c r="H83" s="7"/>
      <c r="I83" s="6"/>
      <c r="J83" s="7"/>
      <c r="K83" s="8"/>
      <c r="L83" s="7"/>
      <c r="M83" s="8"/>
      <c r="N83" s="7"/>
      <c r="O83" s="8"/>
      <c r="P83" s="7"/>
      <c r="Q83" s="7"/>
      <c r="R83" s="8"/>
      <c r="S83" s="7"/>
      <c r="T83" s="9"/>
      <c r="U83" s="7"/>
      <c r="V83" s="8"/>
      <c r="W83" s="7"/>
      <c r="X83" s="7"/>
      <c r="Y83" s="8"/>
      <c r="Z83" s="7"/>
      <c r="AA83" s="141"/>
      <c r="AB83" s="188" t="s">
        <v>866</v>
      </c>
      <c r="AC83" s="188" t="s">
        <v>1456</v>
      </c>
    </row>
    <row r="84" spans="2:29" ht="14.25" thickTop="1" thickBot="1" x14ac:dyDescent="0.25">
      <c r="B84" s="10"/>
      <c r="D84" s="190"/>
      <c r="E84" s="72" t="s">
        <v>1120</v>
      </c>
      <c r="F84" s="7"/>
      <c r="G84" s="8"/>
      <c r="H84" s="7"/>
      <c r="I84" s="6"/>
      <c r="J84" s="7"/>
      <c r="K84" s="8"/>
      <c r="L84" s="7"/>
      <c r="M84" s="8"/>
      <c r="N84" s="7"/>
      <c r="O84" s="8"/>
      <c r="P84" s="7"/>
      <c r="Q84" s="7"/>
      <c r="R84" s="8"/>
      <c r="S84" s="7"/>
      <c r="T84" s="9"/>
      <c r="U84" s="7"/>
      <c r="V84" s="8"/>
      <c r="W84" s="7"/>
      <c r="X84" s="7"/>
      <c r="Y84" s="8"/>
      <c r="Z84" s="7"/>
      <c r="AA84" s="8"/>
    </row>
    <row r="85" spans="2:29" ht="14.25" thickTop="1" thickBot="1" x14ac:dyDescent="0.25">
      <c r="B85" s="10"/>
      <c r="D85" s="190"/>
      <c r="E85" s="72" t="s">
        <v>1119</v>
      </c>
      <c r="F85" s="7"/>
      <c r="G85" s="8"/>
      <c r="H85" s="7"/>
      <c r="I85" s="6"/>
      <c r="J85" s="7"/>
      <c r="K85" s="8"/>
      <c r="L85" s="7"/>
      <c r="M85" s="8"/>
      <c r="N85" s="7"/>
      <c r="O85" s="8"/>
      <c r="P85" s="7"/>
      <c r="Q85" s="7"/>
      <c r="R85" s="8"/>
      <c r="S85" s="7"/>
      <c r="T85" s="9"/>
      <c r="U85" s="7"/>
      <c r="V85" s="8"/>
      <c r="W85" s="7"/>
      <c r="X85" s="7"/>
      <c r="Y85" s="8"/>
      <c r="Z85" s="7"/>
      <c r="AA85" s="8"/>
    </row>
    <row r="86" spans="2:29" ht="14.25" thickTop="1" thickBot="1" x14ac:dyDescent="0.25">
      <c r="B86" s="10"/>
      <c r="D86" s="190"/>
      <c r="E86" s="72" t="s">
        <v>732</v>
      </c>
      <c r="F86" s="7"/>
      <c r="G86" s="8"/>
      <c r="H86" s="7"/>
      <c r="I86" s="6"/>
      <c r="J86" s="7"/>
      <c r="K86" s="8"/>
      <c r="L86" s="7"/>
      <c r="M86" s="8"/>
      <c r="N86" s="7"/>
      <c r="O86" s="8"/>
      <c r="P86" s="7"/>
      <c r="Q86" s="7"/>
      <c r="R86" s="8"/>
      <c r="S86" s="7"/>
      <c r="T86" s="9"/>
      <c r="U86" s="7"/>
      <c r="V86" s="8"/>
      <c r="W86" s="7"/>
      <c r="X86" s="7"/>
      <c r="Y86" s="8"/>
      <c r="Z86" s="7"/>
      <c r="AA86" s="8"/>
    </row>
    <row r="87" spans="2:29" ht="14.25" thickTop="1" thickBot="1" x14ac:dyDescent="0.25">
      <c r="B87" s="10"/>
      <c r="D87" s="190"/>
      <c r="E87" s="72" t="s">
        <v>718</v>
      </c>
      <c r="F87" s="7"/>
      <c r="G87" s="8"/>
      <c r="H87" s="7"/>
      <c r="I87" s="6"/>
      <c r="J87" s="7"/>
      <c r="K87" s="8"/>
      <c r="L87" s="7"/>
      <c r="M87" s="8"/>
      <c r="N87" s="7"/>
      <c r="O87" s="8"/>
      <c r="P87" s="7"/>
      <c r="Q87" s="7"/>
      <c r="R87" s="8"/>
      <c r="S87" s="7"/>
      <c r="T87" s="9"/>
      <c r="U87" s="7"/>
      <c r="V87" s="8"/>
      <c r="W87" s="7"/>
      <c r="X87" s="7"/>
      <c r="Y87" s="8"/>
      <c r="Z87" s="7"/>
      <c r="AA87" s="8"/>
    </row>
    <row r="88" spans="2:29" ht="14.25" thickTop="1" thickBot="1" x14ac:dyDescent="0.25">
      <c r="B88" s="10"/>
      <c r="D88" s="190"/>
      <c r="E88" s="72" t="s">
        <v>722</v>
      </c>
      <c r="F88" s="7"/>
      <c r="G88" s="8"/>
      <c r="H88" s="7"/>
      <c r="I88" s="6"/>
      <c r="J88" s="7"/>
      <c r="K88" s="8"/>
      <c r="L88" s="7"/>
      <c r="M88" s="8"/>
      <c r="N88" s="7"/>
      <c r="O88" s="8"/>
      <c r="P88" s="7"/>
      <c r="Q88" s="7"/>
      <c r="R88" s="8"/>
      <c r="S88" s="7"/>
      <c r="T88" s="9"/>
      <c r="U88" s="7"/>
      <c r="V88" s="8"/>
      <c r="W88" s="7"/>
      <c r="X88" s="7"/>
      <c r="Y88" s="8"/>
      <c r="Z88" s="7"/>
      <c r="AA88" s="8"/>
    </row>
    <row r="89" spans="2:29" ht="14.25" thickTop="1" thickBot="1" x14ac:dyDescent="0.25">
      <c r="B89" s="10"/>
      <c r="D89" s="190"/>
      <c r="E89" s="72" t="s">
        <v>773</v>
      </c>
      <c r="F89" s="7"/>
      <c r="G89" s="8"/>
      <c r="H89" s="7"/>
      <c r="I89" s="6"/>
      <c r="J89" s="7"/>
      <c r="K89" s="8"/>
      <c r="L89" s="7"/>
      <c r="M89" s="8"/>
      <c r="N89" s="7"/>
      <c r="O89" s="8"/>
      <c r="P89" s="7"/>
      <c r="Q89" s="7"/>
      <c r="R89" s="8"/>
      <c r="S89" s="7"/>
      <c r="T89" s="9"/>
      <c r="U89" s="7"/>
      <c r="V89" s="8"/>
      <c r="W89" s="7"/>
      <c r="X89" s="7"/>
      <c r="Y89" s="8"/>
      <c r="Z89" s="7"/>
      <c r="AA89" s="8"/>
    </row>
    <row r="90" spans="2:29" ht="14.25" thickTop="1" thickBot="1" x14ac:dyDescent="0.25">
      <c r="B90" s="10"/>
      <c r="D90" s="190"/>
      <c r="E90" s="72" t="s">
        <v>1099</v>
      </c>
      <c r="F90" s="7"/>
      <c r="G90" s="8"/>
      <c r="H90" s="7"/>
      <c r="I90" s="6"/>
      <c r="J90" s="7"/>
      <c r="K90" s="8"/>
      <c r="L90" s="7"/>
      <c r="M90" s="8"/>
      <c r="N90" s="7"/>
      <c r="O90" s="8"/>
      <c r="P90" s="7"/>
      <c r="Q90" s="7"/>
      <c r="R90" s="8"/>
      <c r="S90" s="7"/>
      <c r="T90" s="9"/>
      <c r="U90" s="7"/>
      <c r="V90" s="8"/>
      <c r="W90" s="7"/>
      <c r="X90" s="7"/>
      <c r="Y90" s="8"/>
      <c r="Z90" s="7"/>
      <c r="AA90" s="8"/>
    </row>
    <row r="91" spans="2:29" ht="14.25" thickTop="1" thickBot="1" x14ac:dyDescent="0.25">
      <c r="B91" s="10"/>
      <c r="D91" s="190"/>
      <c r="E91" s="72" t="s">
        <v>811</v>
      </c>
      <c r="F91" s="7"/>
      <c r="G91" s="8"/>
      <c r="H91" s="7"/>
      <c r="I91" s="6"/>
      <c r="J91" s="7"/>
      <c r="K91" s="8"/>
      <c r="L91" s="7"/>
      <c r="M91" s="8"/>
      <c r="N91" s="7"/>
      <c r="O91" s="8"/>
      <c r="P91" s="7"/>
      <c r="Q91" s="7"/>
      <c r="R91" s="8"/>
      <c r="S91" s="7"/>
      <c r="T91" s="9"/>
      <c r="U91" s="7"/>
      <c r="V91" s="8"/>
      <c r="W91" s="7"/>
      <c r="X91" s="7"/>
      <c r="Y91" s="8"/>
      <c r="Z91" s="7"/>
      <c r="AA91" s="8"/>
    </row>
    <row r="92" spans="2:29" ht="14.25" thickTop="1" thickBot="1" x14ac:dyDescent="0.25">
      <c r="B92" s="10"/>
      <c r="D92" s="190"/>
      <c r="E92" s="72" t="s">
        <v>1091</v>
      </c>
      <c r="F92" s="7"/>
      <c r="G92" s="8"/>
      <c r="H92" s="7"/>
      <c r="I92" s="6"/>
      <c r="J92" s="7"/>
      <c r="K92" s="8"/>
      <c r="L92" s="7"/>
      <c r="M92" s="8"/>
      <c r="N92" s="7"/>
      <c r="O92" s="8"/>
      <c r="P92" s="7"/>
      <c r="Q92" s="7"/>
      <c r="R92" s="8"/>
      <c r="S92" s="7"/>
      <c r="T92" s="9"/>
      <c r="U92" s="7"/>
      <c r="V92" s="8"/>
      <c r="W92" s="7"/>
      <c r="X92" s="7"/>
      <c r="Y92" s="8"/>
      <c r="Z92" s="7"/>
      <c r="AA92" s="8"/>
    </row>
    <row r="93" spans="2:29" ht="14.25" thickTop="1" thickBot="1" x14ac:dyDescent="0.25">
      <c r="B93" s="10"/>
      <c r="D93" s="190"/>
      <c r="E93" s="72" t="s">
        <v>776</v>
      </c>
      <c r="F93" s="7"/>
      <c r="G93" s="8"/>
      <c r="H93" s="7"/>
      <c r="I93" s="6"/>
      <c r="J93" s="7"/>
      <c r="K93" s="8"/>
      <c r="L93" s="7"/>
      <c r="M93" s="8"/>
      <c r="N93" s="7"/>
      <c r="O93" s="8"/>
      <c r="P93" s="7"/>
      <c r="Q93" s="7"/>
      <c r="R93" s="8"/>
      <c r="S93" s="7"/>
      <c r="T93" s="9"/>
      <c r="U93" s="7"/>
      <c r="V93" s="8"/>
      <c r="W93" s="7"/>
      <c r="X93" s="7"/>
      <c r="Y93" s="8"/>
      <c r="Z93" s="7"/>
      <c r="AA93" s="8"/>
    </row>
    <row r="94" spans="2:29" ht="14.25" thickTop="1" thickBot="1" x14ac:dyDescent="0.25">
      <c r="B94" s="10"/>
      <c r="D94" s="190"/>
      <c r="E94" s="72" t="s">
        <v>1115</v>
      </c>
      <c r="F94" s="7"/>
      <c r="G94" s="8"/>
      <c r="H94" s="7"/>
      <c r="I94" s="6"/>
      <c r="J94" s="7"/>
      <c r="K94" s="8"/>
      <c r="L94" s="7"/>
      <c r="M94" s="8"/>
      <c r="N94" s="7"/>
      <c r="O94" s="8"/>
      <c r="P94" s="7"/>
      <c r="Q94" s="7"/>
      <c r="R94" s="8"/>
      <c r="S94" s="7"/>
      <c r="T94" s="9"/>
      <c r="U94" s="7"/>
      <c r="V94" s="8"/>
      <c r="W94" s="7"/>
      <c r="X94" s="7"/>
      <c r="Y94" s="8"/>
      <c r="Z94" s="7"/>
      <c r="AA94" s="8"/>
    </row>
    <row r="95" spans="2:29" ht="14.25" thickTop="1" thickBot="1" x14ac:dyDescent="0.25">
      <c r="B95" s="10"/>
      <c r="D95" s="190"/>
      <c r="E95" s="72" t="s">
        <v>1306</v>
      </c>
      <c r="F95" s="7"/>
      <c r="G95" s="8"/>
      <c r="H95" s="7"/>
      <c r="I95" s="6"/>
      <c r="J95" s="7"/>
      <c r="K95" s="8"/>
      <c r="L95" s="7"/>
      <c r="M95" s="8"/>
      <c r="N95" s="7"/>
      <c r="O95" s="8"/>
      <c r="P95" s="7"/>
      <c r="Q95" s="7"/>
      <c r="R95" s="8"/>
      <c r="S95" s="7"/>
      <c r="T95" s="9"/>
      <c r="U95" s="7"/>
      <c r="V95" s="8"/>
      <c r="W95" s="7"/>
      <c r="X95" s="7"/>
      <c r="Y95" s="8"/>
      <c r="Z95" s="7"/>
      <c r="AA95" s="8"/>
    </row>
    <row r="96" spans="2:29" ht="14.25" thickTop="1" thickBot="1" x14ac:dyDescent="0.25">
      <c r="B96" s="10"/>
      <c r="D96" s="190"/>
      <c r="E96" s="72" t="s">
        <v>759</v>
      </c>
      <c r="F96" s="7"/>
      <c r="G96" s="8"/>
      <c r="H96" s="7"/>
      <c r="I96" s="6"/>
      <c r="J96" s="7"/>
      <c r="K96" s="8"/>
      <c r="L96" s="7"/>
      <c r="M96" s="8"/>
      <c r="N96" s="7"/>
      <c r="O96" s="8"/>
      <c r="P96" s="7"/>
      <c r="Q96" s="7"/>
      <c r="R96" s="8"/>
      <c r="S96" s="7"/>
      <c r="T96" s="9"/>
      <c r="U96" s="7"/>
      <c r="V96" s="8"/>
      <c r="W96" s="7"/>
      <c r="X96" s="7"/>
      <c r="Y96" s="8"/>
      <c r="Z96" s="7"/>
      <c r="AA96" s="8"/>
    </row>
    <row r="97" spans="2:27" ht="14.25" thickTop="1" thickBot="1" x14ac:dyDescent="0.25">
      <c r="B97" s="10"/>
      <c r="D97" s="190"/>
      <c r="E97" s="72" t="s">
        <v>761</v>
      </c>
      <c r="F97" s="7"/>
      <c r="G97" s="8"/>
      <c r="H97" s="7"/>
      <c r="I97" s="6"/>
      <c r="J97" s="7"/>
      <c r="K97" s="8"/>
      <c r="L97" s="7"/>
      <c r="M97" s="8"/>
      <c r="N97" s="7"/>
      <c r="O97" s="8"/>
      <c r="P97" s="7"/>
      <c r="Q97" s="7"/>
      <c r="R97" s="8"/>
      <c r="S97" s="7"/>
      <c r="T97" s="9"/>
      <c r="U97" s="7"/>
      <c r="V97" s="8"/>
      <c r="W97" s="7"/>
      <c r="X97" s="7"/>
      <c r="Y97" s="8"/>
      <c r="Z97" s="7"/>
      <c r="AA97" s="8"/>
    </row>
    <row r="98" spans="2:27" ht="14.25" thickTop="1" thickBot="1" x14ac:dyDescent="0.25">
      <c r="B98" s="10"/>
      <c r="D98" s="190"/>
      <c r="E98" s="72" t="s">
        <v>1121</v>
      </c>
      <c r="F98" s="7"/>
      <c r="G98" s="8"/>
      <c r="H98" s="7"/>
      <c r="I98" s="6"/>
      <c r="J98" s="7"/>
      <c r="K98" s="8"/>
      <c r="L98" s="7"/>
      <c r="M98" s="8"/>
      <c r="N98" s="7"/>
      <c r="O98" s="8"/>
      <c r="P98" s="7"/>
      <c r="Q98" s="7"/>
      <c r="R98" s="8"/>
      <c r="S98" s="7"/>
      <c r="T98" s="9"/>
      <c r="U98" s="7"/>
      <c r="V98" s="8"/>
      <c r="W98" s="7"/>
      <c r="X98" s="7"/>
      <c r="Y98" s="8"/>
      <c r="Z98" s="7"/>
      <c r="AA98" s="8"/>
    </row>
    <row r="99" spans="2:27" ht="14.25" thickTop="1" thickBot="1" x14ac:dyDescent="0.25">
      <c r="B99" s="10"/>
      <c r="D99" s="190"/>
      <c r="E99" s="72" t="s">
        <v>780</v>
      </c>
      <c r="F99" s="7"/>
      <c r="G99" s="8"/>
      <c r="H99" s="7"/>
      <c r="I99" s="6"/>
      <c r="J99" s="7"/>
      <c r="K99" s="8"/>
      <c r="L99" s="7"/>
      <c r="M99" s="8"/>
      <c r="N99" s="7"/>
      <c r="O99" s="8"/>
      <c r="P99" s="7"/>
      <c r="Q99" s="7"/>
      <c r="R99" s="8"/>
      <c r="S99" s="7"/>
      <c r="T99" s="9"/>
      <c r="U99" s="7"/>
      <c r="V99" s="8"/>
      <c r="W99" s="7"/>
      <c r="X99" s="7"/>
      <c r="Y99" s="8"/>
      <c r="Z99" s="7"/>
      <c r="AA99" s="8"/>
    </row>
    <row r="100" spans="2:27" ht="14.25" thickTop="1" thickBot="1" x14ac:dyDescent="0.25">
      <c r="B100" s="10"/>
      <c r="D100" s="190"/>
      <c r="E100" s="72" t="s">
        <v>1125</v>
      </c>
      <c r="F100" s="7"/>
      <c r="G100" s="8"/>
      <c r="H100" s="7"/>
      <c r="I100" s="6"/>
      <c r="J100" s="7"/>
      <c r="K100" s="8"/>
      <c r="L100" s="7"/>
      <c r="M100" s="8"/>
      <c r="N100" s="7"/>
      <c r="O100" s="8"/>
      <c r="P100" s="7"/>
      <c r="Q100" s="7"/>
      <c r="R100" s="8"/>
      <c r="S100" s="7"/>
      <c r="T100" s="9"/>
      <c r="U100" s="7"/>
      <c r="V100" s="8"/>
      <c r="W100" s="7"/>
      <c r="X100" s="7"/>
      <c r="Y100" s="8"/>
      <c r="Z100" s="7"/>
      <c r="AA100" s="8"/>
    </row>
    <row r="101" spans="2:27" ht="14.25" thickTop="1" thickBot="1" x14ac:dyDescent="0.25">
      <c r="B101" s="10"/>
      <c r="D101" s="190"/>
      <c r="E101" s="72" t="s">
        <v>1103</v>
      </c>
      <c r="F101" s="7"/>
      <c r="G101" s="8"/>
      <c r="H101" s="7"/>
      <c r="I101" s="6"/>
      <c r="J101" s="7"/>
      <c r="K101" s="8"/>
      <c r="L101" s="7"/>
      <c r="M101" s="8"/>
      <c r="N101" s="7"/>
      <c r="O101" s="8"/>
      <c r="P101" s="7"/>
      <c r="Q101" s="7"/>
      <c r="R101" s="8"/>
      <c r="S101" s="7"/>
      <c r="T101" s="9"/>
      <c r="U101" s="7"/>
      <c r="V101" s="8"/>
      <c r="W101" s="7"/>
      <c r="X101" s="7"/>
      <c r="Y101" s="8"/>
      <c r="Z101" s="7"/>
      <c r="AA101" s="8"/>
    </row>
    <row r="102" spans="2:27" ht="14.25" thickTop="1" thickBot="1" x14ac:dyDescent="0.25">
      <c r="B102" s="10"/>
      <c r="D102" s="190"/>
      <c r="E102" s="72" t="s">
        <v>967</v>
      </c>
      <c r="F102" s="7"/>
      <c r="G102" s="8"/>
      <c r="H102" s="7"/>
      <c r="I102" s="6"/>
      <c r="J102" s="7"/>
      <c r="K102" s="8"/>
      <c r="L102" s="7"/>
      <c r="M102" s="8"/>
      <c r="N102" s="7"/>
      <c r="O102" s="8"/>
      <c r="P102" s="7"/>
      <c r="Q102" s="7"/>
      <c r="R102" s="8"/>
      <c r="S102" s="7"/>
      <c r="T102" s="9"/>
      <c r="U102" s="7"/>
      <c r="V102" s="8"/>
      <c r="W102" s="7"/>
      <c r="X102" s="7"/>
      <c r="Y102" s="8"/>
      <c r="Z102" s="7"/>
      <c r="AA102" s="8"/>
    </row>
    <row r="103" spans="2:27" ht="14.25" thickTop="1" thickBot="1" x14ac:dyDescent="0.25">
      <c r="B103" s="10"/>
      <c r="D103" s="190"/>
      <c r="E103" s="72" t="s">
        <v>739</v>
      </c>
      <c r="F103" s="7"/>
      <c r="G103" s="8"/>
      <c r="H103" s="7"/>
      <c r="I103" s="6"/>
      <c r="J103" s="7"/>
      <c r="K103" s="8"/>
      <c r="L103" s="7"/>
      <c r="M103" s="8"/>
      <c r="N103" s="7"/>
      <c r="O103" s="8"/>
      <c r="P103" s="7"/>
      <c r="Q103" s="7"/>
      <c r="R103" s="8"/>
      <c r="S103" s="7"/>
      <c r="T103" s="9"/>
      <c r="U103" s="7"/>
      <c r="V103" s="8"/>
      <c r="W103" s="7"/>
      <c r="X103" s="7"/>
      <c r="Y103" s="8"/>
      <c r="Z103" s="7"/>
      <c r="AA103" s="8"/>
    </row>
    <row r="104" spans="2:27" ht="14.25" thickTop="1" thickBot="1" x14ac:dyDescent="0.25">
      <c r="B104" s="10"/>
      <c r="D104" s="190"/>
      <c r="E104" s="72" t="s">
        <v>735</v>
      </c>
      <c r="F104" s="7"/>
      <c r="G104" s="8"/>
      <c r="H104" s="7"/>
      <c r="I104" s="6"/>
      <c r="J104" s="7"/>
      <c r="K104" s="8"/>
      <c r="L104" s="7"/>
      <c r="M104" s="8"/>
      <c r="N104" s="7"/>
      <c r="O104" s="8"/>
      <c r="P104" s="7"/>
      <c r="Q104" s="7"/>
      <c r="R104" s="8"/>
      <c r="S104" s="7"/>
      <c r="T104" s="9"/>
      <c r="U104" s="7"/>
      <c r="V104" s="8"/>
      <c r="W104" s="7"/>
      <c r="X104" s="7"/>
      <c r="Y104" s="8"/>
      <c r="Z104" s="7"/>
      <c r="AA104" s="8"/>
    </row>
    <row r="105" spans="2:27" ht="14.25" thickTop="1" thickBot="1" x14ac:dyDescent="0.25">
      <c r="B105" s="10"/>
      <c r="D105" s="190"/>
      <c r="E105" s="72" t="s">
        <v>1107</v>
      </c>
      <c r="F105" s="7"/>
      <c r="G105" s="8"/>
      <c r="H105" s="7"/>
      <c r="I105" s="6"/>
      <c r="J105" s="7"/>
      <c r="K105" s="8"/>
      <c r="L105" s="7"/>
      <c r="M105" s="8"/>
      <c r="N105" s="7"/>
      <c r="O105" s="8"/>
      <c r="P105" s="7"/>
      <c r="Q105" s="7"/>
      <c r="R105" s="8"/>
      <c r="S105" s="7"/>
      <c r="T105" s="9"/>
      <c r="U105" s="7"/>
      <c r="V105" s="8"/>
      <c r="W105" s="7"/>
      <c r="X105" s="7"/>
      <c r="Y105" s="8"/>
      <c r="Z105" s="7"/>
      <c r="AA105" s="8"/>
    </row>
    <row r="106" spans="2:27" ht="14.25" thickTop="1" thickBot="1" x14ac:dyDescent="0.25">
      <c r="B106" s="10"/>
      <c r="D106" s="190"/>
      <c r="E106" s="72" t="s">
        <v>467</v>
      </c>
      <c r="F106" s="7"/>
      <c r="G106" s="8"/>
      <c r="H106" s="7"/>
      <c r="I106" s="6"/>
      <c r="J106" s="7"/>
      <c r="K106" s="8"/>
      <c r="L106" s="7"/>
      <c r="M106" s="8"/>
      <c r="N106" s="7"/>
      <c r="O106" s="8"/>
      <c r="P106" s="7"/>
      <c r="Q106" s="7"/>
      <c r="R106" s="8"/>
      <c r="S106" s="7"/>
      <c r="T106" s="9"/>
      <c r="U106" s="7"/>
      <c r="V106" s="8"/>
      <c r="W106" s="7"/>
      <c r="X106" s="7"/>
      <c r="Y106" s="8"/>
      <c r="Z106" s="7"/>
      <c r="AA106" s="8"/>
    </row>
    <row r="107" spans="2:27" ht="14.25" thickTop="1" thickBot="1" x14ac:dyDescent="0.25">
      <c r="B107" s="10"/>
      <c r="D107" s="190"/>
      <c r="E107" s="72" t="s">
        <v>1457</v>
      </c>
      <c r="F107" s="7"/>
      <c r="G107" s="8"/>
      <c r="H107" s="7"/>
      <c r="I107" s="6"/>
      <c r="J107" s="7"/>
      <c r="K107" s="8"/>
      <c r="L107" s="7"/>
      <c r="M107" s="8"/>
      <c r="N107" s="7"/>
      <c r="O107" s="8"/>
      <c r="P107" s="7"/>
      <c r="Q107" s="7"/>
      <c r="R107" s="8"/>
      <c r="S107" s="7"/>
      <c r="T107" s="9"/>
      <c r="U107" s="7"/>
      <c r="V107" s="8"/>
      <c r="W107" s="7"/>
      <c r="X107" s="7"/>
      <c r="Y107" s="8"/>
      <c r="Z107" s="7"/>
      <c r="AA107" s="8"/>
    </row>
    <row r="108" spans="2:27" ht="14.25" thickTop="1" thickBot="1" x14ac:dyDescent="0.25">
      <c r="B108" s="10"/>
      <c r="D108" s="190"/>
      <c r="E108" s="72" t="s">
        <v>1106</v>
      </c>
      <c r="F108" s="7"/>
      <c r="G108" s="8"/>
      <c r="H108" s="7"/>
      <c r="I108" s="6"/>
      <c r="J108" s="7"/>
      <c r="K108" s="8"/>
      <c r="L108" s="7"/>
      <c r="M108" s="8"/>
      <c r="N108" s="7"/>
      <c r="O108" s="8"/>
      <c r="P108" s="7"/>
      <c r="Q108" s="7"/>
      <c r="R108" s="8"/>
      <c r="S108" s="7"/>
      <c r="T108" s="9"/>
      <c r="U108" s="7"/>
      <c r="V108" s="8"/>
      <c r="W108" s="7"/>
      <c r="X108" s="7"/>
      <c r="Y108" s="8"/>
      <c r="Z108" s="7"/>
      <c r="AA108" s="8"/>
    </row>
    <row r="109" spans="2:27" ht="14.25" thickTop="1" thickBot="1" x14ac:dyDescent="0.25">
      <c r="B109" s="10"/>
      <c r="D109" s="190"/>
      <c r="E109" s="72" t="s">
        <v>470</v>
      </c>
      <c r="F109" s="7"/>
      <c r="G109" s="8"/>
      <c r="H109" s="7"/>
      <c r="I109" s="6"/>
      <c r="J109" s="7"/>
      <c r="K109" s="8"/>
      <c r="L109" s="7"/>
      <c r="M109" s="8"/>
      <c r="N109" s="7"/>
      <c r="O109" s="8"/>
      <c r="P109" s="7"/>
      <c r="Q109" s="7"/>
      <c r="R109" s="8"/>
      <c r="S109" s="7"/>
      <c r="T109" s="9"/>
      <c r="U109" s="7"/>
      <c r="V109" s="8"/>
      <c r="W109" s="7"/>
      <c r="X109" s="7"/>
      <c r="Y109" s="8"/>
      <c r="Z109" s="7"/>
      <c r="AA109" s="8"/>
    </row>
    <row r="110" spans="2:27" ht="14.25" thickTop="1" thickBot="1" x14ac:dyDescent="0.25">
      <c r="B110" s="10"/>
      <c r="D110" s="190"/>
      <c r="E110" s="72" t="s">
        <v>1263</v>
      </c>
      <c r="F110" s="7"/>
      <c r="G110" s="8"/>
      <c r="H110" s="7"/>
      <c r="I110" s="6"/>
      <c r="J110" s="7"/>
      <c r="K110" s="8"/>
      <c r="L110" s="7"/>
      <c r="M110" s="8"/>
      <c r="N110" s="7"/>
      <c r="O110" s="8"/>
      <c r="P110" s="7"/>
      <c r="Q110" s="7"/>
      <c r="R110" s="8"/>
      <c r="S110" s="7"/>
      <c r="T110" s="9"/>
      <c r="U110" s="7"/>
      <c r="V110" s="8"/>
      <c r="W110" s="7"/>
      <c r="X110" s="7"/>
      <c r="Y110" s="8"/>
      <c r="Z110" s="7"/>
      <c r="AA110" s="8"/>
    </row>
    <row r="111" spans="2:27" ht="14.25" thickTop="1" thickBot="1" x14ac:dyDescent="0.25">
      <c r="B111" s="10"/>
      <c r="D111" s="190"/>
      <c r="E111" s="72" t="s">
        <v>1127</v>
      </c>
      <c r="F111" s="7"/>
      <c r="G111" s="8"/>
      <c r="H111" s="7"/>
      <c r="I111" s="6"/>
      <c r="J111" s="7"/>
      <c r="K111" s="8"/>
      <c r="L111" s="7"/>
      <c r="M111" s="8"/>
      <c r="N111" s="7"/>
      <c r="O111" s="8"/>
      <c r="P111" s="7"/>
      <c r="Q111" s="7"/>
      <c r="R111" s="8"/>
      <c r="S111" s="7"/>
      <c r="T111" s="9"/>
      <c r="U111" s="7"/>
      <c r="V111" s="8"/>
      <c r="W111" s="7"/>
      <c r="X111" s="7"/>
      <c r="Y111" s="8"/>
      <c r="Z111" s="7"/>
      <c r="AA111" s="8"/>
    </row>
    <row r="112" spans="2:27" ht="14.25" thickTop="1" thickBot="1" x14ac:dyDescent="0.25">
      <c r="B112" s="10"/>
      <c r="D112" s="190"/>
      <c r="E112" s="72" t="s">
        <v>835</v>
      </c>
      <c r="F112" s="7"/>
      <c r="G112" s="8"/>
      <c r="H112" s="7"/>
      <c r="I112" s="6"/>
      <c r="J112" s="7"/>
      <c r="K112" s="8"/>
      <c r="L112" s="7"/>
      <c r="M112" s="8"/>
      <c r="N112" s="7"/>
      <c r="O112" s="8"/>
      <c r="P112" s="7"/>
      <c r="Q112" s="7"/>
      <c r="R112" s="8"/>
      <c r="S112" s="7"/>
      <c r="T112" s="9"/>
      <c r="U112" s="7"/>
      <c r="V112" s="8"/>
      <c r="W112" s="7"/>
      <c r="X112" s="7"/>
      <c r="Y112" s="8"/>
      <c r="Z112" s="7"/>
      <c r="AA112" s="8"/>
    </row>
    <row r="113" spans="2:27" ht="14.25" thickTop="1" thickBot="1" x14ac:dyDescent="0.25">
      <c r="B113" s="10"/>
      <c r="D113" s="190"/>
      <c r="E113" s="72" t="s">
        <v>731</v>
      </c>
      <c r="F113" s="7"/>
      <c r="G113" s="8"/>
      <c r="H113" s="7"/>
      <c r="I113" s="6"/>
      <c r="J113" s="7"/>
      <c r="K113" s="8"/>
      <c r="L113" s="7"/>
      <c r="M113" s="8"/>
      <c r="N113" s="7"/>
      <c r="O113" s="8"/>
      <c r="P113" s="7"/>
      <c r="Q113" s="7"/>
      <c r="R113" s="8"/>
      <c r="S113" s="7"/>
      <c r="T113" s="9"/>
      <c r="U113" s="7"/>
      <c r="V113" s="8"/>
      <c r="W113" s="7"/>
      <c r="X113" s="7"/>
      <c r="Y113" s="8"/>
      <c r="Z113" s="7"/>
      <c r="AA113" s="8"/>
    </row>
    <row r="114" spans="2:27" ht="14.25" thickTop="1" thickBot="1" x14ac:dyDescent="0.25">
      <c r="B114" s="10"/>
      <c r="D114" s="190"/>
      <c r="E114" s="72" t="s">
        <v>476</v>
      </c>
      <c r="F114" s="7"/>
      <c r="G114" s="8"/>
      <c r="H114" s="7"/>
      <c r="I114" s="6"/>
      <c r="J114" s="7"/>
      <c r="K114" s="8"/>
      <c r="L114" s="7"/>
      <c r="M114" s="8"/>
      <c r="N114" s="7"/>
      <c r="O114" s="8"/>
      <c r="P114" s="7"/>
      <c r="Q114" s="7"/>
      <c r="R114" s="8"/>
      <c r="S114" s="7"/>
      <c r="T114" s="9"/>
      <c r="U114" s="7"/>
      <c r="V114" s="8"/>
      <c r="W114" s="7"/>
      <c r="X114" s="7"/>
      <c r="Y114" s="8"/>
      <c r="Z114" s="7"/>
      <c r="AA114" s="8"/>
    </row>
    <row r="115" spans="2:27" ht="14.25" thickTop="1" thickBot="1" x14ac:dyDescent="0.25">
      <c r="B115" s="10"/>
      <c r="D115" s="190"/>
      <c r="E115" s="72" t="s">
        <v>478</v>
      </c>
      <c r="F115" s="7"/>
      <c r="G115" s="8"/>
      <c r="H115" s="7"/>
      <c r="I115" s="6"/>
      <c r="J115" s="7"/>
      <c r="K115" s="8"/>
      <c r="L115" s="7"/>
      <c r="M115" s="8"/>
      <c r="N115" s="7"/>
      <c r="O115" s="8"/>
      <c r="P115" s="7"/>
      <c r="Q115" s="7"/>
      <c r="R115" s="8"/>
      <c r="S115" s="7"/>
      <c r="T115" s="9"/>
      <c r="U115" s="7"/>
      <c r="V115" s="8"/>
      <c r="W115" s="7"/>
      <c r="X115" s="7"/>
      <c r="Y115" s="8"/>
      <c r="Z115" s="7"/>
      <c r="AA115" s="8"/>
    </row>
    <row r="116" spans="2:27" ht="14.25" thickTop="1" thickBot="1" x14ac:dyDescent="0.25">
      <c r="B116" s="10"/>
      <c r="D116" s="190"/>
      <c r="E116" s="72" t="s">
        <v>724</v>
      </c>
      <c r="F116" s="7"/>
      <c r="G116" s="8"/>
      <c r="H116" s="7"/>
      <c r="I116" s="6"/>
      <c r="J116" s="7"/>
      <c r="K116" s="8"/>
      <c r="L116" s="7"/>
      <c r="M116" s="8"/>
      <c r="N116" s="7"/>
      <c r="O116" s="8"/>
      <c r="P116" s="7"/>
      <c r="Q116" s="7"/>
      <c r="R116" s="8"/>
      <c r="S116" s="7"/>
      <c r="T116" s="9"/>
      <c r="U116" s="7"/>
      <c r="V116" s="8"/>
      <c r="W116" s="7"/>
      <c r="X116" s="7"/>
      <c r="Y116" s="8"/>
      <c r="Z116" s="7"/>
      <c r="AA116" s="8"/>
    </row>
    <row r="117" spans="2:27" ht="14.25" thickTop="1" thickBot="1" x14ac:dyDescent="0.25">
      <c r="B117" s="10"/>
      <c r="D117" s="190"/>
      <c r="E117" s="72" t="s">
        <v>846</v>
      </c>
      <c r="F117" s="7"/>
      <c r="G117" s="8"/>
      <c r="H117" s="7"/>
      <c r="I117" s="6"/>
      <c r="J117" s="7"/>
      <c r="K117" s="8"/>
      <c r="L117" s="7"/>
      <c r="M117" s="8"/>
      <c r="N117" s="7"/>
      <c r="O117" s="8"/>
      <c r="P117" s="7"/>
      <c r="Q117" s="7"/>
      <c r="R117" s="8"/>
      <c r="S117" s="7"/>
      <c r="T117" s="9"/>
      <c r="U117" s="7"/>
      <c r="V117" s="8"/>
      <c r="W117" s="7"/>
      <c r="X117" s="7"/>
      <c r="Y117" s="8"/>
      <c r="Z117" s="7"/>
      <c r="AA117" s="8"/>
    </row>
    <row r="118" spans="2:27" ht="14.25" thickTop="1" thickBot="1" x14ac:dyDescent="0.25">
      <c r="B118" s="10"/>
      <c r="D118" s="190"/>
      <c r="E118" s="72" t="s">
        <v>1101</v>
      </c>
      <c r="F118" s="7"/>
      <c r="G118" s="8"/>
      <c r="H118" s="7"/>
      <c r="I118" s="6"/>
      <c r="J118" s="7"/>
      <c r="K118" s="8"/>
      <c r="L118" s="7"/>
      <c r="M118" s="8"/>
      <c r="N118" s="7"/>
      <c r="O118" s="8"/>
      <c r="P118" s="7"/>
      <c r="Q118" s="7"/>
      <c r="R118" s="8"/>
      <c r="S118" s="7"/>
      <c r="T118" s="9"/>
      <c r="U118" s="7"/>
      <c r="V118" s="8"/>
      <c r="W118" s="7"/>
      <c r="X118" s="7"/>
      <c r="Y118" s="8"/>
      <c r="Z118" s="7"/>
      <c r="AA118" s="8"/>
    </row>
    <row r="119" spans="2:27" ht="14.25" thickTop="1" thickBot="1" x14ac:dyDescent="0.25">
      <c r="B119" s="10"/>
      <c r="D119" s="190"/>
      <c r="E119" s="72" t="s">
        <v>795</v>
      </c>
      <c r="F119" s="7"/>
      <c r="G119" s="8"/>
      <c r="H119" s="7"/>
      <c r="I119" s="6"/>
      <c r="J119" s="7"/>
      <c r="K119" s="8"/>
      <c r="L119" s="7"/>
      <c r="M119" s="8"/>
      <c r="N119" s="7"/>
      <c r="O119" s="8"/>
      <c r="P119" s="7"/>
      <c r="Q119" s="7"/>
      <c r="R119" s="8"/>
      <c r="S119" s="7"/>
      <c r="T119" s="9"/>
      <c r="U119" s="7"/>
      <c r="V119" s="8"/>
      <c r="W119" s="7"/>
      <c r="X119" s="7"/>
      <c r="Y119" s="8"/>
      <c r="Z119" s="7"/>
      <c r="AA119" s="8"/>
    </row>
    <row r="120" spans="2:27" ht="14.25" thickTop="1" thickBot="1" x14ac:dyDescent="0.25">
      <c r="B120" s="10"/>
      <c r="D120" s="190"/>
      <c r="E120" s="72" t="s">
        <v>791</v>
      </c>
      <c r="F120" s="7"/>
      <c r="G120" s="8"/>
      <c r="H120" s="7"/>
      <c r="I120" s="6"/>
      <c r="J120" s="7"/>
      <c r="K120" s="8"/>
      <c r="L120" s="7"/>
      <c r="M120" s="8"/>
      <c r="N120" s="7"/>
      <c r="O120" s="8"/>
      <c r="P120" s="7"/>
      <c r="Q120" s="7"/>
      <c r="R120" s="8"/>
      <c r="S120" s="7"/>
      <c r="T120" s="9"/>
      <c r="U120" s="7"/>
      <c r="V120" s="8"/>
      <c r="W120" s="7"/>
      <c r="X120" s="7"/>
      <c r="Y120" s="8"/>
      <c r="Z120" s="7"/>
      <c r="AA120" s="8"/>
    </row>
    <row r="121" spans="2:27" ht="14.25" thickTop="1" thickBot="1" x14ac:dyDescent="0.25">
      <c r="B121" s="10"/>
      <c r="D121" s="190"/>
      <c r="E121" s="72" t="s">
        <v>787</v>
      </c>
      <c r="F121" s="7"/>
      <c r="G121" s="8"/>
      <c r="H121" s="7"/>
      <c r="I121" s="6"/>
      <c r="J121" s="7"/>
      <c r="K121" s="8"/>
      <c r="L121" s="7"/>
      <c r="M121" s="8"/>
      <c r="N121" s="7"/>
      <c r="O121" s="8"/>
      <c r="P121" s="7"/>
      <c r="Q121" s="7"/>
      <c r="R121" s="8"/>
      <c r="S121" s="7"/>
      <c r="T121" s="9"/>
      <c r="U121" s="7"/>
      <c r="V121" s="8"/>
      <c r="W121" s="7"/>
      <c r="X121" s="7"/>
      <c r="Y121" s="8"/>
      <c r="Z121" s="7"/>
      <c r="AA121" s="8"/>
    </row>
    <row r="122" spans="2:27" ht="14.25" thickTop="1" thickBot="1" x14ac:dyDescent="0.25">
      <c r="B122" s="10"/>
      <c r="D122" s="190"/>
      <c r="E122" s="72" t="s">
        <v>769</v>
      </c>
      <c r="F122" s="7"/>
      <c r="G122" s="8"/>
      <c r="H122" s="7"/>
      <c r="I122" s="6"/>
      <c r="J122" s="7"/>
      <c r="K122" s="8"/>
      <c r="L122" s="7"/>
      <c r="M122" s="8"/>
      <c r="N122" s="7"/>
      <c r="O122" s="8"/>
      <c r="P122" s="7"/>
      <c r="Q122" s="7"/>
      <c r="R122" s="8"/>
      <c r="S122" s="7"/>
      <c r="T122" s="9"/>
      <c r="U122" s="7"/>
      <c r="V122" s="8"/>
      <c r="W122" s="7"/>
      <c r="X122" s="7"/>
      <c r="Y122" s="8"/>
      <c r="Z122" s="7"/>
      <c r="AA122" s="8"/>
    </row>
    <row r="123" spans="2:27" ht="14.25" thickTop="1" thickBot="1" x14ac:dyDescent="0.25">
      <c r="B123" s="10"/>
      <c r="D123" s="190"/>
      <c r="E123" s="72" t="s">
        <v>1105</v>
      </c>
      <c r="F123" s="7"/>
      <c r="G123" s="8"/>
      <c r="H123" s="7"/>
      <c r="I123" s="6"/>
      <c r="J123" s="7"/>
      <c r="K123" s="8"/>
      <c r="L123" s="7"/>
      <c r="M123" s="8"/>
      <c r="N123" s="7"/>
      <c r="O123" s="8"/>
      <c r="P123" s="7"/>
      <c r="Q123" s="7"/>
      <c r="R123" s="8"/>
      <c r="S123" s="7"/>
      <c r="T123" s="9"/>
      <c r="U123" s="7"/>
      <c r="V123" s="8"/>
      <c r="W123" s="7"/>
      <c r="X123" s="7"/>
      <c r="Y123" s="8"/>
      <c r="Z123" s="7"/>
      <c r="AA123" s="8"/>
    </row>
    <row r="124" spans="2:27" ht="14.25" thickTop="1" thickBot="1" x14ac:dyDescent="0.25">
      <c r="B124" s="10"/>
      <c r="D124" s="190"/>
      <c r="E124" s="72" t="s">
        <v>841</v>
      </c>
      <c r="F124" s="7"/>
      <c r="G124" s="8"/>
      <c r="H124" s="7"/>
      <c r="I124" s="6"/>
      <c r="J124" s="7"/>
      <c r="K124" s="8"/>
      <c r="L124" s="7"/>
      <c r="M124" s="8"/>
      <c r="N124" s="7"/>
      <c r="O124" s="8"/>
      <c r="P124" s="7"/>
      <c r="Q124" s="7"/>
      <c r="R124" s="8"/>
      <c r="S124" s="7"/>
      <c r="T124" s="9"/>
      <c r="U124" s="7"/>
      <c r="V124" s="8"/>
      <c r="W124" s="7"/>
      <c r="X124" s="7"/>
      <c r="Y124" s="8"/>
      <c r="Z124" s="7"/>
      <c r="AA124" s="8"/>
    </row>
    <row r="125" spans="2:27" ht="14.25" thickTop="1" thickBot="1" x14ac:dyDescent="0.25">
      <c r="B125" s="10"/>
      <c r="D125" s="190"/>
      <c r="E125" s="72" t="s">
        <v>847</v>
      </c>
      <c r="F125" s="7"/>
      <c r="G125" s="8"/>
      <c r="H125" s="7"/>
      <c r="I125" s="6"/>
      <c r="J125" s="7"/>
      <c r="K125" s="8"/>
      <c r="L125" s="7"/>
      <c r="M125" s="8"/>
      <c r="N125" s="7"/>
      <c r="O125" s="8"/>
      <c r="P125" s="7"/>
      <c r="Q125" s="7"/>
      <c r="R125" s="8"/>
      <c r="S125" s="7"/>
      <c r="T125" s="9"/>
      <c r="U125" s="7"/>
      <c r="V125" s="8"/>
      <c r="W125" s="7"/>
      <c r="X125" s="7"/>
      <c r="Y125" s="8"/>
      <c r="Z125" s="7"/>
      <c r="AA125" s="8"/>
    </row>
    <row r="126" spans="2:27" ht="14.25" thickTop="1" thickBot="1" x14ac:dyDescent="0.25">
      <c r="B126" s="10"/>
      <c r="D126" s="190"/>
      <c r="E126" s="72" t="s">
        <v>658</v>
      </c>
      <c r="F126" s="7"/>
      <c r="G126" s="8"/>
      <c r="H126" s="7"/>
      <c r="I126" s="6"/>
      <c r="J126" s="7"/>
      <c r="K126" s="8"/>
      <c r="L126" s="7"/>
      <c r="M126" s="8"/>
      <c r="N126" s="7"/>
      <c r="O126" s="8"/>
      <c r="P126" s="7"/>
      <c r="Q126" s="7"/>
      <c r="R126" s="8"/>
      <c r="S126" s="7"/>
      <c r="T126" s="9"/>
      <c r="U126" s="7"/>
      <c r="V126" s="8"/>
      <c r="W126" s="7"/>
      <c r="X126" s="7"/>
      <c r="Y126" s="8"/>
      <c r="Z126" s="7"/>
      <c r="AA126" s="8"/>
    </row>
    <row r="127" spans="2:27" ht="14.25" thickTop="1" thickBot="1" x14ac:dyDescent="0.25">
      <c r="B127" s="10"/>
      <c r="D127" s="190"/>
      <c r="E127" s="72" t="s">
        <v>682</v>
      </c>
      <c r="F127" s="7"/>
      <c r="G127" s="8"/>
      <c r="H127" s="7"/>
      <c r="I127" s="6"/>
      <c r="J127" s="7"/>
      <c r="K127" s="8"/>
      <c r="L127" s="7"/>
      <c r="M127" s="8"/>
      <c r="N127" s="7"/>
      <c r="O127" s="8"/>
      <c r="P127" s="7"/>
      <c r="Q127" s="7"/>
      <c r="R127" s="8"/>
      <c r="S127" s="7"/>
      <c r="T127" s="9"/>
      <c r="U127" s="7"/>
      <c r="V127" s="8"/>
      <c r="W127" s="7"/>
      <c r="X127" s="7"/>
      <c r="Y127" s="8"/>
      <c r="Z127" s="7"/>
      <c r="AA127" s="8"/>
    </row>
    <row r="128" spans="2:27" ht="14.25" thickTop="1" thickBot="1" x14ac:dyDescent="0.25">
      <c r="B128" s="10"/>
      <c r="D128" s="190"/>
      <c r="E128" s="72" t="s">
        <v>843</v>
      </c>
      <c r="F128" s="7"/>
      <c r="G128" s="8"/>
      <c r="H128" s="7"/>
      <c r="I128" s="6"/>
      <c r="J128" s="7"/>
      <c r="K128" s="8"/>
      <c r="L128" s="7"/>
      <c r="M128" s="8"/>
      <c r="N128" s="7"/>
      <c r="O128" s="8"/>
      <c r="P128" s="7"/>
      <c r="Q128" s="7"/>
      <c r="R128" s="8"/>
      <c r="S128" s="7"/>
      <c r="T128" s="9"/>
      <c r="U128" s="7"/>
      <c r="V128" s="8"/>
      <c r="W128" s="7"/>
      <c r="X128" s="7"/>
      <c r="Y128" s="8"/>
      <c r="Z128" s="7"/>
      <c r="AA128" s="8"/>
    </row>
    <row r="129" spans="2:27" ht="14.25" thickTop="1" thickBot="1" x14ac:dyDescent="0.25">
      <c r="B129" s="10"/>
      <c r="D129" s="190"/>
      <c r="E129" s="72" t="s">
        <v>730</v>
      </c>
      <c r="F129" s="7"/>
      <c r="G129" s="8"/>
      <c r="H129" s="7"/>
      <c r="I129" s="6"/>
      <c r="J129" s="7"/>
      <c r="K129" s="8"/>
      <c r="L129" s="7"/>
      <c r="M129" s="8"/>
      <c r="N129" s="7"/>
      <c r="O129" s="8"/>
      <c r="P129" s="7"/>
      <c r="Q129" s="7"/>
      <c r="R129" s="8"/>
      <c r="S129" s="7"/>
      <c r="T129" s="9"/>
      <c r="U129" s="7"/>
      <c r="V129" s="8"/>
      <c r="W129" s="7"/>
      <c r="X129" s="7"/>
      <c r="Y129" s="8"/>
      <c r="Z129" s="7"/>
      <c r="AA129" s="8"/>
    </row>
    <row r="130" spans="2:27" ht="14.25" thickTop="1" thickBot="1" x14ac:dyDescent="0.25">
      <c r="B130" s="10"/>
      <c r="D130" s="190"/>
      <c r="E130" s="72" t="s">
        <v>842</v>
      </c>
      <c r="F130" s="7"/>
      <c r="G130" s="8"/>
      <c r="H130" s="7"/>
      <c r="I130" s="6"/>
      <c r="J130" s="7"/>
      <c r="K130" s="8"/>
      <c r="L130" s="7"/>
      <c r="M130" s="8"/>
      <c r="N130" s="7"/>
      <c r="O130" s="8"/>
      <c r="P130" s="7"/>
      <c r="Q130" s="7"/>
      <c r="R130" s="8"/>
      <c r="S130" s="7"/>
      <c r="T130" s="9"/>
      <c r="U130" s="7"/>
      <c r="V130" s="8"/>
      <c r="W130" s="7"/>
      <c r="X130" s="7"/>
      <c r="Y130" s="8"/>
      <c r="Z130" s="7"/>
      <c r="AA130" s="8"/>
    </row>
    <row r="131" spans="2:27" ht="14.25" thickTop="1" thickBot="1" x14ac:dyDescent="0.25">
      <c r="B131" s="10"/>
      <c r="D131" s="190"/>
      <c r="E131" s="72" t="s">
        <v>484</v>
      </c>
      <c r="F131" s="7"/>
      <c r="G131" s="8"/>
      <c r="H131" s="7"/>
      <c r="I131" s="6"/>
      <c r="J131" s="7"/>
      <c r="K131" s="8"/>
      <c r="L131" s="7"/>
      <c r="M131" s="8"/>
      <c r="N131" s="7"/>
      <c r="O131" s="8"/>
      <c r="P131" s="7"/>
      <c r="Q131" s="7"/>
      <c r="R131" s="8"/>
      <c r="S131" s="7"/>
      <c r="T131" s="9"/>
      <c r="U131" s="7"/>
      <c r="V131" s="8"/>
      <c r="W131" s="7"/>
      <c r="X131" s="7"/>
      <c r="Y131" s="8"/>
      <c r="Z131" s="7"/>
      <c r="AA131" s="8"/>
    </row>
    <row r="132" spans="2:27" ht="14.25" thickTop="1" thickBot="1" x14ac:dyDescent="0.25">
      <c r="B132" s="10"/>
      <c r="D132" s="190"/>
      <c r="E132" s="72" t="s">
        <v>763</v>
      </c>
      <c r="F132" s="7"/>
      <c r="G132" s="8"/>
      <c r="H132" s="7"/>
      <c r="I132" s="6"/>
      <c r="J132" s="7"/>
      <c r="K132" s="8"/>
      <c r="L132" s="7"/>
      <c r="M132" s="8"/>
      <c r="N132" s="7"/>
      <c r="O132" s="8"/>
      <c r="P132" s="7"/>
      <c r="Q132" s="7"/>
      <c r="R132" s="8"/>
      <c r="S132" s="7"/>
      <c r="T132" s="9"/>
      <c r="U132" s="7"/>
      <c r="V132" s="8"/>
      <c r="W132" s="7"/>
      <c r="X132" s="7"/>
      <c r="Y132" s="8"/>
      <c r="Z132" s="7"/>
      <c r="AA132" s="8"/>
    </row>
    <row r="133" spans="2:27" ht="14.25" thickTop="1" thickBot="1" x14ac:dyDescent="0.25">
      <c r="B133" s="10"/>
      <c r="D133" s="190"/>
      <c r="E133" s="72" t="s">
        <v>1109</v>
      </c>
      <c r="F133" s="7"/>
      <c r="G133" s="8"/>
      <c r="H133" s="7"/>
      <c r="I133" s="6"/>
      <c r="J133" s="7"/>
      <c r="K133" s="8"/>
      <c r="L133" s="7"/>
      <c r="M133" s="8"/>
      <c r="N133" s="7"/>
      <c r="O133" s="8"/>
      <c r="P133" s="7"/>
      <c r="Q133" s="7"/>
      <c r="R133" s="8"/>
      <c r="S133" s="7"/>
      <c r="T133" s="9"/>
      <c r="U133" s="7"/>
      <c r="V133" s="8"/>
      <c r="W133" s="7"/>
      <c r="X133" s="7"/>
      <c r="Y133" s="8"/>
      <c r="Z133" s="7"/>
      <c r="AA133" s="8"/>
    </row>
    <row r="134" spans="2:27" ht="14.25" thickTop="1" thickBot="1" x14ac:dyDescent="0.25">
      <c r="B134" s="10"/>
      <c r="D134" s="190"/>
      <c r="E134" s="72" t="s">
        <v>1289</v>
      </c>
      <c r="F134" s="7"/>
      <c r="G134" s="8"/>
      <c r="H134" s="7"/>
      <c r="I134" s="6"/>
      <c r="J134" s="7"/>
      <c r="K134" s="8"/>
      <c r="L134" s="7"/>
      <c r="M134" s="8"/>
      <c r="N134" s="7"/>
      <c r="O134" s="8"/>
      <c r="P134" s="7"/>
      <c r="Q134" s="7"/>
      <c r="R134" s="8"/>
      <c r="S134" s="7"/>
      <c r="T134" s="9"/>
      <c r="U134" s="7"/>
      <c r="V134" s="8"/>
      <c r="W134" s="7"/>
      <c r="X134" s="7"/>
      <c r="Y134" s="8"/>
      <c r="Z134" s="7"/>
      <c r="AA134" s="8"/>
    </row>
    <row r="135" spans="2:27" ht="14.25" thickTop="1" thickBot="1" x14ac:dyDescent="0.25">
      <c r="B135" s="10"/>
      <c r="D135" s="190"/>
      <c r="E135" s="72" t="s">
        <v>1291</v>
      </c>
      <c r="F135" s="7"/>
      <c r="G135" s="8"/>
      <c r="H135" s="7"/>
      <c r="I135" s="6"/>
      <c r="J135" s="7"/>
      <c r="K135" s="8"/>
      <c r="L135" s="7"/>
      <c r="M135" s="8"/>
      <c r="N135" s="7"/>
      <c r="O135" s="8"/>
      <c r="P135" s="7"/>
      <c r="Q135" s="7"/>
      <c r="R135" s="8"/>
      <c r="S135" s="7"/>
      <c r="T135" s="9"/>
      <c r="U135" s="7"/>
      <c r="V135" s="8"/>
      <c r="W135" s="7"/>
      <c r="X135" s="7"/>
      <c r="Y135" s="8"/>
      <c r="Z135" s="7"/>
      <c r="AA135" s="8"/>
    </row>
    <row r="136" spans="2:27" ht="14.25" thickTop="1" thickBot="1" x14ac:dyDescent="0.25">
      <c r="B136" s="10"/>
      <c r="D136" s="190"/>
      <c r="E136" s="72" t="s">
        <v>1290</v>
      </c>
      <c r="F136" s="7"/>
      <c r="G136" s="8"/>
      <c r="H136" s="7"/>
      <c r="I136" s="6"/>
      <c r="J136" s="7"/>
      <c r="K136" s="8"/>
      <c r="L136" s="7"/>
      <c r="M136" s="8"/>
      <c r="N136" s="7"/>
      <c r="O136" s="8"/>
      <c r="P136" s="7"/>
      <c r="Q136" s="7"/>
      <c r="R136" s="8"/>
      <c r="S136" s="7"/>
      <c r="T136" s="9"/>
      <c r="U136" s="7"/>
      <c r="V136" s="8"/>
      <c r="W136" s="7"/>
      <c r="X136" s="7"/>
      <c r="Y136" s="8"/>
      <c r="Z136" s="7"/>
      <c r="AA136" s="8"/>
    </row>
    <row r="137" spans="2:27" ht="14.25" thickTop="1" thickBot="1" x14ac:dyDescent="0.25">
      <c r="B137" s="10"/>
      <c r="D137" s="190"/>
      <c r="E137" s="72" t="s">
        <v>1458</v>
      </c>
      <c r="F137" s="7"/>
      <c r="G137" s="8"/>
      <c r="H137" s="7"/>
      <c r="I137" s="6"/>
      <c r="J137" s="7"/>
      <c r="K137" s="8"/>
      <c r="L137" s="7"/>
      <c r="M137" s="8"/>
      <c r="N137" s="7"/>
      <c r="O137" s="8"/>
      <c r="P137" s="7"/>
      <c r="Q137" s="7"/>
      <c r="R137" s="8"/>
      <c r="S137" s="7"/>
      <c r="T137" s="9"/>
      <c r="U137" s="7"/>
      <c r="V137" s="8"/>
      <c r="W137" s="7"/>
      <c r="X137" s="7"/>
      <c r="Y137" s="8"/>
      <c r="Z137" s="7"/>
      <c r="AA137" s="8"/>
    </row>
    <row r="138" spans="2:27" ht="14.25" thickTop="1" thickBot="1" x14ac:dyDescent="0.25">
      <c r="B138" s="10"/>
      <c r="D138" s="190"/>
      <c r="E138" s="72" t="s">
        <v>492</v>
      </c>
      <c r="F138" s="7"/>
      <c r="G138" s="8"/>
      <c r="H138" s="7"/>
      <c r="I138" s="6"/>
      <c r="J138" s="7"/>
      <c r="K138" s="8"/>
      <c r="L138" s="7"/>
      <c r="M138" s="8"/>
      <c r="N138" s="7"/>
      <c r="O138" s="8"/>
      <c r="P138" s="7"/>
      <c r="Q138" s="7"/>
      <c r="R138" s="8"/>
      <c r="S138" s="7"/>
      <c r="T138" s="9"/>
      <c r="U138" s="7"/>
      <c r="V138" s="8"/>
      <c r="W138" s="7"/>
      <c r="X138" s="7"/>
      <c r="Y138" s="8"/>
      <c r="Z138" s="7"/>
      <c r="AA138" s="8"/>
    </row>
    <row r="139" spans="2:27" ht="14.25" thickTop="1" thickBot="1" x14ac:dyDescent="0.25">
      <c r="B139" s="10"/>
      <c r="D139" s="190"/>
      <c r="E139" s="72" t="s">
        <v>493</v>
      </c>
      <c r="F139" s="7"/>
      <c r="G139" s="8"/>
      <c r="H139" s="7"/>
      <c r="I139" s="6"/>
      <c r="J139" s="7"/>
      <c r="K139" s="8"/>
      <c r="L139" s="7"/>
      <c r="M139" s="8"/>
      <c r="N139" s="7"/>
      <c r="O139" s="8"/>
      <c r="P139" s="7"/>
      <c r="Q139" s="7"/>
      <c r="R139" s="8"/>
      <c r="S139" s="7"/>
      <c r="T139" s="9"/>
      <c r="U139" s="7"/>
      <c r="V139" s="8"/>
      <c r="W139" s="7"/>
      <c r="X139" s="7"/>
      <c r="Y139" s="8"/>
      <c r="Z139" s="7"/>
      <c r="AA139" s="8"/>
    </row>
    <row r="140" spans="2:27" ht="14.25" thickTop="1" thickBot="1" x14ac:dyDescent="0.25">
      <c r="B140" s="10"/>
      <c r="D140" s="190"/>
      <c r="E140" s="72" t="s">
        <v>683</v>
      </c>
      <c r="F140" s="7"/>
      <c r="G140" s="8"/>
      <c r="H140" s="7"/>
      <c r="I140" s="6"/>
      <c r="J140" s="7"/>
      <c r="K140" s="8"/>
      <c r="L140" s="7"/>
      <c r="M140" s="8"/>
      <c r="N140" s="7"/>
      <c r="O140" s="8"/>
      <c r="P140" s="7"/>
      <c r="Q140" s="7"/>
      <c r="R140" s="8"/>
      <c r="S140" s="7"/>
      <c r="T140" s="9"/>
      <c r="U140" s="7"/>
      <c r="V140" s="8"/>
      <c r="W140" s="7"/>
      <c r="X140" s="7"/>
      <c r="Y140" s="8"/>
      <c r="Z140" s="7"/>
      <c r="AA140" s="8"/>
    </row>
    <row r="141" spans="2:27" ht="14.25" thickTop="1" thickBot="1" x14ac:dyDescent="0.25">
      <c r="B141" s="10"/>
      <c r="D141" s="190"/>
      <c r="E141" s="72" t="s">
        <v>760</v>
      </c>
      <c r="F141" s="7"/>
      <c r="G141" s="8"/>
      <c r="H141" s="7"/>
      <c r="I141" s="6"/>
      <c r="J141" s="7"/>
      <c r="K141" s="8"/>
      <c r="L141" s="7"/>
      <c r="M141" s="8"/>
      <c r="N141" s="7"/>
      <c r="O141" s="8"/>
      <c r="P141" s="7"/>
      <c r="Q141" s="7"/>
      <c r="R141" s="8"/>
      <c r="S141" s="7"/>
      <c r="T141" s="9"/>
      <c r="U141" s="7"/>
      <c r="V141" s="8"/>
      <c r="W141" s="7"/>
      <c r="X141" s="7"/>
      <c r="Y141" s="8"/>
      <c r="Z141" s="7"/>
      <c r="AA141" s="8"/>
    </row>
    <row r="142" spans="2:27" ht="14.25" thickTop="1" thickBot="1" x14ac:dyDescent="0.25">
      <c r="B142" s="10"/>
      <c r="D142" s="190"/>
      <c r="E142" s="72" t="s">
        <v>496</v>
      </c>
      <c r="F142" s="7"/>
      <c r="G142" s="8"/>
      <c r="H142" s="7"/>
      <c r="I142" s="6"/>
      <c r="J142" s="7"/>
      <c r="K142" s="8"/>
      <c r="L142" s="7"/>
      <c r="M142" s="8"/>
      <c r="N142" s="7"/>
      <c r="O142" s="8"/>
      <c r="P142" s="7"/>
      <c r="Q142" s="7"/>
      <c r="R142" s="8"/>
      <c r="S142" s="7"/>
      <c r="T142" s="9"/>
      <c r="U142" s="7"/>
      <c r="V142" s="8"/>
      <c r="W142" s="7"/>
      <c r="X142" s="7"/>
      <c r="Y142" s="8"/>
      <c r="Z142" s="7"/>
      <c r="AA142" s="8"/>
    </row>
    <row r="143" spans="2:27" ht="14.25" thickTop="1" thickBot="1" x14ac:dyDescent="0.25">
      <c r="B143" s="10"/>
      <c r="D143" s="190"/>
      <c r="E143" s="72" t="s">
        <v>765</v>
      </c>
      <c r="F143" s="7"/>
      <c r="G143" s="8"/>
      <c r="H143" s="7"/>
      <c r="I143" s="6"/>
      <c r="J143" s="7"/>
      <c r="K143" s="8"/>
      <c r="L143" s="7"/>
      <c r="M143" s="8"/>
      <c r="N143" s="7"/>
      <c r="O143" s="8"/>
      <c r="P143" s="7"/>
      <c r="Q143" s="7"/>
      <c r="R143" s="8"/>
      <c r="S143" s="7"/>
      <c r="T143" s="9"/>
      <c r="U143" s="7"/>
      <c r="V143" s="8"/>
      <c r="W143" s="7"/>
      <c r="X143" s="7"/>
      <c r="Y143" s="8"/>
      <c r="Z143" s="7"/>
      <c r="AA143" s="8"/>
    </row>
    <row r="144" spans="2:27" ht="14.25" thickTop="1" thickBot="1" x14ac:dyDescent="0.25">
      <c r="B144" s="10"/>
      <c r="D144" s="190"/>
      <c r="E144" s="72" t="s">
        <v>454</v>
      </c>
      <c r="F144" s="7"/>
      <c r="G144" s="8"/>
      <c r="H144" s="7"/>
      <c r="I144" s="6"/>
      <c r="J144" s="7"/>
      <c r="K144" s="8"/>
      <c r="L144" s="7"/>
      <c r="M144" s="8"/>
      <c r="N144" s="7"/>
      <c r="O144" s="8"/>
      <c r="P144" s="7"/>
      <c r="Q144" s="7"/>
      <c r="R144" s="8"/>
      <c r="S144" s="7"/>
      <c r="T144" s="9"/>
      <c r="U144" s="7"/>
      <c r="V144" s="8"/>
      <c r="W144" s="7"/>
      <c r="X144" s="7"/>
      <c r="Y144" s="8"/>
      <c r="Z144" s="7"/>
      <c r="AA144" s="8"/>
    </row>
    <row r="145" spans="2:27" ht="14.25" thickTop="1" thickBot="1" x14ac:dyDescent="0.25">
      <c r="B145" s="10"/>
      <c r="D145" s="190"/>
      <c r="E145" s="72" t="s">
        <v>501</v>
      </c>
      <c r="F145" s="7"/>
      <c r="G145" s="8"/>
      <c r="H145" s="7"/>
      <c r="I145" s="6"/>
      <c r="J145" s="7"/>
      <c r="K145" s="8"/>
      <c r="L145" s="7"/>
      <c r="M145" s="8"/>
      <c r="N145" s="7"/>
      <c r="O145" s="8"/>
      <c r="P145" s="7"/>
      <c r="Q145" s="7"/>
      <c r="R145" s="8"/>
      <c r="S145" s="7"/>
      <c r="T145" s="9"/>
      <c r="U145" s="7"/>
      <c r="V145" s="8"/>
      <c r="W145" s="7"/>
      <c r="X145" s="7"/>
      <c r="Y145" s="8"/>
      <c r="Z145" s="7"/>
      <c r="AA145" s="8"/>
    </row>
    <row r="146" spans="2:27" ht="14.25" thickTop="1" thickBot="1" x14ac:dyDescent="0.25">
      <c r="B146" s="10"/>
      <c r="D146" s="190"/>
      <c r="E146" s="72" t="s">
        <v>503</v>
      </c>
      <c r="F146" s="7"/>
      <c r="G146" s="8"/>
      <c r="H146" s="7"/>
      <c r="I146" s="6"/>
      <c r="J146" s="7"/>
      <c r="K146" s="8"/>
      <c r="L146" s="7"/>
      <c r="M146" s="8"/>
      <c r="N146" s="7"/>
      <c r="O146" s="8"/>
      <c r="P146" s="7"/>
      <c r="Q146" s="7"/>
      <c r="R146" s="8"/>
      <c r="S146" s="7"/>
      <c r="T146" s="9"/>
      <c r="U146" s="7"/>
      <c r="V146" s="8"/>
      <c r="W146" s="7"/>
      <c r="X146" s="7"/>
      <c r="Y146" s="8"/>
      <c r="Z146" s="7"/>
      <c r="AA146" s="8"/>
    </row>
    <row r="147" spans="2:27" ht="14.25" thickTop="1" thickBot="1" x14ac:dyDescent="0.25">
      <c r="B147" s="10"/>
      <c r="D147" s="190"/>
      <c r="E147" s="72" t="s">
        <v>838</v>
      </c>
      <c r="F147" s="7"/>
      <c r="G147" s="8"/>
      <c r="H147" s="7"/>
      <c r="I147" s="6"/>
      <c r="J147" s="7"/>
      <c r="K147" s="8"/>
      <c r="L147" s="7"/>
      <c r="M147" s="8"/>
      <c r="N147" s="7"/>
      <c r="O147" s="8"/>
      <c r="P147" s="7"/>
      <c r="Q147" s="7"/>
      <c r="R147" s="8"/>
      <c r="S147" s="7"/>
      <c r="T147" s="9"/>
      <c r="U147" s="7"/>
      <c r="V147" s="8"/>
      <c r="W147" s="7"/>
      <c r="X147" s="7"/>
      <c r="Y147" s="8"/>
      <c r="Z147" s="7"/>
      <c r="AA147" s="8"/>
    </row>
    <row r="148" spans="2:27" ht="14.25" thickTop="1" thickBot="1" x14ac:dyDescent="0.25">
      <c r="B148" s="10"/>
      <c r="D148" s="190"/>
      <c r="E148" s="72" t="s">
        <v>728</v>
      </c>
      <c r="F148" s="7"/>
      <c r="G148" s="8"/>
      <c r="H148" s="7"/>
      <c r="I148" s="6"/>
      <c r="J148" s="7"/>
      <c r="K148" s="8"/>
      <c r="L148" s="7"/>
      <c r="M148" s="8"/>
      <c r="N148" s="7"/>
      <c r="O148" s="8"/>
      <c r="P148" s="7"/>
      <c r="Q148" s="7"/>
      <c r="R148" s="8"/>
      <c r="S148" s="7"/>
      <c r="T148" s="9"/>
      <c r="U148" s="7"/>
      <c r="V148" s="8"/>
      <c r="W148" s="7"/>
      <c r="X148" s="7"/>
      <c r="Y148" s="8"/>
      <c r="Z148" s="7"/>
      <c r="AA148" s="8"/>
    </row>
    <row r="149" spans="2:27" ht="14.25" thickTop="1" thickBot="1" x14ac:dyDescent="0.25">
      <c r="B149" s="10"/>
      <c r="D149" s="190"/>
      <c r="E149" s="72" t="s">
        <v>505</v>
      </c>
      <c r="F149" s="7"/>
      <c r="G149" s="8"/>
      <c r="H149" s="7"/>
      <c r="I149" s="6"/>
      <c r="J149" s="7"/>
      <c r="K149" s="8"/>
      <c r="L149" s="7"/>
      <c r="M149" s="8"/>
      <c r="N149" s="7"/>
      <c r="O149" s="8"/>
      <c r="P149" s="7"/>
      <c r="Q149" s="7"/>
      <c r="R149" s="8"/>
      <c r="S149" s="7"/>
      <c r="T149" s="9"/>
      <c r="U149" s="7"/>
      <c r="V149" s="8"/>
      <c r="W149" s="7"/>
      <c r="X149" s="7"/>
      <c r="Y149" s="8"/>
      <c r="Z149" s="7"/>
      <c r="AA149" s="8"/>
    </row>
    <row r="150" spans="2:27" ht="14.25" thickTop="1" thickBot="1" x14ac:dyDescent="0.25">
      <c r="B150" s="10"/>
      <c r="D150" s="190"/>
      <c r="E150" s="72" t="s">
        <v>756</v>
      </c>
      <c r="F150" s="7"/>
      <c r="G150" s="8"/>
      <c r="H150" s="7"/>
      <c r="I150" s="6"/>
      <c r="J150" s="7"/>
      <c r="K150" s="8"/>
      <c r="L150" s="7"/>
      <c r="M150" s="8"/>
      <c r="N150" s="7"/>
      <c r="O150" s="8"/>
      <c r="P150" s="7"/>
      <c r="Q150" s="7"/>
      <c r="R150" s="8"/>
      <c r="S150" s="7"/>
      <c r="T150" s="9"/>
      <c r="U150" s="7"/>
      <c r="V150" s="8"/>
      <c r="W150" s="7"/>
      <c r="X150" s="7"/>
      <c r="Y150" s="8"/>
      <c r="Z150" s="7"/>
      <c r="AA150" s="8"/>
    </row>
    <row r="151" spans="2:27" ht="14.25" thickTop="1" thickBot="1" x14ac:dyDescent="0.25">
      <c r="B151" s="10"/>
      <c r="D151" s="190"/>
      <c r="E151" s="72" t="s">
        <v>1112</v>
      </c>
      <c r="F151" s="7"/>
      <c r="G151" s="8"/>
      <c r="H151" s="7"/>
      <c r="I151" s="6"/>
      <c r="J151" s="7"/>
      <c r="K151" s="8"/>
      <c r="L151" s="7"/>
      <c r="M151" s="8"/>
      <c r="N151" s="7"/>
      <c r="O151" s="8"/>
      <c r="P151" s="7"/>
      <c r="Q151" s="7"/>
      <c r="R151" s="8"/>
      <c r="S151" s="7"/>
      <c r="T151" s="9"/>
      <c r="U151" s="7"/>
      <c r="V151" s="8"/>
      <c r="W151" s="7"/>
      <c r="X151" s="7"/>
      <c r="Y151" s="8"/>
      <c r="Z151" s="7"/>
      <c r="AA151" s="8"/>
    </row>
    <row r="152" spans="2:27" ht="14.25" thickTop="1" thickBot="1" x14ac:dyDescent="0.25">
      <c r="B152" s="10"/>
      <c r="D152" s="190"/>
      <c r="E152" s="72" t="s">
        <v>1128</v>
      </c>
      <c r="F152" s="7"/>
      <c r="G152" s="8"/>
      <c r="H152" s="7"/>
      <c r="I152" s="6"/>
      <c r="J152" s="7"/>
      <c r="K152" s="8"/>
      <c r="L152" s="7"/>
      <c r="M152" s="8"/>
      <c r="N152" s="7"/>
      <c r="O152" s="8"/>
      <c r="P152" s="7"/>
      <c r="Q152" s="7"/>
      <c r="R152" s="8"/>
      <c r="S152" s="7"/>
      <c r="T152" s="9"/>
      <c r="U152" s="7"/>
      <c r="V152" s="8"/>
      <c r="W152" s="7"/>
      <c r="X152" s="7"/>
      <c r="Y152" s="8"/>
      <c r="Z152" s="7"/>
      <c r="AA152" s="8"/>
    </row>
    <row r="153" spans="2:27" ht="14.25" thickTop="1" thickBot="1" x14ac:dyDescent="0.25">
      <c r="B153" s="10"/>
      <c r="D153" s="190"/>
      <c r="E153" s="72" t="s">
        <v>1129</v>
      </c>
      <c r="F153" s="7"/>
      <c r="G153" s="8"/>
      <c r="H153" s="7"/>
      <c r="I153" s="6"/>
      <c r="J153" s="7"/>
      <c r="K153" s="8"/>
      <c r="L153" s="7"/>
      <c r="M153" s="8"/>
      <c r="N153" s="7"/>
      <c r="O153" s="8"/>
      <c r="P153" s="7"/>
      <c r="Q153" s="7"/>
      <c r="R153" s="8"/>
      <c r="S153" s="7"/>
      <c r="T153" s="9"/>
      <c r="U153" s="7"/>
      <c r="V153" s="8"/>
      <c r="W153" s="7"/>
      <c r="X153" s="7"/>
      <c r="Y153" s="8"/>
      <c r="Z153" s="7"/>
      <c r="AA153" s="8"/>
    </row>
    <row r="154" spans="2:27" ht="14.25" thickTop="1" thickBot="1" x14ac:dyDescent="0.25">
      <c r="B154" s="10"/>
      <c r="D154" s="190"/>
      <c r="E154" s="72" t="s">
        <v>1130</v>
      </c>
      <c r="F154" s="7"/>
      <c r="G154" s="8"/>
      <c r="H154" s="7"/>
      <c r="I154" s="6"/>
      <c r="J154" s="7"/>
      <c r="K154" s="8"/>
      <c r="L154" s="7"/>
      <c r="M154" s="8"/>
      <c r="N154" s="7"/>
      <c r="O154" s="8"/>
      <c r="P154" s="7"/>
      <c r="Q154" s="7"/>
      <c r="R154" s="8"/>
      <c r="S154" s="7"/>
      <c r="T154" s="9"/>
      <c r="U154" s="7"/>
      <c r="V154" s="8"/>
      <c r="W154" s="7"/>
      <c r="X154" s="7"/>
      <c r="Y154" s="8"/>
      <c r="Z154" s="7"/>
      <c r="AA154" s="8"/>
    </row>
    <row r="155" spans="2:27" ht="14.25" thickTop="1" thickBot="1" x14ac:dyDescent="0.25">
      <c r="B155" s="10"/>
      <c r="D155" s="190"/>
      <c r="E155" s="72" t="s">
        <v>506</v>
      </c>
      <c r="F155" s="7"/>
      <c r="G155" s="8"/>
      <c r="H155" s="7"/>
      <c r="I155" s="6"/>
      <c r="J155" s="7"/>
      <c r="K155" s="8"/>
      <c r="L155" s="7"/>
      <c r="M155" s="8"/>
      <c r="N155" s="7"/>
      <c r="O155" s="8"/>
      <c r="P155" s="7"/>
      <c r="Q155" s="7"/>
      <c r="R155" s="8"/>
      <c r="S155" s="7"/>
      <c r="T155" s="9"/>
      <c r="U155" s="7"/>
      <c r="V155" s="8"/>
      <c r="W155" s="7"/>
      <c r="X155" s="7"/>
      <c r="Y155" s="8"/>
      <c r="Z155" s="7"/>
      <c r="AA155" s="8"/>
    </row>
    <row r="156" spans="2:27" ht="14.25" thickTop="1" thickBot="1" x14ac:dyDescent="0.25">
      <c r="D156" s="190"/>
      <c r="E156" s="72" t="s">
        <v>508</v>
      </c>
      <c r="F156" s="7"/>
      <c r="G156" s="8"/>
      <c r="H156" s="7"/>
      <c r="I156" s="6"/>
      <c r="J156" s="7"/>
      <c r="K156" s="8"/>
      <c r="L156" s="7"/>
      <c r="M156" s="8"/>
      <c r="N156" s="7"/>
      <c r="O156" s="8"/>
      <c r="P156" s="7"/>
      <c r="Q156" s="7"/>
      <c r="R156" s="8"/>
      <c r="S156" s="7"/>
      <c r="T156" s="9"/>
      <c r="U156" s="7"/>
      <c r="V156" s="8"/>
      <c r="W156" s="7"/>
      <c r="X156" s="7"/>
      <c r="Y156" s="8"/>
      <c r="Z156" s="7"/>
      <c r="AA156" s="8"/>
    </row>
    <row r="157" spans="2:27" ht="14.25" thickTop="1" thickBot="1" x14ac:dyDescent="0.25">
      <c r="D157" s="190"/>
      <c r="E157" s="72" t="s">
        <v>512</v>
      </c>
      <c r="F157" s="7"/>
      <c r="G157" s="8"/>
      <c r="H157" s="7"/>
      <c r="I157" s="6"/>
      <c r="J157" s="7"/>
      <c r="K157" s="8"/>
      <c r="L157" s="7"/>
      <c r="M157" s="8"/>
      <c r="N157" s="7"/>
      <c r="O157" s="8"/>
      <c r="P157" s="7"/>
      <c r="Q157" s="7"/>
      <c r="R157" s="8"/>
      <c r="S157" s="7"/>
      <c r="T157" s="9"/>
      <c r="U157" s="7"/>
      <c r="V157" s="8"/>
      <c r="W157" s="7"/>
      <c r="X157" s="7"/>
      <c r="Y157" s="8"/>
      <c r="Z157" s="7"/>
      <c r="AA157" s="8"/>
    </row>
    <row r="158" spans="2:27" ht="14.25" thickTop="1" thickBot="1" x14ac:dyDescent="0.25">
      <c r="D158" s="190"/>
      <c r="E158" s="72" t="s">
        <v>1322</v>
      </c>
      <c r="F158" s="7"/>
      <c r="G158" s="8"/>
      <c r="H158" s="7"/>
      <c r="I158" s="6"/>
      <c r="J158" s="7"/>
      <c r="K158" s="8"/>
      <c r="L158" s="7"/>
      <c r="M158" s="8"/>
      <c r="N158" s="7"/>
      <c r="O158" s="8"/>
      <c r="P158" s="7"/>
      <c r="Q158" s="7"/>
      <c r="R158" s="8"/>
      <c r="S158" s="7"/>
      <c r="T158" s="9"/>
      <c r="U158" s="7"/>
      <c r="V158" s="8"/>
      <c r="W158" s="7"/>
      <c r="X158" s="7"/>
      <c r="Y158" s="8"/>
      <c r="Z158" s="7"/>
      <c r="AA158" s="8"/>
    </row>
    <row r="159" spans="2:27" ht="14.25" thickTop="1" thickBot="1" x14ac:dyDescent="0.25">
      <c r="D159" s="190"/>
      <c r="E159" s="72" t="s">
        <v>849</v>
      </c>
      <c r="F159" s="7"/>
      <c r="G159" s="8"/>
      <c r="H159" s="7"/>
      <c r="I159" s="6"/>
      <c r="J159" s="7"/>
      <c r="K159" s="8"/>
      <c r="L159" s="7"/>
      <c r="M159" s="8"/>
      <c r="N159" s="7"/>
      <c r="O159" s="8"/>
      <c r="P159" s="7"/>
      <c r="Q159" s="7"/>
      <c r="R159" s="8"/>
      <c r="S159" s="7"/>
      <c r="T159" s="9"/>
      <c r="U159" s="7"/>
      <c r="V159" s="8"/>
      <c r="W159" s="7"/>
      <c r="X159" s="7"/>
      <c r="Y159" s="8"/>
      <c r="Z159" s="7"/>
      <c r="AA159" s="8"/>
    </row>
    <row r="160" spans="2:27" ht="14.25" thickTop="1" thickBot="1" x14ac:dyDescent="0.25">
      <c r="D160" s="190"/>
      <c r="E160" s="72" t="s">
        <v>1108</v>
      </c>
      <c r="F160" s="7"/>
      <c r="G160" s="8"/>
      <c r="H160" s="7"/>
      <c r="I160" s="6"/>
      <c r="J160" s="7"/>
      <c r="K160" s="8"/>
      <c r="L160" s="7"/>
      <c r="M160" s="8"/>
      <c r="N160" s="7"/>
      <c r="O160" s="8"/>
      <c r="P160" s="7"/>
      <c r="Q160" s="7"/>
      <c r="R160" s="8"/>
      <c r="S160" s="7"/>
      <c r="T160" s="9"/>
      <c r="U160" s="7"/>
      <c r="V160" s="8"/>
      <c r="W160" s="7"/>
      <c r="X160" s="7"/>
      <c r="Y160" s="8"/>
      <c r="Z160" s="7"/>
      <c r="AA160" s="8"/>
    </row>
    <row r="161" spans="4:27" ht="14.25" thickTop="1" thickBot="1" x14ac:dyDescent="0.25">
      <c r="D161" s="190"/>
      <c r="E161" s="72" t="s">
        <v>1113</v>
      </c>
      <c r="F161" s="7"/>
      <c r="G161" s="8"/>
      <c r="H161" s="7"/>
      <c r="I161" s="6"/>
      <c r="J161" s="7"/>
      <c r="K161" s="8"/>
      <c r="L161" s="7"/>
      <c r="M161" s="8"/>
      <c r="N161" s="7"/>
      <c r="O161" s="8"/>
      <c r="P161" s="7"/>
      <c r="Q161" s="7"/>
      <c r="R161" s="8"/>
      <c r="S161" s="7"/>
      <c r="T161" s="9"/>
      <c r="U161" s="7"/>
      <c r="V161" s="8"/>
      <c r="W161" s="7"/>
      <c r="X161" s="7"/>
      <c r="Y161" s="8"/>
      <c r="Z161" s="7"/>
      <c r="AA161" s="8"/>
    </row>
    <row r="162" spans="4:27" ht="14.25" thickTop="1" thickBot="1" x14ac:dyDescent="0.25">
      <c r="D162" s="190"/>
      <c r="E162" s="72" t="s">
        <v>513</v>
      </c>
      <c r="F162" s="7"/>
      <c r="G162" s="8"/>
      <c r="H162" s="7"/>
      <c r="I162" s="6"/>
      <c r="J162" s="7"/>
      <c r="K162" s="8"/>
      <c r="L162" s="7"/>
      <c r="M162" s="8"/>
      <c r="N162" s="7"/>
      <c r="O162" s="8"/>
      <c r="P162" s="7"/>
      <c r="Q162" s="7"/>
      <c r="R162" s="8"/>
      <c r="S162" s="7"/>
      <c r="T162" s="9"/>
      <c r="U162" s="7"/>
      <c r="V162" s="8"/>
      <c r="W162" s="7"/>
      <c r="X162" s="7"/>
      <c r="Y162" s="8"/>
      <c r="Z162" s="7"/>
      <c r="AA162" s="8"/>
    </row>
    <row r="163" spans="4:27" ht="14.25" thickTop="1" thickBot="1" x14ac:dyDescent="0.25">
      <c r="D163" s="190"/>
      <c r="E163" s="72" t="s">
        <v>514</v>
      </c>
      <c r="F163" s="7"/>
      <c r="G163" s="8"/>
      <c r="H163" s="7"/>
      <c r="I163" s="6"/>
      <c r="J163" s="7"/>
      <c r="K163" s="8"/>
      <c r="L163" s="7"/>
      <c r="M163" s="8"/>
      <c r="N163" s="7"/>
      <c r="O163" s="8"/>
      <c r="P163" s="7"/>
      <c r="Q163" s="7"/>
      <c r="R163" s="8"/>
      <c r="S163" s="7"/>
      <c r="T163" s="9"/>
      <c r="U163" s="7"/>
      <c r="V163" s="8"/>
      <c r="W163" s="7"/>
      <c r="X163" s="7"/>
      <c r="Y163" s="8"/>
      <c r="Z163" s="7"/>
      <c r="AA163" s="8"/>
    </row>
    <row r="164" spans="4:27" ht="14.25" thickTop="1" thickBot="1" x14ac:dyDescent="0.25">
      <c r="D164" s="190"/>
      <c r="E164" s="72" t="s">
        <v>729</v>
      </c>
      <c r="F164" s="7"/>
      <c r="G164" s="8"/>
      <c r="H164" s="7"/>
      <c r="I164" s="6"/>
      <c r="J164" s="7"/>
      <c r="K164" s="8"/>
      <c r="L164" s="7"/>
      <c r="M164" s="8"/>
      <c r="N164" s="7"/>
      <c r="O164" s="8"/>
      <c r="P164" s="7"/>
      <c r="Q164" s="7"/>
      <c r="R164" s="8"/>
      <c r="S164" s="7"/>
      <c r="T164" s="9"/>
      <c r="U164" s="7"/>
      <c r="V164" s="8"/>
      <c r="W164" s="7"/>
      <c r="X164" s="7"/>
      <c r="Y164" s="8"/>
      <c r="Z164" s="7"/>
      <c r="AA164" s="8"/>
    </row>
    <row r="165" spans="4:27" ht="14.25" thickTop="1" thickBot="1" x14ac:dyDescent="0.25">
      <c r="D165" s="190"/>
      <c r="E165" s="72" t="s">
        <v>1096</v>
      </c>
      <c r="F165" s="7"/>
      <c r="G165" s="8"/>
      <c r="H165" s="7"/>
      <c r="I165" s="6"/>
      <c r="J165" s="7"/>
      <c r="K165" s="8"/>
      <c r="L165" s="7"/>
      <c r="M165" s="8"/>
      <c r="N165" s="7"/>
      <c r="O165" s="8"/>
      <c r="P165" s="7"/>
      <c r="Q165" s="7"/>
      <c r="R165" s="8"/>
      <c r="S165" s="7"/>
      <c r="T165" s="9"/>
      <c r="U165" s="7"/>
      <c r="V165" s="8"/>
      <c r="W165" s="7"/>
      <c r="X165" s="7"/>
      <c r="Y165" s="8"/>
      <c r="Z165" s="7"/>
      <c r="AA165" s="8"/>
    </row>
    <row r="166" spans="4:27" ht="14.25" thickTop="1" thickBot="1" x14ac:dyDescent="0.25">
      <c r="D166" s="190"/>
      <c r="E166" s="72" t="s">
        <v>1083</v>
      </c>
      <c r="F166" s="7"/>
      <c r="G166" s="8"/>
      <c r="H166" s="7"/>
      <c r="I166" s="6"/>
      <c r="J166" s="7"/>
      <c r="K166" s="8"/>
      <c r="L166" s="7"/>
      <c r="M166" s="8"/>
      <c r="N166" s="7"/>
      <c r="O166" s="8"/>
      <c r="P166" s="7"/>
      <c r="Q166" s="7"/>
      <c r="R166" s="8"/>
      <c r="S166" s="7"/>
      <c r="T166" s="9"/>
      <c r="U166" s="7"/>
      <c r="V166" s="8"/>
      <c r="W166" s="7"/>
      <c r="X166" s="7"/>
      <c r="Y166" s="8"/>
      <c r="Z166" s="7"/>
      <c r="AA166" s="8"/>
    </row>
    <row r="167" spans="4:27" ht="14.25" thickTop="1" thickBot="1" x14ac:dyDescent="0.25">
      <c r="D167" s="190"/>
      <c r="E167" s="72" t="s">
        <v>987</v>
      </c>
      <c r="F167" s="7"/>
      <c r="G167" s="8"/>
      <c r="H167" s="7"/>
      <c r="I167" s="6"/>
      <c r="J167" s="7"/>
      <c r="K167" s="8"/>
      <c r="L167" s="7"/>
      <c r="M167" s="8"/>
      <c r="N167" s="7"/>
      <c r="O167" s="8"/>
      <c r="P167" s="7"/>
      <c r="Q167" s="7"/>
      <c r="R167" s="8"/>
      <c r="S167" s="7"/>
      <c r="T167" s="9"/>
      <c r="U167" s="7"/>
      <c r="V167" s="8"/>
      <c r="W167" s="7"/>
      <c r="X167" s="7"/>
      <c r="Y167" s="8"/>
      <c r="Z167" s="7"/>
      <c r="AA167" s="8"/>
    </row>
    <row r="168" spans="4:27" ht="14.25" thickTop="1" thickBot="1" x14ac:dyDescent="0.25">
      <c r="D168" s="190"/>
      <c r="E168" s="72" t="s">
        <v>988</v>
      </c>
      <c r="F168" s="7"/>
      <c r="G168" s="8"/>
      <c r="H168" s="7"/>
      <c r="I168" s="6"/>
      <c r="J168" s="7"/>
      <c r="K168" s="8"/>
      <c r="L168" s="7"/>
      <c r="M168" s="8"/>
      <c r="N168" s="7"/>
      <c r="O168" s="8"/>
      <c r="P168" s="7"/>
      <c r="Q168" s="7"/>
      <c r="R168" s="8"/>
      <c r="S168" s="7"/>
      <c r="T168" s="9"/>
      <c r="U168" s="7"/>
      <c r="V168" s="8"/>
      <c r="W168" s="7"/>
      <c r="X168" s="7"/>
      <c r="Y168" s="8"/>
      <c r="Z168" s="7"/>
      <c r="AA168" s="8"/>
    </row>
    <row r="169" spans="4:27" ht="14.25" thickTop="1" thickBot="1" x14ac:dyDescent="0.25">
      <c r="D169" s="190"/>
      <c r="E169" s="72" t="s">
        <v>990</v>
      </c>
      <c r="F169" s="7"/>
      <c r="G169" s="8"/>
      <c r="H169" s="7"/>
      <c r="I169" s="6"/>
      <c r="J169" s="7"/>
      <c r="K169" s="8"/>
      <c r="L169" s="7"/>
      <c r="M169" s="8"/>
      <c r="N169" s="7"/>
      <c r="O169" s="8"/>
      <c r="P169" s="7"/>
      <c r="Q169" s="7"/>
      <c r="R169" s="8"/>
      <c r="S169" s="7"/>
      <c r="T169" s="9"/>
      <c r="U169" s="7"/>
      <c r="V169" s="8"/>
      <c r="W169" s="7"/>
      <c r="X169" s="7"/>
      <c r="Y169" s="8"/>
      <c r="Z169" s="7"/>
      <c r="AA169" s="8"/>
    </row>
    <row r="170" spans="4:27" ht="14.25" thickTop="1" thickBot="1" x14ac:dyDescent="0.25">
      <c r="D170" s="190"/>
      <c r="E170" s="72" t="s">
        <v>1005</v>
      </c>
      <c r="F170" s="7"/>
      <c r="G170" s="8"/>
      <c r="H170" s="7"/>
      <c r="I170" s="6"/>
      <c r="J170" s="7"/>
      <c r="K170" s="8"/>
      <c r="L170" s="7"/>
      <c r="M170" s="8"/>
      <c r="N170" s="7"/>
      <c r="O170" s="8"/>
      <c r="P170" s="7"/>
      <c r="Q170" s="7"/>
      <c r="R170" s="8"/>
      <c r="S170" s="7"/>
      <c r="T170" s="9"/>
      <c r="U170" s="7"/>
      <c r="V170" s="8"/>
      <c r="W170" s="7"/>
      <c r="X170" s="7"/>
      <c r="Y170" s="8"/>
      <c r="Z170" s="7"/>
      <c r="AA170" s="8"/>
    </row>
    <row r="171" spans="4:27" ht="14.25" thickTop="1" thickBot="1" x14ac:dyDescent="0.25">
      <c r="D171" s="190"/>
      <c r="E171" s="72" t="s">
        <v>1003</v>
      </c>
      <c r="F171" s="7"/>
      <c r="G171" s="8"/>
      <c r="H171" s="7"/>
      <c r="I171" s="6"/>
      <c r="J171" s="7"/>
      <c r="K171" s="8"/>
      <c r="L171" s="7"/>
      <c r="M171" s="8"/>
      <c r="N171" s="7"/>
      <c r="O171" s="8"/>
      <c r="P171" s="7"/>
      <c r="Q171" s="7"/>
      <c r="R171" s="8"/>
      <c r="S171" s="7"/>
      <c r="T171" s="9"/>
      <c r="U171" s="7"/>
      <c r="V171" s="8"/>
      <c r="W171" s="7"/>
      <c r="X171" s="7"/>
      <c r="Y171" s="8"/>
      <c r="Z171" s="7"/>
      <c r="AA171" s="8"/>
    </row>
    <row r="172" spans="4:27" ht="14.25" thickTop="1" thickBot="1" x14ac:dyDescent="0.25">
      <c r="D172" s="190"/>
      <c r="E172" s="72" t="s">
        <v>562</v>
      </c>
      <c r="F172" s="7"/>
      <c r="G172" s="8"/>
      <c r="H172" s="7"/>
      <c r="I172" s="6"/>
      <c r="J172" s="7"/>
      <c r="K172" s="8"/>
      <c r="L172" s="7"/>
      <c r="M172" s="8"/>
      <c r="N172" s="7"/>
      <c r="O172" s="8"/>
      <c r="P172" s="7"/>
      <c r="Q172" s="7"/>
      <c r="R172" s="8"/>
      <c r="S172" s="7"/>
      <c r="T172" s="9"/>
      <c r="U172" s="7"/>
      <c r="V172" s="8"/>
      <c r="W172" s="7"/>
      <c r="X172" s="7"/>
      <c r="Y172" s="8"/>
      <c r="Z172" s="7"/>
      <c r="AA172" s="8"/>
    </row>
    <row r="173" spans="4:27" ht="14.25" thickTop="1" thickBot="1" x14ac:dyDescent="0.25">
      <c r="D173" s="190"/>
      <c r="E173" s="72" t="s">
        <v>1019</v>
      </c>
      <c r="F173" s="7"/>
      <c r="G173" s="8"/>
      <c r="H173" s="7"/>
      <c r="I173" s="6"/>
      <c r="J173" s="7"/>
      <c r="K173" s="8"/>
      <c r="L173" s="7"/>
      <c r="M173" s="8"/>
      <c r="N173" s="7"/>
      <c r="O173" s="8"/>
      <c r="P173" s="7"/>
      <c r="Q173" s="7"/>
      <c r="R173" s="8"/>
      <c r="S173" s="7"/>
      <c r="T173" s="9"/>
      <c r="U173" s="7"/>
      <c r="V173" s="8"/>
      <c r="W173" s="7"/>
      <c r="X173" s="7"/>
      <c r="Y173" s="8"/>
      <c r="Z173" s="7"/>
      <c r="AA173" s="8"/>
    </row>
    <row r="174" spans="4:27" ht="14.25" thickTop="1" thickBot="1" x14ac:dyDescent="0.25">
      <c r="D174" s="190"/>
      <c r="E174" s="72" t="s">
        <v>986</v>
      </c>
      <c r="F174" s="7"/>
      <c r="G174" s="8"/>
      <c r="H174" s="7"/>
      <c r="I174" s="6"/>
      <c r="J174" s="7"/>
      <c r="K174" s="8"/>
      <c r="L174" s="7"/>
      <c r="M174" s="8"/>
      <c r="N174" s="7"/>
      <c r="O174" s="8"/>
      <c r="P174" s="7"/>
      <c r="Q174" s="7"/>
      <c r="R174" s="8"/>
      <c r="S174" s="7"/>
      <c r="T174" s="9"/>
      <c r="U174" s="7"/>
      <c r="V174" s="8"/>
      <c r="W174" s="7"/>
      <c r="X174" s="7"/>
      <c r="Y174" s="8"/>
      <c r="Z174" s="7"/>
      <c r="AA174" s="8"/>
    </row>
    <row r="175" spans="4:27" ht="14.25" thickTop="1" thickBot="1" x14ac:dyDescent="0.25">
      <c r="D175" s="190"/>
      <c r="E175" s="72" t="s">
        <v>989</v>
      </c>
      <c r="F175" s="7"/>
      <c r="G175" s="8"/>
      <c r="H175" s="7"/>
      <c r="I175" s="6"/>
      <c r="J175" s="7"/>
      <c r="K175" s="8"/>
      <c r="L175" s="7"/>
      <c r="M175" s="8"/>
      <c r="N175" s="7"/>
      <c r="O175" s="8"/>
      <c r="P175" s="7"/>
      <c r="Q175" s="7"/>
      <c r="R175" s="8"/>
      <c r="S175" s="7"/>
      <c r="T175" s="9"/>
      <c r="U175" s="7"/>
      <c r="V175" s="8"/>
      <c r="W175" s="7"/>
      <c r="X175" s="7"/>
      <c r="Y175" s="8"/>
      <c r="Z175" s="7"/>
      <c r="AA175" s="8"/>
    </row>
    <row r="176" spans="4:27" ht="14.25" thickTop="1" thickBot="1" x14ac:dyDescent="0.25">
      <c r="D176" s="190"/>
      <c r="E176" s="72" t="s">
        <v>991</v>
      </c>
      <c r="F176" s="7"/>
      <c r="G176" s="8"/>
      <c r="H176" s="7"/>
      <c r="I176" s="6"/>
      <c r="J176" s="7"/>
      <c r="K176" s="8"/>
      <c r="L176" s="7"/>
      <c r="M176" s="8"/>
      <c r="N176" s="7"/>
      <c r="O176" s="8"/>
      <c r="P176" s="7"/>
      <c r="Q176" s="7"/>
      <c r="R176" s="8"/>
      <c r="S176" s="7"/>
      <c r="T176" s="9"/>
      <c r="U176" s="7"/>
      <c r="V176" s="8"/>
      <c r="W176" s="7"/>
      <c r="X176" s="7"/>
      <c r="Y176" s="8"/>
      <c r="Z176" s="7"/>
      <c r="AA176" s="8"/>
    </row>
    <row r="177" spans="4:27" ht="14.25" thickTop="1" thickBot="1" x14ac:dyDescent="0.25">
      <c r="D177" s="190"/>
      <c r="E177" s="72" t="s">
        <v>561</v>
      </c>
      <c r="F177" s="7"/>
      <c r="G177" s="8"/>
      <c r="H177" s="7"/>
      <c r="I177" s="6"/>
      <c r="J177" s="7"/>
      <c r="K177" s="8"/>
      <c r="L177" s="7"/>
      <c r="M177" s="8"/>
      <c r="N177" s="7"/>
      <c r="O177" s="8"/>
      <c r="P177" s="7"/>
      <c r="Q177" s="7"/>
      <c r="R177" s="8"/>
      <c r="S177" s="7"/>
      <c r="T177" s="9"/>
      <c r="U177" s="7"/>
      <c r="V177" s="8"/>
      <c r="W177" s="7"/>
      <c r="X177" s="7"/>
      <c r="Y177" s="8"/>
      <c r="Z177" s="7"/>
      <c r="AA177" s="8"/>
    </row>
    <row r="178" spans="4:27" ht="14.25" thickTop="1" thickBot="1" x14ac:dyDescent="0.25">
      <c r="D178" s="190"/>
      <c r="E178" s="72" t="s">
        <v>996</v>
      </c>
      <c r="F178" s="7"/>
      <c r="G178" s="8"/>
      <c r="H178" s="7"/>
      <c r="I178" s="6"/>
      <c r="J178" s="7"/>
      <c r="K178" s="8"/>
      <c r="L178" s="7"/>
      <c r="M178" s="8"/>
      <c r="N178" s="7"/>
      <c r="O178" s="8"/>
      <c r="P178" s="7"/>
      <c r="Q178" s="7"/>
      <c r="R178" s="8"/>
      <c r="S178" s="7"/>
      <c r="T178" s="9"/>
      <c r="U178" s="7"/>
      <c r="V178" s="8"/>
      <c r="W178" s="7"/>
      <c r="X178" s="7"/>
      <c r="Y178" s="8"/>
      <c r="Z178" s="7"/>
      <c r="AA178" s="8"/>
    </row>
    <row r="179" spans="4:27" ht="14.25" thickTop="1" thickBot="1" x14ac:dyDescent="0.25">
      <c r="D179" s="190"/>
      <c r="E179" s="72" t="s">
        <v>1009</v>
      </c>
      <c r="F179" s="7"/>
      <c r="G179" s="8"/>
      <c r="H179" s="7"/>
      <c r="I179" s="6"/>
      <c r="J179" s="7"/>
      <c r="K179" s="8"/>
      <c r="L179" s="7"/>
      <c r="M179" s="8"/>
      <c r="N179" s="7"/>
      <c r="O179" s="8"/>
      <c r="P179" s="7"/>
      <c r="Q179" s="7"/>
      <c r="R179" s="8"/>
      <c r="S179" s="7"/>
      <c r="T179" s="9"/>
      <c r="U179" s="7"/>
      <c r="V179" s="8"/>
      <c r="W179" s="7"/>
      <c r="X179" s="7"/>
      <c r="Y179" s="8"/>
      <c r="Z179" s="7"/>
      <c r="AA179" s="8"/>
    </row>
    <row r="180" spans="4:27" ht="14.25" thickTop="1" thickBot="1" x14ac:dyDescent="0.25">
      <c r="D180" s="190"/>
      <c r="E180" s="72" t="s">
        <v>1004</v>
      </c>
      <c r="F180" s="7"/>
      <c r="G180" s="8"/>
      <c r="H180" s="7"/>
      <c r="I180" s="6"/>
      <c r="J180" s="7"/>
      <c r="K180" s="8"/>
      <c r="L180" s="7"/>
      <c r="M180" s="8"/>
      <c r="N180" s="7"/>
      <c r="O180" s="8"/>
      <c r="P180" s="7"/>
      <c r="Q180" s="7"/>
      <c r="R180" s="8"/>
      <c r="S180" s="7"/>
      <c r="T180" s="9"/>
      <c r="U180" s="7"/>
      <c r="V180" s="8"/>
      <c r="W180" s="7"/>
      <c r="X180" s="7"/>
      <c r="Y180" s="8"/>
      <c r="Z180" s="7"/>
      <c r="AA180" s="8"/>
    </row>
    <row r="181" spans="4:27" ht="14.25" thickTop="1" thickBot="1" x14ac:dyDescent="0.25">
      <c r="D181" s="190"/>
      <c r="E181" s="72" t="s">
        <v>1008</v>
      </c>
      <c r="F181" s="7"/>
      <c r="G181" s="8"/>
      <c r="H181" s="7"/>
      <c r="I181" s="6"/>
      <c r="J181" s="7"/>
      <c r="K181" s="8"/>
      <c r="L181" s="7"/>
      <c r="M181" s="8"/>
      <c r="N181" s="7"/>
      <c r="O181" s="8"/>
      <c r="P181" s="7"/>
      <c r="Q181" s="7"/>
      <c r="R181" s="8"/>
      <c r="S181" s="7"/>
      <c r="T181" s="9"/>
      <c r="U181" s="7"/>
      <c r="V181" s="8"/>
      <c r="W181" s="7"/>
      <c r="X181" s="7"/>
      <c r="Y181" s="8"/>
      <c r="Z181" s="7"/>
      <c r="AA181" s="8"/>
    </row>
    <row r="182" spans="4:27" ht="14.25" thickTop="1" thickBot="1" x14ac:dyDescent="0.25">
      <c r="D182" s="190"/>
      <c r="E182" s="72" t="s">
        <v>1032</v>
      </c>
      <c r="F182" s="7"/>
      <c r="G182" s="8"/>
      <c r="H182" s="7"/>
      <c r="I182" s="6"/>
      <c r="J182" s="7"/>
      <c r="K182" s="8"/>
      <c r="L182" s="7"/>
      <c r="M182" s="8"/>
      <c r="N182" s="7"/>
      <c r="O182" s="8"/>
      <c r="P182" s="7"/>
      <c r="Q182" s="7"/>
      <c r="R182" s="8"/>
      <c r="S182" s="7"/>
      <c r="T182" s="9"/>
      <c r="U182" s="7"/>
      <c r="V182" s="8"/>
      <c r="W182" s="7"/>
      <c r="X182" s="7"/>
      <c r="Y182" s="8"/>
      <c r="Z182" s="7"/>
      <c r="AA182" s="8"/>
    </row>
    <row r="183" spans="4:27" ht="14.25" thickTop="1" thickBot="1" x14ac:dyDescent="0.25">
      <c r="D183" s="190"/>
      <c r="E183" s="72" t="s">
        <v>572</v>
      </c>
      <c r="F183" s="7"/>
      <c r="G183" s="8"/>
      <c r="H183" s="7"/>
      <c r="I183" s="6"/>
      <c r="J183" s="7"/>
      <c r="K183" s="8"/>
      <c r="L183" s="7"/>
      <c r="M183" s="8"/>
      <c r="N183" s="7"/>
      <c r="O183" s="8"/>
      <c r="P183" s="7"/>
      <c r="Q183" s="7"/>
      <c r="R183" s="8"/>
      <c r="S183" s="7"/>
      <c r="T183" s="9"/>
      <c r="U183" s="7"/>
      <c r="V183" s="8"/>
      <c r="W183" s="7"/>
      <c r="X183" s="7"/>
      <c r="Y183" s="8"/>
      <c r="Z183" s="7"/>
      <c r="AA183" s="8"/>
    </row>
    <row r="184" spans="4:27" ht="14.25" thickTop="1" thickBot="1" x14ac:dyDescent="0.25">
      <c r="D184" s="190"/>
      <c r="E184" s="72" t="s">
        <v>568</v>
      </c>
      <c r="F184" s="7"/>
      <c r="G184" s="8"/>
      <c r="H184" s="7"/>
      <c r="I184" s="6"/>
      <c r="J184" s="7"/>
      <c r="K184" s="8"/>
      <c r="L184" s="7"/>
      <c r="M184" s="8"/>
      <c r="N184" s="7"/>
      <c r="O184" s="8"/>
      <c r="P184" s="7"/>
      <c r="Q184" s="7"/>
      <c r="R184" s="8"/>
      <c r="S184" s="7"/>
      <c r="T184" s="9"/>
      <c r="U184" s="7"/>
      <c r="V184" s="8"/>
      <c r="W184" s="7"/>
      <c r="X184" s="7"/>
      <c r="Y184" s="8"/>
      <c r="Z184" s="7"/>
      <c r="AA184" s="8"/>
    </row>
    <row r="185" spans="4:27" ht="14.25" thickTop="1" thickBot="1" x14ac:dyDescent="0.25">
      <c r="D185" s="190"/>
      <c r="E185" s="72" t="s">
        <v>569</v>
      </c>
      <c r="F185" s="7"/>
      <c r="G185" s="8"/>
      <c r="H185" s="7"/>
      <c r="I185" s="6"/>
      <c r="J185" s="7"/>
      <c r="K185" s="8"/>
      <c r="L185" s="7"/>
      <c r="M185" s="8"/>
      <c r="N185" s="7"/>
      <c r="O185" s="8"/>
      <c r="P185" s="7"/>
      <c r="Q185" s="7"/>
      <c r="R185" s="8"/>
      <c r="S185" s="7"/>
      <c r="T185" s="9"/>
      <c r="U185" s="7"/>
      <c r="V185" s="8"/>
      <c r="W185" s="7"/>
      <c r="X185" s="7"/>
      <c r="Y185" s="8"/>
      <c r="Z185" s="7"/>
      <c r="AA185" s="8"/>
    </row>
    <row r="186" spans="4:27" ht="14.25" thickTop="1" thickBot="1" x14ac:dyDescent="0.25">
      <c r="D186" s="190"/>
      <c r="E186" s="72" t="s">
        <v>999</v>
      </c>
      <c r="F186" s="7"/>
      <c r="G186" s="8"/>
      <c r="H186" s="7"/>
      <c r="I186" s="6"/>
      <c r="J186" s="7"/>
      <c r="K186" s="8"/>
      <c r="L186" s="7"/>
      <c r="M186" s="8"/>
      <c r="N186" s="7"/>
      <c r="O186" s="8"/>
      <c r="P186" s="7"/>
      <c r="Q186" s="7"/>
      <c r="R186" s="8"/>
      <c r="S186" s="7"/>
      <c r="T186" s="9"/>
      <c r="U186" s="7"/>
      <c r="V186" s="8"/>
      <c r="W186" s="7"/>
      <c r="X186" s="7"/>
      <c r="Y186" s="8"/>
      <c r="Z186" s="7"/>
      <c r="AA186" s="8"/>
    </row>
    <row r="187" spans="4:27" ht="14.25" thickTop="1" thickBot="1" x14ac:dyDescent="0.25">
      <c r="D187" s="190"/>
      <c r="E187" s="72" t="s">
        <v>570</v>
      </c>
      <c r="F187" s="7"/>
      <c r="G187" s="8"/>
      <c r="H187" s="7"/>
      <c r="I187" s="6"/>
      <c r="J187" s="7"/>
      <c r="K187" s="8"/>
      <c r="L187" s="7"/>
      <c r="M187" s="8"/>
      <c r="N187" s="7"/>
      <c r="O187" s="8"/>
      <c r="P187" s="7"/>
      <c r="Q187" s="7"/>
      <c r="R187" s="8"/>
      <c r="S187" s="7"/>
      <c r="T187" s="9"/>
      <c r="U187" s="7"/>
      <c r="V187" s="8"/>
      <c r="W187" s="7"/>
      <c r="X187" s="7"/>
      <c r="Y187" s="8"/>
      <c r="Z187" s="7"/>
      <c r="AA187" s="8"/>
    </row>
    <row r="188" spans="4:27" ht="14.25" thickTop="1" thickBot="1" x14ac:dyDescent="0.25">
      <c r="D188" s="190"/>
      <c r="E188" s="72" t="s">
        <v>567</v>
      </c>
      <c r="F188" s="7"/>
      <c r="G188" s="8"/>
      <c r="H188" s="7"/>
      <c r="I188" s="6"/>
      <c r="J188" s="7"/>
      <c r="K188" s="8"/>
      <c r="L188" s="7"/>
      <c r="M188" s="8"/>
      <c r="N188" s="7"/>
      <c r="O188" s="8"/>
      <c r="P188" s="7"/>
      <c r="Q188" s="7"/>
      <c r="R188" s="8"/>
      <c r="S188" s="7"/>
      <c r="T188" s="9"/>
      <c r="U188" s="7"/>
      <c r="V188" s="8"/>
      <c r="W188" s="7"/>
      <c r="X188" s="7"/>
      <c r="Y188" s="8"/>
      <c r="Z188" s="7"/>
      <c r="AA188" s="8"/>
    </row>
    <row r="189" spans="4:27" ht="14.25" thickTop="1" thickBot="1" x14ac:dyDescent="0.25">
      <c r="D189" s="190"/>
      <c r="E189" s="72" t="s">
        <v>566</v>
      </c>
      <c r="F189" s="7"/>
      <c r="G189" s="8"/>
      <c r="H189" s="7"/>
      <c r="I189" s="6"/>
      <c r="J189" s="7"/>
      <c r="K189" s="8"/>
      <c r="L189" s="7"/>
      <c r="M189" s="8"/>
      <c r="N189" s="7"/>
      <c r="O189" s="8"/>
      <c r="P189" s="7"/>
      <c r="Q189" s="7"/>
      <c r="R189" s="8"/>
      <c r="S189" s="7"/>
      <c r="T189" s="9"/>
      <c r="U189" s="7"/>
      <c r="V189" s="8"/>
      <c r="W189" s="7"/>
      <c r="X189" s="7"/>
      <c r="Y189" s="8"/>
      <c r="Z189" s="7"/>
      <c r="AA189" s="8"/>
    </row>
    <row r="190" spans="4:27" ht="14.25" thickTop="1" thickBot="1" x14ac:dyDescent="0.25">
      <c r="D190" s="190"/>
      <c r="E190" s="72" t="s">
        <v>564</v>
      </c>
      <c r="F190" s="7"/>
      <c r="G190" s="8"/>
      <c r="H190" s="7"/>
      <c r="I190" s="6"/>
      <c r="J190" s="7"/>
      <c r="K190" s="8"/>
      <c r="L190" s="7"/>
      <c r="M190" s="8"/>
      <c r="N190" s="7"/>
      <c r="O190" s="8"/>
      <c r="P190" s="7"/>
      <c r="Q190" s="7"/>
      <c r="R190" s="8"/>
      <c r="S190" s="7"/>
      <c r="T190" s="9"/>
      <c r="U190" s="7"/>
      <c r="V190" s="8"/>
      <c r="W190" s="7"/>
      <c r="X190" s="7"/>
      <c r="Y190" s="8"/>
      <c r="Z190" s="7"/>
      <c r="AA190" s="8"/>
    </row>
    <row r="191" spans="4:27" ht="14.25" thickTop="1" thickBot="1" x14ac:dyDescent="0.25">
      <c r="D191" s="190"/>
      <c r="E191" s="72" t="s">
        <v>1072</v>
      </c>
      <c r="F191" s="7"/>
      <c r="G191" s="8"/>
      <c r="H191" s="7"/>
      <c r="I191" s="6"/>
      <c r="J191" s="7"/>
      <c r="K191" s="8"/>
      <c r="L191" s="7"/>
      <c r="M191" s="8"/>
      <c r="N191" s="7"/>
      <c r="O191" s="8"/>
      <c r="P191" s="7"/>
      <c r="Q191" s="7"/>
      <c r="R191" s="8"/>
      <c r="S191" s="7"/>
      <c r="T191" s="9"/>
      <c r="U191" s="7"/>
      <c r="V191" s="8"/>
      <c r="W191" s="7"/>
      <c r="X191" s="7"/>
      <c r="Y191" s="8"/>
      <c r="Z191" s="7"/>
      <c r="AA191" s="8"/>
    </row>
    <row r="192" spans="4:27" ht="14.25" thickTop="1" thickBot="1" x14ac:dyDescent="0.25">
      <c r="D192" s="190"/>
      <c r="E192" s="72" t="s">
        <v>1087</v>
      </c>
      <c r="F192" s="7"/>
      <c r="G192" s="8"/>
      <c r="H192" s="7"/>
      <c r="I192" s="6"/>
      <c r="J192" s="7"/>
      <c r="K192" s="8"/>
      <c r="L192" s="7"/>
      <c r="M192" s="8"/>
      <c r="N192" s="7"/>
      <c r="O192" s="8"/>
      <c r="P192" s="7"/>
      <c r="Q192" s="7"/>
      <c r="R192" s="8"/>
      <c r="S192" s="7"/>
      <c r="T192" s="9"/>
      <c r="U192" s="7"/>
      <c r="V192" s="8"/>
      <c r="W192" s="7"/>
      <c r="X192" s="7"/>
      <c r="Y192" s="8"/>
      <c r="Z192" s="7"/>
      <c r="AA192" s="8"/>
    </row>
    <row r="193" spans="4:27" ht="14.25" thickTop="1" thickBot="1" x14ac:dyDescent="0.25">
      <c r="D193" s="190"/>
      <c r="E193" s="72" t="s">
        <v>1056</v>
      </c>
      <c r="F193" s="7"/>
      <c r="G193" s="8"/>
      <c r="H193" s="7"/>
      <c r="I193" s="6"/>
      <c r="J193" s="7"/>
      <c r="K193" s="8"/>
      <c r="L193" s="7"/>
      <c r="M193" s="8"/>
      <c r="N193" s="7"/>
      <c r="O193" s="8"/>
      <c r="P193" s="7"/>
      <c r="Q193" s="7"/>
      <c r="R193" s="8"/>
      <c r="S193" s="7"/>
      <c r="T193" s="9"/>
      <c r="U193" s="7"/>
      <c r="V193" s="8"/>
      <c r="W193" s="7"/>
      <c r="X193" s="7"/>
      <c r="Y193" s="8"/>
      <c r="Z193" s="7"/>
      <c r="AA193" s="8"/>
    </row>
    <row r="194" spans="4:27" ht="14.25" thickTop="1" thickBot="1" x14ac:dyDescent="0.25">
      <c r="D194" s="190"/>
      <c r="E194" s="72" t="s">
        <v>1089</v>
      </c>
      <c r="F194" s="7"/>
      <c r="G194" s="8"/>
      <c r="H194" s="7"/>
      <c r="I194" s="6"/>
      <c r="J194" s="7"/>
      <c r="K194" s="8"/>
      <c r="L194" s="7"/>
      <c r="M194" s="8"/>
      <c r="N194" s="7"/>
      <c r="O194" s="8"/>
      <c r="P194" s="7"/>
      <c r="Q194" s="7"/>
      <c r="R194" s="8"/>
      <c r="S194" s="7"/>
      <c r="T194" s="9"/>
      <c r="U194" s="7"/>
      <c r="V194" s="8"/>
      <c r="W194" s="7"/>
      <c r="X194" s="7"/>
      <c r="Y194" s="8"/>
      <c r="Z194" s="7"/>
      <c r="AA194" s="8"/>
    </row>
    <row r="195" spans="4:27" ht="14.25" thickTop="1" thickBot="1" x14ac:dyDescent="0.25">
      <c r="D195" s="190"/>
      <c r="E195" s="72" t="s">
        <v>681</v>
      </c>
      <c r="F195" s="7"/>
      <c r="G195" s="8"/>
      <c r="H195" s="7"/>
      <c r="I195" s="6"/>
      <c r="J195" s="7"/>
      <c r="K195" s="8"/>
      <c r="L195" s="7"/>
      <c r="M195" s="8"/>
      <c r="N195" s="7"/>
      <c r="O195" s="8"/>
      <c r="P195" s="7"/>
      <c r="Q195" s="7"/>
      <c r="R195" s="8"/>
      <c r="S195" s="7"/>
      <c r="T195" s="9"/>
      <c r="U195" s="7"/>
      <c r="V195" s="8"/>
      <c r="W195" s="7"/>
      <c r="X195" s="7"/>
      <c r="Y195" s="8"/>
      <c r="Z195" s="7"/>
      <c r="AA195" s="8"/>
    </row>
    <row r="196" spans="4:27" ht="14.25" thickTop="1" thickBot="1" x14ac:dyDescent="0.25">
      <c r="D196" s="190"/>
      <c r="E196" s="72" t="s">
        <v>1053</v>
      </c>
      <c r="F196" s="7"/>
      <c r="G196" s="8"/>
      <c r="H196" s="7"/>
      <c r="I196" s="6"/>
      <c r="J196" s="7"/>
      <c r="K196" s="8"/>
      <c r="L196" s="7"/>
      <c r="M196" s="8"/>
      <c r="N196" s="7"/>
      <c r="O196" s="8"/>
      <c r="P196" s="7"/>
      <c r="Q196" s="7"/>
      <c r="R196" s="8"/>
      <c r="S196" s="7"/>
      <c r="T196" s="9"/>
      <c r="U196" s="7"/>
      <c r="V196" s="8"/>
      <c r="W196" s="7"/>
      <c r="X196" s="7"/>
      <c r="Y196" s="8"/>
      <c r="Z196" s="7"/>
      <c r="AA196" s="8"/>
    </row>
    <row r="197" spans="4:27" ht="14.25" thickTop="1" thickBot="1" x14ac:dyDescent="0.25">
      <c r="D197" s="190"/>
      <c r="E197" s="72" t="s">
        <v>647</v>
      </c>
      <c r="F197" s="7"/>
      <c r="G197" s="8"/>
      <c r="H197" s="7"/>
      <c r="I197" s="6"/>
      <c r="J197" s="7"/>
      <c r="K197" s="8"/>
      <c r="L197" s="7"/>
      <c r="M197" s="8"/>
      <c r="N197" s="7"/>
      <c r="O197" s="8"/>
      <c r="P197" s="7"/>
      <c r="Q197" s="7"/>
      <c r="R197" s="8"/>
      <c r="S197" s="7"/>
      <c r="T197" s="9"/>
      <c r="U197" s="7"/>
      <c r="V197" s="8"/>
      <c r="W197" s="7"/>
      <c r="X197" s="7"/>
      <c r="Y197" s="8"/>
      <c r="Z197" s="7"/>
      <c r="AA197" s="8"/>
    </row>
    <row r="198" spans="4:27" ht="14.25" thickTop="1" thickBot="1" x14ac:dyDescent="0.25">
      <c r="D198" s="190"/>
      <c r="E198" s="72" t="s">
        <v>1052</v>
      </c>
      <c r="F198" s="7"/>
      <c r="G198" s="8"/>
      <c r="H198" s="7"/>
      <c r="I198" s="6"/>
      <c r="J198" s="7"/>
      <c r="K198" s="8"/>
      <c r="L198" s="7"/>
      <c r="M198" s="8"/>
      <c r="N198" s="7"/>
      <c r="O198" s="8"/>
      <c r="P198" s="7"/>
      <c r="Q198" s="7"/>
      <c r="R198" s="8"/>
      <c r="S198" s="7"/>
      <c r="T198" s="9"/>
      <c r="U198" s="7"/>
      <c r="V198" s="8"/>
      <c r="W198" s="7"/>
      <c r="X198" s="7"/>
      <c r="Y198" s="8"/>
      <c r="Z198" s="7"/>
      <c r="AA198" s="8"/>
    </row>
    <row r="199" spans="4:27" ht="14.25" thickTop="1" thickBot="1" x14ac:dyDescent="0.25">
      <c r="D199" s="190"/>
      <c r="E199" s="72" t="s">
        <v>1090</v>
      </c>
      <c r="F199" s="7"/>
      <c r="G199" s="8"/>
      <c r="H199" s="7"/>
      <c r="I199" s="6"/>
      <c r="J199" s="7"/>
      <c r="K199" s="8"/>
      <c r="L199" s="7"/>
      <c r="M199" s="8"/>
      <c r="N199" s="7"/>
      <c r="O199" s="8"/>
      <c r="P199" s="7"/>
      <c r="Q199" s="7"/>
      <c r="R199" s="8"/>
      <c r="S199" s="7"/>
      <c r="T199" s="9"/>
      <c r="U199" s="7"/>
      <c r="V199" s="8"/>
      <c r="W199" s="7"/>
      <c r="X199" s="7"/>
      <c r="Y199" s="8"/>
      <c r="Z199" s="7"/>
      <c r="AA199" s="8"/>
    </row>
    <row r="200" spans="4:27" ht="14.25" thickTop="1" thickBot="1" x14ac:dyDescent="0.25">
      <c r="D200" s="190"/>
      <c r="E200" s="72" t="s">
        <v>673</v>
      </c>
      <c r="F200" s="7"/>
      <c r="G200" s="8"/>
      <c r="H200" s="7"/>
      <c r="I200" s="6"/>
      <c r="J200" s="7"/>
      <c r="K200" s="8"/>
      <c r="L200" s="7"/>
      <c r="M200" s="8"/>
      <c r="N200" s="7"/>
      <c r="O200" s="8"/>
      <c r="P200" s="7"/>
      <c r="Q200" s="7"/>
      <c r="R200" s="8"/>
      <c r="S200" s="7"/>
      <c r="T200" s="9"/>
      <c r="U200" s="7"/>
      <c r="V200" s="8"/>
      <c r="W200" s="7"/>
      <c r="X200" s="7"/>
      <c r="Y200" s="8"/>
      <c r="Z200" s="7"/>
      <c r="AA200" s="8"/>
    </row>
    <row r="201" spans="4:27" ht="14.25" thickTop="1" thickBot="1" x14ac:dyDescent="0.25">
      <c r="D201" s="190"/>
      <c r="E201" s="72" t="s">
        <v>1051</v>
      </c>
      <c r="F201" s="7"/>
      <c r="G201" s="8"/>
      <c r="H201" s="7"/>
      <c r="I201" s="6"/>
      <c r="J201" s="7"/>
      <c r="K201" s="8"/>
      <c r="L201" s="7"/>
      <c r="M201" s="8"/>
      <c r="N201" s="7"/>
      <c r="O201" s="8"/>
      <c r="P201" s="7"/>
      <c r="Q201" s="7"/>
      <c r="R201" s="8"/>
      <c r="S201" s="7"/>
      <c r="T201" s="9"/>
      <c r="U201" s="7"/>
      <c r="V201" s="8"/>
      <c r="W201" s="7"/>
      <c r="X201" s="7"/>
      <c r="Y201" s="8"/>
      <c r="Z201" s="7"/>
      <c r="AA201" s="8"/>
    </row>
    <row r="202" spans="4:27" ht="14.25" thickTop="1" thickBot="1" x14ac:dyDescent="0.25">
      <c r="D202" s="190"/>
      <c r="E202" s="72" t="s">
        <v>619</v>
      </c>
      <c r="F202" s="7"/>
      <c r="G202" s="8"/>
      <c r="H202" s="7"/>
      <c r="I202" s="6"/>
      <c r="J202" s="7"/>
      <c r="K202" s="8"/>
      <c r="L202" s="7"/>
      <c r="M202" s="8"/>
      <c r="N202" s="7"/>
      <c r="O202" s="8"/>
      <c r="P202" s="7"/>
      <c r="Q202" s="7"/>
      <c r="R202" s="8"/>
      <c r="S202" s="7"/>
      <c r="T202" s="9"/>
      <c r="U202" s="7"/>
      <c r="V202" s="8"/>
      <c r="W202" s="7"/>
      <c r="X202" s="7"/>
      <c r="Y202" s="8"/>
      <c r="Z202" s="7"/>
      <c r="AA202" s="8"/>
    </row>
    <row r="203" spans="4:27" ht="14.25" thickTop="1" thickBot="1" x14ac:dyDescent="0.25">
      <c r="D203" s="190"/>
      <c r="E203" s="72" t="s">
        <v>622</v>
      </c>
      <c r="F203" s="7"/>
      <c r="G203" s="8"/>
      <c r="H203" s="7"/>
      <c r="I203" s="6"/>
      <c r="J203" s="7"/>
      <c r="K203" s="8"/>
      <c r="L203" s="7"/>
      <c r="M203" s="8"/>
      <c r="N203" s="7"/>
      <c r="O203" s="8"/>
      <c r="P203" s="7"/>
      <c r="Q203" s="7"/>
      <c r="R203" s="8"/>
      <c r="S203" s="7"/>
      <c r="T203" s="9"/>
      <c r="U203" s="7"/>
      <c r="V203" s="8"/>
      <c r="W203" s="7"/>
      <c r="X203" s="7"/>
      <c r="Y203" s="8"/>
      <c r="Z203" s="7"/>
      <c r="AA203" s="8"/>
    </row>
    <row r="204" spans="4:27" ht="14.25" thickTop="1" thickBot="1" x14ac:dyDescent="0.25">
      <c r="D204" s="190"/>
      <c r="E204" s="72" t="s">
        <v>653</v>
      </c>
      <c r="F204" s="7"/>
      <c r="G204" s="8"/>
      <c r="H204" s="7"/>
      <c r="I204" s="6"/>
      <c r="J204" s="7"/>
      <c r="K204" s="8"/>
      <c r="L204" s="7"/>
      <c r="M204" s="8"/>
      <c r="N204" s="7"/>
      <c r="O204" s="8"/>
      <c r="P204" s="7"/>
      <c r="Q204" s="7"/>
      <c r="R204" s="8"/>
      <c r="S204" s="7"/>
      <c r="T204" s="9"/>
      <c r="U204" s="7"/>
      <c r="V204" s="8"/>
      <c r="W204" s="7"/>
      <c r="X204" s="7"/>
      <c r="Y204" s="8"/>
      <c r="Z204" s="7"/>
      <c r="AA204" s="8"/>
    </row>
    <row r="205" spans="4:27" ht="14.25" thickTop="1" thickBot="1" x14ac:dyDescent="0.25">
      <c r="D205" s="190"/>
      <c r="E205" s="72" t="s">
        <v>625</v>
      </c>
      <c r="F205" s="7"/>
      <c r="G205" s="8"/>
      <c r="H205" s="7"/>
      <c r="I205" s="6"/>
      <c r="J205" s="7"/>
      <c r="K205" s="8"/>
      <c r="L205" s="7"/>
      <c r="M205" s="8"/>
      <c r="N205" s="7"/>
      <c r="O205" s="8"/>
      <c r="P205" s="7"/>
      <c r="Q205" s="7"/>
      <c r="R205" s="8"/>
      <c r="S205" s="7"/>
      <c r="T205" s="9"/>
      <c r="U205" s="7"/>
      <c r="V205" s="8"/>
      <c r="W205" s="7"/>
      <c r="X205" s="7"/>
      <c r="Y205" s="8"/>
      <c r="Z205" s="7"/>
      <c r="AA205" s="8"/>
    </row>
    <row r="206" spans="4:27" ht="14.25" thickTop="1" thickBot="1" x14ac:dyDescent="0.25">
      <c r="D206" s="190"/>
      <c r="E206" s="72" t="s">
        <v>652</v>
      </c>
      <c r="F206" s="7"/>
      <c r="G206" s="8"/>
      <c r="H206" s="7"/>
      <c r="I206" s="6"/>
      <c r="J206" s="7"/>
      <c r="K206" s="8"/>
      <c r="L206" s="7"/>
      <c r="M206" s="8"/>
      <c r="N206" s="7"/>
      <c r="O206" s="8"/>
      <c r="P206" s="7"/>
      <c r="Q206" s="7"/>
      <c r="R206" s="8"/>
      <c r="S206" s="7"/>
      <c r="T206" s="9"/>
      <c r="U206" s="7"/>
      <c r="V206" s="8"/>
      <c r="W206" s="7"/>
      <c r="X206" s="7"/>
      <c r="Y206" s="8"/>
      <c r="Z206" s="7"/>
      <c r="AA206" s="8"/>
    </row>
    <row r="207" spans="4:27" ht="14.25" thickTop="1" thickBot="1" x14ac:dyDescent="0.25">
      <c r="D207" s="190"/>
      <c r="E207" s="72" t="s">
        <v>666</v>
      </c>
      <c r="F207" s="7"/>
      <c r="G207" s="8"/>
      <c r="H207" s="7"/>
      <c r="I207" s="6"/>
      <c r="J207" s="7"/>
      <c r="K207" s="8"/>
      <c r="L207" s="7"/>
      <c r="M207" s="8"/>
      <c r="N207" s="7"/>
      <c r="O207" s="8"/>
      <c r="P207" s="7"/>
      <c r="Q207" s="7"/>
      <c r="R207" s="8"/>
      <c r="S207" s="7"/>
      <c r="T207" s="9"/>
      <c r="U207" s="7"/>
      <c r="V207" s="8"/>
      <c r="W207" s="7"/>
      <c r="X207" s="7"/>
      <c r="Y207" s="8"/>
      <c r="Z207" s="7"/>
      <c r="AA207" s="8"/>
    </row>
    <row r="208" spans="4:27" ht="14.25" thickTop="1" thickBot="1" x14ac:dyDescent="0.25">
      <c r="D208" s="190"/>
      <c r="E208" s="72" t="s">
        <v>634</v>
      </c>
      <c r="F208" s="7"/>
      <c r="G208" s="8"/>
      <c r="H208" s="7"/>
      <c r="I208" s="6"/>
      <c r="J208" s="7"/>
      <c r="K208" s="8"/>
      <c r="L208" s="7"/>
      <c r="M208" s="8"/>
      <c r="N208" s="7"/>
      <c r="O208" s="8"/>
      <c r="P208" s="7"/>
      <c r="Q208" s="7"/>
      <c r="R208" s="8"/>
      <c r="S208" s="7"/>
      <c r="T208" s="9"/>
      <c r="U208" s="7"/>
      <c r="V208" s="8"/>
      <c r="W208" s="7"/>
      <c r="X208" s="7"/>
      <c r="Y208" s="8"/>
      <c r="Z208" s="7"/>
      <c r="AA208" s="8"/>
    </row>
    <row r="209" spans="4:27" ht="14.25" thickTop="1" thickBot="1" x14ac:dyDescent="0.25">
      <c r="D209" s="190"/>
      <c r="E209" s="72" t="s">
        <v>517</v>
      </c>
      <c r="F209" s="7"/>
      <c r="G209" s="8"/>
      <c r="H209" s="7"/>
      <c r="I209" s="6"/>
      <c r="J209" s="7"/>
      <c r="K209" s="8"/>
      <c r="L209" s="7"/>
      <c r="M209" s="8"/>
      <c r="N209" s="7"/>
      <c r="O209" s="8"/>
      <c r="P209" s="7"/>
      <c r="Q209" s="7"/>
      <c r="R209" s="8"/>
      <c r="S209" s="7"/>
      <c r="T209" s="9"/>
      <c r="U209" s="7"/>
      <c r="V209" s="8"/>
      <c r="W209" s="7"/>
      <c r="X209" s="7"/>
      <c r="Y209" s="8"/>
      <c r="Z209" s="7"/>
      <c r="AA209" s="8"/>
    </row>
    <row r="210" spans="4:27" ht="14.25" thickTop="1" thickBot="1" x14ac:dyDescent="0.25">
      <c r="D210" s="190"/>
      <c r="E210" s="72" t="s">
        <v>661</v>
      </c>
      <c r="F210" s="7"/>
      <c r="G210" s="8"/>
      <c r="H210" s="7"/>
      <c r="I210" s="6"/>
      <c r="J210" s="7"/>
      <c r="K210" s="8"/>
      <c r="L210" s="7"/>
      <c r="M210" s="8"/>
      <c r="N210" s="7"/>
      <c r="O210" s="8"/>
      <c r="P210" s="7"/>
      <c r="Q210" s="7"/>
      <c r="R210" s="8"/>
      <c r="S210" s="7"/>
      <c r="T210" s="9"/>
      <c r="U210" s="7"/>
      <c r="V210" s="8"/>
      <c r="W210" s="7"/>
      <c r="X210" s="7"/>
      <c r="Y210" s="8"/>
      <c r="Z210" s="7"/>
      <c r="AA210" s="8"/>
    </row>
    <row r="211" spans="4:27" ht="14.25" thickTop="1" thickBot="1" x14ac:dyDescent="0.25">
      <c r="D211" s="190"/>
      <c r="E211" s="72" t="s">
        <v>667</v>
      </c>
      <c r="F211" s="7"/>
      <c r="G211" s="8"/>
      <c r="H211" s="7"/>
      <c r="I211" s="6"/>
      <c r="J211" s="7"/>
      <c r="K211" s="8"/>
      <c r="L211" s="7"/>
      <c r="M211" s="8"/>
      <c r="N211" s="7"/>
      <c r="O211" s="8"/>
      <c r="P211" s="7"/>
      <c r="Q211" s="7"/>
      <c r="R211" s="8"/>
      <c r="S211" s="7"/>
      <c r="T211" s="9"/>
      <c r="U211" s="7"/>
      <c r="V211" s="8"/>
      <c r="W211" s="7"/>
      <c r="X211" s="7"/>
      <c r="Y211" s="8"/>
      <c r="Z211" s="7"/>
      <c r="AA211" s="8"/>
    </row>
    <row r="212" spans="4:27" ht="14.25" thickTop="1" thickBot="1" x14ac:dyDescent="0.25">
      <c r="D212" s="190"/>
      <c r="E212" s="72" t="s">
        <v>632</v>
      </c>
      <c r="F212" s="7"/>
      <c r="G212" s="8"/>
      <c r="H212" s="7"/>
      <c r="I212" s="6"/>
      <c r="J212" s="7"/>
      <c r="K212" s="8"/>
      <c r="L212" s="7"/>
      <c r="M212" s="8"/>
      <c r="N212" s="7"/>
      <c r="O212" s="8"/>
      <c r="P212" s="7"/>
      <c r="Q212" s="7"/>
      <c r="R212" s="8"/>
      <c r="S212" s="7"/>
      <c r="T212" s="9"/>
      <c r="U212" s="7"/>
      <c r="V212" s="8"/>
      <c r="W212" s="7"/>
      <c r="X212" s="7"/>
      <c r="Y212" s="8"/>
      <c r="Z212" s="7"/>
      <c r="AA212" s="8"/>
    </row>
    <row r="213" spans="4:27" ht="14.25" thickTop="1" thickBot="1" x14ac:dyDescent="0.25">
      <c r="D213" s="190"/>
      <c r="E213" s="72" t="s">
        <v>1078</v>
      </c>
      <c r="F213" s="7"/>
      <c r="G213" s="8"/>
      <c r="H213" s="7"/>
      <c r="I213" s="6"/>
      <c r="J213" s="7"/>
      <c r="K213" s="8"/>
      <c r="L213" s="7"/>
      <c r="M213" s="8"/>
      <c r="N213" s="7"/>
      <c r="O213" s="8"/>
      <c r="P213" s="7"/>
      <c r="Q213" s="7"/>
      <c r="R213" s="8"/>
      <c r="S213" s="7"/>
      <c r="T213" s="9"/>
      <c r="U213" s="7"/>
      <c r="V213" s="8"/>
      <c r="W213" s="7"/>
      <c r="X213" s="7"/>
      <c r="Y213" s="8"/>
      <c r="Z213" s="7"/>
      <c r="AA213" s="8"/>
    </row>
    <row r="214" spans="4:27" ht="14.25" thickTop="1" thickBot="1" x14ac:dyDescent="0.25">
      <c r="D214" s="190"/>
      <c r="E214" s="72" t="s">
        <v>1264</v>
      </c>
      <c r="F214" s="7"/>
      <c r="G214" s="8"/>
      <c r="H214" s="7"/>
      <c r="I214" s="6"/>
      <c r="J214" s="7"/>
      <c r="K214" s="8"/>
      <c r="L214" s="7"/>
      <c r="M214" s="8"/>
      <c r="N214" s="7"/>
      <c r="O214" s="8"/>
      <c r="P214" s="7"/>
      <c r="Q214" s="7"/>
      <c r="R214" s="8"/>
      <c r="S214" s="7"/>
      <c r="T214" s="9"/>
      <c r="U214" s="7"/>
      <c r="V214" s="8"/>
      <c r="W214" s="7"/>
      <c r="X214" s="7"/>
      <c r="Y214" s="8"/>
      <c r="Z214" s="7"/>
      <c r="AA214" s="8"/>
    </row>
    <row r="215" spans="4:27" ht="14.25" thickTop="1" thickBot="1" x14ac:dyDescent="0.25">
      <c r="D215" s="190"/>
      <c r="E215" s="72" t="s">
        <v>660</v>
      </c>
      <c r="F215" s="7"/>
      <c r="G215" s="8"/>
      <c r="H215" s="7"/>
      <c r="I215" s="6"/>
      <c r="J215" s="7"/>
      <c r="K215" s="8"/>
      <c r="L215" s="7"/>
      <c r="M215" s="8"/>
      <c r="N215" s="7"/>
      <c r="O215" s="8"/>
      <c r="P215" s="7"/>
      <c r="Q215" s="7"/>
      <c r="R215" s="8"/>
      <c r="S215" s="7"/>
      <c r="T215" s="9"/>
      <c r="U215" s="7"/>
      <c r="V215" s="8"/>
      <c r="W215" s="7"/>
      <c r="X215" s="7"/>
      <c r="Y215" s="8"/>
      <c r="Z215" s="7"/>
      <c r="AA215" s="8"/>
    </row>
    <row r="216" spans="4:27" ht="14.25" thickTop="1" thickBot="1" x14ac:dyDescent="0.25">
      <c r="D216" s="190"/>
      <c r="E216" s="72" t="s">
        <v>633</v>
      </c>
      <c r="F216" s="7"/>
      <c r="G216" s="8"/>
      <c r="H216" s="7"/>
      <c r="I216" s="6"/>
      <c r="J216" s="7"/>
      <c r="K216" s="8"/>
      <c r="L216" s="7"/>
      <c r="M216" s="8"/>
      <c r="N216" s="7"/>
      <c r="O216" s="8"/>
      <c r="P216" s="7"/>
      <c r="Q216" s="7"/>
      <c r="R216" s="8"/>
      <c r="S216" s="7"/>
      <c r="T216" s="9"/>
      <c r="U216" s="7"/>
      <c r="V216" s="8"/>
      <c r="W216" s="7"/>
      <c r="X216" s="7"/>
      <c r="Y216" s="8"/>
      <c r="Z216" s="7"/>
      <c r="AA216" s="8"/>
    </row>
    <row r="217" spans="4:27" ht="14.25" thickTop="1" thickBot="1" x14ac:dyDescent="0.25">
      <c r="D217" s="190"/>
      <c r="E217" s="72" t="s">
        <v>669</v>
      </c>
      <c r="F217" s="7"/>
      <c r="G217" s="8"/>
      <c r="H217" s="7"/>
      <c r="I217" s="6"/>
      <c r="J217" s="7"/>
      <c r="K217" s="8"/>
      <c r="L217" s="7"/>
      <c r="M217" s="8"/>
      <c r="N217" s="7"/>
      <c r="O217" s="8"/>
      <c r="P217" s="7"/>
      <c r="Q217" s="7"/>
      <c r="R217" s="8"/>
      <c r="S217" s="7"/>
      <c r="T217" s="9"/>
      <c r="U217" s="7"/>
      <c r="V217" s="8"/>
      <c r="W217" s="7"/>
      <c r="X217" s="7"/>
      <c r="Y217" s="8"/>
      <c r="Z217" s="7"/>
      <c r="AA217" s="8"/>
    </row>
    <row r="218" spans="4:27" ht="14.25" thickTop="1" thickBot="1" x14ac:dyDescent="0.25">
      <c r="D218" s="190"/>
      <c r="E218" s="72" t="s">
        <v>668</v>
      </c>
      <c r="F218" s="7"/>
      <c r="G218" s="8"/>
      <c r="H218" s="7"/>
      <c r="I218" s="6"/>
      <c r="J218" s="7"/>
      <c r="K218" s="8"/>
      <c r="L218" s="7"/>
      <c r="M218" s="8"/>
      <c r="N218" s="7"/>
      <c r="O218" s="8"/>
      <c r="P218" s="7"/>
      <c r="Q218" s="7"/>
      <c r="R218" s="8"/>
      <c r="S218" s="7"/>
      <c r="T218" s="9"/>
      <c r="U218" s="7"/>
      <c r="V218" s="8"/>
      <c r="W218" s="7"/>
      <c r="X218" s="7"/>
      <c r="Y218" s="8"/>
      <c r="Z218" s="7"/>
      <c r="AA218" s="8"/>
    </row>
    <row r="219" spans="4:27" ht="14.25" thickTop="1" thickBot="1" x14ac:dyDescent="0.25">
      <c r="D219" s="190"/>
      <c r="E219" s="72" t="s">
        <v>1084</v>
      </c>
      <c r="F219" s="7"/>
      <c r="G219" s="8"/>
      <c r="H219" s="7"/>
      <c r="I219" s="6"/>
      <c r="J219" s="7"/>
      <c r="K219" s="8"/>
      <c r="L219" s="7"/>
      <c r="M219" s="8"/>
      <c r="N219" s="7"/>
      <c r="O219" s="8"/>
      <c r="P219" s="7"/>
      <c r="Q219" s="7"/>
      <c r="R219" s="8"/>
      <c r="S219" s="7"/>
      <c r="T219" s="9"/>
      <c r="U219" s="7"/>
      <c r="V219" s="8"/>
      <c r="W219" s="7"/>
      <c r="X219" s="7"/>
      <c r="Y219" s="8"/>
      <c r="Z219" s="7"/>
      <c r="AA219" s="8"/>
    </row>
    <row r="220" spans="4:27" ht="14.25" thickTop="1" thickBot="1" x14ac:dyDescent="0.25">
      <c r="D220" s="190"/>
      <c r="E220" s="72" t="s">
        <v>635</v>
      </c>
      <c r="F220" s="7"/>
      <c r="G220" s="8"/>
      <c r="H220" s="7"/>
      <c r="I220" s="6"/>
      <c r="J220" s="7"/>
      <c r="K220" s="8"/>
      <c r="L220" s="7"/>
      <c r="M220" s="8"/>
      <c r="N220" s="7"/>
      <c r="O220" s="8"/>
      <c r="P220" s="7"/>
      <c r="Q220" s="7"/>
      <c r="R220" s="8"/>
      <c r="S220" s="7"/>
      <c r="T220" s="9"/>
      <c r="U220" s="7"/>
      <c r="V220" s="8"/>
      <c r="W220" s="7"/>
      <c r="X220" s="7"/>
      <c r="Y220" s="8"/>
      <c r="Z220" s="7"/>
      <c r="AA220" s="8"/>
    </row>
    <row r="221" spans="4:27" ht="14.25" thickTop="1" thickBot="1" x14ac:dyDescent="0.25">
      <c r="D221" s="190"/>
      <c r="E221" s="72" t="s">
        <v>1077</v>
      </c>
      <c r="F221" s="7"/>
      <c r="G221" s="8"/>
      <c r="H221" s="7"/>
      <c r="I221" s="6"/>
      <c r="J221" s="7"/>
      <c r="K221" s="8"/>
      <c r="L221" s="7"/>
      <c r="M221" s="8"/>
      <c r="N221" s="7"/>
      <c r="O221" s="8"/>
      <c r="P221" s="7"/>
      <c r="Q221" s="7"/>
      <c r="R221" s="8"/>
      <c r="S221" s="7"/>
      <c r="T221" s="9"/>
      <c r="U221" s="7"/>
      <c r="V221" s="8"/>
      <c r="W221" s="7"/>
      <c r="X221" s="7"/>
      <c r="Y221" s="8"/>
      <c r="Z221" s="7"/>
      <c r="AA221" s="8"/>
    </row>
    <row r="222" spans="4:27" ht="14.25" thickTop="1" thickBot="1" x14ac:dyDescent="0.25">
      <c r="D222" s="190"/>
      <c r="E222" s="72" t="s">
        <v>670</v>
      </c>
      <c r="F222" s="7"/>
      <c r="G222" s="8"/>
      <c r="H222" s="7"/>
      <c r="I222" s="6"/>
      <c r="J222" s="7"/>
      <c r="K222" s="8"/>
      <c r="L222" s="7"/>
      <c r="M222" s="8"/>
      <c r="N222" s="7"/>
      <c r="O222" s="8"/>
      <c r="P222" s="7"/>
      <c r="Q222" s="7"/>
      <c r="R222" s="8"/>
      <c r="S222" s="7"/>
      <c r="T222" s="9"/>
      <c r="U222" s="7"/>
      <c r="V222" s="8"/>
      <c r="W222" s="7"/>
      <c r="X222" s="7"/>
      <c r="Y222" s="8"/>
      <c r="Z222" s="7"/>
      <c r="AA222" s="8"/>
    </row>
    <row r="223" spans="4:27" ht="14.25" thickTop="1" thickBot="1" x14ac:dyDescent="0.25">
      <c r="D223" s="190"/>
      <c r="E223" s="72" t="s">
        <v>654</v>
      </c>
      <c r="F223" s="7"/>
      <c r="G223" s="8"/>
      <c r="H223" s="7"/>
      <c r="I223" s="6"/>
      <c r="J223" s="7"/>
      <c r="K223" s="8"/>
      <c r="L223" s="7"/>
      <c r="M223" s="8"/>
      <c r="N223" s="7"/>
      <c r="O223" s="8"/>
      <c r="P223" s="7"/>
      <c r="Q223" s="7"/>
      <c r="R223" s="8"/>
      <c r="S223" s="7"/>
      <c r="T223" s="9"/>
      <c r="U223" s="7"/>
      <c r="V223" s="8"/>
      <c r="W223" s="7"/>
      <c r="X223" s="7"/>
      <c r="Y223" s="8"/>
      <c r="Z223" s="7"/>
      <c r="AA223" s="8"/>
    </row>
    <row r="224" spans="4:27" ht="14.25" thickTop="1" thickBot="1" x14ac:dyDescent="0.25">
      <c r="D224" s="190"/>
      <c r="E224" s="72" t="s">
        <v>663</v>
      </c>
      <c r="F224" s="7"/>
      <c r="G224" s="8"/>
      <c r="H224" s="7"/>
      <c r="I224" s="6"/>
      <c r="J224" s="7"/>
      <c r="K224" s="8"/>
      <c r="L224" s="7"/>
      <c r="M224" s="8"/>
      <c r="N224" s="7"/>
      <c r="O224" s="8"/>
      <c r="P224" s="7"/>
      <c r="Q224" s="7"/>
      <c r="R224" s="8"/>
      <c r="S224" s="7"/>
      <c r="T224" s="9"/>
      <c r="U224" s="7"/>
      <c r="V224" s="8"/>
      <c r="W224" s="7"/>
      <c r="X224" s="7"/>
      <c r="Y224" s="8"/>
      <c r="Z224" s="7"/>
      <c r="AA224" s="8"/>
    </row>
    <row r="225" spans="4:27" ht="14.25" thickTop="1" thickBot="1" x14ac:dyDescent="0.25">
      <c r="D225" s="190"/>
      <c r="E225" s="72" t="s">
        <v>1055</v>
      </c>
      <c r="F225" s="7"/>
      <c r="G225" s="8"/>
      <c r="H225" s="7"/>
      <c r="I225" s="6"/>
      <c r="J225" s="7"/>
      <c r="K225" s="8"/>
      <c r="L225" s="7"/>
      <c r="M225" s="8"/>
      <c r="N225" s="7"/>
      <c r="O225" s="8"/>
      <c r="P225" s="7"/>
      <c r="Q225" s="7"/>
      <c r="R225" s="8"/>
      <c r="S225" s="7"/>
      <c r="T225" s="9"/>
      <c r="U225" s="7"/>
      <c r="V225" s="8"/>
      <c r="W225" s="7"/>
      <c r="X225" s="7"/>
      <c r="Y225" s="8"/>
      <c r="Z225" s="7"/>
      <c r="AA225" s="8"/>
    </row>
    <row r="226" spans="4:27" ht="14.25" thickTop="1" thickBot="1" x14ac:dyDescent="0.25">
      <c r="D226" s="190"/>
      <c r="E226" s="72" t="s">
        <v>641</v>
      </c>
      <c r="F226" s="7"/>
      <c r="G226" s="8"/>
      <c r="H226" s="7"/>
      <c r="I226" s="6"/>
      <c r="J226" s="7"/>
      <c r="K226" s="8"/>
      <c r="L226" s="7"/>
      <c r="M226" s="8"/>
      <c r="N226" s="7"/>
      <c r="O226" s="8"/>
      <c r="P226" s="7"/>
      <c r="Q226" s="7"/>
      <c r="R226" s="8"/>
      <c r="S226" s="7"/>
      <c r="T226" s="9"/>
      <c r="U226" s="7"/>
      <c r="V226" s="8"/>
      <c r="W226" s="7"/>
      <c r="X226" s="7"/>
      <c r="Y226" s="8"/>
      <c r="Z226" s="7"/>
      <c r="AA226" s="8"/>
    </row>
    <row r="227" spans="4:27" ht="14.25" thickTop="1" thickBot="1" x14ac:dyDescent="0.25">
      <c r="D227" s="190"/>
      <c r="E227" s="72" t="s">
        <v>1082</v>
      </c>
      <c r="F227" s="7"/>
      <c r="G227" s="8"/>
      <c r="H227" s="7"/>
      <c r="I227" s="6"/>
      <c r="J227" s="7"/>
      <c r="K227" s="8"/>
      <c r="L227" s="7"/>
      <c r="M227" s="8"/>
      <c r="N227" s="7"/>
      <c r="O227" s="8"/>
      <c r="P227" s="7"/>
      <c r="Q227" s="7"/>
      <c r="R227" s="8"/>
      <c r="S227" s="7"/>
      <c r="T227" s="9"/>
      <c r="U227" s="7"/>
      <c r="V227" s="8"/>
      <c r="W227" s="7"/>
      <c r="X227" s="7"/>
      <c r="Y227" s="8"/>
      <c r="Z227" s="7"/>
      <c r="AA227" s="8"/>
    </row>
    <row r="228" spans="4:27" ht="14.25" thickTop="1" thickBot="1" x14ac:dyDescent="0.25">
      <c r="D228" s="190"/>
      <c r="E228" s="72" t="s">
        <v>655</v>
      </c>
      <c r="F228" s="7"/>
      <c r="G228" s="8"/>
      <c r="H228" s="7"/>
      <c r="I228" s="6"/>
      <c r="J228" s="7"/>
      <c r="K228" s="8"/>
      <c r="L228" s="7"/>
      <c r="M228" s="8"/>
      <c r="N228" s="7"/>
      <c r="O228" s="8"/>
      <c r="P228" s="7"/>
      <c r="Q228" s="7"/>
      <c r="R228" s="8"/>
      <c r="S228" s="7"/>
      <c r="T228" s="9"/>
      <c r="U228" s="7"/>
      <c r="V228" s="8"/>
      <c r="W228" s="7"/>
      <c r="X228" s="7"/>
      <c r="Y228" s="8"/>
      <c r="Z228" s="7"/>
      <c r="AA228" s="8"/>
    </row>
    <row r="229" spans="4:27" ht="14.25" thickTop="1" thickBot="1" x14ac:dyDescent="0.25">
      <c r="D229" s="190"/>
      <c r="E229" s="72" t="s">
        <v>659</v>
      </c>
      <c r="F229" s="7"/>
      <c r="G229" s="8"/>
      <c r="H229" s="7"/>
      <c r="I229" s="6"/>
      <c r="J229" s="7"/>
      <c r="K229" s="8"/>
      <c r="L229" s="7"/>
      <c r="M229" s="8"/>
      <c r="N229" s="7"/>
      <c r="O229" s="8"/>
      <c r="P229" s="7"/>
      <c r="Q229" s="7"/>
      <c r="R229" s="8"/>
      <c r="S229" s="7"/>
      <c r="T229" s="9"/>
      <c r="U229" s="7"/>
      <c r="V229" s="8"/>
      <c r="W229" s="7"/>
      <c r="X229" s="7"/>
      <c r="Y229" s="8"/>
      <c r="Z229" s="7"/>
      <c r="AA229" s="8"/>
    </row>
    <row r="230" spans="4:27" ht="14.25" thickTop="1" thickBot="1" x14ac:dyDescent="0.25">
      <c r="D230" s="190"/>
      <c r="E230" s="72" t="s">
        <v>687</v>
      </c>
      <c r="F230" s="7"/>
      <c r="G230" s="8"/>
      <c r="H230" s="7"/>
      <c r="I230" s="6"/>
      <c r="J230" s="7"/>
      <c r="K230" s="8"/>
      <c r="L230" s="7"/>
      <c r="M230" s="8"/>
      <c r="N230" s="7"/>
      <c r="O230" s="8"/>
      <c r="P230" s="7"/>
      <c r="Q230" s="7"/>
      <c r="R230" s="8"/>
      <c r="S230" s="7"/>
      <c r="T230" s="9"/>
      <c r="U230" s="7"/>
      <c r="V230" s="8"/>
      <c r="W230" s="7"/>
      <c r="X230" s="7"/>
      <c r="Y230" s="8"/>
      <c r="Z230" s="7"/>
      <c r="AA230" s="8"/>
    </row>
    <row r="231" spans="4:27" ht="14.25" thickTop="1" thickBot="1" x14ac:dyDescent="0.25">
      <c r="D231" s="190"/>
      <c r="E231" s="72" t="s">
        <v>672</v>
      </c>
      <c r="F231" s="7"/>
      <c r="G231" s="8"/>
      <c r="H231" s="7"/>
      <c r="I231" s="6"/>
      <c r="J231" s="7"/>
      <c r="K231" s="8"/>
      <c r="L231" s="7"/>
      <c r="M231" s="8"/>
      <c r="N231" s="7"/>
      <c r="O231" s="8"/>
      <c r="P231" s="7"/>
      <c r="Q231" s="7"/>
      <c r="R231" s="8"/>
      <c r="S231" s="7"/>
      <c r="T231" s="9"/>
      <c r="U231" s="7"/>
      <c r="V231" s="8"/>
      <c r="W231" s="7"/>
      <c r="X231" s="7"/>
      <c r="Y231" s="8"/>
      <c r="Z231" s="7"/>
      <c r="AA231" s="8"/>
    </row>
    <row r="232" spans="4:27" ht="14.25" thickTop="1" thickBot="1" x14ac:dyDescent="0.25">
      <c r="D232" s="190"/>
      <c r="E232" s="72" t="s">
        <v>1085</v>
      </c>
      <c r="F232" s="7"/>
      <c r="G232" s="8"/>
      <c r="H232" s="7"/>
      <c r="I232" s="6"/>
      <c r="J232" s="7"/>
      <c r="K232" s="8"/>
      <c r="L232" s="7"/>
      <c r="M232" s="8"/>
      <c r="N232" s="7"/>
      <c r="O232" s="8"/>
      <c r="P232" s="7"/>
      <c r="Q232" s="7"/>
      <c r="R232" s="8"/>
      <c r="S232" s="7"/>
      <c r="T232" s="9"/>
      <c r="U232" s="7"/>
      <c r="V232" s="8"/>
      <c r="W232" s="7"/>
      <c r="X232" s="7"/>
      <c r="Y232" s="8"/>
      <c r="Z232" s="7"/>
      <c r="AA232" s="8"/>
    </row>
    <row r="233" spans="4:27" ht="14.25" thickTop="1" thickBot="1" x14ac:dyDescent="0.25">
      <c r="D233" s="190"/>
      <c r="E233" s="72" t="s">
        <v>1058</v>
      </c>
      <c r="F233" s="7"/>
      <c r="G233" s="8"/>
      <c r="H233" s="7"/>
      <c r="I233" s="6"/>
      <c r="J233" s="7"/>
      <c r="K233" s="8"/>
      <c r="L233" s="7"/>
      <c r="M233" s="8"/>
      <c r="N233" s="7"/>
      <c r="O233" s="8"/>
      <c r="P233" s="7"/>
      <c r="Q233" s="7"/>
      <c r="R233" s="8"/>
      <c r="S233" s="7"/>
      <c r="T233" s="9"/>
      <c r="U233" s="7"/>
      <c r="V233" s="8"/>
      <c r="W233" s="7"/>
      <c r="X233" s="7"/>
      <c r="Y233" s="8"/>
      <c r="Z233" s="7"/>
      <c r="AA233" s="8"/>
    </row>
    <row r="234" spans="4:27" ht="14.25" thickTop="1" thickBot="1" x14ac:dyDescent="0.25">
      <c r="D234" s="190"/>
      <c r="E234" s="72" t="s">
        <v>657</v>
      </c>
      <c r="F234" s="7"/>
      <c r="G234" s="8"/>
      <c r="H234" s="7"/>
      <c r="I234" s="6"/>
      <c r="J234" s="7"/>
      <c r="K234" s="8"/>
      <c r="L234" s="7"/>
      <c r="M234" s="8"/>
      <c r="N234" s="7"/>
      <c r="O234" s="8"/>
      <c r="P234" s="7"/>
      <c r="Q234" s="7"/>
      <c r="R234" s="8"/>
      <c r="S234" s="7"/>
      <c r="T234" s="9"/>
      <c r="U234" s="7"/>
      <c r="V234" s="8"/>
      <c r="W234" s="7"/>
      <c r="X234" s="7"/>
      <c r="Y234" s="8"/>
      <c r="Z234" s="7"/>
      <c r="AA234" s="8"/>
    </row>
    <row r="235" spans="4:27" ht="14.25" thickTop="1" thickBot="1" x14ac:dyDescent="0.25">
      <c r="D235" s="190"/>
      <c r="E235" s="72" t="s">
        <v>662</v>
      </c>
      <c r="F235" s="7"/>
      <c r="G235" s="8"/>
      <c r="H235" s="7"/>
      <c r="I235" s="6"/>
      <c r="J235" s="7"/>
      <c r="K235" s="8"/>
      <c r="L235" s="7"/>
      <c r="M235" s="8"/>
      <c r="N235" s="7"/>
      <c r="O235" s="8"/>
      <c r="P235" s="7"/>
      <c r="Q235" s="7"/>
      <c r="R235" s="8"/>
      <c r="S235" s="7"/>
      <c r="T235" s="9"/>
      <c r="U235" s="7"/>
      <c r="V235" s="8"/>
      <c r="W235" s="7"/>
      <c r="X235" s="7"/>
      <c r="Y235" s="8"/>
      <c r="Z235" s="7"/>
      <c r="AA235" s="8"/>
    </row>
    <row r="236" spans="4:27" ht="14.25" thickTop="1" thickBot="1" x14ac:dyDescent="0.25">
      <c r="D236" s="190"/>
      <c r="E236" s="72" t="s">
        <v>614</v>
      </c>
      <c r="F236" s="7"/>
      <c r="G236" s="8"/>
      <c r="H236" s="7"/>
      <c r="I236" s="6"/>
      <c r="J236" s="7"/>
      <c r="K236" s="8"/>
      <c r="L236" s="7"/>
      <c r="M236" s="8"/>
      <c r="N236" s="7"/>
      <c r="O236" s="8"/>
      <c r="P236" s="7"/>
      <c r="Q236" s="7"/>
      <c r="R236" s="8"/>
      <c r="S236" s="7"/>
      <c r="T236" s="9"/>
      <c r="U236" s="7"/>
      <c r="V236" s="8"/>
      <c r="W236" s="7"/>
      <c r="X236" s="7"/>
      <c r="Y236" s="8"/>
      <c r="Z236" s="7"/>
      <c r="AA236" s="8"/>
    </row>
    <row r="237" spans="4:27" ht="14.25" thickTop="1" thickBot="1" x14ac:dyDescent="0.25">
      <c r="D237" s="190"/>
      <c r="E237" s="72" t="s">
        <v>615</v>
      </c>
      <c r="F237" s="7"/>
      <c r="G237" s="8"/>
      <c r="H237" s="7"/>
      <c r="I237" s="6"/>
      <c r="J237" s="7"/>
      <c r="K237" s="8"/>
      <c r="L237" s="7"/>
      <c r="M237" s="8"/>
      <c r="N237" s="7"/>
      <c r="O237" s="8"/>
      <c r="P237" s="7"/>
      <c r="Q237" s="7"/>
      <c r="R237" s="8"/>
      <c r="S237" s="7"/>
      <c r="T237" s="9"/>
      <c r="U237" s="7"/>
      <c r="V237" s="8"/>
      <c r="W237" s="7"/>
      <c r="X237" s="7"/>
      <c r="Y237" s="8"/>
      <c r="Z237" s="7"/>
      <c r="AA237" s="8"/>
    </row>
    <row r="238" spans="4:27" ht="14.25" thickTop="1" thickBot="1" x14ac:dyDescent="0.25">
      <c r="D238" s="190"/>
      <c r="E238" s="72" t="s">
        <v>575</v>
      </c>
      <c r="F238" s="7"/>
      <c r="G238" s="8"/>
      <c r="H238" s="7"/>
      <c r="I238" s="6"/>
      <c r="J238" s="7"/>
      <c r="K238" s="8"/>
      <c r="L238" s="7"/>
      <c r="M238" s="8"/>
      <c r="N238" s="7"/>
      <c r="O238" s="8"/>
      <c r="P238" s="7"/>
      <c r="Q238" s="7"/>
      <c r="R238" s="8"/>
      <c r="S238" s="7"/>
      <c r="T238" s="9"/>
      <c r="U238" s="7"/>
      <c r="V238" s="8"/>
      <c r="W238" s="7"/>
      <c r="X238" s="7"/>
      <c r="Y238" s="8"/>
      <c r="Z238" s="7"/>
      <c r="AA238" s="8"/>
    </row>
    <row r="239" spans="4:27" ht="14.25" thickTop="1" thickBot="1" x14ac:dyDescent="0.25">
      <c r="D239" s="190"/>
      <c r="E239" s="72" t="s">
        <v>1011</v>
      </c>
      <c r="F239" s="7"/>
      <c r="G239" s="8"/>
      <c r="H239" s="7"/>
      <c r="I239" s="6"/>
      <c r="J239" s="7"/>
      <c r="K239" s="8"/>
      <c r="L239" s="7"/>
      <c r="M239" s="8"/>
      <c r="N239" s="7"/>
      <c r="O239" s="8"/>
      <c r="P239" s="7"/>
      <c r="Q239" s="7"/>
      <c r="R239" s="8"/>
      <c r="S239" s="7"/>
      <c r="T239" s="9"/>
      <c r="U239" s="7"/>
      <c r="V239" s="8"/>
      <c r="W239" s="7"/>
      <c r="X239" s="7"/>
      <c r="Y239" s="8"/>
      <c r="Z239" s="7"/>
      <c r="AA239" s="8"/>
    </row>
    <row r="240" spans="4:27" ht="14.25" thickTop="1" thickBot="1" x14ac:dyDescent="0.25">
      <c r="D240" s="190"/>
      <c r="E240" s="72" t="s">
        <v>1036</v>
      </c>
      <c r="F240" s="7"/>
      <c r="G240" s="8"/>
      <c r="H240" s="7"/>
      <c r="I240" s="6"/>
      <c r="J240" s="7"/>
      <c r="K240" s="8"/>
      <c r="L240" s="7"/>
      <c r="M240" s="8"/>
      <c r="N240" s="7"/>
      <c r="O240" s="8"/>
      <c r="P240" s="7"/>
      <c r="Q240" s="7"/>
      <c r="R240" s="8"/>
      <c r="S240" s="7"/>
      <c r="T240" s="9"/>
      <c r="U240" s="7"/>
      <c r="V240" s="8"/>
      <c r="W240" s="7"/>
      <c r="X240" s="7"/>
      <c r="Y240" s="8"/>
      <c r="Z240" s="7"/>
      <c r="AA240" s="8"/>
    </row>
    <row r="241" spans="4:27" ht="14.25" thickTop="1" thickBot="1" x14ac:dyDescent="0.25">
      <c r="D241" s="190"/>
      <c r="E241" s="72" t="s">
        <v>1265</v>
      </c>
      <c r="F241" s="7"/>
      <c r="G241" s="8"/>
      <c r="H241" s="7"/>
      <c r="I241" s="6"/>
      <c r="J241" s="7"/>
      <c r="K241" s="8"/>
      <c r="L241" s="7"/>
      <c r="M241" s="8"/>
      <c r="N241" s="7"/>
      <c r="O241" s="8"/>
      <c r="P241" s="7"/>
      <c r="Q241" s="7"/>
      <c r="R241" s="8"/>
      <c r="S241" s="7"/>
      <c r="T241" s="9"/>
      <c r="U241" s="7"/>
      <c r="V241" s="8"/>
      <c r="W241" s="7"/>
      <c r="X241" s="7"/>
      <c r="Y241" s="8"/>
      <c r="Z241" s="7"/>
      <c r="AA241" s="8"/>
    </row>
    <row r="242" spans="4:27" ht="14.25" thickTop="1" thickBot="1" x14ac:dyDescent="0.25">
      <c r="D242" s="190"/>
      <c r="E242" s="72" t="s">
        <v>586</v>
      </c>
      <c r="F242" s="7"/>
      <c r="G242" s="8"/>
      <c r="H242" s="7"/>
      <c r="I242" s="6"/>
      <c r="J242" s="7"/>
      <c r="K242" s="8"/>
      <c r="L242" s="7"/>
      <c r="M242" s="8"/>
      <c r="N242" s="7"/>
      <c r="O242" s="8"/>
      <c r="P242" s="7"/>
      <c r="Q242" s="7"/>
      <c r="R242" s="8"/>
      <c r="S242" s="7"/>
      <c r="T242" s="9"/>
      <c r="U242" s="7"/>
      <c r="V242" s="8"/>
      <c r="W242" s="7"/>
      <c r="X242" s="7"/>
      <c r="Y242" s="8"/>
      <c r="Z242" s="7"/>
      <c r="AA242" s="8"/>
    </row>
    <row r="243" spans="4:27" ht="14.25" thickTop="1" thickBot="1" x14ac:dyDescent="0.25">
      <c r="D243" s="190"/>
      <c r="E243" s="72" t="s">
        <v>459</v>
      </c>
      <c r="F243" s="7"/>
      <c r="G243" s="8"/>
      <c r="H243" s="7"/>
      <c r="I243" s="6"/>
      <c r="J243" s="7"/>
      <c r="K243" s="8"/>
      <c r="L243" s="7"/>
      <c r="M243" s="8"/>
      <c r="N243" s="7"/>
      <c r="O243" s="8"/>
      <c r="P243" s="7"/>
      <c r="Q243" s="7"/>
      <c r="R243" s="8"/>
      <c r="S243" s="7"/>
      <c r="T243" s="9"/>
      <c r="U243" s="7"/>
      <c r="V243" s="8"/>
      <c r="W243" s="7"/>
      <c r="X243" s="7"/>
      <c r="Y243" s="8"/>
      <c r="Z243" s="7"/>
      <c r="AA243" s="8"/>
    </row>
    <row r="244" spans="4:27" ht="14.25" thickTop="1" thickBot="1" x14ac:dyDescent="0.25">
      <c r="D244" s="190"/>
      <c r="E244" s="72" t="s">
        <v>609</v>
      </c>
      <c r="F244" s="7"/>
      <c r="G244" s="8"/>
      <c r="H244" s="7"/>
      <c r="I244" s="6"/>
      <c r="J244" s="7"/>
      <c r="K244" s="8"/>
      <c r="L244" s="7"/>
      <c r="M244" s="8"/>
      <c r="N244" s="7"/>
      <c r="O244" s="8"/>
      <c r="P244" s="7"/>
      <c r="Q244" s="7"/>
      <c r="R244" s="8"/>
      <c r="S244" s="7"/>
      <c r="T244" s="9"/>
      <c r="U244" s="7"/>
      <c r="V244" s="8"/>
      <c r="W244" s="7"/>
      <c r="X244" s="7"/>
      <c r="Y244" s="8"/>
      <c r="Z244" s="7"/>
      <c r="AA244" s="8"/>
    </row>
    <row r="245" spans="4:27" ht="14.25" thickTop="1" thickBot="1" x14ac:dyDescent="0.25">
      <c r="D245" s="190"/>
      <c r="E245" s="72" t="s">
        <v>1035</v>
      </c>
      <c r="F245" s="7"/>
      <c r="G245" s="8"/>
      <c r="H245" s="7"/>
      <c r="I245" s="6"/>
      <c r="J245" s="7"/>
      <c r="K245" s="8"/>
      <c r="L245" s="7"/>
      <c r="M245" s="8"/>
      <c r="N245" s="7"/>
      <c r="O245" s="8"/>
      <c r="P245" s="7"/>
      <c r="Q245" s="7"/>
      <c r="R245" s="8"/>
      <c r="S245" s="7"/>
      <c r="T245" s="9"/>
      <c r="U245" s="7"/>
      <c r="V245" s="8"/>
      <c r="W245" s="7"/>
      <c r="X245" s="7"/>
      <c r="Y245" s="8"/>
      <c r="Z245" s="7"/>
      <c r="AA245" s="8"/>
    </row>
    <row r="246" spans="4:27" ht="14.25" thickTop="1" thickBot="1" x14ac:dyDescent="0.25">
      <c r="D246" s="190"/>
      <c r="E246" s="72" t="s">
        <v>1037</v>
      </c>
      <c r="F246" s="7"/>
      <c r="G246" s="8"/>
      <c r="H246" s="7"/>
      <c r="I246" s="6"/>
      <c r="J246" s="7"/>
      <c r="K246" s="8"/>
      <c r="L246" s="7"/>
      <c r="M246" s="8"/>
      <c r="N246" s="7"/>
      <c r="O246" s="8"/>
      <c r="P246" s="7"/>
      <c r="Q246" s="7"/>
      <c r="R246" s="8"/>
      <c r="S246" s="7"/>
      <c r="T246" s="9"/>
      <c r="U246" s="7"/>
      <c r="V246" s="8"/>
      <c r="W246" s="7"/>
      <c r="X246" s="7"/>
      <c r="Y246" s="8"/>
      <c r="Z246" s="7"/>
      <c r="AA246" s="8"/>
    </row>
    <row r="247" spans="4:27" ht="14.25" thickTop="1" thickBot="1" x14ac:dyDescent="0.25">
      <c r="D247" s="190"/>
      <c r="E247" s="72" t="s">
        <v>616</v>
      </c>
      <c r="F247" s="7"/>
      <c r="G247" s="8"/>
      <c r="H247" s="7"/>
      <c r="I247" s="6"/>
      <c r="J247" s="7"/>
      <c r="K247" s="8"/>
      <c r="L247" s="7"/>
      <c r="M247" s="8"/>
      <c r="N247" s="7"/>
      <c r="O247" s="8"/>
      <c r="P247" s="7"/>
      <c r="Q247" s="7"/>
      <c r="R247" s="8"/>
      <c r="S247" s="7"/>
      <c r="T247" s="9"/>
      <c r="U247" s="7"/>
      <c r="V247" s="8"/>
      <c r="W247" s="7"/>
      <c r="X247" s="7"/>
      <c r="Y247" s="8"/>
      <c r="Z247" s="7"/>
      <c r="AA247" s="8"/>
    </row>
    <row r="248" spans="4:27" ht="14.25" thickTop="1" thickBot="1" x14ac:dyDescent="0.25">
      <c r="D248" s="190"/>
      <c r="E248" s="72" t="s">
        <v>1040</v>
      </c>
      <c r="F248" s="7"/>
      <c r="G248" s="8"/>
      <c r="H248" s="7"/>
      <c r="I248" s="6"/>
      <c r="J248" s="7"/>
      <c r="K248" s="8"/>
      <c r="L248" s="7"/>
      <c r="M248" s="8"/>
      <c r="N248" s="7"/>
      <c r="O248" s="8"/>
      <c r="P248" s="7"/>
      <c r="Q248" s="7"/>
      <c r="R248" s="8"/>
      <c r="S248" s="7"/>
      <c r="T248" s="9"/>
      <c r="U248" s="7"/>
      <c r="V248" s="8"/>
      <c r="W248" s="7"/>
      <c r="X248" s="7"/>
      <c r="Y248" s="8"/>
      <c r="Z248" s="7"/>
      <c r="AA248" s="8"/>
    </row>
    <row r="249" spans="4:27" ht="14.25" thickTop="1" thickBot="1" x14ac:dyDescent="0.25">
      <c r="D249" s="190"/>
      <c r="E249" s="72" t="s">
        <v>613</v>
      </c>
      <c r="F249" s="7"/>
      <c r="G249" s="8"/>
      <c r="H249" s="7"/>
      <c r="I249" s="6"/>
      <c r="J249" s="7"/>
      <c r="K249" s="8"/>
      <c r="L249" s="7"/>
      <c r="M249" s="8"/>
      <c r="N249" s="7"/>
      <c r="O249" s="8"/>
      <c r="P249" s="7"/>
      <c r="Q249" s="7"/>
      <c r="R249" s="8"/>
      <c r="S249" s="7"/>
      <c r="T249" s="9"/>
      <c r="U249" s="7"/>
      <c r="V249" s="8"/>
      <c r="W249" s="7"/>
      <c r="X249" s="7"/>
      <c r="Y249" s="8"/>
      <c r="Z249" s="7"/>
      <c r="AA249" s="8"/>
    </row>
    <row r="250" spans="4:27" ht="14.25" thickTop="1" thickBot="1" x14ac:dyDescent="0.25">
      <c r="D250" s="190"/>
      <c r="E250" s="72" t="s">
        <v>611</v>
      </c>
      <c r="F250" s="7"/>
      <c r="G250" s="8"/>
      <c r="H250" s="7"/>
      <c r="I250" s="6"/>
      <c r="J250" s="7"/>
      <c r="K250" s="8"/>
      <c r="L250" s="7"/>
      <c r="M250" s="8"/>
      <c r="N250" s="7"/>
      <c r="O250" s="8"/>
      <c r="P250" s="7"/>
      <c r="Q250" s="7"/>
      <c r="R250" s="8"/>
      <c r="S250" s="7"/>
      <c r="T250" s="9"/>
      <c r="U250" s="7"/>
      <c r="V250" s="8"/>
      <c r="W250" s="7"/>
      <c r="X250" s="7"/>
      <c r="Y250" s="8"/>
      <c r="Z250" s="7"/>
      <c r="AA250" s="8"/>
    </row>
    <row r="251" spans="4:27" ht="14.25" thickTop="1" thickBot="1" x14ac:dyDescent="0.25">
      <c r="D251" s="190"/>
      <c r="E251" s="72" t="s">
        <v>608</v>
      </c>
      <c r="F251" s="7"/>
      <c r="G251" s="8"/>
      <c r="H251" s="7"/>
      <c r="I251" s="6"/>
      <c r="J251" s="7"/>
      <c r="K251" s="8"/>
      <c r="L251" s="7"/>
      <c r="M251" s="8"/>
      <c r="N251" s="7"/>
      <c r="O251" s="8"/>
      <c r="P251" s="7"/>
      <c r="Q251" s="7"/>
      <c r="R251" s="8"/>
      <c r="S251" s="7"/>
      <c r="T251" s="9"/>
      <c r="U251" s="7"/>
      <c r="V251" s="8"/>
      <c r="W251" s="7"/>
      <c r="X251" s="7"/>
      <c r="Y251" s="8"/>
      <c r="Z251" s="7"/>
      <c r="AA251" s="8"/>
    </row>
    <row r="252" spans="4:27" ht="14.25" thickTop="1" thickBot="1" x14ac:dyDescent="0.25">
      <c r="D252" s="190"/>
      <c r="E252" s="72" t="s">
        <v>606</v>
      </c>
      <c r="F252" s="7"/>
      <c r="G252" s="8"/>
      <c r="H252" s="7"/>
      <c r="I252" s="6"/>
      <c r="J252" s="7"/>
      <c r="K252" s="8"/>
      <c r="L252" s="7"/>
      <c r="M252" s="8"/>
      <c r="N252" s="7"/>
      <c r="O252" s="8"/>
      <c r="P252" s="7"/>
      <c r="Q252" s="7"/>
      <c r="R252" s="8"/>
      <c r="S252" s="7"/>
      <c r="T252" s="9"/>
      <c r="U252" s="7"/>
      <c r="V252" s="8"/>
      <c r="W252" s="7"/>
      <c r="X252" s="7"/>
      <c r="Y252" s="8"/>
      <c r="Z252" s="7"/>
      <c r="AA252" s="8"/>
    </row>
    <row r="253" spans="4:27" ht="14.25" thickTop="1" thickBot="1" x14ac:dyDescent="0.25">
      <c r="D253" s="190"/>
      <c r="E253" s="72" t="s">
        <v>601</v>
      </c>
      <c r="F253" s="7"/>
      <c r="G253" s="8"/>
      <c r="H253" s="7"/>
      <c r="I253" s="6"/>
      <c r="J253" s="7"/>
      <c r="K253" s="8"/>
      <c r="L253" s="7"/>
      <c r="M253" s="8"/>
      <c r="N253" s="7"/>
      <c r="O253" s="8"/>
      <c r="P253" s="7"/>
      <c r="Q253" s="7"/>
      <c r="R253" s="8"/>
      <c r="S253" s="7"/>
      <c r="T253" s="9"/>
      <c r="U253" s="7"/>
      <c r="V253" s="8"/>
      <c r="W253" s="7"/>
      <c r="X253" s="7"/>
      <c r="Y253" s="8"/>
      <c r="Z253" s="7"/>
      <c r="AA253" s="8"/>
    </row>
    <row r="254" spans="4:27" ht="14.25" thickTop="1" thickBot="1" x14ac:dyDescent="0.25">
      <c r="D254" s="190"/>
      <c r="E254" s="72" t="s">
        <v>1041</v>
      </c>
      <c r="F254" s="7"/>
      <c r="G254" s="8"/>
      <c r="H254" s="7"/>
      <c r="I254" s="6"/>
      <c r="J254" s="7"/>
      <c r="K254" s="8"/>
      <c r="L254" s="7"/>
      <c r="M254" s="8"/>
      <c r="N254" s="7"/>
      <c r="O254" s="8"/>
      <c r="P254" s="7"/>
      <c r="Q254" s="7"/>
      <c r="R254" s="8"/>
      <c r="S254" s="7"/>
      <c r="T254" s="9"/>
      <c r="U254" s="7"/>
      <c r="V254" s="8"/>
      <c r="W254" s="7"/>
      <c r="X254" s="7"/>
      <c r="Y254" s="8"/>
      <c r="Z254" s="7"/>
      <c r="AA254" s="8"/>
    </row>
    <row r="255" spans="4:27" ht="14.25" thickTop="1" thickBot="1" x14ac:dyDescent="0.25">
      <c r="D255" s="190"/>
      <c r="E255" s="72" t="s">
        <v>1039</v>
      </c>
      <c r="F255" s="7"/>
      <c r="G255" s="8"/>
      <c r="H255" s="7"/>
      <c r="I255" s="6"/>
      <c r="J255" s="7"/>
      <c r="K255" s="8"/>
      <c r="L255" s="7"/>
      <c r="M255" s="8"/>
      <c r="N255" s="7"/>
      <c r="O255" s="8"/>
      <c r="P255" s="7"/>
      <c r="Q255" s="7"/>
      <c r="R255" s="8"/>
      <c r="S255" s="7"/>
      <c r="T255" s="9"/>
      <c r="U255" s="7"/>
      <c r="V255" s="8"/>
      <c r="W255" s="7"/>
      <c r="X255" s="7"/>
      <c r="Y255" s="8"/>
      <c r="Z255" s="7"/>
      <c r="AA255" s="8"/>
    </row>
    <row r="256" spans="4:27" ht="14.25" thickTop="1" thickBot="1" x14ac:dyDescent="0.25">
      <c r="D256" s="190"/>
      <c r="E256" s="72" t="s">
        <v>1016</v>
      </c>
      <c r="F256" s="7"/>
      <c r="G256" s="8"/>
      <c r="H256" s="7"/>
      <c r="I256" s="6"/>
      <c r="J256" s="7"/>
      <c r="K256" s="8"/>
      <c r="L256" s="7"/>
      <c r="M256" s="8"/>
      <c r="N256" s="7"/>
      <c r="O256" s="8"/>
      <c r="P256" s="7"/>
      <c r="Q256" s="7"/>
      <c r="R256" s="8"/>
      <c r="S256" s="7"/>
      <c r="T256" s="9"/>
      <c r="U256" s="7"/>
      <c r="V256" s="8"/>
      <c r="W256" s="7"/>
      <c r="X256" s="7"/>
      <c r="Y256" s="8"/>
      <c r="Z256" s="7"/>
      <c r="AA256" s="8"/>
    </row>
    <row r="257" spans="4:27" ht="14.25" thickTop="1" thickBot="1" x14ac:dyDescent="0.25">
      <c r="D257" s="190"/>
      <c r="E257" s="72" t="s">
        <v>1010</v>
      </c>
      <c r="F257" s="7"/>
      <c r="G257" s="8"/>
      <c r="H257" s="7"/>
      <c r="I257" s="6"/>
      <c r="J257" s="7"/>
      <c r="K257" s="8"/>
      <c r="L257" s="7"/>
      <c r="M257" s="8"/>
      <c r="N257" s="7"/>
      <c r="O257" s="8"/>
      <c r="P257" s="7"/>
      <c r="Q257" s="7"/>
      <c r="R257" s="8"/>
      <c r="S257" s="7"/>
      <c r="T257" s="9"/>
      <c r="U257" s="7"/>
      <c r="V257" s="8"/>
      <c r="W257" s="7"/>
      <c r="X257" s="7"/>
      <c r="Y257" s="8"/>
      <c r="Z257" s="7"/>
      <c r="AA257" s="8"/>
    </row>
    <row r="258" spans="4:27" ht="14.25" thickTop="1" thickBot="1" x14ac:dyDescent="0.25">
      <c r="D258" s="190"/>
      <c r="E258" s="72" t="s">
        <v>1012</v>
      </c>
      <c r="F258" s="7"/>
      <c r="G258" s="8"/>
      <c r="H258" s="7"/>
      <c r="I258" s="6"/>
      <c r="J258" s="7"/>
      <c r="K258" s="8"/>
      <c r="L258" s="7"/>
      <c r="M258" s="8"/>
      <c r="N258" s="7"/>
      <c r="O258" s="8"/>
      <c r="P258" s="7"/>
      <c r="Q258" s="7"/>
      <c r="R258" s="8"/>
      <c r="S258" s="7"/>
      <c r="T258" s="9"/>
      <c r="U258" s="7"/>
      <c r="V258" s="8"/>
      <c r="W258" s="7"/>
      <c r="X258" s="7"/>
      <c r="Y258" s="8"/>
      <c r="Z258" s="7"/>
      <c r="AA258" s="8"/>
    </row>
    <row r="259" spans="4:27" ht="14.25" thickTop="1" thickBot="1" x14ac:dyDescent="0.25">
      <c r="D259" s="190"/>
      <c r="E259" s="72" t="s">
        <v>1013</v>
      </c>
      <c r="F259" s="7"/>
      <c r="G259" s="8"/>
      <c r="H259" s="7"/>
      <c r="I259" s="6"/>
      <c r="J259" s="7"/>
      <c r="K259" s="8"/>
      <c r="L259" s="7"/>
      <c r="M259" s="8"/>
      <c r="N259" s="7"/>
      <c r="O259" s="8"/>
      <c r="P259" s="7"/>
      <c r="Q259" s="7"/>
      <c r="R259" s="8"/>
      <c r="S259" s="7"/>
      <c r="T259" s="9"/>
      <c r="U259" s="7"/>
      <c r="V259" s="8"/>
      <c r="W259" s="7"/>
      <c r="X259" s="7"/>
      <c r="Y259" s="8"/>
      <c r="Z259" s="7"/>
      <c r="AA259" s="8"/>
    </row>
    <row r="260" spans="4:27" ht="14.25" thickTop="1" thickBot="1" x14ac:dyDescent="0.25">
      <c r="D260" s="190"/>
      <c r="E260" s="72" t="s">
        <v>1044</v>
      </c>
      <c r="F260" s="7"/>
      <c r="G260" s="8"/>
      <c r="H260" s="7"/>
      <c r="I260" s="6"/>
      <c r="J260" s="7"/>
      <c r="K260" s="8"/>
      <c r="L260" s="7"/>
      <c r="M260" s="8"/>
      <c r="N260" s="7"/>
      <c r="O260" s="8"/>
      <c r="P260" s="7"/>
      <c r="Q260" s="7"/>
      <c r="R260" s="8"/>
      <c r="S260" s="7"/>
      <c r="T260" s="9"/>
      <c r="U260" s="7"/>
      <c r="V260" s="8"/>
      <c r="W260" s="7"/>
      <c r="X260" s="7"/>
      <c r="Y260" s="8"/>
      <c r="Z260" s="7"/>
      <c r="AA260" s="8"/>
    </row>
    <row r="261" spans="4:27" ht="14.25" thickTop="1" thickBot="1" x14ac:dyDescent="0.25">
      <c r="D261" s="190"/>
      <c r="E261" s="72" t="s">
        <v>1014</v>
      </c>
      <c r="F261" s="7"/>
      <c r="G261" s="8"/>
      <c r="H261" s="7"/>
      <c r="I261" s="6"/>
      <c r="J261" s="7"/>
      <c r="K261" s="8"/>
      <c r="L261" s="7"/>
      <c r="M261" s="8"/>
      <c r="N261" s="7"/>
      <c r="O261" s="8"/>
      <c r="P261" s="7"/>
      <c r="Q261" s="7"/>
      <c r="R261" s="8"/>
      <c r="S261" s="7"/>
      <c r="T261" s="9"/>
      <c r="U261" s="7"/>
      <c r="V261" s="8"/>
      <c r="W261" s="7"/>
      <c r="X261" s="7"/>
      <c r="Y261" s="8"/>
      <c r="Z261" s="7"/>
      <c r="AA261" s="8"/>
    </row>
    <row r="262" spans="4:27" ht="14.25" thickTop="1" thickBot="1" x14ac:dyDescent="0.25">
      <c r="D262" s="190"/>
      <c r="E262" s="72" t="s">
        <v>1015</v>
      </c>
      <c r="F262" s="7"/>
      <c r="G262" s="8"/>
      <c r="H262" s="7"/>
      <c r="I262" s="6"/>
      <c r="J262" s="7"/>
      <c r="K262" s="8"/>
      <c r="L262" s="7"/>
      <c r="M262" s="8"/>
      <c r="N262" s="7"/>
      <c r="O262" s="8"/>
      <c r="P262" s="7"/>
      <c r="Q262" s="7"/>
      <c r="R262" s="8"/>
      <c r="S262" s="7"/>
      <c r="T262" s="9"/>
      <c r="U262" s="7"/>
      <c r="V262" s="8"/>
      <c r="W262" s="7"/>
      <c r="X262" s="7"/>
      <c r="Y262" s="8"/>
      <c r="Z262" s="7"/>
      <c r="AA262" s="8"/>
    </row>
    <row r="263" spans="4:27" ht="14.25" thickTop="1" thickBot="1" x14ac:dyDescent="0.25">
      <c r="D263" s="190"/>
      <c r="E263" s="72" t="s">
        <v>580</v>
      </c>
      <c r="F263" s="7"/>
      <c r="G263" s="8"/>
      <c r="H263" s="7"/>
      <c r="I263" s="6"/>
      <c r="J263" s="7"/>
      <c r="K263" s="8"/>
      <c r="L263" s="7"/>
      <c r="M263" s="8"/>
      <c r="N263" s="7"/>
      <c r="O263" s="8"/>
      <c r="P263" s="7"/>
      <c r="Q263" s="7"/>
      <c r="R263" s="8"/>
      <c r="S263" s="7"/>
      <c r="T263" s="9"/>
      <c r="U263" s="7"/>
      <c r="V263" s="8"/>
      <c r="W263" s="7"/>
      <c r="X263" s="7"/>
      <c r="Y263" s="8"/>
      <c r="Z263" s="7"/>
      <c r="AA263" s="8"/>
    </row>
    <row r="264" spans="4:27" ht="14.25" thickTop="1" thickBot="1" x14ac:dyDescent="0.25">
      <c r="D264" s="190"/>
      <c r="E264" s="72" t="s">
        <v>604</v>
      </c>
      <c r="F264" s="7"/>
      <c r="G264" s="8"/>
      <c r="H264" s="7"/>
      <c r="I264" s="6"/>
      <c r="J264" s="7"/>
      <c r="K264" s="8"/>
      <c r="L264" s="7"/>
      <c r="M264" s="8"/>
      <c r="N264" s="7"/>
      <c r="O264" s="8"/>
      <c r="P264" s="7"/>
      <c r="Q264" s="7"/>
      <c r="R264" s="8"/>
      <c r="S264" s="7"/>
      <c r="T264" s="9"/>
      <c r="U264" s="7"/>
      <c r="V264" s="8"/>
      <c r="W264" s="7"/>
      <c r="X264" s="7"/>
      <c r="Y264" s="8"/>
      <c r="Z264" s="7"/>
      <c r="AA264" s="8"/>
    </row>
    <row r="265" spans="4:27" ht="14.25" thickTop="1" thickBot="1" x14ac:dyDescent="0.25">
      <c r="D265" s="190"/>
      <c r="E265" s="72" t="s">
        <v>598</v>
      </c>
      <c r="F265" s="7"/>
      <c r="G265" s="8"/>
      <c r="H265" s="7"/>
      <c r="I265" s="6"/>
      <c r="J265" s="7"/>
      <c r="K265" s="8"/>
      <c r="L265" s="7"/>
      <c r="M265" s="8"/>
      <c r="N265" s="7"/>
      <c r="O265" s="8"/>
      <c r="P265" s="7"/>
      <c r="Q265" s="7"/>
      <c r="R265" s="8"/>
      <c r="S265" s="7"/>
      <c r="T265" s="9"/>
      <c r="U265" s="7"/>
      <c r="V265" s="8"/>
      <c r="W265" s="7"/>
      <c r="X265" s="7"/>
      <c r="Y265" s="8"/>
      <c r="Z265" s="7"/>
      <c r="AA265" s="8"/>
    </row>
    <row r="266" spans="4:27" ht="14.25" thickTop="1" thickBot="1" x14ac:dyDescent="0.25">
      <c r="D266" s="190"/>
      <c r="E266" s="72" t="s">
        <v>578</v>
      </c>
      <c r="F266" s="7"/>
      <c r="G266" s="8"/>
      <c r="H266" s="7"/>
      <c r="I266" s="6"/>
      <c r="J266" s="7"/>
      <c r="K266" s="8"/>
      <c r="L266" s="7"/>
      <c r="M266" s="8"/>
      <c r="N266" s="7"/>
      <c r="O266" s="8"/>
      <c r="P266" s="7"/>
      <c r="Q266" s="7"/>
      <c r="R266" s="8"/>
      <c r="S266" s="7"/>
      <c r="T266" s="9"/>
      <c r="U266" s="7"/>
      <c r="V266" s="8"/>
      <c r="W266" s="7"/>
      <c r="X266" s="7"/>
      <c r="Y266" s="8"/>
      <c r="Z266" s="7"/>
      <c r="AA266" s="8"/>
    </row>
    <row r="267" spans="4:27" ht="14.25" thickTop="1" thickBot="1" x14ac:dyDescent="0.25">
      <c r="D267" s="190"/>
      <c r="E267" s="72" t="s">
        <v>582</v>
      </c>
      <c r="F267" s="7"/>
      <c r="G267" s="8"/>
      <c r="H267" s="7"/>
      <c r="I267" s="6"/>
      <c r="J267" s="7"/>
      <c r="K267" s="8"/>
      <c r="L267" s="7"/>
      <c r="M267" s="8"/>
      <c r="N267" s="7"/>
      <c r="O267" s="8"/>
      <c r="P267" s="7"/>
      <c r="Q267" s="7"/>
      <c r="R267" s="8"/>
      <c r="S267" s="7"/>
      <c r="T267" s="9"/>
      <c r="U267" s="7"/>
      <c r="V267" s="8"/>
      <c r="W267" s="7"/>
      <c r="X267" s="7"/>
      <c r="Y267" s="8"/>
      <c r="Z267" s="7"/>
      <c r="AA267" s="8"/>
    </row>
    <row r="268" spans="4:27" ht="14.25" thickTop="1" thickBot="1" x14ac:dyDescent="0.25">
      <c r="D268" s="190"/>
      <c r="E268" s="72" t="s">
        <v>1027</v>
      </c>
      <c r="F268" s="7"/>
      <c r="G268" s="8"/>
      <c r="H268" s="7"/>
      <c r="I268" s="6"/>
      <c r="J268" s="7"/>
      <c r="K268" s="8"/>
      <c r="L268" s="7"/>
      <c r="M268" s="8"/>
      <c r="N268" s="7"/>
      <c r="O268" s="8"/>
      <c r="P268" s="7"/>
      <c r="Q268" s="7"/>
      <c r="R268" s="8"/>
      <c r="S268" s="7"/>
      <c r="T268" s="9"/>
      <c r="U268" s="7"/>
      <c r="V268" s="8"/>
      <c r="W268" s="7"/>
      <c r="X268" s="7"/>
      <c r="Y268" s="8"/>
      <c r="Z268" s="7"/>
      <c r="AA268" s="8"/>
    </row>
    <row r="269" spans="4:27" ht="14.25" thickTop="1" thickBot="1" x14ac:dyDescent="0.25">
      <c r="D269" s="190"/>
      <c r="E269" s="72" t="s">
        <v>1034</v>
      </c>
      <c r="F269" s="7"/>
      <c r="G269" s="8"/>
      <c r="H269" s="7"/>
      <c r="I269" s="6"/>
      <c r="J269" s="7"/>
      <c r="K269" s="8"/>
      <c r="L269" s="7"/>
      <c r="M269" s="8"/>
      <c r="N269" s="7"/>
      <c r="O269" s="8"/>
      <c r="P269" s="7"/>
      <c r="Q269" s="7"/>
      <c r="R269" s="8"/>
      <c r="S269" s="7"/>
      <c r="T269" s="9"/>
      <c r="U269" s="7"/>
      <c r="V269" s="8"/>
      <c r="W269" s="7"/>
      <c r="X269" s="7"/>
      <c r="Y269" s="8"/>
      <c r="Z269" s="7"/>
      <c r="AA269" s="8"/>
    </row>
    <row r="270" spans="4:27" ht="14.25" thickTop="1" thickBot="1" x14ac:dyDescent="0.25">
      <c r="D270" s="190"/>
      <c r="E270" s="72" t="s">
        <v>1459</v>
      </c>
      <c r="F270" s="7"/>
      <c r="G270" s="8"/>
      <c r="H270" s="7"/>
      <c r="I270" s="6"/>
      <c r="J270" s="7"/>
      <c r="K270" s="8"/>
      <c r="L270" s="7"/>
      <c r="M270" s="8"/>
      <c r="N270" s="7"/>
      <c r="O270" s="8"/>
      <c r="P270" s="7"/>
      <c r="Q270" s="7"/>
      <c r="R270" s="8"/>
      <c r="S270" s="7"/>
      <c r="T270" s="9"/>
      <c r="U270" s="7"/>
      <c r="V270" s="8"/>
      <c r="W270" s="7"/>
      <c r="X270" s="7"/>
      <c r="Y270" s="8"/>
      <c r="Z270" s="7"/>
      <c r="AA270" s="8"/>
    </row>
    <row r="271" spans="4:27" ht="14.25" thickTop="1" thickBot="1" x14ac:dyDescent="0.25">
      <c r="D271" s="190"/>
      <c r="E271" s="72" t="s">
        <v>603</v>
      </c>
      <c r="F271" s="7"/>
      <c r="G271" s="8"/>
      <c r="H271" s="7"/>
      <c r="I271" s="6"/>
      <c r="J271" s="7"/>
      <c r="K271" s="8"/>
      <c r="L271" s="7"/>
      <c r="M271" s="8"/>
      <c r="N271" s="7"/>
      <c r="O271" s="8"/>
      <c r="P271" s="7"/>
      <c r="Q271" s="7"/>
      <c r="R271" s="8"/>
      <c r="S271" s="7"/>
      <c r="T271" s="9"/>
      <c r="U271" s="7"/>
      <c r="V271" s="8"/>
      <c r="W271" s="7"/>
      <c r="X271" s="7"/>
      <c r="Y271" s="8"/>
      <c r="Z271" s="7"/>
      <c r="AA271" s="8"/>
    </row>
    <row r="272" spans="4:27" ht="14.25" thickTop="1" thickBot="1" x14ac:dyDescent="0.25">
      <c r="D272" s="190"/>
      <c r="E272" s="72" t="s">
        <v>1258</v>
      </c>
      <c r="F272" s="7"/>
      <c r="G272" s="8"/>
      <c r="H272" s="7"/>
      <c r="I272" s="6"/>
      <c r="J272" s="7"/>
      <c r="K272" s="8"/>
      <c r="L272" s="7"/>
      <c r="M272" s="8"/>
      <c r="N272" s="7"/>
      <c r="O272" s="8"/>
      <c r="P272" s="7"/>
      <c r="Q272" s="7"/>
      <c r="R272" s="8"/>
      <c r="S272" s="7"/>
      <c r="T272" s="9"/>
      <c r="U272" s="7"/>
      <c r="V272" s="8"/>
      <c r="W272" s="7"/>
      <c r="X272" s="7"/>
      <c r="Y272" s="8"/>
      <c r="Z272" s="7"/>
      <c r="AA272" s="8"/>
    </row>
    <row r="273" spans="4:27" ht="14.25" thickTop="1" thickBot="1" x14ac:dyDescent="0.25">
      <c r="D273" s="190"/>
      <c r="E273" s="72" t="s">
        <v>1460</v>
      </c>
      <c r="F273" s="7"/>
      <c r="G273" s="8"/>
      <c r="H273" s="7"/>
      <c r="I273" s="6"/>
      <c r="J273" s="7"/>
      <c r="K273" s="8"/>
      <c r="L273" s="7"/>
      <c r="M273" s="8"/>
      <c r="N273" s="7"/>
      <c r="O273" s="8"/>
      <c r="P273" s="7"/>
      <c r="Q273" s="7"/>
      <c r="R273" s="8"/>
      <c r="S273" s="7"/>
      <c r="T273" s="9"/>
      <c r="U273" s="7"/>
      <c r="V273" s="8"/>
      <c r="W273" s="7"/>
      <c r="X273" s="7"/>
      <c r="Y273" s="8"/>
      <c r="Z273" s="7"/>
      <c r="AA273" s="8"/>
    </row>
    <row r="274" spans="4:27" ht="14.25" thickTop="1" thickBot="1" x14ac:dyDescent="0.25">
      <c r="D274" s="190"/>
      <c r="E274" s="72" t="s">
        <v>342</v>
      </c>
      <c r="F274" s="7"/>
      <c r="G274" s="8"/>
      <c r="H274" s="7"/>
      <c r="I274" s="6"/>
      <c r="J274" s="7"/>
      <c r="K274" s="8"/>
      <c r="L274" s="7"/>
      <c r="M274" s="8"/>
      <c r="N274" s="7"/>
      <c r="O274" s="8"/>
      <c r="P274" s="7"/>
      <c r="Q274" s="7"/>
      <c r="R274" s="8"/>
      <c r="S274" s="7"/>
      <c r="T274" s="9"/>
      <c r="U274" s="7"/>
      <c r="V274" s="8"/>
      <c r="W274" s="7"/>
      <c r="X274" s="7"/>
      <c r="Y274" s="8"/>
      <c r="Z274" s="7"/>
      <c r="AA274" s="8"/>
    </row>
    <row r="275" spans="4:27" ht="14.25" thickTop="1" thickBot="1" x14ac:dyDescent="0.25">
      <c r="D275" s="190"/>
      <c r="E275" s="72" t="s">
        <v>1266</v>
      </c>
      <c r="F275" s="7"/>
      <c r="G275" s="8"/>
      <c r="H275" s="7"/>
      <c r="I275" s="6"/>
      <c r="J275" s="7"/>
      <c r="K275" s="8"/>
      <c r="L275" s="7"/>
      <c r="M275" s="8"/>
      <c r="N275" s="7"/>
      <c r="O275" s="8"/>
      <c r="P275" s="7"/>
      <c r="Q275" s="7"/>
      <c r="R275" s="8"/>
      <c r="S275" s="7"/>
      <c r="T275" s="9"/>
      <c r="U275" s="7"/>
      <c r="V275" s="8"/>
      <c r="W275" s="7"/>
      <c r="X275" s="7"/>
      <c r="Y275" s="8"/>
      <c r="Z275" s="7"/>
      <c r="AA275" s="8"/>
    </row>
    <row r="276" spans="4:27" ht="14.25" thickTop="1" thickBot="1" x14ac:dyDescent="0.25">
      <c r="D276" s="190"/>
      <c r="E276" s="72" t="s">
        <v>346</v>
      </c>
      <c r="F276" s="7"/>
      <c r="G276" s="8"/>
      <c r="H276" s="7"/>
      <c r="I276" s="6"/>
      <c r="J276" s="7"/>
      <c r="K276" s="8"/>
      <c r="L276" s="7"/>
      <c r="M276" s="8"/>
      <c r="N276" s="7"/>
      <c r="O276" s="8"/>
      <c r="P276" s="7"/>
      <c r="Q276" s="7"/>
      <c r="R276" s="8"/>
      <c r="S276" s="7"/>
      <c r="T276" s="9"/>
      <c r="U276" s="7"/>
      <c r="V276" s="8"/>
      <c r="W276" s="7"/>
      <c r="X276" s="7"/>
      <c r="Y276" s="8"/>
      <c r="Z276" s="7"/>
      <c r="AA276" s="8"/>
    </row>
    <row r="277" spans="4:27" ht="14.25" thickTop="1" thickBot="1" x14ac:dyDescent="0.25">
      <c r="D277" s="190"/>
      <c r="E277" s="72" t="s">
        <v>347</v>
      </c>
      <c r="F277" s="7"/>
      <c r="G277" s="8"/>
      <c r="H277" s="7"/>
      <c r="I277" s="6"/>
      <c r="J277" s="7"/>
      <c r="K277" s="8"/>
      <c r="L277" s="7"/>
      <c r="M277" s="8"/>
      <c r="N277" s="7"/>
      <c r="O277" s="8"/>
      <c r="P277" s="7"/>
      <c r="Q277" s="7"/>
      <c r="R277" s="8"/>
      <c r="S277" s="7"/>
      <c r="T277" s="9"/>
      <c r="U277" s="7"/>
      <c r="V277" s="8"/>
      <c r="W277" s="7"/>
      <c r="X277" s="7"/>
      <c r="Y277" s="8"/>
      <c r="Z277" s="7"/>
      <c r="AA277" s="8"/>
    </row>
    <row r="278" spans="4:27" ht="14.25" thickTop="1" thickBot="1" x14ac:dyDescent="0.25">
      <c r="D278" s="190"/>
      <c r="E278" s="72" t="s">
        <v>349</v>
      </c>
      <c r="F278" s="7"/>
      <c r="G278" s="8"/>
      <c r="H278" s="7"/>
      <c r="I278" s="6"/>
      <c r="J278" s="7"/>
      <c r="K278" s="8"/>
      <c r="L278" s="7"/>
      <c r="M278" s="8"/>
      <c r="N278" s="7"/>
      <c r="O278" s="8"/>
      <c r="P278" s="7"/>
      <c r="Q278" s="7"/>
      <c r="R278" s="8"/>
      <c r="S278" s="7"/>
      <c r="T278" s="9"/>
      <c r="U278" s="7"/>
      <c r="V278" s="8"/>
      <c r="W278" s="7"/>
      <c r="X278" s="7"/>
      <c r="Y278" s="8"/>
      <c r="Z278" s="7"/>
      <c r="AA278" s="8"/>
    </row>
    <row r="279" spans="4:27" ht="14.25" thickTop="1" thickBot="1" x14ac:dyDescent="0.25">
      <c r="D279" s="190"/>
      <c r="E279" s="72" t="s">
        <v>1461</v>
      </c>
      <c r="F279" s="7"/>
      <c r="G279" s="8"/>
      <c r="H279" s="7"/>
      <c r="I279" s="6"/>
      <c r="J279" s="7"/>
      <c r="K279" s="8"/>
      <c r="L279" s="7"/>
      <c r="M279" s="8"/>
      <c r="N279" s="7"/>
      <c r="O279" s="8"/>
      <c r="P279" s="7"/>
      <c r="Q279" s="7"/>
      <c r="R279" s="8"/>
      <c r="S279" s="7"/>
      <c r="T279" s="9"/>
      <c r="U279" s="7"/>
      <c r="V279" s="8"/>
      <c r="W279" s="7"/>
      <c r="X279" s="7"/>
      <c r="Y279" s="8"/>
      <c r="Z279" s="7"/>
      <c r="AA279" s="8"/>
    </row>
    <row r="280" spans="4:27" ht="14.25" thickTop="1" thickBot="1" x14ac:dyDescent="0.25">
      <c r="D280" s="190"/>
      <c r="E280" s="72" t="s">
        <v>1462</v>
      </c>
      <c r="F280" s="7"/>
      <c r="G280" s="8"/>
      <c r="H280" s="7"/>
      <c r="I280" s="6"/>
      <c r="J280" s="7"/>
      <c r="K280" s="8"/>
      <c r="L280" s="7"/>
      <c r="M280" s="8"/>
      <c r="N280" s="7"/>
      <c r="O280" s="8"/>
      <c r="P280" s="7"/>
      <c r="Q280" s="7"/>
      <c r="R280" s="8"/>
      <c r="S280" s="7"/>
      <c r="T280" s="9"/>
      <c r="U280" s="7"/>
      <c r="V280" s="8"/>
      <c r="W280" s="7"/>
      <c r="X280" s="7"/>
      <c r="Y280" s="8"/>
      <c r="Z280" s="7"/>
      <c r="AA280" s="8"/>
    </row>
    <row r="281" spans="4:27" ht="14.25" thickTop="1" thickBot="1" x14ac:dyDescent="0.25">
      <c r="D281" s="190"/>
      <c r="E281" s="72" t="s">
        <v>1182</v>
      </c>
      <c r="F281" s="7"/>
      <c r="G281" s="8"/>
      <c r="H281" s="7"/>
      <c r="I281" s="6"/>
      <c r="J281" s="7"/>
      <c r="K281" s="8"/>
      <c r="L281" s="7"/>
      <c r="M281" s="8"/>
      <c r="N281" s="7"/>
      <c r="O281" s="8"/>
      <c r="P281" s="7"/>
      <c r="Q281" s="7"/>
      <c r="R281" s="8"/>
      <c r="S281" s="7"/>
      <c r="T281" s="9"/>
      <c r="U281" s="7"/>
      <c r="V281" s="8"/>
      <c r="W281" s="7"/>
      <c r="X281" s="7"/>
      <c r="Y281" s="8"/>
      <c r="Z281" s="7"/>
      <c r="AA281" s="8"/>
    </row>
    <row r="282" spans="4:27" ht="14.25" thickTop="1" thickBot="1" x14ac:dyDescent="0.25">
      <c r="D282" s="190"/>
      <c r="E282" s="72" t="s">
        <v>350</v>
      </c>
      <c r="F282" s="7"/>
      <c r="G282" s="8"/>
      <c r="H282" s="7"/>
      <c r="I282" s="6"/>
      <c r="J282" s="7"/>
      <c r="K282" s="8"/>
      <c r="L282" s="7"/>
      <c r="M282" s="8"/>
      <c r="N282" s="7"/>
      <c r="O282" s="8"/>
      <c r="P282" s="7"/>
      <c r="Q282" s="7"/>
      <c r="R282" s="8"/>
      <c r="S282" s="7"/>
      <c r="T282" s="9"/>
      <c r="U282" s="7"/>
      <c r="V282" s="8"/>
      <c r="W282" s="7"/>
      <c r="X282" s="7"/>
      <c r="Y282" s="8"/>
      <c r="Z282" s="7"/>
      <c r="AA282" s="8"/>
    </row>
    <row r="283" spans="4:27" ht="14.25" thickTop="1" thickBot="1" x14ac:dyDescent="0.25">
      <c r="D283" s="190"/>
      <c r="E283" s="72" t="s">
        <v>1270</v>
      </c>
      <c r="F283" s="7"/>
      <c r="G283" s="8"/>
      <c r="H283" s="7"/>
      <c r="I283" s="6"/>
      <c r="J283" s="7"/>
      <c r="K283" s="8"/>
      <c r="L283" s="7"/>
      <c r="M283" s="8"/>
      <c r="N283" s="7"/>
      <c r="O283" s="8"/>
      <c r="P283" s="7"/>
      <c r="Q283" s="7"/>
      <c r="R283" s="8"/>
      <c r="S283" s="7"/>
      <c r="T283" s="9"/>
      <c r="U283" s="7"/>
      <c r="V283" s="8"/>
      <c r="W283" s="7"/>
      <c r="X283" s="7"/>
      <c r="Y283" s="8"/>
      <c r="Z283" s="7"/>
      <c r="AA283" s="8"/>
    </row>
    <row r="284" spans="4:27" ht="14.25" thickTop="1" thickBot="1" x14ac:dyDescent="0.25">
      <c r="D284" s="190"/>
      <c r="E284" s="72" t="s">
        <v>392</v>
      </c>
      <c r="F284" s="7"/>
      <c r="G284" s="8"/>
      <c r="H284" s="7"/>
      <c r="I284" s="6"/>
      <c r="J284" s="7"/>
      <c r="K284" s="8"/>
      <c r="L284" s="7"/>
      <c r="M284" s="8"/>
      <c r="N284" s="7"/>
      <c r="O284" s="8"/>
      <c r="P284" s="7"/>
      <c r="Q284" s="7"/>
      <c r="R284" s="8"/>
      <c r="S284" s="7"/>
      <c r="T284" s="9"/>
      <c r="U284" s="7"/>
      <c r="V284" s="8"/>
      <c r="W284" s="7"/>
      <c r="X284" s="7"/>
      <c r="Y284" s="8"/>
      <c r="Z284" s="7"/>
      <c r="AA284" s="8"/>
    </row>
    <row r="285" spans="4:27" ht="14.25" thickTop="1" thickBot="1" x14ac:dyDescent="0.25">
      <c r="D285" s="190"/>
      <c r="E285" s="72" t="s">
        <v>293</v>
      </c>
      <c r="F285" s="7"/>
      <c r="G285" s="8"/>
      <c r="H285" s="7"/>
      <c r="I285" s="6"/>
      <c r="J285" s="7"/>
      <c r="K285" s="8"/>
      <c r="L285" s="7"/>
      <c r="M285" s="8"/>
      <c r="N285" s="7"/>
      <c r="O285" s="8"/>
      <c r="P285" s="7"/>
      <c r="Q285" s="7"/>
      <c r="R285" s="8"/>
      <c r="S285" s="7"/>
      <c r="T285" s="9"/>
      <c r="U285" s="7"/>
      <c r="V285" s="8"/>
      <c r="W285" s="7"/>
      <c r="X285" s="7"/>
      <c r="Y285" s="8"/>
      <c r="Z285" s="7"/>
      <c r="AA285" s="8"/>
    </row>
    <row r="286" spans="4:27" ht="14.25" thickTop="1" thickBot="1" x14ac:dyDescent="0.25">
      <c r="D286" s="190"/>
      <c r="E286" s="72" t="s">
        <v>395</v>
      </c>
      <c r="F286" s="7"/>
      <c r="G286" s="8"/>
      <c r="H286" s="7"/>
      <c r="I286" s="6"/>
      <c r="J286" s="7"/>
      <c r="K286" s="8"/>
      <c r="L286" s="7"/>
      <c r="M286" s="8"/>
      <c r="N286" s="7"/>
      <c r="O286" s="8"/>
      <c r="P286" s="7"/>
      <c r="Q286" s="7"/>
      <c r="R286" s="8"/>
      <c r="S286" s="7"/>
      <c r="T286" s="9"/>
      <c r="U286" s="7"/>
      <c r="V286" s="8"/>
      <c r="W286" s="7"/>
      <c r="X286" s="7"/>
      <c r="Y286" s="8"/>
      <c r="Z286" s="7"/>
      <c r="AA286" s="8"/>
    </row>
    <row r="287" spans="4:27" ht="14.25" thickTop="1" thickBot="1" x14ac:dyDescent="0.25">
      <c r="D287" s="190"/>
      <c r="E287" s="72" t="s">
        <v>371</v>
      </c>
      <c r="F287" s="7"/>
      <c r="G287" s="8"/>
      <c r="H287" s="7"/>
      <c r="I287" s="6"/>
      <c r="J287" s="7"/>
      <c r="K287" s="8"/>
      <c r="L287" s="7"/>
      <c r="M287" s="8"/>
      <c r="N287" s="7"/>
      <c r="O287" s="8"/>
      <c r="P287" s="7"/>
      <c r="Q287" s="7"/>
      <c r="R287" s="8"/>
      <c r="S287" s="7"/>
      <c r="T287" s="9"/>
      <c r="U287" s="7"/>
      <c r="V287" s="8"/>
      <c r="W287" s="7"/>
      <c r="X287" s="7"/>
      <c r="Y287" s="8"/>
      <c r="Z287" s="7"/>
      <c r="AA287" s="8"/>
    </row>
    <row r="288" spans="4:27" ht="14.25" thickTop="1" thickBot="1" x14ac:dyDescent="0.25">
      <c r="D288" s="190"/>
      <c r="E288" s="72" t="s">
        <v>1229</v>
      </c>
      <c r="F288" s="7"/>
      <c r="G288" s="8"/>
      <c r="H288" s="7"/>
      <c r="I288" s="6"/>
      <c r="J288" s="7"/>
      <c r="K288" s="8"/>
      <c r="L288" s="7"/>
      <c r="M288" s="8"/>
      <c r="N288" s="7"/>
      <c r="O288" s="8"/>
      <c r="P288" s="7"/>
      <c r="Q288" s="7"/>
      <c r="R288" s="8"/>
      <c r="S288" s="7"/>
      <c r="T288" s="9"/>
      <c r="U288" s="7"/>
      <c r="V288" s="8"/>
      <c r="W288" s="7"/>
      <c r="X288" s="7"/>
      <c r="Y288" s="8"/>
      <c r="Z288" s="7"/>
      <c r="AA288" s="8"/>
    </row>
    <row r="289" spans="4:27" ht="14.25" thickTop="1" thickBot="1" x14ac:dyDescent="0.25">
      <c r="D289" s="190"/>
      <c r="E289" s="72" t="s">
        <v>1230</v>
      </c>
      <c r="F289" s="7"/>
      <c r="G289" s="8"/>
      <c r="H289" s="7"/>
      <c r="I289" s="6"/>
      <c r="J289" s="7"/>
      <c r="K289" s="8"/>
      <c r="L289" s="7"/>
      <c r="M289" s="8"/>
      <c r="N289" s="7"/>
      <c r="O289" s="8"/>
      <c r="P289" s="7"/>
      <c r="Q289" s="7"/>
      <c r="R289" s="8"/>
      <c r="S289" s="7"/>
      <c r="T289" s="9"/>
      <c r="U289" s="7"/>
      <c r="V289" s="8"/>
      <c r="W289" s="7"/>
      <c r="X289" s="7"/>
      <c r="Y289" s="8"/>
      <c r="Z289" s="7"/>
      <c r="AA289" s="8"/>
    </row>
    <row r="290" spans="4:27" ht="14.25" thickTop="1" thickBot="1" x14ac:dyDescent="0.25">
      <c r="D290" s="190"/>
      <c r="E290" s="72" t="s">
        <v>377</v>
      </c>
      <c r="F290" s="7"/>
      <c r="G290" s="8"/>
      <c r="H290" s="7"/>
      <c r="I290" s="6"/>
      <c r="J290" s="7"/>
      <c r="K290" s="8"/>
      <c r="L290" s="7"/>
      <c r="M290" s="8"/>
      <c r="N290" s="7"/>
      <c r="O290" s="8"/>
      <c r="P290" s="7"/>
      <c r="Q290" s="7"/>
      <c r="R290" s="8"/>
      <c r="S290" s="7"/>
      <c r="T290" s="9"/>
      <c r="U290" s="7"/>
      <c r="V290" s="8"/>
      <c r="W290" s="7"/>
      <c r="X290" s="7"/>
      <c r="Y290" s="8"/>
      <c r="Z290" s="7"/>
      <c r="AA290" s="8"/>
    </row>
    <row r="291" spans="4:27" ht="14.25" thickTop="1" thickBot="1" x14ac:dyDescent="0.25">
      <c r="D291" s="190"/>
      <c r="E291" s="72" t="s">
        <v>396</v>
      </c>
      <c r="F291" s="7"/>
      <c r="G291" s="8"/>
      <c r="H291" s="7"/>
      <c r="I291" s="6"/>
      <c r="J291" s="7"/>
      <c r="K291" s="8"/>
      <c r="L291" s="7"/>
      <c r="M291" s="8"/>
      <c r="N291" s="7"/>
      <c r="O291" s="8"/>
      <c r="P291" s="7"/>
      <c r="Q291" s="7"/>
      <c r="R291" s="8"/>
      <c r="S291" s="7"/>
      <c r="T291" s="9"/>
      <c r="U291" s="7"/>
      <c r="V291" s="8"/>
      <c r="W291" s="7"/>
      <c r="X291" s="7"/>
      <c r="Y291" s="8"/>
      <c r="Z291" s="7"/>
      <c r="AA291" s="8"/>
    </row>
    <row r="292" spans="4:27" ht="14.25" thickTop="1" thickBot="1" x14ac:dyDescent="0.25">
      <c r="D292" s="190"/>
      <c r="E292" s="72" t="s">
        <v>397</v>
      </c>
      <c r="F292" s="7"/>
      <c r="G292" s="8"/>
      <c r="H292" s="7"/>
      <c r="I292" s="6"/>
      <c r="J292" s="7"/>
      <c r="K292" s="8"/>
      <c r="L292" s="7"/>
      <c r="M292" s="8"/>
      <c r="N292" s="7"/>
      <c r="O292" s="8"/>
      <c r="P292" s="7"/>
      <c r="Q292" s="7"/>
      <c r="R292" s="8"/>
      <c r="S292" s="7"/>
      <c r="T292" s="9"/>
      <c r="U292" s="7"/>
      <c r="V292" s="8"/>
      <c r="W292" s="7"/>
      <c r="X292" s="7"/>
      <c r="Y292" s="8"/>
      <c r="Z292" s="7"/>
      <c r="AA292" s="8"/>
    </row>
    <row r="293" spans="4:27" ht="14.25" thickTop="1" thickBot="1" x14ac:dyDescent="0.25">
      <c r="D293" s="190"/>
      <c r="E293" s="72" t="s">
        <v>398</v>
      </c>
      <c r="F293" s="7"/>
      <c r="G293" s="8"/>
      <c r="H293" s="7"/>
      <c r="I293" s="6"/>
      <c r="J293" s="7"/>
      <c r="K293" s="8"/>
      <c r="L293" s="7"/>
      <c r="M293" s="8"/>
      <c r="N293" s="7"/>
      <c r="O293" s="8"/>
      <c r="P293" s="7"/>
      <c r="Q293" s="7"/>
      <c r="R293" s="8"/>
      <c r="S293" s="7"/>
      <c r="T293" s="9"/>
      <c r="U293" s="7"/>
      <c r="V293" s="8"/>
      <c r="W293" s="7"/>
      <c r="X293" s="7"/>
      <c r="Y293" s="8"/>
      <c r="Z293" s="7"/>
      <c r="AA293" s="8"/>
    </row>
    <row r="294" spans="4:27" ht="14.25" thickTop="1" thickBot="1" x14ac:dyDescent="0.25">
      <c r="D294" s="190"/>
      <c r="E294" s="72" t="s">
        <v>1236</v>
      </c>
      <c r="F294" s="7"/>
      <c r="G294" s="8"/>
      <c r="H294" s="7"/>
      <c r="I294" s="6"/>
      <c r="J294" s="7"/>
      <c r="K294" s="8"/>
      <c r="L294" s="7"/>
      <c r="M294" s="8"/>
      <c r="N294" s="7"/>
      <c r="O294" s="8"/>
      <c r="P294" s="7"/>
      <c r="Q294" s="7"/>
      <c r="R294" s="8"/>
      <c r="S294" s="7"/>
      <c r="T294" s="9"/>
      <c r="U294" s="7"/>
      <c r="V294" s="8"/>
      <c r="W294" s="7"/>
      <c r="X294" s="7"/>
      <c r="Y294" s="8"/>
      <c r="Z294" s="7"/>
      <c r="AA294" s="8"/>
    </row>
    <row r="295" spans="4:27" ht="14.25" thickTop="1" thickBot="1" x14ac:dyDescent="0.25">
      <c r="D295" s="190"/>
      <c r="E295" s="72" t="s">
        <v>400</v>
      </c>
      <c r="F295" s="7"/>
      <c r="G295" s="8"/>
      <c r="H295" s="7"/>
      <c r="I295" s="6"/>
      <c r="J295" s="7"/>
      <c r="K295" s="8"/>
      <c r="L295" s="7"/>
      <c r="M295" s="8"/>
      <c r="N295" s="7"/>
      <c r="O295" s="8"/>
      <c r="P295" s="7"/>
      <c r="Q295" s="7"/>
      <c r="R295" s="8"/>
      <c r="S295" s="7"/>
      <c r="T295" s="9"/>
      <c r="U295" s="7"/>
      <c r="V295" s="8"/>
      <c r="W295" s="7"/>
      <c r="X295" s="7"/>
      <c r="Y295" s="8"/>
      <c r="Z295" s="7"/>
      <c r="AA295" s="8"/>
    </row>
    <row r="296" spans="4:27" ht="14.25" thickTop="1" thickBot="1" x14ac:dyDescent="0.25">
      <c r="D296" s="190"/>
      <c r="E296" s="72" t="s">
        <v>402</v>
      </c>
      <c r="F296" s="7"/>
      <c r="G296" s="8"/>
      <c r="H296" s="7"/>
      <c r="I296" s="6"/>
      <c r="J296" s="7"/>
      <c r="K296" s="8"/>
      <c r="L296" s="7"/>
      <c r="M296" s="8"/>
      <c r="N296" s="7"/>
      <c r="O296" s="8"/>
      <c r="P296" s="7"/>
      <c r="Q296" s="7"/>
      <c r="R296" s="8"/>
      <c r="S296" s="7"/>
      <c r="T296" s="9"/>
      <c r="U296" s="7"/>
      <c r="V296" s="8"/>
      <c r="W296" s="7"/>
      <c r="X296" s="7"/>
      <c r="Y296" s="8"/>
      <c r="Z296" s="7"/>
      <c r="AA296" s="8"/>
    </row>
    <row r="297" spans="4:27" ht="14.25" thickTop="1" thickBot="1" x14ac:dyDescent="0.25">
      <c r="D297" s="190"/>
      <c r="E297" s="72" t="s">
        <v>295</v>
      </c>
      <c r="F297" s="7"/>
      <c r="G297" s="8"/>
      <c r="H297" s="7"/>
      <c r="I297" s="6"/>
      <c r="J297" s="7"/>
      <c r="K297" s="8"/>
      <c r="L297" s="7"/>
      <c r="M297" s="8"/>
      <c r="N297" s="7"/>
      <c r="O297" s="8"/>
      <c r="P297" s="7"/>
      <c r="Q297" s="7"/>
      <c r="R297" s="8"/>
      <c r="S297" s="7"/>
      <c r="T297" s="9"/>
      <c r="U297" s="7"/>
      <c r="V297" s="8"/>
      <c r="W297" s="7"/>
      <c r="X297" s="7"/>
      <c r="Y297" s="8"/>
      <c r="Z297" s="7"/>
      <c r="AA297" s="8"/>
    </row>
    <row r="298" spans="4:27" ht="14.25" thickTop="1" thickBot="1" x14ac:dyDescent="0.25">
      <c r="D298" s="190"/>
      <c r="E298" s="72" t="s">
        <v>403</v>
      </c>
      <c r="F298" s="7"/>
      <c r="G298" s="8"/>
      <c r="H298" s="7"/>
      <c r="I298" s="6"/>
      <c r="J298" s="7"/>
      <c r="K298" s="8"/>
      <c r="L298" s="7"/>
      <c r="M298" s="8"/>
      <c r="N298" s="7"/>
      <c r="O298" s="8"/>
      <c r="P298" s="7"/>
      <c r="Q298" s="7"/>
      <c r="R298" s="8"/>
      <c r="S298" s="7"/>
      <c r="T298" s="9"/>
      <c r="U298" s="7"/>
      <c r="V298" s="8"/>
      <c r="W298" s="7"/>
      <c r="X298" s="7"/>
      <c r="Y298" s="8"/>
      <c r="Z298" s="7"/>
      <c r="AA298" s="8"/>
    </row>
    <row r="299" spans="4:27" ht="14.25" thickTop="1" thickBot="1" x14ac:dyDescent="0.25">
      <c r="D299" s="190"/>
      <c r="E299" s="72" t="s">
        <v>404</v>
      </c>
      <c r="F299" s="7"/>
      <c r="G299" s="8"/>
      <c r="H299" s="7"/>
      <c r="I299" s="6"/>
      <c r="J299" s="7"/>
      <c r="K299" s="8"/>
      <c r="L299" s="7"/>
      <c r="M299" s="8"/>
      <c r="N299" s="7"/>
      <c r="O299" s="8"/>
      <c r="P299" s="7"/>
      <c r="Q299" s="7"/>
      <c r="R299" s="8"/>
      <c r="S299" s="7"/>
      <c r="T299" s="9"/>
      <c r="U299" s="7"/>
      <c r="V299" s="8"/>
      <c r="W299" s="7"/>
      <c r="X299" s="7"/>
      <c r="Y299" s="8"/>
      <c r="Z299" s="7"/>
      <c r="AA299" s="8"/>
    </row>
    <row r="300" spans="4:27" ht="14.25" thickTop="1" thickBot="1" x14ac:dyDescent="0.25">
      <c r="D300" s="190"/>
      <c r="E300" s="72" t="s">
        <v>1237</v>
      </c>
      <c r="F300" s="7"/>
      <c r="G300" s="8"/>
      <c r="H300" s="7"/>
      <c r="I300" s="6"/>
      <c r="J300" s="7"/>
      <c r="K300" s="8"/>
      <c r="L300" s="7"/>
      <c r="M300" s="8"/>
      <c r="N300" s="7"/>
      <c r="O300" s="8"/>
      <c r="P300" s="7"/>
      <c r="Q300" s="7"/>
      <c r="R300" s="8"/>
      <c r="S300" s="7"/>
      <c r="T300" s="9"/>
      <c r="U300" s="7"/>
      <c r="V300" s="8"/>
      <c r="W300" s="7"/>
      <c r="X300" s="7"/>
      <c r="Y300" s="8"/>
      <c r="Z300" s="7"/>
      <c r="AA300" s="8"/>
    </row>
    <row r="301" spans="4:27" ht="14.25" thickTop="1" thickBot="1" x14ac:dyDescent="0.25">
      <c r="D301" s="190"/>
      <c r="E301" s="72" t="s">
        <v>405</v>
      </c>
      <c r="F301" s="7"/>
      <c r="G301" s="8"/>
      <c r="H301" s="7"/>
      <c r="I301" s="6"/>
      <c r="J301" s="7"/>
      <c r="K301" s="8"/>
      <c r="L301" s="7"/>
      <c r="M301" s="8"/>
      <c r="N301" s="7"/>
      <c r="O301" s="8"/>
      <c r="P301" s="7"/>
      <c r="Q301" s="7"/>
      <c r="R301" s="8"/>
      <c r="S301" s="7"/>
      <c r="T301" s="9"/>
      <c r="U301" s="7"/>
      <c r="V301" s="8"/>
      <c r="W301" s="7"/>
      <c r="X301" s="7"/>
      <c r="Y301" s="8"/>
      <c r="Z301" s="7"/>
      <c r="AA301" s="8"/>
    </row>
    <row r="302" spans="4:27" ht="14.25" thickTop="1" thickBot="1" x14ac:dyDescent="0.25">
      <c r="D302" s="190"/>
      <c r="E302" s="72" t="s">
        <v>406</v>
      </c>
      <c r="F302" s="7"/>
      <c r="G302" s="8"/>
      <c r="H302" s="7"/>
      <c r="I302" s="6"/>
      <c r="J302" s="7"/>
      <c r="K302" s="8"/>
      <c r="L302" s="7"/>
      <c r="M302" s="8"/>
      <c r="N302" s="7"/>
      <c r="O302" s="8"/>
      <c r="P302" s="7"/>
      <c r="Q302" s="7"/>
      <c r="R302" s="8"/>
      <c r="S302" s="7"/>
      <c r="T302" s="9"/>
      <c r="U302" s="7"/>
      <c r="V302" s="8"/>
      <c r="W302" s="7"/>
      <c r="X302" s="7"/>
      <c r="Y302" s="8"/>
      <c r="Z302" s="7"/>
      <c r="AA302" s="8"/>
    </row>
    <row r="303" spans="4:27" ht="14.25" thickTop="1" thickBot="1" x14ac:dyDescent="0.25">
      <c r="D303" s="190"/>
      <c r="E303" s="72" t="s">
        <v>407</v>
      </c>
      <c r="F303" s="7"/>
      <c r="G303" s="8"/>
      <c r="H303" s="7"/>
      <c r="I303" s="6"/>
      <c r="J303" s="7"/>
      <c r="K303" s="8"/>
      <c r="L303" s="7"/>
      <c r="M303" s="8"/>
      <c r="N303" s="7"/>
      <c r="O303" s="8"/>
      <c r="P303" s="7"/>
      <c r="Q303" s="7"/>
      <c r="R303" s="8"/>
      <c r="S303" s="7"/>
      <c r="T303" s="9"/>
      <c r="U303" s="7"/>
      <c r="V303" s="8"/>
      <c r="W303" s="7"/>
      <c r="X303" s="7"/>
      <c r="Y303" s="8"/>
      <c r="Z303" s="7"/>
      <c r="AA303" s="8"/>
    </row>
    <row r="304" spans="4:27" ht="14.25" thickTop="1" thickBot="1" x14ac:dyDescent="0.25">
      <c r="D304" s="190"/>
      <c r="E304" s="72" t="s">
        <v>408</v>
      </c>
      <c r="F304" s="7"/>
      <c r="G304" s="8"/>
      <c r="H304" s="7"/>
      <c r="I304" s="6"/>
      <c r="J304" s="7"/>
      <c r="K304" s="8"/>
      <c r="L304" s="7"/>
      <c r="M304" s="8"/>
      <c r="N304" s="7"/>
      <c r="O304" s="8"/>
      <c r="P304" s="7"/>
      <c r="Q304" s="7"/>
      <c r="R304" s="8"/>
      <c r="S304" s="7"/>
      <c r="T304" s="9"/>
      <c r="U304" s="7"/>
      <c r="V304" s="8"/>
      <c r="W304" s="7"/>
      <c r="X304" s="7"/>
      <c r="Y304" s="8"/>
      <c r="Z304" s="7"/>
      <c r="AA304" s="8"/>
    </row>
    <row r="305" spans="4:27" ht="14.25" thickTop="1" thickBot="1" x14ac:dyDescent="0.25">
      <c r="D305" s="190"/>
      <c r="E305" s="72" t="s">
        <v>378</v>
      </c>
      <c r="F305" s="7"/>
      <c r="G305" s="8"/>
      <c r="H305" s="7"/>
      <c r="I305" s="6"/>
      <c r="J305" s="7"/>
      <c r="K305" s="8"/>
      <c r="L305" s="7"/>
      <c r="M305" s="8"/>
      <c r="N305" s="7"/>
      <c r="O305" s="8"/>
      <c r="P305" s="7"/>
      <c r="Q305" s="7"/>
      <c r="R305" s="8"/>
      <c r="S305" s="7"/>
      <c r="T305" s="9"/>
      <c r="U305" s="7"/>
      <c r="V305" s="8"/>
      <c r="W305" s="7"/>
      <c r="X305" s="7"/>
      <c r="Y305" s="8"/>
      <c r="Z305" s="7"/>
      <c r="AA305" s="8"/>
    </row>
    <row r="306" spans="4:27" ht="14.25" thickTop="1" thickBot="1" x14ac:dyDescent="0.25">
      <c r="D306" s="190"/>
      <c r="E306" s="72" t="s">
        <v>409</v>
      </c>
      <c r="F306" s="7"/>
      <c r="G306" s="8"/>
      <c r="H306" s="7"/>
      <c r="I306" s="6"/>
      <c r="J306" s="7"/>
      <c r="K306" s="8"/>
      <c r="L306" s="7"/>
      <c r="M306" s="8"/>
      <c r="N306" s="7"/>
      <c r="O306" s="8"/>
      <c r="P306" s="7"/>
      <c r="Q306" s="7"/>
      <c r="R306" s="8"/>
      <c r="S306" s="7"/>
      <c r="T306" s="9"/>
      <c r="U306" s="7"/>
      <c r="V306" s="8"/>
      <c r="W306" s="7"/>
      <c r="X306" s="7"/>
      <c r="Y306" s="8"/>
      <c r="Z306" s="7"/>
      <c r="AA306" s="8"/>
    </row>
    <row r="307" spans="4:27" ht="14.25" thickTop="1" thickBot="1" x14ac:dyDescent="0.25">
      <c r="D307" s="190"/>
      <c r="E307" s="72" t="s">
        <v>410</v>
      </c>
      <c r="F307" s="7"/>
      <c r="G307" s="8"/>
      <c r="H307" s="7"/>
      <c r="I307" s="6"/>
      <c r="J307" s="7"/>
      <c r="K307" s="8"/>
      <c r="L307" s="7"/>
      <c r="M307" s="8"/>
      <c r="N307" s="7"/>
      <c r="O307" s="8"/>
      <c r="P307" s="7"/>
      <c r="Q307" s="7"/>
      <c r="R307" s="8"/>
      <c r="S307" s="7"/>
      <c r="T307" s="9"/>
      <c r="U307" s="7"/>
      <c r="V307" s="8"/>
      <c r="W307" s="7"/>
      <c r="X307" s="7"/>
      <c r="Y307" s="8"/>
      <c r="Z307" s="7"/>
      <c r="AA307" s="8"/>
    </row>
    <row r="308" spans="4:27" ht="14.25" thickTop="1" thickBot="1" x14ac:dyDescent="0.25">
      <c r="D308" s="190"/>
      <c r="E308" s="72" t="s">
        <v>411</v>
      </c>
      <c r="F308" s="7"/>
      <c r="G308" s="8"/>
      <c r="H308" s="7"/>
      <c r="I308" s="6"/>
      <c r="J308" s="7"/>
      <c r="K308" s="8"/>
      <c r="L308" s="7"/>
      <c r="M308" s="8"/>
      <c r="N308" s="7"/>
      <c r="O308" s="8"/>
      <c r="P308" s="7"/>
      <c r="Q308" s="7"/>
      <c r="R308" s="8"/>
      <c r="S308" s="7"/>
      <c r="T308" s="9"/>
      <c r="U308" s="7"/>
      <c r="V308" s="8"/>
      <c r="W308" s="7"/>
      <c r="X308" s="7"/>
      <c r="Y308" s="8"/>
      <c r="Z308" s="7"/>
      <c r="AA308" s="8"/>
    </row>
    <row r="309" spans="4:27" ht="14.25" thickTop="1" thickBot="1" x14ac:dyDescent="0.25">
      <c r="D309" s="190"/>
      <c r="E309" s="72" t="s">
        <v>412</v>
      </c>
      <c r="F309" s="7"/>
      <c r="G309" s="8"/>
      <c r="H309" s="7"/>
      <c r="I309" s="6"/>
      <c r="J309" s="7"/>
      <c r="K309" s="8"/>
      <c r="L309" s="7"/>
      <c r="M309" s="8"/>
      <c r="N309" s="7"/>
      <c r="O309" s="8"/>
      <c r="P309" s="7"/>
      <c r="Q309" s="7"/>
      <c r="R309" s="8"/>
      <c r="S309" s="7"/>
      <c r="T309" s="9"/>
      <c r="U309" s="7"/>
      <c r="V309" s="8"/>
      <c r="W309" s="7"/>
      <c r="X309" s="7"/>
      <c r="Y309" s="8"/>
      <c r="Z309" s="7"/>
      <c r="AA309" s="8"/>
    </row>
    <row r="310" spans="4:27" ht="14.25" thickTop="1" thickBot="1" x14ac:dyDescent="0.25">
      <c r="D310" s="190"/>
      <c r="E310" s="72" t="s">
        <v>889</v>
      </c>
      <c r="F310" s="7"/>
      <c r="G310" s="8"/>
      <c r="H310" s="7"/>
      <c r="I310" s="6"/>
      <c r="J310" s="7"/>
      <c r="K310" s="8"/>
      <c r="L310" s="7"/>
      <c r="M310" s="8"/>
      <c r="N310" s="7"/>
      <c r="O310" s="8"/>
      <c r="P310" s="7"/>
      <c r="Q310" s="7"/>
      <c r="R310" s="8"/>
      <c r="S310" s="7"/>
      <c r="T310" s="9"/>
      <c r="U310" s="7"/>
      <c r="V310" s="8"/>
      <c r="W310" s="7"/>
      <c r="X310" s="7"/>
      <c r="Y310" s="8"/>
      <c r="Z310" s="7"/>
      <c r="AA310" s="8"/>
    </row>
    <row r="311" spans="4:27" ht="14.25" thickTop="1" thickBot="1" x14ac:dyDescent="0.25">
      <c r="D311" s="190"/>
      <c r="E311" s="72" t="s">
        <v>913</v>
      </c>
      <c r="F311" s="7"/>
      <c r="G311" s="8"/>
      <c r="H311" s="7"/>
      <c r="I311" s="6"/>
      <c r="J311" s="7"/>
      <c r="K311" s="8"/>
      <c r="L311" s="7"/>
      <c r="M311" s="8"/>
      <c r="N311" s="7"/>
      <c r="O311" s="8"/>
      <c r="P311" s="7"/>
      <c r="Q311" s="7"/>
      <c r="R311" s="8"/>
      <c r="S311" s="7"/>
      <c r="T311" s="9"/>
      <c r="U311" s="7"/>
      <c r="V311" s="8"/>
      <c r="W311" s="7"/>
      <c r="X311" s="7"/>
      <c r="Y311" s="8"/>
      <c r="Z311" s="7"/>
      <c r="AA311" s="8"/>
    </row>
    <row r="312" spans="4:27" ht="14.25" thickTop="1" thickBot="1" x14ac:dyDescent="0.25">
      <c r="D312" s="190"/>
      <c r="E312" s="72" t="s">
        <v>1244</v>
      </c>
      <c r="F312" s="7"/>
      <c r="G312" s="8"/>
      <c r="H312" s="7"/>
      <c r="I312" s="6"/>
      <c r="J312" s="7"/>
      <c r="K312" s="8"/>
      <c r="L312" s="7"/>
      <c r="M312" s="8"/>
      <c r="N312" s="7"/>
      <c r="O312" s="8"/>
      <c r="P312" s="7"/>
      <c r="Q312" s="7"/>
      <c r="R312" s="8"/>
      <c r="S312" s="7"/>
      <c r="T312" s="9"/>
      <c r="U312" s="7"/>
      <c r="V312" s="8"/>
      <c r="W312" s="7"/>
      <c r="X312" s="7"/>
      <c r="Y312" s="8"/>
      <c r="Z312" s="7"/>
      <c r="AA312" s="8"/>
    </row>
    <row r="313" spans="4:27" ht="14.25" thickTop="1" thickBot="1" x14ac:dyDescent="0.25">
      <c r="D313" s="190"/>
      <c r="E313" s="72" t="s">
        <v>895</v>
      </c>
      <c r="F313" s="7"/>
      <c r="G313" s="8"/>
      <c r="H313" s="7"/>
      <c r="I313" s="6"/>
      <c r="J313" s="7"/>
      <c r="K313" s="8"/>
      <c r="L313" s="7"/>
      <c r="M313" s="8"/>
      <c r="N313" s="7"/>
      <c r="O313" s="8"/>
      <c r="P313" s="7"/>
      <c r="Q313" s="7"/>
      <c r="R313" s="8"/>
      <c r="S313" s="7"/>
      <c r="T313" s="9"/>
      <c r="U313" s="7"/>
      <c r="V313" s="8"/>
      <c r="W313" s="7"/>
      <c r="X313" s="7"/>
      <c r="Y313" s="8"/>
      <c r="Z313" s="7"/>
      <c r="AA313" s="8"/>
    </row>
    <row r="314" spans="4:27" ht="14.25" thickTop="1" thickBot="1" x14ac:dyDescent="0.25">
      <c r="D314" s="190"/>
      <c r="E314" s="72" t="s">
        <v>1276</v>
      </c>
      <c r="F314" s="7"/>
      <c r="G314" s="8"/>
      <c r="H314" s="7"/>
      <c r="I314" s="6"/>
      <c r="J314" s="7"/>
      <c r="K314" s="8"/>
      <c r="L314" s="7"/>
      <c r="M314" s="8"/>
      <c r="N314" s="7"/>
      <c r="O314" s="8"/>
      <c r="P314" s="7"/>
      <c r="Q314" s="7"/>
      <c r="R314" s="8"/>
      <c r="S314" s="7"/>
      <c r="T314" s="9"/>
      <c r="U314" s="7"/>
      <c r="V314" s="8"/>
      <c r="W314" s="7"/>
      <c r="X314" s="7"/>
      <c r="Y314" s="8"/>
      <c r="Z314" s="7"/>
      <c r="AA314" s="8"/>
    </row>
    <row r="315" spans="4:27" ht="14.25" thickTop="1" thickBot="1" x14ac:dyDescent="0.25">
      <c r="D315" s="190"/>
      <c r="E315" s="72" t="s">
        <v>896</v>
      </c>
      <c r="F315" s="7"/>
      <c r="G315" s="8"/>
      <c r="H315" s="7"/>
      <c r="I315" s="6"/>
      <c r="J315" s="7"/>
      <c r="K315" s="8"/>
      <c r="L315" s="7"/>
      <c r="M315" s="8"/>
      <c r="N315" s="7"/>
      <c r="O315" s="8"/>
      <c r="P315" s="7"/>
      <c r="Q315" s="7"/>
      <c r="R315" s="8"/>
      <c r="S315" s="7"/>
      <c r="T315" s="9"/>
      <c r="U315" s="7"/>
      <c r="V315" s="8"/>
      <c r="W315" s="7"/>
      <c r="X315" s="7"/>
      <c r="Y315" s="8"/>
      <c r="Z315" s="7"/>
      <c r="AA315" s="8"/>
    </row>
    <row r="316" spans="4:27" ht="14.25" thickTop="1" thickBot="1" x14ac:dyDescent="0.25">
      <c r="D316" s="190"/>
      <c r="E316" s="72" t="s">
        <v>871</v>
      </c>
      <c r="F316" s="7"/>
      <c r="G316" s="8"/>
      <c r="H316" s="7"/>
      <c r="I316" s="6"/>
      <c r="J316" s="7"/>
      <c r="K316" s="8"/>
      <c r="L316" s="7"/>
      <c r="M316" s="8"/>
      <c r="N316" s="7"/>
      <c r="O316" s="8"/>
      <c r="P316" s="7"/>
      <c r="Q316" s="7"/>
      <c r="R316" s="8"/>
      <c r="S316" s="7"/>
      <c r="T316" s="9"/>
      <c r="U316" s="7"/>
      <c r="V316" s="8"/>
      <c r="W316" s="7"/>
      <c r="X316" s="7"/>
      <c r="Y316" s="8"/>
      <c r="Z316" s="7"/>
      <c r="AA316" s="8"/>
    </row>
    <row r="317" spans="4:27" ht="14.25" thickTop="1" thickBot="1" x14ac:dyDescent="0.25">
      <c r="D317" s="190"/>
      <c r="E317" s="72" t="s">
        <v>904</v>
      </c>
      <c r="F317" s="7"/>
      <c r="G317" s="8"/>
      <c r="H317" s="7"/>
      <c r="I317" s="6"/>
      <c r="J317" s="7"/>
      <c r="K317" s="8"/>
      <c r="L317" s="7"/>
      <c r="M317" s="8"/>
      <c r="N317" s="7"/>
      <c r="O317" s="8"/>
      <c r="P317" s="7"/>
      <c r="Q317" s="7"/>
      <c r="R317" s="8"/>
      <c r="S317" s="7"/>
      <c r="T317" s="9"/>
      <c r="U317" s="7"/>
      <c r="V317" s="8"/>
      <c r="W317" s="7"/>
      <c r="X317" s="7"/>
      <c r="Y317" s="8"/>
      <c r="Z317" s="7"/>
      <c r="AA317" s="8"/>
    </row>
    <row r="318" spans="4:27" ht="14.25" thickTop="1" thickBot="1" x14ac:dyDescent="0.25">
      <c r="D318" s="190"/>
      <c r="E318" s="72" t="s">
        <v>1140</v>
      </c>
      <c r="F318" s="7"/>
      <c r="G318" s="8"/>
      <c r="H318" s="7"/>
      <c r="I318" s="6"/>
      <c r="J318" s="7"/>
      <c r="K318" s="8"/>
      <c r="L318" s="7"/>
      <c r="M318" s="8"/>
      <c r="N318" s="7"/>
      <c r="O318" s="8"/>
      <c r="P318" s="7"/>
      <c r="Q318" s="7"/>
      <c r="R318" s="8"/>
      <c r="S318" s="7"/>
      <c r="T318" s="9"/>
      <c r="U318" s="7"/>
      <c r="V318" s="8"/>
      <c r="W318" s="7"/>
      <c r="X318" s="7"/>
      <c r="Y318" s="8"/>
      <c r="Z318" s="7"/>
      <c r="AA318" s="8"/>
    </row>
    <row r="319" spans="4:27" ht="14.25" thickTop="1" thickBot="1" x14ac:dyDescent="0.25">
      <c r="D319" s="190"/>
      <c r="E319" s="72" t="s">
        <v>1143</v>
      </c>
      <c r="F319" s="7"/>
      <c r="G319" s="8"/>
      <c r="H319" s="7"/>
      <c r="I319" s="6"/>
      <c r="J319" s="7"/>
      <c r="K319" s="8"/>
      <c r="L319" s="7"/>
      <c r="M319" s="8"/>
      <c r="N319" s="7"/>
      <c r="O319" s="8"/>
      <c r="P319" s="7"/>
      <c r="Q319" s="7"/>
      <c r="R319" s="8"/>
      <c r="S319" s="7"/>
      <c r="T319" s="9"/>
      <c r="U319" s="7"/>
      <c r="V319" s="8"/>
      <c r="W319" s="7"/>
      <c r="X319" s="7"/>
      <c r="Y319" s="8"/>
      <c r="Z319" s="7"/>
      <c r="AA319" s="8"/>
    </row>
    <row r="320" spans="4:27" ht="14.25" thickTop="1" thickBot="1" x14ac:dyDescent="0.25">
      <c r="D320" s="190"/>
      <c r="E320" s="72" t="s">
        <v>884</v>
      </c>
      <c r="F320" s="7"/>
      <c r="G320" s="8"/>
      <c r="H320" s="7"/>
      <c r="I320" s="6"/>
      <c r="J320" s="7"/>
      <c r="K320" s="8"/>
      <c r="L320" s="7"/>
      <c r="M320" s="8"/>
      <c r="N320" s="7"/>
      <c r="O320" s="8"/>
      <c r="P320" s="7"/>
      <c r="Q320" s="7"/>
      <c r="R320" s="8"/>
      <c r="S320" s="7"/>
      <c r="T320" s="9"/>
      <c r="U320" s="7"/>
      <c r="V320" s="8"/>
      <c r="W320" s="7"/>
      <c r="X320" s="7"/>
      <c r="Y320" s="8"/>
      <c r="Z320" s="7"/>
      <c r="AA320" s="8"/>
    </row>
    <row r="321" spans="4:27" ht="14.25" thickTop="1" thickBot="1" x14ac:dyDescent="0.25">
      <c r="D321" s="190"/>
      <c r="E321" s="72" t="s">
        <v>1293</v>
      </c>
      <c r="F321" s="7"/>
      <c r="G321" s="8"/>
      <c r="H321" s="7"/>
      <c r="I321" s="6"/>
      <c r="J321" s="7"/>
      <c r="K321" s="8"/>
      <c r="L321" s="7"/>
      <c r="M321" s="8"/>
      <c r="N321" s="7"/>
      <c r="O321" s="8"/>
      <c r="P321" s="7"/>
      <c r="Q321" s="7"/>
      <c r="R321" s="8"/>
      <c r="S321" s="7"/>
      <c r="T321" s="9"/>
      <c r="U321" s="7"/>
      <c r="V321" s="8"/>
      <c r="W321" s="7"/>
      <c r="X321" s="7"/>
      <c r="Y321" s="8"/>
      <c r="Z321" s="7"/>
      <c r="AA321" s="8"/>
    </row>
    <row r="322" spans="4:27" ht="14.25" thickTop="1" thickBot="1" x14ac:dyDescent="0.25">
      <c r="D322" s="190"/>
      <c r="E322" s="72" t="s">
        <v>1463</v>
      </c>
      <c r="F322" s="7"/>
      <c r="G322" s="8"/>
      <c r="H322" s="7"/>
      <c r="I322" s="6"/>
      <c r="J322" s="7"/>
      <c r="K322" s="8"/>
      <c r="L322" s="7"/>
      <c r="M322" s="8"/>
      <c r="N322" s="7"/>
      <c r="O322" s="8"/>
      <c r="P322" s="7"/>
      <c r="Q322" s="7"/>
      <c r="R322" s="8"/>
      <c r="S322" s="7"/>
      <c r="T322" s="9"/>
      <c r="U322" s="7"/>
      <c r="V322" s="8"/>
      <c r="W322" s="7"/>
      <c r="X322" s="7"/>
      <c r="Y322" s="8"/>
      <c r="Z322" s="7"/>
      <c r="AA322" s="8"/>
    </row>
    <row r="323" spans="4:27" ht="14.25" thickTop="1" thickBot="1" x14ac:dyDescent="0.25">
      <c r="D323" s="190"/>
      <c r="E323" s="72" t="s">
        <v>893</v>
      </c>
      <c r="F323" s="7"/>
      <c r="G323" s="8"/>
      <c r="H323" s="7"/>
      <c r="I323" s="6"/>
      <c r="J323" s="7"/>
      <c r="K323" s="8"/>
      <c r="L323" s="7"/>
      <c r="M323" s="8"/>
      <c r="N323" s="7"/>
      <c r="O323" s="8"/>
      <c r="P323" s="7"/>
      <c r="Q323" s="7"/>
      <c r="R323" s="8"/>
      <c r="S323" s="7"/>
      <c r="T323" s="9"/>
      <c r="U323" s="7"/>
      <c r="V323" s="8"/>
      <c r="W323" s="7"/>
      <c r="X323" s="7"/>
      <c r="Y323" s="8"/>
      <c r="Z323" s="7"/>
      <c r="AA323" s="8"/>
    </row>
    <row r="324" spans="4:27" ht="14.25" thickTop="1" thickBot="1" x14ac:dyDescent="0.25">
      <c r="D324" s="190"/>
      <c r="E324" s="72" t="s">
        <v>1464</v>
      </c>
      <c r="F324" s="7"/>
      <c r="G324" s="8"/>
      <c r="H324" s="7"/>
      <c r="I324" s="6"/>
      <c r="J324" s="7"/>
      <c r="K324" s="8"/>
      <c r="L324" s="7"/>
      <c r="M324" s="8"/>
      <c r="N324" s="7"/>
      <c r="O324" s="8"/>
      <c r="P324" s="7"/>
      <c r="Q324" s="7"/>
      <c r="R324" s="8"/>
      <c r="S324" s="7"/>
      <c r="T324" s="9"/>
      <c r="U324" s="7"/>
      <c r="V324" s="8"/>
      <c r="W324" s="7"/>
      <c r="X324" s="7"/>
      <c r="Y324" s="8"/>
      <c r="Z324" s="7"/>
      <c r="AA324" s="8"/>
    </row>
    <row r="325" spans="4:27" ht="14.25" thickTop="1" thickBot="1" x14ac:dyDescent="0.25">
      <c r="D325" s="190"/>
      <c r="E325" s="72" t="s">
        <v>1160</v>
      </c>
      <c r="F325" s="7"/>
      <c r="G325" s="8"/>
      <c r="H325" s="7"/>
      <c r="I325" s="6"/>
      <c r="J325" s="7"/>
      <c r="K325" s="8"/>
      <c r="L325" s="7"/>
      <c r="M325" s="8"/>
      <c r="N325" s="7"/>
      <c r="O325" s="8"/>
      <c r="P325" s="7"/>
      <c r="Q325" s="7"/>
      <c r="R325" s="8"/>
      <c r="S325" s="7"/>
      <c r="T325" s="9"/>
      <c r="U325" s="7"/>
      <c r="V325" s="8"/>
      <c r="W325" s="7"/>
      <c r="X325" s="7"/>
      <c r="Y325" s="8"/>
      <c r="Z325" s="7"/>
      <c r="AA325" s="8"/>
    </row>
    <row r="326" spans="4:27" ht="14.25" thickTop="1" thickBot="1" x14ac:dyDescent="0.25">
      <c r="D326" s="190"/>
      <c r="E326" s="72" t="s">
        <v>1268</v>
      </c>
      <c r="F326" s="7"/>
      <c r="G326" s="8"/>
      <c r="H326" s="7"/>
      <c r="I326" s="6"/>
      <c r="J326" s="7"/>
      <c r="K326" s="8"/>
      <c r="L326" s="7"/>
      <c r="M326" s="8"/>
      <c r="N326" s="7"/>
      <c r="O326" s="8"/>
      <c r="P326" s="7"/>
      <c r="Q326" s="7"/>
      <c r="R326" s="8"/>
      <c r="S326" s="7"/>
      <c r="T326" s="9"/>
      <c r="U326" s="7"/>
      <c r="V326" s="8"/>
      <c r="W326" s="7"/>
      <c r="X326" s="7"/>
      <c r="Y326" s="8"/>
      <c r="Z326" s="7"/>
      <c r="AA326" s="8"/>
    </row>
    <row r="327" spans="4:27" ht="14.25" thickTop="1" thickBot="1" x14ac:dyDescent="0.25">
      <c r="D327" s="190"/>
      <c r="E327" s="72" t="s">
        <v>1149</v>
      </c>
      <c r="F327" s="7"/>
      <c r="G327" s="8"/>
      <c r="H327" s="7"/>
      <c r="I327" s="6"/>
      <c r="J327" s="7"/>
      <c r="K327" s="8"/>
      <c r="L327" s="7"/>
      <c r="M327" s="8"/>
      <c r="N327" s="7"/>
      <c r="O327" s="8"/>
      <c r="P327" s="7"/>
      <c r="Q327" s="7"/>
      <c r="R327" s="8"/>
      <c r="S327" s="7"/>
      <c r="T327" s="9"/>
      <c r="U327" s="7"/>
      <c r="V327" s="8"/>
      <c r="W327" s="7"/>
      <c r="X327" s="7"/>
      <c r="Y327" s="8"/>
      <c r="Z327" s="7"/>
      <c r="AA327" s="8"/>
    </row>
    <row r="328" spans="4:27" ht="14.25" thickTop="1" thickBot="1" x14ac:dyDescent="0.25">
      <c r="D328" s="190"/>
      <c r="E328" s="72" t="s">
        <v>1465</v>
      </c>
      <c r="F328" s="7"/>
      <c r="G328" s="8"/>
      <c r="H328" s="7"/>
      <c r="I328" s="6"/>
      <c r="J328" s="7"/>
      <c r="K328" s="8"/>
      <c r="L328" s="7"/>
      <c r="M328" s="8"/>
      <c r="N328" s="7"/>
      <c r="O328" s="8"/>
      <c r="P328" s="7"/>
      <c r="Q328" s="7"/>
      <c r="R328" s="8"/>
      <c r="S328" s="7"/>
      <c r="T328" s="9"/>
      <c r="U328" s="7"/>
      <c r="V328" s="8"/>
      <c r="W328" s="7"/>
      <c r="X328" s="7"/>
      <c r="Y328" s="8"/>
      <c r="Z328" s="7"/>
      <c r="AA328" s="8"/>
    </row>
    <row r="329" spans="4:27" ht="14.25" thickTop="1" thickBot="1" x14ac:dyDescent="0.25">
      <c r="D329" s="190"/>
      <c r="E329" s="72" t="s">
        <v>1466</v>
      </c>
      <c r="F329" s="7"/>
      <c r="G329" s="8"/>
      <c r="H329" s="7"/>
      <c r="I329" s="6"/>
      <c r="J329" s="7"/>
      <c r="K329" s="8"/>
      <c r="L329" s="7"/>
      <c r="M329" s="8"/>
      <c r="N329" s="7"/>
      <c r="O329" s="8"/>
      <c r="P329" s="7"/>
      <c r="Q329" s="7"/>
      <c r="R329" s="8"/>
      <c r="S329" s="7"/>
      <c r="T329" s="9"/>
      <c r="U329" s="7"/>
      <c r="V329" s="8"/>
      <c r="W329" s="7"/>
      <c r="X329" s="7"/>
      <c r="Y329" s="8"/>
      <c r="Z329" s="7"/>
      <c r="AA329" s="8"/>
    </row>
    <row r="330" spans="4:27" ht="14.25" thickTop="1" thickBot="1" x14ac:dyDescent="0.25">
      <c r="D330" s="190"/>
      <c r="E330" s="72" t="s">
        <v>46</v>
      </c>
      <c r="F330" s="7"/>
      <c r="G330" s="8"/>
      <c r="H330" s="7"/>
      <c r="I330" s="6"/>
      <c r="J330" s="7"/>
      <c r="K330" s="8"/>
      <c r="L330" s="7"/>
      <c r="M330" s="8"/>
      <c r="N330" s="7"/>
      <c r="O330" s="8"/>
      <c r="P330" s="7"/>
      <c r="Q330" s="7"/>
      <c r="R330" s="8"/>
      <c r="S330" s="7"/>
      <c r="T330" s="9"/>
      <c r="U330" s="7"/>
      <c r="V330" s="8"/>
      <c r="W330" s="7"/>
      <c r="X330" s="7"/>
      <c r="Y330" s="8"/>
      <c r="Z330" s="7"/>
      <c r="AA330" s="8"/>
    </row>
    <row r="331" spans="4:27" ht="14.25" thickTop="1" thickBot="1" x14ac:dyDescent="0.25">
      <c r="D331" s="190"/>
      <c r="E331" s="72" t="s">
        <v>1467</v>
      </c>
      <c r="F331" s="7"/>
      <c r="G331" s="8"/>
      <c r="H331" s="7"/>
      <c r="I331" s="6"/>
      <c r="J331" s="7"/>
      <c r="K331" s="8"/>
      <c r="L331" s="7"/>
      <c r="M331" s="8"/>
      <c r="N331" s="7"/>
      <c r="O331" s="8"/>
      <c r="P331" s="7"/>
      <c r="Q331" s="7"/>
      <c r="R331" s="8"/>
      <c r="S331" s="7"/>
      <c r="T331" s="9"/>
      <c r="U331" s="7"/>
      <c r="V331" s="8"/>
      <c r="W331" s="7"/>
      <c r="X331" s="7"/>
      <c r="Y331" s="8"/>
      <c r="Z331" s="7"/>
      <c r="AA331" s="8"/>
    </row>
    <row r="332" spans="4:27" ht="14.25" thickTop="1" thickBot="1" x14ac:dyDescent="0.25">
      <c r="D332" s="190"/>
      <c r="E332" s="72" t="s">
        <v>1468</v>
      </c>
      <c r="F332" s="7"/>
      <c r="G332" s="8"/>
      <c r="H332" s="7"/>
      <c r="I332" s="6"/>
      <c r="J332" s="7"/>
      <c r="K332" s="8"/>
      <c r="L332" s="7"/>
      <c r="M332" s="8"/>
      <c r="N332" s="7"/>
      <c r="O332" s="8"/>
      <c r="P332" s="7"/>
      <c r="Q332" s="7"/>
      <c r="R332" s="8"/>
      <c r="S332" s="7"/>
      <c r="T332" s="9"/>
      <c r="U332" s="7"/>
      <c r="V332" s="8"/>
      <c r="W332" s="7"/>
      <c r="X332" s="7"/>
      <c r="Y332" s="8"/>
      <c r="Z332" s="7"/>
      <c r="AA332" s="8"/>
    </row>
    <row r="333" spans="4:27" ht="14.25" thickTop="1" thickBot="1" x14ac:dyDescent="0.25">
      <c r="D333" s="190"/>
      <c r="E333" s="72" t="s">
        <v>1287</v>
      </c>
      <c r="F333" s="7"/>
      <c r="G333" s="8"/>
      <c r="H333" s="7"/>
      <c r="I333" s="6"/>
      <c r="J333" s="7"/>
      <c r="K333" s="8"/>
      <c r="L333" s="7"/>
      <c r="M333" s="8"/>
      <c r="N333" s="7"/>
      <c r="O333" s="8"/>
      <c r="P333" s="7"/>
      <c r="Q333" s="7"/>
      <c r="R333" s="8"/>
      <c r="S333" s="7"/>
      <c r="T333" s="9"/>
      <c r="U333" s="7"/>
      <c r="V333" s="8"/>
      <c r="W333" s="7"/>
      <c r="X333" s="7"/>
      <c r="Y333" s="8"/>
      <c r="Z333" s="7"/>
      <c r="AA333" s="8"/>
    </row>
    <row r="334" spans="4:27" ht="14.25" thickTop="1" thickBot="1" x14ac:dyDescent="0.25">
      <c r="D334" s="190"/>
      <c r="E334" s="72" t="s">
        <v>1148</v>
      </c>
      <c r="F334" s="7"/>
      <c r="G334" s="8"/>
      <c r="H334" s="7"/>
      <c r="I334" s="6"/>
      <c r="J334" s="7"/>
      <c r="K334" s="8"/>
      <c r="L334" s="7"/>
      <c r="M334" s="8"/>
      <c r="N334" s="7"/>
      <c r="O334" s="8"/>
      <c r="P334" s="7"/>
      <c r="Q334" s="7"/>
      <c r="R334" s="8"/>
      <c r="S334" s="7"/>
      <c r="T334" s="9"/>
      <c r="U334" s="7"/>
      <c r="V334" s="8"/>
      <c r="W334" s="7"/>
      <c r="X334" s="7"/>
      <c r="Y334" s="8"/>
      <c r="Z334" s="7"/>
      <c r="AA334" s="8"/>
    </row>
    <row r="335" spans="4:27" ht="14.25" thickTop="1" thickBot="1" x14ac:dyDescent="0.25">
      <c r="D335" s="190"/>
      <c r="E335" s="72" t="s">
        <v>1469</v>
      </c>
      <c r="F335" s="7"/>
      <c r="G335" s="8"/>
      <c r="H335" s="7"/>
      <c r="I335" s="6"/>
      <c r="J335" s="7"/>
      <c r="K335" s="8"/>
      <c r="L335" s="7"/>
      <c r="M335" s="8"/>
      <c r="N335" s="7"/>
      <c r="O335" s="8"/>
      <c r="P335" s="7"/>
      <c r="Q335" s="7"/>
      <c r="R335" s="8"/>
      <c r="S335" s="7"/>
      <c r="T335" s="9"/>
      <c r="U335" s="7"/>
      <c r="V335" s="8"/>
      <c r="W335" s="7"/>
      <c r="X335" s="7"/>
      <c r="Y335" s="8"/>
      <c r="Z335" s="7"/>
      <c r="AA335" s="8"/>
    </row>
    <row r="336" spans="4:27" ht="14.25" thickTop="1" thickBot="1" x14ac:dyDescent="0.25">
      <c r="D336" s="190"/>
      <c r="E336" s="72" t="s">
        <v>1168</v>
      </c>
      <c r="F336" s="7"/>
      <c r="G336" s="8"/>
      <c r="H336" s="7"/>
      <c r="I336" s="6"/>
      <c r="J336" s="7"/>
      <c r="K336" s="8"/>
      <c r="L336" s="7"/>
      <c r="M336" s="8"/>
      <c r="N336" s="7"/>
      <c r="O336" s="8"/>
      <c r="P336" s="7"/>
      <c r="Q336" s="7"/>
      <c r="R336" s="8"/>
      <c r="S336" s="7"/>
      <c r="T336" s="9"/>
      <c r="U336" s="7"/>
      <c r="V336" s="8"/>
      <c r="W336" s="7"/>
      <c r="X336" s="7"/>
      <c r="Y336" s="8"/>
      <c r="Z336" s="7"/>
      <c r="AA336" s="8"/>
    </row>
    <row r="337" spans="4:27" ht="14.25" thickTop="1" thickBot="1" x14ac:dyDescent="0.25">
      <c r="D337" s="190"/>
      <c r="E337" s="72" t="s">
        <v>1150</v>
      </c>
      <c r="F337" s="7"/>
      <c r="G337" s="8"/>
      <c r="H337" s="7"/>
      <c r="I337" s="6"/>
      <c r="J337" s="7"/>
      <c r="K337" s="8"/>
      <c r="L337" s="7"/>
      <c r="M337" s="8"/>
      <c r="N337" s="7"/>
      <c r="O337" s="8"/>
      <c r="P337" s="7"/>
      <c r="Q337" s="7"/>
      <c r="R337" s="8"/>
      <c r="S337" s="7"/>
      <c r="T337" s="9"/>
      <c r="U337" s="7"/>
      <c r="V337" s="8"/>
      <c r="W337" s="7"/>
      <c r="X337" s="7"/>
      <c r="Y337" s="8"/>
      <c r="Z337" s="7"/>
      <c r="AA337" s="8"/>
    </row>
    <row r="338" spans="4:27" ht="14.25" thickTop="1" thickBot="1" x14ac:dyDescent="0.25">
      <c r="D338" s="190"/>
      <c r="E338" s="72" t="s">
        <v>903</v>
      </c>
      <c r="F338" s="7"/>
      <c r="G338" s="8"/>
      <c r="H338" s="7"/>
      <c r="I338" s="6"/>
      <c r="J338" s="7"/>
      <c r="K338" s="8"/>
      <c r="L338" s="7"/>
      <c r="M338" s="8"/>
      <c r="N338" s="7"/>
      <c r="O338" s="8"/>
      <c r="P338" s="7"/>
      <c r="Q338" s="7"/>
      <c r="R338" s="8"/>
      <c r="S338" s="7"/>
      <c r="T338" s="9"/>
      <c r="U338" s="7"/>
      <c r="V338" s="8"/>
      <c r="W338" s="7"/>
      <c r="X338" s="7"/>
      <c r="Y338" s="8"/>
      <c r="Z338" s="7"/>
      <c r="AA338" s="8"/>
    </row>
    <row r="339" spans="4:27" ht="14.25" thickTop="1" thickBot="1" x14ac:dyDescent="0.25">
      <c r="D339" s="190"/>
      <c r="E339" s="72" t="s">
        <v>874</v>
      </c>
      <c r="F339" s="7"/>
      <c r="G339" s="8"/>
      <c r="H339" s="7"/>
      <c r="I339" s="6"/>
      <c r="J339" s="7"/>
      <c r="K339" s="8"/>
      <c r="L339" s="7"/>
      <c r="M339" s="8"/>
      <c r="N339" s="7"/>
      <c r="O339" s="8"/>
      <c r="P339" s="7"/>
      <c r="Q339" s="7"/>
      <c r="R339" s="8"/>
      <c r="S339" s="7"/>
      <c r="T339" s="9"/>
      <c r="U339" s="7"/>
      <c r="V339" s="8"/>
      <c r="W339" s="7"/>
      <c r="X339" s="7"/>
      <c r="Y339" s="8"/>
      <c r="Z339" s="7"/>
      <c r="AA339" s="8"/>
    </row>
    <row r="340" spans="4:27" ht="14.25" thickTop="1" thickBot="1" x14ac:dyDescent="0.25">
      <c r="D340" s="190"/>
      <c r="E340" s="72" t="s">
        <v>299</v>
      </c>
      <c r="F340" s="7"/>
      <c r="G340" s="8"/>
      <c r="H340" s="7"/>
      <c r="I340" s="6"/>
      <c r="J340" s="7"/>
      <c r="K340" s="8"/>
      <c r="L340" s="7"/>
      <c r="M340" s="8"/>
      <c r="N340" s="7"/>
      <c r="O340" s="8"/>
      <c r="P340" s="7"/>
      <c r="Q340" s="7"/>
      <c r="R340" s="8"/>
      <c r="S340" s="7"/>
      <c r="T340" s="9"/>
      <c r="U340" s="7"/>
      <c r="V340" s="8"/>
      <c r="W340" s="7"/>
      <c r="X340" s="7"/>
      <c r="Y340" s="8"/>
      <c r="Z340" s="7"/>
      <c r="AA340" s="8"/>
    </row>
    <row r="341" spans="4:27" ht="14.25" thickTop="1" thickBot="1" x14ac:dyDescent="0.25">
      <c r="D341" s="190"/>
      <c r="E341" s="72" t="s">
        <v>387</v>
      </c>
      <c r="F341" s="7"/>
      <c r="G341" s="8"/>
      <c r="H341" s="7"/>
      <c r="I341" s="6"/>
      <c r="J341" s="7"/>
      <c r="K341" s="8"/>
      <c r="L341" s="7"/>
      <c r="M341" s="8"/>
      <c r="N341" s="7"/>
      <c r="O341" s="8"/>
      <c r="P341" s="7"/>
      <c r="Q341" s="7"/>
      <c r="R341" s="8"/>
      <c r="S341" s="7"/>
      <c r="T341" s="9"/>
      <c r="U341" s="7"/>
      <c r="V341" s="8"/>
      <c r="W341" s="7"/>
      <c r="X341" s="7"/>
      <c r="Y341" s="8"/>
      <c r="Z341" s="7"/>
      <c r="AA341" s="8"/>
    </row>
    <row r="342" spans="4:27" ht="14.25" thickTop="1" thickBot="1" x14ac:dyDescent="0.25">
      <c r="D342" s="190"/>
      <c r="E342" s="72" t="s">
        <v>300</v>
      </c>
      <c r="F342" s="7"/>
      <c r="G342" s="8"/>
      <c r="H342" s="7"/>
      <c r="I342" s="6"/>
      <c r="J342" s="7"/>
      <c r="K342" s="8"/>
      <c r="L342" s="7"/>
      <c r="M342" s="8"/>
      <c r="N342" s="7"/>
      <c r="O342" s="8"/>
      <c r="P342" s="7"/>
      <c r="Q342" s="7"/>
      <c r="R342" s="8"/>
      <c r="S342" s="7"/>
      <c r="T342" s="9"/>
      <c r="U342" s="7"/>
      <c r="V342" s="8"/>
      <c r="W342" s="7"/>
      <c r="X342" s="7"/>
      <c r="Y342" s="8"/>
      <c r="Z342" s="7"/>
      <c r="AA342" s="8"/>
    </row>
    <row r="343" spans="4:27" ht="14.25" thickTop="1" thickBot="1" x14ac:dyDescent="0.25">
      <c r="D343" s="190"/>
      <c r="E343" s="72" t="s">
        <v>301</v>
      </c>
      <c r="F343" s="7"/>
      <c r="G343" s="8"/>
      <c r="H343" s="7"/>
      <c r="I343" s="6"/>
      <c r="J343" s="7"/>
      <c r="K343" s="8"/>
      <c r="L343" s="7"/>
      <c r="M343" s="8"/>
      <c r="N343" s="7"/>
      <c r="O343" s="8"/>
      <c r="P343" s="7"/>
      <c r="Q343" s="7"/>
      <c r="R343" s="8"/>
      <c r="S343" s="7"/>
      <c r="T343" s="9"/>
      <c r="U343" s="7"/>
      <c r="V343" s="8"/>
      <c r="W343" s="7"/>
      <c r="X343" s="7"/>
      <c r="Y343" s="8"/>
      <c r="Z343" s="7"/>
      <c r="AA343" s="8"/>
    </row>
    <row r="344" spans="4:27" ht="14.25" thickTop="1" thickBot="1" x14ac:dyDescent="0.25">
      <c r="D344" s="190"/>
      <c r="E344" s="72" t="s">
        <v>302</v>
      </c>
      <c r="F344" s="7"/>
      <c r="G344" s="8"/>
      <c r="H344" s="7"/>
      <c r="I344" s="6"/>
      <c r="J344" s="7"/>
      <c r="K344" s="8"/>
      <c r="L344" s="7"/>
      <c r="M344" s="8"/>
      <c r="N344" s="7"/>
      <c r="O344" s="8"/>
      <c r="P344" s="7"/>
      <c r="Q344" s="7"/>
      <c r="R344" s="8"/>
      <c r="S344" s="7"/>
      <c r="T344" s="9"/>
      <c r="U344" s="7"/>
      <c r="V344" s="8"/>
      <c r="W344" s="7"/>
      <c r="X344" s="7"/>
      <c r="Y344" s="8"/>
      <c r="Z344" s="7"/>
      <c r="AA344" s="8"/>
    </row>
    <row r="345" spans="4:27" ht="14.25" thickTop="1" thickBot="1" x14ac:dyDescent="0.25">
      <c r="D345" s="190"/>
      <c r="E345" s="72" t="s">
        <v>1213</v>
      </c>
      <c r="F345" s="7"/>
      <c r="G345" s="8"/>
      <c r="H345" s="7"/>
      <c r="I345" s="6"/>
      <c r="J345" s="7"/>
      <c r="K345" s="8"/>
      <c r="L345" s="7"/>
      <c r="M345" s="8"/>
      <c r="N345" s="7"/>
      <c r="O345" s="8"/>
      <c r="P345" s="7"/>
      <c r="Q345" s="7"/>
      <c r="R345" s="8"/>
      <c r="S345" s="7"/>
      <c r="T345" s="9"/>
      <c r="U345" s="7"/>
      <c r="V345" s="8"/>
      <c r="W345" s="7"/>
      <c r="X345" s="7"/>
      <c r="Y345" s="8"/>
      <c r="Z345" s="7"/>
      <c r="AA345" s="8"/>
    </row>
    <row r="346" spans="4:27" ht="14.25" thickTop="1" thickBot="1" x14ac:dyDescent="0.25">
      <c r="D346" s="190"/>
      <c r="E346" s="72" t="s">
        <v>1205</v>
      </c>
      <c r="F346" s="7"/>
      <c r="G346" s="8"/>
      <c r="H346" s="7"/>
      <c r="I346" s="6"/>
      <c r="J346" s="7"/>
      <c r="K346" s="8"/>
      <c r="L346" s="7"/>
      <c r="M346" s="8"/>
      <c r="N346" s="7"/>
      <c r="O346" s="8"/>
      <c r="P346" s="7"/>
      <c r="Q346" s="7"/>
      <c r="R346" s="8"/>
      <c r="S346" s="7"/>
      <c r="T346" s="9"/>
      <c r="U346" s="7"/>
      <c r="V346" s="8"/>
      <c r="W346" s="7"/>
      <c r="X346" s="7"/>
      <c r="Y346" s="8"/>
      <c r="Z346" s="7"/>
      <c r="AA346" s="8"/>
    </row>
    <row r="347" spans="4:27" ht="14.25" thickTop="1" thickBot="1" x14ac:dyDescent="0.25">
      <c r="D347" s="190"/>
      <c r="E347" s="72" t="s">
        <v>1201</v>
      </c>
      <c r="F347" s="7"/>
      <c r="G347" s="8"/>
      <c r="H347" s="7"/>
      <c r="I347" s="6"/>
      <c r="J347" s="7"/>
      <c r="K347" s="8"/>
      <c r="L347" s="7"/>
      <c r="M347" s="8"/>
      <c r="N347" s="7"/>
      <c r="O347" s="8"/>
      <c r="P347" s="7"/>
      <c r="Q347" s="7"/>
      <c r="R347" s="8"/>
      <c r="S347" s="7"/>
      <c r="T347" s="9"/>
      <c r="U347" s="7"/>
      <c r="V347" s="8"/>
      <c r="W347" s="7"/>
      <c r="X347" s="7"/>
      <c r="Y347" s="8"/>
      <c r="Z347" s="7"/>
      <c r="AA347" s="8"/>
    </row>
    <row r="348" spans="4:27" ht="14.25" thickTop="1" thickBot="1" x14ac:dyDescent="0.25">
      <c r="D348" s="190"/>
      <c r="E348" s="72" t="s">
        <v>1470</v>
      </c>
      <c r="F348" s="7"/>
      <c r="G348" s="8"/>
      <c r="H348" s="7"/>
      <c r="I348" s="6"/>
      <c r="J348" s="7"/>
      <c r="K348" s="8"/>
      <c r="L348" s="7"/>
      <c r="M348" s="8"/>
      <c r="N348" s="7"/>
      <c r="O348" s="8"/>
      <c r="P348" s="7"/>
      <c r="Q348" s="7"/>
      <c r="R348" s="8"/>
      <c r="S348" s="7"/>
      <c r="T348" s="9"/>
      <c r="U348" s="7"/>
      <c r="V348" s="8"/>
      <c r="W348" s="7"/>
      <c r="X348" s="7"/>
      <c r="Y348" s="8"/>
      <c r="Z348" s="7"/>
      <c r="AA348" s="8"/>
    </row>
    <row r="349" spans="4:27" ht="14.25" thickTop="1" thickBot="1" x14ac:dyDescent="0.25">
      <c r="D349" s="190"/>
      <c r="E349" s="72" t="s">
        <v>386</v>
      </c>
      <c r="F349" s="7"/>
      <c r="G349" s="8"/>
      <c r="H349" s="7"/>
      <c r="I349" s="6"/>
      <c r="J349" s="7"/>
      <c r="K349" s="8"/>
      <c r="L349" s="7"/>
      <c r="M349" s="8"/>
      <c r="N349" s="7"/>
      <c r="O349" s="8"/>
      <c r="P349" s="7"/>
      <c r="Q349" s="7"/>
      <c r="R349" s="8"/>
      <c r="S349" s="7"/>
      <c r="T349" s="9"/>
      <c r="U349" s="7"/>
      <c r="V349" s="8"/>
      <c r="W349" s="7"/>
      <c r="X349" s="7"/>
      <c r="Y349" s="8"/>
      <c r="Z349" s="7"/>
      <c r="AA349" s="8"/>
    </row>
    <row r="350" spans="4:27" ht="14.25" thickTop="1" thickBot="1" x14ac:dyDescent="0.25">
      <c r="D350" s="190"/>
      <c r="E350" s="72" t="s">
        <v>352</v>
      </c>
      <c r="F350" s="7"/>
      <c r="G350" s="8"/>
      <c r="H350" s="7"/>
      <c r="I350" s="6"/>
      <c r="J350" s="7"/>
      <c r="K350" s="8"/>
      <c r="L350" s="7"/>
      <c r="M350" s="8"/>
      <c r="N350" s="7"/>
      <c r="O350" s="8"/>
      <c r="P350" s="7"/>
      <c r="Q350" s="7"/>
      <c r="R350" s="8"/>
      <c r="S350" s="7"/>
      <c r="T350" s="9"/>
      <c r="U350" s="7"/>
      <c r="V350" s="8"/>
      <c r="W350" s="7"/>
      <c r="X350" s="7"/>
      <c r="Y350" s="8"/>
      <c r="Z350" s="7"/>
      <c r="AA350" s="8"/>
    </row>
    <row r="351" spans="4:27" ht="14.25" thickTop="1" thickBot="1" x14ac:dyDescent="0.25">
      <c r="D351" s="190"/>
      <c r="E351" s="72" t="s">
        <v>1192</v>
      </c>
      <c r="F351" s="7"/>
      <c r="G351" s="8"/>
      <c r="H351" s="7"/>
      <c r="I351" s="6"/>
      <c r="J351" s="7"/>
      <c r="K351" s="8"/>
      <c r="L351" s="7"/>
      <c r="M351" s="8"/>
      <c r="N351" s="7"/>
      <c r="O351" s="8"/>
      <c r="P351" s="7"/>
      <c r="Q351" s="7"/>
      <c r="R351" s="8"/>
      <c r="S351" s="7"/>
      <c r="T351" s="9"/>
      <c r="U351" s="7"/>
      <c r="V351" s="8"/>
      <c r="W351" s="7"/>
      <c r="X351" s="7"/>
      <c r="Y351" s="8"/>
      <c r="Z351" s="7"/>
      <c r="AA351" s="8"/>
    </row>
    <row r="352" spans="4:27" ht="14.25" thickTop="1" thickBot="1" x14ac:dyDescent="0.25">
      <c r="D352" s="190"/>
      <c r="E352" s="72" t="s">
        <v>379</v>
      </c>
      <c r="F352" s="7"/>
      <c r="G352" s="8"/>
      <c r="H352" s="7"/>
      <c r="I352" s="6"/>
      <c r="J352" s="7"/>
      <c r="K352" s="8"/>
      <c r="L352" s="7"/>
      <c r="M352" s="8"/>
      <c r="N352" s="7"/>
      <c r="O352" s="8"/>
      <c r="P352" s="7"/>
      <c r="Q352" s="7"/>
      <c r="R352" s="8"/>
      <c r="S352" s="7"/>
      <c r="T352" s="9"/>
      <c r="U352" s="7"/>
      <c r="V352" s="8"/>
      <c r="W352" s="7"/>
      <c r="X352" s="7"/>
      <c r="Y352" s="8"/>
      <c r="Z352" s="7"/>
      <c r="AA352" s="8"/>
    </row>
    <row r="353" spans="4:27" ht="14.25" thickTop="1" thickBot="1" x14ac:dyDescent="0.25">
      <c r="D353" s="190"/>
      <c r="E353" s="72" t="s">
        <v>363</v>
      </c>
      <c r="F353" s="7"/>
      <c r="G353" s="8"/>
      <c r="H353" s="7"/>
      <c r="I353" s="6"/>
      <c r="J353" s="7"/>
      <c r="K353" s="8"/>
      <c r="L353" s="7"/>
      <c r="M353" s="8"/>
      <c r="N353" s="7"/>
      <c r="O353" s="8"/>
      <c r="P353" s="7"/>
      <c r="Q353" s="7"/>
      <c r="R353" s="8"/>
      <c r="S353" s="7"/>
      <c r="T353" s="9"/>
      <c r="U353" s="7"/>
      <c r="V353" s="8"/>
      <c r="W353" s="7"/>
      <c r="X353" s="7"/>
      <c r="Y353" s="8"/>
      <c r="Z353" s="7"/>
      <c r="AA353" s="8"/>
    </row>
    <row r="354" spans="4:27" ht="14.25" thickTop="1" thickBot="1" x14ac:dyDescent="0.25">
      <c r="D354" s="190"/>
      <c r="E354" s="72" t="s">
        <v>440</v>
      </c>
      <c r="F354" s="7"/>
      <c r="G354" s="8"/>
      <c r="H354" s="7"/>
      <c r="I354" s="6"/>
      <c r="J354" s="7"/>
      <c r="K354" s="8"/>
      <c r="L354" s="7"/>
      <c r="M354" s="8"/>
      <c r="N354" s="7"/>
      <c r="O354" s="8"/>
      <c r="P354" s="7"/>
      <c r="Q354" s="7"/>
      <c r="R354" s="8"/>
      <c r="S354" s="7"/>
      <c r="T354" s="9"/>
      <c r="U354" s="7"/>
      <c r="V354" s="8"/>
      <c r="W354" s="7"/>
      <c r="X354" s="7"/>
      <c r="Y354" s="8"/>
      <c r="Z354" s="7"/>
      <c r="AA354" s="8"/>
    </row>
    <row r="355" spans="4:27" ht="14.25" thickTop="1" thickBot="1" x14ac:dyDescent="0.25">
      <c r="D355" s="190"/>
      <c r="E355" s="72" t="s">
        <v>353</v>
      </c>
      <c r="F355" s="7"/>
      <c r="G355" s="8"/>
      <c r="H355" s="7"/>
      <c r="I355" s="6"/>
      <c r="J355" s="7"/>
      <c r="K355" s="8"/>
      <c r="L355" s="7"/>
      <c r="M355" s="8"/>
      <c r="N355" s="7"/>
      <c r="O355" s="8"/>
      <c r="P355" s="7"/>
      <c r="Q355" s="7"/>
      <c r="R355" s="8"/>
      <c r="S355" s="7"/>
      <c r="T355" s="9"/>
      <c r="U355" s="7"/>
      <c r="V355" s="8"/>
      <c r="W355" s="7"/>
      <c r="X355" s="7"/>
      <c r="Y355" s="8"/>
      <c r="Z355" s="7"/>
      <c r="AA355" s="8"/>
    </row>
    <row r="356" spans="4:27" ht="14.25" thickTop="1" thickBot="1" x14ac:dyDescent="0.25">
      <c r="D356" s="190"/>
      <c r="E356" s="72" t="s">
        <v>355</v>
      </c>
      <c r="F356" s="7"/>
      <c r="G356" s="8"/>
      <c r="H356" s="7"/>
      <c r="I356" s="6"/>
      <c r="J356" s="7"/>
      <c r="K356" s="8"/>
      <c r="L356" s="7"/>
      <c r="M356" s="8"/>
      <c r="N356" s="7"/>
      <c r="O356" s="8"/>
      <c r="P356" s="7"/>
      <c r="Q356" s="7"/>
      <c r="R356" s="8"/>
      <c r="S356" s="7"/>
      <c r="T356" s="9"/>
      <c r="U356" s="7"/>
      <c r="V356" s="8"/>
      <c r="W356" s="7"/>
      <c r="X356" s="7"/>
      <c r="Y356" s="8"/>
      <c r="Z356" s="7"/>
      <c r="AA356" s="8"/>
    </row>
    <row r="357" spans="4:27" ht="14.25" thickTop="1" thickBot="1" x14ac:dyDescent="0.25">
      <c r="D357" s="190"/>
      <c r="E357" s="72" t="s">
        <v>1183</v>
      </c>
      <c r="F357" s="7"/>
      <c r="G357" s="8"/>
      <c r="H357" s="7"/>
      <c r="I357" s="6"/>
      <c r="J357" s="7"/>
      <c r="K357" s="8"/>
      <c r="L357" s="7"/>
      <c r="M357" s="8"/>
      <c r="N357" s="7"/>
      <c r="O357" s="8"/>
      <c r="P357" s="7"/>
      <c r="Q357" s="7"/>
      <c r="R357" s="8"/>
      <c r="S357" s="7"/>
      <c r="T357" s="9"/>
      <c r="U357" s="7"/>
      <c r="V357" s="8"/>
      <c r="W357" s="7"/>
      <c r="X357" s="7"/>
      <c r="Y357" s="8"/>
      <c r="Z357" s="7"/>
      <c r="AA357" s="8"/>
    </row>
    <row r="358" spans="4:27" ht="14.25" thickTop="1" thickBot="1" x14ac:dyDescent="0.25">
      <c r="D358" s="190"/>
      <c r="E358" s="72" t="s">
        <v>431</v>
      </c>
      <c r="F358" s="7"/>
      <c r="G358" s="8"/>
      <c r="H358" s="7"/>
      <c r="I358" s="6"/>
      <c r="J358" s="7"/>
      <c r="K358" s="8"/>
      <c r="L358" s="7"/>
      <c r="M358" s="8"/>
      <c r="N358" s="7"/>
      <c r="O358" s="8"/>
      <c r="P358" s="7"/>
      <c r="Q358" s="7"/>
      <c r="R358" s="8"/>
      <c r="S358" s="7"/>
      <c r="T358" s="9"/>
      <c r="U358" s="7"/>
      <c r="V358" s="8"/>
      <c r="W358" s="7"/>
      <c r="X358" s="7"/>
      <c r="Y358" s="8"/>
      <c r="Z358" s="7"/>
      <c r="AA358" s="8"/>
    </row>
    <row r="359" spans="4:27" ht="14.25" thickTop="1" thickBot="1" x14ac:dyDescent="0.25">
      <c r="D359" s="190"/>
      <c r="E359" s="72" t="s">
        <v>432</v>
      </c>
      <c r="F359" s="7"/>
      <c r="G359" s="8"/>
      <c r="H359" s="7"/>
      <c r="I359" s="6"/>
      <c r="J359" s="7"/>
      <c r="K359" s="8"/>
      <c r="L359" s="7"/>
      <c r="M359" s="8"/>
      <c r="N359" s="7"/>
      <c r="O359" s="8"/>
      <c r="P359" s="7"/>
      <c r="Q359" s="7"/>
      <c r="R359" s="8"/>
      <c r="S359" s="7"/>
      <c r="T359" s="9"/>
      <c r="U359" s="7"/>
      <c r="V359" s="8"/>
      <c r="W359" s="7"/>
      <c r="X359" s="7"/>
      <c r="Y359" s="8"/>
      <c r="Z359" s="7"/>
      <c r="AA359" s="8"/>
    </row>
    <row r="360" spans="4:27" ht="14.25" thickTop="1" thickBot="1" x14ac:dyDescent="0.25">
      <c r="D360" s="190"/>
      <c r="E360" s="72" t="s">
        <v>1471</v>
      </c>
      <c r="F360" s="7"/>
      <c r="G360" s="8"/>
      <c r="H360" s="7"/>
      <c r="I360" s="6"/>
      <c r="J360" s="7"/>
      <c r="K360" s="8"/>
      <c r="L360" s="7"/>
      <c r="M360" s="8"/>
      <c r="N360" s="7"/>
      <c r="O360" s="8"/>
      <c r="P360" s="7"/>
      <c r="Q360" s="7"/>
      <c r="R360" s="8"/>
      <c r="S360" s="7"/>
      <c r="T360" s="9"/>
      <c r="U360" s="7"/>
      <c r="V360" s="8"/>
      <c r="W360" s="7"/>
      <c r="X360" s="7"/>
      <c r="Y360" s="8"/>
      <c r="Z360" s="7"/>
      <c r="AA360" s="8"/>
    </row>
    <row r="361" spans="4:27" ht="14.25" thickTop="1" thickBot="1" x14ac:dyDescent="0.25">
      <c r="D361" s="190"/>
      <c r="E361" s="72" t="s">
        <v>1280</v>
      </c>
      <c r="F361" s="7"/>
      <c r="G361" s="8"/>
      <c r="H361" s="7"/>
      <c r="I361" s="6"/>
      <c r="J361" s="7"/>
      <c r="K361" s="8"/>
      <c r="L361" s="7"/>
      <c r="M361" s="8"/>
      <c r="N361" s="7"/>
      <c r="O361" s="8"/>
      <c r="P361" s="7"/>
      <c r="Q361" s="7"/>
      <c r="R361" s="8"/>
      <c r="S361" s="7"/>
      <c r="T361" s="9"/>
      <c r="U361" s="7"/>
      <c r="V361" s="8"/>
      <c r="W361" s="7"/>
      <c r="X361" s="7"/>
      <c r="Y361" s="8"/>
      <c r="Z361" s="7"/>
      <c r="AA361" s="8"/>
    </row>
    <row r="362" spans="4:27" ht="14.25" thickTop="1" thickBot="1" x14ac:dyDescent="0.25">
      <c r="D362" s="190"/>
      <c r="E362" s="72" t="s">
        <v>1282</v>
      </c>
      <c r="F362" s="7"/>
      <c r="G362" s="8"/>
      <c r="H362" s="7"/>
      <c r="I362" s="6"/>
      <c r="J362" s="7"/>
      <c r="K362" s="8"/>
      <c r="L362" s="7"/>
      <c r="M362" s="8"/>
      <c r="N362" s="7"/>
      <c r="O362" s="8"/>
      <c r="P362" s="7"/>
      <c r="Q362" s="7"/>
      <c r="R362" s="8"/>
      <c r="S362" s="7"/>
      <c r="T362" s="9"/>
      <c r="U362" s="7"/>
      <c r="V362" s="8"/>
      <c r="W362" s="7"/>
      <c r="X362" s="7"/>
      <c r="Y362" s="8"/>
      <c r="Z362" s="7"/>
      <c r="AA362" s="8"/>
    </row>
    <row r="363" spans="4:27" ht="14.25" thickTop="1" thickBot="1" x14ac:dyDescent="0.25">
      <c r="D363" s="190"/>
      <c r="E363" s="72" t="s">
        <v>1284</v>
      </c>
      <c r="F363" s="7"/>
      <c r="G363" s="8"/>
      <c r="H363" s="7"/>
      <c r="I363" s="6"/>
      <c r="J363" s="7"/>
      <c r="K363" s="8"/>
      <c r="L363" s="7"/>
      <c r="M363" s="8"/>
      <c r="N363" s="7"/>
      <c r="O363" s="8"/>
      <c r="P363" s="7"/>
      <c r="Q363" s="7"/>
      <c r="R363" s="8"/>
      <c r="S363" s="7"/>
      <c r="T363" s="9"/>
      <c r="U363" s="7"/>
      <c r="V363" s="8"/>
      <c r="W363" s="7"/>
      <c r="X363" s="7"/>
      <c r="Y363" s="8"/>
      <c r="Z363" s="7"/>
      <c r="AA363" s="8"/>
    </row>
    <row r="364" spans="4:27" ht="14.25" thickTop="1" thickBot="1" x14ac:dyDescent="0.25">
      <c r="D364" s="190"/>
      <c r="E364" s="72" t="s">
        <v>1472</v>
      </c>
      <c r="F364" s="7"/>
      <c r="G364" s="8"/>
      <c r="H364" s="7"/>
      <c r="I364" s="6"/>
      <c r="J364" s="7"/>
      <c r="K364" s="8"/>
      <c r="L364" s="7"/>
      <c r="M364" s="8"/>
      <c r="N364" s="7"/>
      <c r="O364" s="8"/>
      <c r="P364" s="7"/>
      <c r="Q364" s="7"/>
      <c r="R364" s="8"/>
      <c r="S364" s="7"/>
      <c r="T364" s="9"/>
      <c r="U364" s="7"/>
      <c r="V364" s="8"/>
      <c r="W364" s="7"/>
      <c r="X364" s="7"/>
      <c r="Y364" s="8"/>
      <c r="Z364" s="7"/>
      <c r="AA364" s="8"/>
    </row>
    <row r="365" spans="4:27" ht="14.25" thickTop="1" thickBot="1" x14ac:dyDescent="0.25">
      <c r="D365" s="190"/>
      <c r="E365" s="72" t="s">
        <v>1285</v>
      </c>
      <c r="F365" s="7"/>
      <c r="G365" s="8"/>
      <c r="H365" s="7"/>
      <c r="I365" s="6"/>
      <c r="J365" s="7"/>
      <c r="K365" s="8"/>
      <c r="L365" s="7"/>
      <c r="M365" s="8"/>
      <c r="N365" s="7"/>
      <c r="O365" s="8"/>
      <c r="P365" s="7"/>
      <c r="Q365" s="7"/>
      <c r="R365" s="8"/>
      <c r="S365" s="7"/>
      <c r="T365" s="9"/>
      <c r="U365" s="7"/>
      <c r="V365" s="8"/>
      <c r="W365" s="7"/>
      <c r="X365" s="7"/>
      <c r="Y365" s="8"/>
      <c r="Z365" s="7"/>
      <c r="AA365" s="8"/>
    </row>
    <row r="366" spans="4:27" ht="14.25" thickTop="1" thickBot="1" x14ac:dyDescent="0.25">
      <c r="D366" s="190"/>
      <c r="E366" s="72" t="s">
        <v>1473</v>
      </c>
      <c r="F366" s="7"/>
      <c r="G366" s="8"/>
      <c r="H366" s="7"/>
      <c r="I366" s="6"/>
      <c r="J366" s="7"/>
      <c r="K366" s="8"/>
      <c r="L366" s="7"/>
      <c r="M366" s="8"/>
      <c r="N366" s="7"/>
      <c r="O366" s="8"/>
      <c r="P366" s="7"/>
      <c r="Q366" s="7"/>
      <c r="R366" s="8"/>
      <c r="S366" s="7"/>
      <c r="T366" s="9"/>
      <c r="U366" s="7"/>
      <c r="V366" s="8"/>
      <c r="W366" s="7"/>
      <c r="X366" s="7"/>
      <c r="Y366" s="8"/>
      <c r="Z366" s="7"/>
      <c r="AA366" s="8"/>
    </row>
    <row r="367" spans="4:27" ht="14.25" thickTop="1" thickBot="1" x14ac:dyDescent="0.25">
      <c r="D367" s="190"/>
      <c r="E367" s="72" t="s">
        <v>1189</v>
      </c>
      <c r="F367" s="7"/>
      <c r="G367" s="8"/>
      <c r="H367" s="7"/>
      <c r="I367" s="6"/>
      <c r="J367" s="7"/>
      <c r="K367" s="8"/>
      <c r="L367" s="7"/>
      <c r="M367" s="8"/>
      <c r="N367" s="7"/>
      <c r="O367" s="8"/>
      <c r="P367" s="7"/>
      <c r="Q367" s="7"/>
      <c r="R367" s="8"/>
      <c r="S367" s="7"/>
      <c r="T367" s="9"/>
      <c r="U367" s="7"/>
      <c r="V367" s="8"/>
      <c r="W367" s="7"/>
      <c r="X367" s="7"/>
      <c r="Y367" s="8"/>
      <c r="Z367" s="7"/>
      <c r="AA367" s="8"/>
    </row>
    <row r="368" spans="4:27" ht="14.25" thickTop="1" thickBot="1" x14ac:dyDescent="0.25">
      <c r="D368" s="190"/>
      <c r="E368" s="72" t="s">
        <v>356</v>
      </c>
      <c r="F368" s="7"/>
      <c r="G368" s="8"/>
      <c r="H368" s="7"/>
      <c r="I368" s="6"/>
      <c r="J368" s="7"/>
      <c r="K368" s="8"/>
      <c r="L368" s="7"/>
      <c r="M368" s="8"/>
      <c r="N368" s="7"/>
      <c r="O368" s="8"/>
      <c r="P368" s="7"/>
      <c r="Q368" s="7"/>
      <c r="R368" s="8"/>
      <c r="S368" s="7"/>
      <c r="T368" s="9"/>
      <c r="U368" s="7"/>
      <c r="V368" s="8"/>
      <c r="W368" s="7"/>
      <c r="X368" s="7"/>
      <c r="Y368" s="8"/>
      <c r="Z368" s="7"/>
      <c r="AA368" s="8"/>
    </row>
    <row r="369" spans="4:27" ht="14.25" thickTop="1" thickBot="1" x14ac:dyDescent="0.25">
      <c r="D369" s="190"/>
      <c r="E369" s="72" t="s">
        <v>437</v>
      </c>
      <c r="F369" s="7"/>
      <c r="G369" s="8"/>
      <c r="H369" s="7"/>
      <c r="I369" s="6"/>
      <c r="J369" s="7"/>
      <c r="K369" s="8"/>
      <c r="L369" s="7"/>
      <c r="M369" s="8"/>
      <c r="N369" s="7"/>
      <c r="O369" s="8"/>
      <c r="P369" s="7"/>
      <c r="Q369" s="7"/>
      <c r="R369" s="8"/>
      <c r="S369" s="7"/>
      <c r="T369" s="9"/>
      <c r="U369" s="7"/>
      <c r="V369" s="8"/>
      <c r="W369" s="7"/>
      <c r="X369" s="7"/>
      <c r="Y369" s="8"/>
      <c r="Z369" s="7"/>
      <c r="AA369" s="8"/>
    </row>
    <row r="370" spans="4:27" ht="14.25" thickTop="1" thickBot="1" x14ac:dyDescent="0.25">
      <c r="D370" s="190"/>
      <c r="E370" s="72" t="s">
        <v>1187</v>
      </c>
      <c r="F370" s="7"/>
      <c r="G370" s="8"/>
      <c r="H370" s="7"/>
      <c r="I370" s="6"/>
      <c r="J370" s="7"/>
      <c r="K370" s="8"/>
      <c r="L370" s="7"/>
      <c r="M370" s="8"/>
      <c r="N370" s="7"/>
      <c r="O370" s="8"/>
      <c r="P370" s="7"/>
      <c r="Q370" s="7"/>
      <c r="R370" s="8"/>
      <c r="S370" s="7"/>
      <c r="T370" s="9"/>
      <c r="U370" s="7"/>
      <c r="V370" s="8"/>
      <c r="W370" s="7"/>
      <c r="X370" s="7"/>
      <c r="Y370" s="8"/>
      <c r="Z370" s="7"/>
      <c r="AA370" s="8"/>
    </row>
    <row r="371" spans="4:27" ht="14.25" thickTop="1" thickBot="1" x14ac:dyDescent="0.25">
      <c r="D371" s="190"/>
      <c r="E371" s="72" t="s">
        <v>357</v>
      </c>
      <c r="F371" s="7"/>
      <c r="G371" s="8"/>
      <c r="H371" s="7"/>
      <c r="I371" s="6"/>
      <c r="J371" s="7"/>
      <c r="K371" s="8"/>
      <c r="L371" s="7"/>
      <c r="M371" s="8"/>
      <c r="N371" s="7"/>
      <c r="O371" s="8"/>
      <c r="P371" s="7"/>
      <c r="Q371" s="7"/>
      <c r="R371" s="8"/>
      <c r="S371" s="7"/>
      <c r="T371" s="9"/>
      <c r="U371" s="7"/>
      <c r="V371" s="8"/>
      <c r="W371" s="7"/>
      <c r="X371" s="7"/>
      <c r="Y371" s="8"/>
      <c r="Z371" s="7"/>
      <c r="AA371" s="8"/>
    </row>
    <row r="372" spans="4:27" ht="14.25" thickTop="1" thickBot="1" x14ac:dyDescent="0.25">
      <c r="D372" s="190"/>
      <c r="E372" s="72" t="s">
        <v>359</v>
      </c>
      <c r="F372" s="7"/>
      <c r="G372" s="8"/>
      <c r="H372" s="7"/>
      <c r="I372" s="6"/>
      <c r="J372" s="7"/>
      <c r="K372" s="8"/>
      <c r="L372" s="7"/>
      <c r="M372" s="8"/>
      <c r="N372" s="7"/>
      <c r="O372" s="8"/>
      <c r="P372" s="7"/>
      <c r="Q372" s="7"/>
      <c r="R372" s="8"/>
      <c r="S372" s="7"/>
      <c r="T372" s="9"/>
      <c r="U372" s="7"/>
      <c r="V372" s="8"/>
      <c r="W372" s="7"/>
      <c r="X372" s="7"/>
      <c r="Y372" s="8"/>
      <c r="Z372" s="7"/>
      <c r="AA372" s="8"/>
    </row>
    <row r="373" spans="4:27" ht="14.25" thickTop="1" thickBot="1" x14ac:dyDescent="0.25">
      <c r="D373" s="190"/>
      <c r="E373" s="72" t="s">
        <v>1176</v>
      </c>
      <c r="F373" s="7"/>
      <c r="G373" s="8"/>
      <c r="H373" s="7"/>
      <c r="I373" s="6"/>
      <c r="J373" s="7"/>
      <c r="K373" s="8"/>
      <c r="L373" s="7"/>
      <c r="M373" s="8"/>
      <c r="N373" s="7"/>
      <c r="O373" s="8"/>
      <c r="P373" s="7"/>
      <c r="Q373" s="7"/>
      <c r="R373" s="8"/>
      <c r="S373" s="7"/>
      <c r="T373" s="9"/>
      <c r="U373" s="7"/>
      <c r="V373" s="8"/>
      <c r="W373" s="7"/>
      <c r="X373" s="7"/>
      <c r="Y373" s="8"/>
      <c r="Z373" s="7"/>
      <c r="AA373" s="8"/>
    </row>
    <row r="374" spans="4:27" ht="14.25" thickTop="1" thickBot="1" x14ac:dyDescent="0.25">
      <c r="D374" s="190"/>
      <c r="E374" s="72" t="s">
        <v>1185</v>
      </c>
      <c r="F374" s="7"/>
      <c r="G374" s="8"/>
      <c r="H374" s="7"/>
      <c r="I374" s="6"/>
      <c r="J374" s="7"/>
      <c r="K374" s="8"/>
      <c r="L374" s="7"/>
      <c r="M374" s="8"/>
      <c r="N374" s="7"/>
      <c r="O374" s="8"/>
      <c r="P374" s="7"/>
      <c r="Q374" s="7"/>
      <c r="R374" s="8"/>
      <c r="S374" s="7"/>
      <c r="T374" s="9"/>
      <c r="U374" s="7"/>
      <c r="V374" s="8"/>
      <c r="W374" s="7"/>
      <c r="X374" s="7"/>
      <c r="Y374" s="8"/>
      <c r="Z374" s="7"/>
      <c r="AA374" s="8"/>
    </row>
    <row r="375" spans="4:27" ht="14.25" thickTop="1" thickBot="1" x14ac:dyDescent="0.25">
      <c r="D375" s="190"/>
      <c r="E375" s="72" t="s">
        <v>445</v>
      </c>
      <c r="F375" s="7"/>
      <c r="G375" s="8"/>
      <c r="H375" s="7"/>
      <c r="I375" s="6"/>
      <c r="J375" s="7"/>
      <c r="K375" s="8"/>
      <c r="L375" s="7"/>
      <c r="M375" s="8"/>
      <c r="N375" s="7"/>
      <c r="O375" s="8"/>
      <c r="P375" s="7"/>
      <c r="Q375" s="7"/>
      <c r="R375" s="8"/>
      <c r="S375" s="7"/>
      <c r="T375" s="9"/>
      <c r="U375" s="7"/>
      <c r="V375" s="8"/>
      <c r="W375" s="7"/>
      <c r="X375" s="7"/>
      <c r="Y375" s="8"/>
      <c r="Z375" s="7"/>
      <c r="AA375" s="8"/>
    </row>
    <row r="376" spans="4:27" ht="14.25" thickTop="1" thickBot="1" x14ac:dyDescent="0.25">
      <c r="D376" s="190"/>
      <c r="E376" s="72" t="s">
        <v>1178</v>
      </c>
      <c r="F376" s="7"/>
      <c r="G376" s="8"/>
      <c r="H376" s="7"/>
      <c r="I376" s="6"/>
      <c r="J376" s="7"/>
      <c r="K376" s="8"/>
      <c r="L376" s="7"/>
      <c r="M376" s="8"/>
      <c r="N376" s="7"/>
      <c r="O376" s="8"/>
      <c r="P376" s="7"/>
      <c r="Q376" s="7"/>
      <c r="R376" s="8"/>
      <c r="S376" s="7"/>
      <c r="T376" s="9"/>
      <c r="U376" s="7"/>
      <c r="V376" s="8"/>
      <c r="W376" s="7"/>
      <c r="X376" s="7"/>
      <c r="Y376" s="8"/>
      <c r="Z376" s="7"/>
      <c r="AA376" s="8"/>
    </row>
    <row r="377" spans="4:27" ht="14.25" thickTop="1" thickBot="1" x14ac:dyDescent="0.25">
      <c r="D377" s="190"/>
      <c r="E377" s="72" t="s">
        <v>1474</v>
      </c>
      <c r="F377" s="7"/>
      <c r="G377" s="8"/>
      <c r="H377" s="7"/>
      <c r="I377" s="6"/>
      <c r="J377" s="7"/>
      <c r="K377" s="8"/>
      <c r="L377" s="7"/>
      <c r="M377" s="8"/>
      <c r="N377" s="7"/>
      <c r="O377" s="8"/>
      <c r="P377" s="7"/>
      <c r="Q377" s="7"/>
      <c r="R377" s="8"/>
      <c r="S377" s="7"/>
      <c r="T377" s="9"/>
      <c r="U377" s="7"/>
      <c r="V377" s="8"/>
      <c r="W377" s="7"/>
      <c r="X377" s="7"/>
      <c r="Y377" s="8"/>
      <c r="Z377" s="7"/>
      <c r="AA377" s="8"/>
    </row>
    <row r="378" spans="4:27" ht="14.25" thickTop="1" thickBot="1" x14ac:dyDescent="0.25">
      <c r="D378" s="190"/>
      <c r="E378" s="72" t="s">
        <v>1300</v>
      </c>
      <c r="F378" s="7"/>
      <c r="G378" s="8"/>
      <c r="H378" s="7"/>
      <c r="I378" s="6"/>
      <c r="J378" s="7"/>
      <c r="K378" s="8"/>
      <c r="L378" s="7"/>
      <c r="M378" s="8"/>
      <c r="N378" s="7"/>
      <c r="O378" s="8"/>
      <c r="P378" s="7"/>
      <c r="Q378" s="7"/>
      <c r="R378" s="8"/>
      <c r="S378" s="7"/>
      <c r="T378" s="9"/>
      <c r="U378" s="7"/>
      <c r="V378" s="8"/>
      <c r="W378" s="7"/>
      <c r="X378" s="7"/>
      <c r="Y378" s="8"/>
      <c r="Z378" s="7"/>
      <c r="AA378" s="8"/>
    </row>
    <row r="379" spans="4:27" ht="14.25" thickTop="1" thickBot="1" x14ac:dyDescent="0.25">
      <c r="D379" s="190"/>
      <c r="E379" s="72" t="s">
        <v>1301</v>
      </c>
      <c r="F379" s="7"/>
      <c r="G379" s="8"/>
      <c r="H379" s="7"/>
      <c r="I379" s="6"/>
      <c r="J379" s="7"/>
      <c r="K379" s="8"/>
      <c r="L379" s="7"/>
      <c r="M379" s="8"/>
      <c r="N379" s="7"/>
      <c r="O379" s="8"/>
      <c r="P379" s="7"/>
      <c r="Q379" s="7"/>
      <c r="R379" s="8"/>
      <c r="S379" s="7"/>
      <c r="T379" s="9"/>
      <c r="U379" s="7"/>
      <c r="V379" s="8"/>
      <c r="W379" s="7"/>
      <c r="X379" s="7"/>
      <c r="Y379" s="8"/>
      <c r="Z379" s="7"/>
      <c r="AA379" s="8"/>
    </row>
    <row r="380" spans="4:27" ht="14.25" thickTop="1" thickBot="1" x14ac:dyDescent="0.25">
      <c r="D380" s="190"/>
      <c r="E380" s="72" t="s">
        <v>1302</v>
      </c>
      <c r="F380" s="7"/>
      <c r="G380" s="8"/>
      <c r="H380" s="7"/>
      <c r="I380" s="6"/>
      <c r="J380" s="7"/>
      <c r="K380" s="8"/>
      <c r="L380" s="7"/>
      <c r="M380" s="8"/>
      <c r="N380" s="7"/>
      <c r="O380" s="8"/>
      <c r="P380" s="7"/>
      <c r="Q380" s="7"/>
      <c r="R380" s="8"/>
      <c r="S380" s="7"/>
      <c r="T380" s="9"/>
      <c r="U380" s="7"/>
      <c r="V380" s="8"/>
      <c r="W380" s="7"/>
      <c r="X380" s="7"/>
      <c r="Y380" s="8"/>
      <c r="Z380" s="7"/>
      <c r="AA380" s="8"/>
    </row>
    <row r="381" spans="4:27" ht="14.25" thickTop="1" thickBot="1" x14ac:dyDescent="0.25">
      <c r="D381" s="190"/>
      <c r="E381" s="72" t="s">
        <v>1303</v>
      </c>
      <c r="F381" s="7"/>
      <c r="G381" s="8"/>
      <c r="H381" s="7"/>
      <c r="I381" s="6"/>
      <c r="J381" s="7"/>
      <c r="K381" s="8"/>
      <c r="L381" s="7"/>
      <c r="M381" s="8"/>
      <c r="N381" s="7"/>
      <c r="O381" s="8"/>
      <c r="P381" s="7"/>
      <c r="Q381" s="7"/>
      <c r="R381" s="8"/>
      <c r="S381" s="7"/>
      <c r="T381" s="9"/>
      <c r="U381" s="7"/>
      <c r="V381" s="8"/>
      <c r="W381" s="7"/>
      <c r="X381" s="7"/>
      <c r="Y381" s="8"/>
      <c r="Z381" s="7"/>
      <c r="AA381" s="8"/>
    </row>
    <row r="382" spans="4:27" ht="14.25" thickTop="1" thickBot="1" x14ac:dyDescent="0.25">
      <c r="D382" s="190"/>
      <c r="E382" s="72" t="s">
        <v>1304</v>
      </c>
      <c r="F382" s="7"/>
      <c r="G382" s="8"/>
      <c r="H382" s="7"/>
      <c r="I382" s="6"/>
      <c r="J382" s="7"/>
      <c r="K382" s="8"/>
      <c r="L382" s="7"/>
      <c r="M382" s="8"/>
      <c r="N382" s="7"/>
      <c r="O382" s="8"/>
      <c r="P382" s="7"/>
      <c r="Q382" s="7"/>
      <c r="R382" s="8"/>
      <c r="S382" s="7"/>
      <c r="T382" s="9"/>
      <c r="U382" s="7"/>
      <c r="V382" s="8"/>
      <c r="W382" s="7"/>
      <c r="X382" s="7"/>
      <c r="Y382" s="8"/>
      <c r="Z382" s="7"/>
      <c r="AA382" s="8"/>
    </row>
    <row r="383" spans="4:27" ht="14.25" thickTop="1" thickBot="1" x14ac:dyDescent="0.25">
      <c r="D383" s="190"/>
      <c r="E383" s="72" t="s">
        <v>1305</v>
      </c>
      <c r="F383" s="7"/>
      <c r="G383" s="8"/>
      <c r="H383" s="7"/>
      <c r="I383" s="6"/>
      <c r="J383" s="7"/>
      <c r="K383" s="8"/>
      <c r="L383" s="7"/>
      <c r="M383" s="8"/>
      <c r="N383" s="7"/>
      <c r="O383" s="8"/>
      <c r="P383" s="7"/>
      <c r="Q383" s="7"/>
      <c r="R383" s="8"/>
      <c r="S383" s="7"/>
      <c r="T383" s="9"/>
      <c r="U383" s="7"/>
      <c r="V383" s="8"/>
      <c r="W383" s="7"/>
      <c r="X383" s="7"/>
      <c r="Y383" s="8"/>
      <c r="Z383" s="7"/>
      <c r="AA383" s="8"/>
    </row>
    <row r="384" spans="4:27" ht="14.25" thickTop="1" thickBot="1" x14ac:dyDescent="0.25">
      <c r="D384" s="190"/>
      <c r="E384" s="72" t="s">
        <v>1194</v>
      </c>
      <c r="F384" s="7"/>
      <c r="G384" s="8"/>
      <c r="H384" s="7"/>
      <c r="I384" s="6"/>
      <c r="J384" s="7"/>
      <c r="K384" s="8"/>
      <c r="L384" s="7"/>
      <c r="M384" s="8"/>
      <c r="N384" s="7"/>
      <c r="O384" s="8"/>
      <c r="P384" s="7"/>
      <c r="Q384" s="7"/>
      <c r="R384" s="8"/>
      <c r="S384" s="7"/>
      <c r="T384" s="9"/>
      <c r="U384" s="7"/>
      <c r="V384" s="8"/>
      <c r="W384" s="7"/>
      <c r="X384" s="7"/>
      <c r="Y384" s="8"/>
      <c r="Z384" s="7"/>
      <c r="AA384" s="8"/>
    </row>
    <row r="385" spans="4:27" ht="14.25" thickTop="1" thickBot="1" x14ac:dyDescent="0.25">
      <c r="D385" s="190"/>
      <c r="E385" s="72" t="s">
        <v>1191</v>
      </c>
      <c r="F385" s="7"/>
      <c r="G385" s="8"/>
      <c r="H385" s="7"/>
      <c r="I385" s="6"/>
      <c r="J385" s="7"/>
      <c r="K385" s="8"/>
      <c r="L385" s="7"/>
      <c r="M385" s="8"/>
      <c r="N385" s="7"/>
      <c r="O385" s="8"/>
      <c r="P385" s="7"/>
      <c r="Q385" s="7"/>
      <c r="R385" s="8"/>
      <c r="S385" s="7"/>
      <c r="T385" s="9"/>
      <c r="U385" s="7"/>
      <c r="V385" s="8"/>
      <c r="W385" s="7"/>
      <c r="X385" s="7"/>
      <c r="Y385" s="8"/>
      <c r="Z385" s="7"/>
      <c r="AA385" s="8"/>
    </row>
    <row r="386" spans="4:27" ht="14.25" thickTop="1" thickBot="1" x14ac:dyDescent="0.25">
      <c r="D386" s="190"/>
      <c r="E386" s="72" t="s">
        <v>914</v>
      </c>
      <c r="F386" s="7"/>
      <c r="G386" s="8"/>
      <c r="H386" s="7"/>
      <c r="I386" s="6"/>
      <c r="J386" s="7"/>
      <c r="K386" s="8"/>
      <c r="L386" s="7"/>
      <c r="M386" s="8"/>
      <c r="N386" s="7"/>
      <c r="O386" s="8"/>
      <c r="P386" s="7"/>
      <c r="Q386" s="7"/>
      <c r="R386" s="8"/>
      <c r="S386" s="7"/>
      <c r="T386" s="9"/>
      <c r="U386" s="7"/>
      <c r="V386" s="8"/>
      <c r="W386" s="7"/>
      <c r="X386" s="7"/>
      <c r="Y386" s="8"/>
      <c r="Z386" s="7"/>
      <c r="AA386" s="8"/>
    </row>
    <row r="387" spans="4:27" ht="14.25" thickTop="1" thickBot="1" x14ac:dyDescent="0.25">
      <c r="D387" s="190"/>
      <c r="E387" s="72" t="s">
        <v>1165</v>
      </c>
      <c r="F387" s="7"/>
      <c r="G387" s="8"/>
      <c r="H387" s="7"/>
      <c r="I387" s="6"/>
      <c r="J387" s="7"/>
      <c r="K387" s="8"/>
      <c r="L387" s="7"/>
      <c r="M387" s="8"/>
      <c r="N387" s="7"/>
      <c r="O387" s="8"/>
      <c r="P387" s="7"/>
      <c r="Q387" s="7"/>
      <c r="R387" s="8"/>
      <c r="S387" s="7"/>
      <c r="T387" s="9"/>
      <c r="U387" s="7"/>
      <c r="V387" s="8"/>
      <c r="W387" s="7"/>
      <c r="X387" s="7"/>
      <c r="Y387" s="8"/>
      <c r="Z387" s="7"/>
      <c r="AA387" s="8"/>
    </row>
    <row r="388" spans="4:27" ht="14.25" thickTop="1" thickBot="1" x14ac:dyDescent="0.25">
      <c r="D388" s="190"/>
      <c r="E388" s="72" t="s">
        <v>1163</v>
      </c>
      <c r="F388" s="7"/>
      <c r="G388" s="8"/>
      <c r="H388" s="7"/>
      <c r="I388" s="6"/>
      <c r="J388" s="7"/>
      <c r="K388" s="8"/>
      <c r="L388" s="7"/>
      <c r="M388" s="8"/>
      <c r="N388" s="7"/>
      <c r="O388" s="8"/>
      <c r="P388" s="7"/>
      <c r="Q388" s="7"/>
      <c r="R388" s="8"/>
      <c r="S388" s="7"/>
      <c r="T388" s="9"/>
      <c r="U388" s="7"/>
      <c r="V388" s="8"/>
      <c r="W388" s="7"/>
      <c r="X388" s="7"/>
      <c r="Y388" s="8"/>
      <c r="Z388" s="7"/>
      <c r="AA388" s="8"/>
    </row>
    <row r="389" spans="4:27" ht="14.25" thickTop="1" thickBot="1" x14ac:dyDescent="0.25">
      <c r="D389" s="190"/>
      <c r="E389" s="72" t="s">
        <v>1161</v>
      </c>
      <c r="F389" s="7"/>
      <c r="G389" s="8"/>
      <c r="H389" s="7"/>
      <c r="I389" s="6"/>
      <c r="J389" s="7"/>
      <c r="K389" s="8"/>
      <c r="L389" s="7"/>
      <c r="M389" s="8"/>
      <c r="N389" s="7"/>
      <c r="O389" s="8"/>
      <c r="P389" s="7"/>
      <c r="Q389" s="7"/>
      <c r="R389" s="8"/>
      <c r="S389" s="7"/>
      <c r="T389" s="9"/>
      <c r="U389" s="7"/>
      <c r="V389" s="8"/>
      <c r="W389" s="7"/>
      <c r="X389" s="7"/>
      <c r="Y389" s="8"/>
      <c r="Z389" s="7"/>
      <c r="AA389" s="8"/>
    </row>
    <row r="390" spans="4:27" ht="14.25" thickTop="1" thickBot="1" x14ac:dyDescent="0.25">
      <c r="D390" s="190"/>
      <c r="E390" s="72" t="s">
        <v>1162</v>
      </c>
      <c r="F390" s="7"/>
      <c r="G390" s="8"/>
      <c r="H390" s="7"/>
      <c r="I390" s="6"/>
      <c r="J390" s="7"/>
      <c r="K390" s="8"/>
      <c r="L390" s="7"/>
      <c r="M390" s="8"/>
      <c r="N390" s="7"/>
      <c r="O390" s="8"/>
      <c r="P390" s="7"/>
      <c r="Q390" s="7"/>
      <c r="R390" s="8"/>
      <c r="S390" s="7"/>
      <c r="T390" s="9"/>
      <c r="U390" s="7"/>
      <c r="V390" s="8"/>
      <c r="W390" s="7"/>
      <c r="X390" s="7"/>
      <c r="Y390" s="8"/>
      <c r="Z390" s="7"/>
      <c r="AA390" s="8"/>
    </row>
    <row r="391" spans="4:27" ht="14.25" thickTop="1" thickBot="1" x14ac:dyDescent="0.25">
      <c r="D391" s="190"/>
      <c r="E391" s="72" t="s">
        <v>1475</v>
      </c>
      <c r="F391" s="7"/>
      <c r="G391" s="8"/>
      <c r="H391" s="7"/>
      <c r="I391" s="6"/>
      <c r="J391" s="7"/>
      <c r="K391" s="8"/>
      <c r="L391" s="7"/>
      <c r="M391" s="8"/>
      <c r="N391" s="7"/>
      <c r="O391" s="8"/>
      <c r="P391" s="7"/>
      <c r="Q391" s="7"/>
      <c r="R391" s="8"/>
      <c r="S391" s="7"/>
      <c r="T391" s="9"/>
      <c r="U391" s="7"/>
      <c r="V391" s="8"/>
      <c r="W391" s="7"/>
      <c r="X391" s="7"/>
      <c r="Y391" s="8"/>
      <c r="Z391" s="7"/>
      <c r="AA391" s="8"/>
    </row>
    <row r="392" spans="4:27" ht="14.25" thickTop="1" thickBot="1" x14ac:dyDescent="0.25">
      <c r="D392" s="190"/>
      <c r="E392" s="72" t="s">
        <v>1226</v>
      </c>
      <c r="F392" s="7"/>
      <c r="G392" s="8"/>
      <c r="H392" s="7"/>
      <c r="I392" s="6"/>
      <c r="J392" s="7"/>
      <c r="K392" s="8"/>
      <c r="L392" s="7"/>
      <c r="M392" s="8"/>
      <c r="N392" s="7"/>
      <c r="O392" s="8"/>
      <c r="P392" s="7"/>
      <c r="Q392" s="7"/>
      <c r="R392" s="8"/>
      <c r="S392" s="7"/>
      <c r="T392" s="9"/>
      <c r="U392" s="7"/>
      <c r="V392" s="8"/>
      <c r="W392" s="7"/>
      <c r="X392" s="7"/>
      <c r="Y392" s="8"/>
      <c r="Z392" s="7"/>
      <c r="AA392" s="8"/>
    </row>
    <row r="393" spans="4:27" ht="14.25" thickTop="1" thickBot="1" x14ac:dyDescent="0.25">
      <c r="D393" s="190"/>
      <c r="E393" s="72" t="s">
        <v>1224</v>
      </c>
      <c r="F393" s="7"/>
      <c r="G393" s="8"/>
      <c r="H393" s="7"/>
      <c r="I393" s="6"/>
      <c r="J393" s="7"/>
      <c r="K393" s="8"/>
      <c r="L393" s="7"/>
      <c r="M393" s="8"/>
      <c r="N393" s="7"/>
      <c r="O393" s="8"/>
      <c r="P393" s="7"/>
      <c r="Q393" s="7"/>
      <c r="R393" s="8"/>
      <c r="S393" s="7"/>
      <c r="T393" s="9"/>
      <c r="U393" s="7"/>
      <c r="V393" s="8"/>
      <c r="W393" s="7"/>
      <c r="X393" s="7"/>
      <c r="Y393" s="8"/>
      <c r="Z393" s="7"/>
      <c r="AA393" s="8"/>
    </row>
    <row r="394" spans="4:27" ht="14.25" thickTop="1" thickBot="1" x14ac:dyDescent="0.25">
      <c r="D394" s="190"/>
      <c r="E394" s="72" t="s">
        <v>1225</v>
      </c>
      <c r="F394" s="7"/>
      <c r="G394" s="8"/>
      <c r="H394" s="7"/>
      <c r="I394" s="6"/>
      <c r="J394" s="7"/>
      <c r="K394" s="8"/>
      <c r="L394" s="7"/>
      <c r="M394" s="8"/>
      <c r="N394" s="7"/>
      <c r="O394" s="8"/>
      <c r="P394" s="7"/>
      <c r="Q394" s="7"/>
      <c r="R394" s="8"/>
      <c r="S394" s="7"/>
      <c r="T394" s="9"/>
      <c r="U394" s="7"/>
      <c r="V394" s="8"/>
      <c r="W394" s="7"/>
      <c r="X394" s="7"/>
      <c r="Y394" s="8"/>
      <c r="Z394" s="7"/>
      <c r="AA394" s="8"/>
    </row>
    <row r="395" spans="4:27" ht="14.25" thickTop="1" thickBot="1" x14ac:dyDescent="0.25">
      <c r="D395" s="190"/>
      <c r="E395" s="72" t="s">
        <v>307</v>
      </c>
      <c r="F395" s="7"/>
      <c r="G395" s="8"/>
      <c r="H395" s="7"/>
      <c r="I395" s="6"/>
      <c r="J395" s="7"/>
      <c r="K395" s="8"/>
      <c r="L395" s="7"/>
      <c r="M395" s="8"/>
      <c r="N395" s="7"/>
      <c r="O395" s="8"/>
      <c r="P395" s="7"/>
      <c r="Q395" s="7"/>
      <c r="R395" s="8"/>
      <c r="S395" s="7"/>
      <c r="T395" s="9"/>
      <c r="U395" s="7"/>
      <c r="V395" s="8"/>
      <c r="W395" s="7"/>
      <c r="X395" s="7"/>
      <c r="Y395" s="8"/>
      <c r="Z395" s="7"/>
      <c r="AA395" s="8"/>
    </row>
    <row r="396" spans="4:27" ht="14.25" thickTop="1" thickBot="1" x14ac:dyDescent="0.25">
      <c r="D396" s="190"/>
      <c r="E396" s="72" t="s">
        <v>380</v>
      </c>
      <c r="F396" s="7"/>
      <c r="G396" s="8"/>
      <c r="H396" s="7"/>
      <c r="I396" s="6"/>
      <c r="J396" s="7"/>
      <c r="K396" s="8"/>
      <c r="L396" s="7"/>
      <c r="M396" s="8"/>
      <c r="N396" s="7"/>
      <c r="O396" s="8"/>
      <c r="P396" s="7"/>
      <c r="Q396" s="7"/>
      <c r="R396" s="8"/>
      <c r="S396" s="7"/>
      <c r="T396" s="9"/>
      <c r="U396" s="7"/>
      <c r="V396" s="8"/>
      <c r="W396" s="7"/>
      <c r="X396" s="7"/>
      <c r="Y396" s="8"/>
      <c r="Z396" s="7"/>
      <c r="AA396" s="8"/>
    </row>
    <row r="397" spans="4:27" ht="14.25" thickTop="1" thickBot="1" x14ac:dyDescent="0.25">
      <c r="D397" s="190"/>
      <c r="E397" s="72" t="s">
        <v>308</v>
      </c>
      <c r="F397" s="7"/>
      <c r="G397" s="8"/>
      <c r="H397" s="7"/>
      <c r="I397" s="6"/>
      <c r="J397" s="7"/>
      <c r="K397" s="8"/>
      <c r="L397" s="7"/>
      <c r="M397" s="8"/>
      <c r="N397" s="7"/>
      <c r="O397" s="8"/>
      <c r="P397" s="7"/>
      <c r="Q397" s="7"/>
      <c r="R397" s="8"/>
      <c r="S397" s="7"/>
      <c r="T397" s="9"/>
      <c r="U397" s="7"/>
      <c r="V397" s="8"/>
      <c r="W397" s="7"/>
      <c r="X397" s="7"/>
      <c r="Y397" s="8"/>
      <c r="Z397" s="7"/>
      <c r="AA397" s="8"/>
    </row>
    <row r="398" spans="4:27" ht="14.25" thickTop="1" thickBot="1" x14ac:dyDescent="0.25">
      <c r="D398" s="190"/>
      <c r="E398" s="72" t="s">
        <v>309</v>
      </c>
      <c r="F398" s="7"/>
      <c r="G398" s="8"/>
      <c r="H398" s="7"/>
      <c r="I398" s="6"/>
      <c r="J398" s="7"/>
      <c r="K398" s="8"/>
      <c r="L398" s="7"/>
      <c r="M398" s="8"/>
      <c r="N398" s="7"/>
      <c r="O398" s="8"/>
      <c r="P398" s="7"/>
      <c r="Q398" s="7"/>
      <c r="R398" s="8"/>
      <c r="S398" s="7"/>
      <c r="T398" s="9"/>
      <c r="U398" s="7"/>
      <c r="V398" s="8"/>
      <c r="W398" s="7"/>
      <c r="X398" s="7"/>
      <c r="Y398" s="8"/>
      <c r="Z398" s="7"/>
      <c r="AA398" s="8"/>
    </row>
    <row r="399" spans="4:27" ht="14.25" thickTop="1" thickBot="1" x14ac:dyDescent="0.25">
      <c r="D399" s="190"/>
      <c r="E399" s="72" t="s">
        <v>310</v>
      </c>
      <c r="F399" s="7"/>
      <c r="G399" s="8"/>
      <c r="H399" s="7"/>
      <c r="I399" s="6"/>
      <c r="J399" s="7"/>
      <c r="K399" s="8"/>
      <c r="L399" s="7"/>
      <c r="M399" s="8"/>
      <c r="N399" s="7"/>
      <c r="O399" s="8"/>
      <c r="P399" s="7"/>
      <c r="Q399" s="7"/>
      <c r="R399" s="8"/>
      <c r="S399" s="7"/>
      <c r="T399" s="9"/>
      <c r="U399" s="7"/>
      <c r="V399" s="8"/>
      <c r="W399" s="7"/>
      <c r="X399" s="7"/>
      <c r="Y399" s="8"/>
      <c r="Z399" s="7"/>
      <c r="AA399" s="8"/>
    </row>
    <row r="400" spans="4:27" ht="14.25" thickTop="1" thickBot="1" x14ac:dyDescent="0.25">
      <c r="D400" s="190"/>
      <c r="E400" s="72" t="s">
        <v>311</v>
      </c>
      <c r="F400" s="7"/>
      <c r="G400" s="8"/>
      <c r="H400" s="7"/>
      <c r="I400" s="6"/>
      <c r="J400" s="7"/>
      <c r="K400" s="8"/>
      <c r="L400" s="7"/>
      <c r="M400" s="8"/>
      <c r="N400" s="7"/>
      <c r="O400" s="8"/>
      <c r="P400" s="7"/>
      <c r="Q400" s="7"/>
      <c r="R400" s="8"/>
      <c r="S400" s="7"/>
      <c r="T400" s="9"/>
      <c r="U400" s="7"/>
      <c r="V400" s="8"/>
      <c r="W400" s="7"/>
      <c r="X400" s="7"/>
      <c r="Y400" s="8"/>
      <c r="Z400" s="7"/>
      <c r="AA400" s="8"/>
    </row>
    <row r="401" spans="4:27" ht="14.25" thickTop="1" thickBot="1" x14ac:dyDescent="0.25">
      <c r="D401" s="190"/>
      <c r="E401" s="72" t="s">
        <v>312</v>
      </c>
      <c r="F401" s="7"/>
      <c r="G401" s="8"/>
      <c r="H401" s="7"/>
      <c r="I401" s="6"/>
      <c r="J401" s="7"/>
      <c r="K401" s="8"/>
      <c r="L401" s="7"/>
      <c r="M401" s="8"/>
      <c r="N401" s="7"/>
      <c r="O401" s="8"/>
      <c r="P401" s="7"/>
      <c r="Q401" s="7"/>
      <c r="R401" s="8"/>
      <c r="S401" s="7"/>
      <c r="T401" s="9"/>
      <c r="U401" s="7"/>
      <c r="V401" s="8"/>
      <c r="W401" s="7"/>
      <c r="X401" s="7"/>
      <c r="Y401" s="8"/>
      <c r="Z401" s="7"/>
      <c r="AA401" s="8"/>
    </row>
    <row r="402" spans="4:27" ht="14.25" thickTop="1" thickBot="1" x14ac:dyDescent="0.25">
      <c r="D402" s="190"/>
      <c r="E402" s="72" t="s">
        <v>413</v>
      </c>
      <c r="F402" s="7"/>
      <c r="G402" s="8"/>
      <c r="H402" s="7"/>
      <c r="I402" s="6"/>
      <c r="J402" s="7"/>
      <c r="K402" s="8"/>
      <c r="L402" s="7"/>
      <c r="M402" s="8"/>
      <c r="N402" s="7"/>
      <c r="O402" s="8"/>
      <c r="P402" s="7"/>
      <c r="Q402" s="7"/>
      <c r="R402" s="8"/>
      <c r="S402" s="7"/>
      <c r="T402" s="9"/>
      <c r="U402" s="7"/>
      <c r="V402" s="8"/>
      <c r="W402" s="7"/>
      <c r="X402" s="7"/>
      <c r="Y402" s="8"/>
      <c r="Z402" s="7"/>
      <c r="AA402" s="8"/>
    </row>
    <row r="403" spans="4:27" ht="14.25" thickTop="1" thickBot="1" x14ac:dyDescent="0.25">
      <c r="D403" s="190"/>
      <c r="E403" s="72" t="s">
        <v>414</v>
      </c>
      <c r="F403" s="7"/>
      <c r="G403" s="8"/>
      <c r="H403" s="7"/>
      <c r="I403" s="6"/>
      <c r="J403" s="7"/>
      <c r="K403" s="8"/>
      <c r="L403" s="7"/>
      <c r="M403" s="8"/>
      <c r="N403" s="7"/>
      <c r="O403" s="8"/>
      <c r="P403" s="7"/>
      <c r="Q403" s="7"/>
      <c r="R403" s="8"/>
      <c r="S403" s="7"/>
      <c r="T403" s="9"/>
      <c r="U403" s="7"/>
      <c r="V403" s="8"/>
      <c r="W403" s="7"/>
      <c r="X403" s="7"/>
      <c r="Y403" s="8"/>
      <c r="Z403" s="7"/>
      <c r="AA403" s="8"/>
    </row>
    <row r="404" spans="4:27" ht="14.25" thickTop="1" thickBot="1" x14ac:dyDescent="0.25">
      <c r="D404" s="190"/>
      <c r="E404" s="72" t="s">
        <v>381</v>
      </c>
      <c r="F404" s="7"/>
      <c r="G404" s="8"/>
      <c r="H404" s="7"/>
      <c r="I404" s="6"/>
      <c r="J404" s="7"/>
      <c r="K404" s="8"/>
      <c r="L404" s="7"/>
      <c r="M404" s="8"/>
      <c r="N404" s="7"/>
      <c r="O404" s="8"/>
      <c r="P404" s="7"/>
      <c r="Q404" s="7"/>
      <c r="R404" s="8"/>
      <c r="S404" s="7"/>
      <c r="T404" s="9"/>
      <c r="U404" s="7"/>
      <c r="V404" s="8"/>
      <c r="W404" s="7"/>
      <c r="X404" s="7"/>
      <c r="Y404" s="8"/>
      <c r="Z404" s="7"/>
      <c r="AA404" s="8"/>
    </row>
    <row r="405" spans="4:27" ht="14.25" thickTop="1" thickBot="1" x14ac:dyDescent="0.25">
      <c r="D405" s="190"/>
      <c r="E405" s="72" t="s">
        <v>313</v>
      </c>
      <c r="F405" s="7"/>
      <c r="G405" s="8"/>
      <c r="H405" s="7"/>
      <c r="I405" s="6"/>
      <c r="J405" s="7"/>
      <c r="K405" s="8"/>
      <c r="L405" s="7"/>
      <c r="M405" s="8"/>
      <c r="N405" s="7"/>
      <c r="O405" s="8"/>
      <c r="P405" s="7"/>
      <c r="Q405" s="7"/>
      <c r="R405" s="8"/>
      <c r="S405" s="7"/>
      <c r="T405" s="9"/>
      <c r="U405" s="7"/>
      <c r="V405" s="8"/>
      <c r="W405" s="7"/>
      <c r="X405" s="7"/>
      <c r="Y405" s="8"/>
      <c r="Z405" s="7"/>
      <c r="AA405" s="8"/>
    </row>
    <row r="406" spans="4:27" ht="14.25" thickTop="1" thickBot="1" x14ac:dyDescent="0.25">
      <c r="D406" s="190"/>
      <c r="E406" s="72" t="s">
        <v>382</v>
      </c>
      <c r="F406" s="7"/>
      <c r="G406" s="8"/>
      <c r="H406" s="7"/>
      <c r="I406" s="6"/>
      <c r="J406" s="7"/>
      <c r="K406" s="8"/>
      <c r="L406" s="7"/>
      <c r="M406" s="8"/>
      <c r="N406" s="7"/>
      <c r="O406" s="8"/>
      <c r="P406" s="7"/>
      <c r="Q406" s="7"/>
      <c r="R406" s="8"/>
      <c r="S406" s="7"/>
      <c r="T406" s="9"/>
      <c r="U406" s="7"/>
      <c r="V406" s="8"/>
      <c r="W406" s="7"/>
      <c r="X406" s="7"/>
      <c r="Y406" s="8"/>
      <c r="Z406" s="7"/>
      <c r="AA406" s="8"/>
    </row>
    <row r="407" spans="4:27" ht="14.25" thickTop="1" thickBot="1" x14ac:dyDescent="0.25">
      <c r="D407" s="190"/>
      <c r="E407" s="72" t="s">
        <v>314</v>
      </c>
      <c r="F407" s="7"/>
      <c r="G407" s="8"/>
      <c r="H407" s="7"/>
      <c r="I407" s="6"/>
      <c r="J407" s="7"/>
      <c r="K407" s="8"/>
      <c r="L407" s="7"/>
      <c r="M407" s="8"/>
      <c r="N407" s="7"/>
      <c r="O407" s="8"/>
      <c r="P407" s="7"/>
      <c r="Q407" s="7"/>
      <c r="R407" s="8"/>
      <c r="S407" s="7"/>
      <c r="T407" s="9"/>
      <c r="U407" s="7"/>
      <c r="V407" s="8"/>
      <c r="W407" s="7"/>
      <c r="X407" s="7"/>
      <c r="Y407" s="8"/>
      <c r="Z407" s="7"/>
      <c r="AA407" s="8"/>
    </row>
    <row r="408" spans="4:27" ht="14.25" thickTop="1" thickBot="1" x14ac:dyDescent="0.25">
      <c r="D408" s="190"/>
      <c r="E408" s="72" t="s">
        <v>415</v>
      </c>
      <c r="F408" s="7"/>
      <c r="G408" s="8"/>
      <c r="H408" s="7"/>
      <c r="I408" s="6"/>
      <c r="J408" s="7"/>
      <c r="K408" s="8"/>
      <c r="L408" s="7"/>
      <c r="M408" s="8"/>
      <c r="N408" s="7"/>
      <c r="O408" s="8"/>
      <c r="P408" s="7"/>
      <c r="Q408" s="7"/>
      <c r="R408" s="8"/>
      <c r="S408" s="7"/>
      <c r="T408" s="9"/>
      <c r="U408" s="7"/>
      <c r="V408" s="8"/>
      <c r="W408" s="7"/>
      <c r="X408" s="7"/>
      <c r="Y408" s="8"/>
      <c r="Z408" s="7"/>
      <c r="AA408" s="8"/>
    </row>
    <row r="409" spans="4:27" ht="14.25" thickTop="1" thickBot="1" x14ac:dyDescent="0.25">
      <c r="D409" s="190"/>
      <c r="E409" s="72" t="s">
        <v>315</v>
      </c>
      <c r="F409" s="7"/>
      <c r="G409" s="8"/>
      <c r="H409" s="7"/>
      <c r="I409" s="6"/>
      <c r="J409" s="7"/>
      <c r="K409" s="8"/>
      <c r="L409" s="7"/>
      <c r="M409" s="8"/>
      <c r="N409" s="7"/>
      <c r="O409" s="8"/>
      <c r="P409" s="7"/>
      <c r="Q409" s="7"/>
      <c r="R409" s="8"/>
      <c r="S409" s="7"/>
      <c r="T409" s="9"/>
      <c r="U409" s="7"/>
      <c r="V409" s="8"/>
      <c r="W409" s="7"/>
      <c r="X409" s="7"/>
      <c r="Y409" s="8"/>
      <c r="Z409" s="7"/>
      <c r="AA409" s="8"/>
    </row>
    <row r="410" spans="4:27" ht="14.25" thickTop="1" thickBot="1" x14ac:dyDescent="0.25">
      <c r="D410" s="190"/>
      <c r="E410" s="72" t="s">
        <v>1316</v>
      </c>
      <c r="F410" s="7"/>
      <c r="G410" s="8"/>
      <c r="H410" s="7"/>
      <c r="I410" s="6"/>
      <c r="J410" s="7"/>
      <c r="K410" s="8"/>
      <c r="L410" s="7"/>
      <c r="M410" s="8"/>
      <c r="N410" s="7"/>
      <c r="O410" s="8"/>
      <c r="P410" s="7"/>
      <c r="Q410" s="7"/>
      <c r="R410" s="8"/>
      <c r="S410" s="7"/>
      <c r="T410" s="9"/>
      <c r="U410" s="7"/>
      <c r="V410" s="8"/>
      <c r="W410" s="7"/>
      <c r="X410" s="7"/>
      <c r="Y410" s="8"/>
      <c r="Z410" s="7"/>
      <c r="AA410" s="8"/>
    </row>
    <row r="411" spans="4:27" ht="14.25" thickTop="1" thickBot="1" x14ac:dyDescent="0.25">
      <c r="D411" s="190"/>
      <c r="E411" s="72" t="s">
        <v>316</v>
      </c>
      <c r="F411" s="7"/>
      <c r="G411" s="8"/>
      <c r="H411" s="7"/>
      <c r="I411" s="6"/>
      <c r="J411" s="7"/>
      <c r="K411" s="8"/>
      <c r="L411" s="7"/>
      <c r="M411" s="8"/>
      <c r="N411" s="7"/>
      <c r="O411" s="8"/>
      <c r="P411" s="7"/>
      <c r="Q411" s="7"/>
      <c r="R411" s="8"/>
      <c r="S411" s="7"/>
      <c r="T411" s="9"/>
      <c r="U411" s="7"/>
      <c r="V411" s="8"/>
      <c r="W411" s="7"/>
      <c r="X411" s="7"/>
      <c r="Y411" s="8"/>
      <c r="Z411" s="7"/>
      <c r="AA411" s="8"/>
    </row>
    <row r="412" spans="4:27" ht="14.25" thickTop="1" thickBot="1" x14ac:dyDescent="0.25">
      <c r="D412" s="190"/>
      <c r="E412" s="72" t="s">
        <v>417</v>
      </c>
      <c r="F412" s="7"/>
      <c r="G412" s="8"/>
      <c r="H412" s="7"/>
      <c r="I412" s="6"/>
      <c r="J412" s="7"/>
      <c r="K412" s="8"/>
      <c r="L412" s="7"/>
      <c r="M412" s="8"/>
      <c r="N412" s="7"/>
      <c r="O412" s="8"/>
      <c r="P412" s="7"/>
      <c r="Q412" s="7"/>
      <c r="R412" s="8"/>
      <c r="S412" s="7"/>
      <c r="T412" s="9"/>
      <c r="U412" s="7"/>
      <c r="V412" s="8"/>
      <c r="W412" s="7"/>
      <c r="X412" s="7"/>
      <c r="Y412" s="8"/>
      <c r="Z412" s="7"/>
      <c r="AA412" s="8"/>
    </row>
    <row r="413" spans="4:27" ht="14.25" thickTop="1" thickBot="1" x14ac:dyDescent="0.25">
      <c r="D413" s="190"/>
      <c r="E413" s="72" t="s">
        <v>317</v>
      </c>
      <c r="F413" s="7"/>
      <c r="G413" s="8"/>
      <c r="H413" s="7"/>
      <c r="I413" s="6"/>
      <c r="J413" s="7"/>
      <c r="K413" s="8"/>
      <c r="L413" s="7"/>
      <c r="M413" s="8"/>
      <c r="N413" s="7"/>
      <c r="O413" s="8"/>
      <c r="P413" s="7"/>
      <c r="Q413" s="7"/>
      <c r="R413" s="8"/>
      <c r="S413" s="7"/>
      <c r="T413" s="9"/>
      <c r="U413" s="7"/>
      <c r="V413" s="8"/>
      <c r="W413" s="7"/>
      <c r="X413" s="7"/>
      <c r="Y413" s="8"/>
      <c r="Z413" s="7"/>
      <c r="AA413" s="8"/>
    </row>
    <row r="414" spans="4:27" ht="14.25" thickTop="1" thickBot="1" x14ac:dyDescent="0.25">
      <c r="D414" s="190"/>
      <c r="E414" s="72" t="s">
        <v>318</v>
      </c>
      <c r="F414" s="7"/>
      <c r="G414" s="8"/>
      <c r="H414" s="7"/>
      <c r="I414" s="6"/>
      <c r="J414" s="7"/>
      <c r="K414" s="8"/>
      <c r="L414" s="7"/>
      <c r="M414" s="8"/>
      <c r="N414" s="7"/>
      <c r="O414" s="8"/>
      <c r="P414" s="7"/>
      <c r="Q414" s="7"/>
      <c r="R414" s="8"/>
      <c r="S414" s="7"/>
      <c r="T414" s="9"/>
      <c r="U414" s="7"/>
      <c r="V414" s="8"/>
      <c r="W414" s="7"/>
      <c r="X414" s="7"/>
      <c r="Y414" s="8"/>
      <c r="Z414" s="7"/>
      <c r="AA414" s="8"/>
    </row>
    <row r="415" spans="4:27" ht="14.25" thickTop="1" thickBot="1" x14ac:dyDescent="0.25">
      <c r="D415" s="190"/>
      <c r="E415" s="72" t="s">
        <v>1219</v>
      </c>
      <c r="F415" s="7"/>
      <c r="G415" s="8"/>
      <c r="H415" s="7"/>
      <c r="I415" s="6"/>
      <c r="J415" s="7"/>
      <c r="K415" s="8"/>
      <c r="L415" s="7"/>
      <c r="M415" s="8"/>
      <c r="N415" s="7"/>
      <c r="O415" s="8"/>
      <c r="P415" s="7"/>
      <c r="Q415" s="7"/>
      <c r="R415" s="8"/>
      <c r="S415" s="7"/>
      <c r="T415" s="9"/>
      <c r="U415" s="7"/>
      <c r="V415" s="8"/>
      <c r="W415" s="7"/>
      <c r="X415" s="7"/>
      <c r="Y415" s="8"/>
      <c r="Z415" s="7"/>
      <c r="AA415" s="8"/>
    </row>
    <row r="416" spans="4:27" ht="14.25" thickTop="1" thickBot="1" x14ac:dyDescent="0.25">
      <c r="D416" s="190"/>
      <c r="E416" s="72" t="s">
        <v>1151</v>
      </c>
      <c r="F416" s="7"/>
      <c r="G416" s="8"/>
      <c r="H416" s="7"/>
      <c r="I416" s="6"/>
      <c r="J416" s="7"/>
      <c r="K416" s="8"/>
      <c r="L416" s="7"/>
      <c r="M416" s="8"/>
      <c r="N416" s="7"/>
      <c r="O416" s="8"/>
      <c r="P416" s="7"/>
      <c r="Q416" s="7"/>
      <c r="R416" s="8"/>
      <c r="S416" s="7"/>
      <c r="T416" s="9"/>
      <c r="U416" s="7"/>
      <c r="V416" s="8"/>
      <c r="W416" s="7"/>
      <c r="X416" s="7"/>
      <c r="Y416" s="8"/>
      <c r="Z416" s="7"/>
      <c r="AA416" s="8"/>
    </row>
    <row r="417" spans="4:27" ht="14.25" thickTop="1" thickBot="1" x14ac:dyDescent="0.25">
      <c r="D417" s="190"/>
      <c r="E417" s="72" t="s">
        <v>1152</v>
      </c>
      <c r="F417" s="7"/>
      <c r="G417" s="8"/>
      <c r="H417" s="7"/>
      <c r="I417" s="6"/>
      <c r="J417" s="7"/>
      <c r="K417" s="8"/>
      <c r="L417" s="7"/>
      <c r="M417" s="8"/>
      <c r="N417" s="7"/>
      <c r="O417" s="8"/>
      <c r="P417" s="7"/>
      <c r="Q417" s="7"/>
      <c r="R417" s="8"/>
      <c r="S417" s="7"/>
      <c r="T417" s="9"/>
      <c r="U417" s="7"/>
      <c r="V417" s="8"/>
      <c r="W417" s="7"/>
      <c r="X417" s="7"/>
      <c r="Y417" s="8"/>
      <c r="Z417" s="7"/>
      <c r="AA417" s="8"/>
    </row>
    <row r="418" spans="4:27" ht="14.25" thickTop="1" thickBot="1" x14ac:dyDescent="0.25">
      <c r="D418" s="190"/>
      <c r="E418" s="72" t="s">
        <v>878</v>
      </c>
      <c r="F418" s="7"/>
      <c r="G418" s="8"/>
      <c r="H418" s="7"/>
      <c r="I418" s="6"/>
      <c r="J418" s="7"/>
      <c r="K418" s="8"/>
      <c r="L418" s="7"/>
      <c r="M418" s="8"/>
      <c r="N418" s="7"/>
      <c r="O418" s="8"/>
      <c r="P418" s="7"/>
      <c r="Q418" s="7"/>
      <c r="R418" s="8"/>
      <c r="S418" s="7"/>
      <c r="T418" s="9"/>
      <c r="U418" s="7"/>
      <c r="V418" s="8"/>
      <c r="W418" s="7"/>
      <c r="X418" s="7"/>
      <c r="Y418" s="8"/>
      <c r="Z418" s="7"/>
      <c r="AA418" s="8"/>
    </row>
    <row r="419" spans="4:27" ht="14.25" thickTop="1" thickBot="1" x14ac:dyDescent="0.25">
      <c r="D419" s="190"/>
      <c r="E419" s="72" t="s">
        <v>919</v>
      </c>
      <c r="F419" s="7"/>
      <c r="G419" s="8"/>
      <c r="H419" s="7"/>
      <c r="I419" s="6"/>
      <c r="J419" s="7"/>
      <c r="K419" s="8"/>
      <c r="L419" s="7"/>
      <c r="M419" s="8"/>
      <c r="N419" s="7"/>
      <c r="O419" s="8"/>
      <c r="P419" s="7"/>
      <c r="Q419" s="7"/>
      <c r="R419" s="8"/>
      <c r="S419" s="7"/>
      <c r="T419" s="9"/>
      <c r="U419" s="7"/>
      <c r="V419" s="8"/>
      <c r="W419" s="7"/>
      <c r="X419" s="7"/>
      <c r="Y419" s="8"/>
      <c r="Z419" s="7"/>
      <c r="AA419" s="8"/>
    </row>
    <row r="420" spans="4:27" ht="14.25" thickTop="1" thickBot="1" x14ac:dyDescent="0.25">
      <c r="D420" s="190"/>
      <c r="E420" s="72" t="s">
        <v>868</v>
      </c>
      <c r="F420" s="7"/>
      <c r="G420" s="8"/>
      <c r="H420" s="7"/>
      <c r="I420" s="6"/>
      <c r="J420" s="7"/>
      <c r="K420" s="8"/>
      <c r="L420" s="7"/>
      <c r="M420" s="8"/>
      <c r="N420" s="7"/>
      <c r="O420" s="8"/>
      <c r="P420" s="7"/>
      <c r="Q420" s="7"/>
      <c r="R420" s="8"/>
      <c r="S420" s="7"/>
      <c r="T420" s="9"/>
      <c r="U420" s="7"/>
      <c r="V420" s="8"/>
      <c r="W420" s="7"/>
      <c r="X420" s="7"/>
      <c r="Y420" s="8"/>
      <c r="Z420" s="7"/>
      <c r="AA420" s="8"/>
    </row>
    <row r="421" spans="4:27" ht="14.25" thickTop="1" thickBot="1" x14ac:dyDescent="0.25">
      <c r="D421" s="190"/>
      <c r="E421" s="72" t="s">
        <v>1136</v>
      </c>
      <c r="F421" s="7"/>
      <c r="G421" s="8"/>
      <c r="H421" s="7"/>
      <c r="I421" s="6"/>
      <c r="J421" s="7"/>
      <c r="K421" s="8"/>
      <c r="L421" s="7"/>
      <c r="M421" s="8"/>
      <c r="N421" s="7"/>
      <c r="O421" s="8"/>
      <c r="P421" s="7"/>
      <c r="Q421" s="7"/>
      <c r="R421" s="8"/>
      <c r="S421" s="7"/>
      <c r="T421" s="9"/>
      <c r="U421" s="7"/>
      <c r="V421" s="8"/>
      <c r="W421" s="7"/>
      <c r="X421" s="7"/>
      <c r="Y421" s="8"/>
      <c r="Z421" s="7"/>
      <c r="AA421" s="8"/>
    </row>
    <row r="422" spans="4:27" ht="14.25" thickTop="1" thickBot="1" x14ac:dyDescent="0.25">
      <c r="D422" s="190"/>
      <c r="E422" s="72" t="s">
        <v>1476</v>
      </c>
      <c r="F422" s="7"/>
      <c r="G422" s="8"/>
      <c r="H422" s="7"/>
      <c r="I422" s="6"/>
      <c r="J422" s="7"/>
      <c r="K422" s="8"/>
      <c r="L422" s="7"/>
      <c r="M422" s="8"/>
      <c r="N422" s="7"/>
      <c r="O422" s="8"/>
      <c r="P422" s="7"/>
      <c r="Q422" s="7"/>
      <c r="R422" s="8"/>
      <c r="S422" s="7"/>
      <c r="T422" s="9"/>
      <c r="U422" s="7"/>
      <c r="V422" s="8"/>
      <c r="W422" s="7"/>
      <c r="X422" s="7"/>
      <c r="Y422" s="8"/>
      <c r="Z422" s="7"/>
      <c r="AA422" s="8"/>
    </row>
    <row r="423" spans="4:27" ht="14.25" thickTop="1" thickBot="1" x14ac:dyDescent="0.25">
      <c r="D423" s="190"/>
      <c r="E423" s="72" t="s">
        <v>1272</v>
      </c>
      <c r="F423" s="7"/>
      <c r="G423" s="8"/>
      <c r="H423" s="7"/>
      <c r="I423" s="6"/>
      <c r="J423" s="7"/>
      <c r="K423" s="8"/>
      <c r="L423" s="7"/>
      <c r="M423" s="8"/>
      <c r="N423" s="7"/>
      <c r="O423" s="8"/>
      <c r="P423" s="7"/>
      <c r="Q423" s="7"/>
      <c r="R423" s="8"/>
      <c r="S423" s="7"/>
      <c r="T423" s="9"/>
      <c r="U423" s="7"/>
      <c r="V423" s="8"/>
      <c r="W423" s="7"/>
      <c r="X423" s="7"/>
      <c r="Y423" s="8"/>
      <c r="Z423" s="7"/>
      <c r="AA423" s="8"/>
    </row>
    <row r="424" spans="4:27" ht="14.25" thickTop="1" thickBot="1" x14ac:dyDescent="0.25">
      <c r="D424" s="190"/>
      <c r="E424" s="72" t="s">
        <v>320</v>
      </c>
      <c r="F424" s="7"/>
      <c r="G424" s="8"/>
      <c r="H424" s="7"/>
      <c r="I424" s="6"/>
      <c r="J424" s="7"/>
      <c r="K424" s="8"/>
      <c r="L424" s="7"/>
      <c r="M424" s="8"/>
      <c r="N424" s="7"/>
      <c r="O424" s="8"/>
      <c r="P424" s="7"/>
      <c r="Q424" s="7"/>
      <c r="R424" s="8"/>
      <c r="S424" s="7"/>
      <c r="T424" s="9"/>
      <c r="U424" s="7"/>
      <c r="V424" s="8"/>
      <c r="W424" s="7"/>
      <c r="X424" s="7"/>
      <c r="Y424" s="8"/>
      <c r="Z424" s="7"/>
      <c r="AA424" s="8"/>
    </row>
    <row r="425" spans="4:27" ht="14.25" thickTop="1" thickBot="1" x14ac:dyDescent="0.25">
      <c r="D425" s="190"/>
      <c r="E425" s="72" t="s">
        <v>1297</v>
      </c>
      <c r="F425" s="7"/>
      <c r="G425" s="8"/>
      <c r="H425" s="7"/>
      <c r="I425" s="6"/>
      <c r="J425" s="7"/>
      <c r="K425" s="8"/>
      <c r="L425" s="7"/>
      <c r="M425" s="8"/>
      <c r="N425" s="7"/>
      <c r="O425" s="8"/>
      <c r="P425" s="7"/>
      <c r="Q425" s="7"/>
      <c r="R425" s="8"/>
      <c r="S425" s="7"/>
      <c r="T425" s="9"/>
      <c r="U425" s="7"/>
      <c r="V425" s="8"/>
      <c r="W425" s="7"/>
      <c r="X425" s="7"/>
      <c r="Y425" s="8"/>
      <c r="Z425" s="7"/>
      <c r="AA425" s="8"/>
    </row>
    <row r="426" spans="4:27" ht="14.25" thickTop="1" thickBot="1" x14ac:dyDescent="0.25">
      <c r="D426" s="190"/>
      <c r="E426" s="72" t="s">
        <v>941</v>
      </c>
      <c r="F426" s="7"/>
      <c r="G426" s="8"/>
      <c r="H426" s="7"/>
      <c r="I426" s="6"/>
      <c r="J426" s="7"/>
      <c r="K426" s="8"/>
      <c r="L426" s="7"/>
      <c r="M426" s="8"/>
      <c r="N426" s="7"/>
      <c r="O426" s="8"/>
      <c r="P426" s="7"/>
      <c r="Q426" s="7"/>
      <c r="R426" s="8"/>
      <c r="S426" s="7"/>
      <c r="T426" s="9"/>
      <c r="U426" s="7"/>
      <c r="V426" s="8"/>
      <c r="W426" s="7"/>
      <c r="X426" s="7"/>
      <c r="Y426" s="8"/>
      <c r="Z426" s="7"/>
      <c r="AA426" s="8"/>
    </row>
    <row r="427" spans="4:27" ht="14.25" thickTop="1" thickBot="1" x14ac:dyDescent="0.25">
      <c r="D427" s="190"/>
      <c r="E427" s="72" t="s">
        <v>361</v>
      </c>
      <c r="F427" s="7"/>
      <c r="G427" s="8"/>
      <c r="H427" s="7"/>
      <c r="I427" s="6"/>
      <c r="J427" s="7"/>
      <c r="K427" s="8"/>
      <c r="L427" s="7"/>
      <c r="M427" s="8"/>
      <c r="N427" s="7"/>
      <c r="O427" s="8"/>
      <c r="P427" s="7"/>
      <c r="Q427" s="7"/>
      <c r="R427" s="8"/>
      <c r="S427" s="7"/>
      <c r="T427" s="9"/>
      <c r="U427" s="7"/>
      <c r="V427" s="8"/>
      <c r="W427" s="7"/>
      <c r="X427" s="7"/>
      <c r="Y427" s="8"/>
      <c r="Z427" s="7"/>
      <c r="AA427" s="8"/>
    </row>
    <row r="428" spans="4:27" ht="14.25" thickTop="1" thickBot="1" x14ac:dyDescent="0.25">
      <c r="D428" s="190"/>
      <c r="E428" s="72" t="s">
        <v>362</v>
      </c>
      <c r="F428" s="7"/>
      <c r="G428" s="8"/>
      <c r="H428" s="7"/>
      <c r="I428" s="6"/>
      <c r="J428" s="7"/>
      <c r="K428" s="8"/>
      <c r="L428" s="7"/>
      <c r="M428" s="8"/>
      <c r="N428" s="7"/>
      <c r="O428" s="8"/>
      <c r="P428" s="7"/>
      <c r="Q428" s="7"/>
      <c r="R428" s="8"/>
      <c r="S428" s="7"/>
      <c r="T428" s="9"/>
      <c r="U428" s="7"/>
      <c r="V428" s="8"/>
      <c r="W428" s="7"/>
      <c r="X428" s="7"/>
      <c r="Y428" s="8"/>
      <c r="Z428" s="7"/>
      <c r="AA428" s="8"/>
    </row>
    <row r="429" spans="4:27" ht="14.25" thickTop="1" thickBot="1" x14ac:dyDescent="0.25">
      <c r="D429" s="190"/>
      <c r="E429" s="72" t="s">
        <v>1310</v>
      </c>
      <c r="F429" s="7"/>
      <c r="G429" s="8"/>
      <c r="H429" s="7"/>
      <c r="I429" s="6"/>
      <c r="J429" s="7"/>
      <c r="K429" s="8"/>
      <c r="L429" s="7"/>
      <c r="M429" s="8"/>
      <c r="N429" s="7"/>
      <c r="O429" s="8"/>
      <c r="P429" s="7"/>
      <c r="Q429" s="7"/>
      <c r="R429" s="8"/>
      <c r="S429" s="7"/>
      <c r="T429" s="9"/>
      <c r="U429" s="7"/>
      <c r="V429" s="8"/>
      <c r="W429" s="7"/>
      <c r="X429" s="7"/>
      <c r="Y429" s="8"/>
      <c r="Z429" s="7"/>
      <c r="AA429" s="8"/>
    </row>
    <row r="430" spans="4:27" ht="14.25" thickTop="1" thickBot="1" x14ac:dyDescent="0.25">
      <c r="D430" s="190"/>
      <c r="E430" s="72" t="s">
        <v>1243</v>
      </c>
      <c r="F430" s="7"/>
      <c r="G430" s="8"/>
      <c r="H430" s="7"/>
      <c r="I430" s="6"/>
      <c r="J430" s="7"/>
      <c r="K430" s="8"/>
      <c r="L430" s="7"/>
      <c r="M430" s="8"/>
      <c r="N430" s="7"/>
      <c r="O430" s="8"/>
      <c r="P430" s="7"/>
      <c r="Q430" s="7"/>
      <c r="R430" s="8"/>
      <c r="S430" s="7"/>
      <c r="T430" s="9"/>
      <c r="U430" s="7"/>
      <c r="V430" s="8"/>
      <c r="W430" s="7"/>
      <c r="X430" s="7"/>
      <c r="Y430" s="8"/>
      <c r="Z430" s="7"/>
      <c r="AA430" s="8"/>
    </row>
    <row r="431" spans="4:27" ht="14.25" thickTop="1" thickBot="1" x14ac:dyDescent="0.25">
      <c r="D431" s="190"/>
      <c r="E431" s="72" t="s">
        <v>1296</v>
      </c>
      <c r="F431" s="7"/>
      <c r="G431" s="8"/>
      <c r="H431" s="7"/>
      <c r="I431" s="6"/>
      <c r="J431" s="7"/>
      <c r="K431" s="8"/>
      <c r="L431" s="7"/>
      <c r="M431" s="8"/>
      <c r="N431" s="7"/>
      <c r="O431" s="8"/>
      <c r="P431" s="7"/>
      <c r="Q431" s="7"/>
      <c r="R431" s="8"/>
      <c r="S431" s="7"/>
      <c r="T431" s="9"/>
      <c r="U431" s="7"/>
      <c r="V431" s="8"/>
      <c r="W431" s="7"/>
      <c r="X431" s="7"/>
      <c r="Y431" s="8"/>
      <c r="Z431" s="7"/>
      <c r="AA431" s="8"/>
    </row>
    <row r="432" spans="4:27" ht="14.25" thickTop="1" thickBot="1" x14ac:dyDescent="0.25">
      <c r="D432" s="190"/>
      <c r="E432" s="72" t="s">
        <v>383</v>
      </c>
      <c r="F432" s="7"/>
      <c r="G432" s="8"/>
      <c r="H432" s="7"/>
      <c r="I432" s="6"/>
      <c r="J432" s="7"/>
      <c r="K432" s="8"/>
      <c r="L432" s="7"/>
      <c r="M432" s="8"/>
      <c r="N432" s="7"/>
      <c r="O432" s="8"/>
      <c r="P432" s="7"/>
      <c r="Q432" s="7"/>
      <c r="R432" s="8"/>
      <c r="S432" s="7"/>
      <c r="T432" s="9"/>
      <c r="U432" s="7"/>
      <c r="V432" s="8"/>
      <c r="W432" s="7"/>
      <c r="X432" s="7"/>
      <c r="Y432" s="8"/>
      <c r="Z432" s="7"/>
      <c r="AA432" s="8"/>
    </row>
    <row r="433" spans="4:27" ht="14.25" thickTop="1" thickBot="1" x14ac:dyDescent="0.25">
      <c r="D433" s="190"/>
      <c r="E433" s="72" t="s">
        <v>365</v>
      </c>
      <c r="F433" s="7"/>
      <c r="G433" s="8"/>
      <c r="H433" s="7"/>
      <c r="I433" s="6"/>
      <c r="J433" s="7"/>
      <c r="K433" s="8"/>
      <c r="L433" s="7"/>
      <c r="M433" s="8"/>
      <c r="N433" s="7"/>
      <c r="O433" s="8"/>
      <c r="P433" s="7"/>
      <c r="Q433" s="7"/>
      <c r="R433" s="8"/>
      <c r="S433" s="7"/>
      <c r="T433" s="9"/>
      <c r="U433" s="7"/>
      <c r="V433" s="8"/>
      <c r="W433" s="7"/>
      <c r="X433" s="7"/>
      <c r="Y433" s="8"/>
      <c r="Z433" s="7"/>
      <c r="AA433" s="8"/>
    </row>
    <row r="434" spans="4:27" ht="14.25" thickTop="1" thickBot="1" x14ac:dyDescent="0.25">
      <c r="D434" s="190"/>
      <c r="E434" s="72" t="s">
        <v>366</v>
      </c>
      <c r="F434" s="7"/>
      <c r="G434" s="8"/>
      <c r="H434" s="7"/>
      <c r="I434" s="6"/>
      <c r="J434" s="7"/>
      <c r="K434" s="8"/>
      <c r="L434" s="7"/>
      <c r="M434" s="8"/>
      <c r="N434" s="7"/>
      <c r="O434" s="8"/>
      <c r="P434" s="7"/>
      <c r="Q434" s="7"/>
      <c r="R434" s="8"/>
      <c r="S434" s="7"/>
      <c r="T434" s="9"/>
      <c r="U434" s="7"/>
      <c r="V434" s="8"/>
      <c r="W434" s="7"/>
      <c r="X434" s="7"/>
      <c r="Y434" s="8"/>
      <c r="Z434" s="7"/>
      <c r="AA434" s="8"/>
    </row>
    <row r="435" spans="4:27" ht="14.25" thickTop="1" thickBot="1" x14ac:dyDescent="0.25">
      <c r="D435" s="190"/>
      <c r="E435" s="72" t="s">
        <v>418</v>
      </c>
      <c r="F435" s="7"/>
      <c r="G435" s="8"/>
      <c r="H435" s="7"/>
      <c r="I435" s="6"/>
      <c r="J435" s="7"/>
      <c r="K435" s="8"/>
      <c r="L435" s="7"/>
      <c r="M435" s="8"/>
      <c r="N435" s="7"/>
      <c r="O435" s="8"/>
      <c r="P435" s="7"/>
      <c r="Q435" s="7"/>
      <c r="R435" s="8"/>
      <c r="S435" s="7"/>
      <c r="T435" s="9"/>
      <c r="U435" s="7"/>
      <c r="V435" s="8"/>
      <c r="W435" s="7"/>
      <c r="X435" s="7"/>
      <c r="Y435" s="8"/>
      <c r="Z435" s="7"/>
      <c r="AA435" s="8"/>
    </row>
    <row r="436" spans="4:27" ht="14.25" thickTop="1" thickBot="1" x14ac:dyDescent="0.25">
      <c r="D436" s="190"/>
      <c r="E436" s="72" t="s">
        <v>321</v>
      </c>
      <c r="F436" s="7"/>
      <c r="G436" s="8"/>
      <c r="H436" s="7"/>
      <c r="I436" s="6"/>
      <c r="J436" s="7"/>
      <c r="K436" s="8"/>
      <c r="L436" s="7"/>
      <c r="M436" s="8"/>
      <c r="N436" s="7"/>
      <c r="O436" s="8"/>
      <c r="P436" s="7"/>
      <c r="Q436" s="7"/>
      <c r="R436" s="8"/>
      <c r="S436" s="7"/>
      <c r="T436" s="9"/>
      <c r="U436" s="7"/>
      <c r="V436" s="8"/>
      <c r="W436" s="7"/>
      <c r="X436" s="7"/>
      <c r="Y436" s="8"/>
      <c r="Z436" s="7"/>
      <c r="AA436" s="8"/>
    </row>
    <row r="437" spans="4:27" ht="14.25" thickTop="1" thickBot="1" x14ac:dyDescent="0.25">
      <c r="D437" s="190"/>
      <c r="E437" s="72" t="s">
        <v>322</v>
      </c>
      <c r="F437" s="7"/>
      <c r="G437" s="8"/>
      <c r="H437" s="7"/>
      <c r="I437" s="6"/>
      <c r="J437" s="7"/>
      <c r="K437" s="8"/>
      <c r="L437" s="7"/>
      <c r="M437" s="8"/>
      <c r="N437" s="7"/>
      <c r="O437" s="8"/>
      <c r="P437" s="7"/>
      <c r="Q437" s="7"/>
      <c r="R437" s="8"/>
      <c r="S437" s="7"/>
      <c r="T437" s="9"/>
      <c r="U437" s="7"/>
      <c r="V437" s="8"/>
      <c r="W437" s="7"/>
      <c r="X437" s="7"/>
      <c r="Y437" s="8"/>
      <c r="Z437" s="7"/>
      <c r="AA437" s="8"/>
    </row>
    <row r="438" spans="4:27" ht="14.25" thickTop="1" thickBot="1" x14ac:dyDescent="0.25">
      <c r="D438" s="190"/>
      <c r="E438" s="72" t="s">
        <v>323</v>
      </c>
      <c r="F438" s="7"/>
      <c r="G438" s="8"/>
      <c r="H438" s="7"/>
      <c r="I438" s="6"/>
      <c r="J438" s="7"/>
      <c r="K438" s="8"/>
      <c r="L438" s="7"/>
      <c r="M438" s="8"/>
      <c r="N438" s="7"/>
      <c r="O438" s="8"/>
      <c r="P438" s="7"/>
      <c r="Q438" s="7"/>
      <c r="R438" s="8"/>
      <c r="S438" s="7"/>
      <c r="T438" s="9"/>
      <c r="U438" s="7"/>
      <c r="V438" s="8"/>
      <c r="W438" s="7"/>
      <c r="X438" s="7"/>
      <c r="Y438" s="8"/>
      <c r="Z438" s="7"/>
      <c r="AA438" s="8"/>
    </row>
    <row r="439" spans="4:27" ht="14.25" thickTop="1" thickBot="1" x14ac:dyDescent="0.25">
      <c r="D439" s="190"/>
      <c r="E439" s="72" t="s">
        <v>419</v>
      </c>
      <c r="F439" s="7"/>
      <c r="G439" s="8"/>
      <c r="H439" s="7"/>
      <c r="I439" s="6"/>
      <c r="J439" s="7"/>
      <c r="K439" s="8"/>
      <c r="L439" s="7"/>
      <c r="M439" s="8"/>
      <c r="N439" s="7"/>
      <c r="O439" s="8"/>
      <c r="P439" s="7"/>
      <c r="Q439" s="7"/>
      <c r="R439" s="8"/>
      <c r="S439" s="7"/>
      <c r="T439" s="9"/>
      <c r="U439" s="7"/>
      <c r="V439" s="8"/>
      <c r="W439" s="7"/>
      <c r="X439" s="7"/>
      <c r="Y439" s="8"/>
      <c r="Z439" s="7"/>
      <c r="AA439" s="8"/>
    </row>
    <row r="440" spans="4:27" ht="14.25" thickTop="1" thickBot="1" x14ac:dyDescent="0.25">
      <c r="D440" s="190"/>
      <c r="E440" s="72" t="s">
        <v>384</v>
      </c>
      <c r="F440" s="7"/>
      <c r="G440" s="8"/>
      <c r="H440" s="7"/>
      <c r="I440" s="6"/>
      <c r="J440" s="7"/>
      <c r="K440" s="8"/>
      <c r="L440" s="7"/>
      <c r="M440" s="8"/>
      <c r="N440" s="7"/>
      <c r="O440" s="8"/>
      <c r="P440" s="7"/>
      <c r="Q440" s="7"/>
      <c r="R440" s="8"/>
      <c r="S440" s="7"/>
      <c r="T440" s="9"/>
      <c r="U440" s="7"/>
      <c r="V440" s="8"/>
      <c r="W440" s="7"/>
      <c r="X440" s="7"/>
      <c r="Y440" s="8"/>
      <c r="Z440" s="7"/>
      <c r="AA440" s="8"/>
    </row>
    <row r="441" spans="4:27" ht="14.25" thickTop="1" thickBot="1" x14ac:dyDescent="0.25">
      <c r="D441" s="190"/>
      <c r="E441" s="72" t="s">
        <v>324</v>
      </c>
      <c r="F441" s="7"/>
      <c r="G441" s="8"/>
      <c r="H441" s="7"/>
      <c r="I441" s="6"/>
      <c r="J441" s="7"/>
      <c r="K441" s="8"/>
      <c r="L441" s="7"/>
      <c r="M441" s="8"/>
      <c r="N441" s="7"/>
      <c r="O441" s="8"/>
      <c r="P441" s="7"/>
      <c r="Q441" s="7"/>
      <c r="R441" s="8"/>
      <c r="S441" s="7"/>
      <c r="T441" s="9"/>
      <c r="U441" s="7"/>
      <c r="V441" s="8"/>
      <c r="W441" s="7"/>
      <c r="X441" s="7"/>
      <c r="Y441" s="8"/>
      <c r="Z441" s="7"/>
      <c r="AA441" s="8"/>
    </row>
    <row r="442" spans="4:27" ht="14.25" thickTop="1" thickBot="1" x14ac:dyDescent="0.25">
      <c r="D442" s="190"/>
      <c r="E442" s="72" t="s">
        <v>325</v>
      </c>
      <c r="F442" s="7"/>
      <c r="G442" s="8"/>
      <c r="H442" s="7"/>
      <c r="I442" s="6"/>
      <c r="J442" s="7"/>
      <c r="K442" s="8"/>
      <c r="L442" s="7"/>
      <c r="M442" s="8"/>
      <c r="N442" s="7"/>
      <c r="O442" s="8"/>
      <c r="P442" s="7"/>
      <c r="Q442" s="7"/>
      <c r="R442" s="8"/>
      <c r="S442" s="7"/>
      <c r="T442" s="9"/>
      <c r="U442" s="7"/>
      <c r="V442" s="8"/>
      <c r="W442" s="7"/>
      <c r="X442" s="7"/>
      <c r="Y442" s="8"/>
      <c r="Z442" s="7"/>
      <c r="AA442" s="8"/>
    </row>
    <row r="443" spans="4:27" ht="14.25" thickTop="1" thickBot="1" x14ac:dyDescent="0.25">
      <c r="D443" s="190"/>
      <c r="E443" s="72" t="s">
        <v>420</v>
      </c>
      <c r="F443" s="7"/>
      <c r="G443" s="8"/>
      <c r="H443" s="7"/>
      <c r="I443" s="6"/>
      <c r="J443" s="7"/>
      <c r="K443" s="8"/>
      <c r="L443" s="7"/>
      <c r="M443" s="8"/>
      <c r="N443" s="7"/>
      <c r="O443" s="8"/>
      <c r="P443" s="7"/>
      <c r="Q443" s="7"/>
      <c r="R443" s="8"/>
      <c r="S443" s="7"/>
      <c r="T443" s="9"/>
      <c r="U443" s="7"/>
      <c r="V443" s="8"/>
      <c r="W443" s="7"/>
      <c r="X443" s="7"/>
      <c r="Y443" s="8"/>
      <c r="Z443" s="7"/>
      <c r="AA443" s="8"/>
    </row>
    <row r="444" spans="4:27" ht="14.25" thickTop="1" thickBot="1" x14ac:dyDescent="0.25">
      <c r="D444" s="190"/>
      <c r="E444" s="72" t="s">
        <v>1204</v>
      </c>
      <c r="F444" s="7"/>
      <c r="G444" s="8"/>
      <c r="H444" s="7"/>
      <c r="I444" s="6"/>
      <c r="J444" s="7"/>
      <c r="K444" s="8"/>
      <c r="L444" s="7"/>
      <c r="M444" s="8"/>
      <c r="N444" s="7"/>
      <c r="O444" s="8"/>
      <c r="P444" s="7"/>
      <c r="Q444" s="7"/>
      <c r="R444" s="8"/>
      <c r="S444" s="7"/>
      <c r="T444" s="9"/>
      <c r="U444" s="7"/>
      <c r="V444" s="8"/>
      <c r="W444" s="7"/>
      <c r="X444" s="7"/>
      <c r="Y444" s="8"/>
      <c r="Z444" s="7"/>
      <c r="AA444" s="8"/>
    </row>
    <row r="445" spans="4:27" ht="14.25" thickTop="1" thickBot="1" x14ac:dyDescent="0.25">
      <c r="D445" s="190"/>
      <c r="E445" s="72" t="s">
        <v>385</v>
      </c>
      <c r="F445" s="7"/>
      <c r="G445" s="8"/>
      <c r="H445" s="7"/>
      <c r="I445" s="6"/>
      <c r="J445" s="7"/>
      <c r="K445" s="8"/>
      <c r="L445" s="7"/>
      <c r="M445" s="8"/>
      <c r="N445" s="7"/>
      <c r="O445" s="8"/>
      <c r="P445" s="7"/>
      <c r="Q445" s="7"/>
      <c r="R445" s="8"/>
      <c r="S445" s="7"/>
      <c r="T445" s="9"/>
      <c r="U445" s="7"/>
      <c r="V445" s="8"/>
      <c r="W445" s="7"/>
      <c r="X445" s="7"/>
      <c r="Y445" s="8"/>
      <c r="Z445" s="7"/>
      <c r="AA445" s="8"/>
    </row>
    <row r="446" spans="4:27" ht="14.25" thickTop="1" thickBot="1" x14ac:dyDescent="0.25">
      <c r="D446" s="190"/>
      <c r="E446" s="72" t="s">
        <v>421</v>
      </c>
      <c r="F446" s="7"/>
      <c r="G446" s="8"/>
      <c r="H446" s="7"/>
      <c r="I446" s="6"/>
      <c r="J446" s="7"/>
      <c r="K446" s="8"/>
      <c r="L446" s="7"/>
      <c r="M446" s="8"/>
      <c r="N446" s="7"/>
      <c r="O446" s="8"/>
      <c r="P446" s="7"/>
      <c r="Q446" s="7"/>
      <c r="R446" s="8"/>
      <c r="S446" s="7"/>
      <c r="T446" s="9"/>
      <c r="U446" s="7"/>
      <c r="V446" s="8"/>
      <c r="W446" s="7"/>
      <c r="X446" s="7"/>
      <c r="Y446" s="8"/>
      <c r="Z446" s="7"/>
      <c r="AA446" s="8"/>
    </row>
    <row r="447" spans="4:27" ht="14.25" thickTop="1" thickBot="1" x14ac:dyDescent="0.25">
      <c r="D447" s="190"/>
      <c r="E447" s="72" t="s">
        <v>327</v>
      </c>
      <c r="F447" s="7"/>
      <c r="G447" s="8"/>
      <c r="H447" s="7"/>
      <c r="I447" s="6"/>
      <c r="J447" s="7"/>
      <c r="K447" s="8"/>
      <c r="L447" s="7"/>
      <c r="M447" s="8"/>
      <c r="N447" s="7"/>
      <c r="O447" s="8"/>
      <c r="P447" s="7"/>
      <c r="Q447" s="7"/>
      <c r="R447" s="8"/>
      <c r="S447" s="7"/>
      <c r="T447" s="9"/>
      <c r="U447" s="7"/>
      <c r="V447" s="8"/>
      <c r="W447" s="7"/>
      <c r="X447" s="7"/>
      <c r="Y447" s="8"/>
      <c r="Z447" s="7"/>
      <c r="AA447" s="8"/>
    </row>
    <row r="448" spans="4:27" ht="14.25" thickTop="1" thickBot="1" x14ac:dyDescent="0.25">
      <c r="D448" s="190"/>
      <c r="E448" s="72" t="s">
        <v>422</v>
      </c>
      <c r="F448" s="7"/>
      <c r="G448" s="8"/>
      <c r="H448" s="7"/>
      <c r="I448" s="6"/>
      <c r="J448" s="7"/>
      <c r="K448" s="8"/>
      <c r="L448" s="7"/>
      <c r="M448" s="8"/>
      <c r="N448" s="7"/>
      <c r="O448" s="8"/>
      <c r="P448" s="7"/>
      <c r="Q448" s="7"/>
      <c r="R448" s="8"/>
      <c r="S448" s="7"/>
      <c r="T448" s="9"/>
      <c r="U448" s="7"/>
      <c r="V448" s="8"/>
      <c r="W448" s="7"/>
      <c r="X448" s="7"/>
      <c r="Y448" s="8"/>
      <c r="Z448" s="7"/>
      <c r="AA448" s="8"/>
    </row>
    <row r="449" spans="4:27" ht="14.25" thickTop="1" thickBot="1" x14ac:dyDescent="0.25">
      <c r="D449" s="190"/>
      <c r="E449" s="72" t="s">
        <v>423</v>
      </c>
      <c r="F449" s="7"/>
      <c r="G449" s="8"/>
      <c r="H449" s="7"/>
      <c r="I449" s="6"/>
      <c r="J449" s="7"/>
      <c r="K449" s="8"/>
      <c r="L449" s="7"/>
      <c r="M449" s="8"/>
      <c r="N449" s="7"/>
      <c r="O449" s="8"/>
      <c r="P449" s="7"/>
      <c r="Q449" s="7"/>
      <c r="R449" s="8"/>
      <c r="S449" s="7"/>
      <c r="T449" s="9"/>
      <c r="U449" s="7"/>
      <c r="V449" s="8"/>
      <c r="W449" s="7"/>
      <c r="X449" s="7"/>
      <c r="Y449" s="8"/>
      <c r="Z449" s="7"/>
      <c r="AA449" s="8"/>
    </row>
    <row r="450" spans="4:27" ht="14.25" thickTop="1" thickBot="1" x14ac:dyDescent="0.25">
      <c r="D450" s="190"/>
      <c r="E450" s="72" t="s">
        <v>328</v>
      </c>
      <c r="F450" s="7"/>
      <c r="G450" s="8"/>
      <c r="H450" s="7"/>
      <c r="I450" s="6"/>
      <c r="J450" s="7"/>
      <c r="K450" s="8"/>
      <c r="L450" s="7"/>
      <c r="M450" s="8"/>
      <c r="N450" s="7"/>
      <c r="O450" s="8"/>
      <c r="P450" s="7"/>
      <c r="Q450" s="7"/>
      <c r="R450" s="8"/>
      <c r="S450" s="7"/>
      <c r="T450" s="9"/>
      <c r="U450" s="7"/>
      <c r="V450" s="8"/>
      <c r="W450" s="7"/>
      <c r="X450" s="7"/>
      <c r="Y450" s="8"/>
      <c r="Z450" s="7"/>
      <c r="AA450" s="8"/>
    </row>
    <row r="451" spans="4:27" ht="14.25" thickTop="1" thickBot="1" x14ac:dyDescent="0.25">
      <c r="D451" s="190"/>
      <c r="E451" s="72" t="s">
        <v>424</v>
      </c>
      <c r="F451" s="7"/>
      <c r="G451" s="8"/>
      <c r="H451" s="7"/>
      <c r="I451" s="6"/>
      <c r="J451" s="7"/>
      <c r="K451" s="8"/>
      <c r="L451" s="7"/>
      <c r="M451" s="8"/>
      <c r="N451" s="7"/>
      <c r="O451" s="8"/>
      <c r="P451" s="7"/>
      <c r="Q451" s="7"/>
      <c r="R451" s="8"/>
      <c r="S451" s="7"/>
      <c r="T451" s="9"/>
      <c r="U451" s="7"/>
      <c r="V451" s="8"/>
      <c r="W451" s="7"/>
      <c r="X451" s="7"/>
      <c r="Y451" s="8"/>
      <c r="Z451" s="7"/>
      <c r="AA451" s="8"/>
    </row>
    <row r="452" spans="4:27" ht="14.25" thickTop="1" thickBot="1" x14ac:dyDescent="0.25">
      <c r="D452" s="190"/>
      <c r="E452" s="72" t="s">
        <v>425</v>
      </c>
      <c r="F452" s="7"/>
      <c r="G452" s="8"/>
      <c r="H452" s="7"/>
      <c r="I452" s="6"/>
      <c r="J452" s="7"/>
      <c r="K452" s="8"/>
      <c r="L452" s="7"/>
      <c r="M452" s="8"/>
      <c r="N452" s="7"/>
      <c r="O452" s="8"/>
      <c r="P452" s="7"/>
      <c r="Q452" s="7"/>
      <c r="R452" s="8"/>
      <c r="S452" s="7"/>
      <c r="T452" s="9"/>
      <c r="U452" s="7"/>
      <c r="V452" s="8"/>
      <c r="W452" s="7"/>
      <c r="X452" s="7"/>
      <c r="Y452" s="8"/>
      <c r="Z452" s="7"/>
      <c r="AA452" s="8"/>
    </row>
    <row r="453" spans="4:27" ht="14.25" thickTop="1" thickBot="1" x14ac:dyDescent="0.25">
      <c r="D453" s="190"/>
      <c r="E453" s="72" t="s">
        <v>1217</v>
      </c>
      <c r="F453" s="7"/>
      <c r="G453" s="8"/>
      <c r="H453" s="7"/>
      <c r="I453" s="6"/>
      <c r="J453" s="7"/>
      <c r="K453" s="8"/>
      <c r="L453" s="7"/>
      <c r="M453" s="8"/>
      <c r="N453" s="7"/>
      <c r="O453" s="8"/>
      <c r="P453" s="7"/>
      <c r="Q453" s="7"/>
      <c r="R453" s="8"/>
      <c r="S453" s="7"/>
      <c r="T453" s="9"/>
      <c r="U453" s="7"/>
      <c r="V453" s="8"/>
      <c r="W453" s="7"/>
      <c r="X453" s="7"/>
      <c r="Y453" s="8"/>
      <c r="Z453" s="7"/>
      <c r="AA453" s="8"/>
    </row>
    <row r="454" spans="4:27" ht="14.25" thickTop="1" thickBot="1" x14ac:dyDescent="0.25">
      <c r="D454" s="190"/>
      <c r="E454" s="72" t="s">
        <v>367</v>
      </c>
      <c r="F454" s="7"/>
      <c r="G454" s="8"/>
      <c r="H454" s="7"/>
      <c r="I454" s="6"/>
      <c r="J454" s="7"/>
      <c r="K454" s="8"/>
      <c r="L454" s="7"/>
      <c r="M454" s="8"/>
      <c r="N454" s="7"/>
      <c r="O454" s="8"/>
      <c r="P454" s="7"/>
      <c r="Q454" s="7"/>
      <c r="R454" s="8"/>
      <c r="S454" s="7"/>
      <c r="T454" s="9"/>
      <c r="U454" s="7"/>
      <c r="V454" s="8"/>
      <c r="W454" s="7"/>
      <c r="X454" s="7"/>
      <c r="Y454" s="8"/>
      <c r="Z454" s="7"/>
      <c r="AA454" s="8"/>
    </row>
    <row r="455" spans="4:27" ht="14.25" thickTop="1" thickBot="1" x14ac:dyDescent="0.25">
      <c r="D455" s="190"/>
      <c r="E455" s="72" t="s">
        <v>1477</v>
      </c>
      <c r="F455" s="7"/>
      <c r="G455" s="8"/>
      <c r="H455" s="7"/>
      <c r="I455" s="6"/>
      <c r="J455" s="7"/>
      <c r="K455" s="8"/>
      <c r="L455" s="7"/>
      <c r="M455" s="8"/>
      <c r="N455" s="7"/>
      <c r="O455" s="8"/>
      <c r="P455" s="7"/>
      <c r="Q455" s="7"/>
      <c r="R455" s="8"/>
      <c r="S455" s="7"/>
      <c r="T455" s="9"/>
      <c r="U455" s="7"/>
      <c r="V455" s="8"/>
      <c r="W455" s="7"/>
      <c r="X455" s="7"/>
      <c r="Y455" s="8"/>
      <c r="Z455" s="7"/>
      <c r="AA455" s="8"/>
    </row>
    <row r="456" spans="4:27" ht="14.25" thickTop="1" thickBot="1" x14ac:dyDescent="0.25">
      <c r="D456" s="190"/>
      <c r="E456" s="72" t="s">
        <v>369</v>
      </c>
      <c r="F456" s="7"/>
      <c r="G456" s="8"/>
      <c r="H456" s="7"/>
      <c r="I456" s="6"/>
      <c r="J456" s="7"/>
      <c r="K456" s="8"/>
      <c r="L456" s="7"/>
      <c r="M456" s="8"/>
      <c r="N456" s="7"/>
      <c r="O456" s="8"/>
      <c r="P456" s="7"/>
      <c r="Q456" s="7"/>
      <c r="R456" s="8"/>
      <c r="S456" s="7"/>
      <c r="T456" s="9"/>
      <c r="U456" s="7"/>
      <c r="V456" s="8"/>
      <c r="W456" s="7"/>
      <c r="X456" s="7"/>
      <c r="Y456" s="8"/>
      <c r="Z456" s="7"/>
      <c r="AA456" s="8"/>
    </row>
    <row r="457" spans="4:27" ht="14.25" thickTop="1" thickBot="1" x14ac:dyDescent="0.25">
      <c r="D457" s="190"/>
      <c r="E457" s="72" t="s">
        <v>1209</v>
      </c>
      <c r="F457" s="7"/>
      <c r="G457" s="8"/>
      <c r="H457" s="7"/>
      <c r="I457" s="6"/>
      <c r="J457" s="7"/>
      <c r="K457" s="8"/>
      <c r="L457" s="7"/>
      <c r="M457" s="8"/>
      <c r="N457" s="7"/>
      <c r="O457" s="8"/>
      <c r="P457" s="7"/>
      <c r="Q457" s="7"/>
      <c r="R457" s="8"/>
      <c r="S457" s="7"/>
      <c r="T457" s="9"/>
      <c r="U457" s="7"/>
      <c r="V457" s="8"/>
      <c r="W457" s="7"/>
      <c r="X457" s="7"/>
      <c r="Y457" s="8"/>
      <c r="Z457" s="7"/>
      <c r="AA457" s="8"/>
    </row>
    <row r="458" spans="4:27" ht="14.25" thickTop="1" thickBot="1" x14ac:dyDescent="0.25">
      <c r="D458" s="190"/>
      <c r="F458" s="7"/>
      <c r="G458" s="8"/>
      <c r="H458" s="7"/>
      <c r="I458" s="6"/>
      <c r="J458" s="7"/>
      <c r="K458" s="8"/>
      <c r="L458" s="7"/>
      <c r="M458" s="8"/>
      <c r="N458" s="7"/>
      <c r="O458" s="8"/>
      <c r="P458" s="7"/>
      <c r="Q458" s="7"/>
      <c r="R458" s="8"/>
      <c r="S458" s="7"/>
      <c r="T458" s="9"/>
      <c r="U458" s="7"/>
      <c r="V458" s="8"/>
      <c r="W458" s="7"/>
      <c r="X458" s="7"/>
      <c r="Y458" s="8"/>
      <c r="Z458" s="7"/>
      <c r="AA458" s="8"/>
    </row>
    <row r="459" spans="4:27" ht="14.25" thickTop="1" thickBot="1" x14ac:dyDescent="0.25">
      <c r="D459" s="190"/>
      <c r="F459" s="7"/>
      <c r="G459" s="8"/>
      <c r="H459" s="7"/>
      <c r="I459" s="6"/>
      <c r="J459" s="7"/>
      <c r="K459" s="8"/>
      <c r="L459" s="7"/>
      <c r="M459" s="8"/>
      <c r="N459" s="7"/>
      <c r="O459" s="8"/>
      <c r="P459" s="7"/>
      <c r="Q459" s="7"/>
      <c r="R459" s="8"/>
      <c r="S459" s="7"/>
      <c r="T459" s="9"/>
      <c r="U459" s="7"/>
      <c r="V459" s="8"/>
      <c r="W459" s="7"/>
      <c r="X459" s="7"/>
      <c r="Y459" s="8"/>
      <c r="Z459" s="7"/>
      <c r="AA459" s="8"/>
    </row>
    <row r="460" spans="4:27" ht="14.25" thickTop="1" thickBot="1" x14ac:dyDescent="0.25">
      <c r="D460" s="190"/>
      <c r="F460" s="7"/>
      <c r="G460" s="8"/>
      <c r="H460" s="7"/>
      <c r="I460" s="6"/>
      <c r="J460" s="7"/>
      <c r="K460" s="8"/>
      <c r="L460" s="7"/>
      <c r="M460" s="8"/>
      <c r="N460" s="7"/>
      <c r="O460" s="8"/>
      <c r="P460" s="7"/>
      <c r="Q460" s="7"/>
      <c r="R460" s="8"/>
      <c r="S460" s="7"/>
      <c r="T460" s="9"/>
      <c r="U460" s="7"/>
      <c r="V460" s="8"/>
      <c r="W460" s="7"/>
      <c r="X460" s="7"/>
      <c r="Y460" s="8"/>
      <c r="Z460" s="7"/>
      <c r="AA460" s="8"/>
    </row>
    <row r="461" spans="4:27" ht="14.25" thickTop="1" thickBot="1" x14ac:dyDescent="0.25">
      <c r="D461" s="190"/>
      <c r="F461" s="7"/>
      <c r="G461" s="8"/>
      <c r="H461" s="7"/>
      <c r="I461" s="6"/>
      <c r="J461" s="7"/>
      <c r="K461" s="8"/>
      <c r="L461" s="7"/>
      <c r="M461" s="8"/>
      <c r="N461" s="7"/>
      <c r="O461" s="8"/>
      <c r="P461" s="7"/>
      <c r="Q461" s="7"/>
      <c r="R461" s="8"/>
      <c r="S461" s="7"/>
      <c r="T461" s="9"/>
      <c r="U461" s="7"/>
      <c r="V461" s="8"/>
      <c r="W461" s="7"/>
      <c r="X461" s="7"/>
      <c r="Y461" s="8"/>
      <c r="Z461" s="7"/>
      <c r="AA461" s="8"/>
    </row>
    <row r="462" spans="4:27" ht="14.25" thickTop="1" thickBot="1" x14ac:dyDescent="0.25">
      <c r="D462" s="190"/>
      <c r="F462" s="7"/>
      <c r="G462" s="8"/>
      <c r="H462" s="7"/>
      <c r="I462" s="6"/>
      <c r="J462" s="7"/>
      <c r="K462" s="8"/>
      <c r="L462" s="7"/>
      <c r="M462" s="8"/>
      <c r="N462" s="7"/>
      <c r="O462" s="8"/>
      <c r="P462" s="7"/>
      <c r="Q462" s="7"/>
      <c r="R462" s="8"/>
      <c r="S462" s="7"/>
      <c r="T462" s="9"/>
      <c r="U462" s="7"/>
      <c r="V462" s="8"/>
      <c r="W462" s="7"/>
      <c r="X462" s="7"/>
      <c r="Y462" s="8"/>
      <c r="Z462" s="7"/>
      <c r="AA462" s="8"/>
    </row>
    <row r="463" spans="4:27" ht="14.25" thickTop="1" thickBot="1" x14ac:dyDescent="0.25">
      <c r="D463" s="190"/>
      <c r="F463" s="7"/>
      <c r="G463" s="8"/>
      <c r="H463" s="7"/>
      <c r="I463" s="6"/>
      <c r="J463" s="7"/>
      <c r="K463" s="8"/>
      <c r="L463" s="7"/>
      <c r="M463" s="8"/>
      <c r="N463" s="7"/>
      <c r="O463" s="8"/>
      <c r="P463" s="7"/>
      <c r="Q463" s="7"/>
      <c r="R463" s="8"/>
      <c r="S463" s="7"/>
      <c r="T463" s="9"/>
      <c r="U463" s="7"/>
      <c r="V463" s="8"/>
      <c r="W463" s="7"/>
      <c r="X463" s="7"/>
      <c r="Y463" s="8"/>
      <c r="Z463" s="7"/>
      <c r="AA463" s="8"/>
    </row>
    <row r="464" spans="4:27" ht="14.25" thickTop="1" thickBot="1" x14ac:dyDescent="0.25">
      <c r="D464" s="190"/>
      <c r="F464" s="7"/>
      <c r="G464" s="8"/>
      <c r="H464" s="7"/>
      <c r="I464" s="6"/>
      <c r="J464" s="7"/>
      <c r="K464" s="8"/>
      <c r="L464" s="7"/>
      <c r="M464" s="8"/>
      <c r="N464" s="7"/>
      <c r="O464" s="8"/>
      <c r="P464" s="7"/>
      <c r="Q464" s="7"/>
      <c r="R464" s="8"/>
      <c r="S464" s="7"/>
      <c r="T464" s="9"/>
      <c r="U464" s="7"/>
      <c r="V464" s="8"/>
      <c r="W464" s="7"/>
      <c r="X464" s="7"/>
      <c r="Y464" s="8"/>
      <c r="Z464" s="7"/>
      <c r="AA464" s="8"/>
    </row>
    <row r="465" spans="4:27" ht="14.25" thickTop="1" thickBot="1" x14ac:dyDescent="0.25">
      <c r="D465" s="190"/>
      <c r="F465" s="7"/>
      <c r="G465" s="8"/>
      <c r="H465" s="7"/>
      <c r="I465" s="6"/>
      <c r="J465" s="7"/>
      <c r="K465" s="8"/>
      <c r="L465" s="7"/>
      <c r="M465" s="8"/>
      <c r="N465" s="7"/>
      <c r="O465" s="8"/>
      <c r="P465" s="7"/>
      <c r="Q465" s="7"/>
      <c r="R465" s="8"/>
      <c r="S465" s="7"/>
      <c r="T465" s="9"/>
      <c r="U465" s="7"/>
      <c r="V465" s="8"/>
      <c r="W465" s="7"/>
      <c r="X465" s="7"/>
      <c r="Y465" s="8"/>
      <c r="Z465" s="7"/>
      <c r="AA465" s="8"/>
    </row>
    <row r="466" spans="4:27" ht="14.25" thickTop="1" thickBot="1" x14ac:dyDescent="0.25">
      <c r="D466" s="190"/>
      <c r="F466" s="7"/>
      <c r="G466" s="8"/>
      <c r="H466" s="7"/>
      <c r="I466" s="6"/>
      <c r="J466" s="7"/>
      <c r="K466" s="8"/>
      <c r="L466" s="7"/>
      <c r="M466" s="8"/>
      <c r="N466" s="7"/>
      <c r="O466" s="8"/>
      <c r="P466" s="7"/>
      <c r="Q466" s="7"/>
      <c r="R466" s="8"/>
      <c r="S466" s="7"/>
      <c r="T466" s="9"/>
      <c r="U466" s="7"/>
      <c r="V466" s="8"/>
      <c r="W466" s="7"/>
      <c r="X466" s="7"/>
      <c r="Y466" s="8"/>
      <c r="Z466" s="7"/>
      <c r="AA466" s="8"/>
    </row>
    <row r="467" spans="4:27" ht="14.25" thickTop="1" thickBot="1" x14ac:dyDescent="0.25">
      <c r="D467" s="190"/>
      <c r="F467" s="7"/>
      <c r="G467" s="8"/>
      <c r="H467" s="7"/>
      <c r="I467" s="6"/>
      <c r="J467" s="7"/>
      <c r="K467" s="8"/>
      <c r="L467" s="7"/>
      <c r="M467" s="8"/>
      <c r="N467" s="7"/>
      <c r="O467" s="8"/>
      <c r="P467" s="7"/>
      <c r="Q467" s="7"/>
      <c r="R467" s="8"/>
      <c r="S467" s="7"/>
      <c r="T467" s="9"/>
      <c r="U467" s="7"/>
      <c r="V467" s="8"/>
      <c r="W467" s="7"/>
      <c r="X467" s="7"/>
      <c r="Y467" s="8"/>
      <c r="Z467" s="7"/>
      <c r="AA467" s="8"/>
    </row>
    <row r="468" spans="4:27" ht="14.25" thickTop="1" thickBot="1" x14ac:dyDescent="0.25">
      <c r="D468" s="190"/>
      <c r="F468" s="7"/>
      <c r="G468" s="8"/>
      <c r="H468" s="7"/>
      <c r="I468" s="6"/>
      <c r="J468" s="7"/>
      <c r="K468" s="8"/>
      <c r="L468" s="7"/>
      <c r="M468" s="8"/>
      <c r="N468" s="7"/>
      <c r="O468" s="8"/>
      <c r="P468" s="7"/>
      <c r="Q468" s="7"/>
      <c r="R468" s="8"/>
      <c r="S468" s="7"/>
      <c r="T468" s="9"/>
      <c r="U468" s="7"/>
      <c r="V468" s="8"/>
      <c r="W468" s="7"/>
      <c r="X468" s="7"/>
      <c r="Y468" s="8"/>
      <c r="Z468" s="7"/>
      <c r="AA468" s="8"/>
    </row>
    <row r="469" spans="4:27" ht="14.25" thickTop="1" thickBot="1" x14ac:dyDescent="0.25">
      <c r="D469" s="190"/>
      <c r="F469" s="7"/>
      <c r="G469" s="8"/>
      <c r="H469" s="7"/>
      <c r="I469" s="6"/>
      <c r="J469" s="7"/>
      <c r="K469" s="8"/>
      <c r="L469" s="7"/>
      <c r="M469" s="8"/>
      <c r="N469" s="7"/>
      <c r="O469" s="8"/>
      <c r="P469" s="7"/>
      <c r="Q469" s="7"/>
      <c r="R469" s="8"/>
      <c r="S469" s="7"/>
      <c r="T469" s="9"/>
      <c r="U469" s="7"/>
      <c r="V469" s="8"/>
      <c r="W469" s="7"/>
      <c r="X469" s="7"/>
      <c r="Y469" s="8"/>
      <c r="Z469" s="7"/>
      <c r="AA469" s="8"/>
    </row>
    <row r="470" spans="4:27" ht="14.25" thickTop="1" thickBot="1" x14ac:dyDescent="0.25">
      <c r="D470" s="190"/>
      <c r="F470" s="7"/>
      <c r="G470" s="8"/>
      <c r="H470" s="7"/>
      <c r="I470" s="6"/>
      <c r="J470" s="7"/>
      <c r="K470" s="8"/>
      <c r="L470" s="7"/>
      <c r="M470" s="8"/>
      <c r="N470" s="7"/>
      <c r="O470" s="8"/>
      <c r="P470" s="7"/>
      <c r="Q470" s="7"/>
      <c r="R470" s="8"/>
      <c r="S470" s="7"/>
      <c r="T470" s="9"/>
      <c r="U470" s="7"/>
      <c r="V470" s="8"/>
      <c r="W470" s="7"/>
      <c r="X470" s="7"/>
      <c r="Y470" s="8"/>
      <c r="Z470" s="7"/>
      <c r="AA470" s="8"/>
    </row>
    <row r="471" spans="4:27" ht="14.25" thickTop="1" thickBot="1" x14ac:dyDescent="0.25">
      <c r="D471" s="190"/>
      <c r="F471" s="7"/>
      <c r="G471" s="8"/>
      <c r="H471" s="7"/>
      <c r="I471" s="6"/>
      <c r="J471" s="7"/>
      <c r="K471" s="8"/>
      <c r="L471" s="7"/>
      <c r="M471" s="8"/>
      <c r="N471" s="7"/>
      <c r="O471" s="8"/>
      <c r="P471" s="7"/>
      <c r="Q471" s="7"/>
      <c r="R471" s="8"/>
      <c r="S471" s="7"/>
      <c r="T471" s="9"/>
      <c r="U471" s="7"/>
      <c r="V471" s="8"/>
      <c r="W471" s="7"/>
      <c r="X471" s="7"/>
      <c r="Y471" s="8"/>
      <c r="Z471" s="7"/>
      <c r="AA471" s="8"/>
    </row>
    <row r="472" spans="4:27" ht="14.25" thickTop="1" thickBot="1" x14ac:dyDescent="0.25">
      <c r="D472" s="190"/>
      <c r="F472" s="7"/>
      <c r="G472" s="8"/>
      <c r="H472" s="7"/>
      <c r="I472" s="6"/>
      <c r="J472" s="7"/>
      <c r="K472" s="8"/>
      <c r="L472" s="7"/>
      <c r="M472" s="8"/>
      <c r="N472" s="7"/>
      <c r="O472" s="8"/>
      <c r="P472" s="7"/>
      <c r="Q472" s="7"/>
      <c r="R472" s="8"/>
      <c r="S472" s="7"/>
      <c r="T472" s="9"/>
      <c r="U472" s="7"/>
      <c r="V472" s="8"/>
      <c r="W472" s="7"/>
      <c r="X472" s="7"/>
      <c r="Y472" s="8"/>
      <c r="Z472" s="7"/>
      <c r="AA472" s="8"/>
    </row>
    <row r="473" spans="4:27" ht="14.25" thickTop="1" thickBot="1" x14ac:dyDescent="0.25">
      <c r="D473" s="190"/>
      <c r="F473" s="7"/>
      <c r="G473" s="8"/>
      <c r="H473" s="7"/>
      <c r="I473" s="6"/>
      <c r="J473" s="7"/>
      <c r="K473" s="8"/>
      <c r="L473" s="7"/>
      <c r="M473" s="8"/>
      <c r="N473" s="7"/>
      <c r="O473" s="8"/>
      <c r="P473" s="7"/>
      <c r="Q473" s="7"/>
      <c r="R473" s="8"/>
      <c r="S473" s="7"/>
      <c r="T473" s="9"/>
      <c r="U473" s="7"/>
      <c r="V473" s="8"/>
      <c r="W473" s="7"/>
      <c r="X473" s="7"/>
      <c r="Y473" s="8"/>
      <c r="Z473" s="7"/>
      <c r="AA473" s="8"/>
    </row>
    <row r="474" spans="4:27" ht="14.25" thickTop="1" thickBot="1" x14ac:dyDescent="0.25">
      <c r="D474" s="190"/>
      <c r="F474" s="7"/>
      <c r="G474" s="8"/>
      <c r="H474" s="7"/>
      <c r="I474" s="6"/>
      <c r="J474" s="7"/>
      <c r="K474" s="8"/>
      <c r="L474" s="7"/>
      <c r="M474" s="8"/>
      <c r="N474" s="7"/>
      <c r="O474" s="8"/>
      <c r="P474" s="7"/>
      <c r="Q474" s="7"/>
      <c r="R474" s="8"/>
      <c r="S474" s="7"/>
      <c r="T474" s="9"/>
      <c r="U474" s="7"/>
      <c r="V474" s="8"/>
      <c r="W474" s="7"/>
      <c r="X474" s="7"/>
      <c r="Y474" s="8"/>
      <c r="Z474" s="7"/>
      <c r="AA474" s="8"/>
    </row>
    <row r="475" spans="4:27" ht="14.25" thickTop="1" thickBot="1" x14ac:dyDescent="0.25">
      <c r="D475" s="190"/>
      <c r="F475" s="7"/>
      <c r="G475" s="8"/>
      <c r="H475" s="7"/>
      <c r="I475" s="6"/>
      <c r="J475" s="7"/>
      <c r="K475" s="8"/>
      <c r="L475" s="7"/>
      <c r="M475" s="8"/>
      <c r="N475" s="7"/>
      <c r="O475" s="8"/>
      <c r="P475" s="7"/>
      <c r="Q475" s="7"/>
      <c r="R475" s="8"/>
      <c r="S475" s="7"/>
      <c r="T475" s="9"/>
      <c r="U475" s="7"/>
      <c r="V475" s="8"/>
      <c r="W475" s="7"/>
      <c r="X475" s="7"/>
      <c r="Y475" s="8"/>
      <c r="Z475" s="7"/>
      <c r="AA475" s="8"/>
    </row>
    <row r="476" spans="4:27" ht="14.25" thickTop="1" thickBot="1" x14ac:dyDescent="0.25">
      <c r="D476" s="190"/>
      <c r="F476" s="7"/>
      <c r="G476" s="8"/>
      <c r="H476" s="7"/>
      <c r="I476" s="6"/>
      <c r="J476" s="7"/>
      <c r="K476" s="8"/>
      <c r="L476" s="7"/>
      <c r="M476" s="8"/>
      <c r="N476" s="7"/>
      <c r="O476" s="8"/>
      <c r="P476" s="7"/>
      <c r="Q476" s="7"/>
      <c r="R476" s="8"/>
      <c r="S476" s="7"/>
      <c r="T476" s="9"/>
      <c r="U476" s="7"/>
      <c r="V476" s="8"/>
      <c r="W476" s="7"/>
      <c r="X476" s="7"/>
      <c r="Y476" s="8"/>
      <c r="Z476" s="7"/>
      <c r="AA476" s="8"/>
    </row>
    <row r="477" spans="4:27" ht="14.25" thickTop="1" thickBot="1" x14ac:dyDescent="0.25">
      <c r="D477" s="190"/>
      <c r="F477" s="7"/>
      <c r="G477" s="8"/>
      <c r="H477" s="7"/>
      <c r="I477" s="6"/>
      <c r="J477" s="7"/>
      <c r="K477" s="8"/>
      <c r="L477" s="7"/>
      <c r="M477" s="8"/>
      <c r="N477" s="7"/>
      <c r="O477" s="8"/>
      <c r="P477" s="7"/>
      <c r="Q477" s="7"/>
      <c r="R477" s="8"/>
      <c r="S477" s="7"/>
      <c r="T477" s="9"/>
      <c r="U477" s="7"/>
      <c r="V477" s="8"/>
      <c r="W477" s="7"/>
      <c r="X477" s="7"/>
      <c r="Y477" s="8"/>
      <c r="Z477" s="7"/>
      <c r="AA477" s="8"/>
    </row>
    <row r="478" spans="4:27" ht="14.25" thickTop="1" thickBot="1" x14ac:dyDescent="0.25">
      <c r="D478" s="190"/>
      <c r="F478" s="7"/>
      <c r="G478" s="8"/>
      <c r="H478" s="7"/>
      <c r="I478" s="6"/>
      <c r="J478" s="7"/>
      <c r="K478" s="8"/>
      <c r="L478" s="7"/>
      <c r="M478" s="8"/>
      <c r="N478" s="7"/>
      <c r="O478" s="8"/>
      <c r="P478" s="7"/>
      <c r="Q478" s="7"/>
      <c r="R478" s="8"/>
      <c r="S478" s="7"/>
      <c r="T478" s="9"/>
      <c r="U478" s="7"/>
      <c r="V478" s="8"/>
      <c r="W478" s="7"/>
      <c r="X478" s="7"/>
      <c r="Y478" s="8"/>
      <c r="Z478" s="7"/>
      <c r="AA478" s="8"/>
    </row>
    <row r="479" spans="4:27" ht="14.25" thickTop="1" thickBot="1" x14ac:dyDescent="0.25">
      <c r="D479" s="190"/>
      <c r="F479" s="7"/>
      <c r="G479" s="8"/>
      <c r="H479" s="7"/>
      <c r="I479" s="6"/>
      <c r="J479" s="7"/>
      <c r="K479" s="8"/>
      <c r="L479" s="7"/>
      <c r="M479" s="8"/>
      <c r="N479" s="7"/>
      <c r="O479" s="8"/>
      <c r="P479" s="7"/>
      <c r="Q479" s="7"/>
      <c r="R479" s="8"/>
      <c r="S479" s="7"/>
      <c r="T479" s="9"/>
      <c r="U479" s="7"/>
      <c r="V479" s="8"/>
      <c r="W479" s="7"/>
      <c r="X479" s="7"/>
      <c r="Y479" s="8"/>
      <c r="Z479" s="7"/>
      <c r="AA479" s="8"/>
    </row>
    <row r="480" spans="4:27" ht="14.25" thickTop="1" thickBot="1" x14ac:dyDescent="0.25">
      <c r="D480" s="190"/>
      <c r="F480" s="7"/>
      <c r="G480" s="8"/>
      <c r="H480" s="7"/>
      <c r="I480" s="6"/>
      <c r="J480" s="7"/>
      <c r="K480" s="8"/>
      <c r="L480" s="7"/>
      <c r="M480" s="8"/>
      <c r="N480" s="7"/>
      <c r="O480" s="8"/>
      <c r="P480" s="7"/>
      <c r="Q480" s="7"/>
      <c r="R480" s="8"/>
      <c r="S480" s="7"/>
      <c r="T480" s="9"/>
      <c r="U480" s="7"/>
      <c r="V480" s="8"/>
      <c r="W480" s="7"/>
      <c r="X480" s="7"/>
      <c r="Y480" s="8"/>
      <c r="Z480" s="7"/>
      <c r="AA480" s="8"/>
    </row>
    <row r="481" spans="4:27" ht="14.25" thickTop="1" thickBot="1" x14ac:dyDescent="0.25">
      <c r="D481" s="190"/>
      <c r="F481" s="7"/>
      <c r="G481" s="8"/>
      <c r="H481" s="7"/>
      <c r="I481" s="6"/>
      <c r="J481" s="7"/>
      <c r="K481" s="8"/>
      <c r="L481" s="7"/>
      <c r="M481" s="8"/>
      <c r="N481" s="7"/>
      <c r="O481" s="8"/>
      <c r="P481" s="7"/>
      <c r="Q481" s="7"/>
      <c r="R481" s="8"/>
      <c r="S481" s="7"/>
      <c r="T481" s="9"/>
      <c r="U481" s="7"/>
      <c r="V481" s="8"/>
      <c r="W481" s="7"/>
      <c r="X481" s="7"/>
      <c r="Y481" s="8"/>
      <c r="Z481" s="7"/>
      <c r="AA481" s="8"/>
    </row>
    <row r="482" spans="4:27" ht="14.25" thickTop="1" thickBot="1" x14ac:dyDescent="0.25">
      <c r="D482" s="190"/>
      <c r="F482" s="7"/>
      <c r="G482" s="8"/>
      <c r="H482" s="7"/>
      <c r="I482" s="6"/>
      <c r="J482" s="7"/>
      <c r="K482" s="8"/>
      <c r="L482" s="7"/>
      <c r="M482" s="8"/>
      <c r="N482" s="7"/>
      <c r="O482" s="8"/>
      <c r="P482" s="7"/>
      <c r="Q482" s="7"/>
      <c r="R482" s="8"/>
      <c r="S482" s="7"/>
      <c r="T482" s="9"/>
      <c r="U482" s="7"/>
      <c r="V482" s="8"/>
      <c r="W482" s="7"/>
      <c r="X482" s="7"/>
      <c r="Y482" s="8"/>
      <c r="Z482" s="7"/>
      <c r="AA482" s="8"/>
    </row>
    <row r="483" spans="4:27" ht="14.25" thickTop="1" thickBot="1" x14ac:dyDescent="0.25">
      <c r="D483" s="190"/>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x14ac:dyDescent="0.25">
      <c r="D484" s="190"/>
      <c r="U484" s="7"/>
      <c r="V484" s="8"/>
    </row>
    <row r="485" spans="4:27" x14ac:dyDescent="0.2">
      <c r="D485" s="190"/>
    </row>
    <row r="486" spans="4:27" x14ac:dyDescent="0.2">
      <c r="D486" s="190"/>
    </row>
    <row r="487" spans="4:27" x14ac:dyDescent="0.2">
      <c r="D487" s="190"/>
    </row>
    <row r="488" spans="4:27" x14ac:dyDescent="0.2">
      <c r="D488" s="190"/>
    </row>
    <row r="489" spans="4:27" x14ac:dyDescent="0.2">
      <c r="D489" s="190"/>
    </row>
    <row r="490" spans="4:27" x14ac:dyDescent="0.2">
      <c r="D490" s="190"/>
    </row>
    <row r="491" spans="4:27" x14ac:dyDescent="0.2">
      <c r="D491" s="190"/>
    </row>
    <row r="492" spans="4:27" x14ac:dyDescent="0.2">
      <c r="D492" s="190"/>
    </row>
    <row r="493" spans="4:27" x14ac:dyDescent="0.2">
      <c r="D493" s="190"/>
    </row>
    <row r="494" spans="4:27" x14ac:dyDescent="0.2">
      <c r="D494" s="190"/>
    </row>
    <row r="495" spans="4:27" x14ac:dyDescent="0.2">
      <c r="D495" s="190"/>
    </row>
    <row r="496" spans="4:27"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sheetData>
  <autoFilter ref="A3:AA457"/>
  <sortState ref="B4:B52">
    <sortCondition ref="B3"/>
  </sortState>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Guide</vt:lpstr>
      <vt:lpstr>Sheet3</vt:lpstr>
      <vt:lpstr>DATABASE</vt:lpstr>
      <vt:lpstr>Site_DB</vt:lpstr>
      <vt:lpstr>Indicator Summary Eng</vt:lpstr>
      <vt:lpstr>Indicator Summary MM</vt:lpstr>
      <vt:lpstr>HRP Calculations</vt:lpstr>
      <vt:lpstr>HRP</vt:lpstr>
      <vt:lpstr>Analysis</vt:lpstr>
      <vt:lpstr>Quarterly Dashboard</vt:lpstr>
      <vt:lpstr>Kachin</vt:lpstr>
      <vt:lpstr>Rakhine_Village</vt:lpstr>
      <vt:lpstr>Rakhine</vt:lpstr>
      <vt:lpstr>Shan(n)</vt:lpstr>
      <vt:lpstr>By Camps</vt:lpstr>
      <vt:lpstr>Lookup</vt:lpstr>
      <vt:lpstr>'HRP Calculations'!Print_Area</vt:lpstr>
      <vt:lpstr>Kachin!Print_Area</vt:lpstr>
      <vt:lpstr>Rakhine!Print_Area</vt:lpstr>
      <vt:lpstr>Rakhine_Village!Print_Area</vt:lpstr>
      <vt:lpstr>'Shan(n)'!Print_Area</vt:lpstr>
      <vt:lpstr>State_list</vt:lpstr>
      <vt:lpstr>Statestart_1</vt:lpstr>
      <vt:lpstr>Kachin!Township_list</vt:lpstr>
      <vt:lpstr>Rakhine!Township_list</vt:lpstr>
      <vt:lpstr>Rakhine_Village!Township_list</vt:lpstr>
      <vt:lpstr>'Shan(n)'!Township_list</vt:lpstr>
      <vt:lpstr>Township_list</vt:lpstr>
      <vt:lpstr>Kachin!Township_start</vt:lpstr>
      <vt:lpstr>Rakhine!Township_start</vt:lpstr>
      <vt:lpstr>Rakhine_Village!Township_start</vt:lpstr>
      <vt:lpstr>'Shan(n)'!Township_start</vt:lpstr>
      <vt:lpstr>Township_start</vt:lpstr>
      <vt:lpstr>TSps</vt:lpstr>
    </vt:vector>
  </TitlesOfParts>
  <Manager/>
  <Company>UNICEF</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Mee Mee Thaw</cp:lastModifiedBy>
  <cp:revision/>
  <cp:lastPrinted>2018-11-14T09:04:17Z</cp:lastPrinted>
  <dcterms:created xsi:type="dcterms:W3CDTF">2016-05-30T15:30:45Z</dcterms:created>
  <dcterms:modified xsi:type="dcterms:W3CDTF">2018-11-15T03:58:44Z</dcterms:modified>
  <cp:category/>
  <cp:contentStatus/>
</cp:coreProperties>
</file>